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Real Estate\Housing\Homebuilders\Cyrela\Models\"/>
    </mc:Choice>
  </mc:AlternateContent>
  <xr:revisionPtr revIDLastSave="0" documentId="8_{3943F07E-0BA2-4024-AC55-9C07E909920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Macro" sheetId="7" r:id="rId1"/>
    <sheet name="Income Statement" sheetId="2" r:id="rId2"/>
    <sheet name="Balance Sheet" sheetId="1" r:id="rId3"/>
    <sheet name="Forecasts" sheetId="9" r:id="rId4"/>
    <sheet name="Cash Flow" sheetId="14" r:id="rId5"/>
    <sheet name="TP Calculation" sheetId="16" r:id="rId6"/>
    <sheet name="DCF" sheetId="11" r:id="rId7"/>
    <sheet name="Tables" sheetId="19" r:id="rId8"/>
    <sheet name="FCF build up" sheetId="21" r:id="rId9"/>
    <sheet name="Tags_ols" sheetId="15" r:id="rId10"/>
    <sheet name="Tags" sheetId="20" r:id="rId11"/>
  </sheets>
  <definedNames>
    <definedName name="__123Graph_A" localSheetId="4" hidden="1">#REF!</definedName>
    <definedName name="__123Graph_A" hidden="1">#REF!</definedName>
    <definedName name="_1_0BS_minor" localSheetId="5">#REF!</definedName>
    <definedName name="_1_0BS_minor">#REF!</definedName>
    <definedName name="_10_0Interc_Rev_Loc_">#REF!</definedName>
    <definedName name="_10_0IS_straightpref" localSheetId="5">#REF!</definedName>
    <definedName name="_10_0IS_straightpref">#REF!</definedName>
    <definedName name="_100__123Graph_XCHART_20" hidden="1">#REF!</definedName>
    <definedName name="_100__123Graph_XCHART_23" hidden="1">#REF!</definedName>
    <definedName name="_101__123Graph_XCHART_23" hidden="1">#REF!</definedName>
    <definedName name="_101__123Graph_XChart_3" hidden="1">#REF!</definedName>
    <definedName name="_102__123Graph_XChart_3" hidden="1">#REF!</definedName>
    <definedName name="_102__123Graph_XChart_4" hidden="1">#REF!</definedName>
    <definedName name="_103__123Graph_XChart_4" hidden="1">#REF!</definedName>
    <definedName name="_103__123Graph_XChart_5" hidden="1">#REF!</definedName>
    <definedName name="_104__123Graph_XChart_5" hidden="1">#REF!</definedName>
    <definedName name="_104__123Graph_XChart_6" hidden="1">#REF!</definedName>
    <definedName name="_105__123Graph_XChart_6" hidden="1">#REF!</definedName>
    <definedName name="_105J–Ï__íÇ">#REF!,#REF!,#REF!,#REF!,#REF!,#REF!,#REF!,#REF!,#REF!,#REF!,#REF!,#REF!</definedName>
    <definedName name="_106_0">#REF!,#REF!,#REF!,#REF!,#REF!,#REF!,#REF!,#REF!,#REF!,#REF!,#REF!,#REF!,#REF!,#REF!</definedName>
    <definedName name="_106J–Ï__íÇ" localSheetId="5">#REF!,#REF!,#REF!,#REF!,#REF!,#REF!,#REF!,#REF!,#REF!,#REF!,#REF!,#REF!</definedName>
    <definedName name="_106J–Ï__íÇ">#REF!,#REF!,#REF!,#REF!,#REF!,#REF!,#REF!,#REF!,#REF!,#REF!,#REF!,#REF!</definedName>
    <definedName name="_107_0" localSheetId="5">#REF!,#REF!,#REF!,#REF!,#REF!,#REF!,#REF!,#REF!,#REF!,#REF!,#REF!,#REF!,#REF!,#REF!</definedName>
    <definedName name="_107_0">#REF!,#REF!,#REF!,#REF!,#REF!,#REF!,#REF!,#REF!,#REF!,#REF!,#REF!,#REF!,#REF!,#REF!</definedName>
    <definedName name="_107_0_0BS_minor">#REF!</definedName>
    <definedName name="_108_0_0BS_minor">#REF!</definedName>
    <definedName name="_108_0_0CF_minor">#REF!</definedName>
    <definedName name="_109_0_0CF_minor">#REF!</definedName>
    <definedName name="_109_0_0IS_convpref">#REF!</definedName>
    <definedName name="_11_0Interc_Rev_LD_">#REF!</definedName>
    <definedName name="_11_0OutGoingTraf">#REF!</definedName>
    <definedName name="_110_0_0IS_convpref">#REF!</definedName>
    <definedName name="_110_0_0IS_intconv">#REF!</definedName>
    <definedName name="_111_0_0IS_intconv">#REF!</definedName>
    <definedName name="_111_0_0IS_intexist">#REF!</definedName>
    <definedName name="_112_0_0IS_intexist">#REF!</definedName>
    <definedName name="_112_0_0IS_minor">#REF!</definedName>
    <definedName name="_113_0_0IS_minor">#REF!</definedName>
    <definedName name="_113_0_0IS_straightpref">#REF!</definedName>
    <definedName name="_114_0_0IS_straightpref">#REF!</definedName>
    <definedName name="_114_0_0IS_synerg">#REF!</definedName>
    <definedName name="_115_0_0IS_synerg">#REF!</definedName>
    <definedName name="_115_0IS_synerg">#REF!</definedName>
    <definedName name="_116_0IS_synerg">#REF!</definedName>
    <definedName name="_116_0s">#REF!</definedName>
    <definedName name="_117_0s">#REF!</definedName>
    <definedName name="_117_0Sfu">#REF!</definedName>
    <definedName name="_118_0Sfu">#REF!</definedName>
    <definedName name="_118_1">#REF!</definedName>
    <definedName name="_119_1" localSheetId="5">#REF!</definedName>
    <definedName name="_119_1">#REF!</definedName>
    <definedName name="_119_10">#REF!</definedName>
    <definedName name="_12_0Interc_Rev_Loc_" localSheetId="5">#REF!</definedName>
    <definedName name="_12_0Interc_Rev_Loc_">#REF!</definedName>
    <definedName name="_12_0Perc_Reg_of">#REF!</definedName>
    <definedName name="_120_10" localSheetId="5">#REF!</definedName>
    <definedName name="_120_10">#REF!</definedName>
    <definedName name="_120_11">#REF!</definedName>
    <definedName name="_121_11" localSheetId="5">#REF!</definedName>
    <definedName name="_121_11">#REF!</definedName>
    <definedName name="_121_12">#REF!</definedName>
    <definedName name="_122_12">#REF!</definedName>
    <definedName name="_122_13">#REF!</definedName>
    <definedName name="_123_13">#REF!</definedName>
    <definedName name="_123_14">#REF!</definedName>
    <definedName name="_124_14">#REF!</definedName>
    <definedName name="_124_15">#REF!</definedName>
    <definedName name="_125_15">#REF!</definedName>
    <definedName name="_125_16">#REF!</definedName>
    <definedName name="_126_16">#REF!</definedName>
    <definedName name="_126_17">#REF!</definedName>
    <definedName name="_127_17">#REF!</definedName>
    <definedName name="_127_18">#REF!</definedName>
    <definedName name="_128_18">#REF!</definedName>
    <definedName name="_128_2">#REF!</definedName>
    <definedName name="_129_2">#REF!</definedName>
    <definedName name="_129_3">#REF!</definedName>
    <definedName name="_13_0BS_minor">#REF!</definedName>
    <definedName name="_13_0OutGoingTraf" localSheetId="5">#REF!</definedName>
    <definedName name="_13_0OutGoingTraf">#REF!</definedName>
    <definedName name="_130_3" localSheetId="5">#REF!</definedName>
    <definedName name="_130_3">#REF!</definedName>
    <definedName name="_130_4">#REF!</definedName>
    <definedName name="_131_4" localSheetId="5">#REF!</definedName>
    <definedName name="_131_4">#REF!</definedName>
    <definedName name="_131_5">#REF!</definedName>
    <definedName name="_132_5">#REF!</definedName>
    <definedName name="_132_6">#REF!</definedName>
    <definedName name="_133_6">#REF!</definedName>
    <definedName name="_133p0t">#REF!,#REF!,#REF!,#REF!,#REF!</definedName>
    <definedName name="_134p0t" localSheetId="5">#REF!,#REF!,#REF!,#REF!,#REF!</definedName>
    <definedName name="_134p0t">#REF!,#REF!,#REF!,#REF!,#REF!</definedName>
    <definedName name="_134ÿ_0CAPEX">#REF!</definedName>
    <definedName name="_135ÿ_0CAPEX" localSheetId="5">#REF!</definedName>
    <definedName name="_135ÿ_0CAPEX">#REF!</definedName>
    <definedName name="_135ÿ_0CAPEX_">#REF!</definedName>
    <definedName name="_136ÿ_0CAPEX_">#REF!</definedName>
    <definedName name="_136ÿ_0CAPEX_billing_VMS_">#REF!</definedName>
    <definedName name="_137ÿ_0CAPEX_billing_VMS_">#REF!</definedName>
    <definedName name="_137ÿ_0CAPEX_Civil_Wo">#REF!</definedName>
    <definedName name="_138ÿ_0CAPEX_Civil_Wo">#REF!</definedName>
    <definedName name="_138ÿ_0CAPEX_computer_softw">#REF!</definedName>
    <definedName name="_139ÿ_0CAPEX_computer_softw">#REF!</definedName>
    <definedName name="_139ÿ_0CAPEX_Equipm">#REF!</definedName>
    <definedName name="_14_0CF_minor">#REF!</definedName>
    <definedName name="_14_0Perc_Reg_of">#REF!</definedName>
    <definedName name="_140ÿ_0CAPEX_Equipm">#REF!</definedName>
    <definedName name="_140ÿ_0CAPEX_Gateway_Equipm">#REF!</definedName>
    <definedName name="_141ÿ_0CAPEX_Gateway_Equipm">#REF!</definedName>
    <definedName name="_141ÿ_0CAPEX_Licence_">#REF!</definedName>
    <definedName name="_142ÿ_0CAPEX_Licence_">#REF!</definedName>
    <definedName name="_142ÿ_0CAPEX_Microw">#REF!</definedName>
    <definedName name="_143ÿ_0CAPEX_Microw">#REF!</definedName>
    <definedName name="_143ÿ_0CAPEX_office_furnit">#REF!</definedName>
    <definedName name="_144ÿ_0CAPEX_office_furnit">#REF!</definedName>
    <definedName name="_144ÿ_0CAPEX_Subscri">#REF!</definedName>
    <definedName name="_145ÿ_0CAPEX_Subscri">#REF!</definedName>
    <definedName name="_145ÿ_0Cum._Invest_bill">#REF!</definedName>
    <definedName name="_146ÿ_0Cum._Invest_bill">#REF!</definedName>
    <definedName name="_146ÿ_0Depr_base_bill">#REF!</definedName>
    <definedName name="_147ÿ_0Depr_base_bill">#REF!</definedName>
    <definedName name="_147ÿ_0Depr_base_equipm">#REF!</definedName>
    <definedName name="_148ÿ_0Depr_base_equipm">#REF!</definedName>
    <definedName name="_148ÿ_0Depr_bill">#REF!</definedName>
    <definedName name="_149ÿ_0Depr_bill">#REF!</definedName>
    <definedName name="_149ÿ_0Depr_civil_wo">#REF!</definedName>
    <definedName name="_15_0BS_minor">#REF!</definedName>
    <definedName name="_15_0IS_convpref">#REF!</definedName>
    <definedName name="_150ÿ_0Depr_civil_wo">#REF!</definedName>
    <definedName name="_150ÿ_0Depr_computer_softw">#REF!</definedName>
    <definedName name="_151ÿ_0Depr_computer_softw">#REF!</definedName>
    <definedName name="_151ÿ_0Depr_equipm">#REF!</definedName>
    <definedName name="_152ÿ_0Depr_equipm">#REF!</definedName>
    <definedName name="_152ÿ_0Depr_lice">#REF!</definedName>
    <definedName name="_153ÿ_0Depr_lice">#REF!</definedName>
    <definedName name="_153ÿ_0Depr_office_furnit">#REF!</definedName>
    <definedName name="_154ÿ_0Depr_office_furnit">#REF!</definedName>
    <definedName name="_154ÿ_0GSM_In">#REF!</definedName>
    <definedName name="_155ÿ_0GSM_In">#REF!</definedName>
    <definedName name="_155ÿ_0Invest">#REF!</definedName>
    <definedName name="_156ÿ_0Invest">#REF!</definedName>
    <definedName name="_156ÿ_0Invest_">#REF!</definedName>
    <definedName name="_157ÿ_0Invest_">#REF!</definedName>
    <definedName name="_157ÿ_0Invest_Gatew">#REF!</definedName>
    <definedName name="_158ÿ_0Invest_Gatew">#REF!</definedName>
    <definedName name="_158ÿ_0Invest_Microw">#REF!</definedName>
    <definedName name="_159ÿ_0Invest_Microw">#REF!</definedName>
    <definedName name="_159ÿ_0jdbytraft">#REF!</definedName>
    <definedName name="_16_0CF_minor">#REF!</definedName>
    <definedName name="_16_0IS_intconv">#REF!</definedName>
    <definedName name="_160ÿ_0jdbytraft" localSheetId="5">#REF!</definedName>
    <definedName name="_160ÿ_0jdbytraft">#REF!</definedName>
    <definedName name="_160ÿ_0jdmktspli">#REF!</definedName>
    <definedName name="_161ÿ_0jdmktspli" localSheetId="5">#REF!</definedName>
    <definedName name="_161ÿ_0jdmktspli">#REF!</definedName>
    <definedName name="_161ÿ_0Number">#REF!</definedName>
    <definedName name="_162ÿ_0Number" localSheetId="5">#REF!</definedName>
    <definedName name="_162ÿ_0Number">#REF!</definedName>
    <definedName name="_162ÿ_0Number_">#REF!</definedName>
    <definedName name="_163ÿ_0Number_" localSheetId="5">#REF!</definedName>
    <definedName name="_163ÿ_0Number_">#REF!</definedName>
    <definedName name="_163ÿ_0Number_Gatew">#REF!</definedName>
    <definedName name="_164ÿ_0Number_Gatew">#REF!</definedName>
    <definedName name="_164ÿ_0Number_Microw">#REF!</definedName>
    <definedName name="_165ÿ_0Number_Microw">#REF!</definedName>
    <definedName name="_165ÿ_0Price">#REF!</definedName>
    <definedName name="_166ÿ_0Price">#REF!</definedName>
    <definedName name="_166ÿ_0Price_">#REF!</definedName>
    <definedName name="_167ÿ_0Price_">#REF!</definedName>
    <definedName name="_167ÿ_0Price_Gate">#REF!</definedName>
    <definedName name="_168ÿ_0Price_Gate">#REF!</definedName>
    <definedName name="_168ÿ_0Price_Microw">#REF!</definedName>
    <definedName name="_169ÿ_0Price_Microw">#REF!</definedName>
    <definedName name="_169ÿ_0Rev_In_Ca">#REF!</definedName>
    <definedName name="_17_0IS_convpref">#REF!</definedName>
    <definedName name="_17_0IS_intexist">#REF!</definedName>
    <definedName name="_170ÿ_0Rev_In_Ca" localSheetId="5">#REF!</definedName>
    <definedName name="_170ÿ_0Rev_In_Ca">#REF!</definedName>
    <definedName name="_170ÿ_0Tot_Fixed_Ass">#REF!</definedName>
    <definedName name="_171ÿ_0Tot_Fixed_Ass" localSheetId="5">#REF!</definedName>
    <definedName name="_171ÿ_0Tot_Fixed_Ass">#REF!</definedName>
    <definedName name="_18_0IS_intconv">#REF!</definedName>
    <definedName name="_18_0IS_minor">#REF!</definedName>
    <definedName name="_19_0IS_intexist">#REF!</definedName>
    <definedName name="_19_0IS_straightpref">#REF!</definedName>
    <definedName name="_2_0BS_minor">#REF!</definedName>
    <definedName name="_2_0CF_minor">#REF!</definedName>
    <definedName name="_20_0cu20.ItemTypeCateg">#REF!</definedName>
    <definedName name="_20_0IS_minor">#REF!</definedName>
    <definedName name="_21__123Graph_A_Chart_1A" hidden="1">#REF!</definedName>
    <definedName name="_21_0IS_straightpref" localSheetId="5">#REF!</definedName>
    <definedName name="_21_0IS_straightpref">#REF!</definedName>
    <definedName name="_22__123Graph_ACHART_1" localSheetId="3" hidden="1">#REF!</definedName>
    <definedName name="_22_0cu20.ItemTypeCateg" localSheetId="5">#REF!</definedName>
    <definedName name="_22_0cu20.ItemTypeCateg">#REF!</definedName>
    <definedName name="_23__123Graph_A_Chart_1A" hidden="1">#REF!</definedName>
    <definedName name="_23__123Graph_AChart_1" hidden="1">#REF!</definedName>
    <definedName name="_24__123Graph_ACHART_19" hidden="1">#REF!</definedName>
    <definedName name="_25__123Graph_AChart_1" hidden="1">#REF!</definedName>
    <definedName name="_25__123Graph_AChart_2" hidden="1">#REF!</definedName>
    <definedName name="_26__123Graph_ACHART_19" hidden="1">#REF!</definedName>
    <definedName name="_26__123Graph_ACHART_20" hidden="1">#REF!</definedName>
    <definedName name="_27__123Graph_AChart_2" hidden="1">#REF!</definedName>
    <definedName name="_27__123Graph_ACHART_22" hidden="1">#REF!</definedName>
    <definedName name="_28__123Graph_ACHART_20" hidden="1">#REF!</definedName>
    <definedName name="_28__123Graph_ACHART_23" hidden="1">#REF!</definedName>
    <definedName name="_29__123Graph_ACHART_22" hidden="1">#REF!</definedName>
    <definedName name="_29__123Graph_AChart_3" hidden="1">#REF!</definedName>
    <definedName name="_3_0CF_minor" localSheetId="5">#REF!</definedName>
    <definedName name="_3_0CF_minor">#REF!</definedName>
    <definedName name="_3_0HData_Segm_spli">#REF!</definedName>
    <definedName name="_30__123Graph_ACHART_23" hidden="1">#REF!</definedName>
    <definedName name="_30__123Graph_AChart_4" hidden="1">#REF!</definedName>
    <definedName name="_31__123Graph_AChart_3" hidden="1">#REF!</definedName>
    <definedName name="_31__123Graph_AChart_5" hidden="1">#REF!</definedName>
    <definedName name="_32__123Graph_AChart_4" hidden="1">#REF!</definedName>
    <definedName name="_32__123Graph_AChart_6" hidden="1">#REF!</definedName>
    <definedName name="_33__123Graph_AChart_5" hidden="1">#REF!</definedName>
    <definedName name="_33__123Graph_B_Chart_1A" hidden="1">#REF!</definedName>
    <definedName name="_34__123Graph_AChart_6" hidden="1">#REF!</definedName>
    <definedName name="_34__123Graph_BCHART_1" localSheetId="4" hidden="1">#REF!</definedName>
    <definedName name="_35__123Graph_B_Chart_1A" hidden="1">#REF!</definedName>
    <definedName name="_35__123Graph_BCHART_1" hidden="1">#REF!</definedName>
    <definedName name="_36__123Graph_BCHART_1" hidden="1">#REF!</definedName>
    <definedName name="_36__123Graph_BCHART_12" hidden="1">#REF!</definedName>
    <definedName name="_37__123Graph_BCHART_12" hidden="1">#REF!</definedName>
    <definedName name="_37__123Graph_C_Chart_1A" hidden="1">#REF!</definedName>
    <definedName name="_38__123Graph_C_Chart_1A" hidden="1">#REF!</definedName>
    <definedName name="_38__123Graph_CCHART_10" hidden="1">#REF!</definedName>
    <definedName name="_39__123Graph_CCHART_10" hidden="1">#REF!</definedName>
    <definedName name="_39__123Graph_CCHART_11" hidden="1">#REF!</definedName>
    <definedName name="_4_0HData_Segm_spli" localSheetId="5">#REF!</definedName>
    <definedName name="_4_0HData_Segm_spli">#REF!</definedName>
    <definedName name="_4_0IS_convpref">#REF!</definedName>
    <definedName name="_40__123Graph_CCHART_11" hidden="1">#REF!</definedName>
    <definedName name="_40__123Graph_CCHART_12" hidden="1">#REF!</definedName>
    <definedName name="_41__123Graph_CCHART_12" hidden="1">#REF!</definedName>
    <definedName name="_41__123Graph_CCHART_13" hidden="1">#REF!</definedName>
    <definedName name="_42__123Graph_CCHART_13" hidden="1">#REF!</definedName>
    <definedName name="_42__123Graph_CCHART_14" hidden="1">#REF!</definedName>
    <definedName name="_43__123Graph_CCHART_14" hidden="1">#REF!</definedName>
    <definedName name="_43__123Graph_CCHART_15" hidden="1">#REF!</definedName>
    <definedName name="_44__123Graph_CCHART_15" hidden="1">#REF!</definedName>
    <definedName name="_44__123Graph_CCHART_16" hidden="1">#REF!</definedName>
    <definedName name="_45__123Graph_CCHART_16" hidden="1">#REF!</definedName>
    <definedName name="_45__123Graph_CCHART_17" hidden="1">#REF!</definedName>
    <definedName name="_46__123Graph_CCHART_17" hidden="1">#REF!</definedName>
    <definedName name="_46__123Graph_CCHART_18" hidden="1">#REF!</definedName>
    <definedName name="_47__123Graph_CCHART_18" hidden="1">#REF!</definedName>
    <definedName name="_47__123Graph_CCHART_4" hidden="1">#REF!</definedName>
    <definedName name="_48__123Graph_CCHART_4" hidden="1">#REF!</definedName>
    <definedName name="_48__123Graph_CCHART_6" hidden="1">#REF!</definedName>
    <definedName name="_49__123Graph_CCHART_6" hidden="1">#REF!</definedName>
    <definedName name="_49__123Graph_CCHART_7" hidden="1">#REF!</definedName>
    <definedName name="_5_0IS_convpref" localSheetId="5">#REF!</definedName>
    <definedName name="_5_0IS_convpref">#REF!</definedName>
    <definedName name="_5_0IS_intconv">#REF!</definedName>
    <definedName name="_50__123Graph_CCHART_7" hidden="1">#REF!</definedName>
    <definedName name="_50__123Graph_CCHART_8" hidden="1">#REF!</definedName>
    <definedName name="_51__123Graph_CCHART_8" hidden="1">#REF!</definedName>
    <definedName name="_51__123Graph_CCHART_9" hidden="1">#REF!</definedName>
    <definedName name="_52__123Graph_CCHART_9" hidden="1">#REF!</definedName>
    <definedName name="_52__123Graph_D_Chart_1A" hidden="1">#REF!</definedName>
    <definedName name="_53__123Graph_D_Chart_1A" hidden="1">#REF!</definedName>
    <definedName name="_53__123Graph_DCHART_10" hidden="1">#REF!</definedName>
    <definedName name="_54__123Graph_DCHART_10" hidden="1">#REF!</definedName>
    <definedName name="_54__123Graph_DCHART_11" hidden="1">#REF!</definedName>
    <definedName name="_55__123Graph_DCHART_11" hidden="1">#REF!</definedName>
    <definedName name="_55__123Graph_DCHART_12" hidden="1">#REF!</definedName>
    <definedName name="_56__123Graph_DCHART_12" hidden="1">#REF!</definedName>
    <definedName name="_56__123Graph_DCHART_13" hidden="1">#REF!</definedName>
    <definedName name="_57__123Graph_DCHART_13" hidden="1">#REF!</definedName>
    <definedName name="_57__123Graph_DCHART_14" hidden="1">#REF!</definedName>
    <definedName name="_58__123Graph_DCHART_14" hidden="1">#REF!</definedName>
    <definedName name="_58__123Graph_DCHART_15" hidden="1">#REF!</definedName>
    <definedName name="_59__123Graph_DCHART_15" hidden="1">#REF!</definedName>
    <definedName name="_59__123Graph_DCHART_16" hidden="1">#REF!</definedName>
    <definedName name="_6_0IS_intconv" localSheetId="5">#REF!</definedName>
    <definedName name="_6_0IS_intconv">#REF!</definedName>
    <definedName name="_6_0IS_intexist">#REF!</definedName>
    <definedName name="_60__123Graph_DCHART_16" hidden="1">#REF!</definedName>
    <definedName name="_60__123Graph_DCHART_17" hidden="1">#REF!</definedName>
    <definedName name="_61__123Graph_DCHART_17" hidden="1">#REF!</definedName>
    <definedName name="_61__123Graph_DCHART_18" hidden="1">#REF!</definedName>
    <definedName name="_62__123Graph_DCHART_18" hidden="1">#REF!</definedName>
    <definedName name="_62__123Graph_DCHART_4" hidden="1">#REF!</definedName>
    <definedName name="_63__123Graph_DCHART_4" hidden="1">#REF!</definedName>
    <definedName name="_63__123Graph_DCHART_6" hidden="1">#REF!</definedName>
    <definedName name="_64__123Graph_DCHART_6" hidden="1">#REF!</definedName>
    <definedName name="_64__123Graph_DCHART_7" hidden="1">#REF!</definedName>
    <definedName name="_65__123Graph_DCHART_7" hidden="1">#REF!</definedName>
    <definedName name="_65__123Graph_DCHART_8" hidden="1">#REF!</definedName>
    <definedName name="_66__123Graph_DCHART_8" hidden="1">#REF!</definedName>
    <definedName name="_66__123Graph_DCHART_9" hidden="1">#REF!</definedName>
    <definedName name="_67__123Graph_DCHART_9" hidden="1">#REF!</definedName>
    <definedName name="_67__123Graph_E_Chart_1A" hidden="1">#REF!</definedName>
    <definedName name="_68__123Graph_E_Chart_1A" hidden="1">#REF!</definedName>
    <definedName name="_68__123Graph_ECHART_10" hidden="1">#REF!</definedName>
    <definedName name="_69__123Graph_ECHART_10" hidden="1">#REF!</definedName>
    <definedName name="_69__123Graph_ECHART_11" hidden="1">#REF!</definedName>
    <definedName name="_7_0IS_intconv" localSheetId="5">#REF!</definedName>
    <definedName name="_7_0IS_intconv">#REF!</definedName>
    <definedName name="_7_0IS_minor">#REF!</definedName>
    <definedName name="_70__123Graph_ECHART_11" hidden="1">#REF!</definedName>
    <definedName name="_70__123Graph_ECHART_12" hidden="1">#REF!</definedName>
    <definedName name="_71__123Graph_ECHART_12" hidden="1">#REF!</definedName>
    <definedName name="_71__123Graph_ECHART_13" hidden="1">#REF!</definedName>
    <definedName name="_72__123Graph_ECHART_13" hidden="1">#REF!</definedName>
    <definedName name="_72__123Graph_ECHART_14" hidden="1">#REF!</definedName>
    <definedName name="_73__123Graph_ECHART_14" hidden="1">#REF!</definedName>
    <definedName name="_73__123Graph_ECHART_15" hidden="1">#REF!</definedName>
    <definedName name="_74__123Graph_ECHART_15" hidden="1">#REF!</definedName>
    <definedName name="_74__123Graph_ECHART_16" hidden="1">#REF!</definedName>
    <definedName name="_75__123Graph_ECHART_16" hidden="1">#REF!</definedName>
    <definedName name="_75__123Graph_ECHART_17" hidden="1">#REF!</definedName>
    <definedName name="_76__123Graph_ECHART_17" hidden="1">#REF!</definedName>
    <definedName name="_76__123Graph_ECHART_18" hidden="1">#REF!</definedName>
    <definedName name="_77__123Graph_ECHART_18" hidden="1">#REF!</definedName>
    <definedName name="_77__123Graph_ECHART_4" hidden="1">#REF!</definedName>
    <definedName name="_78__123Graph_ECHART_4" hidden="1">#REF!</definedName>
    <definedName name="_78__123Graph_ECHART_6" hidden="1">#REF!</definedName>
    <definedName name="_79__123Graph_ECHART_6" hidden="1">#REF!</definedName>
    <definedName name="_79__123Graph_ECHART_7" hidden="1">#REF!</definedName>
    <definedName name="_8_0IS_intexist" localSheetId="5">#REF!</definedName>
    <definedName name="_8_0IS_intexist">#REF!</definedName>
    <definedName name="_8_0IS_straightpref">#REF!</definedName>
    <definedName name="_80__123Graph_ECHART_7" hidden="1">#REF!</definedName>
    <definedName name="_80__123Graph_ECHART_8" hidden="1">#REF!</definedName>
    <definedName name="_81__123Graph_ECHART_8" hidden="1">#REF!</definedName>
    <definedName name="_81__123Graph_ECHART_9" hidden="1">#REF!</definedName>
    <definedName name="_82__123Graph_ECHART_9" hidden="1">#REF!</definedName>
    <definedName name="_82__123Graph_F_Chart_1A" hidden="1">#REF!</definedName>
    <definedName name="_83__123Graph_F_Chart_1A" hidden="1">#REF!</definedName>
    <definedName name="_83__123Graph_FCHART_10" hidden="1">#REF!</definedName>
    <definedName name="_84__123Graph_FCHART_10" hidden="1">#REF!</definedName>
    <definedName name="_84__123Graph_FCHART_11" hidden="1">#REF!</definedName>
    <definedName name="_85__123Graph_FCHART_11" hidden="1">#REF!</definedName>
    <definedName name="_85__123Graph_FCHART_12" hidden="1">#REF!</definedName>
    <definedName name="_86__123Graph_FCHART_12" hidden="1">#REF!</definedName>
    <definedName name="_86__123Graph_FCHART_13" hidden="1">#REF!</definedName>
    <definedName name="_87__123Graph_FCHART_13" hidden="1">#REF!</definedName>
    <definedName name="_87__123Graph_FCHART_14" hidden="1">#REF!</definedName>
    <definedName name="_88__123Graph_FCHART_14" hidden="1">#REF!</definedName>
    <definedName name="_88__123Graph_FCHART_15" hidden="1">#REF!</definedName>
    <definedName name="_89__123Graph_FCHART_15" hidden="1">#REF!</definedName>
    <definedName name="_89__123Graph_FCHART_16" hidden="1">#REF!</definedName>
    <definedName name="_9_0Interc_Rev_LD_">#REF!</definedName>
    <definedName name="_9_0IS_minor" localSheetId="5">#REF!</definedName>
    <definedName name="_9_0IS_minor">#REF!</definedName>
    <definedName name="_90__123Graph_FCHART_16" hidden="1">#REF!</definedName>
    <definedName name="_90__123Graph_FCHART_4" hidden="1">#REF!</definedName>
    <definedName name="_91__123Graph_FCHART_4" hidden="1">#REF!</definedName>
    <definedName name="_91__123Graph_FCHART_6" hidden="1">#REF!</definedName>
    <definedName name="_92__123Graph_FCHART_6" hidden="1">#REF!</definedName>
    <definedName name="_92__123Graph_FCHART_7" hidden="1">#REF!</definedName>
    <definedName name="_93__123Graph_FCHART_7" hidden="1">#REF!</definedName>
    <definedName name="_93__123Graph_FCHART_8" hidden="1">#REF!</definedName>
    <definedName name="_94__123Graph_FCHART_8" hidden="1">#REF!</definedName>
    <definedName name="_94__123Graph_FCHART_9" hidden="1">#REF!</definedName>
    <definedName name="_95__123Graph_FCHART_9" hidden="1">#REF!</definedName>
    <definedName name="_95__123Graph_X_Chart_1A" hidden="1">#REF!</definedName>
    <definedName name="_96__123Graph_X_Chart_1A" hidden="1">#REF!</definedName>
    <definedName name="_96__123Graph_XCHART_1" localSheetId="3" hidden="1">#REF!</definedName>
    <definedName name="_97__123Graph_XChart_1" hidden="1">#REF!</definedName>
    <definedName name="_98__123Graph_XChart_1" hidden="1">#REF!</definedName>
    <definedName name="_98__123Graph_XChart_2" hidden="1">#REF!</definedName>
    <definedName name="_99__123Graph_XChart_2" hidden="1">#REF!</definedName>
    <definedName name="_99__123Graph_XCHART_20" hidden="1">#REF!</definedName>
    <definedName name="_AP1" localSheetId="9">PPt</definedName>
    <definedName name="_AP1" localSheetId="5">PPt</definedName>
    <definedName name="_AP1">PPt</definedName>
    <definedName name="_AP2" localSheetId="9">PPt</definedName>
    <definedName name="_AP2" localSheetId="5">PPt</definedName>
    <definedName name="_AP2">PPt</definedName>
    <definedName name="_AP3" localSheetId="9">PPt</definedName>
    <definedName name="_AP3" localSheetId="5">PPt</definedName>
    <definedName name="_AP3">PPt</definedName>
    <definedName name="_b2" localSheetId="4" hidden="1">{"PVGraph2",#N/A,FALSE,"PV Data"}</definedName>
    <definedName name="_b2" localSheetId="6" hidden="1">{"PVGraph2",#N/A,FALSE,"PV Data"}</definedName>
    <definedName name="_b2" localSheetId="0" hidden="1">{"PVGraph2",#N/A,FALSE,"PV Data"}</definedName>
    <definedName name="_b2" localSheetId="9" hidden="1">{"PVGraph2",#N/A,FALSE,"PV Data"}</definedName>
    <definedName name="_b2" localSheetId="5" hidden="1">{"PVGraph2",#N/A,FALSE,"PV Data"}</definedName>
    <definedName name="_b2" hidden="1">{"PVGraph2",#N/A,FALSE,"PV Data"}</definedName>
    <definedName name="_b5" localSheetId="9">Word</definedName>
    <definedName name="_b5" localSheetId="5">Word</definedName>
    <definedName name="_b5">Word</definedName>
    <definedName name="_b6" localSheetId="9">Word</definedName>
    <definedName name="_b6" localSheetId="5">Word</definedName>
    <definedName name="_b6">Word</definedName>
    <definedName name="_C__CP_BREAKDOWN_ITEMS">"c_I_SALES:SALES,SERVICES,DEDUCTIONS$c_I_COGS:SERVICES,INTEREST,SALES"</definedName>
    <definedName name="_C__CP_BREAKDOWN_NAMES">"c_I_SALES:Real Estate Development and Sales,Construction &amp; Services Rendered,Deductions$c_I_COGS:Construction Services Rendered,Capitalized Interest,Real Estate Development and Sales"</definedName>
    <definedName name="_C__CP_EXPANDED_ITEMS" localSheetId="9">"PROP,REALESTATE,CF|cp_466864,cp_533162,cp_477403,cp_477404,cp_477412,cp_477417,cp_477418,cp_477425"</definedName>
    <definedName name="_C__CP_EXPANDED_ITEMS" localSheetId="5">"PROP,REALESTATE,CF|cp_466864,cp_533162,cp_477403,cp_477404,cp_477412,cp_477417,cp_477418,cp_477425"</definedName>
    <definedName name="_C__CP_EXPANDED_ITEMS">"PROP,REALESTATE|cp_466864,cp_533162"</definedName>
    <definedName name="_C__CP_HIDDEN_ITEMS">"c_I_ROYALTIES,c_I_LEASING_EXP,c_I_OCC_IT_COST,c_I_EMP_COST,c_I_AMORT_OTHER,c_I_DEFINED_BEN,c_I_HEDGE_EXP,c_I_PROVISIONS,c_I_REVALUATIONS,c_I_EQ_ACC_PBT,c_I_ASSET_SALES,c_I_DIVIDENDS,c_I_INVEST_INCOME,c_I_INT_LEASE_EXP,c_I_INT_CONV_EXP,c_OTHER_NONREC,"</definedName>
    <definedName name="_C__CP_HIDDEN_ITEMS_VISIBLE">FALSE</definedName>
    <definedName name="_C__CP_HIDDEN_ITEMS1">"c_I_RESTRUCT_EXP,c_I_REVAL_NONREC,c_I_INC_DISC,c_I_IMPAIRMENT,c_I_OTHER_TAX,c_I_EQ_ACC_TAX,c_B_CA_CON_CR_FA,c_B_CA_OTH_REC,c_B_CA_BAD_DEBT_PROV,c_B_CA_TRADE_REC,c_B_CAP_EXP,c_B_NCA_INV,c_B_NCA_OTHINV,c_B_SECURITIES,c_B_NCA_ASSOC,c_B_NCA_CWIP,c_B_BRAN"</definedName>
    <definedName name="_C__CP_HIDDEN_ITEMS2">"D,c_B_CL_CON_CR_REFIN,c_B_CL_OTH_PROV,c_B_CL_RESTR_PROV,c_B_CL_EMP_PROV,c_B_CL_TAX_PROV,c_B_CL_DIV_PROV,c_B_CL_CUSTADV,c_B_NCL_OTH_PROV,c_B_NCL_RESTR_PROV,c_B_NCL_EMP_PROV,c_B_NCL_TAX_PROV,c_B_NCL_LEASES,c_B_NCL_CONV_DEBT,c_EQ_LIFE_FUND,c_EQ_RESERV_O"</definedName>
    <definedName name="_C__CP_HIDDEN_ITEMS3">"THER,c_EQ_RESERV_ASSREV,c_EQ_SHARE_RESERV,c_C_PAYMENTS,c_C_RECEIPTS,c_C_EXPLORATION,c_C_PURCHASE_PPE,c_C_MAINT_CAPEX,c_C_EXP_CAPEX,c_CP_PARTLY_PAID,c_CP_CONVERTIBLE,c_CP_OPTIONS,c_CP_PREF_EQUITY,c_CP_PREF_DEBT,c_CP_LIMITED_VOTE,c_CT_PARTLY_PAID,c_CT_"</definedName>
    <definedName name="_C__CP_HIDDEN_ITEMS4">"CONVERTIBLE,c_CT_OPTIONS,c_CT_PREF_EQUITY,c_CT_PREF_DEBT,c_CT_LIMITED_VOTE"</definedName>
    <definedName name="_C_BALANCE_DATE_PD">"_C_BALANCE_DATE_PS_12347_2006_2019"</definedName>
    <definedName name="_C_BALANCE_DATE_PS_12347_2006_2019" localSheetId="5">#REF!</definedName>
    <definedName name="_C_BALANCE_DATE_PS_12347_2006_2019">#REF!</definedName>
    <definedName name="_C_BS_SCALE" localSheetId="9">#REF!</definedName>
    <definedName name="_C_BS_SCALE" localSheetId="5">#REF!</definedName>
    <definedName name="_C_BS_SCALE">#REF!</definedName>
    <definedName name="_C_c_B_BRAND_PD">"_C_c_B_BRAND_PS_12347_2006_2019"</definedName>
    <definedName name="_C_c_B_BRAND_PS_12347_2006_2019" localSheetId="5">#REF!</definedName>
    <definedName name="_C_c_B_BRAND_PS_12347_2006_2019">#REF!</definedName>
    <definedName name="_C_c_B_BV_GW_PD">"_C_c_B_BV_GW_PS_12347_2006_2019"</definedName>
    <definedName name="_C_c_B_BV_GW_PS_12347_2006_2019" localSheetId="5">#REF!</definedName>
    <definedName name="_C_c_B_BV_GW_PS_12347_2006_2019">#REF!</definedName>
    <definedName name="_C_c_B_CA_BAD_DEBT_PROV_PD">"_C_c_B_CA_BAD_DEBT_PROV_PS_12347_2006_2019"</definedName>
    <definedName name="_C_c_B_CA_BAD_DEBT_PROV_PS_12347_2006_2019" localSheetId="5">#REF!</definedName>
    <definedName name="_C_c_B_CA_BAD_DEBT_PROV_PS_12347_2006_2019">#REF!</definedName>
    <definedName name="_C_c_B_CA_CON_CR_FA_PD">"_C_c_B_CA_CON_CR_FA_PS_12347_2006_2019"</definedName>
    <definedName name="_C_c_B_CA_CON_CR_FA_PS_12347_2006_2019" localSheetId="5">#REF!</definedName>
    <definedName name="_C_c_B_CA_CON_CR_FA_PS_12347_2006_2019">#REF!</definedName>
    <definedName name="_C_c_B_CA_DEFCOST_PD">"_C_c_B_CA_DEFCOST_PS_12347_2006_2019"</definedName>
    <definedName name="_C_c_B_CA_DEFCOST_PS_12347_2006_2019" localSheetId="5">#REF!</definedName>
    <definedName name="_C_c_B_CA_DEFCOST_PS_12347_2006_2019">#REF!</definedName>
    <definedName name="_C_c_B_CA_INV_PD">"_C_c_B_CA_INV_PS_12347_2006_2019"</definedName>
    <definedName name="_C_c_B_CA_INV_PS_12347_2006_2019" localSheetId="5">#REF!</definedName>
    <definedName name="_C_c_B_CA_INV_PS_12347_2006_2019">#REF!</definedName>
    <definedName name="_C_c_B_CA_INVEST_PD">"_C_c_B_CA_INVEST_PS_12347_2006_2019"</definedName>
    <definedName name="_C_c_B_CA_INVEST_PS_12347_2006_2019" localSheetId="5">#REF!</definedName>
    <definedName name="_C_c_B_CA_INVEST_PS_12347_2006_2019">#REF!</definedName>
    <definedName name="_C_c_B_CA_OTH_REC_PD">"_C_c_B_CA_OTH_REC_PS_12347_2006_2019"</definedName>
    <definedName name="_C_c_B_CA_OTH_REC_PS_12347_2006_2019" localSheetId="5">#REF!</definedName>
    <definedName name="_C_c_B_CA_OTH_REC_PS_12347_2006_2019">#REF!</definedName>
    <definedName name="_C_c_B_CA_OTHER_PD">"_C_c_B_CA_OTHER_PS_12347_2006_2019"</definedName>
    <definedName name="_C_c_B_CA_OTHER_PS_12347_2006_2019" localSheetId="5">#REF!</definedName>
    <definedName name="_C_c_B_CA_OTHER_PS_12347_2006_2019">#REF!</definedName>
    <definedName name="_C_c_B_CA_PREPAY_PD">"_C_c_B_CA_PREPAY_PS_12347_2006_2019"</definedName>
    <definedName name="_C_c_B_CA_PREPAY_PS_12347_2006_2019" localSheetId="5">#REF!</definedName>
    <definedName name="_C_c_B_CA_PREPAY_PS_12347_2006_2019">#REF!</definedName>
    <definedName name="_C_c_B_CA_REC_PD">"_C_c_B_CA_REC_PS_12347_2006_2019"</definedName>
    <definedName name="_C_c_B_CA_REC_PS_12347_2006_2019" localSheetId="5">#REF!</definedName>
    <definedName name="_C_c_B_CA_REC_PS_12347_2006_2019">#REF!</definedName>
    <definedName name="_C_c_B_CA_TRADE_REC_PD">"_C_c_B_CA_TRADE_REC_PS_12347_2006_2019"</definedName>
    <definedName name="_C_c_B_CA_TRADE_REC_PS_12347_2006_2019" localSheetId="5">#REF!</definedName>
    <definedName name="_C_c_B_CA_TRADE_REC_PS_12347_2006_2019">#REF!</definedName>
    <definedName name="_C_c_B_CAP_EXP_PD">"_C_c_B_CAP_EXP_PS_12347_2006_2019"</definedName>
    <definedName name="_C_c_B_CAP_EXP_PS_12347_2006_2019" localSheetId="5">#REF!</definedName>
    <definedName name="_C_c_B_CAP_EXP_PS_12347_2006_2019">#REF!</definedName>
    <definedName name="_C_c_B_CASH_PD">"_C_c_B_CASH_PS_12347_2006_2019"</definedName>
    <definedName name="_C_c_B_CASH_PS_12347_2006_2019" localSheetId="5">#REF!</definedName>
    <definedName name="_C_c_B_CASH_PS_12347_2006_2019">#REF!</definedName>
    <definedName name="_C_c_B_CL_ACCREXP_PD">"_C_c_B_CL_ACCREXP_PS_12347_2006_2019"</definedName>
    <definedName name="_C_c_B_CL_ACCREXP_PS_12347_2006_2019" localSheetId="5">#REF!</definedName>
    <definedName name="_C_c_B_CL_ACCREXP_PS_12347_2006_2019">#REF!</definedName>
    <definedName name="_C_c_B_CL_CON_CR_REFIN_PD">"_C_c_B_CL_CON_CR_REFIN_PS_12347_2006_2019"</definedName>
    <definedName name="_C_c_B_CL_CON_CR_REFIN_PS_12347_2006_2019" localSheetId="5">#REF!</definedName>
    <definedName name="_C_c_B_CL_CON_CR_REFIN_PS_12347_2006_2019">#REF!</definedName>
    <definedName name="_C_c_B_CL_CUSTADV_PD">"_C_c_B_CL_CUSTADV_PS_12347_2006_2019"</definedName>
    <definedName name="_C_c_B_CL_CUSTADV_PS_12347_2006_2019" localSheetId="5">#REF!</definedName>
    <definedName name="_C_c_B_CL_CUSTADV_PS_12347_2006_2019">#REF!</definedName>
    <definedName name="_C_c_B_CL_DEF_REV_PD">"_C_c_B_CL_DEF_REV_PS_12347_2006_2019"</definedName>
    <definedName name="_C_c_B_CL_DEF_REV_PS_12347_2006_2019" localSheetId="5">#REF!</definedName>
    <definedName name="_C_c_B_CL_DEF_REV_PS_12347_2006_2019">#REF!</definedName>
    <definedName name="_C_c_B_CL_DIV_PROV_PD">"_C_c_B_CL_DIV_PROV_PS_12347_2006_2019"</definedName>
    <definedName name="_C_c_B_CL_DIV_PROV_PS_12347_2006_2019" localSheetId="5">#REF!</definedName>
    <definedName name="_C_c_B_CL_DIV_PROV_PS_12347_2006_2019">#REF!</definedName>
    <definedName name="_C_c_B_CL_EMP_PROV_PD">"_C_c_B_CL_EMP_PROV_PS_12347_2006_2019"</definedName>
    <definedName name="_C_c_B_CL_EMP_PROV_PS_12347_2006_2019" localSheetId="5">#REF!</definedName>
    <definedName name="_C_c_B_CL_EMP_PROV_PS_12347_2006_2019">#REF!</definedName>
    <definedName name="_C_c_B_CL_OTH_PROV_PD">"_C_c_B_CL_OTH_PROV_PS_12347_2006_2019"</definedName>
    <definedName name="_C_c_B_CL_OTH_PROV_PS_12347_2006_2019" localSheetId="5">#REF!</definedName>
    <definedName name="_C_c_B_CL_OTH_PROV_PS_12347_2006_2019">#REF!</definedName>
    <definedName name="_C_c_B_CL_PROV_PD">"_C_c_B_CL_PROV_PS_12347_2006_2019"</definedName>
    <definedName name="_C_c_B_CL_PROV_PS_12347_2006_2019" localSheetId="5">#REF!</definedName>
    <definedName name="_C_c_B_CL_PROV_PS_12347_2006_2019">#REF!</definedName>
    <definedName name="_C_c_B_CL_RESTR_PROV_PD">"_C_c_B_CL_RESTR_PROV_PS_12347_2006_2019"</definedName>
    <definedName name="_C_c_B_CL_RESTR_PROV_PS_12347_2006_2019" localSheetId="5">#REF!</definedName>
    <definedName name="_C_c_B_CL_RESTR_PROV_PS_12347_2006_2019">#REF!</definedName>
    <definedName name="_C_c_B_CL_TAX_PROV_PD">"_C_c_B_CL_TAX_PROV_PS_12347_2006_2019"</definedName>
    <definedName name="_C_c_B_CL_TAX_PROV_PS_12347_2006_2019" localSheetId="5">#REF!</definedName>
    <definedName name="_C_c_B_CL_TAX_PROV_PS_12347_2006_2019">#REF!</definedName>
    <definedName name="_C_c_B_CURR_ASS_PD">"_C_c_B_CURR_ASS_PS_12347_2006_2019"</definedName>
    <definedName name="_C_c_B_CURR_ASS_PS_12347_2006_2019" localSheetId="5">#REF!</definedName>
    <definedName name="_C_c_B_CURR_ASS_PS_12347_2006_2019">#REF!</definedName>
    <definedName name="_C_c_B_CURR_BORROW_PD">"_C_c_B_CURR_BORROW_PS_12347_2006_2019"</definedName>
    <definedName name="_C_c_B_CURR_BORROW_PS_12347_2006_2019" localSheetId="5">#REF!</definedName>
    <definedName name="_C_c_B_CURR_BORROW_PS_12347_2006_2019">#REF!</definedName>
    <definedName name="_C_c_B_CURR_CRED_PD">"_C_c_B_CURR_CRED_PS_12347_2006_2019"</definedName>
    <definedName name="_C_c_B_CURR_CRED_PS_12347_2006_2019" localSheetId="5">#REF!</definedName>
    <definedName name="_C_c_B_CURR_CRED_PS_12347_2006_2019">#REF!</definedName>
    <definedName name="_C_c_B_CURR_DEBT_PD">"_C_c_B_CURR_DEBT_PS_12347_2006_2019"</definedName>
    <definedName name="_C_c_B_CURR_DEBT_PS_12347_2006_2019" localSheetId="5">#REF!</definedName>
    <definedName name="_C_c_B_CURR_DEBT_PS_12347_2006_2019">#REF!</definedName>
    <definedName name="_C_c_B_CURR_LIAB_PD">"_C_c_B_CURR_LIAB_PS_12347_2006_2019"</definedName>
    <definedName name="_C_c_B_CURR_LIAB_PS_12347_2006_2019" localSheetId="5">#REF!</definedName>
    <definedName name="_C_c_B_CURR_LIAB_PS_12347_2006_2019">#REF!</definedName>
    <definedName name="_C_c_B_EV_ADJASSOC_PD">"_C_c_B_EV_ADJASSOC_PS_12347_2006_2019"</definedName>
    <definedName name="_C_c_B_EV_ADJASSOC_PS_12347_2006_2019" localSheetId="5">#REF!</definedName>
    <definedName name="_C_c_B_EV_ADJASSOC_PS_12347_2006_2019">#REF!</definedName>
    <definedName name="_C_c_B_EV_ADJINV_PD">"_C_c_B_EV_ADJINV_PS_12347_2006_2019"</definedName>
    <definedName name="_C_c_B_EV_ADJINV_PS_12347_2006_2019" localSheetId="5">#REF!</definedName>
    <definedName name="_C_c_B_EV_ADJINV_PS_12347_2006_2019">#REF!</definedName>
    <definedName name="_C_c_B_EV_ADJLEAS_PD">"_C_c_B_EV_ADJLEAS_PS_12347_2006_2019"</definedName>
    <definedName name="_C_c_B_EV_ADJLEAS_PS_12347_2006_2019" localSheetId="5">#REF!</definedName>
    <definedName name="_C_c_B_EV_ADJLEAS_PS_12347_2006_2019">#REF!</definedName>
    <definedName name="_C_c_B_EV_ADJMINOR_PD">"_C_c_B_EV_ADJMINOR_PS_12347_2006_2019"</definedName>
    <definedName name="_C_c_B_EV_ADJMINOR_PS_12347_2006_2019" localSheetId="5">#REF!</definedName>
    <definedName name="_C_c_B_EV_ADJMINOR_PS_12347_2006_2019">#REF!</definedName>
    <definedName name="_C_c_B_EV_ADJNONC_PD">"_C_c_B_EV_ADJNONC_PS_12347_2006_2019"</definedName>
    <definedName name="_C_c_B_EV_ADJNONC_PS_12347_2006_2019" localSheetId="5">#REF!</definedName>
    <definedName name="_C_c_B_EV_ADJNONC_PS_12347_2006_2019">#REF!</definedName>
    <definedName name="_C_c_B_EV_ADJOBLIG_PD">"_C_c_B_EV_ADJOBLIG_PS_12347_2006_2019"</definedName>
    <definedName name="_C_c_B_EV_ADJOBLIG_PS_12347_2006_2019" localSheetId="5">#REF!</definedName>
    <definedName name="_C_c_B_EV_ADJOBLIG_PS_12347_2006_2019">#REF!</definedName>
    <definedName name="_C_c_B_EV_ADJPENS_PD">"_C_c_B_EV_ADJPENS_PS_12347_2006_2019"</definedName>
    <definedName name="_C_c_B_EV_ADJPENS_PS_12347_2006_2019" localSheetId="5">#REF!</definedName>
    <definedName name="_C_c_B_EV_ADJPENS_PS_12347_2006_2019">#REF!</definedName>
    <definedName name="_C_c_B_EV_ADJUST_PD">"_C_c_B_EV_ADJUST_PS_12347_2006_2019"</definedName>
    <definedName name="_C_c_B_EV_ADJUST_PS_12347_2006_2019" localSheetId="5">#REF!</definedName>
    <definedName name="_C_c_B_EV_ADJUST_PS_12347_2006_2019">#REF!</definedName>
    <definedName name="_C_c_B_FUT_TAX_PD">"_C_c_B_FUT_TAX_PS_12347_2006_2019"</definedName>
    <definedName name="_C_c_B_FUT_TAX_PS_12347_2006_2019" localSheetId="5">#REF!</definedName>
    <definedName name="_C_c_B_FUT_TAX_PS_12347_2006_2019">#REF!</definedName>
    <definedName name="_C_c_B_GW_AMORT_PD">"_C_c_B_GW_AMORT_PS_12347_2006_2019"</definedName>
    <definedName name="_C_c_B_GW_AMORT_PS_12347_2006_2019" localSheetId="5">#REF!</definedName>
    <definedName name="_C_c_B_GW_AMORT_PS_12347_2006_2019">#REF!</definedName>
    <definedName name="_C_c_B_GW_PD">"_C_c_B_GW_PS_12347_2006_2019"</definedName>
    <definedName name="_C_c_B_GW_PS_12347_2006_2019" localSheetId="5">#REF!</definedName>
    <definedName name="_C_c_B_GW_PS_12347_2006_2019">#REF!</definedName>
    <definedName name="_C_c_B_INTANG_PD">"_C_c_B_INTANG_PS_12347_2006_2019"</definedName>
    <definedName name="_C_c_B_INTANG_PS_12347_2006_2019" localSheetId="5">#REF!</definedName>
    <definedName name="_C_c_B_INTANG_PS_12347_2006_2019">#REF!</definedName>
    <definedName name="_C_c_B_NCA_ASSOC_PD">"_C_c_B_NCA_ASSOC_PS_12347_2006_2019"</definedName>
    <definedName name="_C_c_B_NCA_ASSOC_PS_12347_2006_2019" localSheetId="5">#REF!</definedName>
    <definedName name="_C_c_B_NCA_ASSOC_PS_12347_2006_2019">#REF!</definedName>
    <definedName name="_C_c_B_NCA_CWIP_PD">"_C_c_B_NCA_CWIP_PS_12347_2006_2019"</definedName>
    <definedName name="_C_c_B_NCA_CWIP_PS_12347_2006_2019" localSheetId="5">#REF!</definedName>
    <definedName name="_C_c_B_NCA_CWIP_PS_12347_2006_2019">#REF!</definedName>
    <definedName name="_C_c_B_NCA_INV_PD">"_C_c_B_NCA_INV_PS_12347_2006_2019"</definedName>
    <definedName name="_C_c_B_NCA_INV_PS_12347_2006_2019" localSheetId="5">#REF!</definedName>
    <definedName name="_C_c_B_NCA_INV_PS_12347_2006_2019">#REF!</definedName>
    <definedName name="_C_c_B_NCA_INVEST_PD">"_C_c_B_NCA_INVEST_PS_12347_2006_2019"</definedName>
    <definedName name="_C_c_B_NCA_INVEST_PS_12347_2006_2019" localSheetId="5">#REF!</definedName>
    <definedName name="_C_c_B_NCA_INVEST_PS_12347_2006_2019">#REF!</definedName>
    <definedName name="_C_c_B_NCA_OTHINV_PD">"_C_c_B_NCA_OTHINV_PS_12347_2006_2019"</definedName>
    <definedName name="_C_c_B_NCA_OTHINV_PS_12347_2006_2019" localSheetId="5">#REF!</definedName>
    <definedName name="_C_c_B_NCA_OTHINV_PS_12347_2006_2019">#REF!</definedName>
    <definedName name="_C_c_B_NCA_REC_PD">"_C_c_B_NCA_REC_PS_12347_2006_2019"</definedName>
    <definedName name="_C_c_B_NCA_REC_PS_12347_2006_2019" localSheetId="5">#REF!</definedName>
    <definedName name="_C_c_B_NCA_REC_PS_12347_2006_2019">#REF!</definedName>
    <definedName name="_C_c_B_NCL_BONDS_PD">"_C_c_B_NCL_BONDS_PS_12347_2006_2019"</definedName>
    <definedName name="_C_c_B_NCL_BONDS_PS_12347_2006_2019" localSheetId="5">#REF!</definedName>
    <definedName name="_C_c_B_NCL_BONDS_PS_12347_2006_2019">#REF!</definedName>
    <definedName name="_C_c_B_NCL_BORROW_PD">"_C_c_B_NCL_BORROW_PS_12347_2006_2019"</definedName>
    <definedName name="_C_c_B_NCL_BORROW_PS_12347_2006_2019" localSheetId="5">#REF!</definedName>
    <definedName name="_C_c_B_NCL_BORROW_PS_12347_2006_2019">#REF!</definedName>
    <definedName name="_C_c_B_NCL_CONV_DEBT_PD">"_C_c_B_NCL_CONV_DEBT_PS_12347_2006_2019"</definedName>
    <definedName name="_C_c_B_NCL_CONV_DEBT_PS_12347_2006_2019" localSheetId="5">#REF!</definedName>
    <definedName name="_C_c_B_NCL_CONV_DEBT_PS_12347_2006_2019">#REF!</definedName>
    <definedName name="_C_c_B_NCL_CRED_PD">"_C_c_B_NCL_CRED_PS_12347_2006_2019"</definedName>
    <definedName name="_C_c_B_NCL_CRED_PS_12347_2006_2019" localSheetId="5">#REF!</definedName>
    <definedName name="_C_c_B_NCL_CRED_PS_12347_2006_2019">#REF!</definedName>
    <definedName name="_C_c_B_NCL_EMP_PROV_PD">"_C_c_B_NCL_EMP_PROV_PS_12347_2006_2019"</definedName>
    <definedName name="_C_c_B_NCL_EMP_PROV_PS_12347_2006_2019" localSheetId="5">#REF!</definedName>
    <definedName name="_C_c_B_NCL_EMP_PROV_PS_12347_2006_2019">#REF!</definedName>
    <definedName name="_C_c_B_NCL_LEASES_PD">"_C_c_B_NCL_LEASES_PS_12347_2006_2019"</definedName>
    <definedName name="_C_c_B_NCL_LEASES_PS_12347_2006_2019" localSheetId="5">#REF!</definedName>
    <definedName name="_C_c_B_NCL_LEASES_PS_12347_2006_2019">#REF!</definedName>
    <definedName name="_C_c_B_NCL_OTH_PROV_PD">"_C_c_B_NCL_OTH_PROV_PS_12347_2006_2019"</definedName>
    <definedName name="_C_c_B_NCL_OTH_PROV_PS_12347_2006_2019" localSheetId="5">#REF!</definedName>
    <definedName name="_C_c_B_NCL_OTH_PROV_PS_12347_2006_2019">#REF!</definedName>
    <definedName name="_C_c_B_NCL_PROV_PD">"_C_c_B_NCL_PROV_PS_12347_2006_2019"</definedName>
    <definedName name="_C_c_B_NCL_PROV_PS_12347_2006_2019" localSheetId="5">#REF!</definedName>
    <definedName name="_C_c_B_NCL_PROV_PS_12347_2006_2019">#REF!</definedName>
    <definedName name="_C_c_B_NCL_RESTR_PROV_PD">"_C_c_B_NCL_RESTR_PROV_PS_12347_2006_2019"</definedName>
    <definedName name="_C_c_B_NCL_RESTR_PROV_PS_12347_2006_2019" localSheetId="5">#REF!</definedName>
    <definedName name="_C_c_B_NCL_RESTR_PROV_PS_12347_2006_2019">#REF!</definedName>
    <definedName name="_C_c_B_NCL_TAX_PROV_PD">"_C_c_B_NCL_TAX_PROV_PS_12347_2006_2019"</definedName>
    <definedName name="_C_c_B_NCL_TAX_PROV_PS_12347_2006_2019" localSheetId="5">#REF!</definedName>
    <definedName name="_C_c_B_NCL_TAX_PROV_PS_12347_2006_2019">#REF!</definedName>
    <definedName name="_C_c_B_NON_CURR_ASS_PD">"_C_c_B_NON_CURR_ASS_PS_12347_2006_2019"</definedName>
    <definedName name="_C_c_B_NON_CURR_ASS_PS_12347_2006_2019" localSheetId="5">#REF!</definedName>
    <definedName name="_C_c_B_NON_CURR_ASS_PS_12347_2006_2019">#REF!</definedName>
    <definedName name="_C_c_B_NON_CURR_LIAB_PD">"_C_c_B_NON_CURR_LIAB_PS_12347_2006_2019"</definedName>
    <definedName name="_C_c_B_NON_CURR_LIAB_PS_12347_2006_2019" localSheetId="5">#REF!</definedName>
    <definedName name="_C_c_B_NON_CURR_LIAB_PS_12347_2006_2019">#REF!</definedName>
    <definedName name="_C_c_B_OTH_INT_PD">"_C_c_B_OTH_INT_PS_12347_2006_2019"</definedName>
    <definedName name="_C_c_B_OTH_INT_PS_12347_2006_2019" localSheetId="5">#REF!</definedName>
    <definedName name="_C_c_B_OTH_INT_PS_12347_2006_2019">#REF!</definedName>
    <definedName name="_C_c_B_OTH_NCA_PD">"_C_c_B_OTH_NCA_PS_12347_2006_2019"</definedName>
    <definedName name="_C_c_B_OTH_NCA_PS_12347_2006_2019" localSheetId="5">#REF!</definedName>
    <definedName name="_C_c_B_OTH_NCA_PS_12347_2006_2019">#REF!</definedName>
    <definedName name="_C_c_B_OTHER_CL_PD">"_C_c_B_OTHER_CL_PS_12347_2006_2019"</definedName>
    <definedName name="_C_c_B_OTHER_CL_PS_12347_2006_2019" localSheetId="5">#REF!</definedName>
    <definedName name="_C_c_B_OTHER_CL_PS_12347_2006_2019">#REF!</definedName>
    <definedName name="_C_c_B_OTHER_NCL_PD">"_C_c_B_OTHER_NCL_PS_12347_2006_2019"</definedName>
    <definedName name="_C_c_B_OTHER_NCL_PS_12347_2006_2019" localSheetId="5">#REF!</definedName>
    <definedName name="_C_c_B_OTHER_NCL_PS_12347_2006_2019">#REF!</definedName>
    <definedName name="_C_c_B_PPE_ACC_DEPR_PD">"_C_c_B_PPE_ACC_DEPR_PS_12347_2006_2019"</definedName>
    <definedName name="_C_c_B_PPE_ACC_DEPR_PS_12347_2006_2019" localSheetId="5">#REF!</definedName>
    <definedName name="_C_c_B_PPE_ACC_DEPR_PS_12347_2006_2019">#REF!</definedName>
    <definedName name="_C_c_B_PPE_BOOK_VAL_PD">"_C_c_B_PPE_BOOK_VAL_PS_12347_2006_2019"</definedName>
    <definedName name="_C_c_B_PPE_BOOK_VAL_PS_12347_2006_2019" localSheetId="5">#REF!</definedName>
    <definedName name="_C_c_B_PPE_BOOK_VAL_PS_12347_2006_2019">#REF!</definedName>
    <definedName name="_C_c_B_PPE_PD">"_C_c_B_PPE_PS_12347_2006_2019"</definedName>
    <definedName name="_C_c_B_PPE_PS_12347_2006_2019" localSheetId="5">#REF!</definedName>
    <definedName name="_C_c_B_PPE_PS_12347_2006_2019">#REF!</definedName>
    <definedName name="_C_c_B_SECURITIES_PD">"_C_c_B_SECURITIES_PS_12347_2006_2019"</definedName>
    <definedName name="_C_c_B_SECURITIES_PS_12347_2006_2019" localSheetId="5">#REF!</definedName>
    <definedName name="_C_c_B_SECURITIES_PS_12347_2006_2019">#REF!</definedName>
    <definedName name="_C_c_B_TOT_ASS_PD">"_C_c_B_TOT_ASS_PS_12347_2006_2019"</definedName>
    <definedName name="_C_c_B_TOT_ASS_PS_12347_2006_2019" localSheetId="5">#REF!</definedName>
    <definedName name="_C_c_B_TOT_ASS_PS_12347_2006_2019">#REF!</definedName>
    <definedName name="_C_c_B_TOT_LIAB_PD">"_C_c_B_TOT_LIAB_PS_12347_2006_2019"</definedName>
    <definedName name="_C_c_B_TOT_LIAB_PS_12347_2006_2019" localSheetId="5">#REF!</definedName>
    <definedName name="_C_c_B_TOT_LIAB_PS_12347_2006_2019">#REF!</definedName>
    <definedName name="_C_c_BETA" localSheetId="9">#REF!</definedName>
    <definedName name="_C_c_BETA" localSheetId="5">#REF!</definedName>
    <definedName name="_C_c_BETA">#REF!</definedName>
    <definedName name="_C_c_BORROW_PD">"_C_c_BORROW_PS_12347_2006_2019"</definedName>
    <definedName name="_C_c_BORROW_PS_12347_2006_2019" localSheetId="5">#REF!</definedName>
    <definedName name="_C_c_BORROW_PS_12347_2006_2019">#REF!</definedName>
    <definedName name="_C_c_BPS_PD">"_C_c_BPS_PS_12347_2006_2019"</definedName>
    <definedName name="_C_c_BPS_PS_12347_2006_2019" localSheetId="5">#REF!</definedName>
    <definedName name="_C_c_BPS_PS_12347_2006_2019">#REF!</definedName>
    <definedName name="_C_c_C_ACQUISITIONS_PD">"_C_c_C_ACQUISITIONS_PS_12347_2006_2019"</definedName>
    <definedName name="_C_c_C_ACQUISITIONS_PS_12347_2006_2019" localSheetId="5">#REF!</definedName>
    <definedName name="_C_c_C_ACQUISITIONS_PS_12347_2006_2019">#REF!</definedName>
    <definedName name="_C_c_C_CAP_RAISING_PD">"_C_c_C_CAP_RAISING_PS_12347_2006_2019"</definedName>
    <definedName name="_C_c_C_CAP_RAISING_PS_12347_2006_2019" localSheetId="5">#REF!</definedName>
    <definedName name="_C_c_C_CAP_RAISING_PS_12347_2006_2019">#REF!</definedName>
    <definedName name="_C_c_C_CAPEX_PD">"_C_c_C_CAPEX_PS_12347_2006_2019"</definedName>
    <definedName name="_C_c_C_CAPEX_PS_12347_2006_2019" localSheetId="5">#REF!</definedName>
    <definedName name="_C_c_C_CAPEX_PS_12347_2006_2019">#REF!</definedName>
    <definedName name="_C_c_C_CHG_WC_PD">"_C_c_C_CHG_WC_PS_12347_2006_2019"</definedName>
    <definedName name="_C_c_C_CHG_WC_PS_12347_2006_2019" localSheetId="5">#REF!</definedName>
    <definedName name="_C_c_C_CHG_WC_PS_12347_2006_2019">#REF!</definedName>
    <definedName name="_C_c_C_DISPOSALES_PD">"_C_c_C_DISPOSALES_PS_12347_2006_2019"</definedName>
    <definedName name="_C_c_C_DISPOSALES_PS_12347_2006_2019" localSheetId="5">#REF!</definedName>
    <definedName name="_C_c_C_DISPOSALES_PS_12347_2006_2019">#REF!</definedName>
    <definedName name="_C_c_C_DIV_PAID_PD">"_C_c_C_DIV_PAID_PS_12347_2006_2019"</definedName>
    <definedName name="_C_c_C_DIV_PAID_PS_12347_2006_2019" localSheetId="5">#REF!</definedName>
    <definedName name="_C_c_C_DIV_PAID_PS_12347_2006_2019">#REF!</definedName>
    <definedName name="_C_c_C_DIV_REC_PD">"_C_c_C_DIV_REC_PS_12347_2006_2019"</definedName>
    <definedName name="_C_c_C_DIV_REC_PS_12347_2006_2019" localSheetId="5">#REF!</definedName>
    <definedName name="_C_c_C_DIV_REC_PS_12347_2006_2019">#REF!</definedName>
    <definedName name="_C_c_C_EBIT_PD">"_C_c_C_EBIT_PS_12347_2006_2019"</definedName>
    <definedName name="_C_c_C_EBIT_PS_12347_2006_2019" localSheetId="5">#REF!</definedName>
    <definedName name="_C_c_C_EBIT_PS_12347_2006_2019">#REF!</definedName>
    <definedName name="_C_c_C_EXP_CAPEX_PD">"_C_c_C_EXP_CAPEX_PS_12347_2006_2019"</definedName>
    <definedName name="_C_c_C_EXP_CAPEX_PS_12347_2006_2019" localSheetId="5">#REF!</definedName>
    <definedName name="_C_c_C_EXP_CAPEX_PS_12347_2006_2019">#REF!</definedName>
    <definedName name="_C_c_C_EXPLORATION_PD">"_C_c_C_EXPLORATION_PS_12347_2006_2019"</definedName>
    <definedName name="_C_c_C_EXPLORATION_PS_12347_2006_2019" localSheetId="5">#REF!</definedName>
    <definedName name="_C_c_C_EXPLORATION_PS_12347_2006_2019">#REF!</definedName>
    <definedName name="_C_c_C_FINANCING_PD">"_C_c_C_FINANCING_PS_12347_2006_2019"</definedName>
    <definedName name="_C_c_C_FINANCING_PS_12347_2006_2019" localSheetId="5">#REF!</definedName>
    <definedName name="_C_c_C_FINANCING_PS_12347_2006_2019">#REF!</definedName>
    <definedName name="_C_c_C_FOREX_PD">"_C_c_C_FOREX_PS_12347_2006_2019"</definedName>
    <definedName name="_C_c_C_FOREX_PS_12347_2006_2019" localSheetId="5">#REF!</definedName>
    <definedName name="_C_c_C_FOREX_PS_12347_2006_2019">#REF!</definedName>
    <definedName name="_C_c_C_GROSS_PROFIT_PD">"_C_c_C_GROSS_PROFIT_PS_12347_2006_2019"</definedName>
    <definedName name="_C_c_C_GROSS_PROFIT_PS_12347_2006_2019" localSheetId="5">#REF!</definedName>
    <definedName name="_C_c_C_GROSS_PROFIT_PS_12347_2006_2019">#REF!</definedName>
    <definedName name="_C_c_C_INT_PAID_PD">"_C_c_C_INT_PAID_PS_12347_2006_2019"</definedName>
    <definedName name="_C_c_C_INT_PAID_PS_12347_2006_2019" localSheetId="5">#REF!</definedName>
    <definedName name="_C_c_C_INT_PAID_PS_12347_2006_2019">#REF!</definedName>
    <definedName name="_C_c_C_INT_REC_PD">"_C_c_C_INT_REC_PS_12347_2006_2019"</definedName>
    <definedName name="_C_c_C_INT_REC_PS_12347_2006_2019" localSheetId="5">#REF!</definedName>
    <definedName name="_C_c_C_INT_REC_PS_12347_2006_2019">#REF!</definedName>
    <definedName name="_C_c_C_INTEREST_PD">"_C_c_C_INTEREST_PS_12347_2006_2019"</definedName>
    <definedName name="_C_c_C_INTEREST_PS_12347_2006_2019" localSheetId="5">#REF!</definedName>
    <definedName name="_C_c_C_INTEREST_PS_12347_2006_2019">#REF!</definedName>
    <definedName name="_C_c_C_INVESTING_PD">"_C_c_C_INVESTING_PS_12347_2006_2019"</definedName>
    <definedName name="_C_c_C_INVESTING_PS_12347_2006_2019" localSheetId="5">#REF!</definedName>
    <definedName name="_C_c_C_INVESTING_PS_12347_2006_2019">#REF!</definedName>
    <definedName name="_C_c_C_MAINT_CAPEX_PD">"_C_c_C_MAINT_CAPEX_PS_12347_2006_2019"</definedName>
    <definedName name="_C_c_C_MAINT_CAPEX_PS_12347_2006_2019" localSheetId="5">#REF!</definedName>
    <definedName name="_C_c_C_MAINT_CAPEX_PS_12347_2006_2019">#REF!</definedName>
    <definedName name="_C_c_C_NET_BORROW_PD">"_C_c_C_NET_BORROW_PS_12347_2006_2019"</definedName>
    <definedName name="_C_c_C_NET_BORROW_PS_12347_2006_2019" localSheetId="5">#REF!</definedName>
    <definedName name="_C_c_C_NET_BORROW_PS_12347_2006_2019">#REF!</definedName>
    <definedName name="_C_c_C_NON_CASH_PD">"_C_c_C_NON_CASH_PS_12347_2006_2019"</definedName>
    <definedName name="_C_c_C_NON_CASH_PS_12347_2006_2019" localSheetId="5">#REF!</definedName>
    <definedName name="_C_c_C_NON_CASH_PS_12347_2006_2019">#REF!</definedName>
    <definedName name="_C_c_C_OPERATING_PD">"_C_c_C_OPERATING_PS_12347_2006_2019"</definedName>
    <definedName name="_C_c_C_OPERATING_PS_12347_2006_2019" localSheetId="5">#REF!</definedName>
    <definedName name="_C_c_C_OPERATING_PS_12347_2006_2019">#REF!</definedName>
    <definedName name="_C_c_C_OTHER_FC_PD">"_C_c_C_OTHER_FC_PS_12347_2006_2019"</definedName>
    <definedName name="_C_c_C_OTHER_FC_PS_12347_2006_2019" localSheetId="5">#REF!</definedName>
    <definedName name="_C_c_C_OTHER_FC_PS_12347_2006_2019">#REF!</definedName>
    <definedName name="_C_c_C_OTHER_IC_PD">"_C_c_C_OTHER_IC_PS_12347_2006_2019"</definedName>
    <definedName name="_C_c_C_OTHER_IC_PS_12347_2006_2019" localSheetId="5">#REF!</definedName>
    <definedName name="_C_c_C_OTHER_IC_PS_12347_2006_2019">#REF!</definedName>
    <definedName name="_C_c_C_OTHER_OC_PD">"_C_c_C_OTHER_OC_PS_12347_2006_2019"</definedName>
    <definedName name="_C_c_C_OTHER_OC_PS_12347_2006_2019" localSheetId="5">#REF!</definedName>
    <definedName name="_C_c_C_OTHER_OC_PS_12347_2006_2019">#REF!</definedName>
    <definedName name="_C_c_C_PAYMENTS_PD">"_C_c_C_PAYMENTS_PS_12347_2006_2019"</definedName>
    <definedName name="_C_c_C_PAYMENTS_PS_12347_2006_2019" localSheetId="5">#REF!</definedName>
    <definedName name="_C_c_C_PAYMENTS_PS_12347_2006_2019">#REF!</definedName>
    <definedName name="_C_c_C_PURCHASE_PPE_PD">"_C_c_C_PURCHASE_PPE_PS_12347_2006_2019"</definedName>
    <definedName name="_C_c_C_PURCHASE_PPE_PS_12347_2006_2019" localSheetId="5">#REF!</definedName>
    <definedName name="_C_c_C_PURCHASE_PPE_PS_12347_2006_2019">#REF!</definedName>
    <definedName name="_C_c_C_RECEIPTS_PD">"_C_c_C_RECEIPTS_PS_12347_2006_2019"</definedName>
    <definedName name="_C_c_C_RECEIPTS_PS_12347_2006_2019" localSheetId="5">#REF!</definedName>
    <definedName name="_C_c_C_RECEIPTS_PS_12347_2006_2019">#REF!</definedName>
    <definedName name="_C_c_C_SALE_PPE_PD">"_C_c_C_SALE_PPE_PS_12347_2006_2019"</definedName>
    <definedName name="_C_c_C_SALE_PPE_PS_12347_2006_2019" localSheetId="5">#REF!</definedName>
    <definedName name="_C_c_C_SALE_PPE_PS_12347_2006_2019">#REF!</definedName>
    <definedName name="_C_c_C_TAX_PD">"_C_c_C_TAX_PS_12347_2006_2019"</definedName>
    <definedName name="_C_c_C_TAX_PS_12347_2006_2019" localSheetId="5">#REF!</definedName>
    <definedName name="_C_c_C_TAX_PS_12347_2006_2019">#REF!</definedName>
    <definedName name="_C_c_CASH_CHANGE_PD">"_C_c_CASH_CHANGE_PS_12347_2006_2019"</definedName>
    <definedName name="_C_c_CASH_CHANGE_PS_12347_2006_2019" localSheetId="5">#REF!</definedName>
    <definedName name="_C_c_CASH_CHANGE_PS_12347_2006_2019">#REF!</definedName>
    <definedName name="_C_c_CP_CONVERTIBLE_PD">"_C_c_CP_CONVERTIBLE_PS_12347_2006_2019"</definedName>
    <definedName name="_C_c_CP_CONVERTIBLE_PS_12347_2006_2019" localSheetId="5">#REF!</definedName>
    <definedName name="_C_c_CP_CONVERTIBLE_PS_12347_2006_2019">#REF!</definedName>
    <definedName name="_C_c_CP_LIMITED_VOTE_PD">"_C_c_CP_LIMITED_VOTE_PS_12347_2006_2019"</definedName>
    <definedName name="_C_c_CP_LIMITED_VOTE_PS_12347_2006_2019" localSheetId="5">#REF!</definedName>
    <definedName name="_C_c_CP_LIMITED_VOTE_PS_12347_2006_2019">#REF!</definedName>
    <definedName name="_C_c_CP_OPTIONS_PD">"_C_c_CP_OPTIONS_PS_12347_2006_2019"</definedName>
    <definedName name="_C_c_CP_OPTIONS_PS_12347_2006_2019" localSheetId="5">#REF!</definedName>
    <definedName name="_C_c_CP_OPTIONS_PS_12347_2006_2019">#REF!</definedName>
    <definedName name="_C_c_CP_ORDINARY_PD">"_C_c_CP_ORDINARY_PS_12347_2006_2019"</definedName>
    <definedName name="_C_c_CP_ORDINARY_PS_12347_2006_2019" localSheetId="5">#REF!</definedName>
    <definedName name="_C_c_CP_ORDINARY_PS_12347_2006_2019">#REF!</definedName>
    <definedName name="_C_c_CP_OTHER_PD">"_C_c_CP_OTHER_PS_12347_2006_2019"</definedName>
    <definedName name="_C_c_CP_OTHER_PS_12347_2006_2019" localSheetId="5">#REF!</definedName>
    <definedName name="_C_c_CP_OTHER_PS_12347_2006_2019">#REF!</definedName>
    <definedName name="_C_c_CP_PARTLY_PAID_PD">"_C_c_CP_PARTLY_PAID_PS_12347_2006_2019"</definedName>
    <definedName name="_C_c_CP_PARTLY_PAID_PS_12347_2006_2019" localSheetId="5">#REF!</definedName>
    <definedName name="_C_c_CP_PARTLY_PAID_PS_12347_2006_2019">#REF!</definedName>
    <definedName name="_C_c_CP_PREF_DEBT_PD">"_C_c_CP_PREF_DEBT_PS_12347_2006_2019"</definedName>
    <definedName name="_C_c_CP_PREF_DEBT_PS_12347_2006_2019" localSheetId="5">#REF!</definedName>
    <definedName name="_C_c_CP_PREF_DEBT_PS_12347_2006_2019">#REF!</definedName>
    <definedName name="_C_c_CP_PREF_EQUITY_PD">"_C_c_CP_PREF_EQUITY_PS_12347_2006_2019"</definedName>
    <definedName name="_C_c_CP_PREF_EQUITY_PS_12347_2006_2019" localSheetId="5">#REF!</definedName>
    <definedName name="_C_c_CP_PREF_EQUITY_PS_12347_2006_2019">#REF!</definedName>
    <definedName name="_C_c_CP_SHARES_PD">"_C_c_CP_SHARES_PS_12347_2006_2019"</definedName>
    <definedName name="_C_c_CP_SHARES_PS_12347_2006_2019" localSheetId="5">#REF!</definedName>
    <definedName name="_C_c_CP_SHARES_PS_12347_2006_2019">#REF!</definedName>
    <definedName name="_C_c_CPS_PD">"_C_c_CPS_PS_12347_2006_2019"</definedName>
    <definedName name="_C_c_CPS_PS_12347_2006_2019" localSheetId="5">#REF!</definedName>
    <definedName name="_C_c_CPS_PS_12347_2006_2019">#REF!</definedName>
    <definedName name="_C_c_CS_EPS_BASIC_PD">"_C_c_CS_EPS_BASIC_PS_12347_2006_2019"</definedName>
    <definedName name="_C_c_CS_EPS_BASIC_PS_12347_2006_2019" localSheetId="5">#REF!</definedName>
    <definedName name="_C_c_CS_EPS_BASIC_PS_12347_2006_2019">#REF!</definedName>
    <definedName name="_C_c_CT_CONVERTIBLE_PD">"_C_c_CT_CONVERTIBLE_PS_12347_2006_2019"</definedName>
    <definedName name="_C_c_CT_CONVERTIBLE_PS_12347_2006_2019" localSheetId="5">#REF!</definedName>
    <definedName name="_C_c_CT_CONVERTIBLE_PS_12347_2006_2019">#REF!</definedName>
    <definedName name="_C_c_CT_LIMITED_VOTE_PD">"_C_c_CT_LIMITED_VOTE_PS_12347_2006_2019"</definedName>
    <definedName name="_C_c_CT_LIMITED_VOTE_PS_12347_2006_2019" localSheetId="5">#REF!</definedName>
    <definedName name="_C_c_CT_LIMITED_VOTE_PS_12347_2006_2019">#REF!</definedName>
    <definedName name="_C_c_CT_OPTIONS_PD">"_C_c_CT_OPTIONS_PS_12347_2006_2019"</definedName>
    <definedName name="_C_c_CT_OPTIONS_PS_12347_2006_2019" localSheetId="5">#REF!</definedName>
    <definedName name="_C_c_CT_OPTIONS_PS_12347_2006_2019">#REF!</definedName>
    <definedName name="_C_c_CT_ORDINARY_PD">"_C_c_CT_ORDINARY_PS_12347_2006_2019"</definedName>
    <definedName name="_C_c_CT_ORDINARY_PS_12347_2006_2019" localSheetId="5">#REF!</definedName>
    <definedName name="_C_c_CT_ORDINARY_PS_12347_2006_2019">#REF!</definedName>
    <definedName name="_C_c_CT_OTHER_PD">"_C_c_CT_OTHER_PS_12347_2006_2019"</definedName>
    <definedName name="_C_c_CT_OTHER_PS_12347_2006_2019" localSheetId="5">#REF!</definedName>
    <definedName name="_C_c_CT_OTHER_PS_12347_2006_2019">#REF!</definedName>
    <definedName name="_C_c_CT_PARTLY_PAID_PD">"_C_c_CT_PARTLY_PAID_PS_12347_2006_2019"</definedName>
    <definedName name="_C_c_CT_PARTLY_PAID_PS_12347_2006_2019" localSheetId="5">#REF!</definedName>
    <definedName name="_C_c_CT_PARTLY_PAID_PS_12347_2006_2019">#REF!</definedName>
    <definedName name="_C_c_CT_PREF_DEBT_PD">"_C_c_CT_PREF_DEBT_PS_12347_2006_2019"</definedName>
    <definedName name="_C_c_CT_PREF_DEBT_PS_12347_2006_2019" localSheetId="5">#REF!</definedName>
    <definedName name="_C_c_CT_PREF_DEBT_PS_12347_2006_2019">#REF!</definedName>
    <definedName name="_C_c_CT_PREF_EQUITY_PD">"_C_c_CT_PREF_EQUITY_PS_12347_2006_2019"</definedName>
    <definedName name="_C_c_CT_PREF_EQUITY_PS_12347_2006_2019" localSheetId="5">#REF!</definedName>
    <definedName name="_C_c_CT_PREF_EQUITY_PS_12347_2006_2019">#REF!</definedName>
    <definedName name="_C_c_CT_SHARES_PD">"_C_c_CT_SHARES_PS_12347_2006_2019"</definedName>
    <definedName name="_C_c_CT_SHARES_PS_12347_2006_2019" localSheetId="5">#REF!</definedName>
    <definedName name="_C_c_CT_SHARES_PS_12347_2006_2019">#REF!</definedName>
    <definedName name="_C_c_DIV_YIELD_PD">"_C_c_DIV_YIELD_PS_12347_2006_2019"</definedName>
    <definedName name="_C_c_DIV_YIELD_PS_12347_2006_2019" localSheetId="5">#REF!</definedName>
    <definedName name="_C_c_DIV_YIELD_PS_12347_2006_2019">#REF!</definedName>
    <definedName name="_C_c_DPS_FINAL_EX_PD">"_C_c_DPS_FINAL_EX_PS_12347_2006_2019"</definedName>
    <definedName name="_C_c_DPS_FINAL_EX_PS_12347_2006_2019" localSheetId="5">#REF!</definedName>
    <definedName name="_C_c_DPS_FINAL_EX_PS_12347_2006_2019">#REF!</definedName>
    <definedName name="_C_c_DPS_FINAL_PD">"_C_c_DPS_FINAL_PS_12347_2006_2019"</definedName>
    <definedName name="_C_c_DPS_FINAL_PS_12347_2006_2019" localSheetId="5">#REF!</definedName>
    <definedName name="_C_c_DPS_FINAL_PS_12347_2006_2019">#REF!</definedName>
    <definedName name="_C_c_DPS_INTERIM_EX_PD">"_C_c_DPS_INTERIM_EX_PS_12347_2006_2019"</definedName>
    <definedName name="_C_c_DPS_INTERIM_EX_PS_12347_2006_2019" localSheetId="5">#REF!</definedName>
    <definedName name="_C_c_DPS_INTERIM_EX_PS_12347_2006_2019">#REF!</definedName>
    <definedName name="_C_c_DPS_INTERIM_PD">"_C_c_DPS_INTERIM_PS_12347_2006_2019"</definedName>
    <definedName name="_C_c_DPS_INTERIM_PS_12347_2006_2019" localSheetId="5">#REF!</definedName>
    <definedName name="_C_c_DPS_INTERIM_PS_12347_2006_2019">#REF!</definedName>
    <definedName name="_C_c_DPS_PD">"_C_c_DPS_PS_12347_2006_2019"</definedName>
    <definedName name="_C_c_DPS_PS_12347_2006_2019" localSheetId="5">#REF!</definedName>
    <definedName name="_C_c_DPS_PS_12347_2006_2019">#REF!</definedName>
    <definedName name="_C_c_DPS_SPECIAL_EX_PD">"_C_c_DPS_SPECIAL_EX_PS_12347_2006_2019"</definedName>
    <definedName name="_C_c_DPS_SPECIAL_EX_PS_12347_2006_2019" localSheetId="5">#REF!</definedName>
    <definedName name="_C_c_DPS_SPECIAL_EX_PS_12347_2006_2019">#REF!</definedName>
    <definedName name="_C_c_DPS_SPECIAL_PD">"_C_c_DPS_SPECIAL_PS_12347_2006_2019"</definedName>
    <definedName name="_C_c_DPS_SPECIAL_PS_12347_2006_2019" localSheetId="5">#REF!</definedName>
    <definedName name="_C_c_DPS_SPECIAL_PS_12347_2006_2019">#REF!</definedName>
    <definedName name="_C_c_EBIT_MARGIN_PD">"_C_c_EBIT_MARGIN_PS_12347_2006_2019"</definedName>
    <definedName name="_C_c_EBIT_MARGIN_PS_12347_2006_2019" localSheetId="5">#REF!</definedName>
    <definedName name="_C_c_EBIT_MARGIN_PS_12347_2006_2019">#REF!</definedName>
    <definedName name="_C_c_EBIT_MULTIPLE_PD">"_C_c_EBIT_MULTIPLE_PS_12347_2006_2019"</definedName>
    <definedName name="_C_c_EBIT_MULTIPLE_PS_12347_2006_2019" localSheetId="5">#REF!</definedName>
    <definedName name="_C_c_EBIT_MULTIPLE_PS_12347_2006_2019">#REF!</definedName>
    <definedName name="_C_c_EBITDA_MARGIN_PD">"_C_c_EBITDA_MARGIN_PS_12347_2006_2019"</definedName>
    <definedName name="_C_c_EBITDA_MARGIN_PS_12347_2006_2019" localSheetId="5">#REF!</definedName>
    <definedName name="_C_c_EBITDA_MARGIN_PS_12347_2006_2019">#REF!</definedName>
    <definedName name="_C_c_EBITDA_MULTIPLE_PD">"_C_c_EBITDA_MULTIPLE_PS_12347_2006_2019"</definedName>
    <definedName name="_C_c_EBITDA_MULTIPLE_PS_12347_2006_2019" localSheetId="5">#REF!</definedName>
    <definedName name="_C_c_EBITDA_MULTIPLE_PS_12347_2006_2019">#REF!</definedName>
    <definedName name="_C_c_ENTVAL" localSheetId="9">#REF!</definedName>
    <definedName name="_C_c_ENTVAL" localSheetId="5">#REF!</definedName>
    <definedName name="_C_c_ENTVAL">#REF!</definedName>
    <definedName name="_C_c_ENTVAL_ANNUAL_PD">"_C_c_ENTVAL_ANNUAL_PS_12347_2006_2019"</definedName>
    <definedName name="_C_c_ENTVAL_ANNUAL_PS_12347_2006_2019" localSheetId="5">#REF!</definedName>
    <definedName name="_C_c_ENTVAL_ANNUAL_PS_12347_2006_2019">#REF!</definedName>
    <definedName name="_C_c_EPS_PD">"_C_c_EPS_PS_12347_2006_2019"</definedName>
    <definedName name="_C_c_EPS_PRE_GW_PD">"_C_c_EPS_PRE_GW_PS_12347_2006_2019"</definedName>
    <definedName name="_C_c_EPS_PRE_GW_PS_12347_2006_2019" localSheetId="5">#REF!</definedName>
    <definedName name="_C_c_EPS_PRE_GW_PS_12347_2006_2019">#REF!</definedName>
    <definedName name="_C_c_EPS_PS_12347_2006_2019" localSheetId="9">#REF!</definedName>
    <definedName name="_C_c_EPS_PS_12347_2006_2019" localSheetId="5">#REF!</definedName>
    <definedName name="_C_c_EPS_PS_12347_2006_2019">#REF!</definedName>
    <definedName name="_C_c_EPS_SHARES_PD">"_C_c_EPS_SHARES_PS_12347_2006_2019"</definedName>
    <definedName name="_C_c_EPS_SHARES_PS_12347_2006_2019" localSheetId="5">#REF!</definedName>
    <definedName name="_C_c_EPS_SHARES_PS_12347_2006_2019">#REF!</definedName>
    <definedName name="_C_c_EQ_COMMON_PD">"_C_c_EQ_COMMON_PS_12347_2006_2019"</definedName>
    <definedName name="_C_c_EQ_COMMON_PS_12347_2006_2019" localSheetId="5">#REF!</definedName>
    <definedName name="_C_c_EQ_COMMON_PS_12347_2006_2019">#REF!</definedName>
    <definedName name="_C_c_EQ_CONVERT_PD">"_C_c_EQ_CONVERT_PS_12347_2006_2019"</definedName>
    <definedName name="_C_c_EQ_CONVERT_PS_12347_2006_2019" localSheetId="5">#REF!</definedName>
    <definedName name="_C_c_EQ_CONVERT_PS_12347_2006_2019">#REF!</definedName>
    <definedName name="_C_c_EQ_LIFE_FUND_PD">"_C_c_EQ_LIFE_FUND_PS_12347_2006_2019"</definedName>
    <definedName name="_C_c_EQ_LIFE_FUND_PS_12347_2006_2019" localSheetId="5">#REF!</definedName>
    <definedName name="_C_c_EQ_LIFE_FUND_PS_12347_2006_2019">#REF!</definedName>
    <definedName name="_C_c_EQ_MINOR_PD">"_C_c_EQ_MINOR_PS_12347_2006_2019"</definedName>
    <definedName name="_C_c_EQ_MINOR_PS_12347_2006_2019" localSheetId="5">#REF!</definedName>
    <definedName name="_C_c_EQ_MINOR_PS_12347_2006_2019">#REF!</definedName>
    <definedName name="_C_c_EQ_PREF_PD">"_C_c_EQ_PREF_PS_12347_2006_2019"</definedName>
    <definedName name="_C_c_EQ_PREF_PS_12347_2006_2019" localSheetId="5">#REF!</definedName>
    <definedName name="_C_c_EQ_PREF_PS_12347_2006_2019">#REF!</definedName>
    <definedName name="_C_c_EQ_RESERV_ASSREV_PD">"_C_c_EQ_RESERV_ASSREV_PS_12347_2006_2019"</definedName>
    <definedName name="_C_c_EQ_RESERV_ASSREV_PS_12347_2006_2019" localSheetId="5">#REF!</definedName>
    <definedName name="_C_c_EQ_RESERV_ASSREV_PS_12347_2006_2019">#REF!</definedName>
    <definedName name="_C_c_EQ_RESERV_OTHER_PD">"_C_c_EQ_RESERV_OTHER_PS_12347_2006_2019"</definedName>
    <definedName name="_C_c_EQ_RESERV_OTHER_PS_12347_2006_2019" localSheetId="5">#REF!</definedName>
    <definedName name="_C_c_EQ_RESERV_OTHER_PS_12347_2006_2019">#REF!</definedName>
    <definedName name="_C_c_EQ_RESERV_PD">"_C_c_EQ_RESERV_PS_12347_2006_2019"</definedName>
    <definedName name="_C_c_EQ_RESERV_PS_12347_2006_2019" localSheetId="5">#REF!</definedName>
    <definedName name="_C_c_EQ_RESERV_PS_12347_2006_2019">#REF!</definedName>
    <definedName name="_C_c_EQ_RETAIN_PROF_PD">"_C_c_EQ_RETAIN_PROF_PS_12347_2006_2019"</definedName>
    <definedName name="_C_c_EQ_RETAIN_PROF_PS_12347_2006_2019" localSheetId="5">#REF!</definedName>
    <definedName name="_C_c_EQ_RETAIN_PROF_PS_12347_2006_2019">#REF!</definedName>
    <definedName name="_C_c_EQ_SHARE_RESERV_PD">"_C_c_EQ_SHARE_RESERV_PS_12347_2006_2019"</definedName>
    <definedName name="_C_c_EQ_SHARE_RESERV_PS_12347_2006_2019" localSheetId="5">#REF!</definedName>
    <definedName name="_C_c_EQ_SHARE_RESERV_PS_12347_2006_2019">#REF!</definedName>
    <definedName name="_C_c_EQ_SHAREHOLD_PD">"_C_c_EQ_SHAREHOLD_PS_12347_2006_2019"</definedName>
    <definedName name="_C_c_EQ_SHAREHOLD_PS_12347_2006_2019" localSheetId="5">#REF!</definedName>
    <definedName name="_C_c_EQ_SHAREHOLD_PS_12347_2006_2019">#REF!</definedName>
    <definedName name="_C_c_EQ_SUM_PD">"_C_c_EQ_SUM_PS_12347_2006_2019"</definedName>
    <definedName name="_C_c_EQ_SUM_PS_12347_2006_2019" localSheetId="5">#REF!</definedName>
    <definedName name="_C_c_EQ_SUM_PS_12347_2006_2019">#REF!</definedName>
    <definedName name="_C_c_FCF_PS_PD">"_C_c_FCF_PS_PS_12347_2006_2019"</definedName>
    <definedName name="_C_c_FCF_PS_PS_12347_2006_2019" localSheetId="5">#REF!</definedName>
    <definedName name="_C_c_FCF_PS_PS_12347_2006_2019">#REF!</definedName>
    <definedName name="_C_c_FREE_CASH_ADJ_PD">"_C_c_FREE_CASH_ADJ_PS_12347_2006_2019"</definedName>
    <definedName name="_C_c_FREE_CASH_ADJ_PS_12347_2006_2019" localSheetId="5">#REF!</definedName>
    <definedName name="_C_c_FREE_CASH_ADJ_PS_12347_2006_2019">#REF!</definedName>
    <definedName name="_C_C_FREE_CF_PD">"_C_C_FREE_CF_PS_12347_2006_2019"</definedName>
    <definedName name="_C_C_FREE_CF_PS_12347_2006_2019" localSheetId="5">#REF!</definedName>
    <definedName name="_C_C_FREE_CF_PS_12347_2006_2019">#REF!</definedName>
    <definedName name="_C_c_GEARING_PD">"_C_c_GEARING_PS_12347_2006_2019"</definedName>
    <definedName name="_C_c_GEARING_PS_12347_2006_2019" localSheetId="5">#REF!</definedName>
    <definedName name="_C_c_GEARING_PS_12347_2006_2019">#REF!</definedName>
    <definedName name="_C_c_GROSS_MARGIN_PD">"_C_c_GROSS_MARGIN_PS_12347_2006_2019"</definedName>
    <definedName name="_C_c_GROSS_MARGIN_PS_12347_2006_2019" localSheetId="5">#REF!</definedName>
    <definedName name="_C_c_GROSS_MARGIN_PS_12347_2006_2019">#REF!</definedName>
    <definedName name="_C_c_HB_BACKLOG_COST_PD">"_C_c_HB_BACKLOG_COST_PS_12347_2006_2019"</definedName>
    <definedName name="_C_c_HB_BACKLOG_COST_PS_12347_2006_2019" localSheetId="5">#REF!</definedName>
    <definedName name="_C_c_HB_BACKLOG_COST_PS_12347_2006_2019">#REF!</definedName>
    <definedName name="_C_c_HB_BACKLOG_COST_SCALE" localSheetId="9">#REF!</definedName>
    <definedName name="_C_c_HB_BACKLOG_COST_SCALE" localSheetId="5">#REF!</definedName>
    <definedName name="_C_c_HB_BACKLOG_COST_SCALE">#REF!</definedName>
    <definedName name="_C_c_HB_BACKLOG_REV_PD">"_C_c_HB_BACKLOG_REV_PS_12347_2006_2019"</definedName>
    <definedName name="_C_c_HB_BACKLOG_REV_PS_12347_2006_2019" localSheetId="5">#REF!</definedName>
    <definedName name="_C_c_HB_BACKLOG_REV_PS_12347_2006_2019">#REF!</definedName>
    <definedName name="_C_c_HB_BACKLOG_REV_SCALE" localSheetId="9">#REF!</definedName>
    <definedName name="_C_c_HB_BACKLOG_REV_SCALE" localSheetId="5">#REF!</definedName>
    <definedName name="_C_c_HB_BACKLOG_REV_SCALE">#REF!</definedName>
    <definedName name="_C_c_HB_BV_ADJ_PD">"_C_c_HB_BV_ADJ_PS_12347_2006_2019"</definedName>
    <definedName name="_C_c_HB_BV_ADJ_PS_12347_2006_2019" localSheetId="5">#REF!</definedName>
    <definedName name="_C_c_HB_BV_ADJ_PS_12347_2006_2019">#REF!</definedName>
    <definedName name="_C_c_HB_BV_ADJ_SCALE" localSheetId="9">#REF!</definedName>
    <definedName name="_C_c_HB_BV_ADJ_SCALE" localSheetId="5">#REF!</definedName>
    <definedName name="_C_c_HB_BV_ADJ_SCALE">#REF!</definedName>
    <definedName name="_C_c_HB_CONST_PROG_PD">"_C_c_HB_CONST_PROG_PS_12347_2006_2019"</definedName>
    <definedName name="_C_c_HB_CONST_PROG_PS_12347_2006_2019" localSheetId="5">#REF!</definedName>
    <definedName name="_C_c_HB_CONST_PROG_PS_12347_2006_2019">#REF!</definedName>
    <definedName name="_C_c_HB_CONTRACT_SALE_PD">"_C_c_HB_CONTRACT_SALE_PS_12347_2006_2019"</definedName>
    <definedName name="_C_c_HB_CONTRACT_SALE_PS_12347_2006_2019" localSheetId="5">#REF!</definedName>
    <definedName name="_C_c_HB_CONTRACT_SALE_PS_12347_2006_2019">#REF!</definedName>
    <definedName name="_C_c_HB_CONTRACT_SALE_SCALE" localSheetId="9">#REF!</definedName>
    <definedName name="_C_c_HB_CONTRACT_SALE_SCALE" localSheetId="5">#REF!</definedName>
    <definedName name="_C_c_HB_CONTRACT_SALE_SCALE">#REF!</definedName>
    <definedName name="_C_c_HB_LAND_INVENTORY_PD">"_C_c_HB_LAND_INVENTORY_PS_12347_2006_2019"</definedName>
    <definedName name="_C_c_HB_LAND_INVENTORY_PS_12347_2006_2019" localSheetId="5">#REF!</definedName>
    <definedName name="_C_c_HB_LAND_INVENTORY_PS_12347_2006_2019">#REF!</definedName>
    <definedName name="_C_c_HB_LAND_INVENTORY_SCALE" localSheetId="9">#REF!</definedName>
    <definedName name="_C_c_HB_LAND_INVENTORY_SCALE" localSheetId="5">#REF!</definedName>
    <definedName name="_C_c_HB_LAND_INVENTORY_SCALE">#REF!</definedName>
    <definedName name="_C_c_HB_LAUNCH_PD">"_C_c_HB_LAUNCH_PS_12347_2006_2019"</definedName>
    <definedName name="_C_c_HB_LAUNCH_PS_12347_2006_2019" localSheetId="5">#REF!</definedName>
    <definedName name="_C_c_HB_LAUNCH_PS_12347_2006_2019">#REF!</definedName>
    <definedName name="_C_c_HB_LAUNCH_SCALE" localSheetId="9">#REF!</definedName>
    <definedName name="_C_c_HB_LAUNCH_SCALE" localSheetId="5">#REF!</definedName>
    <definedName name="_C_c_HB_LAUNCH_SCALE">#REF!</definedName>
    <definedName name="_C_c_HB_ORDERS_ASP_PD">"_C_c_HB_ORDERS_ASP_PS_12347_2006_2019"</definedName>
    <definedName name="_C_c_HB_ORDERS_ASP_PS_12347_2006_2019" localSheetId="5">#REF!</definedName>
    <definedName name="_C_c_HB_ORDERS_ASP_PS_12347_2006_2019">#REF!</definedName>
    <definedName name="_C_c_HB_ORDERS_ASP_SCALE" localSheetId="9">#REF!</definedName>
    <definedName name="_C_c_HB_ORDERS_ASP_SCALE" localSheetId="5">#REF!</definedName>
    <definedName name="_C_c_HB_ORDERS_ASP_SCALE">#REF!</definedName>
    <definedName name="_C_c_I_ABNORMAL_NPAT_PD">"_C_c_I_ABNORMAL_NPAT_PS_12347_2006_2019"</definedName>
    <definedName name="_C_c_I_ABNORMAL_NPAT_PS_12347_2006_2019" localSheetId="5">#REF!</definedName>
    <definedName name="_C_c_I_ABNORMAL_NPAT_PS_12347_2006_2019">#REF!</definedName>
    <definedName name="_C_c_I_ABNORMAL_PBT_PD">"_C_c_I_ABNORMAL_PBT_PS_12347_2006_2019"</definedName>
    <definedName name="_C_c_I_ABNORMAL_PBT_PS_12347_2006_2019" localSheetId="5">#REF!</definedName>
    <definedName name="_C_c_I_ABNORMAL_PBT_PS_12347_2006_2019">#REF!</definedName>
    <definedName name="_C_c_I_AMORT_GW_PD">"_C_c_I_AMORT_GW_PS_12347_2006_2019"</definedName>
    <definedName name="_C_c_I_AMORT_GW_PS_12347_2006_2019" localSheetId="5">#REF!</definedName>
    <definedName name="_C_c_I_AMORT_GW_PS_12347_2006_2019">#REF!</definedName>
    <definedName name="_C_c_I_AMORT_INTAN_PD">"_C_c_I_AMORT_INTAN_PS_12347_2006_2019"</definedName>
    <definedName name="_C_c_I_AMORT_INTAN_PS_12347_2006_2019" localSheetId="5">#REF!</definedName>
    <definedName name="_C_c_I_AMORT_INTAN_PS_12347_2006_2019">#REF!</definedName>
    <definedName name="_C_c_I_AMORT_OTHER_PD">"_C_c_I_AMORT_OTHER_PS_12347_2006_2019"</definedName>
    <definedName name="_C_c_I_AMORT_OTHER_PS_12347_2006_2019" localSheetId="5">#REF!</definedName>
    <definedName name="_C_c_I_AMORT_OTHER_PS_12347_2006_2019">#REF!</definedName>
    <definedName name="_C_c_I_ANALYST_ADJ_PD">"_C_c_I_ANALYST_ADJ_PS_12347_2006_2019"</definedName>
    <definedName name="_C_c_I_ANALYST_ADJ_PS_12347_2006_2019" localSheetId="5">#REF!</definedName>
    <definedName name="_C_c_I_ANALYST_ADJ_PS_12347_2006_2019">#REF!</definedName>
    <definedName name="_C_c_I_ASSET_SALES_PD">"_C_c_I_ASSET_SALES_PS_12347_2006_2019"</definedName>
    <definedName name="_C_c_I_ASSET_SALES_PS_12347_2006_2019" localSheetId="5">#REF!</definedName>
    <definedName name="_C_c_I_ASSET_SALES_PS_12347_2006_2019">#REF!</definedName>
    <definedName name="_C_c_I_B_BRCOM_EXP_PD">"_C_c_I_B_BRCOM_EXP_PS_12347_2006_2019"</definedName>
    <definedName name="_C_c_I_B_BRCOM_EXP_PS_12347_2006_2019" localSheetId="5">#REF!</definedName>
    <definedName name="_C_c_I_B_BRCOM_EXP_PS_12347_2006_2019">#REF!</definedName>
    <definedName name="_C_c_I_B_FAIR_VALUE_PD">"_C_c_I_B_FAIR_VALUE_PS_12347_2006_2019"</definedName>
    <definedName name="_C_c_I_B_FAIR_VALUE_PS_12347_2006_2019" localSheetId="5">#REF!</definedName>
    <definedName name="_C_c_I_B_FAIR_VALUE_PS_12347_2006_2019">#REF!</definedName>
    <definedName name="_C_c_I_COGS_INTEREST_PD">"_C_c_I_COGS_INTEREST_PS_12347_2006_2019"</definedName>
    <definedName name="_C_c_I_COGS_INTEREST_PS_12347_2006_2019" localSheetId="5">#REF!</definedName>
    <definedName name="_C_c_I_COGS_INTEREST_PS_12347_2006_2019">#REF!</definedName>
    <definedName name="_C_c_I_COGS_PD">"_C_c_I_COGS_PS_12347_2006_2019"</definedName>
    <definedName name="_C_c_I_COGS_PS_12347_2006_2019" localSheetId="5">#REF!</definedName>
    <definedName name="_C_c_I_COGS_PS_12347_2006_2019">#REF!</definedName>
    <definedName name="_C_c_I_COGS_SALES_PD">"_C_c_I_COGS_SALES_PS_12347_2006_2019"</definedName>
    <definedName name="_C_c_I_COGS_SALES_PS_12347_2006_2019" localSheetId="5">#REF!</definedName>
    <definedName name="_C_c_I_COGS_SALES_PS_12347_2006_2019">#REF!</definedName>
    <definedName name="_C_c_I_COGS_SERVICES_PD">"_C_c_I_COGS_SERVICES_PS_12347_2006_2019"</definedName>
    <definedName name="_C_c_I_COGS_SERVICES_PS_12347_2006_2019" localSheetId="5">#REF!</definedName>
    <definedName name="_C_c_I_COGS_SERVICES_PS_12347_2006_2019">#REF!</definedName>
    <definedName name="_C_c_I_DEFINED_BEN_PD">"_C_c_I_DEFINED_BEN_PS_12347_2006_2019"</definedName>
    <definedName name="_C_c_I_DEFINED_BEN_PS_12347_2006_2019" localSheetId="5">#REF!</definedName>
    <definedName name="_C_c_I_DEFINED_BEN_PS_12347_2006_2019">#REF!</definedName>
    <definedName name="_C_c_I_DEPR_AMORT_PD">"_C_c_I_DEPR_AMORT_PS_12347_2006_2019"</definedName>
    <definedName name="_C_c_I_DEPR_AMORT_PS_12347_2006_2019" localSheetId="5">#REF!</definedName>
    <definedName name="_C_c_I_DEPR_AMORT_PS_12347_2006_2019">#REF!</definedName>
    <definedName name="_C_c_I_DEPR_PD">"_C_c_I_DEPR_PS_12347_2006_2019"</definedName>
    <definedName name="_C_c_I_DEPR_PS_12347_2006_2019" localSheetId="5">#REF!</definedName>
    <definedName name="_C_c_I_DEPR_PS_12347_2006_2019">#REF!</definedName>
    <definedName name="_C_c_I_DIVIDENDS_PD">"_C_c_I_DIVIDENDS_PS_12347_2006_2019"</definedName>
    <definedName name="_C_c_I_DIVIDENDS_PS_12347_2006_2019" localSheetId="5">#REF!</definedName>
    <definedName name="_C_c_I_DIVIDENDS_PS_12347_2006_2019">#REF!</definedName>
    <definedName name="_C_c_I_EBIT_PD">"_C_c_I_EBIT_PS_12347_2006_2019"</definedName>
    <definedName name="_C_c_I_EBIT_PS_12347_2006_2019" localSheetId="5">#REF!</definedName>
    <definedName name="_C_c_I_EBIT_PS_12347_2006_2019">#REF!</definedName>
    <definedName name="_C_c_I_EBITA_PD">"_C_c_I_EBITA_PS_12347_2006_2019"</definedName>
    <definedName name="_C_c_I_EBITA_PS_12347_2006_2019" localSheetId="5">#REF!</definedName>
    <definedName name="_C_c_I_EBITA_PS_12347_2006_2019">#REF!</definedName>
    <definedName name="_C_c_I_EBITDA_PD">"_C_c_I_EBITDA_PS_12347_2006_2019"</definedName>
    <definedName name="_C_c_I_EBITDA_PS_12347_2006_2019" localSheetId="5">#REF!</definedName>
    <definedName name="_C_c_I_EBITDA_PS_12347_2006_2019">#REF!</definedName>
    <definedName name="_C_c_I_EMP_COST_PD">"_C_c_I_EMP_COST_PS_12347_2006_2019"</definedName>
    <definedName name="_C_c_I_EMP_COST_PS_12347_2006_2019" localSheetId="5">#REF!</definedName>
    <definedName name="_C_c_I_EMP_COST_PS_12347_2006_2019">#REF!</definedName>
    <definedName name="_C_c_I_EMP_SHARES_PD">"_C_c_I_EMP_SHARES_PS_12347_2006_2019"</definedName>
    <definedName name="_C_c_I_EMP_SHARES_PS_12347_2006_2019" localSheetId="5">#REF!</definedName>
    <definedName name="_C_c_I_EMP_SHARES_PS_12347_2006_2019">#REF!</definedName>
    <definedName name="_C_c_I_EMP_TOTAL_PD">"_C_c_I_EMP_TOTAL_PS_12347_2006_2019"</definedName>
    <definedName name="_C_c_I_EMP_TOTAL_PS_12347_2006_2019" localSheetId="5">#REF!</definedName>
    <definedName name="_C_c_I_EMP_TOTAL_PS_12347_2006_2019">#REF!</definedName>
    <definedName name="_C_c_I_EQ_ACC_PAT_PD">"_C_c_I_EQ_ACC_PAT_PS_12347_2006_2019"</definedName>
    <definedName name="_C_c_I_EQ_ACC_PAT_PS_12347_2006_2019" localSheetId="5">#REF!</definedName>
    <definedName name="_C_c_I_EQ_ACC_PAT_PS_12347_2006_2019">#REF!</definedName>
    <definedName name="_C_c_I_EQ_ACC_PBT_PD">"_C_c_I_EQ_ACC_PBT_PS_12347_2006_2019"</definedName>
    <definedName name="_C_c_I_EQ_ACC_PBT_PS_12347_2006_2019" localSheetId="5">#REF!</definedName>
    <definedName name="_C_c_I_EQ_ACC_PBT_PS_12347_2006_2019">#REF!</definedName>
    <definedName name="_C_c_I_EQ_ACC_TAX_PD">"_C_c_I_EQ_ACC_TAX_PS_12347_2006_2019"</definedName>
    <definedName name="_C_c_I_EQ_ACC_TAX_PS_12347_2006_2019" localSheetId="5">#REF!</definedName>
    <definedName name="_C_c_I_EQ_ACC_TAX_PS_12347_2006_2019">#REF!</definedName>
    <definedName name="_C_c_I_EXPENSES_PD">"_C_c_I_EXPENSES_PS_12347_2006_2019"</definedName>
    <definedName name="_C_c_I_EXPENSES_PS_12347_2006_2019" localSheetId="5">#REF!</definedName>
    <definedName name="_C_c_I_EXPENSES_PS_12347_2006_2019">#REF!</definedName>
    <definedName name="_C_c_I_FOREX_LOSS_PD">"_C_c_I_FOREX_LOSS_PS_12347_2006_2019"</definedName>
    <definedName name="_C_c_I_FOREX_LOSS_PS_12347_2006_2019" localSheetId="5">#REF!</definedName>
    <definedName name="_C_c_I_FOREX_LOSS_PS_12347_2006_2019">#REF!</definedName>
    <definedName name="_C_c_I_GROSS_PROFIT_PD">"_C_c_I_GROSS_PROFIT_PS_12347_2006_2019"</definedName>
    <definedName name="_C_c_I_GROSS_PROFIT_PS_12347_2006_2019" localSheetId="5">#REF!</definedName>
    <definedName name="_C_c_I_GROSS_PROFIT_PS_12347_2006_2019">#REF!</definedName>
    <definedName name="_C_c_I_HEDGE_EXP_PD">"_C_c_I_HEDGE_EXP_PS_12347_2006_2019"</definedName>
    <definedName name="_C_c_I_HEDGE_EXP_PS_12347_2006_2019" localSheetId="5">#REF!</definedName>
    <definedName name="_C_c_I_HEDGE_EXP_PS_12347_2006_2019">#REF!</definedName>
    <definedName name="_C_c_I_IMPAIRMENT_PD">"_C_c_I_IMPAIRMENT_PS_12347_2006_2019"</definedName>
    <definedName name="_C_c_I_IMPAIRMENT_PS_12347_2006_2019" localSheetId="5">#REF!</definedName>
    <definedName name="_C_c_I_IMPAIRMENT_PS_12347_2006_2019">#REF!</definedName>
    <definedName name="_C_c_I_INC_DISC_PD">"_C_c_I_INC_DISC_PS_12347_2006_2019"</definedName>
    <definedName name="_C_c_I_INC_DISC_PS_12347_2006_2019" localSheetId="5">#REF!</definedName>
    <definedName name="_C_c_I_INC_DISC_PS_12347_2006_2019">#REF!</definedName>
    <definedName name="_C_c_I_INC_TAX_PD">"_C_c_I_INC_TAX_PS_12347_2006_2019"</definedName>
    <definedName name="_C_c_I_INC_TAX_PS_12347_2006_2019" localSheetId="5">#REF!</definedName>
    <definedName name="_C_c_I_INC_TAX_PS_12347_2006_2019">#REF!</definedName>
    <definedName name="_C_c_I_INDINC_PD">"_C_c_I_INDINC_PS_12347_2006_2019"</definedName>
    <definedName name="_C_c_I_INDINC_PS_12347_2006_2019" localSheetId="5">#REF!</definedName>
    <definedName name="_C_c_I_INDINC_PS_12347_2006_2019">#REF!</definedName>
    <definedName name="_C_c_I_INT_CONV_EXP_PD">"_C_c_I_INT_CONV_EXP_PS_12347_2006_2019"</definedName>
    <definedName name="_C_c_I_INT_CONV_EXP_PS_12347_2006_2019" localSheetId="5">#REF!</definedName>
    <definedName name="_C_c_I_INT_CONV_EXP_PS_12347_2006_2019">#REF!</definedName>
    <definedName name="_C_c_I_INT_EXP_PD">"_C_c_I_INT_EXP_PS_12347_2006_2019"</definedName>
    <definedName name="_C_c_I_INT_EXP_PS_12347_2006_2019" localSheetId="5">#REF!</definedName>
    <definedName name="_C_c_I_INT_EXP_PS_12347_2006_2019">#REF!</definedName>
    <definedName name="_C_c_I_INT_INCOME_PD">"_C_c_I_INT_INCOME_PS_12347_2006_2019"</definedName>
    <definedName name="_C_c_I_INT_INCOME_PS_12347_2006_2019" localSheetId="5">#REF!</definedName>
    <definedName name="_C_c_I_INT_INCOME_PS_12347_2006_2019">#REF!</definedName>
    <definedName name="_C_c_I_INT_LEASE_EXP_PD">"_C_c_I_INT_LEASE_EXP_PS_12347_2006_2019"</definedName>
    <definedName name="_C_c_I_INT_LEASE_EXP_PS_12347_2006_2019" localSheetId="5">#REF!</definedName>
    <definedName name="_C_c_I_INT_LEASE_EXP_PS_12347_2006_2019">#REF!</definedName>
    <definedName name="_C_c_I_INVEST_INCOME_PD">"_C_c_I_INVEST_INCOME_PS_12347_2006_2019"</definedName>
    <definedName name="_C_c_I_INVEST_INCOME_PS_12347_2006_2019" localSheetId="5">#REF!</definedName>
    <definedName name="_C_c_I_INVEST_INCOME_PS_12347_2006_2019">#REF!</definedName>
    <definedName name="_C_c_I_LEASING_EXP_PD">"_C_c_I_LEASING_EXP_PS_12347_2006_2019"</definedName>
    <definedName name="_C_c_I_LEASING_EXP_PS_12347_2006_2019" localSheetId="5">#REF!</definedName>
    <definedName name="_C_c_I_LEASING_EXP_PS_12347_2006_2019">#REF!</definedName>
    <definedName name="_C_c_I_MINOR_PD">"_C_c_I_MINOR_PS_12347_2006_2019"</definedName>
    <definedName name="_C_c_I_MINOR_PS_12347_2006_2019" localSheetId="5">#REF!</definedName>
    <definedName name="_C_c_I_MINOR_PS_12347_2006_2019">#REF!</definedName>
    <definedName name="_C_c_I_NET_INTEREST_PD">"_C_c_I_NET_INTEREST_PS_12347_2006_2019"</definedName>
    <definedName name="_C_c_I_NET_INTEREST_PS_12347_2006_2019" localSheetId="5">#REF!</definedName>
    <definedName name="_C_c_I_NET_INTEREST_PS_12347_2006_2019">#REF!</definedName>
    <definedName name="_C_c_I_NONREC_ITEMS_PD">"_C_c_I_NONREC_ITEMS_PS_12347_2006_2019"</definedName>
    <definedName name="_C_c_I_NONREC_ITEMS_PS_12347_2006_2019" localSheetId="5">#REF!</definedName>
    <definedName name="_C_c_I_NONREC_ITEMS_PS_12347_2006_2019">#REF!</definedName>
    <definedName name="_C_c_I_NOP_ITEMS_PD">"_C_c_I_NOP_ITEMS_PS_12347_2006_2019"</definedName>
    <definedName name="_C_c_I_NOP_ITEMS_PS_12347_2006_2019" localSheetId="5">#REF!</definedName>
    <definedName name="_C_c_I_NOP_ITEMS_PS_12347_2006_2019">#REF!</definedName>
    <definedName name="_C_c_I_NPAT_PD">"_C_c_I_NPAT_PS_12347_2006_2019"</definedName>
    <definedName name="_C_c_I_NPAT_PS_12347_2006_2019" localSheetId="5">#REF!</definedName>
    <definedName name="_C_c_I_NPAT_PS_12347_2006_2019">#REF!</definedName>
    <definedName name="_C_c_I_OCC_IT_COST_PD">"_C_c_I_OCC_IT_COST_PS_12347_2006_2019"</definedName>
    <definedName name="_C_c_I_OCC_IT_COST_PS_12347_2006_2019" localSheetId="5">#REF!</definedName>
    <definedName name="_C_c_I_OCC_IT_COST_PS_12347_2006_2019">#REF!</definedName>
    <definedName name="_C_c_I_OOP_EXPENSES_PD">"_C_c_I_OOP_EXPENSES_PS_12347_2006_2019"</definedName>
    <definedName name="_C_c_I_OOP_EXPENSES_PS_12347_2006_2019" localSheetId="5">#REF!</definedName>
    <definedName name="_C_c_I_OOP_EXPENSES_PS_12347_2006_2019">#REF!</definedName>
    <definedName name="_C_c_I_OOP_EXPENSES_SCALE" localSheetId="9">#REF!</definedName>
    <definedName name="_C_c_I_OOP_EXPENSES_SCALE" localSheetId="5">#REF!</definedName>
    <definedName name="_C_c_I_OOP_EXPENSES_SCALE">#REF!</definedName>
    <definedName name="_C_c_I_OOP_INCOME_PD">"_C_c_I_OOP_INCOME_PS_12347_2006_2019"</definedName>
    <definedName name="_C_c_I_OOP_INCOME_PS_12347_2006_2019" localSheetId="5">#REF!</definedName>
    <definedName name="_C_c_I_OOP_INCOME_PS_12347_2006_2019">#REF!</definedName>
    <definedName name="_C_c_I_OOP_ITEMS_PD">"_C_c_I_OOP_ITEMS_PS_12347_2006_2019"</definedName>
    <definedName name="_C_c_I_OOP_ITEMS_PS_12347_2006_2019" localSheetId="5">#REF!</definedName>
    <definedName name="_C_c_I_OOP_ITEMS_PS_12347_2006_2019">#REF!</definedName>
    <definedName name="_C_c_I_OP_DIVIDEND_PD">"_C_c_I_OP_DIVIDEND_PS_12347_2006_2019"</definedName>
    <definedName name="_C_c_I_OP_DIVIDEND_PS_12347_2006_2019" localSheetId="5">#REF!</definedName>
    <definedName name="_C_c_I_OP_DIVIDEND_PS_12347_2006_2019">#REF!</definedName>
    <definedName name="_C_c_I_OPERATING_INC_PD">"_C_c_I_OPERATING_INC_PS_12347_2006_2019"</definedName>
    <definedName name="_C_c_I_OPERATING_INC_PS_12347_2006_2019" localSheetId="5">#REF!</definedName>
    <definedName name="_C_c_I_OPERATING_INC_PS_12347_2006_2019">#REF!</definedName>
    <definedName name="_C_c_I_OTH_EBITADJ_PD">"_C_c_I_OTH_EBITADJ_PS_12347_2006_2019"</definedName>
    <definedName name="_C_c_I_OTH_EBITADJ_PS_12347_2006_2019" localSheetId="5">#REF!</definedName>
    <definedName name="_C_c_I_OTH_EBITADJ_PS_12347_2006_2019">#REF!</definedName>
    <definedName name="_C_c_I_OTH_EXP_PD">"_C_c_I_OTH_EXP_PS_12347_2006_2019"</definedName>
    <definedName name="_C_c_I_OTH_EXP_PS_12347_2006_2019" localSheetId="5">#REF!</definedName>
    <definedName name="_C_c_I_OTH_EXP_PS_12347_2006_2019">#REF!</definedName>
    <definedName name="_C_c_I_OTHER_PAT_PD">"_C_c_I_OTHER_PAT_PS_12347_2006_2019"</definedName>
    <definedName name="_C_c_I_OTHER_PAT_PS_12347_2006_2019" localSheetId="5">#REF!</definedName>
    <definedName name="_C_c_I_OTHER_PAT_PS_12347_2006_2019">#REF!</definedName>
    <definedName name="_C_c_I_OTHER_PBT_PD">"_C_c_I_OTHER_PBT_PS_12347_2006_2019"</definedName>
    <definedName name="_C_c_I_OTHER_PBT_PS_12347_2006_2019" localSheetId="5">#REF!</definedName>
    <definedName name="_C_c_I_OTHER_PBT_PS_12347_2006_2019">#REF!</definedName>
    <definedName name="_C_c_I_OTHER_PD">"_C_c_I_OTHER_PS_12347_2006_2019"</definedName>
    <definedName name="_C_c_I_OTHER_PS_12347_2006_2019" localSheetId="5">#REF!</definedName>
    <definedName name="_C_c_I_OTHER_PS_12347_2006_2019">#REF!</definedName>
    <definedName name="_C_c_I_OTHER_TAX_PD">"_C_c_I_OTHER_TAX_PS_12347_2006_2019"</definedName>
    <definedName name="_C_c_I_OTHER_TAX_PS_12347_2006_2019" localSheetId="5">#REF!</definedName>
    <definedName name="_C_c_I_OTHER_TAX_PS_12347_2006_2019">#REF!</definedName>
    <definedName name="_C_c_I_PBT_PD">"_C_c_I_PBT_PS_12347_2006_2019"</definedName>
    <definedName name="_C_c_I_PBT_PS_12347_2006_2019" localSheetId="5">#REF!</definedName>
    <definedName name="_C_c_I_PBT_PS_12347_2006_2019">#REF!</definedName>
    <definedName name="_C_c_I_PBT_REPORTED_PD">"_C_c_I_PBT_REPORTED_PS_12347_2006_2019"</definedName>
    <definedName name="_C_c_I_PBT_REPORTED_PS_12347_2006_2019" localSheetId="5">#REF!</definedName>
    <definedName name="_C_c_I_PBT_REPORTED_PS_12347_2006_2019">#REF!</definedName>
    <definedName name="_C_c_I_PREF_DIV_PAID_PD">"_C_c_I_PREF_DIV_PAID_PS_12347_2006_2019"</definedName>
    <definedName name="_C_c_I_PREF_DIV_PAID_PS_12347_2006_2019" localSheetId="5">#REF!</definedName>
    <definedName name="_C_c_I_PREF_DIV_PAID_PS_12347_2006_2019">#REF!</definedName>
    <definedName name="_C_c_I_PROVISIONS_PD">"_C_c_I_PROVISIONS_PS_12347_2006_2019"</definedName>
    <definedName name="_C_c_I_PROVISIONS_PS_12347_2006_2019" localSheetId="5">#REF!</definedName>
    <definedName name="_C_c_I_PROVISIONS_PS_12347_2006_2019">#REF!</definedName>
    <definedName name="_C_c_I_REP_NPAT_PD">"_C_c_I_REP_NPAT_PS_12347_2006_2019"</definedName>
    <definedName name="_C_c_I_REP_NPAT_PS_12347_2006_2019" localSheetId="5">#REF!</definedName>
    <definedName name="_C_c_I_REP_NPAT_PS_12347_2006_2019">#REF!</definedName>
    <definedName name="_C_c_I_RES_AND_DEV_PD">"_C_c_I_RES_AND_DEV_PS_12347_2006_2019"</definedName>
    <definedName name="_C_c_I_RES_AND_DEV_PS_12347_2006_2019" localSheetId="5">#REF!</definedName>
    <definedName name="_C_c_I_RES_AND_DEV_PS_12347_2006_2019">#REF!</definedName>
    <definedName name="_C_c_I_RESTRUCT_EXP_PD">"_C_c_I_RESTRUCT_EXP_PS_12347_2006_2019"</definedName>
    <definedName name="_C_c_I_RESTRUCT_EXP_PS_12347_2006_2019" localSheetId="5">#REF!</definedName>
    <definedName name="_C_c_I_RESTRUCT_EXP_PS_12347_2006_2019">#REF!</definedName>
    <definedName name="_C_c_I_REVAL_NONREC_PD">"_C_c_I_REVAL_NONREC_PS_12347_2006_2019"</definedName>
    <definedName name="_C_c_I_REVAL_NONREC_PS_12347_2006_2019" localSheetId="5">#REF!</definedName>
    <definedName name="_C_c_I_REVAL_NONREC_PS_12347_2006_2019">#REF!</definedName>
    <definedName name="_C_c_I_REVALUATIONS_PD">"_C_c_I_REVALUATIONS_PS_12347_2006_2019"</definedName>
    <definedName name="_C_c_I_REVALUATIONS_PS_12347_2006_2019" localSheetId="5">#REF!</definedName>
    <definedName name="_C_c_I_REVALUATIONS_PS_12347_2006_2019">#REF!</definedName>
    <definedName name="_C_c_I_REVENUES_PD">"_C_c_I_REVENUES_PS_12347_2006_2019"</definedName>
    <definedName name="_C_c_I_REVENUES_PS_12347_2006_2019" localSheetId="5">#REF!</definedName>
    <definedName name="_C_c_I_REVENUES_PS_12347_2006_2019">#REF!</definedName>
    <definedName name="_C_c_I_ROYALTIES_PD">"_C_c_I_ROYALTIES_PS_12347_2006_2019"</definedName>
    <definedName name="_C_c_I_ROYALTIES_PS_12347_2006_2019" localSheetId="5">#REF!</definedName>
    <definedName name="_C_c_I_ROYALTIES_PS_12347_2006_2019">#REF!</definedName>
    <definedName name="_C_c_I_SALES_DEDUCTIONS_PD">"_C_c_I_SALES_DEDUCTIONS_PS_12347_2006_2019"</definedName>
    <definedName name="_C_c_I_SALES_DEDUCTIONS_PS_12347_2006_2019" localSheetId="5">#REF!</definedName>
    <definedName name="_C_c_I_SALES_DEDUCTIONS_PS_12347_2006_2019">#REF!</definedName>
    <definedName name="_C_c_I_SALES_GWTH_PD">"_C_c_I_SALES_GWTH_PS_12347_2006_2019"</definedName>
    <definedName name="_C_c_I_SALES_GWTH_PS_12347_2006_2019" localSheetId="5">#REF!</definedName>
    <definedName name="_C_c_I_SALES_GWTH_PS_12347_2006_2019">#REF!</definedName>
    <definedName name="_C_c_I_SALES_PD">"_C_c_I_SALES_PS_12347_2006_2019"</definedName>
    <definedName name="_C_c_I_SALES_PS_12347_2006_2019" localSheetId="5">#REF!</definedName>
    <definedName name="_C_c_I_SALES_PS_12347_2006_2019">#REF!</definedName>
    <definedName name="_C_c_I_SALES_SALES_PD">"_C_c_I_SALES_SALES_PS_12347_2006_2019"</definedName>
    <definedName name="_C_c_I_SALES_SALES_PS_12347_2006_2019" localSheetId="5">#REF!</definedName>
    <definedName name="_C_c_I_SALES_SALES_PS_12347_2006_2019">#REF!</definedName>
    <definedName name="_C_c_I_SALES_SERVICES_PD">"_C_c_I_SALES_SERVICES_PS_12347_2006_2019"</definedName>
    <definedName name="_C_c_I_SALES_SERVICES_PS_12347_2006_2019" localSheetId="5">#REF!</definedName>
    <definedName name="_C_c_I_SALES_SERVICES_PS_12347_2006_2019">#REF!</definedName>
    <definedName name="_C_c_I_SGA_PD">"_C_c_I_SGA_PS_12347_2006_2019"</definedName>
    <definedName name="_C_c_I_SGA_PS_12347_2006_2019" localSheetId="5">#REF!</definedName>
    <definedName name="_C_c_I_SGA_PS_12347_2006_2019">#REF!</definedName>
    <definedName name="_C_c_I_TAX_PD">"_C_c_I_TAX_PS_12347_2006_2019"</definedName>
    <definedName name="_C_c_I_TAX_PS_12347_2006_2019" localSheetId="5">#REF!</definedName>
    <definedName name="_C_c_I_TAX_PS_12347_2006_2019">#REF!</definedName>
    <definedName name="_C_c_INT_COVER_PD">"_C_c_INT_COVER_PS_12347_2006_2019"</definedName>
    <definedName name="_C_c_INT_COVER_PS_12347_2006_2019" localSheetId="5">#REF!</definedName>
    <definedName name="_C_c_INT_COVER_PS_12347_2006_2019">#REF!</definedName>
    <definedName name="_C_c_KD" localSheetId="9">#REF!</definedName>
    <definedName name="_C_c_KD" localSheetId="5">#REF!</definedName>
    <definedName name="_C_c_KD">#REF!</definedName>
    <definedName name="_C_c_KE" localSheetId="9">#REF!</definedName>
    <definedName name="_C_c_KE">#REF!</definedName>
    <definedName name="_C_c_LEVERAGE_PD">"_C_c_LEVERAGE_PS_12347_2006_2019"</definedName>
    <definedName name="_C_c_LEVERAGE_PS_12347_2006_2019" localSheetId="5">#REF!</definedName>
    <definedName name="_C_c_LEVERAGE_PS_12347_2006_2019">#REF!</definedName>
    <definedName name="_C_c_NDE_PD">"_C_c_NDE_PS_12347_2006_2019"</definedName>
    <definedName name="_C_c_NDE_PS_12347_2006_2019" localSheetId="5">#REF!</definedName>
    <definedName name="_C_c_NDE_PS_12347_2006_2019">#REF!</definedName>
    <definedName name="_C_c_NET_DEBT_PD">"_C_c_NET_DEBT_PS_12347_2006_2019"</definedName>
    <definedName name="_C_c_NET_DEBT_PS_12347_2006_2019" localSheetId="5">#REF!</definedName>
    <definedName name="_C_c_NET_DEBT_PS_12347_2006_2019">#REF!</definedName>
    <definedName name="_C_c_NOT_INTEREST_PD">"_C_c_NOT_INTEREST_PS_12347_2006_2019"</definedName>
    <definedName name="_C_c_NOT_INTEREST_PS_12347_2006_2019" localSheetId="5">#REF!</definedName>
    <definedName name="_C_c_NOT_INTEREST_PS_12347_2006_2019">#REF!</definedName>
    <definedName name="_C_c_NTA_PS_PD">"_C_c_NTA_PS_PS_12347_2006_2019"</definedName>
    <definedName name="_C_c_NTA_PS_PS_12347_2006_2019" localSheetId="5">#REF!</definedName>
    <definedName name="_C_c_NTA_PS_PS_12347_2006_2019">#REF!</definedName>
    <definedName name="_C_c_OTHER_NONREC_PD">"_C_c_OTHER_NONREC_PS_12347_2006_2019"</definedName>
    <definedName name="_C_c_OTHER_NONREC_PS_12347_2006_2019" localSheetId="5">#REF!</definedName>
    <definedName name="_C_c_OTHER_NONREC_PS_12347_2006_2019">#REF!</definedName>
    <definedName name="_C_c_PAYOUT_PD">"_C_c_PAYOUT_PS_12347_2006_2019"</definedName>
    <definedName name="_C_c_PAYOUT_PS_12347_2006_2019" localSheetId="5">#REF!</definedName>
    <definedName name="_C_c_PAYOUT_PS_12347_2006_2019">#REF!</definedName>
    <definedName name="_C_c_PB_PD">"_C_c_PB_PS_12347_2006_2019"</definedName>
    <definedName name="_C_c_PB_PS_12347_2006_2019" localSheetId="5">#REF!</definedName>
    <definedName name="_C_c_PB_PS_12347_2006_2019">#REF!</definedName>
    <definedName name="_C_c_PE_PD">"_C_c_PE_PS_12347_2006_2019"</definedName>
    <definedName name="_C_c_PE_PS_12347_2006_2019" localSheetId="5">#REF!</definedName>
    <definedName name="_C_c_PE_PS_12347_2006_2019">#REF!</definedName>
    <definedName name="_C_c_PEN_LIAB_PD">"_C_c_PEN_LIAB_PS_12347_2006_2019"</definedName>
    <definedName name="_C_c_PEN_LIAB_PS_12347_2006_2019" localSheetId="5">#REF!</definedName>
    <definedName name="_C_c_PEN_LIAB_PS_12347_2006_2019">#REF!</definedName>
    <definedName name="_C_c_PNTA_PD">"_C_c_PNTA_PS_12347_2006_2019"</definedName>
    <definedName name="_C_c_PNTA_PS_12347_2006_2019" localSheetId="5">#REF!</definedName>
    <definedName name="_C_c_PNTA_PS_12347_2006_2019">#REF!</definedName>
    <definedName name="_C_c_PSALES_PD">"_C_c_PSALES_PS_12347_2006_2019"</definedName>
    <definedName name="_C_c_PSALES_PS_12347_2006_2019" localSheetId="5">#REF!</definedName>
    <definedName name="_C_c_PSALES_PS_12347_2006_2019">#REF!</definedName>
    <definedName name="_C_c_PUB_DPS_PD">"_C_c_PUB_DPS_PS_12347_2006_2019"</definedName>
    <definedName name="_C_c_PUB_DPS_PS_12347_2006_2019" localSheetId="5">#REF!</definedName>
    <definedName name="_C_c_PUB_DPS_PS_12347_2006_2019">#REF!</definedName>
    <definedName name="_C_c_PUB_DRIVER_PD">"_C_c_PUB_DRIVER_PS_12347_2006_2019"</definedName>
    <definedName name="_C_c_PUB_DRIVER_PS_12347_2006_2019" localSheetId="5">#REF!</definedName>
    <definedName name="_C_c_PUB_DRIVER_PS_12347_2006_2019">#REF!</definedName>
    <definedName name="_C_c_PUB_EPS_PD">"_C_c_PUB_EPS_PS_12347_2006_2019"</definedName>
    <definedName name="_C_c_PUB_EPS_PS_12347_2006_2019" localSheetId="5">#REF!</definedName>
    <definedName name="_C_c_PUB_EPS_PS_12347_2006_2019">#REF!</definedName>
    <definedName name="_C_c_PUB_EPSGWTH_5YR" localSheetId="9">#REF!</definedName>
    <definedName name="_C_c_PUB_EPSGWTH_5YR" localSheetId="5">#REF!</definedName>
    <definedName name="_C_c_PUB_EPSGWTH_5YR">#REF!</definedName>
    <definedName name="_C_c_PUB_NETINC_PD">"_C_c_PUB_NETINC_PS_12347_2006_2019"</definedName>
    <definedName name="_C_c_PUB_NETINC_PS_12347_2006_2019" localSheetId="5">#REF!</definedName>
    <definedName name="_C_c_PUB_NETINC_PS_12347_2006_2019">#REF!</definedName>
    <definedName name="_C_c_PUB_OP_INCOME_PD">"_C_c_PUB_OP_INCOME_PS_12347_2006_2019"</definedName>
    <definedName name="_C_c_PUB_OP_INCOME_PS_12347_2006_2019" localSheetId="5">#REF!</definedName>
    <definedName name="_C_c_PUB_OP_INCOME_PS_12347_2006_2019">#REF!</definedName>
    <definedName name="_C_c_PUB_PBT_PD">"_C_c_PUB_PBT_PS_12347_2006_2019"</definedName>
    <definedName name="_C_c_PUB_PBT_PS_12347_2006_2019" localSheetId="5">#REF!</definedName>
    <definedName name="_C_c_PUB_PBT_PS_12347_2006_2019">#REF!</definedName>
    <definedName name="_C_c_PUB_RECURRING_PROF_PD">"_C_c_PUB_RECURRING_PROF_PS_12347_2006_2019"</definedName>
    <definedName name="_C_c_PUB_RECURRING_PROF_PS_12347_2006_2019" localSheetId="5">#REF!</definedName>
    <definedName name="_C_c_PUB_RECURRING_PROF_PS_12347_2006_2019">#REF!</definedName>
    <definedName name="_C_c_PUB_REVENUES_PD">"_C_c_PUB_REVENUES_PS_12347_2006_2019"</definedName>
    <definedName name="_C_c_PUB_REVENUES_PS_12347_2006_2019" localSheetId="5">#REF!</definedName>
    <definedName name="_C_c_PUB_REVENUES_PS_12347_2006_2019">#REF!</definedName>
    <definedName name="_C_c_PUB_WEBSITE" localSheetId="9">#REF!</definedName>
    <definedName name="_C_c_PUB_WEBSITE" localSheetId="5">#REF!</definedName>
    <definedName name="_C_c_PUB_WEBSITE">#REF!</definedName>
    <definedName name="_C_c_REP_EPS_BASIC_PD">"_C_c_REP_EPS_BASIC_PS_12347_2006_2019"</definedName>
    <definedName name="_C_c_REP_EPS_BASIC_PS_12347_2006_2019" localSheetId="5">#REF!</definedName>
    <definedName name="_C_c_REP_EPS_BASIC_PS_12347_2006_2019">#REF!</definedName>
    <definedName name="_C_c_REP_EPS_PD">"_C_c_REP_EPS_PS_12347_2006_2019"</definedName>
    <definedName name="_C_c_REP_EPS_PS_12347_2006_2019" localSheetId="5">#REF!</definedName>
    <definedName name="_C_c_REP_EPS_PS_12347_2006_2019">#REF!</definedName>
    <definedName name="_C_c_ROA_PD">"_C_c_ROA_PS_12347_2006_2019"</definedName>
    <definedName name="_C_c_ROA_PS_12347_2006_2019" localSheetId="5">#REF!</definedName>
    <definedName name="_C_c_ROA_PS_12347_2006_2019">#REF!</definedName>
    <definedName name="_C_c_ROE_PD">"_C_c_ROE_PS_12347_2006_2019"</definedName>
    <definedName name="_C_c_ROE_PS_12347_2006_2019" localSheetId="5">#REF!</definedName>
    <definedName name="_C_c_ROE_PS_12347_2006_2019">#REF!</definedName>
    <definedName name="_C_c_ROIC_PD">"_C_c_ROIC_PS_12347_2006_2019"</definedName>
    <definedName name="_C_c_ROIC_PS_12347_2006_2019" localSheetId="5">#REF!</definedName>
    <definedName name="_C_c_ROIC_PS_12347_2006_2019">#REF!</definedName>
    <definedName name="_C_c_TAX_RATE_PD">"_C_c_TAX_RATE_PS_12347_2006_2019"</definedName>
    <definedName name="_C_c_TAX_RATE_PS_12347_2006_2019" localSheetId="5">#REF!</definedName>
    <definedName name="_C_c_TAX_RATE_PS_12347_2006_2019">#REF!</definedName>
    <definedName name="_C_c_TOTAL_CF_PD">"_C_c_TOTAL_CF_PS_12347_2006_2019"</definedName>
    <definedName name="_C_c_TOTAL_CF_PS_12347_2006_2019" localSheetId="5">#REF!</definedName>
    <definedName name="_C_c_TOTAL_CF_PS_12347_2006_2019">#REF!</definedName>
    <definedName name="_C_c_TP_BLUESKY" localSheetId="9">#REF!</definedName>
    <definedName name="_C_c_TP_BLUESKY" localSheetId="5">#REF!</definedName>
    <definedName name="_C_c_TP_BLUESKY">#REF!</definedName>
    <definedName name="_C_c_TP_TROUGH" localSheetId="9">#REF!</definedName>
    <definedName name="_C_c_TP_TROUGH">#REF!</definedName>
    <definedName name="_C_c_TPCOMM_BLUESKY" localSheetId="9">#REF!</definedName>
    <definedName name="_C_c_TPCOMM_BLUESKY">#REF!</definedName>
    <definedName name="_C_c_TPCOMM_TROUGH" localSheetId="9">#REF!</definedName>
    <definedName name="_C_c_TPCOMM_TROUGH">#REF!</definedName>
    <definedName name="_C_c_VAL_METHOD" localSheetId="9">#REF!</definedName>
    <definedName name="_C_c_VAL_METHOD">#REF!</definedName>
    <definedName name="_C_c_WACC_PD">"_C_c_WACC_PS_12347_2006_2019"</definedName>
    <definedName name="_C_c_WACC_PS_12347_2006_2019" localSheetId="5">#REF!</definedName>
    <definedName name="_C_c_WACC_PS_12347_2006_2019">#REF!</definedName>
    <definedName name="_C_CF_SCALE" localSheetId="9">#REF!</definedName>
    <definedName name="_C_CF_SCALE" localSheetId="5">#REF!</definedName>
    <definedName name="_C_CF_SCALE">#REF!</definedName>
    <definedName name="_C_COMPANY_CODE" localSheetId="9">#REF!</definedName>
    <definedName name="_C_COMPANY_CODE">#REF!</definedName>
    <definedName name="_C_FYE_DATE" localSheetId="9">#REF!</definedName>
    <definedName name="_C_FYE_DATE">#REF!</definedName>
    <definedName name="_C_I_EXP_INCL_DA_FLAG" localSheetId="9">#REF!</definedName>
    <definedName name="_C_I_EXP_INCL_DA_FLAG">#REF!</definedName>
    <definedName name="_C_IS_DILUTED" localSheetId="9">#REF!</definedName>
    <definedName name="_C_IS_DILUTED">#REF!</definedName>
    <definedName name="_C_LAST_ACTUAL" localSheetId="9">#REF!</definedName>
    <definedName name="_C_LAST_ACTUAL">#REF!</definedName>
    <definedName name="_C_LAST_ACTUAL_YEAR" localSheetId="9">#REF!</definedName>
    <definedName name="_C_LAST_ACTUAL_YEAR">#REF!</definedName>
    <definedName name="_C_OPEN_ASSUMPTION_PAGES">"RAT|PUB|REALESTATE"</definedName>
    <definedName name="_C_PL_SCALE" localSheetId="5">#REF!</definedName>
    <definedName name="_C_PL_SCALE">#REF!</definedName>
    <definedName name="_C_RATING" localSheetId="9">#REF!</definedName>
    <definedName name="_C_RATING" localSheetId="5">#REF!</definedName>
    <definedName name="_C_RATING">#REF!</definedName>
    <definedName name="_C_REP_CURRENCY" localSheetId="9">#REF!</definedName>
    <definedName name="_C_REP_CURRENCY">#REF!</definedName>
    <definedName name="_C_SH_SCALE" localSheetId="9">#REF!</definedName>
    <definedName name="_C_SH_SCALE">#REF!</definedName>
    <definedName name="_C_TARGET_PRICE" localSheetId="9">#REF!</definedName>
    <definedName name="_C_TARGET_PRICE">#REF!</definedName>
    <definedName name="_C_TEMPLATE_BUSINESS_TYPES">"NONFIN"</definedName>
    <definedName name="_C_TEMPLATE_COIN_DISPLAY">"DEFAULT"</definedName>
    <definedName name="_C_TEMPLATE_CREATED">"#26-Aug-2010 18:53#"</definedName>
    <definedName name="_C_TEMPLATE_CREATED_BY">"bgonsal1"</definedName>
    <definedName name="_C_TEMPLATE_TEMPLATE_NAME">"LIVE"</definedName>
    <definedName name="_C_VALUATION" localSheetId="5">#REF!</definedName>
    <definedName name="_C_VALUATION">#REF!</definedName>
    <definedName name="_c01234" localSheetId="9">Word</definedName>
    <definedName name="_c01234" localSheetId="5">Word</definedName>
    <definedName name="_c01234">Word</definedName>
    <definedName name="_c0321" localSheetId="9">Word</definedName>
    <definedName name="_c0321" localSheetId="5">Word</definedName>
    <definedName name="_c0321">Word</definedName>
    <definedName name="_co1" localSheetId="9">Word</definedName>
    <definedName name="_co1" localSheetId="5">Word</definedName>
    <definedName name="_co1">Word</definedName>
    <definedName name="_co10" localSheetId="9">Word</definedName>
    <definedName name="_co10" localSheetId="5">Word</definedName>
    <definedName name="_co10">Word</definedName>
    <definedName name="_co12" localSheetId="9">Word</definedName>
    <definedName name="_co12" localSheetId="5">Word</definedName>
    <definedName name="_co12">Word</definedName>
    <definedName name="_co123" localSheetId="9">Word</definedName>
    <definedName name="_co123" localSheetId="5">Word</definedName>
    <definedName name="_co123">Word</definedName>
    <definedName name="_co1233" localSheetId="9">Word</definedName>
    <definedName name="_co1233" localSheetId="5">Word</definedName>
    <definedName name="_co1233">Word</definedName>
    <definedName name="_co1234" localSheetId="9">Word</definedName>
    <definedName name="_co1234" localSheetId="5">Word</definedName>
    <definedName name="_co1234">Word</definedName>
    <definedName name="_co124" localSheetId="9">Word</definedName>
    <definedName name="_co124" localSheetId="5">Word</definedName>
    <definedName name="_co124">Word</definedName>
    <definedName name="_CO18" localSheetId="9">Word</definedName>
    <definedName name="_CO18" localSheetId="5">Word</definedName>
    <definedName name="_CO18">Word</definedName>
    <definedName name="_co2" localSheetId="9">Word</definedName>
    <definedName name="_co2" localSheetId="5">Word</definedName>
    <definedName name="_co2">Word</definedName>
    <definedName name="_co21" localSheetId="9">Word</definedName>
    <definedName name="_co21" localSheetId="5">Word</definedName>
    <definedName name="_co21">Word</definedName>
    <definedName name="_co22" localSheetId="9">Word</definedName>
    <definedName name="_co22" localSheetId="5">Word</definedName>
    <definedName name="_co22">Word</definedName>
    <definedName name="_co222" localSheetId="9">Word</definedName>
    <definedName name="_co222" localSheetId="5">Word</definedName>
    <definedName name="_co222">Word</definedName>
    <definedName name="_co23" localSheetId="9">Word</definedName>
    <definedName name="_co23" localSheetId="5">Word</definedName>
    <definedName name="_co23">Word</definedName>
    <definedName name="_co24" localSheetId="9">Word</definedName>
    <definedName name="_co24" localSheetId="5">Word</definedName>
    <definedName name="_co24">Word</definedName>
    <definedName name="_co25" localSheetId="9">Word</definedName>
    <definedName name="_co25" localSheetId="5">Word</definedName>
    <definedName name="_co25">Word</definedName>
    <definedName name="_co3" localSheetId="9">Word</definedName>
    <definedName name="_co3" localSheetId="5">Word</definedName>
    <definedName name="_co3">Word</definedName>
    <definedName name="_co32" localSheetId="9">#REF!</definedName>
    <definedName name="_co32" localSheetId="5">#REF!</definedName>
    <definedName name="_co32">#REF!</definedName>
    <definedName name="_co333" localSheetId="9">Word</definedName>
    <definedName name="_co333" localSheetId="5">Word</definedName>
    <definedName name="_co333">Word</definedName>
    <definedName name="_co34" localSheetId="9">Word</definedName>
    <definedName name="_co34" localSheetId="5">Word</definedName>
    <definedName name="_co34">Word</definedName>
    <definedName name="_co345" localSheetId="9">Word</definedName>
    <definedName name="_co345" localSheetId="5">Word</definedName>
    <definedName name="_co345">Word</definedName>
    <definedName name="_co4" localSheetId="9">Word</definedName>
    <definedName name="_co4" localSheetId="5">Word</definedName>
    <definedName name="_co4">Word</definedName>
    <definedName name="_co456" localSheetId="9">Word</definedName>
    <definedName name="_co456" localSheetId="5">Word</definedName>
    <definedName name="_co456">Word</definedName>
    <definedName name="_co5" localSheetId="9">Word</definedName>
    <definedName name="_co5" localSheetId="5">Word</definedName>
    <definedName name="_co5">Word</definedName>
    <definedName name="_co556" localSheetId="9">Word</definedName>
    <definedName name="_co556" localSheetId="5">Word</definedName>
    <definedName name="_co556">Word</definedName>
    <definedName name="_co56" localSheetId="9">Word</definedName>
    <definedName name="_co56" localSheetId="5">Word</definedName>
    <definedName name="_co56">Word</definedName>
    <definedName name="_co78" localSheetId="9">Word</definedName>
    <definedName name="_co78" localSheetId="5">Word</definedName>
    <definedName name="_co78">Word</definedName>
    <definedName name="_co79" localSheetId="9">Word</definedName>
    <definedName name="_co79" localSheetId="5">Word</definedName>
    <definedName name="_co79">Word</definedName>
    <definedName name="_co8" localSheetId="9">PPt</definedName>
    <definedName name="_co8" localSheetId="5">PPt</definedName>
    <definedName name="_co8">PPt</definedName>
    <definedName name="_co9" localSheetId="9">Word</definedName>
    <definedName name="_co9" localSheetId="5">Word</definedName>
    <definedName name="_co9">Word</definedName>
    <definedName name="_co911" localSheetId="9">Word</definedName>
    <definedName name="_co911" localSheetId="5">Word</definedName>
    <definedName name="_co911">Word</definedName>
    <definedName name="_co912" localSheetId="9">Word</definedName>
    <definedName name="_co912" localSheetId="5">Word</definedName>
    <definedName name="_co912">Word</definedName>
    <definedName name="_CP2" localSheetId="9">Word</definedName>
    <definedName name="_CP2" localSheetId="5">Word</definedName>
    <definedName name="_CP2">Word</definedName>
    <definedName name="_cp3" localSheetId="9">Word</definedName>
    <definedName name="_cp3" localSheetId="5">Word</definedName>
    <definedName name="_cp3">Word</definedName>
    <definedName name="_cp4" localSheetId="9">Word</definedName>
    <definedName name="_cp4" localSheetId="5">Word</definedName>
    <definedName name="_cp4">Word</definedName>
    <definedName name="_DT1" localSheetId="9">Word</definedName>
    <definedName name="_DT1" localSheetId="5">Word</definedName>
    <definedName name="_DT1">Word</definedName>
    <definedName name="_dt2" localSheetId="9">Word</definedName>
    <definedName name="_dt2" localSheetId="5">Word</definedName>
    <definedName name="_dt2">Word</definedName>
    <definedName name="_xlnm._FilterDatabase" localSheetId="9" hidden="1">Tags_ols!$A$1:$IR$629</definedName>
    <definedName name="_fx1">#REF!</definedName>
    <definedName name="_FX2" localSheetId="9">PPt</definedName>
    <definedName name="_FX2" localSheetId="5">PPt</definedName>
    <definedName name="_FX2">PPt</definedName>
    <definedName name="_h9999" localSheetId="9">Word</definedName>
    <definedName name="_h9999" localSheetId="5">Word</definedName>
    <definedName name="_h9999">Word</definedName>
    <definedName name="_I2" localSheetId="4" hidden="1">{"PVGraph2",#N/A,FALSE,"PV Data"}</definedName>
    <definedName name="_I2" localSheetId="6" hidden="1">{"PVGraph2",#N/A,FALSE,"PV Data"}</definedName>
    <definedName name="_I2" localSheetId="0" hidden="1">{"PVGraph2",#N/A,FALSE,"PV Data"}</definedName>
    <definedName name="_I2" localSheetId="9" hidden="1">{"PVGraph2",#N/A,FALSE,"PV Data"}</definedName>
    <definedName name="_I2" localSheetId="5" hidden="1">{"PVGraph2",#N/A,FALSE,"PV Data"}</definedName>
    <definedName name="_I2" hidden="1">{"PVGraph2",#N/A,FALSE,"PV Data"}</definedName>
    <definedName name="_I22" localSheetId="4" hidden="1">{"PVGraph2",#N/A,FALSE,"PV Data"}</definedName>
    <definedName name="_I22" localSheetId="6" hidden="1">{"PVGraph2",#N/A,FALSE,"PV Data"}</definedName>
    <definedName name="_I22" localSheetId="0" hidden="1">{"PVGraph2",#N/A,FALSE,"PV Data"}</definedName>
    <definedName name="_I22" localSheetId="9" hidden="1">{"PVGraph2",#N/A,FALSE,"PV Data"}</definedName>
    <definedName name="_I22" localSheetId="5" hidden="1">{"PVGraph2",#N/A,FALSE,"PV Data"}</definedName>
    <definedName name="_I22" hidden="1">{"PVGraph2",#N/A,FALSE,"PV Data"}</definedName>
    <definedName name="_I3" localSheetId="4" hidden="1">{"PVGraph2",#N/A,FALSE,"PV Data"}</definedName>
    <definedName name="_I3" localSheetId="6" hidden="1">{"PVGraph2",#N/A,FALSE,"PV Data"}</definedName>
    <definedName name="_I3" localSheetId="0" hidden="1">{"PVGraph2",#N/A,FALSE,"PV Data"}</definedName>
    <definedName name="_I3" localSheetId="9" hidden="1">{"PVGraph2",#N/A,FALSE,"PV Data"}</definedName>
    <definedName name="_I3" localSheetId="5" hidden="1">{"PVGraph2",#N/A,FALSE,"PV Data"}</definedName>
    <definedName name="_I3" hidden="1">{"PVGraph2",#N/A,FALSE,"PV Data"}</definedName>
    <definedName name="_I7" localSheetId="9">PPt</definedName>
    <definedName name="_I7" localSheetId="5">PPt</definedName>
    <definedName name="_I7">PPt</definedName>
    <definedName name="_II2" localSheetId="4" hidden="1">{"PVGraph2",#N/A,FALSE,"PV Data"}</definedName>
    <definedName name="_II2" localSheetId="6" hidden="1">{"PVGraph2",#N/A,FALSE,"PV Data"}</definedName>
    <definedName name="_II2" localSheetId="0" hidden="1">{"PVGraph2",#N/A,FALSE,"PV Data"}</definedName>
    <definedName name="_II2" localSheetId="9" hidden="1">{"PVGraph2",#N/A,FALSE,"PV Data"}</definedName>
    <definedName name="_II2" localSheetId="5" hidden="1">{"PVGraph2",#N/A,FALSE,"PV Data"}</definedName>
    <definedName name="_II2" hidden="1">{"PVGraph2",#N/A,FALSE,"PV Data"}</definedName>
    <definedName name="_IPO2" localSheetId="9">PPt</definedName>
    <definedName name="_IPO2" localSheetId="5">PPt</definedName>
    <definedName name="_IPO2">PPt</definedName>
    <definedName name="_K2" localSheetId="9">Word</definedName>
    <definedName name="_K2" localSheetId="5">Word</definedName>
    <definedName name="_K2">Word</definedName>
    <definedName name="_m2" localSheetId="9">Word</definedName>
    <definedName name="_m2" localSheetId="5">Word</definedName>
    <definedName name="_m2">Word</definedName>
    <definedName name="_Num01">#REF!</definedName>
    <definedName name="_Num97">#REF!</definedName>
    <definedName name="_Num98">#REF!</definedName>
    <definedName name="_Num99">#REF!</definedName>
    <definedName name="_Q1" localSheetId="9">Word</definedName>
    <definedName name="_Q1" localSheetId="5">Word</definedName>
    <definedName name="_Q1">Word</definedName>
    <definedName name="_q22" localSheetId="9">Word</definedName>
    <definedName name="_q22" localSheetId="5">Word</definedName>
    <definedName name="_q22">Word</definedName>
    <definedName name="_q234" hidden="1">#REF!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t2">#REF!</definedName>
    <definedName name="_t3">#REF!</definedName>
    <definedName name="_t5">#REF!</definedName>
    <definedName name="_v5555" localSheetId="9">Word</definedName>
    <definedName name="_v5555" localSheetId="5">Word</definedName>
    <definedName name="_v5555">Word</definedName>
    <definedName name="_w1" localSheetId="4" hidden="1">{"PVGraph2",#N/A,FALSE,"PV Data"}</definedName>
    <definedName name="_w1" localSheetId="6" hidden="1">{"PVGraph2",#N/A,FALSE,"PV Data"}</definedName>
    <definedName name="_w1" localSheetId="0" hidden="1">{"PVGraph2",#N/A,FALSE,"PV Data"}</definedName>
    <definedName name="_w1" localSheetId="9" hidden="1">{"PVGraph2",#N/A,FALSE,"PV Data"}</definedName>
    <definedName name="_w1" localSheetId="5" hidden="1">{"PVGraph2",#N/A,FALSE,"PV Data"}</definedName>
    <definedName name="_w1" hidden="1">{"PVGraph2",#N/A,FALSE,"PV Data"}</definedName>
    <definedName name="_w2" localSheetId="4" hidden="1">{"PVGraph2",#N/A,FALSE,"PV Data"}</definedName>
    <definedName name="_w2" localSheetId="6" hidden="1">{"PVGraph2",#N/A,FALSE,"PV Data"}</definedName>
    <definedName name="_w2" localSheetId="0" hidden="1">{"PVGraph2",#N/A,FALSE,"PV Data"}</definedName>
    <definedName name="_w2" localSheetId="9" hidden="1">{"PVGraph2",#N/A,FALSE,"PV Data"}</definedName>
    <definedName name="_w2" localSheetId="5" hidden="1">{"PVGraph2",#N/A,FALSE,"PV Data"}</definedName>
    <definedName name="_w2" hidden="1">{"PVGraph2",#N/A,FALSE,"PV Data"}</definedName>
    <definedName name="_w3" localSheetId="4" hidden="1">{"PVGraph2",#N/A,FALSE,"PV Data"}</definedName>
    <definedName name="_w3" localSheetId="6" hidden="1">{"PVGraph2",#N/A,FALSE,"PV Data"}</definedName>
    <definedName name="_w3" localSheetId="0" hidden="1">{"PVGraph2",#N/A,FALSE,"PV Data"}</definedName>
    <definedName name="_w3" localSheetId="9" hidden="1">{"PVGraph2",#N/A,FALSE,"PV Data"}</definedName>
    <definedName name="_w3" localSheetId="5" hidden="1">{"PVGraph2",#N/A,FALSE,"PV Data"}</definedName>
    <definedName name="_w3" hidden="1">{"PVGraph2",#N/A,FALSE,"PV Data"}</definedName>
    <definedName name="_w4" localSheetId="9">Word</definedName>
    <definedName name="_w4" localSheetId="5">Word</definedName>
    <definedName name="_w4">Word</definedName>
    <definedName name="_w5" localSheetId="9">Word</definedName>
    <definedName name="_w5" localSheetId="5">Word</definedName>
    <definedName name="_w5">Word</definedName>
    <definedName name="_w9" localSheetId="4" hidden="1">{"PVGraph2",#N/A,FALSE,"PV Data"}</definedName>
    <definedName name="_w9" localSheetId="6" hidden="1">{"PVGraph2",#N/A,FALSE,"PV Data"}</definedName>
    <definedName name="_w9" localSheetId="0" hidden="1">{"PVGraph2",#N/A,FALSE,"PV Data"}</definedName>
    <definedName name="_w9" localSheetId="9" hidden="1">{"PVGraph2",#N/A,FALSE,"PV Data"}</definedName>
    <definedName name="_w9" localSheetId="5" hidden="1">{"PVGraph2",#N/A,FALSE,"PV Data"}</definedName>
    <definedName name="_w9" hidden="1">{"PVGraph2",#N/A,FALSE,"PV Data"}</definedName>
    <definedName name="_x2" localSheetId="4" hidden="1">{"PVGraph2",#N/A,FALSE,"PV Data"}</definedName>
    <definedName name="_x2" localSheetId="6" hidden="1">{"PVGraph2",#N/A,FALSE,"PV Data"}</definedName>
    <definedName name="_x2" localSheetId="0" hidden="1">{"PVGraph2",#N/A,FALSE,"PV Data"}</definedName>
    <definedName name="_x2" localSheetId="9" hidden="1">{"PVGraph2",#N/A,FALSE,"PV Data"}</definedName>
    <definedName name="_x2" localSheetId="5" hidden="1">{"PVGraph2",#N/A,FALSE,"PV Data"}</definedName>
    <definedName name="_x2" hidden="1">{"PVGraph2",#N/A,FALSE,"PV Data"}</definedName>
    <definedName name="_y2" localSheetId="4" hidden="1">{"PVGraph2",#N/A,FALSE,"PV Data"}</definedName>
    <definedName name="_y2" localSheetId="6" hidden="1">{"PVGraph2",#N/A,FALSE,"PV Data"}</definedName>
    <definedName name="_y2" localSheetId="0" hidden="1">{"PVGraph2",#N/A,FALSE,"PV Data"}</definedName>
    <definedName name="_y2" localSheetId="9" hidden="1">{"PVGraph2",#N/A,FALSE,"PV Data"}</definedName>
    <definedName name="_y2" localSheetId="5" hidden="1">{"PVGraph2",#N/A,FALSE,"PV Data"}</definedName>
    <definedName name="_y2" hidden="1">{"PVGraph2",#N/A,FALSE,"PV Data"}</definedName>
    <definedName name="a" localSheetId="4" hidden="1">{#N/A,"100% Success",TRUE,"Sales Forecast";#N/A,#N/A,TRUE,"Sheet2"}</definedName>
    <definedName name="a" localSheetId="6" hidden="1">{#N/A,"100% Success",TRUE,"Sales Forecast";#N/A,#N/A,TRUE,"Sheet2"}</definedName>
    <definedName name="a" localSheetId="0" hidden="1">{#N/A,"100% Success",TRUE,"Sales Forecast";#N/A,#N/A,TRUE,"Sheet2"}</definedName>
    <definedName name="a" localSheetId="9" hidden="1">{#N/A,"100% Success",TRUE,"Sales Forecast";#N/A,#N/A,TRUE,"Sheet2"}</definedName>
    <definedName name="a" localSheetId="5" hidden="1">{#N/A,"100% Success",TRUE,"Sales Forecast";#N/A,#N/A,TRUE,"Sheet2"}</definedName>
    <definedName name="a" hidden="1">{#N/A,"100% Success",TRUE,"Sales Forecast";#N/A,#N/A,TRUE,"Sheet2"}</definedName>
    <definedName name="ACCDEP_1995">Tags_ols!$B$150</definedName>
    <definedName name="ACCDEP_1996">Tags_ols!$C$150</definedName>
    <definedName name="ACCDEP_1997">Tags_ols!$D$150</definedName>
    <definedName name="ACCDEP_1998">Tags_ols!$E$150</definedName>
    <definedName name="ACCDEP_1999">Tags_ols!$F$150</definedName>
    <definedName name="ACCDEP_1Q00" localSheetId="10">Tags!$G$150</definedName>
    <definedName name="ACCDEP_1Q00">Tags_ols!$G$150</definedName>
    <definedName name="ACCDEP_1Q01" localSheetId="10">Tags!$L$150</definedName>
    <definedName name="ACCDEP_1Q01">Tags_ols!$L$150</definedName>
    <definedName name="ACCDEP_1Q02" localSheetId="10">Tags!$Q$150</definedName>
    <definedName name="ACCDEP_1Q02">Tags_ols!$Q$150</definedName>
    <definedName name="ACCDEP_1Q03" localSheetId="10">Tags!$V$150</definedName>
    <definedName name="ACCDEP_1Q03">Tags_ols!$V$150</definedName>
    <definedName name="ACCDEP_1Q04" localSheetId="10">Tags!$AA$150</definedName>
    <definedName name="ACCDEP_1Q04">Tags_ols!$AA$150</definedName>
    <definedName name="ACCDEP_1Q05" localSheetId="10">Tags!$AF$150</definedName>
    <definedName name="ACCDEP_1Q05">Tags_ols!$AF$150</definedName>
    <definedName name="ACCDEP_1Q06" localSheetId="10">Tags!$AK$150</definedName>
    <definedName name="ACCDEP_1Q06">Tags_ols!$AK$150</definedName>
    <definedName name="ACCDEP_1Q07" localSheetId="10">Tags!$AP$150</definedName>
    <definedName name="ACCDEP_1Q07">Tags_ols!$AP$150</definedName>
    <definedName name="ACCDEP_1Q08" localSheetId="10">Tags!$AU$150</definedName>
    <definedName name="ACCDEP_1Q08">Tags_ols!$AU$150</definedName>
    <definedName name="ACCDEP_1Q09" localSheetId="10">Tags!$AZ$150</definedName>
    <definedName name="ACCDEP_1Q09">Tags_ols!$AZ$150</definedName>
    <definedName name="ACCDEP_1Q10" localSheetId="10">Tags!$BE$150</definedName>
    <definedName name="ACCDEP_1Q10">Tags_ols!$BE$150</definedName>
    <definedName name="ACCDEP_1Q11" localSheetId="10">Tags!$BJ$150</definedName>
    <definedName name="ACCDEP_1Q11">Tags_ols!$BJ$150</definedName>
    <definedName name="ACCDEP_1Q12" localSheetId="10">Tags!$BO$150</definedName>
    <definedName name="ACCDEP_1Q12">Tags_ols!$BO$150</definedName>
    <definedName name="ACCDEP_1Q13" localSheetId="10">Tags!$BT$150</definedName>
    <definedName name="ACCDEP_1Q13">Tags_ols!$BT$150</definedName>
    <definedName name="ACCDEP_1Q14" localSheetId="10">Tags!$BY$150</definedName>
    <definedName name="ACCDEP_1Q14">Tags_ols!$BY$150</definedName>
    <definedName name="ACCDEP_1Q15" localSheetId="10">Tags!$CD$150</definedName>
    <definedName name="ACCDEP_1Q15">Tags_ols!$CD$150</definedName>
    <definedName name="ACCDEP_1Q16" localSheetId="10">Tags!$CI$150</definedName>
    <definedName name="ACCDEP_1Q16">Tags_ols!$CI$150</definedName>
    <definedName name="ACCDEP_1Q17" localSheetId="10">Tags!$CN$150</definedName>
    <definedName name="ACCDEP_1Q17">Tags_ols!$CN$150</definedName>
    <definedName name="ACCDEP_1Q18" localSheetId="10">Tags!$CS$150</definedName>
    <definedName name="ACCDEP_1Q18">Tags_ols!$CS$150</definedName>
    <definedName name="ACCDEP_1Q19" localSheetId="10">Tags!$CX$150</definedName>
    <definedName name="ACCDEP_1Q19">Tags_ols!$CX$150</definedName>
    <definedName name="ACCDEP_1Q20" localSheetId="10">Tags!$DC$150</definedName>
    <definedName name="ACCDEP_1Q20">Tags_ols!$DC$150</definedName>
    <definedName name="ACCDEP_1Q21">Tags!$DH$150</definedName>
    <definedName name="ACCDEP_1Q22">Tags!$DM$150</definedName>
    <definedName name="ACCDEP_1Q23">Tags!$DR$150</definedName>
    <definedName name="ACCDEP_1Q24">Tags!$DW$150</definedName>
    <definedName name="ACCDEP_2000" localSheetId="10">Tags!$K$150</definedName>
    <definedName name="ACCDEP_2000">Tags_ols!$K$150</definedName>
    <definedName name="ACCDEP_2001" localSheetId="10">Tags!$P$150</definedName>
    <definedName name="ACCDEP_2001">Tags_ols!$P$150</definedName>
    <definedName name="ACCDEP_2002" localSheetId="10">Tags!$U$150</definedName>
    <definedName name="ACCDEP_2002">Tags_ols!$U$150</definedName>
    <definedName name="ACCDEP_2003" localSheetId="10">Tags!$Z$150</definedName>
    <definedName name="ACCDEP_2003">Tags_ols!$Z$150</definedName>
    <definedName name="ACCDEP_2004" localSheetId="10">Tags!$AE$150</definedName>
    <definedName name="ACCDEP_2004">Tags_ols!$AE$150</definedName>
    <definedName name="ACCDEP_2005" localSheetId="10">Tags!$AJ$150</definedName>
    <definedName name="ACCDEP_2005">Tags_ols!$AJ$150</definedName>
    <definedName name="ACCDEP_2006" localSheetId="10">Tags!$AO$150</definedName>
    <definedName name="ACCDEP_2006">Tags_ols!$AO$150</definedName>
    <definedName name="ACCDEP_2007" localSheetId="10">Tags!$AT$150</definedName>
    <definedName name="ACCDEP_2007">Tags_ols!$AT$150</definedName>
    <definedName name="ACCDEP_2008" localSheetId="10">Tags!$AY$150</definedName>
    <definedName name="ACCDEP_2008">Tags_ols!$AY$150</definedName>
    <definedName name="ACCDEP_2009" localSheetId="10">Tags!$BD$150</definedName>
    <definedName name="ACCDEP_2009">Tags_ols!$BD$150</definedName>
    <definedName name="ACCDEP_2010" localSheetId="10">Tags!$BI$150</definedName>
    <definedName name="ACCDEP_2010">Tags_ols!$BI$150</definedName>
    <definedName name="ACCDEP_2011" localSheetId="10">Tags!$BN$150</definedName>
    <definedName name="ACCDEP_2011">Tags_ols!$BN$150</definedName>
    <definedName name="ACCDEP_2012" localSheetId="10">Tags!$BS$150</definedName>
    <definedName name="ACCDEP_2012">Tags_ols!$BS$150</definedName>
    <definedName name="ACCDEP_2013" localSheetId="10">Tags!$BX$150</definedName>
    <definedName name="ACCDEP_2013">Tags_ols!$BX$150</definedName>
    <definedName name="ACCDEP_2014" localSheetId="10">Tags!$CC$150</definedName>
    <definedName name="ACCDEP_2014">Tags_ols!$CC$150</definedName>
    <definedName name="ACCDEP_2015" localSheetId="10">Tags!#REF!</definedName>
    <definedName name="ACCDEP_2015">Tags!$CH$150</definedName>
    <definedName name="ACCDEP_2016" localSheetId="10">Tags!$CM$150</definedName>
    <definedName name="ACCDEP_2016">Tags_ols!$CM$150</definedName>
    <definedName name="ACCDEP_2017" localSheetId="10">Tags!$CR$150</definedName>
    <definedName name="ACCDEP_2017">Tags_ols!$CR$150</definedName>
    <definedName name="ACCDEP_2018" localSheetId="10">Tags!$CW$150</definedName>
    <definedName name="ACCDEP_2018">Tags_ols!$CW$150</definedName>
    <definedName name="ACCDEP_2019" localSheetId="10">Tags!$DB$150</definedName>
    <definedName name="ACCDEP_2019">Tags_ols!$DB$150</definedName>
    <definedName name="ACCDEP_2020" localSheetId="10">Tags!$DG$150</definedName>
    <definedName name="ACCDEP_2020">Tags_ols!$DG$150</definedName>
    <definedName name="ACCDEP_2021">Tags!$DL$150</definedName>
    <definedName name="ACCDEP_2022">Tags!$DQ$150</definedName>
    <definedName name="ACCDEP_2023">Tags!$DV$150</definedName>
    <definedName name="ACCDEP_2024">Tags!$EA$150</definedName>
    <definedName name="ACCDEP_2Q00" localSheetId="10">Tags!$H$150</definedName>
    <definedName name="ACCDEP_2Q00">Tags_ols!$H$150</definedName>
    <definedName name="ACCDEP_2Q01" localSheetId="10">Tags!$M$150</definedName>
    <definedName name="ACCDEP_2Q01">Tags_ols!$M$150</definedName>
    <definedName name="ACCDEP_2Q02" localSheetId="10">Tags!$R$150</definedName>
    <definedName name="ACCDEP_2Q02">Tags_ols!$R$150</definedName>
    <definedName name="ACCDEP_2Q03" localSheetId="10">Tags!$W$150</definedName>
    <definedName name="ACCDEP_2Q03">Tags_ols!$W$150</definedName>
    <definedName name="ACCDEP_2Q04" localSheetId="10">Tags!$AB$150</definedName>
    <definedName name="ACCDEP_2Q04">Tags_ols!$AB$150</definedName>
    <definedName name="ACCDEP_2Q05" localSheetId="10">Tags!$AG$150</definedName>
    <definedName name="ACCDEP_2Q05">Tags_ols!$AG$150</definedName>
    <definedName name="ACCDEP_2Q06" localSheetId="10">Tags!$AL$150</definedName>
    <definedName name="ACCDEP_2Q06">Tags_ols!$AL$150</definedName>
    <definedName name="ACCDEP_2Q07" localSheetId="10">Tags!$AQ$150</definedName>
    <definedName name="ACCDEP_2Q07">Tags_ols!$AQ$150</definedName>
    <definedName name="ACCDEP_2Q08" localSheetId="10">Tags!$AV$150</definedName>
    <definedName name="ACCDEP_2Q08">Tags_ols!$AV$150</definedName>
    <definedName name="ACCDEP_2Q09" localSheetId="10">Tags!$BA$150</definedName>
    <definedName name="ACCDEP_2Q09">Tags_ols!$BA$150</definedName>
    <definedName name="ACCDEP_2Q10" localSheetId="10">Tags!$BF$150</definedName>
    <definedName name="ACCDEP_2Q10">Tags_ols!$BF$150</definedName>
    <definedName name="ACCDEP_2Q11" localSheetId="10">Tags!$BK$150</definedName>
    <definedName name="ACCDEP_2Q11">Tags_ols!$BK$150</definedName>
    <definedName name="ACCDEP_2Q12" localSheetId="10">Tags!$BP$150</definedName>
    <definedName name="ACCDEP_2Q12">Tags_ols!$BP$150</definedName>
    <definedName name="ACCDEP_2Q13" localSheetId="10">Tags!$BU$150</definedName>
    <definedName name="ACCDEP_2Q13">Tags_ols!$BU$150</definedName>
    <definedName name="ACCDEP_2Q14" localSheetId="10">Tags!$BZ$150</definedName>
    <definedName name="ACCDEP_2Q14">Tags_ols!$BZ$150</definedName>
    <definedName name="ACCDEP_2Q15" localSheetId="10">Tags!$CE$150</definedName>
    <definedName name="ACCDEP_2Q15">Tags_ols!$CE$150</definedName>
    <definedName name="ACCDEP_2Q16" localSheetId="10">Tags!$CJ$150</definedName>
    <definedName name="ACCDEP_2Q16">Tags_ols!$CJ$150</definedName>
    <definedName name="ACCDEP_2Q17" localSheetId="10">Tags!$CO$150</definedName>
    <definedName name="ACCDEP_2Q17">Tags_ols!$CO$150</definedName>
    <definedName name="ACCDEP_2Q18" localSheetId="10">Tags!$CT$150</definedName>
    <definedName name="ACCDEP_2Q18">Tags_ols!$CT$150</definedName>
    <definedName name="ACCDEP_2Q19" localSheetId="10">Tags!$CY$150</definedName>
    <definedName name="ACCDEP_2Q19">Tags_ols!$CY$150</definedName>
    <definedName name="ACCDEP_2Q20" localSheetId="10">Tags!$DD$150</definedName>
    <definedName name="ACCDEP_2Q20">Tags_ols!$DD$150</definedName>
    <definedName name="ACCDEP_2Q21">Tags!$DI$150</definedName>
    <definedName name="ACCDEP_2Q22">Tags!$DN$150</definedName>
    <definedName name="ACCDEP_2Q23">Tags!$DS$150</definedName>
    <definedName name="ACCDEP_2Q24">Tags!$DX$150</definedName>
    <definedName name="ACCDEP_3Q00" localSheetId="10">Tags!$I$150</definedName>
    <definedName name="ACCDEP_3Q00">Tags_ols!$I$150</definedName>
    <definedName name="ACCDEP_3Q01" localSheetId="10">Tags!$N$150</definedName>
    <definedName name="ACCDEP_3Q01">Tags_ols!$N$150</definedName>
    <definedName name="ACCDEP_3Q02" localSheetId="10">Tags!$S$150</definedName>
    <definedName name="ACCDEP_3Q02">Tags_ols!$S$150</definedName>
    <definedName name="ACCDEP_3Q03" localSheetId="10">Tags!$X$150</definedName>
    <definedName name="ACCDEP_3Q03">Tags_ols!$X$150</definedName>
    <definedName name="ACCDEP_3Q04" localSheetId="10">Tags!$AC$150</definedName>
    <definedName name="ACCDEP_3Q04">Tags_ols!$AC$150</definedName>
    <definedName name="ACCDEP_3Q05" localSheetId="10">Tags!$AH$150</definedName>
    <definedName name="ACCDEP_3Q05">Tags_ols!$AH$150</definedName>
    <definedName name="ACCDEP_3Q06" localSheetId="10">Tags!$AM$150</definedName>
    <definedName name="ACCDEP_3Q06">Tags_ols!$AM$150</definedName>
    <definedName name="ACCDEP_3Q07" localSheetId="10">Tags!$AR$150</definedName>
    <definedName name="ACCDEP_3Q07">Tags_ols!$AR$150</definedName>
    <definedName name="ACCDEP_3Q08" localSheetId="10">Tags!$AW$150</definedName>
    <definedName name="ACCDEP_3Q08">Tags_ols!$AW$150</definedName>
    <definedName name="ACCDEP_3Q09" localSheetId="10">Tags!$BB$150</definedName>
    <definedName name="ACCDEP_3Q09">Tags_ols!$BB$150</definedName>
    <definedName name="ACCDEP_3Q10" localSheetId="10">Tags!$BG$150</definedName>
    <definedName name="ACCDEP_3Q10">Tags_ols!$BG$150</definedName>
    <definedName name="ACCDEP_3Q11" localSheetId="10">Tags!$BL$150</definedName>
    <definedName name="ACCDEP_3Q11">Tags_ols!$BL$150</definedName>
    <definedName name="ACCDEP_3Q12" localSheetId="10">Tags!$BQ$150</definedName>
    <definedName name="ACCDEP_3Q12">Tags_ols!$BQ$150</definedName>
    <definedName name="ACCDEP_3Q13" localSheetId="10">Tags!$BV$150</definedName>
    <definedName name="ACCDEP_3Q13">Tags_ols!$BV$150</definedName>
    <definedName name="ACCDEP_3Q14" localSheetId="10">Tags!$CA$150</definedName>
    <definedName name="ACCDEP_3Q14">Tags_ols!$CA$150</definedName>
    <definedName name="ACCDEP_3Q15" localSheetId="10">Tags!$CF$150</definedName>
    <definedName name="ACCDEP_3Q15">Tags_ols!$CF$150</definedName>
    <definedName name="ACCDEP_3Q16" localSheetId="10">Tags!$CK$150</definedName>
    <definedName name="ACCDEP_3Q16">Tags_ols!$CK$150</definedName>
    <definedName name="ACCDEP_3Q17" localSheetId="10">Tags!$CP$150</definedName>
    <definedName name="ACCDEP_3Q17">Tags_ols!$CP$150</definedName>
    <definedName name="ACCDEP_3Q18" localSheetId="10">Tags!$CU$150</definedName>
    <definedName name="ACCDEP_3Q18">Tags_ols!$CU$150</definedName>
    <definedName name="ACCDEP_3Q19" localSheetId="10">Tags!$CZ$150</definedName>
    <definedName name="ACCDEP_3Q19">Tags_ols!$CZ$150</definedName>
    <definedName name="ACCDEP_3Q20" localSheetId="10">Tags!$DE$150</definedName>
    <definedName name="ACCDEP_3Q20">Tags_ols!$DE$150</definedName>
    <definedName name="ACCDEP_3Q21">Tags!$DJ$150</definedName>
    <definedName name="ACCDEP_3Q22">Tags!$DO$150</definedName>
    <definedName name="ACCDEP_3Q23">Tags!$DT$150</definedName>
    <definedName name="ACCDEP_3Q24">Tags!$DY$150</definedName>
    <definedName name="ACCDEP_4Q00" localSheetId="10">Tags!$J$150</definedName>
    <definedName name="ACCDEP_4Q00">Tags_ols!$J$150</definedName>
    <definedName name="ACCDEP_4Q01" localSheetId="10">Tags!$O$150</definedName>
    <definedName name="ACCDEP_4Q01">Tags_ols!$O$150</definedName>
    <definedName name="ACCDEP_4Q02" localSheetId="10">Tags!$T$150</definedName>
    <definedName name="ACCDEP_4Q02">Tags_ols!$T$150</definedName>
    <definedName name="ACCDEP_4Q03" localSheetId="10">Tags!$Y$150</definedName>
    <definedName name="ACCDEP_4Q03">Tags_ols!$Y$150</definedName>
    <definedName name="ACCDEP_4Q04" localSheetId="10">Tags!$AD$150</definedName>
    <definedName name="ACCDEP_4Q04">Tags_ols!$AD$150</definedName>
    <definedName name="ACCDEP_4Q05" localSheetId="10">Tags!$AI$150</definedName>
    <definedName name="ACCDEP_4Q05">Tags_ols!$AI$150</definedName>
    <definedName name="ACCDEP_4Q06" localSheetId="10">Tags!$AN$150</definedName>
    <definedName name="ACCDEP_4Q06">Tags_ols!$AN$150</definedName>
    <definedName name="ACCDEP_4Q07" localSheetId="10">Tags!$AS$150</definedName>
    <definedName name="ACCDEP_4Q07">Tags_ols!$AS$150</definedName>
    <definedName name="ACCDEP_4Q08" localSheetId="10">Tags!$AX$150</definedName>
    <definedName name="ACCDEP_4Q08">Tags_ols!$AX$150</definedName>
    <definedName name="ACCDEP_4Q09" localSheetId="10">Tags!$BC$150</definedName>
    <definedName name="ACCDEP_4Q09">Tags_ols!$BC$150</definedName>
    <definedName name="ACCDEP_4Q10" localSheetId="10">Tags!$BH$150</definedName>
    <definedName name="ACCDEP_4Q10">Tags_ols!$BH$150</definedName>
    <definedName name="ACCDEP_4Q11" localSheetId="10">Tags!$BM$150</definedName>
    <definedName name="ACCDEP_4Q11">Tags_ols!$BM$150</definedName>
    <definedName name="ACCDEP_4Q12" localSheetId="10">Tags!$BR$150</definedName>
    <definedName name="ACCDEP_4Q12">Tags_ols!$BR$150</definedName>
    <definedName name="ACCDEP_4Q13" localSheetId="10">Tags!$BW$150</definedName>
    <definedName name="ACCDEP_4Q13">Tags_ols!$BW$150</definedName>
    <definedName name="ACCDEP_4Q14" localSheetId="10">Tags!$CB$150</definedName>
    <definedName name="ACCDEP_4Q14">Tags_ols!$CB$150</definedName>
    <definedName name="ACCDEP_4Q15" localSheetId="10">Tags!$CG$150</definedName>
    <definedName name="ACCDEP_4Q15">Tags_ols!$CG$150</definedName>
    <definedName name="ACCDEP_4Q16" localSheetId="10">Tags!$CL$150</definedName>
    <definedName name="ACCDEP_4Q16">Tags_ols!$CL$150</definedName>
    <definedName name="ACCDEP_4Q17" localSheetId="10">Tags!$CQ$150</definedName>
    <definedName name="ACCDEP_4Q17">Tags_ols!$CQ$150</definedName>
    <definedName name="ACCDEP_4Q18" localSheetId="10">Tags!$CV$150</definedName>
    <definedName name="ACCDEP_4Q18">Tags_ols!$CV$150</definedName>
    <definedName name="ACCDEP_4Q19" localSheetId="10">Tags!$DA$150</definedName>
    <definedName name="ACCDEP_4Q19">Tags_ols!$DA$150</definedName>
    <definedName name="ACCDEP_4Q20" localSheetId="10">Tags!$DF$150</definedName>
    <definedName name="ACCDEP_4Q20">Tags_ols!$DF$150</definedName>
    <definedName name="ACCDEP_4Q21">Tags!$DK$150</definedName>
    <definedName name="ACCDEP_4Q22">Tags!$DP$150</definedName>
    <definedName name="ACCDEP_4Q23">Tags!$DU$150</definedName>
    <definedName name="ACCDEP_4Q24">Tags!$DZ$150</definedName>
    <definedName name="ACCREC_1995">Tags_ols!$B$145</definedName>
    <definedName name="ACCREC_1996">Tags_ols!$C$145</definedName>
    <definedName name="ACCREC_1997">Tags_ols!$D$145</definedName>
    <definedName name="ACCREC_1998">Tags_ols!$E$145</definedName>
    <definedName name="ACCREC_1999">Tags_ols!$F$145</definedName>
    <definedName name="ACCREC_1Q00" localSheetId="10">Tags!$G$145</definedName>
    <definedName name="ACCREC_1Q00">Tags_ols!$G$145</definedName>
    <definedName name="ACCREC_1Q01" localSheetId="10">Tags!$L$145</definedName>
    <definedName name="ACCREC_1Q01">Tags_ols!$L$145</definedName>
    <definedName name="ACCREC_1Q02" localSheetId="10">Tags!$Q$145</definedName>
    <definedName name="ACCREC_1Q02">Tags_ols!$Q$145</definedName>
    <definedName name="ACCREC_1Q03" localSheetId="10">Tags!$V$145</definedName>
    <definedName name="ACCREC_1Q03">Tags_ols!$V$145</definedName>
    <definedName name="ACCREC_1Q04" localSheetId="10">Tags!$AA$145</definedName>
    <definedName name="ACCREC_1Q04">Tags_ols!$AA$145</definedName>
    <definedName name="ACCREC_1Q05" localSheetId="10">Tags!$AF$145</definedName>
    <definedName name="ACCREC_1Q05">Tags_ols!$AF$145</definedName>
    <definedName name="ACCREC_1Q06" localSheetId="10">Tags!$AK$145</definedName>
    <definedName name="ACCREC_1Q06">Tags_ols!$AK$145</definedName>
    <definedName name="ACCREC_1Q07" localSheetId="10">Tags!$AP$145</definedName>
    <definedName name="ACCREC_1Q07">Tags_ols!$AP$145</definedName>
    <definedName name="ACCREC_1Q08" localSheetId="10">Tags!$AU$145</definedName>
    <definedName name="ACCREC_1Q08">Tags_ols!$AU$145</definedName>
    <definedName name="ACCREC_1Q09" localSheetId="10">Tags!$AZ$145</definedName>
    <definedName name="ACCREC_1Q09">Tags_ols!$AZ$145</definedName>
    <definedName name="ACCREC_1Q10" localSheetId="10">Tags!$BE$145</definedName>
    <definedName name="ACCREC_1Q10">Tags_ols!$BE$145</definedName>
    <definedName name="ACCREC_1Q11" localSheetId="10">Tags!$BJ$145</definedName>
    <definedName name="ACCREC_1Q11">Tags_ols!$BJ$145</definedName>
    <definedName name="ACCREC_1Q12" localSheetId="10">Tags!$BO$145</definedName>
    <definedName name="ACCREC_1Q12">Tags_ols!$BO$145</definedName>
    <definedName name="ACCREC_1Q13" localSheetId="10">Tags!$BT$145</definedName>
    <definedName name="ACCREC_1Q13">Tags_ols!$BT$145</definedName>
    <definedName name="ACCREC_1Q14" localSheetId="10">Tags!$BY$145</definedName>
    <definedName name="ACCREC_1Q14">Tags_ols!$BY$145</definedName>
    <definedName name="ACCREC_1Q15" localSheetId="10">Tags!$CD$145</definedName>
    <definedName name="ACCREC_1Q15">Tags_ols!$CD$145</definedName>
    <definedName name="ACCREC_1Q16" localSheetId="10">Tags!$CI$145</definedName>
    <definedName name="ACCREC_1Q16">Tags_ols!$CI$145</definedName>
    <definedName name="ACCREC_1Q17" localSheetId="10">Tags!$CN$145</definedName>
    <definedName name="ACCREC_1Q17">Tags_ols!$CN$145</definedName>
    <definedName name="ACCREC_1Q18" localSheetId="10">Tags!$CS$145</definedName>
    <definedName name="ACCREC_1Q18">Tags_ols!$CS$145</definedName>
    <definedName name="ACCREC_1Q19" localSheetId="10">Tags!$CX$145</definedName>
    <definedName name="ACCREC_1Q19">Tags_ols!$CX$145</definedName>
    <definedName name="ACCREC_1Q20" localSheetId="10">Tags!$DC$145</definedName>
    <definedName name="ACCREC_1Q20">Tags_ols!$DC$145</definedName>
    <definedName name="ACCREC_1Q21">Tags!$DH$145</definedName>
    <definedName name="ACCREC_1Q22">Tags!$DM$145</definedName>
    <definedName name="ACCREC_1Q23">Tags!$DR$145</definedName>
    <definedName name="ACCREC_1Q24">Tags!$DW$145</definedName>
    <definedName name="ACCREC_2000" localSheetId="10">Tags!$K$145</definedName>
    <definedName name="ACCREC_2000">Tags_ols!$K$145</definedName>
    <definedName name="ACCREC_2001" localSheetId="10">Tags!$P$145</definedName>
    <definedName name="ACCREC_2001">Tags_ols!$P$145</definedName>
    <definedName name="ACCREC_2002" localSheetId="10">Tags!$U$145</definedName>
    <definedName name="ACCREC_2002">Tags_ols!$U$145</definedName>
    <definedName name="ACCREC_2003" localSheetId="10">Tags!$Z$145</definedName>
    <definedName name="ACCREC_2003">Tags_ols!$Z$145</definedName>
    <definedName name="ACCREC_2004" localSheetId="10">Tags!$AE$145</definedName>
    <definedName name="ACCREC_2004">Tags_ols!$AE$145</definedName>
    <definedName name="ACCREC_2005" localSheetId="10">Tags!$AJ$145</definedName>
    <definedName name="ACCREC_2005">Tags_ols!$AJ$145</definedName>
    <definedName name="ACCREC_2006" localSheetId="10">Tags!$AO$145</definedName>
    <definedName name="ACCREC_2006">Tags_ols!$AO$145</definedName>
    <definedName name="ACCREC_2007" localSheetId="10">Tags!$AT$145</definedName>
    <definedName name="ACCREC_2007">Tags_ols!$AT$145</definedName>
    <definedName name="ACCREC_2008" localSheetId="10">Tags!$AY$145</definedName>
    <definedName name="ACCREC_2008">Tags_ols!$AY$145</definedName>
    <definedName name="ACCREC_2009" localSheetId="10">Tags!$BD$145</definedName>
    <definedName name="ACCREC_2009">Tags_ols!$BD$145</definedName>
    <definedName name="ACCREC_2010" localSheetId="10">Tags!$BI$145</definedName>
    <definedName name="ACCREC_2010">Tags_ols!$BI$145</definedName>
    <definedName name="ACCREC_2011" localSheetId="10">Tags!$BN$145</definedName>
    <definedName name="ACCREC_2011">Tags_ols!$BN$145</definedName>
    <definedName name="ACCREC_2012" localSheetId="10">Tags!$BS$145</definedName>
    <definedName name="ACCREC_2012">Tags_ols!$BS$145</definedName>
    <definedName name="ACCREC_2013" localSheetId="10">Tags!$BX$145</definedName>
    <definedName name="ACCREC_2013">Tags_ols!$BX$145</definedName>
    <definedName name="ACCREC_2014" localSheetId="10">Tags!$CC$145</definedName>
    <definedName name="ACCREC_2014">Tags_ols!$CC$145</definedName>
    <definedName name="ACCREC_2015" localSheetId="10">Tags!#REF!</definedName>
    <definedName name="ACCREC_2015">Tags!$CH$145</definedName>
    <definedName name="ACCREC_2016" localSheetId="10">Tags!$CM$145</definedName>
    <definedName name="ACCREC_2016">Tags_ols!$CM$145</definedName>
    <definedName name="ACCREC_2017" localSheetId="10">Tags!$CR$145</definedName>
    <definedName name="ACCREC_2017">Tags_ols!$CR$145</definedName>
    <definedName name="ACCREC_2018" localSheetId="10">Tags!$CW$145</definedName>
    <definedName name="ACCREC_2018">Tags_ols!$CW$145</definedName>
    <definedName name="ACCREC_2019" localSheetId="10">Tags!$DB$145</definedName>
    <definedName name="ACCREC_2019">Tags_ols!$DB$145</definedName>
    <definedName name="ACCREC_2020" localSheetId="10">Tags!$DG$145</definedName>
    <definedName name="ACCREC_2020">Tags_ols!$DG$145</definedName>
    <definedName name="ACCREC_2021">Tags!$DL$145</definedName>
    <definedName name="ACCREC_2022">Tags!$DQ$145</definedName>
    <definedName name="ACCREC_2023">Tags!$DV$145</definedName>
    <definedName name="ACCREC_2024">Tags!$EA$145</definedName>
    <definedName name="ACCREC_2Q00" localSheetId="10">Tags!$H$145</definedName>
    <definedName name="ACCREC_2Q00">Tags_ols!$H$145</definedName>
    <definedName name="ACCREC_2Q01" localSheetId="10">Tags!$M$145</definedName>
    <definedName name="ACCREC_2Q01">Tags_ols!$M$145</definedName>
    <definedName name="ACCREC_2Q02" localSheetId="10">Tags!$R$145</definedName>
    <definedName name="ACCREC_2Q02">Tags_ols!$R$145</definedName>
    <definedName name="ACCREC_2Q03" localSheetId="10">Tags!$W$145</definedName>
    <definedName name="ACCREC_2Q03">Tags_ols!$W$145</definedName>
    <definedName name="ACCREC_2Q04" localSheetId="10">Tags!$AB$145</definedName>
    <definedName name="ACCREC_2Q04">Tags_ols!$AB$145</definedName>
    <definedName name="ACCREC_2Q05" localSheetId="10">Tags!$AG$145</definedName>
    <definedName name="ACCREC_2Q05">Tags_ols!$AG$145</definedName>
    <definedName name="ACCREC_2Q06" localSheetId="10">Tags!$AL$145</definedName>
    <definedName name="ACCREC_2Q06">Tags_ols!$AL$145</definedName>
    <definedName name="ACCREC_2Q07" localSheetId="10">Tags!$AQ$145</definedName>
    <definedName name="ACCREC_2Q07">Tags_ols!$AQ$145</definedName>
    <definedName name="ACCREC_2Q08" localSheetId="10">Tags!$AV$145</definedName>
    <definedName name="ACCREC_2Q08">Tags_ols!$AV$145</definedName>
    <definedName name="ACCREC_2Q09" localSheetId="10">Tags!$BA$145</definedName>
    <definedName name="ACCREC_2Q09">Tags_ols!$BA$145</definedName>
    <definedName name="ACCREC_2Q10" localSheetId="10">Tags!$BF$145</definedName>
    <definedName name="ACCREC_2Q10">Tags_ols!$BF$145</definedName>
    <definedName name="ACCREC_2Q11" localSheetId="10">Tags!$BK$145</definedName>
    <definedName name="ACCREC_2Q11">Tags_ols!$BK$145</definedName>
    <definedName name="ACCREC_2Q12" localSheetId="10">Tags!$BP$145</definedName>
    <definedName name="ACCREC_2Q12">Tags_ols!$BP$145</definedName>
    <definedName name="ACCREC_2Q13" localSheetId="10">Tags!$BU$145</definedName>
    <definedName name="ACCREC_2Q13">Tags_ols!$BU$145</definedName>
    <definedName name="ACCREC_2Q14" localSheetId="10">Tags!$BZ$145</definedName>
    <definedName name="ACCREC_2Q14">Tags_ols!$BZ$145</definedName>
    <definedName name="ACCREC_2Q15" localSheetId="10">Tags!$CE$145</definedName>
    <definedName name="ACCREC_2Q15">Tags_ols!$CE$145</definedName>
    <definedName name="ACCREC_2Q16" localSheetId="10">Tags!$CJ$145</definedName>
    <definedName name="ACCREC_2Q16">Tags_ols!$CJ$145</definedName>
    <definedName name="ACCREC_2Q17" localSheetId="10">Tags!$CO$145</definedName>
    <definedName name="ACCREC_2Q17">Tags_ols!$CO$145</definedName>
    <definedName name="ACCREC_2Q18" localSheetId="10">Tags!$CT$145</definedName>
    <definedName name="ACCREC_2Q18">Tags_ols!$CT$145</definedName>
    <definedName name="ACCREC_2Q19" localSheetId="10">Tags!$CY$145</definedName>
    <definedName name="ACCREC_2Q19">Tags_ols!$CY$145</definedName>
    <definedName name="ACCREC_2Q20" localSheetId="10">Tags!$DD$145</definedName>
    <definedName name="ACCREC_2Q20">Tags_ols!$DD$145</definedName>
    <definedName name="ACCREC_2Q21">Tags!$DI$145</definedName>
    <definedName name="ACCREC_2Q22">Tags!$DN$145</definedName>
    <definedName name="ACCREC_2Q23">Tags!$DS$145</definedName>
    <definedName name="ACCREC_2Q24">Tags!$DX$145</definedName>
    <definedName name="ACCREC_3Q00" localSheetId="10">Tags!$I$145</definedName>
    <definedName name="ACCREC_3Q00">Tags_ols!$I$145</definedName>
    <definedName name="ACCREC_3Q01" localSheetId="10">Tags!$N$145</definedName>
    <definedName name="ACCREC_3Q01">Tags_ols!$N$145</definedName>
    <definedName name="ACCREC_3Q02" localSheetId="10">Tags!$S$145</definedName>
    <definedName name="ACCREC_3Q02">Tags_ols!$S$145</definedName>
    <definedName name="ACCREC_3Q03" localSheetId="10">Tags!$X$145</definedName>
    <definedName name="ACCREC_3Q03">Tags_ols!$X$145</definedName>
    <definedName name="ACCREC_3Q04" localSheetId="10">Tags!$AC$145</definedName>
    <definedName name="ACCREC_3Q04">Tags_ols!$AC$145</definedName>
    <definedName name="ACCREC_3Q05" localSheetId="10">Tags!$AH$145</definedName>
    <definedName name="ACCREC_3Q05">Tags_ols!$AH$145</definedName>
    <definedName name="ACCREC_3Q06" localSheetId="10">Tags!$AM$145</definedName>
    <definedName name="ACCREC_3Q06">Tags_ols!$AM$145</definedName>
    <definedName name="ACCREC_3Q07" localSheetId="10">Tags!$AR$145</definedName>
    <definedName name="ACCREC_3Q07">Tags_ols!$AR$145</definedName>
    <definedName name="ACCREC_3Q08" localSheetId="10">Tags!$AW$145</definedName>
    <definedName name="ACCREC_3Q08">Tags_ols!$AW$145</definedName>
    <definedName name="ACCREC_3Q09" localSheetId="10">Tags!$BB$145</definedName>
    <definedName name="ACCREC_3Q09">Tags_ols!$BB$145</definedName>
    <definedName name="ACCREC_3Q10" localSheetId="10">Tags!$BG$145</definedName>
    <definedName name="ACCREC_3Q10">Tags_ols!$BG$145</definedName>
    <definedName name="ACCREC_3Q11" localSheetId="10">Tags!$BL$145</definedName>
    <definedName name="ACCREC_3Q11">Tags_ols!$BL$145</definedName>
    <definedName name="ACCREC_3Q12" localSheetId="10">Tags!$BQ$145</definedName>
    <definedName name="ACCREC_3Q12">Tags_ols!$BQ$145</definedName>
    <definedName name="ACCREC_3Q13" localSheetId="10">Tags!$BV$145</definedName>
    <definedName name="ACCREC_3Q13">Tags_ols!$BV$145</definedName>
    <definedName name="ACCREC_3Q14" localSheetId="10">Tags!$CA$145</definedName>
    <definedName name="ACCREC_3Q14">Tags_ols!$CA$145</definedName>
    <definedName name="ACCREC_3Q15" localSheetId="10">Tags!$CF$145</definedName>
    <definedName name="ACCREC_3Q15">Tags_ols!$CF$145</definedName>
    <definedName name="ACCREC_3Q16" localSheetId="10">Tags!$CK$145</definedName>
    <definedName name="ACCREC_3Q16">Tags_ols!$CK$145</definedName>
    <definedName name="ACCREC_3Q17" localSheetId="10">Tags!$CP$145</definedName>
    <definedName name="ACCREC_3Q17">Tags_ols!$CP$145</definedName>
    <definedName name="ACCREC_3Q18" localSheetId="10">Tags!$CU$145</definedName>
    <definedName name="ACCREC_3Q18">Tags_ols!$CU$145</definedName>
    <definedName name="ACCREC_3Q19" localSheetId="10">Tags!$CZ$145</definedName>
    <definedName name="ACCREC_3Q19">Tags_ols!$CZ$145</definedName>
    <definedName name="ACCREC_3Q20" localSheetId="10">Tags!$DE$145</definedName>
    <definedName name="ACCREC_3Q20">Tags_ols!$DE$145</definedName>
    <definedName name="ACCREC_3Q21">Tags!$DJ$145</definedName>
    <definedName name="ACCREC_3Q22">Tags!$DO$145</definedName>
    <definedName name="ACCREC_3Q23">Tags!$DT$145</definedName>
    <definedName name="ACCREC_3Q24">Tags!$DY$145</definedName>
    <definedName name="ACCREC_4Q00" localSheetId="10">Tags!$J$145</definedName>
    <definedName name="ACCREC_4Q00">Tags_ols!$J$145</definedName>
    <definedName name="ACCREC_4Q01" localSheetId="10">Tags!$O$145</definedName>
    <definedName name="ACCREC_4Q01">Tags_ols!$O$145</definedName>
    <definedName name="ACCREC_4Q02" localSheetId="10">Tags!$T$145</definedName>
    <definedName name="ACCREC_4Q02">Tags_ols!$T$145</definedName>
    <definedName name="ACCREC_4Q03" localSheetId="10">Tags!$Y$145</definedName>
    <definedName name="ACCREC_4Q03">Tags_ols!$Y$145</definedName>
    <definedName name="ACCREC_4Q04" localSheetId="10">Tags!$AD$145</definedName>
    <definedName name="ACCREC_4Q04">Tags_ols!$AD$145</definedName>
    <definedName name="ACCREC_4Q05" localSheetId="10">Tags!$AI$145</definedName>
    <definedName name="ACCREC_4Q05">Tags_ols!$AI$145</definedName>
    <definedName name="ACCREC_4Q06" localSheetId="10">Tags!$AN$145</definedName>
    <definedName name="ACCREC_4Q06">Tags_ols!$AN$145</definedName>
    <definedName name="ACCREC_4Q07" localSheetId="10">Tags!$AS$145</definedName>
    <definedName name="ACCREC_4Q07">Tags_ols!$AS$145</definedName>
    <definedName name="ACCREC_4Q08" localSheetId="10">Tags!$AX$145</definedName>
    <definedName name="ACCREC_4Q08">Tags_ols!$AX$145</definedName>
    <definedName name="ACCREC_4Q09" localSheetId="10">Tags!$BC$145</definedName>
    <definedName name="ACCREC_4Q09">Tags_ols!$BC$145</definedName>
    <definedName name="ACCREC_4Q10" localSheetId="10">Tags!$BH$145</definedName>
    <definedName name="ACCREC_4Q10">Tags_ols!$BH$145</definedName>
    <definedName name="ACCREC_4Q11" localSheetId="10">Tags!$BM$145</definedName>
    <definedName name="ACCREC_4Q11">Tags_ols!$BM$145</definedName>
    <definedName name="ACCREC_4Q12" localSheetId="10">Tags!$BR$145</definedName>
    <definedName name="ACCREC_4Q12">Tags_ols!$BR$145</definedName>
    <definedName name="ACCREC_4Q13" localSheetId="10">Tags!$BW$145</definedName>
    <definedName name="ACCREC_4Q13">Tags_ols!$BW$145</definedName>
    <definedName name="ACCREC_4Q14" localSheetId="10">Tags!$CB$145</definedName>
    <definedName name="ACCREC_4Q14">Tags_ols!$CB$145</definedName>
    <definedName name="ACCREC_4Q15" localSheetId="10">Tags!$CG$145</definedName>
    <definedName name="ACCREC_4Q15">Tags_ols!$CG$145</definedName>
    <definedName name="ACCREC_4Q16" localSheetId="10">Tags!$CL$145</definedName>
    <definedName name="ACCREC_4Q16">Tags_ols!$CL$145</definedName>
    <definedName name="ACCREC_4Q17" localSheetId="10">Tags!$CQ$145</definedName>
    <definedName name="ACCREC_4Q17">Tags_ols!$CQ$145</definedName>
    <definedName name="ACCREC_4Q18" localSheetId="10">Tags!$CV$145</definedName>
    <definedName name="ACCREC_4Q18">Tags_ols!$CV$145</definedName>
    <definedName name="ACCREC_4Q19" localSheetId="10">Tags!$DA$145</definedName>
    <definedName name="ACCREC_4Q19">Tags_ols!$DA$145</definedName>
    <definedName name="ACCREC_4Q20" localSheetId="10">Tags!$DF$145</definedName>
    <definedName name="ACCREC_4Q20">Tags_ols!$DF$145</definedName>
    <definedName name="ACCREC_4Q21">Tags!$DK$145</definedName>
    <definedName name="ACCREC_4Q22">Tags!$DP$145</definedName>
    <definedName name="ACCREC_4Q23">Tags!$DU$145</definedName>
    <definedName name="ACCREC_4Q24">Tags!$DZ$145</definedName>
    <definedName name="Adjusted_EBIT" localSheetId="5">#REF!</definedName>
    <definedName name="Adjusted_EBIT">#REF!</definedName>
    <definedName name="Adjusted_EBITDA" localSheetId="5">#REF!</definedName>
    <definedName name="Adjusted_EBITDA">#REF!</definedName>
    <definedName name="AIIGNI_1995">Tags_ols!$B$57</definedName>
    <definedName name="AIIGNI_1996">Tags_ols!$C$57</definedName>
    <definedName name="AIIGNI_1997">Tags_ols!$D$57</definedName>
    <definedName name="AIIGNI_1998">Tags_ols!$E$57</definedName>
    <definedName name="AIIGNI_1999">Tags_ols!$F$57</definedName>
    <definedName name="AIIGNI_1Q00" localSheetId="10">Tags!$G$57</definedName>
    <definedName name="AIIGNI_1Q00">Tags_ols!$G$57</definedName>
    <definedName name="AIIGNI_1Q01" localSheetId="10">Tags!$L$57</definedName>
    <definedName name="AIIGNI_1Q01">Tags_ols!$L$57</definedName>
    <definedName name="AIIGNI_1Q02" localSheetId="10">Tags!$Q$57</definedName>
    <definedName name="AIIGNI_1Q02">Tags_ols!$Q$57</definedName>
    <definedName name="AIIGNI_1Q03" localSheetId="10">Tags!$V$57</definedName>
    <definedName name="AIIGNI_1Q03">Tags_ols!$V$57</definedName>
    <definedName name="AIIGNI_1Q04" localSheetId="10">Tags!$AA$57</definedName>
    <definedName name="AIIGNI_1Q04">Tags_ols!$AA$57</definedName>
    <definedName name="AIIGNI_1Q05" localSheetId="10">Tags!$AF$57</definedName>
    <definedName name="AIIGNI_1Q05">Tags_ols!$AF$57</definedName>
    <definedName name="AIIGNI_1Q06" localSheetId="10">Tags!$AK$57</definedName>
    <definedName name="AIIGNI_1Q06">Tags_ols!$AK$57</definedName>
    <definedName name="AIIGNI_1Q07" localSheetId="10">Tags!$AP$57</definedName>
    <definedName name="AIIGNI_1Q07">Tags_ols!$AP$57</definedName>
    <definedName name="AIIGNI_1Q08" localSheetId="10">Tags!$AU$57</definedName>
    <definedName name="AIIGNI_1Q08">Tags_ols!$AU$57</definedName>
    <definedName name="AIIGNI_1Q09" localSheetId="10">Tags!$AZ$57</definedName>
    <definedName name="AIIGNI_1Q09">Tags_ols!$AZ$57</definedName>
    <definedName name="AIIGNI_1Q10" localSheetId="10">Tags!$BE$57</definedName>
    <definedName name="AIIGNI_1Q10">Tags_ols!$BE$57</definedName>
    <definedName name="AIIGNI_1Q11" localSheetId="10">Tags!$BJ$57</definedName>
    <definedName name="AIIGNI_1Q11">Tags_ols!$BJ$57</definedName>
    <definedName name="AIIGNI_1Q12" localSheetId="10">Tags!$BO$57</definedName>
    <definedName name="AIIGNI_1Q12">Tags_ols!$BO$57</definedName>
    <definedName name="AIIGNI_1Q13" localSheetId="10">Tags!$BT$57</definedName>
    <definedName name="AIIGNI_1Q13">Tags_ols!$BT$57</definedName>
    <definedName name="AIIGNI_1Q14" localSheetId="10">Tags!$BY$57</definedName>
    <definedName name="AIIGNI_1Q14">Tags_ols!$BY$57</definedName>
    <definedName name="AIIGNI_1Q15" localSheetId="10">Tags!$CD$57</definedName>
    <definedName name="AIIGNI_1Q15">Tags_ols!$CD$57</definedName>
    <definedName name="AIIGNI_1Q16" localSheetId="10">Tags!$CI$57</definedName>
    <definedName name="AIIGNI_1Q16">Tags_ols!$CI$57</definedName>
    <definedName name="AIIGNI_1Q17" localSheetId="10">Tags!$CN$57</definedName>
    <definedName name="AIIGNI_1Q17">Tags_ols!$CN$57</definedName>
    <definedName name="AIIGNI_1Q18" localSheetId="10">Tags!$CS$57</definedName>
    <definedName name="AIIGNI_1Q18">Tags_ols!$CS$57</definedName>
    <definedName name="AIIGNI_1Q19" localSheetId="10">Tags!$CX$57</definedName>
    <definedName name="AIIGNI_1Q19">Tags_ols!$CX$57</definedName>
    <definedName name="AIIGNI_1Q20" localSheetId="10">Tags!$DC$57</definedName>
    <definedName name="AIIGNI_1Q20">Tags_ols!$DC$57</definedName>
    <definedName name="AIIGNI_1Q21">Tags!$DH$57</definedName>
    <definedName name="AIIGNI_1Q22">Tags!$DM$57</definedName>
    <definedName name="AIIGNI_1Q23">Tags!$DR$57</definedName>
    <definedName name="AIIGNI_1Q24">Tags!$DW$57</definedName>
    <definedName name="AIIGNI_2000" localSheetId="10">Tags!$K$57</definedName>
    <definedName name="AIIGNI_2000">Tags_ols!$K$57</definedName>
    <definedName name="AIIGNI_2001" localSheetId="10">Tags!$P$57</definedName>
    <definedName name="AIIGNI_2001">Tags_ols!$P$57</definedName>
    <definedName name="AIIGNI_2002" localSheetId="10">Tags!$U$57</definedName>
    <definedName name="AIIGNI_2002">Tags_ols!$U$57</definedName>
    <definedName name="AIIGNI_2003" localSheetId="10">Tags!$Z$57</definedName>
    <definedName name="AIIGNI_2003">Tags_ols!$Z$57</definedName>
    <definedName name="AIIGNI_2004" localSheetId="10">Tags!$AE$57</definedName>
    <definedName name="AIIGNI_2004">Tags_ols!$AE$57</definedName>
    <definedName name="AIIGNI_2005" localSheetId="10">Tags!$AJ$57</definedName>
    <definedName name="AIIGNI_2005">Tags_ols!$AJ$57</definedName>
    <definedName name="AIIGNI_2006" localSheetId="10">Tags!$AO$57</definedName>
    <definedName name="AIIGNI_2006">Tags_ols!$AO$57</definedName>
    <definedName name="AIIGNI_2007" localSheetId="10">Tags!$AT$57</definedName>
    <definedName name="AIIGNI_2007">Tags_ols!$AT$57</definedName>
    <definedName name="AIIGNI_2008" localSheetId="10">Tags!$AY$57</definedName>
    <definedName name="AIIGNI_2008">Tags_ols!$AY$57</definedName>
    <definedName name="AIIGNI_2009" localSheetId="10">Tags!$BD$57</definedName>
    <definedName name="AIIGNI_2009">Tags_ols!$BD$57</definedName>
    <definedName name="AIIGNI_2010" localSheetId="10">Tags!$BI$57</definedName>
    <definedName name="AIIGNI_2010">Tags_ols!$BI$57</definedName>
    <definedName name="AIIGNI_2011" localSheetId="10">Tags!$BN$57</definedName>
    <definedName name="AIIGNI_2011">Tags_ols!$BN$57</definedName>
    <definedName name="AIIGNI_2012" localSheetId="10">Tags!$BS$57</definedName>
    <definedName name="AIIGNI_2012">Tags_ols!$BS$57</definedName>
    <definedName name="AIIGNI_2013" localSheetId="10">Tags!$BX$57</definedName>
    <definedName name="AIIGNI_2013">Tags_ols!$BX$57</definedName>
    <definedName name="AIIGNI_2014" localSheetId="10">Tags!$CC$57</definedName>
    <definedName name="AIIGNI_2014">Tags_ols!$CC$57</definedName>
    <definedName name="AIIGNI_2015" localSheetId="10">Tags!#REF!</definedName>
    <definedName name="AIIGNI_2015">Tags!$CH$57</definedName>
    <definedName name="AIIGNI_2016" localSheetId="10">Tags!$CM$57</definedName>
    <definedName name="AIIGNI_2016">Tags_ols!$CM$57</definedName>
    <definedName name="AIIGNI_2017" localSheetId="10">Tags!$CR$57</definedName>
    <definedName name="AIIGNI_2017">Tags_ols!$CR$57</definedName>
    <definedName name="AIIGNI_2018" localSheetId="10">Tags!$CW$57</definedName>
    <definedName name="AIIGNI_2018">Tags_ols!$CW$57</definedName>
    <definedName name="AIIGNI_2019" localSheetId="10">Tags!$DB$57</definedName>
    <definedName name="AIIGNI_2019">Tags_ols!$DB$57</definedName>
    <definedName name="AIIGNI_2020" localSheetId="10">Tags!$DG$57</definedName>
    <definedName name="AIIGNI_2020">Tags_ols!$DG$57</definedName>
    <definedName name="AIIGNI_2021">Tags!$DL$57</definedName>
    <definedName name="AIIGNI_2022">Tags!$DQ$57</definedName>
    <definedName name="AIIGNI_2023">Tags!$DV$57</definedName>
    <definedName name="AIIGNI_2024">Tags!$EA$57</definedName>
    <definedName name="AIIGNI_2Q00" localSheetId="10">Tags!$H$57</definedName>
    <definedName name="AIIGNI_2Q00">Tags_ols!$H$57</definedName>
    <definedName name="AIIGNI_2Q01" localSheetId="10">Tags!$M$57</definedName>
    <definedName name="AIIGNI_2Q01">Tags_ols!$M$57</definedName>
    <definedName name="AIIGNI_2Q02" localSheetId="10">Tags!$R$57</definedName>
    <definedName name="AIIGNI_2Q02">Tags_ols!$R$57</definedName>
    <definedName name="AIIGNI_2Q03" localSheetId="10">Tags!$W$57</definedName>
    <definedName name="AIIGNI_2Q03">Tags_ols!$W$57</definedName>
    <definedName name="AIIGNI_2Q04" localSheetId="10">Tags!$AB$57</definedName>
    <definedName name="AIIGNI_2Q04">Tags_ols!$AB$57</definedName>
    <definedName name="AIIGNI_2Q05" localSheetId="10">Tags!$AG$57</definedName>
    <definedName name="AIIGNI_2Q05">Tags_ols!$AG$57</definedName>
    <definedName name="AIIGNI_2Q06" localSheetId="10">Tags!$AL$57</definedName>
    <definedName name="AIIGNI_2Q06">Tags_ols!$AL$57</definedName>
    <definedName name="AIIGNI_2Q07" localSheetId="10">Tags!$AQ$57</definedName>
    <definedName name="AIIGNI_2Q07">Tags_ols!$AQ$57</definedName>
    <definedName name="AIIGNI_2Q08" localSheetId="10">Tags!$AV$57</definedName>
    <definedName name="AIIGNI_2Q08">Tags_ols!$AV$57</definedName>
    <definedName name="AIIGNI_2Q09" localSheetId="10">Tags!$BA$57</definedName>
    <definedName name="AIIGNI_2Q09">Tags_ols!$BA$57</definedName>
    <definedName name="AIIGNI_2Q10" localSheetId="10">Tags!$BF$57</definedName>
    <definedName name="AIIGNI_2Q10">Tags_ols!$BF$57</definedName>
    <definedName name="AIIGNI_2Q11" localSheetId="10">Tags!$BK$57</definedName>
    <definedName name="AIIGNI_2Q11">Tags_ols!$BK$57</definedName>
    <definedName name="AIIGNI_2Q12" localSheetId="10">Tags!$BP$57</definedName>
    <definedName name="AIIGNI_2Q12">Tags_ols!$BP$57</definedName>
    <definedName name="AIIGNI_2Q13" localSheetId="10">Tags!$BU$57</definedName>
    <definedName name="AIIGNI_2Q13">Tags_ols!$BU$57</definedName>
    <definedName name="AIIGNI_2Q14" localSheetId="10">Tags!$BZ$57</definedName>
    <definedName name="AIIGNI_2Q14">Tags_ols!$BZ$57</definedName>
    <definedName name="AIIGNI_2Q15" localSheetId="10">Tags!$CE$57</definedName>
    <definedName name="AIIGNI_2Q15">Tags_ols!$CE$57</definedName>
    <definedName name="AIIGNI_2Q16" localSheetId="10">Tags!$CJ$57</definedName>
    <definedName name="AIIGNI_2Q16">Tags_ols!$CJ$57</definedName>
    <definedName name="AIIGNI_2Q17" localSheetId="10">Tags!$CO$57</definedName>
    <definedName name="AIIGNI_2Q17">Tags_ols!$CO$57</definedName>
    <definedName name="AIIGNI_2Q18" localSheetId="10">Tags!$CT$57</definedName>
    <definedName name="AIIGNI_2Q18">Tags_ols!$CT$57</definedName>
    <definedName name="AIIGNI_2Q19" localSheetId="10">Tags!$CY$57</definedName>
    <definedName name="AIIGNI_2Q19">Tags_ols!$CY$57</definedName>
    <definedName name="AIIGNI_2Q20" localSheetId="10">Tags!$DD$57</definedName>
    <definedName name="AIIGNI_2Q20">Tags_ols!$DD$57</definedName>
    <definedName name="AIIGNI_2Q21">Tags!$DI$57</definedName>
    <definedName name="AIIGNI_2Q22">Tags!$DN$57</definedName>
    <definedName name="AIIGNI_2Q23">Tags!$DS$57</definedName>
    <definedName name="AIIGNI_2Q24">Tags!$DX$57</definedName>
    <definedName name="AIIGNI_3Q00" localSheetId="10">Tags!$I$57</definedName>
    <definedName name="AIIGNI_3Q00">Tags_ols!$I$57</definedName>
    <definedName name="AIIGNI_3Q01" localSheetId="10">Tags!$N$57</definedName>
    <definedName name="AIIGNI_3Q01">Tags_ols!$N$57</definedName>
    <definedName name="AIIGNI_3Q02" localSheetId="10">Tags!$S$57</definedName>
    <definedName name="AIIGNI_3Q02">Tags_ols!$S$57</definedName>
    <definedName name="AIIGNI_3Q03" localSheetId="10">Tags!$X$57</definedName>
    <definedName name="AIIGNI_3Q03">Tags_ols!$X$57</definedName>
    <definedName name="AIIGNI_3Q04" localSheetId="10">Tags!$AC$57</definedName>
    <definedName name="AIIGNI_3Q04">Tags_ols!$AC$57</definedName>
    <definedName name="AIIGNI_3Q05" localSheetId="10">Tags!$AH$57</definedName>
    <definedName name="AIIGNI_3Q05">Tags_ols!$AH$57</definedName>
    <definedName name="AIIGNI_3Q06" localSheetId="10">Tags!$AM$57</definedName>
    <definedName name="AIIGNI_3Q06">Tags_ols!$AM$57</definedName>
    <definedName name="AIIGNI_3Q07" localSheetId="10">Tags!$AR$57</definedName>
    <definedName name="AIIGNI_3Q07">Tags_ols!$AR$57</definedName>
    <definedName name="AIIGNI_3Q08" localSheetId="10">Tags!$AW$57</definedName>
    <definedName name="AIIGNI_3Q08">Tags_ols!$AW$57</definedName>
    <definedName name="AIIGNI_3Q09" localSheetId="10">Tags!$BB$57</definedName>
    <definedName name="AIIGNI_3Q09">Tags_ols!$BB$57</definedName>
    <definedName name="AIIGNI_3Q10" localSheetId="10">Tags!$BG$57</definedName>
    <definedName name="AIIGNI_3Q10">Tags_ols!$BG$57</definedName>
    <definedName name="AIIGNI_3Q11" localSheetId="10">Tags!$BL$57</definedName>
    <definedName name="AIIGNI_3Q11">Tags_ols!$BL$57</definedName>
    <definedName name="AIIGNI_3Q12" localSheetId="10">Tags!$BQ$57</definedName>
    <definedName name="AIIGNI_3Q12">Tags_ols!$BQ$57</definedName>
    <definedName name="AIIGNI_3Q13" localSheetId="10">Tags!$BV$57</definedName>
    <definedName name="AIIGNI_3Q13">Tags_ols!$BV$57</definedName>
    <definedName name="AIIGNI_3Q14" localSheetId="10">Tags!$CA$57</definedName>
    <definedName name="AIIGNI_3Q14">Tags_ols!$CA$57</definedName>
    <definedName name="AIIGNI_3Q15" localSheetId="10">Tags!$CF$57</definedName>
    <definedName name="AIIGNI_3Q15">Tags_ols!$CF$57</definedName>
    <definedName name="AIIGNI_3Q16" localSheetId="10">Tags!$CK$57</definedName>
    <definedName name="AIIGNI_3Q16">Tags_ols!$CK$57</definedName>
    <definedName name="AIIGNI_3Q17" localSheetId="10">Tags!$CP$57</definedName>
    <definedName name="AIIGNI_3Q17">Tags_ols!$CP$57</definedName>
    <definedName name="AIIGNI_3Q18" localSheetId="10">Tags!$CU$57</definedName>
    <definedName name="AIIGNI_3Q18">Tags_ols!$CU$57</definedName>
    <definedName name="AIIGNI_3Q19" localSheetId="10">Tags!$CZ$57</definedName>
    <definedName name="AIIGNI_3Q19">Tags_ols!$CZ$57</definedName>
    <definedName name="AIIGNI_3Q20" localSheetId="10">Tags!$DE$57</definedName>
    <definedName name="AIIGNI_3Q20">Tags_ols!$DE$57</definedName>
    <definedName name="AIIGNI_3Q21">Tags!$DJ$57</definedName>
    <definedName name="AIIGNI_3Q22">Tags!$DO$57</definedName>
    <definedName name="AIIGNI_3Q23">Tags!$DT$57</definedName>
    <definedName name="AIIGNI_3Q24">Tags!$DY$57</definedName>
    <definedName name="AIIGNI_4Q00" localSheetId="10">Tags!$J$57</definedName>
    <definedName name="AIIGNI_4Q00">Tags_ols!$J$57</definedName>
    <definedName name="AIIGNI_4Q01" localSheetId="10">Tags!$O$57</definedName>
    <definedName name="AIIGNI_4Q01">Tags_ols!$O$57</definedName>
    <definedName name="AIIGNI_4Q02" localSheetId="10">Tags!$T$57</definedName>
    <definedName name="AIIGNI_4Q02">Tags_ols!$T$57</definedName>
    <definedName name="AIIGNI_4Q03" localSheetId="10">Tags!$Y$57</definedName>
    <definedName name="AIIGNI_4Q03">Tags_ols!$Y$57</definedName>
    <definedName name="AIIGNI_4Q04" localSheetId="10">Tags!$AD$57</definedName>
    <definedName name="AIIGNI_4Q04">Tags_ols!$AD$57</definedName>
    <definedName name="AIIGNI_4Q05" localSheetId="10">Tags!$AI$57</definedName>
    <definedName name="AIIGNI_4Q05">Tags_ols!$AI$57</definedName>
    <definedName name="AIIGNI_4Q06" localSheetId="10">Tags!$AN$57</definedName>
    <definedName name="AIIGNI_4Q06">Tags_ols!$AN$57</definedName>
    <definedName name="AIIGNI_4Q07" localSheetId="10">Tags!$AS$57</definedName>
    <definedName name="AIIGNI_4Q07">Tags_ols!$AS$57</definedName>
    <definedName name="AIIGNI_4Q08" localSheetId="10">Tags!$AX$57</definedName>
    <definedName name="AIIGNI_4Q08">Tags_ols!$AX$57</definedName>
    <definedName name="AIIGNI_4Q09" localSheetId="10">Tags!$BC$57</definedName>
    <definedName name="AIIGNI_4Q09">Tags_ols!$BC$57</definedName>
    <definedName name="AIIGNI_4Q10" localSheetId="10">Tags!$BH$57</definedName>
    <definedName name="AIIGNI_4Q10">Tags_ols!$BH$57</definedName>
    <definedName name="AIIGNI_4Q11" localSheetId="10">Tags!$BM$57</definedName>
    <definedName name="AIIGNI_4Q11">Tags_ols!$BM$57</definedName>
    <definedName name="AIIGNI_4Q12" localSheetId="10">Tags!$BR$57</definedName>
    <definedName name="AIIGNI_4Q12">Tags_ols!$BR$57</definedName>
    <definedName name="AIIGNI_4Q13" localSheetId="10">Tags!$BW$57</definedName>
    <definedName name="AIIGNI_4Q13">Tags_ols!$BW$57</definedName>
    <definedName name="AIIGNI_4Q14" localSheetId="10">Tags!$CB$57</definedName>
    <definedName name="AIIGNI_4Q14">Tags_ols!$CB$57</definedName>
    <definedName name="AIIGNI_4Q15" localSheetId="10">Tags!$CG$57</definedName>
    <definedName name="AIIGNI_4Q15">Tags_ols!$CG$57</definedName>
    <definedName name="AIIGNI_4Q16" localSheetId="10">Tags!$CL$57</definedName>
    <definedName name="AIIGNI_4Q16">Tags_ols!$CL$57</definedName>
    <definedName name="AIIGNI_4Q17" localSheetId="10">Tags!$CQ$57</definedName>
    <definedName name="AIIGNI_4Q17">Tags_ols!$CQ$57</definedName>
    <definedName name="AIIGNI_4Q18" localSheetId="10">Tags!$CV$57</definedName>
    <definedName name="AIIGNI_4Q18">Tags_ols!$CV$57</definedName>
    <definedName name="AIIGNI_4Q19" localSheetId="10">Tags!$DA$57</definedName>
    <definedName name="AIIGNI_4Q19">Tags_ols!$DA$57</definedName>
    <definedName name="AIIGNI_4Q20" localSheetId="10">Tags!$DF$57</definedName>
    <definedName name="AIIGNI_4Q20">Tags_ols!$DF$57</definedName>
    <definedName name="AIIGNI_4Q21">Tags!$DK$57</definedName>
    <definedName name="AIIGNI_4Q22">Tags!$DP$57</definedName>
    <definedName name="AIIGNI_4Q23">Tags!$DU$57</definedName>
    <definedName name="AIIGNI_4Q24">Tags!$DZ$57</definedName>
    <definedName name="ALSTAJ_1995">Tags_ols!$B$39</definedName>
    <definedName name="ALSTAJ_1996">Tags_ols!$C$39</definedName>
    <definedName name="ALSTAJ_1997">Tags_ols!$D$39</definedName>
    <definedName name="ALSTAJ_1998">Tags_ols!$E$39</definedName>
    <definedName name="ALSTAJ_1999">Tags_ols!$F$39</definedName>
    <definedName name="ALSTAJ_1Q00" localSheetId="10">Tags!$G$39</definedName>
    <definedName name="ALSTAJ_1Q00">Tags_ols!$G$39</definedName>
    <definedName name="ALSTAJ_1Q01" localSheetId="10">Tags!$L$39</definedName>
    <definedName name="ALSTAJ_1Q01">Tags_ols!$L$39</definedName>
    <definedName name="ALSTAJ_1Q02" localSheetId="10">Tags!$Q$39</definedName>
    <definedName name="ALSTAJ_1Q02">Tags_ols!$Q$39</definedName>
    <definedName name="ALSTAJ_1Q03" localSheetId="10">Tags!$V$39</definedName>
    <definedName name="ALSTAJ_1Q03">Tags_ols!$V$39</definedName>
    <definedName name="ALSTAJ_1Q04" localSheetId="10">Tags!$AA$39</definedName>
    <definedName name="ALSTAJ_1Q04">Tags_ols!$AA$39</definedName>
    <definedName name="ALSTAJ_1Q05" localSheetId="10">Tags!$AF$39</definedName>
    <definedName name="ALSTAJ_1Q05">Tags_ols!$AF$39</definedName>
    <definedName name="ALSTAJ_1Q06" localSheetId="10">Tags!$AK$39</definedName>
    <definedName name="ALSTAJ_1Q06">Tags_ols!$AK$39</definedName>
    <definedName name="ALSTAJ_1Q07" localSheetId="10">Tags!$AP$39</definedName>
    <definedName name="ALSTAJ_1Q07">Tags_ols!$AP$39</definedName>
    <definedName name="ALSTAJ_1Q08" localSheetId="10">Tags!$AU$39</definedName>
    <definedName name="ALSTAJ_1Q08">Tags_ols!$AU$39</definedName>
    <definedName name="ALSTAJ_1Q09" localSheetId="10">Tags!$AZ$39</definedName>
    <definedName name="ALSTAJ_1Q09">Tags_ols!$AZ$39</definedName>
    <definedName name="ALSTAJ_1Q10" localSheetId="10">Tags!$BE$39</definedName>
    <definedName name="ALSTAJ_1Q10">Tags_ols!$BE$39</definedName>
    <definedName name="ALSTAJ_1Q11" localSheetId="10">Tags!$BJ$39</definedName>
    <definedName name="ALSTAJ_1Q11">Tags_ols!$BJ$39</definedName>
    <definedName name="ALSTAJ_1Q12" localSheetId="10">Tags!$BO$39</definedName>
    <definedName name="ALSTAJ_1Q12">Tags_ols!$BO$39</definedName>
    <definedName name="ALSTAJ_1Q13" localSheetId="10">Tags!$BT$39</definedName>
    <definedName name="ALSTAJ_1Q13">Tags_ols!$BT$39</definedName>
    <definedName name="ALSTAJ_1Q14" localSheetId="10">Tags!$BY$39</definedName>
    <definedName name="ALSTAJ_1Q14">Tags_ols!$BY$39</definedName>
    <definedName name="ALSTAJ_1Q15" localSheetId="10">Tags!$CD$39</definedName>
    <definedName name="ALSTAJ_1Q15">Tags_ols!$CD$39</definedName>
    <definedName name="ALSTAJ_1Q16" localSheetId="10">Tags!$CI$39</definedName>
    <definedName name="ALSTAJ_1Q16">Tags_ols!$CI$39</definedName>
    <definedName name="ALSTAJ_1Q17" localSheetId="10">Tags!$CN$39</definedName>
    <definedName name="ALSTAJ_1Q17">Tags_ols!$CN$39</definedName>
    <definedName name="ALSTAJ_1Q18" localSheetId="10">Tags!$CS$39</definedName>
    <definedName name="ALSTAJ_1Q18">Tags_ols!$CS$39</definedName>
    <definedName name="ALSTAJ_1Q19" localSheetId="10">Tags!$CX$39</definedName>
    <definedName name="ALSTAJ_1Q19">Tags_ols!$CX$39</definedName>
    <definedName name="ALSTAJ_1Q20" localSheetId="10">Tags!$DC$39</definedName>
    <definedName name="ALSTAJ_1Q20">Tags_ols!$DC$39</definedName>
    <definedName name="ALSTAJ_1Q21">Tags!$DH$39</definedName>
    <definedName name="ALSTAJ_1Q22">Tags!$DM$39</definedName>
    <definedName name="ALSTAJ_1Q23">Tags!$DR$39</definedName>
    <definedName name="ALSTAJ_1Q24">Tags!$DW$39</definedName>
    <definedName name="ALSTAJ_2000" localSheetId="10">Tags!$K$39</definedName>
    <definedName name="ALSTAJ_2000">Tags_ols!$K$39</definedName>
    <definedName name="ALSTAJ_2001" localSheetId="10">Tags!$P$39</definedName>
    <definedName name="ALSTAJ_2001">Tags_ols!$P$39</definedName>
    <definedName name="ALSTAJ_2002" localSheetId="10">Tags!$U$39</definedName>
    <definedName name="ALSTAJ_2002">Tags_ols!$U$39</definedName>
    <definedName name="ALSTAJ_2003" localSheetId="10">Tags!$Z$39</definedName>
    <definedName name="ALSTAJ_2003">Tags_ols!$Z$39</definedName>
    <definedName name="ALSTAJ_2004" localSheetId="10">Tags!$AE$39</definedName>
    <definedName name="ALSTAJ_2004">Tags_ols!$AE$39</definedName>
    <definedName name="ALSTAJ_2005" localSheetId="10">Tags!$AJ$39</definedName>
    <definedName name="ALSTAJ_2005">Tags_ols!$AJ$39</definedName>
    <definedName name="ALSTAJ_2006" localSheetId="10">Tags!$AO$39</definedName>
    <definedName name="ALSTAJ_2006">Tags_ols!$AO$39</definedName>
    <definedName name="ALSTAJ_2007" localSheetId="10">Tags!$AT$39</definedName>
    <definedName name="ALSTAJ_2007">Tags_ols!$AT$39</definedName>
    <definedName name="ALSTAJ_2008" localSheetId="10">Tags!$AY$39</definedName>
    <definedName name="ALSTAJ_2008">Tags_ols!$AY$39</definedName>
    <definedName name="ALSTAJ_2009" localSheetId="10">Tags!$BD$39</definedName>
    <definedName name="ALSTAJ_2009">Tags_ols!$BD$39</definedName>
    <definedName name="ALSTAJ_2010" localSheetId="10">Tags!$BI$39</definedName>
    <definedName name="ALSTAJ_2010">Tags_ols!$BI$39</definedName>
    <definedName name="ALSTAJ_2011" localSheetId="10">Tags!$BN$39</definedName>
    <definedName name="ALSTAJ_2011">Tags_ols!$BN$39</definedName>
    <definedName name="ALSTAJ_2012" localSheetId="10">Tags!$BS$39</definedName>
    <definedName name="ALSTAJ_2012">Tags_ols!$BS$39</definedName>
    <definedName name="ALSTAJ_2013" localSheetId="10">Tags!$BX$39</definedName>
    <definedName name="ALSTAJ_2013">Tags_ols!$BX$39</definedName>
    <definedName name="ALSTAJ_2014" localSheetId="10">Tags!$CC$39</definedName>
    <definedName name="ALSTAJ_2014">Tags_ols!$CC$39</definedName>
    <definedName name="ALSTAJ_2015" localSheetId="10">Tags!#REF!</definedName>
    <definedName name="ALSTAJ_2015">Tags!$CH$39</definedName>
    <definedName name="ALSTAJ_2016" localSheetId="10">Tags!$CM$39</definedName>
    <definedName name="ALSTAJ_2016">Tags_ols!$CM$39</definedName>
    <definedName name="ALSTAJ_2017" localSheetId="10">Tags!$CR$39</definedName>
    <definedName name="ALSTAJ_2017">Tags_ols!$CR$39</definedName>
    <definedName name="ALSTAJ_2018" localSheetId="10">Tags!$CW$39</definedName>
    <definedName name="ALSTAJ_2018">Tags_ols!$CW$39</definedName>
    <definedName name="ALSTAJ_2019" localSheetId="10">Tags!$DB$39</definedName>
    <definedName name="ALSTAJ_2019">Tags_ols!$DB$39</definedName>
    <definedName name="ALSTAJ_2020" localSheetId="10">Tags!$DG$39</definedName>
    <definedName name="ALSTAJ_2020">Tags_ols!$DG$39</definedName>
    <definedName name="ALSTAJ_2021">Tags!$DL$39</definedName>
    <definedName name="ALSTAJ_2022">Tags!$DQ$39</definedName>
    <definedName name="ALSTAJ_2023">Tags!$DV$39</definedName>
    <definedName name="ALSTAJ_2024">Tags!$EA$39</definedName>
    <definedName name="ALSTAJ_2Q00" localSheetId="10">Tags!$H$39</definedName>
    <definedName name="ALSTAJ_2Q00">Tags_ols!$H$39</definedName>
    <definedName name="ALSTAJ_2Q01" localSheetId="10">Tags!$M$39</definedName>
    <definedName name="ALSTAJ_2Q01">Tags_ols!$M$39</definedName>
    <definedName name="ALSTAJ_2Q02" localSheetId="10">Tags!$R$39</definedName>
    <definedName name="ALSTAJ_2Q02">Tags_ols!$R$39</definedName>
    <definedName name="ALSTAJ_2Q03" localSheetId="10">Tags!$W$39</definedName>
    <definedName name="ALSTAJ_2Q03">Tags_ols!$W$39</definedName>
    <definedName name="ALSTAJ_2Q04" localSheetId="10">Tags!$AB$39</definedName>
    <definedName name="ALSTAJ_2Q04">Tags_ols!$AB$39</definedName>
    <definedName name="ALSTAJ_2Q05" localSheetId="10">Tags!$AG$39</definedName>
    <definedName name="ALSTAJ_2Q05">Tags_ols!$AG$39</definedName>
    <definedName name="ALSTAJ_2Q06" localSheetId="10">Tags!$AL$39</definedName>
    <definedName name="ALSTAJ_2Q06">Tags_ols!$AL$39</definedName>
    <definedName name="ALSTAJ_2Q07" localSheetId="10">Tags!$AQ$39</definedName>
    <definedName name="ALSTAJ_2Q07">Tags_ols!$AQ$39</definedName>
    <definedName name="ALSTAJ_2Q08" localSheetId="10">Tags!$AV$39</definedName>
    <definedName name="ALSTAJ_2Q08">Tags_ols!$AV$39</definedName>
    <definedName name="ALSTAJ_2Q09" localSheetId="10">Tags!$BA$39</definedName>
    <definedName name="ALSTAJ_2Q09">Tags_ols!$BA$39</definedName>
    <definedName name="ALSTAJ_2Q10" localSheetId="10">Tags!$BF$39</definedName>
    <definedName name="ALSTAJ_2Q10">Tags_ols!$BF$39</definedName>
    <definedName name="ALSTAJ_2Q11" localSheetId="10">Tags!$BK$39</definedName>
    <definedName name="ALSTAJ_2Q11">Tags_ols!$BK$39</definedName>
    <definedName name="ALSTAJ_2Q12" localSheetId="10">Tags!$BP$39</definedName>
    <definedName name="ALSTAJ_2Q12">Tags_ols!$BP$39</definedName>
    <definedName name="ALSTAJ_2Q13" localSheetId="10">Tags!$BU$39</definedName>
    <definedName name="ALSTAJ_2Q13">Tags_ols!$BU$39</definedName>
    <definedName name="ALSTAJ_2Q14" localSheetId="10">Tags!$BZ$39</definedName>
    <definedName name="ALSTAJ_2Q14">Tags_ols!$BZ$39</definedName>
    <definedName name="ALSTAJ_2Q15" localSheetId="10">Tags!$CE$39</definedName>
    <definedName name="ALSTAJ_2Q15">Tags_ols!$CE$39</definedName>
    <definedName name="ALSTAJ_2Q16" localSheetId="10">Tags!$CJ$39</definedName>
    <definedName name="ALSTAJ_2Q16">Tags_ols!$CJ$39</definedName>
    <definedName name="ALSTAJ_2Q17" localSheetId="10">Tags!$CO$39</definedName>
    <definedName name="ALSTAJ_2Q17">Tags_ols!$CO$39</definedName>
    <definedName name="ALSTAJ_2Q18" localSheetId="10">Tags!$CT$39</definedName>
    <definedName name="ALSTAJ_2Q18">Tags_ols!$CT$39</definedName>
    <definedName name="ALSTAJ_2Q19" localSheetId="10">Tags!$CY$39</definedName>
    <definedName name="ALSTAJ_2Q19">Tags_ols!$CY$39</definedName>
    <definedName name="ALSTAJ_2Q20" localSheetId="10">Tags!$DD$39</definedName>
    <definedName name="ALSTAJ_2Q20">Tags_ols!$DD$39</definedName>
    <definedName name="ALSTAJ_2Q21">Tags!$DI$39</definedName>
    <definedName name="ALSTAJ_2Q22">Tags!$DN$39</definedName>
    <definedName name="ALSTAJ_2Q23">Tags!$DS$39</definedName>
    <definedName name="ALSTAJ_2Q24">Tags!$DX$39</definedName>
    <definedName name="ALSTAJ_3Q00" localSheetId="10">Tags!$I$39</definedName>
    <definedName name="ALSTAJ_3Q00">Tags_ols!$I$39</definedName>
    <definedName name="ALSTAJ_3Q01" localSheetId="10">Tags!$N$39</definedName>
    <definedName name="ALSTAJ_3Q01">Tags_ols!$N$39</definedName>
    <definedName name="ALSTAJ_3Q02" localSheetId="10">Tags!$S$39</definedName>
    <definedName name="ALSTAJ_3Q02">Tags_ols!$S$39</definedName>
    <definedName name="ALSTAJ_3Q03" localSheetId="10">Tags!$X$39</definedName>
    <definedName name="ALSTAJ_3Q03">Tags_ols!$X$39</definedName>
    <definedName name="ALSTAJ_3Q04" localSheetId="10">Tags!$AC$39</definedName>
    <definedName name="ALSTAJ_3Q04">Tags_ols!$AC$39</definedName>
    <definedName name="ALSTAJ_3Q05" localSheetId="10">Tags!$AH$39</definedName>
    <definedName name="ALSTAJ_3Q05">Tags_ols!$AH$39</definedName>
    <definedName name="ALSTAJ_3Q06" localSheetId="10">Tags!$AM$39</definedName>
    <definedName name="ALSTAJ_3Q06">Tags_ols!$AM$39</definedName>
    <definedName name="ALSTAJ_3Q07" localSheetId="10">Tags!$AR$39</definedName>
    <definedName name="ALSTAJ_3Q07">Tags_ols!$AR$39</definedName>
    <definedName name="ALSTAJ_3Q08" localSheetId="10">Tags!$AW$39</definedName>
    <definedName name="ALSTAJ_3Q08">Tags_ols!$AW$39</definedName>
    <definedName name="ALSTAJ_3Q09" localSheetId="10">Tags!$BB$39</definedName>
    <definedName name="ALSTAJ_3Q09">Tags_ols!$BB$39</definedName>
    <definedName name="ALSTAJ_3Q10" localSheetId="10">Tags!$BG$39</definedName>
    <definedName name="ALSTAJ_3Q10">Tags_ols!$BG$39</definedName>
    <definedName name="ALSTAJ_3Q11" localSheetId="10">Tags!$BL$39</definedName>
    <definedName name="ALSTAJ_3Q11">Tags_ols!$BL$39</definedName>
    <definedName name="ALSTAJ_3Q12" localSheetId="10">Tags!$BQ$39</definedName>
    <definedName name="ALSTAJ_3Q12">Tags_ols!$BQ$39</definedName>
    <definedName name="ALSTAJ_3Q13" localSheetId="10">Tags!$BV$39</definedName>
    <definedName name="ALSTAJ_3Q13">Tags_ols!$BV$39</definedName>
    <definedName name="ALSTAJ_3Q14" localSheetId="10">Tags!$CA$39</definedName>
    <definedName name="ALSTAJ_3Q14">Tags_ols!$CA$39</definedName>
    <definedName name="ALSTAJ_3Q15" localSheetId="10">Tags!$CF$39</definedName>
    <definedName name="ALSTAJ_3Q15">Tags_ols!$CF$39</definedName>
    <definedName name="ALSTAJ_3Q16" localSheetId="10">Tags!$CK$39</definedName>
    <definedName name="ALSTAJ_3Q16">Tags_ols!$CK$39</definedName>
    <definedName name="ALSTAJ_3Q17" localSheetId="10">Tags!$CP$39</definedName>
    <definedName name="ALSTAJ_3Q17">Tags_ols!$CP$39</definedName>
    <definedName name="ALSTAJ_3Q18" localSheetId="10">Tags!$CU$39</definedName>
    <definedName name="ALSTAJ_3Q18">Tags_ols!$CU$39</definedName>
    <definedName name="ALSTAJ_3Q19" localSheetId="10">Tags!$CZ$39</definedName>
    <definedName name="ALSTAJ_3Q19">Tags_ols!$CZ$39</definedName>
    <definedName name="ALSTAJ_3Q20" localSheetId="10">Tags!$DE$39</definedName>
    <definedName name="ALSTAJ_3Q20">Tags_ols!$DE$39</definedName>
    <definedName name="ALSTAJ_3Q21">Tags!$DJ$39</definedName>
    <definedName name="ALSTAJ_3Q22">Tags!$DO$39</definedName>
    <definedName name="ALSTAJ_3Q23">Tags!$DT$39</definedName>
    <definedName name="ALSTAJ_3Q24">Tags!$DY$39</definedName>
    <definedName name="ALSTAJ_4Q00" localSheetId="10">Tags!$J$39</definedName>
    <definedName name="ALSTAJ_4Q00">Tags_ols!$J$39</definedName>
    <definedName name="ALSTAJ_4Q01" localSheetId="10">Tags!$O$39</definedName>
    <definedName name="ALSTAJ_4Q01">Tags_ols!$O$39</definedName>
    <definedName name="ALSTAJ_4Q02" localSheetId="10">Tags!$T$39</definedName>
    <definedName name="ALSTAJ_4Q02">Tags_ols!$T$39</definedName>
    <definedName name="ALSTAJ_4Q03" localSheetId="10">Tags!$Y$39</definedName>
    <definedName name="ALSTAJ_4Q03">Tags_ols!$Y$39</definedName>
    <definedName name="ALSTAJ_4Q04" localSheetId="10">Tags!$AD$39</definedName>
    <definedName name="ALSTAJ_4Q04">Tags_ols!$AD$39</definedName>
    <definedName name="ALSTAJ_4Q05" localSheetId="10">Tags!$AI$39</definedName>
    <definedName name="ALSTAJ_4Q05">Tags_ols!$AI$39</definedName>
    <definedName name="ALSTAJ_4Q06" localSheetId="10">Tags!$AN$39</definedName>
    <definedName name="ALSTAJ_4Q06">Tags_ols!$AN$39</definedName>
    <definedName name="ALSTAJ_4Q07" localSheetId="10">Tags!$AS$39</definedName>
    <definedName name="ALSTAJ_4Q07">Tags_ols!$AS$39</definedName>
    <definedName name="ALSTAJ_4Q08" localSheetId="10">Tags!$AX$39</definedName>
    <definedName name="ALSTAJ_4Q08">Tags_ols!$AX$39</definedName>
    <definedName name="ALSTAJ_4Q09" localSheetId="10">Tags!$BC$39</definedName>
    <definedName name="ALSTAJ_4Q09">Tags_ols!$BC$39</definedName>
    <definedName name="ALSTAJ_4Q10" localSheetId="10">Tags!$BH$39</definedName>
    <definedName name="ALSTAJ_4Q10">Tags_ols!$BH$39</definedName>
    <definedName name="ALSTAJ_4Q11" localSheetId="10">Tags!$BM$39</definedName>
    <definedName name="ALSTAJ_4Q11">Tags_ols!$BM$39</definedName>
    <definedName name="ALSTAJ_4Q12" localSheetId="10">Tags!$BR$39</definedName>
    <definedName name="ALSTAJ_4Q12">Tags_ols!$BR$39</definedName>
    <definedName name="ALSTAJ_4Q13" localSheetId="10">Tags!$BW$39</definedName>
    <definedName name="ALSTAJ_4Q13">Tags_ols!$BW$39</definedName>
    <definedName name="ALSTAJ_4Q14" localSheetId="10">Tags!$CB$39</definedName>
    <definedName name="ALSTAJ_4Q14">Tags_ols!$CB$39</definedName>
    <definedName name="ALSTAJ_4Q15" localSheetId="10">Tags!$CG$39</definedName>
    <definedName name="ALSTAJ_4Q15">Tags_ols!$CG$39</definedName>
    <definedName name="ALSTAJ_4Q16" localSheetId="10">Tags!$CL$39</definedName>
    <definedName name="ALSTAJ_4Q16">Tags_ols!$CL$39</definedName>
    <definedName name="ALSTAJ_4Q17" localSheetId="10">Tags!$CQ$39</definedName>
    <definedName name="ALSTAJ_4Q17">Tags_ols!$CQ$39</definedName>
    <definedName name="ALSTAJ_4Q18" localSheetId="10">Tags!$CV$39</definedName>
    <definedName name="ALSTAJ_4Q18">Tags_ols!$CV$39</definedName>
    <definedName name="ALSTAJ_4Q19" localSheetId="10">Tags!$DA$39</definedName>
    <definedName name="ALSTAJ_4Q19">Tags_ols!$DA$39</definedName>
    <definedName name="ALSTAJ_4Q20" localSheetId="10">Tags!$DF$39</definedName>
    <definedName name="ALSTAJ_4Q20">Tags_ols!$DF$39</definedName>
    <definedName name="ALSTAJ_4Q21">Tags!$DK$39</definedName>
    <definedName name="ALSTAJ_4Q22">Tags!$DP$39</definedName>
    <definedName name="ALSTAJ_4Q23">Tags!$DU$39</definedName>
    <definedName name="ALSTAJ_4Q24">Tags!$DZ$39</definedName>
    <definedName name="AMGOOD_1995">Tags_ols!$B$13</definedName>
    <definedName name="AMGOOD_1996">Tags_ols!$C$13</definedName>
    <definedName name="AMGOOD_1997">Tags_ols!$D$13</definedName>
    <definedName name="AMGOOD_1998">Tags_ols!$E$13</definedName>
    <definedName name="AMGOOD_1999">Tags_ols!$F$13</definedName>
    <definedName name="AMGOOD_1Q00" localSheetId="10">Tags!$G$13</definedName>
    <definedName name="AMGOOD_1Q00">Tags_ols!$G$13</definedName>
    <definedName name="AMGOOD_1Q01" localSheetId="10">Tags!$L$13</definedName>
    <definedName name="AMGOOD_1Q01">Tags_ols!$L$13</definedName>
    <definedName name="AMGOOD_1Q02" localSheetId="10">Tags!$Q$13</definedName>
    <definedName name="AMGOOD_1Q02">Tags_ols!$Q$13</definedName>
    <definedName name="AMGOOD_1Q03" localSheetId="10">Tags!$V$13</definedName>
    <definedName name="AMGOOD_1Q03">Tags_ols!$V$13</definedName>
    <definedName name="AMGOOD_1Q04" localSheetId="10">Tags!$AA$13</definedName>
    <definedName name="AMGOOD_1Q04">Tags_ols!$AA$13</definedName>
    <definedName name="AMGOOD_1Q05" localSheetId="10">Tags!$AF$13</definedName>
    <definedName name="AMGOOD_1Q05">Tags_ols!$AF$13</definedName>
    <definedName name="AMGOOD_1Q06" localSheetId="10">Tags!$AK$13</definedName>
    <definedName name="AMGOOD_1Q06">Tags_ols!$AK$13</definedName>
    <definedName name="AMGOOD_1Q07" localSheetId="10">Tags!$AP$13</definedName>
    <definedName name="AMGOOD_1Q07">Tags_ols!$AP$13</definedName>
    <definedName name="AMGOOD_1Q08" localSheetId="10">Tags!$AU$13</definedName>
    <definedName name="AMGOOD_1Q08">Tags_ols!$AU$13</definedName>
    <definedName name="AMGOOD_1Q09" localSheetId="10">Tags!$AZ$13</definedName>
    <definedName name="AMGOOD_1Q09">Tags_ols!$AZ$13</definedName>
    <definedName name="AMGOOD_1Q10" localSheetId="10">Tags!$BE$13</definedName>
    <definedName name="AMGOOD_1Q10">Tags_ols!$BE$13</definedName>
    <definedName name="AMGOOD_1Q11" localSheetId="10">Tags!$BJ$13</definedName>
    <definedName name="AMGOOD_1Q11">Tags_ols!$BJ$13</definedName>
    <definedName name="AMGOOD_1Q12" localSheetId="10">Tags!$BO$13</definedName>
    <definedName name="AMGOOD_1Q12">Tags_ols!$BO$13</definedName>
    <definedName name="AMGOOD_1Q13" localSheetId="10">Tags!$BT$13</definedName>
    <definedName name="AMGOOD_1Q13">Tags_ols!$BT$13</definedName>
    <definedName name="AMGOOD_1Q14" localSheetId="10">Tags!$BY$13</definedName>
    <definedName name="AMGOOD_1Q14">Tags_ols!$BY$13</definedName>
    <definedName name="AMGOOD_1Q15" localSheetId="10">Tags!$CD$13</definedName>
    <definedName name="AMGOOD_1Q15">Tags_ols!$CD$13</definedName>
    <definedName name="AMGOOD_1Q16" localSheetId="10">Tags!$CI$13</definedName>
    <definedName name="AMGOOD_1Q16">Tags_ols!$CI$13</definedName>
    <definedName name="AMGOOD_1Q17" localSheetId="10">Tags!$CN$13</definedName>
    <definedName name="AMGOOD_1Q17">Tags_ols!$CN$13</definedName>
    <definedName name="AMGOOD_1Q18" localSheetId="10">Tags!$CS$13</definedName>
    <definedName name="AMGOOD_1Q18">Tags_ols!$CS$13</definedName>
    <definedName name="AMGOOD_1Q19" localSheetId="10">Tags!$CX$13</definedName>
    <definedName name="AMGOOD_1Q19">Tags_ols!$CX$13</definedName>
    <definedName name="AMGOOD_1Q20" localSheetId="10">Tags!$DC$13</definedName>
    <definedName name="AMGOOD_1Q20">Tags_ols!$DC$13</definedName>
    <definedName name="AMGOOD_1Q21">Tags!$DH$13</definedName>
    <definedName name="AMGOOD_1Q22">Tags!$DM$13</definedName>
    <definedName name="AMGOOD_1Q23">Tags!$DR$13</definedName>
    <definedName name="AMGOOD_1Q24">Tags!$DW$13</definedName>
    <definedName name="AMGOOD_2000" localSheetId="10">Tags!$K$13</definedName>
    <definedName name="AMGOOD_2000">Tags_ols!$K$13</definedName>
    <definedName name="AMGOOD_2001" localSheetId="10">Tags!$P$13</definedName>
    <definedName name="AMGOOD_2001">Tags_ols!$P$13</definedName>
    <definedName name="AMGOOD_2002" localSheetId="10">Tags!$U$13</definedName>
    <definedName name="AMGOOD_2002">Tags_ols!$U$13</definedName>
    <definedName name="AMGOOD_2003" localSheetId="10">Tags!$Z$13</definedName>
    <definedName name="AMGOOD_2003">Tags_ols!$Z$13</definedName>
    <definedName name="AMGOOD_2004" localSheetId="10">Tags!$AE$13</definedName>
    <definedName name="AMGOOD_2004">Tags_ols!$AE$13</definedName>
    <definedName name="AMGOOD_2005" localSheetId="10">Tags!$AJ$13</definedName>
    <definedName name="AMGOOD_2005">Tags_ols!$AJ$13</definedName>
    <definedName name="AMGOOD_2006" localSheetId="10">Tags!$AO$13</definedName>
    <definedName name="AMGOOD_2006">Tags_ols!$AO$13</definedName>
    <definedName name="AMGOOD_2007" localSheetId="10">Tags!$AT$13</definedName>
    <definedName name="AMGOOD_2007">Tags_ols!$AT$13</definedName>
    <definedName name="AMGOOD_2008" localSheetId="10">Tags!$AY$13</definedName>
    <definedName name="AMGOOD_2008">Tags_ols!$AY$13</definedName>
    <definedName name="AMGOOD_2009" localSheetId="10">Tags!$BD$13</definedName>
    <definedName name="AMGOOD_2009">Tags_ols!$BD$13</definedName>
    <definedName name="AMGOOD_2010" localSheetId="10">Tags!$BI$13</definedName>
    <definedName name="AMGOOD_2010">Tags_ols!$BI$13</definedName>
    <definedName name="AMGOOD_2011" localSheetId="10">Tags!$BN$13</definedName>
    <definedName name="AMGOOD_2011">Tags_ols!$BN$13</definedName>
    <definedName name="AMGOOD_2012" localSheetId="10">Tags!$BS$13</definedName>
    <definedName name="AMGOOD_2012">Tags_ols!$BS$13</definedName>
    <definedName name="AMGOOD_2013" localSheetId="10">Tags!$BX$13</definedName>
    <definedName name="AMGOOD_2013">Tags_ols!$BX$13</definedName>
    <definedName name="AMGOOD_2014" localSheetId="10">Tags!$CC$13</definedName>
    <definedName name="AMGOOD_2014">Tags_ols!$CC$13</definedName>
    <definedName name="AMGOOD_2015" localSheetId="10">Tags!#REF!</definedName>
    <definedName name="AMGOOD_2015">Tags!$CH$13</definedName>
    <definedName name="AMGOOD_2016" localSheetId="10">Tags!$CM$13</definedName>
    <definedName name="AMGOOD_2016">Tags_ols!$CM$13</definedName>
    <definedName name="AMGOOD_2017" localSheetId="10">Tags!$CR$13</definedName>
    <definedName name="AMGOOD_2017">Tags_ols!$CR$13</definedName>
    <definedName name="AMGOOD_2018" localSheetId="10">Tags!$CW$13</definedName>
    <definedName name="AMGOOD_2018">Tags_ols!$CW$13</definedName>
    <definedName name="AMGOOD_2019" localSheetId="10">Tags!$DB$13</definedName>
    <definedName name="AMGOOD_2019">Tags_ols!$DB$13</definedName>
    <definedName name="AMGOOD_2020" localSheetId="10">Tags!$DG$13</definedName>
    <definedName name="AMGOOD_2020">Tags_ols!$DG$13</definedName>
    <definedName name="AMGOOD_2021">Tags!$DL$13</definedName>
    <definedName name="AMGOOD_2022">Tags!$DQ$13</definedName>
    <definedName name="AMGOOD_2023">Tags!$DV$13</definedName>
    <definedName name="AMGOOD_2024">Tags!$EA$13</definedName>
    <definedName name="AMGOOD_2Q00" localSheetId="10">Tags!$H$13</definedName>
    <definedName name="AMGOOD_2Q00">Tags_ols!$H$13</definedName>
    <definedName name="AMGOOD_2Q01" localSheetId="10">Tags!$M$13</definedName>
    <definedName name="AMGOOD_2Q01">Tags_ols!$M$13</definedName>
    <definedName name="AMGOOD_2Q02" localSheetId="10">Tags!$R$13</definedName>
    <definedName name="AMGOOD_2Q02">Tags_ols!$R$13</definedName>
    <definedName name="AMGOOD_2Q03" localSheetId="10">Tags!$W$13</definedName>
    <definedName name="AMGOOD_2Q03">Tags_ols!$W$13</definedName>
    <definedName name="AMGOOD_2Q04" localSheetId="10">Tags!$AB$13</definedName>
    <definedName name="AMGOOD_2Q04">Tags_ols!$AB$13</definedName>
    <definedName name="AMGOOD_2Q05" localSheetId="10">Tags!$AG$13</definedName>
    <definedName name="AMGOOD_2Q05">Tags_ols!$AG$13</definedName>
    <definedName name="AMGOOD_2Q06" localSheetId="10">Tags!$AL$13</definedName>
    <definedName name="AMGOOD_2Q06">Tags_ols!$AL$13</definedName>
    <definedName name="AMGOOD_2Q07" localSheetId="10">Tags!$AQ$13</definedName>
    <definedName name="AMGOOD_2Q07">Tags_ols!$AQ$13</definedName>
    <definedName name="AMGOOD_2Q08" localSheetId="10">Tags!$AV$13</definedName>
    <definedName name="AMGOOD_2Q08">Tags_ols!$AV$13</definedName>
    <definedName name="AMGOOD_2Q09" localSheetId="10">Tags!$BA$13</definedName>
    <definedName name="AMGOOD_2Q09">Tags_ols!$BA$13</definedName>
    <definedName name="AMGOOD_2Q10" localSheetId="10">Tags!$BF$13</definedName>
    <definedName name="AMGOOD_2Q10">Tags_ols!$BF$13</definedName>
    <definedName name="AMGOOD_2Q11" localSheetId="10">Tags!$BK$13</definedName>
    <definedName name="AMGOOD_2Q11">Tags_ols!$BK$13</definedName>
    <definedName name="AMGOOD_2Q12" localSheetId="10">Tags!$BP$13</definedName>
    <definedName name="AMGOOD_2Q12">Tags_ols!$BP$13</definedName>
    <definedName name="AMGOOD_2Q13" localSheetId="10">Tags!$BU$13</definedName>
    <definedName name="AMGOOD_2Q13">Tags_ols!$BU$13</definedName>
    <definedName name="AMGOOD_2Q14" localSheetId="10">Tags!$BZ$13</definedName>
    <definedName name="AMGOOD_2Q14">Tags_ols!$BZ$13</definedName>
    <definedName name="AMGOOD_2Q15" localSheetId="10">Tags!$CE$13</definedName>
    <definedName name="AMGOOD_2Q15">Tags_ols!$CE$13</definedName>
    <definedName name="AMGOOD_2Q16" localSheetId="10">Tags!$CJ$13</definedName>
    <definedName name="AMGOOD_2Q16">Tags_ols!$CJ$13</definedName>
    <definedName name="AMGOOD_2Q17" localSheetId="10">Tags!$CO$13</definedName>
    <definedName name="AMGOOD_2Q17">Tags_ols!$CO$13</definedName>
    <definedName name="AMGOOD_2Q18" localSheetId="10">Tags!$CT$13</definedName>
    <definedName name="AMGOOD_2Q18">Tags_ols!$CT$13</definedName>
    <definedName name="AMGOOD_2Q19" localSheetId="10">Tags!$CY$13</definedName>
    <definedName name="AMGOOD_2Q19">Tags_ols!$CY$13</definedName>
    <definedName name="AMGOOD_2Q20" localSheetId="10">Tags!$DD$13</definedName>
    <definedName name="AMGOOD_2Q20">Tags_ols!$DD$13</definedName>
    <definedName name="AMGOOD_2Q21">Tags!$DI$13</definedName>
    <definedName name="AMGOOD_2Q22">Tags!$DN$13</definedName>
    <definedName name="AMGOOD_2Q23">Tags!$DS$13</definedName>
    <definedName name="AMGOOD_2Q24">Tags!$DX$13</definedName>
    <definedName name="AMGOOD_3Q00" localSheetId="10">Tags!$I$13</definedName>
    <definedName name="AMGOOD_3Q00">Tags_ols!$I$13</definedName>
    <definedName name="AMGOOD_3Q01" localSheetId="10">Tags!$N$13</definedName>
    <definedName name="AMGOOD_3Q01">Tags_ols!$N$13</definedName>
    <definedName name="AMGOOD_3Q02" localSheetId="10">Tags!$S$13</definedName>
    <definedName name="AMGOOD_3Q02">Tags_ols!$S$13</definedName>
    <definedName name="AMGOOD_3Q03" localSheetId="10">Tags!$X$13</definedName>
    <definedName name="AMGOOD_3Q03">Tags_ols!$X$13</definedName>
    <definedName name="AMGOOD_3Q04" localSheetId="10">Tags!$AC$13</definedName>
    <definedName name="AMGOOD_3Q04">Tags_ols!$AC$13</definedName>
    <definedName name="AMGOOD_3Q05" localSheetId="10">Tags!$AH$13</definedName>
    <definedName name="AMGOOD_3Q05">Tags_ols!$AH$13</definedName>
    <definedName name="AMGOOD_3Q06" localSheetId="10">Tags!$AM$13</definedName>
    <definedName name="AMGOOD_3Q06">Tags_ols!$AM$13</definedName>
    <definedName name="AMGOOD_3Q07" localSheetId="10">Tags!$AR$13</definedName>
    <definedName name="AMGOOD_3Q07">Tags_ols!$AR$13</definedName>
    <definedName name="AMGOOD_3Q08" localSheetId="10">Tags!$AW$13</definedName>
    <definedName name="AMGOOD_3Q08">Tags_ols!$AW$13</definedName>
    <definedName name="AMGOOD_3Q09" localSheetId="10">Tags!$BB$13</definedName>
    <definedName name="AMGOOD_3Q09">Tags_ols!$BB$13</definedName>
    <definedName name="AMGOOD_3Q10" localSheetId="10">Tags!$BG$13</definedName>
    <definedName name="AMGOOD_3Q10">Tags_ols!$BG$13</definedName>
    <definedName name="AMGOOD_3Q11" localSheetId="10">Tags!$BL$13</definedName>
    <definedName name="AMGOOD_3Q11">Tags_ols!$BL$13</definedName>
    <definedName name="AMGOOD_3Q12" localSheetId="10">Tags!$BQ$13</definedName>
    <definedName name="AMGOOD_3Q12">Tags_ols!$BQ$13</definedName>
    <definedName name="AMGOOD_3Q13" localSheetId="10">Tags!$BV$13</definedName>
    <definedName name="AMGOOD_3Q13">Tags_ols!$BV$13</definedName>
    <definedName name="AMGOOD_3Q14" localSheetId="10">Tags!$CA$13</definedName>
    <definedName name="AMGOOD_3Q14">Tags_ols!$CA$13</definedName>
    <definedName name="AMGOOD_3Q15" localSheetId="10">Tags!$CF$13</definedName>
    <definedName name="AMGOOD_3Q15">Tags_ols!$CF$13</definedName>
    <definedName name="AMGOOD_3Q16" localSheetId="10">Tags!$CK$13</definedName>
    <definedName name="AMGOOD_3Q16">Tags_ols!$CK$13</definedName>
    <definedName name="AMGOOD_3Q17" localSheetId="10">Tags!$CP$13</definedName>
    <definedName name="AMGOOD_3Q17">Tags_ols!$CP$13</definedName>
    <definedName name="AMGOOD_3Q18" localSheetId="10">Tags!$CU$13</definedName>
    <definedName name="AMGOOD_3Q18">Tags_ols!$CU$13</definedName>
    <definedName name="AMGOOD_3Q19" localSheetId="10">Tags!$CZ$13</definedName>
    <definedName name="AMGOOD_3Q19">Tags_ols!$CZ$13</definedName>
    <definedName name="AMGOOD_3Q20" localSheetId="10">Tags!$DE$13</definedName>
    <definedName name="AMGOOD_3Q20">Tags_ols!$DE$13</definedName>
    <definedName name="AMGOOD_3Q21">Tags!$DJ$13</definedName>
    <definedName name="AMGOOD_3Q22">Tags!$DO$13</definedName>
    <definedName name="AMGOOD_3Q23">Tags!$DT$13</definedName>
    <definedName name="AMGOOD_3Q24">Tags!$DY$13</definedName>
    <definedName name="AMGOOD_4Q00" localSheetId="10">Tags!$J$13</definedName>
    <definedName name="AMGOOD_4Q00">Tags_ols!$J$13</definedName>
    <definedName name="AMGOOD_4Q01" localSheetId="10">Tags!$O$13</definedName>
    <definedName name="AMGOOD_4Q01">Tags_ols!$O$13</definedName>
    <definedName name="AMGOOD_4Q02" localSheetId="10">Tags!$T$13</definedName>
    <definedName name="AMGOOD_4Q02">Tags_ols!$T$13</definedName>
    <definedName name="AMGOOD_4Q03" localSheetId="10">Tags!$Y$13</definedName>
    <definedName name="AMGOOD_4Q03">Tags_ols!$Y$13</definedName>
    <definedName name="AMGOOD_4Q04" localSheetId="10">Tags!$AD$13</definedName>
    <definedName name="AMGOOD_4Q04">Tags_ols!$AD$13</definedName>
    <definedName name="AMGOOD_4Q05" localSheetId="10">Tags!$AI$13</definedName>
    <definedName name="AMGOOD_4Q05">Tags_ols!$AI$13</definedName>
    <definedName name="AMGOOD_4Q06" localSheetId="10">Tags!$AN$13</definedName>
    <definedName name="AMGOOD_4Q06">Tags_ols!$AN$13</definedName>
    <definedName name="AMGOOD_4Q07" localSheetId="10">Tags!$AS$13</definedName>
    <definedName name="AMGOOD_4Q07">Tags_ols!$AS$13</definedName>
    <definedName name="AMGOOD_4Q08" localSheetId="10">Tags!$AX$13</definedName>
    <definedName name="AMGOOD_4Q08">Tags_ols!$AX$13</definedName>
    <definedName name="AMGOOD_4Q09" localSheetId="10">Tags!$BC$13</definedName>
    <definedName name="AMGOOD_4Q09">Tags_ols!$BC$13</definedName>
    <definedName name="AMGOOD_4Q10" localSheetId="10">Tags!$BH$13</definedName>
    <definedName name="AMGOOD_4Q10">Tags_ols!$BH$13</definedName>
    <definedName name="AMGOOD_4Q11" localSheetId="10">Tags!$BM$13</definedName>
    <definedName name="AMGOOD_4Q11">Tags_ols!$BM$13</definedName>
    <definedName name="AMGOOD_4Q12" localSheetId="10">Tags!$BR$13</definedName>
    <definedName name="AMGOOD_4Q12">Tags_ols!$BR$13</definedName>
    <definedName name="AMGOOD_4Q13" localSheetId="10">Tags!$BW$13</definedName>
    <definedName name="AMGOOD_4Q13">Tags_ols!$BW$13</definedName>
    <definedName name="AMGOOD_4Q14" localSheetId="10">Tags!$CB$13</definedName>
    <definedName name="AMGOOD_4Q14">Tags_ols!$CB$13</definedName>
    <definedName name="AMGOOD_4Q15" localSheetId="10">Tags!$CG$13</definedName>
    <definedName name="AMGOOD_4Q15">Tags_ols!$CG$13</definedName>
    <definedName name="AMGOOD_4Q16" localSheetId="10">Tags!$CL$13</definedName>
    <definedName name="AMGOOD_4Q16">Tags_ols!$CL$13</definedName>
    <definedName name="AMGOOD_4Q17" localSheetId="10">Tags!$CQ$13</definedName>
    <definedName name="AMGOOD_4Q17">Tags_ols!$CQ$13</definedName>
    <definedName name="AMGOOD_4Q18" localSheetId="10">Tags!$CV$13</definedName>
    <definedName name="AMGOOD_4Q18">Tags_ols!$CV$13</definedName>
    <definedName name="AMGOOD_4Q19" localSheetId="10">Tags!$DA$13</definedName>
    <definedName name="AMGOOD_4Q19">Tags_ols!$DA$13</definedName>
    <definedName name="AMGOOD_4Q20" localSheetId="10">Tags!$DF$13</definedName>
    <definedName name="AMGOOD_4Q20">Tags_ols!$DF$13</definedName>
    <definedName name="AMGOOD_4Q21">Tags!$DK$13</definedName>
    <definedName name="AMGOOD_4Q22">Tags!$DP$13</definedName>
    <definedName name="AMGOOD_4Q23">Tags!$DU$13</definedName>
    <definedName name="AMGOOD_4Q24">Tags!$DZ$13</definedName>
    <definedName name="AMITA_1995">Tags_ols!$B$31</definedName>
    <definedName name="AMITA_1996">Tags_ols!$C$31</definedName>
    <definedName name="AMITA_1997">Tags_ols!$D$31</definedName>
    <definedName name="AMITA_1998">Tags_ols!$E$31</definedName>
    <definedName name="AMITA_1999">Tags_ols!$F$31</definedName>
    <definedName name="AMITA_1Q00" localSheetId="10">Tags!$G$31</definedName>
    <definedName name="AMITA_1Q00">Tags_ols!$G$31</definedName>
    <definedName name="AMITA_1Q01" localSheetId="10">Tags!$L$31</definedName>
    <definedName name="AMITA_1Q01">Tags_ols!$L$31</definedName>
    <definedName name="AMITA_1Q02" localSheetId="10">Tags!$Q$31</definedName>
    <definedName name="AMITA_1Q02">Tags_ols!$Q$31</definedName>
    <definedName name="AMITA_1Q03" localSheetId="10">Tags!$V$31</definedName>
    <definedName name="AMITA_1Q03">Tags_ols!$V$31</definedName>
    <definedName name="AMITA_1Q04" localSheetId="10">Tags!$AA$31</definedName>
    <definedName name="AMITA_1Q04">Tags_ols!$AA$31</definedName>
    <definedName name="AMITA_1Q05" localSheetId="10">Tags!$AF$31</definedName>
    <definedName name="AMITA_1Q05">Tags_ols!$AF$31</definedName>
    <definedName name="AMITA_1Q06" localSheetId="10">Tags!$AK$31</definedName>
    <definedName name="AMITA_1Q06">Tags_ols!$AK$31</definedName>
    <definedName name="AMITA_1Q07" localSheetId="10">Tags!$AP$31</definedName>
    <definedName name="AMITA_1Q07">Tags_ols!$AP$31</definedName>
    <definedName name="AMITA_1Q08" localSheetId="10">Tags!$AU$31</definedName>
    <definedName name="AMITA_1Q08">Tags_ols!$AU$31</definedName>
    <definedName name="AMITA_1Q09" localSheetId="10">Tags!$AZ$31</definedName>
    <definedName name="AMITA_1Q09">Tags_ols!$AZ$31</definedName>
    <definedName name="AMITA_1Q10" localSheetId="10">Tags!$BE$31</definedName>
    <definedName name="AMITA_1Q10">Tags_ols!$BE$31</definedName>
    <definedName name="AMITA_1Q11" localSheetId="10">Tags!$BJ$31</definedName>
    <definedName name="AMITA_1Q11">Tags_ols!$BJ$31</definedName>
    <definedName name="AMITA_1Q12" localSheetId="10">Tags!$BO$31</definedName>
    <definedName name="AMITA_1Q12">Tags_ols!$BO$31</definedName>
    <definedName name="AMITA_1Q13" localSheetId="10">Tags!$BT$31</definedName>
    <definedName name="AMITA_1Q13">Tags_ols!$BT$31</definedName>
    <definedName name="AMITA_1Q14" localSheetId="10">Tags!$BY$31</definedName>
    <definedName name="AMITA_1Q14">Tags_ols!$BY$31</definedName>
    <definedName name="AMITA_1Q15" localSheetId="10">Tags!$CD$31</definedName>
    <definedName name="AMITA_1Q15">Tags_ols!$CD$31</definedName>
    <definedName name="AMITA_1Q16" localSheetId="10">Tags!$CI$31</definedName>
    <definedName name="AMITA_1Q16">Tags_ols!$CI$31</definedName>
    <definedName name="AMITA_1Q17" localSheetId="10">Tags!$CN$31</definedName>
    <definedName name="AMITA_1Q17">Tags_ols!$CN$31</definedName>
    <definedName name="AMITA_1Q18" localSheetId="10">Tags!$CS$31</definedName>
    <definedName name="AMITA_1Q18">Tags_ols!$CS$31</definedName>
    <definedName name="AMITA_1Q19" localSheetId="10">Tags!$CX$31</definedName>
    <definedName name="AMITA_1Q19">Tags_ols!$CX$31</definedName>
    <definedName name="AMITA_1Q20" localSheetId="10">Tags!$DC$31</definedName>
    <definedName name="AMITA_1Q20">Tags_ols!$DC$31</definedName>
    <definedName name="AMITA_1Q21">Tags!$DH$31</definedName>
    <definedName name="AMITA_1Q22">Tags!$DM$31</definedName>
    <definedName name="AMITA_1Q23">Tags!$DR$31</definedName>
    <definedName name="AMITA_1Q24">Tags!$DW$31</definedName>
    <definedName name="AMITA_2000" localSheetId="10">Tags!$K$31</definedName>
    <definedName name="AMITA_2000">Tags_ols!$K$31</definedName>
    <definedName name="AMITA_2001" localSheetId="10">Tags!$P$31</definedName>
    <definedName name="AMITA_2001">Tags_ols!$P$31</definedName>
    <definedName name="AMITA_2002" localSheetId="10">Tags!$U$31</definedName>
    <definedName name="AMITA_2002">Tags_ols!$U$31</definedName>
    <definedName name="AMITA_2003" localSheetId="10">Tags!$Z$31</definedName>
    <definedName name="AMITA_2003">Tags_ols!$Z$31</definedName>
    <definedName name="AMITA_2004" localSheetId="10">Tags!$AE$31</definedName>
    <definedName name="AMITA_2004">Tags_ols!$AE$31</definedName>
    <definedName name="AMITA_2005" localSheetId="10">Tags!$AJ$31</definedName>
    <definedName name="AMITA_2005">Tags_ols!$AJ$31</definedName>
    <definedName name="AMITA_2006" localSheetId="10">Tags!$AO$31</definedName>
    <definedName name="AMITA_2006">Tags_ols!$AO$31</definedName>
    <definedName name="AMITA_2007" localSheetId="10">Tags!$AT$31</definedName>
    <definedName name="AMITA_2007">Tags_ols!$AT$31</definedName>
    <definedName name="AMITA_2008" localSheetId="10">Tags!$AY$31</definedName>
    <definedName name="AMITA_2008">Tags_ols!$AY$31</definedName>
    <definedName name="AMITA_2009" localSheetId="10">Tags!$BD$31</definedName>
    <definedName name="AMITA_2009">Tags_ols!$BD$31</definedName>
    <definedName name="AMITA_2010" localSheetId="10">Tags!$BI$31</definedName>
    <definedName name="AMITA_2010">Tags_ols!$BI$31</definedName>
    <definedName name="AMITA_2011" localSheetId="10">Tags!$BN$31</definedName>
    <definedName name="AMITA_2011">Tags_ols!$BN$31</definedName>
    <definedName name="AMITA_2012" localSheetId="10">Tags!$BS$31</definedName>
    <definedName name="AMITA_2012">Tags_ols!$BS$31</definedName>
    <definedName name="AMITA_2013" localSheetId="10">Tags!$BX$31</definedName>
    <definedName name="AMITA_2013">Tags_ols!$BX$31</definedName>
    <definedName name="AMITA_2014" localSheetId="10">Tags!$CC$31</definedName>
    <definedName name="AMITA_2014">Tags_ols!$CC$31</definedName>
    <definedName name="AMITA_2015" localSheetId="10">Tags!#REF!</definedName>
    <definedName name="AMITA_2015">Tags!$CH$31</definedName>
    <definedName name="AMITA_2016" localSheetId="10">Tags!$CM$31</definedName>
    <definedName name="AMITA_2016">Tags_ols!$CM$31</definedName>
    <definedName name="AMITA_2017" localSheetId="10">Tags!$CR$31</definedName>
    <definedName name="AMITA_2017">Tags_ols!$CR$31</definedName>
    <definedName name="AMITA_2018" localSheetId="10">Tags!$CW$31</definedName>
    <definedName name="AMITA_2018">Tags_ols!$CW$31</definedName>
    <definedName name="AMITA_2019" localSheetId="10">Tags!$DB$31</definedName>
    <definedName name="AMITA_2019">Tags_ols!$DB$31</definedName>
    <definedName name="AMITA_2020" localSheetId="10">Tags!$DG$31</definedName>
    <definedName name="AMITA_2020">Tags_ols!$DG$31</definedName>
    <definedName name="AMITA_2021">Tags!$DL$31</definedName>
    <definedName name="AMITA_2022">Tags!$DQ$31</definedName>
    <definedName name="AMITA_2023">Tags!$DV$31</definedName>
    <definedName name="AMITA_2024">Tags!$EA$31</definedName>
    <definedName name="AMITA_2Q00" localSheetId="10">Tags!$H$31</definedName>
    <definedName name="AMITA_2Q00">Tags_ols!$H$31</definedName>
    <definedName name="AMITA_2Q01" localSheetId="10">Tags!$M$31</definedName>
    <definedName name="AMITA_2Q01">Tags_ols!$M$31</definedName>
    <definedName name="AMITA_2Q02" localSheetId="10">Tags!$R$31</definedName>
    <definedName name="AMITA_2Q02">Tags_ols!$R$31</definedName>
    <definedName name="AMITA_2Q03" localSheetId="10">Tags!$W$31</definedName>
    <definedName name="AMITA_2Q03">Tags_ols!$W$31</definedName>
    <definedName name="AMITA_2Q04" localSheetId="10">Tags!$AB$31</definedName>
    <definedName name="AMITA_2Q04">Tags_ols!$AB$31</definedName>
    <definedName name="AMITA_2Q05" localSheetId="10">Tags!$AG$31</definedName>
    <definedName name="AMITA_2Q05">Tags_ols!$AG$31</definedName>
    <definedName name="AMITA_2Q06" localSheetId="10">Tags!$AL$31</definedName>
    <definedName name="AMITA_2Q06">Tags_ols!$AL$31</definedName>
    <definedName name="AMITA_2Q07" localSheetId="10">Tags!$AQ$31</definedName>
    <definedName name="AMITA_2Q07">Tags_ols!$AQ$31</definedName>
    <definedName name="AMITA_2Q08" localSheetId="10">Tags!$AV$31</definedName>
    <definedName name="AMITA_2Q08">Tags_ols!$AV$31</definedName>
    <definedName name="AMITA_2Q09" localSheetId="10">Tags!$BA$31</definedName>
    <definedName name="AMITA_2Q09">Tags_ols!$BA$31</definedName>
    <definedName name="AMITA_2Q10" localSheetId="10">Tags!$BF$31</definedName>
    <definedName name="AMITA_2Q10">Tags_ols!$BF$31</definedName>
    <definedName name="AMITA_2Q11" localSheetId="10">Tags!$BK$31</definedName>
    <definedName name="AMITA_2Q11">Tags_ols!$BK$31</definedName>
    <definedName name="AMITA_2Q12" localSheetId="10">Tags!$BP$31</definedName>
    <definedName name="AMITA_2Q12">Tags_ols!$BP$31</definedName>
    <definedName name="AMITA_2Q13" localSheetId="10">Tags!$BU$31</definedName>
    <definedName name="AMITA_2Q13">Tags_ols!$BU$31</definedName>
    <definedName name="AMITA_2Q14" localSheetId="10">Tags!$BZ$31</definedName>
    <definedName name="AMITA_2Q14">Tags_ols!$BZ$31</definedName>
    <definedName name="AMITA_2Q15" localSheetId="10">Tags!$CE$31</definedName>
    <definedName name="AMITA_2Q15">Tags_ols!$CE$31</definedName>
    <definedName name="AMITA_2Q16" localSheetId="10">Tags!$CJ$31</definedName>
    <definedName name="AMITA_2Q16">Tags_ols!$CJ$31</definedName>
    <definedName name="AMITA_2Q17" localSheetId="10">Tags!$CO$31</definedName>
    <definedName name="AMITA_2Q17">Tags_ols!$CO$31</definedName>
    <definedName name="AMITA_2Q18" localSheetId="10">Tags!$CT$31</definedName>
    <definedName name="AMITA_2Q18">Tags_ols!$CT$31</definedName>
    <definedName name="AMITA_2Q19" localSheetId="10">Tags!$CY$31</definedName>
    <definedName name="AMITA_2Q19">Tags_ols!$CY$31</definedName>
    <definedName name="AMITA_2Q20" localSheetId="10">Tags!$DD$31</definedName>
    <definedName name="AMITA_2Q20">Tags_ols!$DD$31</definedName>
    <definedName name="AMITA_2Q21">Tags!$DI$31</definedName>
    <definedName name="AMITA_2Q22">Tags!$DN$31</definedName>
    <definedName name="AMITA_2Q23">Tags!$DS$31</definedName>
    <definedName name="AMITA_2Q24">Tags!$DX$31</definedName>
    <definedName name="AMITA_3Q00" localSheetId="10">Tags!$I$31</definedName>
    <definedName name="AMITA_3Q00">Tags_ols!$I$31</definedName>
    <definedName name="AMITA_3Q01" localSheetId="10">Tags!$N$31</definedName>
    <definedName name="AMITA_3Q01">Tags_ols!$N$31</definedName>
    <definedName name="AMITA_3Q02" localSheetId="10">Tags!$S$31</definedName>
    <definedName name="AMITA_3Q02">Tags_ols!$S$31</definedName>
    <definedName name="AMITA_3Q03" localSheetId="10">Tags!$X$31</definedName>
    <definedName name="AMITA_3Q03">Tags_ols!$X$31</definedName>
    <definedName name="AMITA_3Q04" localSheetId="10">Tags!$AC$31</definedName>
    <definedName name="AMITA_3Q04">Tags_ols!$AC$31</definedName>
    <definedName name="AMITA_3Q05" localSheetId="10">Tags!$AH$31</definedName>
    <definedName name="AMITA_3Q05">Tags_ols!$AH$31</definedName>
    <definedName name="AMITA_3Q06" localSheetId="10">Tags!$AM$31</definedName>
    <definedName name="AMITA_3Q06">Tags_ols!$AM$31</definedName>
    <definedName name="AMITA_3Q07" localSheetId="10">Tags!$AR$31</definedName>
    <definedName name="AMITA_3Q07">Tags_ols!$AR$31</definedName>
    <definedName name="AMITA_3Q08" localSheetId="10">Tags!$AW$31</definedName>
    <definedName name="AMITA_3Q08">Tags_ols!$AW$31</definedName>
    <definedName name="AMITA_3Q09" localSheetId="10">Tags!$BB$31</definedName>
    <definedName name="AMITA_3Q09">Tags_ols!$BB$31</definedName>
    <definedName name="AMITA_3Q10" localSheetId="10">Tags!$BG$31</definedName>
    <definedName name="AMITA_3Q10">Tags_ols!$BG$31</definedName>
    <definedName name="AMITA_3Q11" localSheetId="10">Tags!$BL$31</definedName>
    <definedName name="AMITA_3Q11">Tags_ols!$BL$31</definedName>
    <definedName name="AMITA_3Q12" localSheetId="10">Tags!$BQ$31</definedName>
    <definedName name="AMITA_3Q12">Tags_ols!$BQ$31</definedName>
    <definedName name="AMITA_3Q13" localSheetId="10">Tags!$BV$31</definedName>
    <definedName name="AMITA_3Q13">Tags_ols!$BV$31</definedName>
    <definedName name="AMITA_3Q14" localSheetId="10">Tags!$CA$31</definedName>
    <definedName name="AMITA_3Q14">Tags_ols!$CA$31</definedName>
    <definedName name="AMITA_3Q15" localSheetId="10">Tags!$CF$31</definedName>
    <definedName name="AMITA_3Q15">Tags_ols!$CF$31</definedName>
    <definedName name="AMITA_3Q16" localSheetId="10">Tags!$CK$31</definedName>
    <definedName name="AMITA_3Q16">Tags_ols!$CK$31</definedName>
    <definedName name="AMITA_3Q17" localSheetId="10">Tags!$CP$31</definedName>
    <definedName name="AMITA_3Q17">Tags_ols!$CP$31</definedName>
    <definedName name="AMITA_3Q18" localSheetId="10">Tags!$CU$31</definedName>
    <definedName name="AMITA_3Q18">Tags_ols!$CU$31</definedName>
    <definedName name="AMITA_3Q19" localSheetId="10">Tags!$CZ$31</definedName>
    <definedName name="AMITA_3Q19">Tags_ols!$CZ$31</definedName>
    <definedName name="AMITA_3Q20" localSheetId="10">Tags!$DE$31</definedName>
    <definedName name="AMITA_3Q20">Tags_ols!$DE$31</definedName>
    <definedName name="AMITA_3Q21">Tags!$DJ$31</definedName>
    <definedName name="AMITA_3Q22">Tags!$DO$31</definedName>
    <definedName name="AMITA_3Q23">Tags!$DT$31</definedName>
    <definedName name="AMITA_3Q24">Tags!$DY$31</definedName>
    <definedName name="AMITA_4Q00" localSheetId="10">Tags!$J$31</definedName>
    <definedName name="AMITA_4Q00">Tags_ols!$J$31</definedName>
    <definedName name="AMITA_4Q01" localSheetId="10">Tags!$O$31</definedName>
    <definedName name="AMITA_4Q01">Tags_ols!$O$31</definedName>
    <definedName name="AMITA_4Q02" localSheetId="10">Tags!$T$31</definedName>
    <definedName name="AMITA_4Q02">Tags_ols!$T$31</definedName>
    <definedName name="AMITA_4Q03" localSheetId="10">Tags!$Y$31</definedName>
    <definedName name="AMITA_4Q03">Tags_ols!$Y$31</definedName>
    <definedName name="AMITA_4Q04" localSheetId="10">Tags!$AD$31</definedName>
    <definedName name="AMITA_4Q04">Tags_ols!$AD$31</definedName>
    <definedName name="AMITA_4Q05" localSheetId="10">Tags!$AI$31</definedName>
    <definedName name="AMITA_4Q05">Tags_ols!$AI$31</definedName>
    <definedName name="AMITA_4Q06" localSheetId="10">Tags!$AN$31</definedName>
    <definedName name="AMITA_4Q06">Tags_ols!$AN$31</definedName>
    <definedName name="AMITA_4Q07" localSheetId="10">Tags!$AS$31</definedName>
    <definedName name="AMITA_4Q07">Tags_ols!$AS$31</definedName>
    <definedName name="AMITA_4Q08" localSheetId="10">Tags!$AX$31</definedName>
    <definedName name="AMITA_4Q08">Tags_ols!$AX$31</definedName>
    <definedName name="AMITA_4Q09" localSheetId="10">Tags!$BC$31</definedName>
    <definedName name="AMITA_4Q09">Tags_ols!$BC$31</definedName>
    <definedName name="AMITA_4Q10" localSheetId="10">Tags!$BH$31</definedName>
    <definedName name="AMITA_4Q10">Tags_ols!$BH$31</definedName>
    <definedName name="AMITA_4Q11" localSheetId="10">Tags!$BM$31</definedName>
    <definedName name="AMITA_4Q11">Tags_ols!$BM$31</definedName>
    <definedName name="AMITA_4Q12" localSheetId="10">Tags!$BR$31</definedName>
    <definedName name="AMITA_4Q12">Tags_ols!$BR$31</definedName>
    <definedName name="AMITA_4Q13" localSheetId="10">Tags!$BW$31</definedName>
    <definedName name="AMITA_4Q13">Tags_ols!$BW$31</definedName>
    <definedName name="AMITA_4Q14" localSheetId="10">Tags!$CB$31</definedName>
    <definedName name="AMITA_4Q14">Tags_ols!$CB$31</definedName>
    <definedName name="AMITA_4Q15" localSheetId="10">Tags!$CG$31</definedName>
    <definedName name="AMITA_4Q15">Tags_ols!$CG$31</definedName>
    <definedName name="AMITA_4Q16" localSheetId="10">Tags!$CL$31</definedName>
    <definedName name="AMITA_4Q16">Tags_ols!$CL$31</definedName>
    <definedName name="AMITA_4Q17" localSheetId="10">Tags!$CQ$31</definedName>
    <definedName name="AMITA_4Q17">Tags_ols!$CQ$31</definedName>
    <definedName name="AMITA_4Q18" localSheetId="10">Tags!$CV$31</definedName>
    <definedName name="AMITA_4Q18">Tags_ols!$CV$31</definedName>
    <definedName name="AMITA_4Q19" localSheetId="10">Tags!$DA$31</definedName>
    <definedName name="AMITA_4Q19">Tags_ols!$DA$31</definedName>
    <definedName name="AMITA_4Q20" localSheetId="10">Tags!$DF$31</definedName>
    <definedName name="AMITA_4Q20">Tags_ols!$DF$31</definedName>
    <definedName name="AMITA_4Q21">Tags!$DK$31</definedName>
    <definedName name="AMITA_4Q22">Tags!$DP$31</definedName>
    <definedName name="AMITA_4Q23">Tags!$DU$31</definedName>
    <definedName name="AMITA_4Q24">Tags!$DZ$31</definedName>
    <definedName name="AMPACT_1995">Tags_ols!$B$49</definedName>
    <definedName name="AMPACT_1996">Tags_ols!$C$49</definedName>
    <definedName name="AMPACT_1997">Tags_ols!$D$49</definedName>
    <definedName name="AMPACT_1998">Tags_ols!$E$49</definedName>
    <definedName name="AMPACT_1999">Tags_ols!$F$49</definedName>
    <definedName name="AMPACT_1Q00" localSheetId="10">Tags!$G$49</definedName>
    <definedName name="AMPACT_1Q00">Tags_ols!$G$49</definedName>
    <definedName name="AMPACT_1Q01" localSheetId="10">Tags!$L$49</definedName>
    <definedName name="AMPACT_1Q01">Tags_ols!$L$49</definedName>
    <definedName name="AMPACT_1Q02" localSheetId="10">Tags!$Q$49</definedName>
    <definedName name="AMPACT_1Q02">Tags_ols!$Q$49</definedName>
    <definedName name="AMPACT_1Q03" localSheetId="10">Tags!$V$49</definedName>
    <definedName name="AMPACT_1Q03">Tags_ols!$V$49</definedName>
    <definedName name="AMPACT_1Q04" localSheetId="10">Tags!$AA$49</definedName>
    <definedName name="AMPACT_1Q04">Tags_ols!$AA$49</definedName>
    <definedName name="AMPACT_1Q05" localSheetId="10">Tags!$AF$49</definedName>
    <definedName name="AMPACT_1Q05">Tags_ols!$AF$49</definedName>
    <definedName name="AMPACT_1Q06" localSheetId="10">Tags!$AK$49</definedName>
    <definedName name="AMPACT_1Q06">Tags_ols!$AK$49</definedName>
    <definedName name="AMPACT_1Q07" localSheetId="10">Tags!$AP$49</definedName>
    <definedName name="AMPACT_1Q07">Tags_ols!$AP$49</definedName>
    <definedName name="AMPACT_1Q08" localSheetId="10">Tags!$AU$49</definedName>
    <definedName name="AMPACT_1Q08">Tags_ols!$AU$49</definedName>
    <definedName name="AMPACT_1Q09" localSheetId="10">Tags!$AZ$49</definedName>
    <definedName name="AMPACT_1Q09">Tags_ols!$AZ$49</definedName>
    <definedName name="AMPACT_1Q10" localSheetId="10">Tags!$BE$49</definedName>
    <definedName name="AMPACT_1Q10">Tags_ols!$BE$49</definedName>
    <definedName name="AMPACT_1Q11" localSheetId="10">Tags!$BJ$49</definedName>
    <definedName name="AMPACT_1Q11">Tags_ols!$BJ$49</definedName>
    <definedName name="AMPACT_1Q12" localSheetId="10">Tags!$BO$49</definedName>
    <definedName name="AMPACT_1Q12">Tags_ols!$BO$49</definedName>
    <definedName name="AMPACT_1Q13" localSheetId="10">Tags!$BT$49</definedName>
    <definedName name="AMPACT_1Q13">Tags_ols!$BT$49</definedName>
    <definedName name="AMPACT_1Q14" localSheetId="10">Tags!$BY$49</definedName>
    <definedName name="AMPACT_1Q14">Tags_ols!$BY$49</definedName>
    <definedName name="AMPACT_1Q15" localSheetId="10">Tags!$CD$49</definedName>
    <definedName name="AMPACT_1Q15">Tags_ols!$CD$49</definedName>
    <definedName name="AMPACT_1Q16" localSheetId="10">Tags!$CI$49</definedName>
    <definedName name="AMPACT_1Q16">Tags_ols!$CI$49</definedName>
    <definedName name="AMPACT_1Q17" localSheetId="10">Tags!$CN$49</definedName>
    <definedName name="AMPACT_1Q17">Tags_ols!$CN$49</definedName>
    <definedName name="AMPACT_1Q18" localSheetId="10">Tags!$CS$49</definedName>
    <definedName name="AMPACT_1Q18">Tags_ols!$CS$49</definedName>
    <definedName name="AMPACT_1Q19" localSheetId="10">Tags!$CX$49</definedName>
    <definedName name="AMPACT_1Q19">Tags_ols!$CX$49</definedName>
    <definedName name="AMPACT_1Q20" localSheetId="10">Tags!$DC$49</definedName>
    <definedName name="AMPACT_1Q20">Tags_ols!$DC$49</definedName>
    <definedName name="AMPACT_1Q21">Tags!$DH$49</definedName>
    <definedName name="AMPACT_1Q22">Tags!$DM$49</definedName>
    <definedName name="AMPACT_1Q23">Tags!$DR$49</definedName>
    <definedName name="AMPACT_1Q24">Tags!$DW$49</definedName>
    <definedName name="AMPACT_2000" localSheetId="10">Tags!$K$49</definedName>
    <definedName name="AMPACT_2000">Tags_ols!$K$49</definedName>
    <definedName name="AMPACT_2001" localSheetId="10">Tags!$P$49</definedName>
    <definedName name="AMPACT_2001">Tags_ols!$P$49</definedName>
    <definedName name="AMPACT_2002" localSheetId="10">Tags!$U$49</definedName>
    <definedName name="AMPACT_2002">Tags_ols!$U$49</definedName>
    <definedName name="AMPACT_2003" localSheetId="10">Tags!$Z$49</definedName>
    <definedName name="AMPACT_2003">Tags_ols!$Z$49</definedName>
    <definedName name="AMPACT_2004" localSheetId="10">Tags!$AE$49</definedName>
    <definedName name="AMPACT_2004">Tags_ols!$AE$49</definedName>
    <definedName name="AMPACT_2005" localSheetId="10">Tags!$AJ$49</definedName>
    <definedName name="AMPACT_2005">Tags_ols!$AJ$49</definedName>
    <definedName name="AMPACT_2006" localSheetId="10">Tags!$AO$49</definedName>
    <definedName name="AMPACT_2006">Tags_ols!$AO$49</definedName>
    <definedName name="AMPACT_2007" localSheetId="10">Tags!$AT$49</definedName>
    <definedName name="AMPACT_2007">Tags_ols!$AT$49</definedName>
    <definedName name="AMPACT_2008" localSheetId="10">Tags!$AY$49</definedName>
    <definedName name="AMPACT_2008">Tags_ols!$AY$49</definedName>
    <definedName name="AMPACT_2009" localSheetId="10">Tags!$BD$49</definedName>
    <definedName name="AMPACT_2009">Tags_ols!$BD$49</definedName>
    <definedName name="AMPACT_2010" localSheetId="10">Tags!$BI$49</definedName>
    <definedName name="AMPACT_2010">Tags_ols!$BI$49</definedName>
    <definedName name="AMPACT_2011" localSheetId="10">Tags!$BN$49</definedName>
    <definedName name="AMPACT_2011">Tags_ols!$BN$49</definedName>
    <definedName name="AMPACT_2012" localSheetId="10">Tags!$BS$49</definedName>
    <definedName name="AMPACT_2012">Tags_ols!$BS$49</definedName>
    <definedName name="AMPACT_2013" localSheetId="10">Tags!$BX$49</definedName>
    <definedName name="AMPACT_2013">Tags_ols!$BX$49</definedName>
    <definedName name="AMPACT_2014" localSheetId="10">Tags!$CC$49</definedName>
    <definedName name="AMPACT_2014">Tags_ols!$CC$49</definedName>
    <definedName name="AMPACT_2015" localSheetId="10">Tags!#REF!</definedName>
    <definedName name="AMPACT_2015">Tags!$CH$49</definedName>
    <definedName name="AMPACT_2016" localSheetId="10">Tags!$CM$49</definedName>
    <definedName name="AMPACT_2016">Tags_ols!$CM$49</definedName>
    <definedName name="AMPACT_2017" localSheetId="10">Tags!$CR$49</definedName>
    <definedName name="AMPACT_2017">Tags_ols!$CR$49</definedName>
    <definedName name="AMPACT_2018" localSheetId="10">Tags!$CW$49</definedName>
    <definedName name="AMPACT_2018">Tags_ols!$CW$49</definedName>
    <definedName name="AMPACT_2019" localSheetId="10">Tags!$DB$49</definedName>
    <definedName name="AMPACT_2019">Tags_ols!$DB$49</definedName>
    <definedName name="AMPACT_2020" localSheetId="10">Tags!$DG$49</definedName>
    <definedName name="AMPACT_2020">Tags_ols!$DG$49</definedName>
    <definedName name="AMPACT_2021">Tags!$DL$49</definedName>
    <definedName name="AMPACT_2022">Tags!$DQ$49</definedName>
    <definedName name="AMPACT_2023">Tags!$DV$49</definedName>
    <definedName name="AMPACT_2024">Tags!$EA$49</definedName>
    <definedName name="AMPACT_2Q00" localSheetId="10">Tags!$H$49</definedName>
    <definedName name="AMPACT_2Q00">Tags_ols!$H$49</definedName>
    <definedName name="AMPACT_2Q01" localSheetId="10">Tags!$M$49</definedName>
    <definedName name="AMPACT_2Q01">Tags_ols!$M$49</definedName>
    <definedName name="AMPACT_2Q02" localSheetId="10">Tags!$R$49</definedName>
    <definedName name="AMPACT_2Q02">Tags_ols!$R$49</definedName>
    <definedName name="AMPACT_2Q03" localSheetId="10">Tags!$W$49</definedName>
    <definedName name="AMPACT_2Q03">Tags_ols!$W$49</definedName>
    <definedName name="AMPACT_2Q04" localSheetId="10">Tags!$AB$49</definedName>
    <definedName name="AMPACT_2Q04">Tags_ols!$AB$49</definedName>
    <definedName name="AMPACT_2Q05" localSheetId="10">Tags!$AG$49</definedName>
    <definedName name="AMPACT_2Q05">Tags_ols!$AG$49</definedName>
    <definedName name="AMPACT_2Q06" localSheetId="10">Tags!$AL$49</definedName>
    <definedName name="AMPACT_2Q06">Tags_ols!$AL$49</definedName>
    <definedName name="AMPACT_2Q07" localSheetId="10">Tags!$AQ$49</definedName>
    <definedName name="AMPACT_2Q07">Tags_ols!$AQ$49</definedName>
    <definedName name="AMPACT_2Q08" localSheetId="10">Tags!$AV$49</definedName>
    <definedName name="AMPACT_2Q08">Tags_ols!$AV$49</definedName>
    <definedName name="AMPACT_2Q09" localSheetId="10">Tags!$BA$49</definedName>
    <definedName name="AMPACT_2Q09">Tags_ols!$BA$49</definedName>
    <definedName name="AMPACT_2Q10" localSheetId="10">Tags!$BF$49</definedName>
    <definedName name="AMPACT_2Q10">Tags_ols!$BF$49</definedName>
    <definedName name="AMPACT_2Q11" localSheetId="10">Tags!$BK$49</definedName>
    <definedName name="AMPACT_2Q11">Tags_ols!$BK$49</definedName>
    <definedName name="AMPACT_2Q12" localSheetId="10">Tags!$BP$49</definedName>
    <definedName name="AMPACT_2Q12">Tags_ols!$BP$49</definedName>
    <definedName name="AMPACT_2Q13" localSheetId="10">Tags!$BU$49</definedName>
    <definedName name="AMPACT_2Q13">Tags_ols!$BU$49</definedName>
    <definedName name="AMPACT_2Q14" localSheetId="10">Tags!$BZ$49</definedName>
    <definedName name="AMPACT_2Q14">Tags_ols!$BZ$49</definedName>
    <definedName name="AMPACT_2Q15" localSheetId="10">Tags!$CE$49</definedName>
    <definedName name="AMPACT_2Q15">Tags_ols!$CE$49</definedName>
    <definedName name="AMPACT_2Q16" localSheetId="10">Tags!$CJ$49</definedName>
    <definedName name="AMPACT_2Q16">Tags_ols!$CJ$49</definedName>
    <definedName name="AMPACT_2Q17" localSheetId="10">Tags!$CO$49</definedName>
    <definedName name="AMPACT_2Q17">Tags_ols!$CO$49</definedName>
    <definedName name="AMPACT_2Q18" localSheetId="10">Tags!$CT$49</definedName>
    <definedName name="AMPACT_2Q18">Tags_ols!$CT$49</definedName>
    <definedName name="AMPACT_2Q19" localSheetId="10">Tags!$CY$49</definedName>
    <definedName name="AMPACT_2Q19">Tags_ols!$CY$49</definedName>
    <definedName name="AMPACT_2Q20" localSheetId="10">Tags!$DD$49</definedName>
    <definedName name="AMPACT_2Q20">Tags_ols!$DD$49</definedName>
    <definedName name="AMPACT_2Q21">Tags!$DI$49</definedName>
    <definedName name="AMPACT_2Q22">Tags!$DN$49</definedName>
    <definedName name="AMPACT_2Q23">Tags!$DS$49</definedName>
    <definedName name="AMPACT_2Q24">Tags!$DX$49</definedName>
    <definedName name="AMPACT_3Q00" localSheetId="10">Tags!$I$49</definedName>
    <definedName name="AMPACT_3Q00">Tags_ols!$I$49</definedName>
    <definedName name="AMPACT_3Q01" localSheetId="10">Tags!$N$49</definedName>
    <definedName name="AMPACT_3Q01">Tags_ols!$N$49</definedName>
    <definedName name="AMPACT_3Q02" localSheetId="10">Tags!$S$49</definedName>
    <definedName name="AMPACT_3Q02">Tags_ols!$S$49</definedName>
    <definedName name="AMPACT_3Q03" localSheetId="10">Tags!$X$49</definedName>
    <definedName name="AMPACT_3Q03">Tags_ols!$X$49</definedName>
    <definedName name="AMPACT_3Q04" localSheetId="10">Tags!$AC$49</definedName>
    <definedName name="AMPACT_3Q04">Tags_ols!$AC$49</definedName>
    <definedName name="AMPACT_3Q05" localSheetId="10">Tags!$AH$49</definedName>
    <definedName name="AMPACT_3Q05">Tags_ols!$AH$49</definedName>
    <definedName name="AMPACT_3Q06" localSheetId="10">Tags!$AM$49</definedName>
    <definedName name="AMPACT_3Q06">Tags_ols!$AM$49</definedName>
    <definedName name="AMPACT_3Q07" localSheetId="10">Tags!$AR$49</definedName>
    <definedName name="AMPACT_3Q07">Tags_ols!$AR$49</definedName>
    <definedName name="AMPACT_3Q08" localSheetId="10">Tags!$AW$49</definedName>
    <definedName name="AMPACT_3Q08">Tags_ols!$AW$49</definedName>
    <definedName name="AMPACT_3Q09" localSheetId="10">Tags!$BB$49</definedName>
    <definedName name="AMPACT_3Q09">Tags_ols!$BB$49</definedName>
    <definedName name="AMPACT_3Q10" localSheetId="10">Tags!$BG$49</definedName>
    <definedName name="AMPACT_3Q10">Tags_ols!$BG$49</definedName>
    <definedName name="AMPACT_3Q11" localSheetId="10">Tags!$BL$49</definedName>
    <definedName name="AMPACT_3Q11">Tags_ols!$BL$49</definedName>
    <definedName name="AMPACT_3Q12" localSheetId="10">Tags!$BQ$49</definedName>
    <definedName name="AMPACT_3Q12">Tags_ols!$BQ$49</definedName>
    <definedName name="AMPACT_3Q13" localSheetId="10">Tags!$BV$49</definedName>
    <definedName name="AMPACT_3Q13">Tags_ols!$BV$49</definedName>
    <definedName name="AMPACT_3Q14" localSheetId="10">Tags!$CA$49</definedName>
    <definedName name="AMPACT_3Q14">Tags_ols!$CA$49</definedName>
    <definedName name="AMPACT_3Q15" localSheetId="10">Tags!$CF$49</definedName>
    <definedName name="AMPACT_3Q15">Tags_ols!$CF$49</definedName>
    <definedName name="AMPACT_3Q16" localSheetId="10">Tags!$CK$49</definedName>
    <definedName name="AMPACT_3Q16">Tags_ols!$CK$49</definedName>
    <definedName name="AMPACT_3Q17" localSheetId="10">Tags!$CP$49</definedName>
    <definedName name="AMPACT_3Q17">Tags_ols!$CP$49</definedName>
    <definedName name="AMPACT_3Q18" localSheetId="10">Tags!$CU$49</definedName>
    <definedName name="AMPACT_3Q18">Tags_ols!$CU$49</definedName>
    <definedName name="AMPACT_3Q19" localSheetId="10">Tags!$CZ$49</definedName>
    <definedName name="AMPACT_3Q19">Tags_ols!$CZ$49</definedName>
    <definedName name="AMPACT_3Q20" localSheetId="10">Tags!$DE$49</definedName>
    <definedName name="AMPACT_3Q20">Tags_ols!$DE$49</definedName>
    <definedName name="AMPACT_3Q21">Tags!$DJ$49</definedName>
    <definedName name="AMPACT_3Q22">Tags!$DO$49</definedName>
    <definedName name="AMPACT_3Q23">Tags!$DT$49</definedName>
    <definedName name="AMPACT_3Q24">Tags!$DY$49</definedName>
    <definedName name="AMPACT_4Q00" localSheetId="10">Tags!$J$49</definedName>
    <definedName name="AMPACT_4Q00">Tags_ols!$J$49</definedName>
    <definedName name="AMPACT_4Q01" localSheetId="10">Tags!$O$49</definedName>
    <definedName name="AMPACT_4Q01">Tags_ols!$O$49</definedName>
    <definedName name="AMPACT_4Q02" localSheetId="10">Tags!$T$49</definedName>
    <definedName name="AMPACT_4Q02">Tags_ols!$T$49</definedName>
    <definedName name="AMPACT_4Q03" localSheetId="10">Tags!$Y$49</definedName>
    <definedName name="AMPACT_4Q03">Tags_ols!$Y$49</definedName>
    <definedName name="AMPACT_4Q04" localSheetId="10">Tags!$AD$49</definedName>
    <definedName name="AMPACT_4Q04">Tags_ols!$AD$49</definedName>
    <definedName name="AMPACT_4Q05" localSheetId="10">Tags!$AI$49</definedName>
    <definedName name="AMPACT_4Q05">Tags_ols!$AI$49</definedName>
    <definedName name="AMPACT_4Q06" localSheetId="10">Tags!$AN$49</definedName>
    <definedName name="AMPACT_4Q06">Tags_ols!$AN$49</definedName>
    <definedName name="AMPACT_4Q07" localSheetId="10">Tags!$AS$49</definedName>
    <definedName name="AMPACT_4Q07">Tags_ols!$AS$49</definedName>
    <definedName name="AMPACT_4Q08" localSheetId="10">Tags!$AX$49</definedName>
    <definedName name="AMPACT_4Q08">Tags_ols!$AX$49</definedName>
    <definedName name="AMPACT_4Q09" localSheetId="10">Tags!$BC$49</definedName>
    <definedName name="AMPACT_4Q09">Tags_ols!$BC$49</definedName>
    <definedName name="AMPACT_4Q10" localSheetId="10">Tags!$BH$49</definedName>
    <definedName name="AMPACT_4Q10">Tags_ols!$BH$49</definedName>
    <definedName name="AMPACT_4Q11" localSheetId="10">Tags!$BM$49</definedName>
    <definedName name="AMPACT_4Q11">Tags_ols!$BM$49</definedName>
    <definedName name="AMPACT_4Q12" localSheetId="10">Tags!$BR$49</definedName>
    <definedName name="AMPACT_4Q12">Tags_ols!$BR$49</definedName>
    <definedName name="AMPACT_4Q13" localSheetId="10">Tags!$BW$49</definedName>
    <definedName name="AMPACT_4Q13">Tags_ols!$BW$49</definedName>
    <definedName name="AMPACT_4Q14" localSheetId="10">Tags!$CB$49</definedName>
    <definedName name="AMPACT_4Q14">Tags_ols!$CB$49</definedName>
    <definedName name="AMPACT_4Q15" localSheetId="10">Tags!$CG$49</definedName>
    <definedName name="AMPACT_4Q15">Tags_ols!$CG$49</definedName>
    <definedName name="AMPACT_4Q16" localSheetId="10">Tags!$CL$49</definedName>
    <definedName name="AMPACT_4Q16">Tags_ols!$CL$49</definedName>
    <definedName name="AMPACT_4Q17" localSheetId="10">Tags!$CQ$49</definedName>
    <definedName name="AMPACT_4Q17">Tags_ols!$CQ$49</definedName>
    <definedName name="AMPACT_4Q18" localSheetId="10">Tags!$CV$49</definedName>
    <definedName name="AMPACT_4Q18">Tags_ols!$CV$49</definedName>
    <definedName name="AMPACT_4Q19" localSheetId="10">Tags!$DA$49</definedName>
    <definedName name="AMPACT_4Q19">Tags_ols!$DA$49</definedName>
    <definedName name="AMPACT_4Q20" localSheetId="10">Tags!$DF$49</definedName>
    <definedName name="AMPACT_4Q20">Tags_ols!$DF$49</definedName>
    <definedName name="AMPACT_4Q21">Tags!$DK$49</definedName>
    <definedName name="AMPACT_4Q22">Tags!$DP$49</definedName>
    <definedName name="AMPACT_4Q23">Tags!$DU$49</definedName>
    <definedName name="AMPACT_4Q24">Tags!$DZ$49</definedName>
    <definedName name="ANDRE">TRUE</definedName>
    <definedName name="Annotate_Area">#REF!</definedName>
    <definedName name="AnnotateNote1">#REF!</definedName>
    <definedName name="AnnotateStart">#REF!</definedName>
    <definedName name="antonio" localSheetId="4" hidden="1">{#N/A,"70% Success",FALSE,"Sales Forecast";#N/A,#N/A,FALSE,"Sheet2"}</definedName>
    <definedName name="antonio" localSheetId="6" hidden="1">{#N/A,"70% Success",FALSE,"Sales Forecast";#N/A,#N/A,FALSE,"Sheet2"}</definedName>
    <definedName name="antonio" localSheetId="0" hidden="1">{#N/A,"70% Success",FALSE,"Sales Forecast";#N/A,#N/A,FALSE,"Sheet2"}</definedName>
    <definedName name="antonio" localSheetId="9" hidden="1">{#N/A,"70% Success",FALSE,"Sales Forecast";#N/A,#N/A,FALSE,"Sheet2"}</definedName>
    <definedName name="antonio" localSheetId="5" hidden="1">{#N/A,"70% Success",FALSE,"Sales Forecast";#N/A,#N/A,FALSE,"Sheet2"}</definedName>
    <definedName name="antonio" hidden="1">{#N/A,"70% Success",FALSE,"Sales Forecast";#N/A,#N/A,FALSE,"Sheet2"}</definedName>
    <definedName name="APOIO">#REF!</definedName>
    <definedName name="Aracruz">#REF!</definedName>
    <definedName name="AracruzADR">#REF!</definedName>
    <definedName name="ASSACQ_1995">Tags_ols!$B$330</definedName>
    <definedName name="ASSACQ_1996">Tags_ols!$C$330</definedName>
    <definedName name="ASSACQ_1997">Tags_ols!$D$330</definedName>
    <definedName name="ASSACQ_1998">Tags_ols!$E$330</definedName>
    <definedName name="ASSACQ_1999">Tags_ols!$F$330</definedName>
    <definedName name="ASSACQ_1Q00" localSheetId="10">Tags!$G$330</definedName>
    <definedName name="ASSACQ_1Q00">Tags_ols!$G$330</definedName>
    <definedName name="ASSACQ_1Q01" localSheetId="10">Tags!$L$330</definedName>
    <definedName name="ASSACQ_1Q01">Tags_ols!$L$330</definedName>
    <definedName name="ASSACQ_1Q02" localSheetId="10">Tags!$Q$330</definedName>
    <definedName name="ASSACQ_1Q02">Tags_ols!$Q$330</definedName>
    <definedName name="ASSACQ_1Q03" localSheetId="10">Tags!$V$330</definedName>
    <definedName name="ASSACQ_1Q03">Tags_ols!$V$330</definedName>
    <definedName name="ASSACQ_1Q04" localSheetId="10">Tags!$AA$330</definedName>
    <definedName name="ASSACQ_1Q04">Tags_ols!$AA$330</definedName>
    <definedName name="ASSACQ_1Q05" localSheetId="10">Tags!$AF$330</definedName>
    <definedName name="ASSACQ_1Q05">Tags_ols!$AF$330</definedName>
    <definedName name="ASSACQ_1Q06" localSheetId="10">Tags!$AK$330</definedName>
    <definedName name="ASSACQ_1Q06">Tags_ols!$AK$330</definedName>
    <definedName name="ASSACQ_1Q07" localSheetId="10">Tags!$AP$330</definedName>
    <definedName name="ASSACQ_1Q07">Tags_ols!$AP$330</definedName>
    <definedName name="ASSACQ_1Q08" localSheetId="10">Tags!$AU$330</definedName>
    <definedName name="ASSACQ_1Q08">Tags_ols!$AU$330</definedName>
    <definedName name="ASSACQ_1Q09" localSheetId="10">Tags!$AZ$330</definedName>
    <definedName name="ASSACQ_1Q09">Tags_ols!$AZ$330</definedName>
    <definedName name="ASSACQ_1Q10" localSheetId="10">Tags!$BE$330</definedName>
    <definedName name="ASSACQ_1Q10">Tags_ols!$BE$330</definedName>
    <definedName name="ASSACQ_1Q11" localSheetId="10">Tags!$BJ$330</definedName>
    <definedName name="ASSACQ_1Q11">Tags_ols!$BJ$330</definedName>
    <definedName name="ASSACQ_1Q12" localSheetId="10">Tags!$BO$330</definedName>
    <definedName name="ASSACQ_1Q12">Tags_ols!$BO$330</definedName>
    <definedName name="ASSACQ_1Q13" localSheetId="10">Tags!$BT$330</definedName>
    <definedName name="ASSACQ_1Q13">Tags_ols!$BT$330</definedName>
    <definedName name="ASSACQ_1Q14" localSheetId="10">Tags!$BY$330</definedName>
    <definedName name="ASSACQ_1Q14">Tags_ols!$BY$330</definedName>
    <definedName name="ASSACQ_1Q15" localSheetId="10">Tags!$CD$330</definedName>
    <definedName name="ASSACQ_1Q15">Tags_ols!$CD$330</definedName>
    <definedName name="ASSACQ_1Q16" localSheetId="10">Tags!$CI$330</definedName>
    <definedName name="ASSACQ_1Q16">Tags_ols!$CI$330</definedName>
    <definedName name="ASSACQ_1Q17" localSheetId="10">Tags!$CN$330</definedName>
    <definedName name="ASSACQ_1Q17">Tags_ols!$CN$330</definedName>
    <definedName name="ASSACQ_1Q18" localSheetId="10">Tags!$CS$330</definedName>
    <definedName name="ASSACQ_1Q18">Tags_ols!$CS$330</definedName>
    <definedName name="ASSACQ_1Q19" localSheetId="10">Tags!$CX$330</definedName>
    <definedName name="ASSACQ_1Q19">Tags_ols!$CX$330</definedName>
    <definedName name="ASSACQ_1Q20" localSheetId="10">Tags!$DC$330</definedName>
    <definedName name="ASSACQ_1Q20">Tags_ols!$DC$330</definedName>
    <definedName name="ASSACQ_1Q21">Tags!$DH$330</definedName>
    <definedName name="ASSACQ_1Q22">Tags!$DM$330</definedName>
    <definedName name="ASSACQ_1Q23">Tags!$DR$330</definedName>
    <definedName name="ASSACQ_1Q24">Tags!$DW$330</definedName>
    <definedName name="ASSACQ_2000" localSheetId="10">Tags!$K$330</definedName>
    <definedName name="ASSACQ_2000">Tags_ols!$K$330</definedName>
    <definedName name="ASSACQ_2001" localSheetId="10">Tags!$P$330</definedName>
    <definedName name="ASSACQ_2001">Tags_ols!$P$330</definedName>
    <definedName name="ASSACQ_2002" localSheetId="10">Tags!$U$330</definedName>
    <definedName name="ASSACQ_2002">Tags_ols!$U$330</definedName>
    <definedName name="ASSACQ_2003" localSheetId="10">Tags!$Z$330</definedName>
    <definedName name="ASSACQ_2003">Tags_ols!$Z$330</definedName>
    <definedName name="ASSACQ_2004" localSheetId="10">Tags!$AE$330</definedName>
    <definedName name="ASSACQ_2004">Tags_ols!$AE$330</definedName>
    <definedName name="ASSACQ_2005" localSheetId="10">Tags!$AJ$330</definedName>
    <definedName name="ASSACQ_2005">Tags_ols!$AJ$330</definedName>
    <definedName name="ASSACQ_2006" localSheetId="10">Tags!$AO$330</definedName>
    <definedName name="ASSACQ_2006">Tags_ols!$AO$330</definedName>
    <definedName name="ASSACQ_2007" localSheetId="10">Tags!$AT$330</definedName>
    <definedName name="ASSACQ_2007">Tags_ols!$AT$330</definedName>
    <definedName name="ASSACQ_2008" localSheetId="10">Tags!$AY$330</definedName>
    <definedName name="ASSACQ_2008">Tags_ols!$AY$330</definedName>
    <definedName name="ASSACQ_2009" localSheetId="10">Tags!$BD$330</definedName>
    <definedName name="ASSACQ_2009">Tags_ols!$BD$330</definedName>
    <definedName name="ASSACQ_2010" localSheetId="10">Tags!$BI$330</definedName>
    <definedName name="ASSACQ_2010">Tags_ols!$BI$330</definedName>
    <definedName name="ASSACQ_2011" localSheetId="10">Tags!$BN$330</definedName>
    <definedName name="ASSACQ_2011">Tags_ols!$BN$330</definedName>
    <definedName name="ASSACQ_2012" localSheetId="10">Tags!$BS$330</definedName>
    <definedName name="ASSACQ_2012">Tags_ols!$BS$330</definedName>
    <definedName name="ASSACQ_2013" localSheetId="10">Tags!$BX$330</definedName>
    <definedName name="ASSACQ_2013">Tags_ols!$BX$330</definedName>
    <definedName name="ASSACQ_2014" localSheetId="10">Tags!$CC$330</definedName>
    <definedName name="ASSACQ_2014">Tags_ols!$CC$330</definedName>
    <definedName name="ASSACQ_2015" localSheetId="10">Tags!#REF!</definedName>
    <definedName name="ASSACQ_2015">Tags!$CH$330</definedName>
    <definedName name="ASSACQ_2016" localSheetId="10">Tags!$CM$330</definedName>
    <definedName name="ASSACQ_2016">Tags_ols!$CM$330</definedName>
    <definedName name="ASSACQ_2017" localSheetId="10">Tags!$CR$330</definedName>
    <definedName name="ASSACQ_2017">Tags_ols!$CR$330</definedName>
    <definedName name="ASSACQ_2018" localSheetId="10">Tags!$CW$330</definedName>
    <definedName name="ASSACQ_2018">Tags_ols!$CW$330</definedName>
    <definedName name="ASSACQ_2019" localSheetId="10">Tags!$DB$330</definedName>
    <definedName name="ASSACQ_2019">Tags_ols!$DB$330</definedName>
    <definedName name="ASSACQ_2020" localSheetId="10">Tags!$DG$330</definedName>
    <definedName name="ASSACQ_2020">Tags_ols!$DG$330</definedName>
    <definedName name="ASSACQ_2021">Tags!$DL$330</definedName>
    <definedName name="ASSACQ_2022">Tags!$DQ$330</definedName>
    <definedName name="ASSACQ_2023">Tags!$DV$330</definedName>
    <definedName name="ASSACQ_2024">Tags!$EA$330</definedName>
    <definedName name="ASSACQ_2Q00" localSheetId="10">Tags!$H$330</definedName>
    <definedName name="ASSACQ_2Q00">Tags_ols!$H$330</definedName>
    <definedName name="ASSACQ_2Q01" localSheetId="10">Tags!$M$330</definedName>
    <definedName name="ASSACQ_2Q01">Tags_ols!$M$330</definedName>
    <definedName name="ASSACQ_2Q02" localSheetId="10">Tags!$R$330</definedName>
    <definedName name="ASSACQ_2Q02">Tags_ols!$R$330</definedName>
    <definedName name="ASSACQ_2Q03" localSheetId="10">Tags!$W$330</definedName>
    <definedName name="ASSACQ_2Q03">Tags_ols!$W$330</definedName>
    <definedName name="ASSACQ_2Q04" localSheetId="10">Tags!$AB$330</definedName>
    <definedName name="ASSACQ_2Q04">Tags_ols!$AB$330</definedName>
    <definedName name="ASSACQ_2Q05" localSheetId="10">Tags!$AG$330</definedName>
    <definedName name="ASSACQ_2Q05">Tags_ols!$AG$330</definedName>
    <definedName name="ASSACQ_2Q06" localSheetId="10">Tags!$AL$330</definedName>
    <definedName name="ASSACQ_2Q06">Tags_ols!$AL$330</definedName>
    <definedName name="ASSACQ_2Q07" localSheetId="10">Tags!$AQ$330</definedName>
    <definedName name="ASSACQ_2Q07">Tags_ols!$AQ$330</definedName>
    <definedName name="ASSACQ_2Q08" localSheetId="10">Tags!$AV$330</definedName>
    <definedName name="ASSACQ_2Q08">Tags_ols!$AV$330</definedName>
    <definedName name="ASSACQ_2Q09" localSheetId="10">Tags!$BA$330</definedName>
    <definedName name="ASSACQ_2Q09">Tags_ols!$BA$330</definedName>
    <definedName name="ASSACQ_2Q10" localSheetId="10">Tags!$BF$330</definedName>
    <definedName name="ASSACQ_2Q10">Tags_ols!$BF$330</definedName>
    <definedName name="ASSACQ_2Q11" localSheetId="10">Tags!$BK$330</definedName>
    <definedName name="ASSACQ_2Q11">Tags_ols!$BK$330</definedName>
    <definedName name="ASSACQ_2Q12" localSheetId="10">Tags!$BP$330</definedName>
    <definedName name="ASSACQ_2Q12">Tags_ols!$BP$330</definedName>
    <definedName name="ASSACQ_2Q13" localSheetId="10">Tags!$BU$330</definedName>
    <definedName name="ASSACQ_2Q13">Tags_ols!$BU$330</definedName>
    <definedName name="ASSACQ_2Q14" localSheetId="10">Tags!$BZ$330</definedName>
    <definedName name="ASSACQ_2Q14">Tags_ols!$BZ$330</definedName>
    <definedName name="ASSACQ_2Q15" localSheetId="10">Tags!$CE$330</definedName>
    <definedName name="ASSACQ_2Q15">Tags_ols!$CE$330</definedName>
    <definedName name="ASSACQ_2Q16" localSheetId="10">Tags!$CJ$330</definedName>
    <definedName name="ASSACQ_2Q16">Tags_ols!$CJ$330</definedName>
    <definedName name="ASSACQ_2Q17" localSheetId="10">Tags!$CO$330</definedName>
    <definedName name="ASSACQ_2Q17">Tags_ols!$CO$330</definedName>
    <definedName name="ASSACQ_2Q18" localSheetId="10">Tags!$CT$330</definedName>
    <definedName name="ASSACQ_2Q18">Tags_ols!$CT$330</definedName>
    <definedName name="ASSACQ_2Q19" localSheetId="10">Tags!$CY$330</definedName>
    <definedName name="ASSACQ_2Q19">Tags_ols!$CY$330</definedName>
    <definedName name="ASSACQ_2Q20" localSheetId="10">Tags!$DD$330</definedName>
    <definedName name="ASSACQ_2Q20">Tags_ols!$DD$330</definedName>
    <definedName name="ASSACQ_2Q21">Tags!$DI$330</definedName>
    <definedName name="ASSACQ_2Q22">Tags!$DN$330</definedName>
    <definedName name="ASSACQ_2Q23">Tags!$DS$330</definedName>
    <definedName name="ASSACQ_2Q24">Tags!$DX$330</definedName>
    <definedName name="ASSACQ_3Q00" localSheetId="10">Tags!$I$330</definedName>
    <definedName name="ASSACQ_3Q00">Tags_ols!$I$330</definedName>
    <definedName name="ASSACQ_3Q01" localSheetId="10">Tags!$N$330</definedName>
    <definedName name="ASSACQ_3Q01">Tags_ols!$N$330</definedName>
    <definedName name="ASSACQ_3Q02" localSheetId="10">Tags!$S$330</definedName>
    <definedName name="ASSACQ_3Q02">Tags_ols!$S$330</definedName>
    <definedName name="ASSACQ_3Q03" localSheetId="10">Tags!$X$330</definedName>
    <definedName name="ASSACQ_3Q03">Tags_ols!$X$330</definedName>
    <definedName name="ASSACQ_3Q04" localSheetId="10">Tags!$AC$330</definedName>
    <definedName name="ASSACQ_3Q04">Tags_ols!$AC$330</definedName>
    <definedName name="ASSACQ_3Q05" localSheetId="10">Tags!$AH$330</definedName>
    <definedName name="ASSACQ_3Q05">Tags_ols!$AH$330</definedName>
    <definedName name="ASSACQ_3Q06" localSheetId="10">Tags!$AM$330</definedName>
    <definedName name="ASSACQ_3Q06">Tags_ols!$AM$330</definedName>
    <definedName name="ASSACQ_3Q07" localSheetId="10">Tags!$AR$330</definedName>
    <definedName name="ASSACQ_3Q07">Tags_ols!$AR$330</definedName>
    <definedName name="ASSACQ_3Q08" localSheetId="10">Tags!$AW$330</definedName>
    <definedName name="ASSACQ_3Q08">Tags_ols!$AW$330</definedName>
    <definedName name="ASSACQ_3Q09" localSheetId="10">Tags!$BB$330</definedName>
    <definedName name="ASSACQ_3Q09">Tags_ols!$BB$330</definedName>
    <definedName name="ASSACQ_3Q10" localSheetId="10">Tags!$BG$330</definedName>
    <definedName name="ASSACQ_3Q10">Tags_ols!$BG$330</definedName>
    <definedName name="ASSACQ_3Q11" localSheetId="10">Tags!$BL$330</definedName>
    <definedName name="ASSACQ_3Q11">Tags_ols!$BL$330</definedName>
    <definedName name="ASSACQ_3Q12" localSheetId="10">Tags!$BQ$330</definedName>
    <definedName name="ASSACQ_3Q12">Tags_ols!$BQ$330</definedName>
    <definedName name="ASSACQ_3Q13" localSheetId="10">Tags!$BV$330</definedName>
    <definedName name="ASSACQ_3Q13">Tags_ols!$BV$330</definedName>
    <definedName name="ASSACQ_3Q14" localSheetId="10">Tags!$CA$330</definedName>
    <definedName name="ASSACQ_3Q14">Tags_ols!$CA$330</definedName>
    <definedName name="ASSACQ_3Q15" localSheetId="10">Tags!$CF$330</definedName>
    <definedName name="ASSACQ_3Q15">Tags_ols!$CF$330</definedName>
    <definedName name="ASSACQ_3Q16" localSheetId="10">Tags!$CK$330</definedName>
    <definedName name="ASSACQ_3Q16">Tags_ols!$CK$330</definedName>
    <definedName name="ASSACQ_3Q17" localSheetId="10">Tags!$CP$330</definedName>
    <definedName name="ASSACQ_3Q17">Tags_ols!$CP$330</definedName>
    <definedName name="ASSACQ_3Q18" localSheetId="10">Tags!$CU$330</definedName>
    <definedName name="ASSACQ_3Q18">Tags_ols!$CU$330</definedName>
    <definedName name="ASSACQ_3Q19" localSheetId="10">Tags!$CZ$330</definedName>
    <definedName name="ASSACQ_3Q19">Tags_ols!$CZ$330</definedName>
    <definedName name="ASSACQ_3Q20" localSheetId="10">Tags!$DE$330</definedName>
    <definedName name="ASSACQ_3Q20">Tags_ols!$DE$330</definedName>
    <definedName name="ASSACQ_3Q21">Tags!$DJ$330</definedName>
    <definedName name="ASSACQ_3Q22">Tags!$DO$330</definedName>
    <definedName name="ASSACQ_3Q23">Tags!$DT$330</definedName>
    <definedName name="ASSACQ_3Q24">Tags!$DY$330</definedName>
    <definedName name="ASSACQ_4Q00" localSheetId="10">Tags!$J$330</definedName>
    <definedName name="ASSACQ_4Q00">Tags_ols!$J$330</definedName>
    <definedName name="ASSACQ_4Q01" localSheetId="10">Tags!$O$330</definedName>
    <definedName name="ASSACQ_4Q01">Tags_ols!$O$330</definedName>
    <definedName name="ASSACQ_4Q02" localSheetId="10">Tags!$T$330</definedName>
    <definedName name="ASSACQ_4Q02">Tags_ols!$T$330</definedName>
    <definedName name="ASSACQ_4Q03" localSheetId="10">Tags!$Y$330</definedName>
    <definedName name="ASSACQ_4Q03">Tags_ols!$Y$330</definedName>
    <definedName name="ASSACQ_4Q04" localSheetId="10">Tags!$AD$330</definedName>
    <definedName name="ASSACQ_4Q04">Tags_ols!$AD$330</definedName>
    <definedName name="ASSACQ_4Q05" localSheetId="10">Tags!$AI$330</definedName>
    <definedName name="ASSACQ_4Q05">Tags_ols!$AI$330</definedName>
    <definedName name="ASSACQ_4Q06" localSheetId="10">Tags!$AN$330</definedName>
    <definedName name="ASSACQ_4Q06">Tags_ols!$AN$330</definedName>
    <definedName name="ASSACQ_4Q07" localSheetId="10">Tags!$AS$330</definedName>
    <definedName name="ASSACQ_4Q07">Tags_ols!$AS$330</definedName>
    <definedName name="ASSACQ_4Q08" localSheetId="10">Tags!$AX$330</definedName>
    <definedName name="ASSACQ_4Q08">Tags_ols!$AX$330</definedName>
    <definedName name="ASSACQ_4Q09" localSheetId="10">Tags!$BC$330</definedName>
    <definedName name="ASSACQ_4Q09">Tags_ols!$BC$330</definedName>
    <definedName name="ASSACQ_4Q10" localSheetId="10">Tags!$BH$330</definedName>
    <definedName name="ASSACQ_4Q10">Tags_ols!$BH$330</definedName>
    <definedName name="ASSACQ_4Q11" localSheetId="10">Tags!$BM$330</definedName>
    <definedName name="ASSACQ_4Q11">Tags_ols!$BM$330</definedName>
    <definedName name="ASSACQ_4Q12" localSheetId="10">Tags!$BR$330</definedName>
    <definedName name="ASSACQ_4Q12">Tags_ols!$BR$330</definedName>
    <definedName name="ASSACQ_4Q13" localSheetId="10">Tags!$BW$330</definedName>
    <definedName name="ASSACQ_4Q13">Tags_ols!$BW$330</definedName>
    <definedName name="ASSACQ_4Q14" localSheetId="10">Tags!$CB$330</definedName>
    <definedName name="ASSACQ_4Q14">Tags_ols!$CB$330</definedName>
    <definedName name="ASSACQ_4Q15" localSheetId="10">Tags!$CG$330</definedName>
    <definedName name="ASSACQ_4Q15">Tags_ols!$CG$330</definedName>
    <definedName name="ASSACQ_4Q16" localSheetId="10">Tags!$CL$330</definedName>
    <definedName name="ASSACQ_4Q16">Tags_ols!$CL$330</definedName>
    <definedName name="ASSACQ_4Q17" localSheetId="10">Tags!$CQ$330</definedName>
    <definedName name="ASSACQ_4Q17">Tags_ols!$CQ$330</definedName>
    <definedName name="ASSACQ_4Q18" localSheetId="10">Tags!$CV$330</definedName>
    <definedName name="ASSACQ_4Q18">Tags_ols!$CV$330</definedName>
    <definedName name="ASSACQ_4Q19" localSheetId="10">Tags!$DA$330</definedName>
    <definedName name="ASSACQ_4Q19">Tags_ols!$DA$330</definedName>
    <definedName name="ASSACQ_4Q20" localSheetId="10">Tags!$DF$330</definedName>
    <definedName name="ASSACQ_4Q20">Tags_ols!$DF$330</definedName>
    <definedName name="ASSACQ_4Q21">Tags!$DK$330</definedName>
    <definedName name="ASSACQ_4Q22">Tags!$DP$330</definedName>
    <definedName name="ASSACQ_4Q23">Tags!$DU$330</definedName>
    <definedName name="ASSACQ_4Q24">Tags!$DZ$330</definedName>
    <definedName name="ASSOC_1995">Tags_ols!$B$9</definedName>
    <definedName name="ASSOC_1996">Tags_ols!$C$9</definedName>
    <definedName name="ASSOC_1997">Tags_ols!$D$9</definedName>
    <definedName name="ASSOC_1998">Tags_ols!$E$9</definedName>
    <definedName name="ASSOC_1999">Tags_ols!$F$9</definedName>
    <definedName name="ASSOC_1Q00" localSheetId="10">Tags!$G$9</definedName>
    <definedName name="ASSOC_1Q00">Tags_ols!$G$9</definedName>
    <definedName name="ASSOC_1Q01" localSheetId="10">Tags!$L$9</definedName>
    <definedName name="ASSOC_1Q01">Tags_ols!$L$9</definedName>
    <definedName name="ASSOC_1Q02" localSheetId="10">Tags!$Q$9</definedName>
    <definedName name="ASSOC_1Q02">Tags_ols!$Q$9</definedName>
    <definedName name="ASSOC_1Q03" localSheetId="10">Tags!$V$9</definedName>
    <definedName name="ASSOC_1Q03">Tags_ols!$V$9</definedName>
    <definedName name="ASSOC_1Q04" localSheetId="10">Tags!$AA$9</definedName>
    <definedName name="ASSOC_1Q04">Tags_ols!$AA$9</definedName>
    <definedName name="ASSOC_1Q05" localSheetId="10">Tags!$AF$9</definedName>
    <definedName name="ASSOC_1Q05">Tags_ols!$AF$9</definedName>
    <definedName name="ASSOC_1Q06" localSheetId="10">Tags!$AK$9</definedName>
    <definedName name="ASSOC_1Q06">Tags_ols!$AK$9</definedName>
    <definedName name="ASSOC_1Q07" localSheetId="10">Tags!$AP$9</definedName>
    <definedName name="ASSOC_1Q07">Tags_ols!$AP$9</definedName>
    <definedName name="ASSOC_1Q08" localSheetId="10">Tags!$AU$9</definedName>
    <definedName name="ASSOC_1Q08">Tags_ols!$AU$9</definedName>
    <definedName name="ASSOC_1Q09" localSheetId="10">Tags!$AZ$9</definedName>
    <definedName name="ASSOC_1Q09">Tags_ols!$AZ$9</definedName>
    <definedName name="ASSOC_1Q10" localSheetId="10">Tags!$BE$9</definedName>
    <definedName name="ASSOC_1Q10">Tags_ols!$BE$9</definedName>
    <definedName name="ASSOC_1Q11" localSheetId="10">Tags!$BJ$9</definedName>
    <definedName name="ASSOC_1Q11">Tags_ols!$BJ$9</definedName>
    <definedName name="ASSOC_1Q12" localSheetId="10">Tags!$BO$9</definedName>
    <definedName name="ASSOC_1Q12">Tags_ols!$BO$9</definedName>
    <definedName name="ASSOC_1Q13" localSheetId="10">Tags!$BT$9</definedName>
    <definedName name="ASSOC_1Q13">Tags_ols!$BT$9</definedName>
    <definedName name="ASSOC_1Q14" localSheetId="10">Tags!$BY$9</definedName>
    <definedName name="ASSOC_1Q14">Tags_ols!$BY$9</definedName>
    <definedName name="ASSOC_1Q15" localSheetId="10">Tags!$CD$9</definedName>
    <definedName name="ASSOC_1Q15">Tags_ols!$CD$9</definedName>
    <definedName name="ASSOC_1Q16" localSheetId="10">Tags!$CI$9</definedName>
    <definedName name="ASSOC_1Q16">Tags_ols!$CI$9</definedName>
    <definedName name="ASSOC_1Q17" localSheetId="10">Tags!$CN$9</definedName>
    <definedName name="ASSOC_1Q17">Tags_ols!$CN$9</definedName>
    <definedName name="ASSOC_1Q18" localSheetId="10">Tags!$CS$9</definedName>
    <definedName name="ASSOC_1Q18">Tags_ols!$CS$9</definedName>
    <definedName name="ASSOC_1Q19" localSheetId="10">Tags!$CX$9</definedName>
    <definedName name="ASSOC_1Q19">Tags_ols!$CX$9</definedName>
    <definedName name="ASSOC_1Q20" localSheetId="10">Tags!$DC$9</definedName>
    <definedName name="ASSOC_1Q20">Tags_ols!$DC$9</definedName>
    <definedName name="ASSOC_1Q21">Tags!$DH$9</definedName>
    <definedName name="ASSOC_1Q22">Tags!$DM$9</definedName>
    <definedName name="ASSOC_1Q23">Tags!$DR$9</definedName>
    <definedName name="ASSOC_1Q24">Tags!$DW$9</definedName>
    <definedName name="ASSOC_2000" localSheetId="10">Tags!$K$9</definedName>
    <definedName name="ASSOC_2000">Tags_ols!$K$9</definedName>
    <definedName name="ASSOC_2001" localSheetId="10">Tags!$P$9</definedName>
    <definedName name="ASSOC_2001">Tags_ols!$P$9</definedName>
    <definedName name="ASSOC_2002" localSheetId="10">Tags!$U$9</definedName>
    <definedName name="ASSOC_2002">Tags_ols!$U$9</definedName>
    <definedName name="ASSOC_2003" localSheetId="10">Tags!$Z$9</definedName>
    <definedName name="ASSOC_2003">Tags_ols!$Z$9</definedName>
    <definedName name="ASSOC_2004" localSheetId="10">Tags!$AE$9</definedName>
    <definedName name="ASSOC_2004">Tags_ols!$AE$9</definedName>
    <definedName name="ASSOC_2005" localSheetId="10">Tags!$AJ$9</definedName>
    <definedName name="ASSOC_2005">Tags_ols!$AJ$9</definedName>
    <definedName name="ASSOC_2006" localSheetId="10">Tags!$AO$9</definedName>
    <definedName name="ASSOC_2006">Tags_ols!$AO$9</definedName>
    <definedName name="ASSOC_2007" localSheetId="10">Tags!$AT$9</definedName>
    <definedName name="ASSOC_2007">Tags_ols!$AT$9</definedName>
    <definedName name="ASSOC_2008" localSheetId="10">Tags!$AY$9</definedName>
    <definedName name="ASSOC_2008">Tags_ols!$AY$9</definedName>
    <definedName name="ASSOC_2009" localSheetId="10">Tags!$BD$9</definedName>
    <definedName name="ASSOC_2009">Tags_ols!$BD$9</definedName>
    <definedName name="ASSOC_2010" localSheetId="10">Tags!$BI$9</definedName>
    <definedName name="ASSOC_2010">Tags_ols!$BI$9</definedName>
    <definedName name="ASSOC_2011" localSheetId="10">Tags!$BN$9</definedName>
    <definedName name="ASSOC_2011">Tags_ols!$BN$9</definedName>
    <definedName name="ASSOC_2012" localSheetId="10">Tags!$BS$9</definedName>
    <definedName name="ASSOC_2012">Tags_ols!$BS$9</definedName>
    <definedName name="ASSOC_2013" localSheetId="10">Tags!$BX$9</definedName>
    <definedName name="ASSOC_2013">Tags_ols!$BX$9</definedName>
    <definedName name="ASSOC_2014" localSheetId="10">Tags!$CC$9</definedName>
    <definedName name="ASSOC_2014">Tags_ols!$CC$9</definedName>
    <definedName name="ASSOC_2015" localSheetId="10">Tags!#REF!</definedName>
    <definedName name="ASSOC_2015">Tags!$CH$9</definedName>
    <definedName name="ASSOC_2016" localSheetId="10">Tags!$CM$9</definedName>
    <definedName name="ASSOC_2016">Tags_ols!$CM$9</definedName>
    <definedName name="ASSOC_2017" localSheetId="10">Tags!$CR$9</definedName>
    <definedName name="ASSOC_2017">Tags_ols!$CR$9</definedName>
    <definedName name="ASSOC_2018" localSheetId="10">Tags!$CW$9</definedName>
    <definedName name="ASSOC_2018">Tags_ols!$CW$9</definedName>
    <definedName name="ASSOC_2019" localSheetId="10">Tags!$DB$9</definedName>
    <definedName name="ASSOC_2019">Tags_ols!$DB$9</definedName>
    <definedName name="ASSOC_2020" localSheetId="10">Tags!$DG$9</definedName>
    <definedName name="ASSOC_2020">Tags_ols!$DG$9</definedName>
    <definedName name="ASSOC_2021">Tags!$DL$9</definedName>
    <definedName name="ASSOC_2022">Tags!$DQ$9</definedName>
    <definedName name="ASSOC_2023">Tags!$DV$9</definedName>
    <definedName name="ASSOC_2024">Tags!$EA$9</definedName>
    <definedName name="ASSOC_2Q00" localSheetId="10">Tags!$H$9</definedName>
    <definedName name="ASSOC_2Q00">Tags_ols!$H$9</definedName>
    <definedName name="ASSOC_2Q01" localSheetId="10">Tags!$M$9</definedName>
    <definedName name="ASSOC_2Q01">Tags_ols!$M$9</definedName>
    <definedName name="ASSOC_2Q02" localSheetId="10">Tags!$R$9</definedName>
    <definedName name="ASSOC_2Q02">Tags_ols!$R$9</definedName>
    <definedName name="ASSOC_2Q03" localSheetId="10">Tags!$W$9</definedName>
    <definedName name="ASSOC_2Q03">Tags_ols!$W$9</definedName>
    <definedName name="ASSOC_2Q04" localSheetId="10">Tags!$AB$9</definedName>
    <definedName name="ASSOC_2Q04">Tags_ols!$AB$9</definedName>
    <definedName name="ASSOC_2Q05" localSheetId="10">Tags!$AG$9</definedName>
    <definedName name="ASSOC_2Q05">Tags_ols!$AG$9</definedName>
    <definedName name="ASSOC_2Q06" localSheetId="10">Tags!$AL$9</definedName>
    <definedName name="ASSOC_2Q06">Tags_ols!$AL$9</definedName>
    <definedName name="ASSOC_2Q07" localSheetId="10">Tags!$AQ$9</definedName>
    <definedName name="ASSOC_2Q07">Tags_ols!$AQ$9</definedName>
    <definedName name="ASSOC_2Q08" localSheetId="10">Tags!$AV$9</definedName>
    <definedName name="ASSOC_2Q08">Tags_ols!$AV$9</definedName>
    <definedName name="ASSOC_2Q09" localSheetId="10">Tags!$BA$9</definedName>
    <definedName name="ASSOC_2Q09">Tags_ols!$BA$9</definedName>
    <definedName name="ASSOC_2Q10" localSheetId="10">Tags!$BF$9</definedName>
    <definedName name="ASSOC_2Q10">Tags_ols!$BF$9</definedName>
    <definedName name="ASSOC_2Q11" localSheetId="10">Tags!$BK$9</definedName>
    <definedName name="ASSOC_2Q11">Tags_ols!$BK$9</definedName>
    <definedName name="ASSOC_2Q12" localSheetId="10">Tags!$BP$9</definedName>
    <definedName name="ASSOC_2Q12">Tags_ols!$BP$9</definedName>
    <definedName name="ASSOC_2Q13" localSheetId="10">Tags!$BU$9</definedName>
    <definedName name="ASSOC_2Q13">Tags_ols!$BU$9</definedName>
    <definedName name="ASSOC_2Q14" localSheetId="10">Tags!$BZ$9</definedName>
    <definedName name="ASSOC_2Q14">Tags_ols!$BZ$9</definedName>
    <definedName name="ASSOC_2Q15" localSheetId="10">Tags!$CE$9</definedName>
    <definedName name="ASSOC_2Q15">Tags_ols!$CE$9</definedName>
    <definedName name="ASSOC_2Q16" localSheetId="10">Tags!$CJ$9</definedName>
    <definedName name="ASSOC_2Q16">Tags_ols!$CJ$9</definedName>
    <definedName name="ASSOC_2Q17" localSheetId="10">Tags!$CO$9</definedName>
    <definedName name="ASSOC_2Q17">Tags_ols!$CO$9</definedName>
    <definedName name="ASSOC_2Q18" localSheetId="10">Tags!$CT$9</definedName>
    <definedName name="ASSOC_2Q18">Tags_ols!$CT$9</definedName>
    <definedName name="ASSOC_2Q19" localSheetId="10">Tags!$CY$9</definedName>
    <definedName name="ASSOC_2Q19">Tags_ols!$CY$9</definedName>
    <definedName name="ASSOC_2Q20" localSheetId="10">Tags!$DD$9</definedName>
    <definedName name="ASSOC_2Q20">Tags_ols!$DD$9</definedName>
    <definedName name="ASSOC_2Q21">Tags!$DI$9</definedName>
    <definedName name="ASSOC_2Q22">Tags!$DN$9</definedName>
    <definedName name="ASSOC_2Q23">Tags!$DS$9</definedName>
    <definedName name="ASSOC_2Q24">Tags!$DX$9</definedName>
    <definedName name="ASSOC_3Q00" localSheetId="10">Tags!$I$9</definedName>
    <definedName name="ASSOC_3Q00">Tags_ols!$I$9</definedName>
    <definedName name="ASSOC_3Q01" localSheetId="10">Tags!$N$9</definedName>
    <definedName name="ASSOC_3Q01">Tags_ols!$N$9</definedName>
    <definedName name="ASSOC_3Q02" localSheetId="10">Tags!$S$9</definedName>
    <definedName name="ASSOC_3Q02">Tags_ols!$S$9</definedName>
    <definedName name="ASSOC_3Q03" localSheetId="10">Tags!$X$9</definedName>
    <definedName name="ASSOC_3Q03">Tags_ols!$X$9</definedName>
    <definedName name="ASSOC_3Q04" localSheetId="10">Tags!$AC$9</definedName>
    <definedName name="ASSOC_3Q04">Tags_ols!$AC$9</definedName>
    <definedName name="ASSOC_3Q05" localSheetId="10">Tags!$AH$9</definedName>
    <definedName name="ASSOC_3Q05">Tags_ols!$AH$9</definedName>
    <definedName name="ASSOC_3Q06" localSheetId="10">Tags!$AM$9</definedName>
    <definedName name="ASSOC_3Q06">Tags_ols!$AM$9</definedName>
    <definedName name="ASSOC_3Q07" localSheetId="10">Tags!$AR$9</definedName>
    <definedName name="ASSOC_3Q07">Tags_ols!$AR$9</definedName>
    <definedName name="ASSOC_3Q08" localSheetId="10">Tags!$AW$9</definedName>
    <definedName name="ASSOC_3Q08">Tags_ols!$AW$9</definedName>
    <definedName name="ASSOC_3Q09" localSheetId="10">Tags!$BB$9</definedName>
    <definedName name="ASSOC_3Q09">Tags_ols!$BB$9</definedName>
    <definedName name="ASSOC_3Q10" localSheetId="10">Tags!$BG$9</definedName>
    <definedName name="ASSOC_3Q10">Tags_ols!$BG$9</definedName>
    <definedName name="ASSOC_3Q11" localSheetId="10">Tags!$BL$9</definedName>
    <definedName name="ASSOC_3Q11">Tags_ols!$BL$9</definedName>
    <definedName name="ASSOC_3Q12" localSheetId="10">Tags!$BQ$9</definedName>
    <definedName name="ASSOC_3Q12">Tags_ols!$BQ$9</definedName>
    <definedName name="ASSOC_3Q13" localSheetId="10">Tags!$BV$9</definedName>
    <definedName name="ASSOC_3Q13">Tags_ols!$BV$9</definedName>
    <definedName name="ASSOC_3Q14" localSheetId="10">Tags!$CA$9</definedName>
    <definedName name="ASSOC_3Q14">Tags_ols!$CA$9</definedName>
    <definedName name="ASSOC_3Q15" localSheetId="10">Tags!$CF$9</definedName>
    <definedName name="ASSOC_3Q15">Tags_ols!$CF$9</definedName>
    <definedName name="ASSOC_3Q16" localSheetId="10">Tags!$CK$9</definedName>
    <definedName name="ASSOC_3Q16">Tags_ols!$CK$9</definedName>
    <definedName name="ASSOC_3Q17" localSheetId="10">Tags!$CP$9</definedName>
    <definedName name="ASSOC_3Q17">Tags_ols!$CP$9</definedName>
    <definedName name="ASSOC_3Q18" localSheetId="10">Tags!$CU$9</definedName>
    <definedName name="ASSOC_3Q18">Tags_ols!$CU$9</definedName>
    <definedName name="ASSOC_3Q19" localSheetId="10">Tags!$CZ$9</definedName>
    <definedName name="ASSOC_3Q19">Tags_ols!$CZ$9</definedName>
    <definedName name="ASSOC_3Q20" localSheetId="10">Tags!$DE$9</definedName>
    <definedName name="ASSOC_3Q20">Tags_ols!$DE$9</definedName>
    <definedName name="ASSOC_3Q21">Tags!$DJ$9</definedName>
    <definedName name="ASSOC_3Q22">Tags!$DO$9</definedName>
    <definedName name="ASSOC_3Q23">Tags!$DT$9</definedName>
    <definedName name="ASSOC_3Q24">Tags!$DY$9</definedName>
    <definedName name="ASSOC_4Q00" localSheetId="10">Tags!$J$9</definedName>
    <definedName name="ASSOC_4Q00">Tags_ols!$J$9</definedName>
    <definedName name="ASSOC_4Q01" localSheetId="10">Tags!$O$9</definedName>
    <definedName name="ASSOC_4Q01">Tags_ols!$O$9</definedName>
    <definedName name="ASSOC_4Q02" localSheetId="10">Tags!$T$9</definedName>
    <definedName name="ASSOC_4Q02">Tags_ols!$T$9</definedName>
    <definedName name="ASSOC_4Q03" localSheetId="10">Tags!$Y$9</definedName>
    <definedName name="ASSOC_4Q03">Tags_ols!$Y$9</definedName>
    <definedName name="ASSOC_4Q04" localSheetId="10">Tags!$AD$9</definedName>
    <definedName name="ASSOC_4Q04">Tags_ols!$AD$9</definedName>
    <definedName name="ASSOC_4Q05" localSheetId="10">Tags!$AI$9</definedName>
    <definedName name="ASSOC_4Q05">Tags_ols!$AI$9</definedName>
    <definedName name="ASSOC_4Q06" localSheetId="10">Tags!$AN$9</definedName>
    <definedName name="ASSOC_4Q06">Tags_ols!$AN$9</definedName>
    <definedName name="ASSOC_4Q07" localSheetId="10">Tags!$AS$9</definedName>
    <definedName name="ASSOC_4Q07">Tags_ols!$AS$9</definedName>
    <definedName name="ASSOC_4Q08" localSheetId="10">Tags!$AX$9</definedName>
    <definedName name="ASSOC_4Q08">Tags_ols!$AX$9</definedName>
    <definedName name="ASSOC_4Q09" localSheetId="10">Tags!$BC$9</definedName>
    <definedName name="ASSOC_4Q09">Tags_ols!$BC$9</definedName>
    <definedName name="ASSOC_4Q10" localSheetId="10">Tags!$BH$9</definedName>
    <definedName name="ASSOC_4Q10">Tags_ols!$BH$9</definedName>
    <definedName name="ASSOC_4Q11" localSheetId="10">Tags!$BM$9</definedName>
    <definedName name="ASSOC_4Q11">Tags_ols!$BM$9</definedName>
    <definedName name="ASSOC_4Q12" localSheetId="10">Tags!$BR$9</definedName>
    <definedName name="ASSOC_4Q12">Tags_ols!$BR$9</definedName>
    <definedName name="ASSOC_4Q13" localSheetId="10">Tags!$BW$9</definedName>
    <definedName name="ASSOC_4Q13">Tags_ols!$BW$9</definedName>
    <definedName name="ASSOC_4Q14" localSheetId="10">Tags!$CB$9</definedName>
    <definedName name="ASSOC_4Q14">Tags_ols!$CB$9</definedName>
    <definedName name="ASSOC_4Q15" localSheetId="10">Tags!$CG$9</definedName>
    <definedName name="ASSOC_4Q15">Tags_ols!$CG$9</definedName>
    <definedName name="ASSOC_4Q16" localSheetId="10">Tags!$CL$9</definedName>
    <definedName name="ASSOC_4Q16">Tags_ols!$CL$9</definedName>
    <definedName name="ASSOC_4Q17" localSheetId="10">Tags!$CQ$9</definedName>
    <definedName name="ASSOC_4Q17">Tags_ols!$CQ$9</definedName>
    <definedName name="ASSOC_4Q18" localSheetId="10">Tags!$CV$9</definedName>
    <definedName name="ASSOC_4Q18">Tags_ols!$CV$9</definedName>
    <definedName name="ASSOC_4Q19" localSheetId="10">Tags!$DA$9</definedName>
    <definedName name="ASSOC_4Q19">Tags_ols!$DA$9</definedName>
    <definedName name="ASSOC_4Q20" localSheetId="10">Tags!$DF$9</definedName>
    <definedName name="ASSOC_4Q20">Tags_ols!$DF$9</definedName>
    <definedName name="ASSOC_4Q21">Tags!$DK$9</definedName>
    <definedName name="ASSOC_4Q22">Tags!$DP$9</definedName>
    <definedName name="ASSOC_4Q23">Tags!$DU$9</definedName>
    <definedName name="ASSOC_4Q24">Tags!$DZ$9</definedName>
    <definedName name="ATIGTC_1995">Tags_ols!$B$56</definedName>
    <definedName name="ATIGTC_1996">Tags_ols!$C$56</definedName>
    <definedName name="ATIGTC_1997">Tags_ols!$D$56</definedName>
    <definedName name="ATIGTC_1998">Tags_ols!$E$56</definedName>
    <definedName name="ATIGTC_1999">Tags_ols!$F$56</definedName>
    <definedName name="ATIGTC_1Q00" localSheetId="10">Tags!$G$56</definedName>
    <definedName name="ATIGTC_1Q00">Tags_ols!$G$56</definedName>
    <definedName name="ATIGTC_1Q01" localSheetId="10">Tags!$L$56</definedName>
    <definedName name="ATIGTC_1Q01">Tags_ols!$L$56</definedName>
    <definedName name="ATIGTC_1Q02" localSheetId="10">Tags!$Q$56</definedName>
    <definedName name="ATIGTC_1Q02">Tags_ols!$Q$56</definedName>
    <definedName name="ATIGTC_1Q03" localSheetId="10">Tags!$V$56</definedName>
    <definedName name="ATIGTC_1Q03">Tags_ols!$V$56</definedName>
    <definedName name="ATIGTC_1Q04" localSheetId="10">Tags!$AA$56</definedName>
    <definedName name="ATIGTC_1Q04">Tags_ols!$AA$56</definedName>
    <definedName name="ATIGTC_1Q05" localSheetId="10">Tags!$AF$56</definedName>
    <definedName name="ATIGTC_1Q05">Tags_ols!$AF$56</definedName>
    <definedName name="ATIGTC_1Q06" localSheetId="10">Tags!$AK$56</definedName>
    <definedName name="ATIGTC_1Q06">Tags_ols!$AK$56</definedName>
    <definedName name="ATIGTC_1Q07" localSheetId="10">Tags!$AP$56</definedName>
    <definedName name="ATIGTC_1Q07">Tags_ols!$AP$56</definedName>
    <definedName name="ATIGTC_1Q08" localSheetId="10">Tags!$AU$56</definedName>
    <definedName name="ATIGTC_1Q08">Tags_ols!$AU$56</definedName>
    <definedName name="ATIGTC_1Q09" localSheetId="10">Tags!$AZ$56</definedName>
    <definedName name="ATIGTC_1Q09">Tags_ols!$AZ$56</definedName>
    <definedName name="ATIGTC_1Q10" localSheetId="10">Tags!$BE$56</definedName>
    <definedName name="ATIGTC_1Q10">Tags_ols!$BE$56</definedName>
    <definedName name="ATIGTC_1Q11" localSheetId="10">Tags!$BJ$56</definedName>
    <definedName name="ATIGTC_1Q11">Tags_ols!$BJ$56</definedName>
    <definedName name="ATIGTC_1Q12" localSheetId="10">Tags!$BO$56</definedName>
    <definedName name="ATIGTC_1Q12">Tags_ols!$BO$56</definedName>
    <definedName name="ATIGTC_1Q13" localSheetId="10">Tags!$BT$56</definedName>
    <definedName name="ATIGTC_1Q13">Tags_ols!$BT$56</definedName>
    <definedName name="ATIGTC_1Q14" localSheetId="10">Tags!$BY$56</definedName>
    <definedName name="ATIGTC_1Q14">Tags_ols!$BY$56</definedName>
    <definedName name="ATIGTC_1Q15" localSheetId="10">Tags!$CD$56</definedName>
    <definedName name="ATIGTC_1Q15">Tags_ols!$CD$56</definedName>
    <definedName name="ATIGTC_1Q16" localSheetId="10">Tags!$CI$56</definedName>
    <definedName name="ATIGTC_1Q16">Tags_ols!$CI$56</definedName>
    <definedName name="ATIGTC_1Q17" localSheetId="10">Tags!$CN$56</definedName>
    <definedName name="ATIGTC_1Q17">Tags_ols!$CN$56</definedName>
    <definedName name="ATIGTC_1Q18" localSheetId="10">Tags!$CS$56</definedName>
    <definedName name="ATIGTC_1Q18">Tags_ols!$CS$56</definedName>
    <definedName name="ATIGTC_1Q19" localSheetId="10">Tags!$CX$56</definedName>
    <definedName name="ATIGTC_1Q19">Tags_ols!$CX$56</definedName>
    <definedName name="ATIGTC_1Q20" localSheetId="10">Tags!$DC$56</definedName>
    <definedName name="ATIGTC_1Q20">Tags_ols!$DC$56</definedName>
    <definedName name="ATIGTC_1Q21">Tags!$DH$56</definedName>
    <definedName name="ATIGTC_1Q22">Tags!$DM$56</definedName>
    <definedName name="ATIGTC_1Q23">Tags!$DR$56</definedName>
    <definedName name="ATIGTC_1Q24">Tags!$DW$56</definedName>
    <definedName name="ATIGTC_2000" localSheetId="10">Tags!$K$56</definedName>
    <definedName name="ATIGTC_2000">Tags_ols!$K$56</definedName>
    <definedName name="ATIGTC_2001" localSheetId="10">Tags!$P$56</definedName>
    <definedName name="ATIGTC_2001">Tags_ols!$P$56</definedName>
    <definedName name="ATIGTC_2002" localSheetId="10">Tags!$U$56</definedName>
    <definedName name="ATIGTC_2002">Tags_ols!$U$56</definedName>
    <definedName name="ATIGTC_2003" localSheetId="10">Tags!$Z$56</definedName>
    <definedName name="ATIGTC_2003">Tags_ols!$Z$56</definedName>
    <definedName name="ATIGTC_2004" localSheetId="10">Tags!$AE$56</definedName>
    <definedName name="ATIGTC_2004">Tags_ols!$AE$56</definedName>
    <definedName name="ATIGTC_2005" localSheetId="10">Tags!$AJ$56</definedName>
    <definedName name="ATIGTC_2005">Tags_ols!$AJ$56</definedName>
    <definedName name="ATIGTC_2006" localSheetId="10">Tags!$AO$56</definedName>
    <definedName name="ATIGTC_2006">Tags_ols!$AO$56</definedName>
    <definedName name="ATIGTC_2007" localSheetId="10">Tags!$AT$56</definedName>
    <definedName name="ATIGTC_2007">Tags_ols!$AT$56</definedName>
    <definedName name="ATIGTC_2008" localSheetId="10">Tags!$AY$56</definedName>
    <definedName name="ATIGTC_2008">Tags_ols!$AY$56</definedName>
    <definedName name="ATIGTC_2009" localSheetId="10">Tags!$BD$56</definedName>
    <definedName name="ATIGTC_2009">Tags_ols!$BD$56</definedName>
    <definedName name="ATIGTC_2010" localSheetId="10">Tags!$BI$56</definedName>
    <definedName name="ATIGTC_2010">Tags_ols!$BI$56</definedName>
    <definedName name="ATIGTC_2011" localSheetId="10">Tags!$BN$56</definedName>
    <definedName name="ATIGTC_2011">Tags_ols!$BN$56</definedName>
    <definedName name="ATIGTC_2012" localSheetId="10">Tags!$BS$56</definedName>
    <definedName name="ATIGTC_2012">Tags_ols!$BS$56</definedName>
    <definedName name="ATIGTC_2013" localSheetId="10">Tags!$BX$56</definedName>
    <definedName name="ATIGTC_2013">Tags_ols!$BX$56</definedName>
    <definedName name="ATIGTC_2014" localSheetId="10">Tags!$CC$56</definedName>
    <definedName name="ATIGTC_2014">Tags_ols!$CC$56</definedName>
    <definedName name="ATIGTC_2015" localSheetId="10">Tags!#REF!</definedName>
    <definedName name="ATIGTC_2015">Tags!$CH$56</definedName>
    <definedName name="ATIGTC_2016" localSheetId="10">Tags!$CM$56</definedName>
    <definedName name="ATIGTC_2016">Tags_ols!$CM$56</definedName>
    <definedName name="ATIGTC_2017" localSheetId="10">Tags!$CR$56</definedName>
    <definedName name="ATIGTC_2017">Tags_ols!$CR$56</definedName>
    <definedName name="ATIGTC_2018" localSheetId="10">Tags!$CW$56</definedName>
    <definedName name="ATIGTC_2018">Tags_ols!$CW$56</definedName>
    <definedName name="ATIGTC_2019" localSheetId="10">Tags!$DB$56</definedName>
    <definedName name="ATIGTC_2019">Tags_ols!$DB$56</definedName>
    <definedName name="ATIGTC_2020" localSheetId="10">Tags!$DG$56</definedName>
    <definedName name="ATIGTC_2020">Tags_ols!$DG$56</definedName>
    <definedName name="ATIGTC_2021">Tags!$DL$56</definedName>
    <definedName name="ATIGTC_2022">Tags!$DQ$56</definedName>
    <definedName name="ATIGTC_2023">Tags!$DV$56</definedName>
    <definedName name="ATIGTC_2024">Tags!$EA$56</definedName>
    <definedName name="ATIGTC_2Q00" localSheetId="10">Tags!$H$56</definedName>
    <definedName name="ATIGTC_2Q00">Tags_ols!$H$56</definedName>
    <definedName name="ATIGTC_2Q01" localSheetId="10">Tags!$M$56</definedName>
    <definedName name="ATIGTC_2Q01">Tags_ols!$M$56</definedName>
    <definedName name="ATIGTC_2Q02" localSheetId="10">Tags!$R$56</definedName>
    <definedName name="ATIGTC_2Q02">Tags_ols!$R$56</definedName>
    <definedName name="ATIGTC_2Q03" localSheetId="10">Tags!$W$56</definedName>
    <definedName name="ATIGTC_2Q03">Tags_ols!$W$56</definedName>
    <definedName name="ATIGTC_2Q04" localSheetId="10">Tags!$AB$56</definedName>
    <definedName name="ATIGTC_2Q04">Tags_ols!$AB$56</definedName>
    <definedName name="ATIGTC_2Q05" localSheetId="10">Tags!$AG$56</definedName>
    <definedName name="ATIGTC_2Q05">Tags_ols!$AG$56</definedName>
    <definedName name="ATIGTC_2Q06" localSheetId="10">Tags!$AL$56</definedName>
    <definedName name="ATIGTC_2Q06">Tags_ols!$AL$56</definedName>
    <definedName name="ATIGTC_2Q07" localSheetId="10">Tags!$AQ$56</definedName>
    <definedName name="ATIGTC_2Q07">Tags_ols!$AQ$56</definedName>
    <definedName name="ATIGTC_2Q08" localSheetId="10">Tags!$AV$56</definedName>
    <definedName name="ATIGTC_2Q08">Tags_ols!$AV$56</definedName>
    <definedName name="ATIGTC_2Q09" localSheetId="10">Tags!$BA$56</definedName>
    <definedName name="ATIGTC_2Q09">Tags_ols!$BA$56</definedName>
    <definedName name="ATIGTC_2Q10" localSheetId="10">Tags!$BF$56</definedName>
    <definedName name="ATIGTC_2Q10">Tags_ols!$BF$56</definedName>
    <definedName name="ATIGTC_2Q11" localSheetId="10">Tags!$BK$56</definedName>
    <definedName name="ATIGTC_2Q11">Tags_ols!$BK$56</definedName>
    <definedName name="ATIGTC_2Q12" localSheetId="10">Tags!$BP$56</definedName>
    <definedName name="ATIGTC_2Q12">Tags_ols!$BP$56</definedName>
    <definedName name="ATIGTC_2Q13" localSheetId="10">Tags!$BU$56</definedName>
    <definedName name="ATIGTC_2Q13">Tags_ols!$BU$56</definedName>
    <definedName name="ATIGTC_2Q14" localSheetId="10">Tags!$BZ$56</definedName>
    <definedName name="ATIGTC_2Q14">Tags_ols!$BZ$56</definedName>
    <definedName name="ATIGTC_2Q15" localSheetId="10">Tags!$CE$56</definedName>
    <definedName name="ATIGTC_2Q15">Tags_ols!$CE$56</definedName>
    <definedName name="ATIGTC_2Q16" localSheetId="10">Tags!$CJ$56</definedName>
    <definedName name="ATIGTC_2Q16">Tags_ols!$CJ$56</definedName>
    <definedName name="ATIGTC_2Q17" localSheetId="10">Tags!$CO$56</definedName>
    <definedName name="ATIGTC_2Q17">Tags_ols!$CO$56</definedName>
    <definedName name="ATIGTC_2Q18" localSheetId="10">Tags!$CT$56</definedName>
    <definedName name="ATIGTC_2Q18">Tags_ols!$CT$56</definedName>
    <definedName name="ATIGTC_2Q19" localSheetId="10">Tags!$CY$56</definedName>
    <definedName name="ATIGTC_2Q19">Tags_ols!$CY$56</definedName>
    <definedName name="ATIGTC_2Q20" localSheetId="10">Tags!$DD$56</definedName>
    <definedName name="ATIGTC_2Q20">Tags_ols!$DD$56</definedName>
    <definedName name="ATIGTC_2Q21">Tags!$DI$56</definedName>
    <definedName name="ATIGTC_2Q22">Tags!$DN$56</definedName>
    <definedName name="ATIGTC_2Q23">Tags!$DS$56</definedName>
    <definedName name="ATIGTC_2Q24">Tags!$DX$56</definedName>
    <definedName name="ATIGTC_3Q00" localSheetId="10">Tags!$I$56</definedName>
    <definedName name="ATIGTC_3Q00">Tags_ols!$I$56</definedName>
    <definedName name="ATIGTC_3Q01" localSheetId="10">Tags!$N$56</definedName>
    <definedName name="ATIGTC_3Q01">Tags_ols!$N$56</definedName>
    <definedName name="ATIGTC_3Q02" localSheetId="10">Tags!$S$56</definedName>
    <definedName name="ATIGTC_3Q02">Tags_ols!$S$56</definedName>
    <definedName name="ATIGTC_3Q03" localSheetId="10">Tags!$X$56</definedName>
    <definedName name="ATIGTC_3Q03">Tags_ols!$X$56</definedName>
    <definedName name="ATIGTC_3Q04" localSheetId="10">Tags!$AC$56</definedName>
    <definedName name="ATIGTC_3Q04">Tags_ols!$AC$56</definedName>
    <definedName name="ATIGTC_3Q05" localSheetId="10">Tags!$AH$56</definedName>
    <definedName name="ATIGTC_3Q05">Tags_ols!$AH$56</definedName>
    <definedName name="ATIGTC_3Q06" localSheetId="10">Tags!$AM$56</definedName>
    <definedName name="ATIGTC_3Q06">Tags_ols!$AM$56</definedName>
    <definedName name="ATIGTC_3Q07" localSheetId="10">Tags!$AR$56</definedName>
    <definedName name="ATIGTC_3Q07">Tags_ols!$AR$56</definedName>
    <definedName name="ATIGTC_3Q08" localSheetId="10">Tags!$AW$56</definedName>
    <definedName name="ATIGTC_3Q08">Tags_ols!$AW$56</definedName>
    <definedName name="ATIGTC_3Q09" localSheetId="10">Tags!$BB$56</definedName>
    <definedName name="ATIGTC_3Q09">Tags_ols!$BB$56</definedName>
    <definedName name="ATIGTC_3Q10" localSheetId="10">Tags!$BG$56</definedName>
    <definedName name="ATIGTC_3Q10">Tags_ols!$BG$56</definedName>
    <definedName name="ATIGTC_3Q11" localSheetId="10">Tags!$BL$56</definedName>
    <definedName name="ATIGTC_3Q11">Tags_ols!$BL$56</definedName>
    <definedName name="ATIGTC_3Q12" localSheetId="10">Tags!$BQ$56</definedName>
    <definedName name="ATIGTC_3Q12">Tags_ols!$BQ$56</definedName>
    <definedName name="ATIGTC_3Q13" localSheetId="10">Tags!$BV$56</definedName>
    <definedName name="ATIGTC_3Q13">Tags_ols!$BV$56</definedName>
    <definedName name="ATIGTC_3Q14" localSheetId="10">Tags!$CA$56</definedName>
    <definedName name="ATIGTC_3Q14">Tags_ols!$CA$56</definedName>
    <definedName name="ATIGTC_3Q15" localSheetId="10">Tags!$CF$56</definedName>
    <definedName name="ATIGTC_3Q15">Tags_ols!$CF$56</definedName>
    <definedName name="ATIGTC_3Q16" localSheetId="10">Tags!$CK$56</definedName>
    <definedName name="ATIGTC_3Q16">Tags_ols!$CK$56</definedName>
    <definedName name="ATIGTC_3Q17" localSheetId="10">Tags!$CP$56</definedName>
    <definedName name="ATIGTC_3Q17">Tags_ols!$CP$56</definedName>
    <definedName name="ATIGTC_3Q18" localSheetId="10">Tags!$CU$56</definedName>
    <definedName name="ATIGTC_3Q18">Tags_ols!$CU$56</definedName>
    <definedName name="ATIGTC_3Q19" localSheetId="10">Tags!$CZ$56</definedName>
    <definedName name="ATIGTC_3Q19">Tags_ols!$CZ$56</definedName>
    <definedName name="ATIGTC_3Q20" localSheetId="10">Tags!$DE$56</definedName>
    <definedName name="ATIGTC_3Q20">Tags_ols!$DE$56</definedName>
    <definedName name="ATIGTC_3Q21">Tags!$DJ$56</definedName>
    <definedName name="ATIGTC_3Q22">Tags!$DO$56</definedName>
    <definedName name="ATIGTC_3Q23">Tags!$DT$56</definedName>
    <definedName name="ATIGTC_3Q24">Tags!$DY$56</definedName>
    <definedName name="ATIGTC_4Q00" localSheetId="10">Tags!$J$56</definedName>
    <definedName name="ATIGTC_4Q00">Tags_ols!$J$56</definedName>
    <definedName name="ATIGTC_4Q01" localSheetId="10">Tags!$O$56</definedName>
    <definedName name="ATIGTC_4Q01">Tags_ols!$O$56</definedName>
    <definedName name="ATIGTC_4Q02" localSheetId="10">Tags!$T$56</definedName>
    <definedName name="ATIGTC_4Q02">Tags_ols!$T$56</definedName>
    <definedName name="ATIGTC_4Q03" localSheetId="10">Tags!$Y$56</definedName>
    <definedName name="ATIGTC_4Q03">Tags_ols!$Y$56</definedName>
    <definedName name="ATIGTC_4Q04" localSheetId="10">Tags!$AD$56</definedName>
    <definedName name="ATIGTC_4Q04">Tags_ols!$AD$56</definedName>
    <definedName name="ATIGTC_4Q05" localSheetId="10">Tags!$AI$56</definedName>
    <definedName name="ATIGTC_4Q05">Tags_ols!$AI$56</definedName>
    <definedName name="ATIGTC_4Q06" localSheetId="10">Tags!$AN$56</definedName>
    <definedName name="ATIGTC_4Q06">Tags_ols!$AN$56</definedName>
    <definedName name="ATIGTC_4Q07" localSheetId="10">Tags!$AS$56</definedName>
    <definedName name="ATIGTC_4Q07">Tags_ols!$AS$56</definedName>
    <definedName name="ATIGTC_4Q08" localSheetId="10">Tags!$AX$56</definedName>
    <definedName name="ATIGTC_4Q08">Tags_ols!$AX$56</definedName>
    <definedName name="ATIGTC_4Q09" localSheetId="10">Tags!$BC$56</definedName>
    <definedName name="ATIGTC_4Q09">Tags_ols!$BC$56</definedName>
    <definedName name="ATIGTC_4Q10" localSheetId="10">Tags!$BH$56</definedName>
    <definedName name="ATIGTC_4Q10">Tags_ols!$BH$56</definedName>
    <definedName name="ATIGTC_4Q11" localSheetId="10">Tags!$BM$56</definedName>
    <definedName name="ATIGTC_4Q11">Tags_ols!$BM$56</definedName>
    <definedName name="ATIGTC_4Q12" localSheetId="10">Tags!$BR$56</definedName>
    <definedName name="ATIGTC_4Q12">Tags_ols!$BR$56</definedName>
    <definedName name="ATIGTC_4Q13" localSheetId="10">Tags!$BW$56</definedName>
    <definedName name="ATIGTC_4Q13">Tags_ols!$BW$56</definedName>
    <definedName name="ATIGTC_4Q14" localSheetId="10">Tags!$CB$56</definedName>
    <definedName name="ATIGTC_4Q14">Tags_ols!$CB$56</definedName>
    <definedName name="ATIGTC_4Q15" localSheetId="10">Tags!$CG$56</definedName>
    <definedName name="ATIGTC_4Q15">Tags_ols!$CG$56</definedName>
    <definedName name="ATIGTC_4Q16" localSheetId="10">Tags!$CL$56</definedName>
    <definedName name="ATIGTC_4Q16">Tags_ols!$CL$56</definedName>
    <definedName name="ATIGTC_4Q17" localSheetId="10">Tags!$CQ$56</definedName>
    <definedName name="ATIGTC_4Q17">Tags_ols!$CQ$56</definedName>
    <definedName name="ATIGTC_4Q18" localSheetId="10">Tags!$CV$56</definedName>
    <definedName name="ATIGTC_4Q18">Tags_ols!$CV$56</definedName>
    <definedName name="ATIGTC_4Q19" localSheetId="10">Tags!$DA$56</definedName>
    <definedName name="ATIGTC_4Q19">Tags_ols!$DA$56</definedName>
    <definedName name="ATIGTC_4Q20" localSheetId="10">Tags!$DF$56</definedName>
    <definedName name="ATIGTC_4Q20">Tags_ols!$DF$56</definedName>
    <definedName name="ATIGTC_4Q21">Tags!$DK$56</definedName>
    <definedName name="ATIGTC_4Q22">Tags!$DP$56</definedName>
    <definedName name="ATIGTC_4Q23">Tags!$DU$56</definedName>
    <definedName name="ATIGTC_4Q24">Tags!$DZ$56</definedName>
    <definedName name="AvgPrice">#REF!</definedName>
    <definedName name="AVHDC_1995">Tags_ols!$B$50</definedName>
    <definedName name="AVHDC_1996">Tags_ols!$C$50</definedName>
    <definedName name="AVHDC_1997">Tags_ols!$D$50</definedName>
    <definedName name="AVHDC_1998">Tags_ols!$E$50</definedName>
    <definedName name="AVHDC_1999">Tags_ols!$F$50</definedName>
    <definedName name="AVHDC_1Q00" localSheetId="10">Tags!$G$50</definedName>
    <definedName name="AVHDC_1Q00">Tags_ols!$G$50</definedName>
    <definedName name="AVHDC_1Q01" localSheetId="10">Tags!$L$50</definedName>
    <definedName name="AVHDC_1Q01">Tags_ols!$L$50</definedName>
    <definedName name="AVHDC_1Q02" localSheetId="10">Tags!$Q$50</definedName>
    <definedName name="AVHDC_1Q02">Tags_ols!$Q$50</definedName>
    <definedName name="AVHDC_1Q03" localSheetId="10">Tags!$V$50</definedName>
    <definedName name="AVHDC_1Q03">Tags_ols!$V$50</definedName>
    <definedName name="AVHDC_1Q04" localSheetId="10">Tags!$AA$50</definedName>
    <definedName name="AVHDC_1Q04">Tags_ols!$AA$50</definedName>
    <definedName name="AVHDC_1Q05" localSheetId="10">Tags!$AF$50</definedName>
    <definedName name="AVHDC_1Q05">Tags_ols!$AF$50</definedName>
    <definedName name="AVHDC_1Q06" localSheetId="10">Tags!$AK$50</definedName>
    <definedName name="AVHDC_1Q06">Tags_ols!$AK$50</definedName>
    <definedName name="AVHDC_1Q07" localSheetId="10">Tags!$AP$50</definedName>
    <definedName name="AVHDC_1Q07">Tags_ols!$AP$50</definedName>
    <definedName name="AVHDC_1Q08" localSheetId="10">Tags!$AU$50</definedName>
    <definedName name="AVHDC_1Q08">Tags_ols!$AU$50</definedName>
    <definedName name="AVHDC_1Q09" localSheetId="10">Tags!$AZ$50</definedName>
    <definedName name="AVHDC_1Q09">Tags_ols!$AZ$50</definedName>
    <definedName name="AVHDC_1Q10" localSheetId="10">Tags!$BE$50</definedName>
    <definedName name="AVHDC_1Q10">Tags_ols!$BE$50</definedName>
    <definedName name="AVHDC_1Q11" localSheetId="10">Tags!$BJ$50</definedName>
    <definedName name="AVHDC_1Q11">Tags_ols!$BJ$50</definedName>
    <definedName name="AVHDC_1Q12" localSheetId="10">Tags!$BO$50</definedName>
    <definedName name="AVHDC_1Q12">Tags_ols!$BO$50</definedName>
    <definedName name="AVHDC_1Q13" localSheetId="10">Tags!$BT$50</definedName>
    <definedName name="AVHDC_1Q13">Tags_ols!$BT$50</definedName>
    <definedName name="AVHDC_1Q14" localSheetId="10">Tags!$BY$50</definedName>
    <definedName name="AVHDC_1Q14">Tags_ols!$BY$50</definedName>
    <definedName name="AVHDC_1Q15" localSheetId="10">Tags!$CD$50</definedName>
    <definedName name="AVHDC_1Q15">Tags_ols!$CD$50</definedName>
    <definedName name="AVHDC_1Q16" localSheetId="10">Tags!$CI$50</definedName>
    <definedName name="AVHDC_1Q16">Tags_ols!$CI$50</definedName>
    <definedName name="AVHDC_1Q17" localSheetId="10">Tags!$CN$50</definedName>
    <definedName name="AVHDC_1Q17">Tags_ols!$CN$50</definedName>
    <definedName name="AVHDC_1Q18" localSheetId="10">Tags!$CS$50</definedName>
    <definedName name="AVHDC_1Q18">Tags_ols!$CS$50</definedName>
    <definedName name="AVHDC_1Q19" localSheetId="10">Tags!$CX$50</definedName>
    <definedName name="AVHDC_1Q19">Tags_ols!$CX$50</definedName>
    <definedName name="AVHDC_1Q20" localSheetId="10">Tags!$DC$50</definedName>
    <definedName name="AVHDC_1Q20">Tags_ols!$DC$50</definedName>
    <definedName name="AVHDC_1Q21">Tags!$DH$50</definedName>
    <definedName name="AVHDC_1Q22">Tags!$DM$50</definedName>
    <definedName name="AVHDC_1Q23">Tags!$DR$50</definedName>
    <definedName name="AVHDC_1Q24">Tags!$DW$50</definedName>
    <definedName name="AVHDC_2000" localSheetId="10">Tags!$K$50</definedName>
    <definedName name="AVHDC_2000">Tags_ols!$K$50</definedName>
    <definedName name="AVHDC_2001" localSheetId="10">Tags!$P$50</definedName>
    <definedName name="AVHDC_2001">Tags_ols!$P$50</definedName>
    <definedName name="AVHDC_2002" localSheetId="10">Tags!$U$50</definedName>
    <definedName name="AVHDC_2002">Tags_ols!$U$50</definedName>
    <definedName name="AVHDC_2003" localSheetId="10">Tags!$Z$50</definedName>
    <definedName name="AVHDC_2003">Tags_ols!$Z$50</definedName>
    <definedName name="AVHDC_2004" localSheetId="10">Tags!$AE$50</definedName>
    <definedName name="AVHDC_2004">Tags_ols!$AE$50</definedName>
    <definedName name="AVHDC_2005" localSheetId="10">Tags!$AJ$50</definedName>
    <definedName name="AVHDC_2005">Tags_ols!$AJ$50</definedName>
    <definedName name="AVHDC_2006" localSheetId="10">Tags!$AO$50</definedName>
    <definedName name="AVHDC_2006">Tags_ols!$AO$50</definedName>
    <definedName name="AVHDC_2007" localSheetId="10">Tags!$AT$50</definedName>
    <definedName name="AVHDC_2007">Tags_ols!$AT$50</definedName>
    <definedName name="AVHDC_2008" localSheetId="10">Tags!$AY$50</definedName>
    <definedName name="AVHDC_2008">Tags_ols!$AY$50</definedName>
    <definedName name="AVHDC_2009" localSheetId="10">Tags!$BD$50</definedName>
    <definedName name="AVHDC_2009">Tags_ols!$BD$50</definedName>
    <definedName name="AVHDC_2010" localSheetId="10">Tags!$BI$50</definedName>
    <definedName name="AVHDC_2010">Tags_ols!$BI$50</definedName>
    <definedName name="AVHDC_2011" localSheetId="10">Tags!$BN$50</definedName>
    <definedName name="AVHDC_2011">Tags_ols!$BN$50</definedName>
    <definedName name="AVHDC_2012" localSheetId="10">Tags!$BS$50</definedName>
    <definedName name="AVHDC_2012">Tags_ols!$BS$50</definedName>
    <definedName name="AVHDC_2013" localSheetId="10">Tags!$BX$50</definedName>
    <definedName name="AVHDC_2013">Tags_ols!$BX$50</definedName>
    <definedName name="AVHDC_2014" localSheetId="10">Tags!$CC$50</definedName>
    <definedName name="AVHDC_2014">Tags_ols!$CC$50</definedName>
    <definedName name="AVHDC_2015" localSheetId="10">Tags!#REF!</definedName>
    <definedName name="AVHDC_2015">Tags!$CH$50</definedName>
    <definedName name="AVHDC_2016" localSheetId="10">Tags!$CM$50</definedName>
    <definedName name="AVHDC_2016">Tags_ols!$CM$50</definedName>
    <definedName name="AVHDC_2017" localSheetId="10">Tags!$CR$50</definedName>
    <definedName name="AVHDC_2017">Tags_ols!$CR$50</definedName>
    <definedName name="AVHDC_2018" localSheetId="10">Tags!$CW$50</definedName>
    <definedName name="AVHDC_2018">Tags_ols!$CW$50</definedName>
    <definedName name="AVHDC_2019" localSheetId="10">Tags!$DB$50</definedName>
    <definedName name="AVHDC_2019">Tags_ols!$DB$50</definedName>
    <definedName name="AVHDC_2020" localSheetId="10">Tags!$DG$50</definedName>
    <definedName name="AVHDC_2020">Tags_ols!$DG$50</definedName>
    <definedName name="AVHDC_2021">Tags!$DL$50</definedName>
    <definedName name="AVHDC_2022">Tags!$DQ$50</definedName>
    <definedName name="AVHDC_2023">Tags!$DV$50</definedName>
    <definedName name="AVHDC_2024">Tags!$EA$50</definedName>
    <definedName name="AVHDC_2Q00" localSheetId="10">Tags!$H$50</definedName>
    <definedName name="AVHDC_2Q00">Tags_ols!$H$50</definedName>
    <definedName name="AVHDC_2Q01" localSheetId="10">Tags!$M$50</definedName>
    <definedName name="AVHDC_2Q01">Tags_ols!$M$50</definedName>
    <definedName name="AVHDC_2Q02" localSheetId="10">Tags!$R$50</definedName>
    <definedName name="AVHDC_2Q02">Tags_ols!$R$50</definedName>
    <definedName name="AVHDC_2Q03" localSheetId="10">Tags!$W$50</definedName>
    <definedName name="AVHDC_2Q03">Tags_ols!$W$50</definedName>
    <definedName name="AVHDC_2Q04" localSheetId="10">Tags!$AB$50</definedName>
    <definedName name="AVHDC_2Q04">Tags_ols!$AB$50</definedName>
    <definedName name="AVHDC_2Q05" localSheetId="10">Tags!$AG$50</definedName>
    <definedName name="AVHDC_2Q05">Tags_ols!$AG$50</definedName>
    <definedName name="AVHDC_2Q06" localSheetId="10">Tags!$AL$50</definedName>
    <definedName name="AVHDC_2Q06">Tags_ols!$AL$50</definedName>
    <definedName name="AVHDC_2Q07" localSheetId="10">Tags!$AQ$50</definedName>
    <definedName name="AVHDC_2Q07">Tags_ols!$AQ$50</definedName>
    <definedName name="AVHDC_2Q08" localSheetId="10">Tags!$AV$50</definedName>
    <definedName name="AVHDC_2Q08">Tags_ols!$AV$50</definedName>
    <definedName name="AVHDC_2Q09" localSheetId="10">Tags!$BA$50</definedName>
    <definedName name="AVHDC_2Q09">Tags_ols!$BA$50</definedName>
    <definedName name="AVHDC_2Q10" localSheetId="10">Tags!$BF$50</definedName>
    <definedName name="AVHDC_2Q10">Tags_ols!$BF$50</definedName>
    <definedName name="AVHDC_2Q11" localSheetId="10">Tags!$BK$50</definedName>
    <definedName name="AVHDC_2Q11">Tags_ols!$BK$50</definedName>
    <definedName name="AVHDC_2Q12" localSheetId="10">Tags!$BP$50</definedName>
    <definedName name="AVHDC_2Q12">Tags_ols!$BP$50</definedName>
    <definedName name="AVHDC_2Q13" localSheetId="10">Tags!$BU$50</definedName>
    <definedName name="AVHDC_2Q13">Tags_ols!$BU$50</definedName>
    <definedName name="AVHDC_2Q14" localSheetId="10">Tags!$BZ$50</definedName>
    <definedName name="AVHDC_2Q14">Tags_ols!$BZ$50</definedName>
    <definedName name="AVHDC_2Q15" localSheetId="10">Tags!$CE$50</definedName>
    <definedName name="AVHDC_2Q15">Tags_ols!$CE$50</definedName>
    <definedName name="AVHDC_2Q16" localSheetId="10">Tags!$CJ$50</definedName>
    <definedName name="AVHDC_2Q16">Tags_ols!$CJ$50</definedName>
    <definedName name="AVHDC_2Q17" localSheetId="10">Tags!$CO$50</definedName>
    <definedName name="AVHDC_2Q17">Tags_ols!$CO$50</definedName>
    <definedName name="AVHDC_2Q18" localSheetId="10">Tags!$CT$50</definedName>
    <definedName name="AVHDC_2Q18">Tags_ols!$CT$50</definedName>
    <definedName name="AVHDC_2Q19" localSheetId="10">Tags!$CY$50</definedName>
    <definedName name="AVHDC_2Q19">Tags_ols!$CY$50</definedName>
    <definedName name="AVHDC_2Q20" localSheetId="10">Tags!$DD$50</definedName>
    <definedName name="AVHDC_2Q20">Tags_ols!$DD$50</definedName>
    <definedName name="AVHDC_2Q21">Tags!$DI$50</definedName>
    <definedName name="AVHDC_2Q22">Tags!$DN$50</definedName>
    <definedName name="AVHDC_2Q23">Tags!$DS$50</definedName>
    <definedName name="AVHDC_2Q24">Tags!$DX$50</definedName>
    <definedName name="AVHDC_3Q00" localSheetId="10">Tags!$I$50</definedName>
    <definedName name="AVHDC_3Q00">Tags_ols!$I$50</definedName>
    <definedName name="AVHDC_3Q01" localSheetId="10">Tags!$N$50</definedName>
    <definedName name="AVHDC_3Q01">Tags_ols!$N$50</definedName>
    <definedName name="AVHDC_3Q02" localSheetId="10">Tags!$S$50</definedName>
    <definedName name="AVHDC_3Q02">Tags_ols!$S$50</definedName>
    <definedName name="AVHDC_3Q03" localSheetId="10">Tags!$X$50</definedName>
    <definedName name="AVHDC_3Q03">Tags_ols!$X$50</definedName>
    <definedName name="AVHDC_3Q04" localSheetId="10">Tags!$AC$50</definedName>
    <definedName name="AVHDC_3Q04">Tags_ols!$AC$50</definedName>
    <definedName name="AVHDC_3Q05" localSheetId="10">Tags!$AH$50</definedName>
    <definedName name="AVHDC_3Q05">Tags_ols!$AH$50</definedName>
    <definedName name="AVHDC_3Q06" localSheetId="10">Tags!$AM$50</definedName>
    <definedName name="AVHDC_3Q06">Tags_ols!$AM$50</definedName>
    <definedName name="AVHDC_3Q07" localSheetId="10">Tags!$AR$50</definedName>
    <definedName name="AVHDC_3Q07">Tags_ols!$AR$50</definedName>
    <definedName name="AVHDC_3Q08" localSheetId="10">Tags!$AW$50</definedName>
    <definedName name="AVHDC_3Q08">Tags_ols!$AW$50</definedName>
    <definedName name="AVHDC_3Q09" localSheetId="10">Tags!$BB$50</definedName>
    <definedName name="AVHDC_3Q09">Tags_ols!$BB$50</definedName>
    <definedName name="AVHDC_3Q10" localSheetId="10">Tags!$BG$50</definedName>
    <definedName name="AVHDC_3Q10">Tags_ols!$BG$50</definedName>
    <definedName name="AVHDC_3Q11" localSheetId="10">Tags!$BL$50</definedName>
    <definedName name="AVHDC_3Q11">Tags_ols!$BL$50</definedName>
    <definedName name="AVHDC_3Q12" localSheetId="10">Tags!$BQ$50</definedName>
    <definedName name="AVHDC_3Q12">Tags_ols!$BQ$50</definedName>
    <definedName name="AVHDC_3Q13" localSheetId="10">Tags!$BV$50</definedName>
    <definedName name="AVHDC_3Q13">Tags_ols!$BV$50</definedName>
    <definedName name="AVHDC_3Q14" localSheetId="10">Tags!$CA$50</definedName>
    <definedName name="AVHDC_3Q14">Tags_ols!$CA$50</definedName>
    <definedName name="AVHDC_3Q15" localSheetId="10">Tags!$CF$50</definedName>
    <definedName name="AVHDC_3Q15">Tags_ols!$CF$50</definedName>
    <definedName name="AVHDC_3Q16" localSheetId="10">Tags!$CK$50</definedName>
    <definedName name="AVHDC_3Q16">Tags_ols!$CK$50</definedName>
    <definedName name="AVHDC_3Q17" localSheetId="10">Tags!$CP$50</definedName>
    <definedName name="AVHDC_3Q17">Tags_ols!$CP$50</definedName>
    <definedName name="AVHDC_3Q18" localSheetId="10">Tags!$CU$50</definedName>
    <definedName name="AVHDC_3Q18">Tags_ols!$CU$50</definedName>
    <definedName name="AVHDC_3Q19" localSheetId="10">Tags!$CZ$50</definedName>
    <definedName name="AVHDC_3Q19">Tags_ols!$CZ$50</definedName>
    <definedName name="AVHDC_3Q20" localSheetId="10">Tags!$DE$50</definedName>
    <definedName name="AVHDC_3Q20">Tags_ols!$DE$50</definedName>
    <definedName name="AVHDC_3Q21">Tags!$DJ$50</definedName>
    <definedName name="AVHDC_3Q22">Tags!$DO$50</definedName>
    <definedName name="AVHDC_3Q23">Tags!$DT$50</definedName>
    <definedName name="AVHDC_3Q24">Tags!$DY$50</definedName>
    <definedName name="AVHDC_4Q00" localSheetId="10">Tags!$J$50</definedName>
    <definedName name="AVHDC_4Q00">Tags_ols!$J$50</definedName>
    <definedName name="AVHDC_4Q01" localSheetId="10">Tags!$O$50</definedName>
    <definedName name="AVHDC_4Q01">Tags_ols!$O$50</definedName>
    <definedName name="AVHDC_4Q02" localSheetId="10">Tags!$T$50</definedName>
    <definedName name="AVHDC_4Q02">Tags_ols!$T$50</definedName>
    <definedName name="AVHDC_4Q03" localSheetId="10">Tags!$Y$50</definedName>
    <definedName name="AVHDC_4Q03">Tags_ols!$Y$50</definedName>
    <definedName name="AVHDC_4Q04" localSheetId="10">Tags!$AD$50</definedName>
    <definedName name="AVHDC_4Q04">Tags_ols!$AD$50</definedName>
    <definedName name="AVHDC_4Q05" localSheetId="10">Tags!$AI$50</definedName>
    <definedName name="AVHDC_4Q05">Tags_ols!$AI$50</definedName>
    <definedName name="AVHDC_4Q06" localSheetId="10">Tags!$AN$50</definedName>
    <definedName name="AVHDC_4Q06">Tags_ols!$AN$50</definedName>
    <definedName name="AVHDC_4Q07" localSheetId="10">Tags!$AS$50</definedName>
    <definedName name="AVHDC_4Q07">Tags_ols!$AS$50</definedName>
    <definedName name="AVHDC_4Q08" localSheetId="10">Tags!$AX$50</definedName>
    <definedName name="AVHDC_4Q08">Tags_ols!$AX$50</definedName>
    <definedName name="AVHDC_4Q09" localSheetId="10">Tags!$BC$50</definedName>
    <definedName name="AVHDC_4Q09">Tags_ols!$BC$50</definedName>
    <definedName name="AVHDC_4Q10" localSheetId="10">Tags!$BH$50</definedName>
    <definedName name="AVHDC_4Q10">Tags_ols!$BH$50</definedName>
    <definedName name="AVHDC_4Q11" localSheetId="10">Tags!$BM$50</definedName>
    <definedName name="AVHDC_4Q11">Tags_ols!$BM$50</definedName>
    <definedName name="AVHDC_4Q12" localSheetId="10">Tags!$BR$50</definedName>
    <definedName name="AVHDC_4Q12">Tags_ols!$BR$50</definedName>
    <definedName name="AVHDC_4Q13" localSheetId="10">Tags!$BW$50</definedName>
    <definedName name="AVHDC_4Q13">Tags_ols!$BW$50</definedName>
    <definedName name="AVHDC_4Q14" localSheetId="10">Tags!$CB$50</definedName>
    <definedName name="AVHDC_4Q14">Tags_ols!$CB$50</definedName>
    <definedName name="AVHDC_4Q15" localSheetId="10">Tags!$CG$50</definedName>
    <definedName name="AVHDC_4Q15">Tags_ols!$CG$50</definedName>
    <definedName name="AVHDC_4Q16" localSheetId="10">Tags!$CL$50</definedName>
    <definedName name="AVHDC_4Q16">Tags_ols!$CL$50</definedName>
    <definedName name="AVHDC_4Q17" localSheetId="10">Tags!$CQ$50</definedName>
    <definedName name="AVHDC_4Q17">Tags_ols!$CQ$50</definedName>
    <definedName name="AVHDC_4Q18" localSheetId="10">Tags!$CV$50</definedName>
    <definedName name="AVHDC_4Q18">Tags_ols!$CV$50</definedName>
    <definedName name="AVHDC_4Q19" localSheetId="10">Tags!$DA$50</definedName>
    <definedName name="AVHDC_4Q19">Tags_ols!$DA$50</definedName>
    <definedName name="AVHDC_4Q20" localSheetId="10">Tags!$DF$50</definedName>
    <definedName name="AVHDC_4Q20">Tags_ols!$DF$50</definedName>
    <definedName name="AVHDC_4Q21">Tags!$DK$50</definedName>
    <definedName name="AVHDC_4Q22">Tags!$DP$50</definedName>
    <definedName name="AVHDC_4Q23">Tags!$DU$50</definedName>
    <definedName name="AVHDC_4Q24">Tags!$DZ$50</definedName>
    <definedName name="AxesFormat" localSheetId="9">Tags_ols!AxesFormat</definedName>
    <definedName name="AxesFormat" localSheetId="5">'TP Calculation'!AxesFormat</definedName>
    <definedName name="AxesFormat">Tags_ols!AxesFormat</definedName>
    <definedName name="b" localSheetId="4" hidden="1">{#N/A,"30% Success",TRUE,"Sales Forecast";#N/A,#N/A,TRUE,"Sheet2"}</definedName>
    <definedName name="b" localSheetId="6" hidden="1">{#N/A,"30% Success",TRUE,"Sales Forecast";#N/A,#N/A,TRUE,"Sheet2"}</definedName>
    <definedName name="b" localSheetId="0" hidden="1">{#N/A,"30% Success",TRUE,"Sales Forecast";#N/A,#N/A,TRUE,"Sheet2"}</definedName>
    <definedName name="b" localSheetId="9" hidden="1">{#N/A,"30% Success",TRUE,"Sales Forecast";#N/A,#N/A,TRUE,"Sheet2"}</definedName>
    <definedName name="b" localSheetId="5" hidden="1">{#N/A,"30% Success",TRUE,"Sales Forecast";#N/A,#N/A,TRUE,"Sheet2"}</definedName>
    <definedName name="b" hidden="1">{#N/A,"30% Success",TRUE,"Sales Forecast";#N/A,#N/A,TRUE,"Sheet2"}</definedName>
    <definedName name="BeginDate">#REF!</definedName>
    <definedName name="BeginDate2">#REF!</definedName>
    <definedName name="BeginDate3">#REF!</definedName>
    <definedName name="BeginDate4">#REF!</definedName>
    <definedName name="Berni" localSheetId="4" hidden="1">{#N/A,#N/A,FALSE,"Plan1";#N/A,#N/A,FALSE,"Plan2"}</definedName>
    <definedName name="Berni" localSheetId="6" hidden="1">{#N/A,#N/A,FALSE,"Plan1";#N/A,#N/A,FALSE,"Plan2"}</definedName>
    <definedName name="Berni" localSheetId="3" hidden="1">{#N/A,#N/A,FALSE,"Plan1";#N/A,#N/A,FALSE,"Plan2"}</definedName>
    <definedName name="Berni" localSheetId="9" hidden="1">{#N/A,#N/A,FALSE,"Plan1";#N/A,#N/A,FALSE,"Plan2"}</definedName>
    <definedName name="Berni" localSheetId="5" hidden="1">{#N/A,#N/A,FALSE,"Plan1";#N/A,#N/A,FALSE,"Plan2"}</definedName>
    <definedName name="Berni" hidden="1">{#N/A,#N/A,FALSE,"Plan1";#N/A,#N/A,FALSE,"Plan2"}</definedName>
    <definedName name="BlackWhiteNote">#REF!</definedName>
    <definedName name="ca" localSheetId="4" hidden="1">{#N/A,"70% Success",FALSE,"Sales Forecast";#N/A,#N/A,FALSE,"Sheet2"}</definedName>
    <definedName name="ca" localSheetId="6" hidden="1">{#N/A,"70% Success",FALSE,"Sales Forecast";#N/A,#N/A,FALSE,"Sheet2"}</definedName>
    <definedName name="ca" localSheetId="0" hidden="1">{#N/A,"70% Success",FALSE,"Sales Forecast";#N/A,#N/A,FALSE,"Sheet2"}</definedName>
    <definedName name="ca" localSheetId="9" hidden="1">{#N/A,"70% Success",FALSE,"Sales Forecast";#N/A,#N/A,FALSE,"Sheet2"}</definedName>
    <definedName name="ca" localSheetId="5" hidden="1">{#N/A,"70% Success",FALSE,"Sales Forecast";#N/A,#N/A,FALSE,"Sheet2"}</definedName>
    <definedName name="ca" hidden="1">{#N/A,"70% Success",FALSE,"Sales Forecast";#N/A,#N/A,FALSE,"Sheet2"}</definedName>
    <definedName name="CAPEXI_1995">Tags_ols!$B$328</definedName>
    <definedName name="CAPEXI_1996">Tags_ols!$C$328</definedName>
    <definedName name="CAPEXI_1997">Tags_ols!$D$328</definedName>
    <definedName name="CAPEXI_1998">Tags_ols!$E$328</definedName>
    <definedName name="CAPEXI_1999">Tags_ols!$F$328</definedName>
    <definedName name="CAPEXI_1Q00" localSheetId="10">Tags!$G$328</definedName>
    <definedName name="CAPEXI_1Q00">Tags_ols!$G$328</definedName>
    <definedName name="CAPEXI_1Q01" localSheetId="10">Tags!$L$328</definedName>
    <definedName name="CAPEXI_1Q01">Tags_ols!$L$328</definedName>
    <definedName name="CAPEXI_1Q02" localSheetId="10">Tags!$Q$328</definedName>
    <definedName name="CAPEXI_1Q02">Tags_ols!$Q$328</definedName>
    <definedName name="CAPEXI_1Q03" localSheetId="10">Tags!$V$328</definedName>
    <definedName name="CAPEXI_1Q03">Tags_ols!$V$328</definedName>
    <definedName name="CAPEXI_1Q04" localSheetId="10">Tags!$AA$328</definedName>
    <definedName name="CAPEXI_1Q04">Tags_ols!$AA$328</definedName>
    <definedName name="CAPEXI_1Q05" localSheetId="10">Tags!$AF$328</definedName>
    <definedName name="CAPEXI_1Q05">Tags_ols!$AF$328</definedName>
    <definedName name="CAPEXI_1Q06" localSheetId="10">Tags!$AK$328</definedName>
    <definedName name="CAPEXI_1Q06">Tags_ols!$AK$328</definedName>
    <definedName name="CAPEXI_1Q07" localSheetId="10">Tags!$AP$328</definedName>
    <definedName name="CAPEXI_1Q07">Tags_ols!$AP$328</definedName>
    <definedName name="CAPEXI_1Q08" localSheetId="10">Tags!$AU$328</definedName>
    <definedName name="CAPEXI_1Q08">Tags_ols!$AU$328</definedName>
    <definedName name="CAPEXI_1Q09" localSheetId="10">Tags!$AZ$328</definedName>
    <definedName name="CAPEXI_1Q09">Tags_ols!$AZ$328</definedName>
    <definedName name="CAPEXI_1Q10" localSheetId="10">Tags!$BE$328</definedName>
    <definedName name="CAPEXI_1Q10">Tags_ols!$BE$328</definedName>
    <definedName name="CAPEXI_1Q11" localSheetId="10">Tags!$BJ$328</definedName>
    <definedName name="CAPEXI_1Q11">Tags_ols!$BJ$328</definedName>
    <definedName name="CAPEXI_1Q12" localSheetId="10">Tags!$BO$328</definedName>
    <definedName name="CAPEXI_1Q12">Tags_ols!$BO$328</definedName>
    <definedName name="CAPEXI_1Q13" localSheetId="10">Tags!$BT$328</definedName>
    <definedName name="CAPEXI_1Q13">Tags_ols!$BT$328</definedName>
    <definedName name="CAPEXI_1Q14" localSheetId="10">Tags!$BY$328</definedName>
    <definedName name="CAPEXI_1Q14">Tags_ols!$BY$328</definedName>
    <definedName name="CAPEXI_1Q15" localSheetId="10">Tags!$CD$328</definedName>
    <definedName name="CAPEXI_1Q15">Tags_ols!$CD$328</definedName>
    <definedName name="CAPEXI_1Q16" localSheetId="10">Tags!$CI$328</definedName>
    <definedName name="CAPEXI_1Q16">Tags_ols!$CI$328</definedName>
    <definedName name="CAPEXI_1Q17" localSheetId="10">Tags!$CN$328</definedName>
    <definedName name="CAPEXI_1Q17">Tags_ols!$CN$328</definedName>
    <definedName name="CAPEXI_1Q18" localSheetId="10">Tags!$CS$328</definedName>
    <definedName name="CAPEXI_1Q18">Tags_ols!$CS$328</definedName>
    <definedName name="CAPEXI_1Q19" localSheetId="10">Tags!$CX$328</definedName>
    <definedName name="CAPEXI_1Q19">Tags_ols!$CX$328</definedName>
    <definedName name="CAPEXI_1Q20" localSheetId="10">Tags!$DC$328</definedName>
    <definedName name="CAPEXI_1Q20">Tags_ols!$DC$328</definedName>
    <definedName name="CAPEXI_1Q21">Tags!$DH$328</definedName>
    <definedName name="CAPEXI_1Q22">Tags!$DM$328</definedName>
    <definedName name="CAPEXI_1Q23">Tags!$DR$328</definedName>
    <definedName name="CAPEXI_1Q24">Tags!$DW$328</definedName>
    <definedName name="CAPEXI_2000" localSheetId="10">Tags!$K$328</definedName>
    <definedName name="CAPEXI_2000">Tags_ols!$K$328</definedName>
    <definedName name="CAPEXI_2001" localSheetId="10">Tags!$P$328</definedName>
    <definedName name="CAPEXI_2001">Tags_ols!$P$328</definedName>
    <definedName name="CAPEXI_2002" localSheetId="10">Tags!$U$328</definedName>
    <definedName name="CAPEXI_2002">Tags_ols!$U$328</definedName>
    <definedName name="CAPEXI_2003" localSheetId="10">Tags!$Z$328</definedName>
    <definedName name="CAPEXI_2003">Tags_ols!$Z$328</definedName>
    <definedName name="CAPEXI_2004" localSheetId="10">Tags!$AE$328</definedName>
    <definedName name="CAPEXI_2004">Tags_ols!$AE$328</definedName>
    <definedName name="CAPEXI_2005" localSheetId="10">Tags!$AJ$328</definedName>
    <definedName name="CAPEXI_2005">Tags_ols!$AJ$328</definedName>
    <definedName name="CAPEXI_2006" localSheetId="10">Tags!$AO$328</definedName>
    <definedName name="CAPEXI_2006">Tags_ols!$AO$328</definedName>
    <definedName name="CAPEXI_2007" localSheetId="10">Tags!$AT$328</definedName>
    <definedName name="CAPEXI_2007">Tags_ols!$AT$328</definedName>
    <definedName name="CAPEXI_2008" localSheetId="10">Tags!$AY$328</definedName>
    <definedName name="CAPEXI_2008">Tags_ols!$AY$328</definedName>
    <definedName name="CAPEXI_2009" localSheetId="10">Tags!$BD$328</definedName>
    <definedName name="CAPEXI_2009">Tags_ols!$BD$328</definedName>
    <definedName name="CAPEXI_2010" localSheetId="10">Tags!$BI$328</definedName>
    <definedName name="CAPEXI_2010">Tags_ols!$BI$328</definedName>
    <definedName name="CAPEXI_2011" localSheetId="10">Tags!$BN$328</definedName>
    <definedName name="CAPEXI_2011">Tags_ols!$BN$328</definedName>
    <definedName name="CAPEXI_2012" localSheetId="10">Tags!$BS$328</definedName>
    <definedName name="CAPEXI_2012">Tags_ols!$BS$328</definedName>
    <definedName name="CAPEXI_2013" localSheetId="10">Tags!$BX$328</definedName>
    <definedName name="CAPEXI_2013">Tags_ols!$BX$328</definedName>
    <definedName name="CAPEXI_2014" localSheetId="10">Tags!$CC$328</definedName>
    <definedName name="CAPEXI_2014">Tags_ols!$CC$328</definedName>
    <definedName name="CAPEXI_2015" localSheetId="10">Tags!#REF!</definedName>
    <definedName name="CAPEXI_2015">Tags!$CH$328</definedName>
    <definedName name="CAPEXI_2016" localSheetId="10">Tags!$CM$328</definedName>
    <definedName name="CAPEXI_2016">Tags_ols!$CM$328</definedName>
    <definedName name="CAPEXI_2017" localSheetId="10">Tags!$CR$328</definedName>
    <definedName name="CAPEXI_2017">Tags_ols!$CR$328</definedName>
    <definedName name="CAPEXI_2018" localSheetId="10">Tags!$CW$328</definedName>
    <definedName name="CAPEXI_2018">Tags_ols!$CW$328</definedName>
    <definedName name="CAPEXI_2019" localSheetId="10">Tags!$DB$328</definedName>
    <definedName name="CAPEXI_2019">Tags_ols!$DB$328</definedName>
    <definedName name="CAPEXI_2020" localSheetId="10">Tags!$DG$328</definedName>
    <definedName name="CAPEXI_2020">Tags_ols!$DG$328</definedName>
    <definedName name="CAPEXI_2021">Tags!$DL$328</definedName>
    <definedName name="CAPEXI_2022">Tags!$DQ$328</definedName>
    <definedName name="CAPEXI_2023">Tags!$DV$328</definedName>
    <definedName name="CAPEXI_2024">Tags!$EA$328</definedName>
    <definedName name="CAPEXI_2Q00" localSheetId="10">Tags!$H$328</definedName>
    <definedName name="CAPEXI_2Q00">Tags_ols!$H$328</definedName>
    <definedName name="CAPEXI_2Q01" localSheetId="10">Tags!$M$328</definedName>
    <definedName name="CAPEXI_2Q01">Tags_ols!$M$328</definedName>
    <definedName name="CAPEXI_2Q02" localSheetId="10">Tags!$R$328</definedName>
    <definedName name="CAPEXI_2Q02">Tags_ols!$R$328</definedName>
    <definedName name="CAPEXI_2Q03" localSheetId="10">Tags!$W$328</definedName>
    <definedName name="CAPEXI_2Q03">Tags_ols!$W$328</definedName>
    <definedName name="CAPEXI_2Q04" localSheetId="10">Tags!$AB$328</definedName>
    <definedName name="CAPEXI_2Q04">Tags_ols!$AB$328</definedName>
    <definedName name="CAPEXI_2Q05" localSheetId="10">Tags!$AG$328</definedName>
    <definedName name="CAPEXI_2Q05">Tags_ols!$AG$328</definedName>
    <definedName name="CAPEXI_2Q06" localSheetId="10">Tags!$AL$328</definedName>
    <definedName name="CAPEXI_2Q06">Tags_ols!$AL$328</definedName>
    <definedName name="CAPEXI_2Q07" localSheetId="10">Tags!$AQ$328</definedName>
    <definedName name="CAPEXI_2Q07">Tags_ols!$AQ$328</definedName>
    <definedName name="CAPEXI_2Q08" localSheetId="10">Tags!$AV$328</definedName>
    <definedName name="CAPEXI_2Q08">Tags_ols!$AV$328</definedName>
    <definedName name="CAPEXI_2Q09" localSheetId="10">Tags!$BA$328</definedName>
    <definedName name="CAPEXI_2Q09">Tags_ols!$BA$328</definedName>
    <definedName name="CAPEXI_2Q10" localSheetId="10">Tags!$BF$328</definedName>
    <definedName name="CAPEXI_2Q10">Tags_ols!$BF$328</definedName>
    <definedName name="CAPEXI_2Q11" localSheetId="10">Tags!$BK$328</definedName>
    <definedName name="CAPEXI_2Q11">Tags_ols!$BK$328</definedName>
    <definedName name="CAPEXI_2Q12" localSheetId="10">Tags!$BP$328</definedName>
    <definedName name="CAPEXI_2Q12">Tags_ols!$BP$328</definedName>
    <definedName name="CAPEXI_2Q13" localSheetId="10">Tags!$BU$328</definedName>
    <definedName name="CAPEXI_2Q13">Tags_ols!$BU$328</definedName>
    <definedName name="CAPEXI_2Q14" localSheetId="10">Tags!$BZ$328</definedName>
    <definedName name="CAPEXI_2Q14">Tags_ols!$BZ$328</definedName>
    <definedName name="CAPEXI_2Q15" localSheetId="10">Tags!$CE$328</definedName>
    <definedName name="CAPEXI_2Q15">Tags_ols!$CE$328</definedName>
    <definedName name="CAPEXI_2Q16" localSheetId="10">Tags!$CJ$328</definedName>
    <definedName name="CAPEXI_2Q16">Tags_ols!$CJ$328</definedName>
    <definedName name="CAPEXI_2Q17" localSheetId="10">Tags!$CO$328</definedName>
    <definedName name="CAPEXI_2Q17">Tags_ols!$CO$328</definedName>
    <definedName name="CAPEXI_2Q18" localSheetId="10">Tags!$CT$328</definedName>
    <definedName name="CAPEXI_2Q18">Tags_ols!$CT$328</definedName>
    <definedName name="CAPEXI_2Q19" localSheetId="10">Tags!$CY$328</definedName>
    <definedName name="CAPEXI_2Q19">Tags_ols!$CY$328</definedName>
    <definedName name="CAPEXI_2Q20" localSheetId="10">Tags!$DD$328</definedName>
    <definedName name="CAPEXI_2Q20">Tags_ols!$DD$328</definedName>
    <definedName name="CAPEXI_2Q21">Tags!$DI$328</definedName>
    <definedName name="CAPEXI_2Q22">Tags!$DN$328</definedName>
    <definedName name="CAPEXI_2Q23">Tags!$DS$328</definedName>
    <definedName name="CAPEXI_2Q24">Tags!$DX$328</definedName>
    <definedName name="CAPEXI_3Q00" localSheetId="10">Tags!$I$328</definedName>
    <definedName name="CAPEXI_3Q00">Tags_ols!$I$328</definedName>
    <definedName name="CAPEXI_3Q01" localSheetId="10">Tags!$N$328</definedName>
    <definedName name="CAPEXI_3Q01">Tags_ols!$N$328</definedName>
    <definedName name="CAPEXI_3Q02" localSheetId="10">Tags!$S$328</definedName>
    <definedName name="CAPEXI_3Q02">Tags_ols!$S$328</definedName>
    <definedName name="CAPEXI_3Q03" localSheetId="10">Tags!$X$328</definedName>
    <definedName name="CAPEXI_3Q03">Tags_ols!$X$328</definedName>
    <definedName name="CAPEXI_3Q04" localSheetId="10">Tags!$AC$328</definedName>
    <definedName name="CAPEXI_3Q04">Tags_ols!$AC$328</definedName>
    <definedName name="CAPEXI_3Q05" localSheetId="10">Tags!$AH$328</definedName>
    <definedName name="CAPEXI_3Q05">Tags_ols!$AH$328</definedName>
    <definedName name="CAPEXI_3Q06" localSheetId="10">Tags!$AM$328</definedName>
    <definedName name="CAPEXI_3Q06">Tags_ols!$AM$328</definedName>
    <definedName name="CAPEXI_3Q07" localSheetId="10">Tags!$AR$328</definedName>
    <definedName name="CAPEXI_3Q07">Tags_ols!$AR$328</definedName>
    <definedName name="CAPEXI_3Q08" localSheetId="10">Tags!$AW$328</definedName>
    <definedName name="CAPEXI_3Q08">Tags_ols!$AW$328</definedName>
    <definedName name="CAPEXI_3Q09" localSheetId="10">Tags!$BB$328</definedName>
    <definedName name="CAPEXI_3Q09">Tags_ols!$BB$328</definedName>
    <definedName name="CAPEXI_3Q10" localSheetId="10">Tags!$BG$328</definedName>
    <definedName name="CAPEXI_3Q10">Tags_ols!$BG$328</definedName>
    <definedName name="CAPEXI_3Q11" localSheetId="10">Tags!$BL$328</definedName>
    <definedName name="CAPEXI_3Q11">Tags_ols!$BL$328</definedName>
    <definedName name="CAPEXI_3Q12" localSheetId="10">Tags!$BQ$328</definedName>
    <definedName name="CAPEXI_3Q12">Tags_ols!$BQ$328</definedName>
    <definedName name="CAPEXI_3Q13" localSheetId="10">Tags!$BV$328</definedName>
    <definedName name="CAPEXI_3Q13">Tags_ols!$BV$328</definedName>
    <definedName name="CAPEXI_3Q14" localSheetId="10">Tags!$CA$328</definedName>
    <definedName name="CAPEXI_3Q14">Tags_ols!$CA$328</definedName>
    <definedName name="CAPEXI_3Q15" localSheetId="10">Tags!$CF$328</definedName>
    <definedName name="CAPEXI_3Q15">Tags_ols!$CF$328</definedName>
    <definedName name="CAPEXI_3Q16" localSheetId="10">Tags!$CK$328</definedName>
    <definedName name="CAPEXI_3Q16">Tags_ols!$CK$328</definedName>
    <definedName name="CAPEXI_3Q17" localSheetId="10">Tags!$CP$328</definedName>
    <definedName name="CAPEXI_3Q17">Tags_ols!$CP$328</definedName>
    <definedName name="CAPEXI_3Q18" localSheetId="10">Tags!$CU$328</definedName>
    <definedName name="CAPEXI_3Q18">Tags_ols!$CU$328</definedName>
    <definedName name="CAPEXI_3Q19" localSheetId="10">Tags!$CZ$328</definedName>
    <definedName name="CAPEXI_3Q19">Tags_ols!$CZ$328</definedName>
    <definedName name="CAPEXI_3Q20" localSheetId="10">Tags!$DE$328</definedName>
    <definedName name="CAPEXI_3Q20">Tags_ols!$DE$328</definedName>
    <definedName name="CAPEXI_3Q21">Tags!$DJ$328</definedName>
    <definedName name="CAPEXI_3Q22">Tags!$DO$328</definedName>
    <definedName name="CAPEXI_3Q23">Tags!$DT$328</definedName>
    <definedName name="CAPEXI_3Q24">Tags!$DY$328</definedName>
    <definedName name="CAPEXI_4Q00" localSheetId="10">Tags!$J$328</definedName>
    <definedName name="CAPEXI_4Q00">Tags_ols!$J$328</definedName>
    <definedName name="CAPEXI_4Q01" localSheetId="10">Tags!$O$328</definedName>
    <definedName name="CAPEXI_4Q01">Tags_ols!$O$328</definedName>
    <definedName name="CAPEXI_4Q02" localSheetId="10">Tags!$T$328</definedName>
    <definedName name="CAPEXI_4Q02">Tags_ols!$T$328</definedName>
    <definedName name="CAPEXI_4Q03" localSheetId="10">Tags!$Y$328</definedName>
    <definedName name="CAPEXI_4Q03">Tags_ols!$Y$328</definedName>
    <definedName name="CAPEXI_4Q04" localSheetId="10">Tags!$AD$328</definedName>
    <definedName name="CAPEXI_4Q04">Tags_ols!$AD$328</definedName>
    <definedName name="CAPEXI_4Q05" localSheetId="10">Tags!$AI$328</definedName>
    <definedName name="CAPEXI_4Q05">Tags_ols!$AI$328</definedName>
    <definedName name="CAPEXI_4Q06" localSheetId="10">Tags!$AN$328</definedName>
    <definedName name="CAPEXI_4Q06">Tags_ols!$AN$328</definedName>
    <definedName name="CAPEXI_4Q07" localSheetId="10">Tags!$AS$328</definedName>
    <definedName name="CAPEXI_4Q07">Tags_ols!$AS$328</definedName>
    <definedName name="CAPEXI_4Q08" localSheetId="10">Tags!$AX$328</definedName>
    <definedName name="CAPEXI_4Q08">Tags_ols!$AX$328</definedName>
    <definedName name="CAPEXI_4Q09" localSheetId="10">Tags!$BC$328</definedName>
    <definedName name="CAPEXI_4Q09">Tags_ols!$BC$328</definedName>
    <definedName name="CAPEXI_4Q10" localSheetId="10">Tags!$BH$328</definedName>
    <definedName name="CAPEXI_4Q10">Tags_ols!$BH$328</definedName>
    <definedName name="CAPEXI_4Q11" localSheetId="10">Tags!$BM$328</definedName>
    <definedName name="CAPEXI_4Q11">Tags_ols!$BM$328</definedName>
    <definedName name="CAPEXI_4Q12" localSheetId="10">Tags!$BR$328</definedName>
    <definedName name="CAPEXI_4Q12">Tags_ols!$BR$328</definedName>
    <definedName name="CAPEXI_4Q13" localSheetId="10">Tags!$BW$328</definedName>
    <definedName name="CAPEXI_4Q13">Tags_ols!$BW$328</definedName>
    <definedName name="CAPEXI_4Q14" localSheetId="10">Tags!$CB$328</definedName>
    <definedName name="CAPEXI_4Q14">Tags_ols!$CB$328</definedName>
    <definedName name="CAPEXI_4Q15" localSheetId="10">Tags!$CG$328</definedName>
    <definedName name="CAPEXI_4Q15">Tags_ols!$CG$328</definedName>
    <definedName name="CAPEXI_4Q16" localSheetId="10">Tags!$CL$328</definedName>
    <definedName name="CAPEXI_4Q16">Tags_ols!$CL$328</definedName>
    <definedName name="CAPEXI_4Q17" localSheetId="10">Tags!$CQ$328</definedName>
    <definedName name="CAPEXI_4Q17">Tags_ols!$CQ$328</definedName>
    <definedName name="CAPEXI_4Q18" localSheetId="10">Tags!$CV$328</definedName>
    <definedName name="CAPEXI_4Q18">Tags_ols!$CV$328</definedName>
    <definedName name="CAPEXI_4Q19" localSheetId="10">Tags!$DA$328</definedName>
    <definedName name="CAPEXI_4Q19">Tags_ols!$DA$328</definedName>
    <definedName name="CAPEXI_4Q20" localSheetId="10">Tags!$DF$328</definedName>
    <definedName name="CAPEXI_4Q20">Tags_ols!$DF$328</definedName>
    <definedName name="CAPEXI_4Q21">Tags!$DK$328</definedName>
    <definedName name="CAPEXI_4Q22">Tags!$DP$328</definedName>
    <definedName name="CAPEXI_4Q23">Tags!$DU$328</definedName>
    <definedName name="CAPEXI_4Q24">Tags!$DZ$328</definedName>
    <definedName name="CAPEXT_1995">Tags_ols!$B$327</definedName>
    <definedName name="CAPEXT_1996">Tags_ols!$C$327</definedName>
    <definedName name="CAPEXT_1997">Tags_ols!$D$327</definedName>
    <definedName name="CAPEXT_1998">Tags_ols!$E$327</definedName>
    <definedName name="CAPEXT_1999">Tags_ols!$F$327</definedName>
    <definedName name="CAPEXT_1Q00" localSheetId="10">Tags!$G$327</definedName>
    <definedName name="CAPEXT_1Q00">Tags_ols!$G$327</definedName>
    <definedName name="CAPEXT_1Q01" localSheetId="10">Tags!$L$327</definedName>
    <definedName name="CAPEXT_1Q01">Tags_ols!$L$327</definedName>
    <definedName name="CAPEXT_1Q02" localSheetId="10">Tags!$Q$327</definedName>
    <definedName name="CAPEXT_1Q02">Tags_ols!$Q$327</definedName>
    <definedName name="CAPEXT_1Q03" localSheetId="10">Tags!$V$327</definedName>
    <definedName name="CAPEXT_1Q03">Tags_ols!$V$327</definedName>
    <definedName name="CAPEXT_1Q04" localSheetId="10">Tags!$AA$327</definedName>
    <definedName name="CAPEXT_1Q04">Tags_ols!$AA$327</definedName>
    <definedName name="CAPEXT_1Q05" localSheetId="10">Tags!$AF$327</definedName>
    <definedName name="CAPEXT_1Q05">Tags_ols!$AF$327</definedName>
    <definedName name="CAPEXT_1Q06" localSheetId="10">Tags!$AK$327</definedName>
    <definedName name="CAPEXT_1Q06" localSheetId="5">#REF!</definedName>
    <definedName name="CAPEXT_1Q06">Tags_ols!$AK$327</definedName>
    <definedName name="CAPEXT_1Q07" localSheetId="10">Tags!$AP$327</definedName>
    <definedName name="CAPEXT_1Q07">Tags_ols!$AP$327</definedName>
    <definedName name="CAPEXT_1Q08" localSheetId="10">Tags!$AU$327</definedName>
    <definedName name="CAPEXT_1Q08">Tags_ols!$AU$327</definedName>
    <definedName name="CAPEXT_1Q09" localSheetId="10">Tags!$AZ$327</definedName>
    <definedName name="CAPEXT_1Q09">Tags_ols!$AZ$327</definedName>
    <definedName name="CAPEXT_1Q10" localSheetId="10">Tags!$BE$327</definedName>
    <definedName name="CAPEXT_1Q10">Tags_ols!$BE$327</definedName>
    <definedName name="CAPEXT_1Q11" localSheetId="10">Tags!$BJ$327</definedName>
    <definedName name="CAPEXT_1Q11">Tags_ols!$BJ$327</definedName>
    <definedName name="CAPEXT_1Q12" localSheetId="10">Tags!$BO$327</definedName>
    <definedName name="CAPEXT_1Q12">Tags_ols!$BO$327</definedName>
    <definedName name="CAPEXT_1Q13" localSheetId="10">Tags!$BT$327</definedName>
    <definedName name="CAPEXT_1Q13">Tags_ols!$BT$327</definedName>
    <definedName name="CAPEXT_1Q14" localSheetId="10">Tags!$BY$327</definedName>
    <definedName name="CAPEXT_1Q14">Tags_ols!$BY$327</definedName>
    <definedName name="CAPEXT_1Q15" localSheetId="10">Tags!$CD$327</definedName>
    <definedName name="CAPEXT_1Q15">Tags_ols!$CD$327</definedName>
    <definedName name="CAPEXT_1Q16" localSheetId="10">Tags!$CI$327</definedName>
    <definedName name="CAPEXT_1Q16">Tags_ols!$CI$327</definedName>
    <definedName name="CAPEXT_1Q17" localSheetId="10">Tags!$CN$327</definedName>
    <definedName name="CAPEXT_1Q17">Tags_ols!$CN$327</definedName>
    <definedName name="CAPEXT_1Q18" localSheetId="10">Tags!$CS$327</definedName>
    <definedName name="CAPEXT_1Q18">Tags_ols!$CS$327</definedName>
    <definedName name="CAPEXT_1Q19" localSheetId="10">Tags!$CX$327</definedName>
    <definedName name="CAPEXT_1Q19">Tags_ols!$CX$327</definedName>
    <definedName name="CAPEXT_1Q20" localSheetId="10">Tags!$DC$327</definedName>
    <definedName name="CAPEXT_1Q20">Tags_ols!$DC$327</definedName>
    <definedName name="CAPEXT_1Q21">Tags!$DH$327</definedName>
    <definedName name="CAPEXT_1Q22">Tags!$DM$327</definedName>
    <definedName name="CAPEXT_1Q23">Tags!$DR$327</definedName>
    <definedName name="CAPEXT_1Q24">Tags!$DW$327</definedName>
    <definedName name="CAPEXT_2000" localSheetId="10">Tags!$K$327</definedName>
    <definedName name="CAPEXT_2000">Tags_ols!$K$327</definedName>
    <definedName name="CAPEXT_2001" localSheetId="10">Tags!$P$327</definedName>
    <definedName name="CAPEXT_2001">Tags_ols!$P$327</definedName>
    <definedName name="CAPEXT_2002" localSheetId="10">Tags!$U$327</definedName>
    <definedName name="CAPEXT_2002">Tags_ols!$U$327</definedName>
    <definedName name="CAPEXT_2003" localSheetId="10">Tags!$Z$327</definedName>
    <definedName name="CAPEXT_2003">Tags_ols!$Z$327</definedName>
    <definedName name="CAPEXT_2004" localSheetId="10">Tags!$AE$327</definedName>
    <definedName name="CAPEXT_2004" localSheetId="5">#REF!</definedName>
    <definedName name="CAPEXT_2004">Tags_ols!$AE$327</definedName>
    <definedName name="CAPEXT_2005" localSheetId="10">Tags!$AJ$327</definedName>
    <definedName name="CAPEXT_2005" localSheetId="5">#REF!</definedName>
    <definedName name="CAPEXT_2005">Tags_ols!$AJ$327</definedName>
    <definedName name="CAPEXT_2006" localSheetId="10">Tags!$AO$327</definedName>
    <definedName name="CAPEXT_2006">Tags_ols!$AO$327</definedName>
    <definedName name="CAPEXT_2007" localSheetId="10">Tags!$AT$327</definedName>
    <definedName name="CAPEXT_2007">Tags_ols!$AT$327</definedName>
    <definedName name="CAPEXT_2008" localSheetId="10">Tags!$AY$327</definedName>
    <definedName name="CAPEXT_2008">Tags_ols!$AY$327</definedName>
    <definedName name="CAPEXT_2009" localSheetId="10">Tags!$BD$327</definedName>
    <definedName name="CAPEXT_2009">Tags_ols!$BD$327</definedName>
    <definedName name="CAPEXT_2010" localSheetId="10">Tags!$BI$327</definedName>
    <definedName name="CAPEXT_2010">Tags_ols!$BI$327</definedName>
    <definedName name="CAPEXT_2011" localSheetId="10">Tags!$BN$327</definedName>
    <definedName name="CAPEXT_2011">Tags_ols!$BN$327</definedName>
    <definedName name="CAPEXT_2012" localSheetId="10">Tags!$BS$327</definedName>
    <definedName name="CAPEXT_2012">Tags_ols!$BS$327</definedName>
    <definedName name="CAPEXT_2013" localSheetId="10">Tags!$BX$327</definedName>
    <definedName name="CAPEXT_2013">Tags_ols!$BX$327</definedName>
    <definedName name="CAPEXT_2014" localSheetId="10">Tags!$CC$327</definedName>
    <definedName name="CAPEXT_2014">Tags_ols!$CC$327</definedName>
    <definedName name="CAPEXT_2015" localSheetId="10">Tags!#REF!</definedName>
    <definedName name="CAPEXT_2015">Tags!$CH$327</definedName>
    <definedName name="CAPEXT_2016" localSheetId="10">Tags!$CM$327</definedName>
    <definedName name="CAPEXT_2016">Tags_ols!$CM$327</definedName>
    <definedName name="CAPEXT_2017" localSheetId="10">Tags!$CR$327</definedName>
    <definedName name="CAPEXT_2017">Tags_ols!$CR$327</definedName>
    <definedName name="CAPEXT_2018" localSheetId="10">Tags!$CW$327</definedName>
    <definedName name="CAPEXT_2018">Tags_ols!$CW$327</definedName>
    <definedName name="CAPEXT_2019" localSheetId="10">Tags!$DB$327</definedName>
    <definedName name="CAPEXT_2019">Tags_ols!$DB$327</definedName>
    <definedName name="CAPEXT_2020" localSheetId="10">Tags!$DG$327</definedName>
    <definedName name="CAPEXT_2020">Tags_ols!$DG$327</definedName>
    <definedName name="CAPEXT_2021">Tags!$DL$327</definedName>
    <definedName name="CAPEXT_2022">Tags!$DQ$327</definedName>
    <definedName name="CAPEXT_2023">Tags!$DV$327</definedName>
    <definedName name="CAPEXT_2024">Tags!$EA$327</definedName>
    <definedName name="CAPEXT_2Q00" localSheetId="10">Tags!$H$327</definedName>
    <definedName name="CAPEXT_2Q00">Tags_ols!$H$327</definedName>
    <definedName name="CAPEXT_2Q01" localSheetId="10">Tags!$M$327</definedName>
    <definedName name="CAPEXT_2Q01">Tags_ols!$M$327</definedName>
    <definedName name="CAPEXT_2Q02" localSheetId="10">Tags!$R$327</definedName>
    <definedName name="CAPEXT_2Q02">Tags_ols!$R$327</definedName>
    <definedName name="CAPEXT_2Q03" localSheetId="10">Tags!$W$327</definedName>
    <definedName name="CAPEXT_2Q03">Tags_ols!$W$327</definedName>
    <definedName name="CAPEXT_2Q04" localSheetId="10">Tags!$AB$327</definedName>
    <definedName name="CAPEXT_2Q04">Tags_ols!$AB$327</definedName>
    <definedName name="CAPEXT_2Q05" localSheetId="10">Tags!$AG$327</definedName>
    <definedName name="CAPEXT_2Q05">Tags_ols!$AG$327</definedName>
    <definedName name="CAPEXT_2Q06" localSheetId="10">Tags!$AL$327</definedName>
    <definedName name="CAPEXT_2Q06" localSheetId="5">#REF!</definedName>
    <definedName name="CAPEXT_2Q06">Tags_ols!$AL$327</definedName>
    <definedName name="CAPEXT_2Q07" localSheetId="10">Tags!$AQ$327</definedName>
    <definedName name="CAPEXT_2Q07">Tags_ols!$AQ$327</definedName>
    <definedName name="CAPEXT_2Q08" localSheetId="10">Tags!$AV$327</definedName>
    <definedName name="CAPEXT_2Q08">Tags_ols!$AV$327</definedName>
    <definedName name="CAPEXT_2Q09" localSheetId="10">Tags!$BA$327</definedName>
    <definedName name="CAPEXT_2Q09">Tags_ols!$BA$327</definedName>
    <definedName name="CAPEXT_2Q10" localSheetId="10">Tags!$BF$327</definedName>
    <definedName name="CAPEXT_2Q10">Tags_ols!$BF$327</definedName>
    <definedName name="CAPEXT_2Q11" localSheetId="10">Tags!$BK$327</definedName>
    <definedName name="CAPEXT_2Q11">Tags_ols!$BK$327</definedName>
    <definedName name="CAPEXT_2Q12" localSheetId="10">Tags!$BP$327</definedName>
    <definedName name="CAPEXT_2Q12">Tags_ols!$BP$327</definedName>
    <definedName name="CAPEXT_2Q13" localSheetId="10">Tags!$BU$327</definedName>
    <definedName name="CAPEXT_2Q13">Tags_ols!$BU$327</definedName>
    <definedName name="CAPEXT_2Q14" localSheetId="10">Tags!$BZ$327</definedName>
    <definedName name="CAPEXT_2Q14">Tags_ols!$BZ$327</definedName>
    <definedName name="CAPEXT_2Q15" localSheetId="10">Tags!$CE$327</definedName>
    <definedName name="CAPEXT_2Q15">Tags_ols!$CE$327</definedName>
    <definedName name="CAPEXT_2Q16" localSheetId="10">Tags!$CJ$327</definedName>
    <definedName name="CAPEXT_2Q16">Tags_ols!$CJ$327</definedName>
    <definedName name="CAPEXT_2Q17" localSheetId="10">Tags!$CO$327</definedName>
    <definedName name="CAPEXT_2Q17">Tags_ols!$CO$327</definedName>
    <definedName name="CAPEXT_2Q18" localSheetId="10">Tags!$CT$327</definedName>
    <definedName name="CAPEXT_2Q18">Tags_ols!$CT$327</definedName>
    <definedName name="CAPEXT_2Q19" localSheetId="10">Tags!$CY$327</definedName>
    <definedName name="CAPEXT_2Q19">Tags_ols!$CY$327</definedName>
    <definedName name="CAPEXT_2Q20" localSheetId="10">Tags!$DD$327</definedName>
    <definedName name="CAPEXT_2Q20">Tags_ols!$DD$327</definedName>
    <definedName name="CAPEXT_2Q21">Tags!$DI$327</definedName>
    <definedName name="CAPEXT_2Q22">Tags!$DN$327</definedName>
    <definedName name="CAPEXT_2Q23">Tags!$DS$327</definedName>
    <definedName name="CAPEXT_2Q24">Tags!$DX$327</definedName>
    <definedName name="CAPEXT_3Q00" localSheetId="10">Tags!$I$327</definedName>
    <definedName name="CAPEXT_3Q00">Tags_ols!$I$327</definedName>
    <definedName name="CAPEXT_3Q01" localSheetId="10">Tags!$N$327</definedName>
    <definedName name="CAPEXT_3Q01">Tags_ols!$N$327</definedName>
    <definedName name="CAPEXT_3Q02" localSheetId="10">Tags!$S$327</definedName>
    <definedName name="CAPEXT_3Q02">Tags_ols!$S$327</definedName>
    <definedName name="CAPEXT_3Q03" localSheetId="10">Tags!$X$327</definedName>
    <definedName name="CAPEXT_3Q03">Tags_ols!$X$327</definedName>
    <definedName name="CAPEXT_3Q04" localSheetId="10">Tags!$AC$327</definedName>
    <definedName name="CAPEXT_3Q04">Tags_ols!$AC$327</definedName>
    <definedName name="CAPEXT_3Q05" localSheetId="10">Tags!$AH$327</definedName>
    <definedName name="CAPEXT_3Q05">Tags_ols!$AH$327</definedName>
    <definedName name="CAPEXT_3Q06" localSheetId="10">Tags!$AM$327</definedName>
    <definedName name="CAPEXT_3Q06" localSheetId="5">#REF!</definedName>
    <definedName name="CAPEXT_3Q06">Tags_ols!$AM$327</definedName>
    <definedName name="CAPEXT_3Q07" localSheetId="10">Tags!$AR$327</definedName>
    <definedName name="CAPEXT_3Q07">Tags_ols!$AR$327</definedName>
    <definedName name="CAPEXT_3Q08" localSheetId="10">Tags!$AW$327</definedName>
    <definedName name="CAPEXT_3Q08">Tags_ols!$AW$327</definedName>
    <definedName name="CAPEXT_3Q09" localSheetId="10">Tags!$BB$327</definedName>
    <definedName name="CAPEXT_3Q09">Tags_ols!$BB$327</definedName>
    <definedName name="CAPEXT_3Q10" localSheetId="10">Tags!$BG$327</definedName>
    <definedName name="CAPEXT_3Q10">Tags_ols!$BG$327</definedName>
    <definedName name="CAPEXT_3Q11" localSheetId="10">Tags!$BL$327</definedName>
    <definedName name="CAPEXT_3Q11">Tags_ols!$BL$327</definedName>
    <definedName name="CAPEXT_3Q12" localSheetId="10">Tags!$BQ$327</definedName>
    <definedName name="CAPEXT_3Q12">Tags_ols!$BQ$327</definedName>
    <definedName name="CAPEXT_3Q13" localSheetId="10">Tags!$BV$327</definedName>
    <definedName name="CAPEXT_3Q13">Tags_ols!$BV$327</definedName>
    <definedName name="CAPEXT_3Q14" localSheetId="10">Tags!$CA$327</definedName>
    <definedName name="CAPEXT_3Q14">Tags_ols!$CA$327</definedName>
    <definedName name="CAPEXT_3Q15" localSheetId="10">Tags!$CF$327</definedName>
    <definedName name="CAPEXT_3Q15">Tags_ols!$CF$327</definedName>
    <definedName name="CAPEXT_3Q16" localSheetId="10">Tags!$CK$327</definedName>
    <definedName name="CAPEXT_3Q16">Tags_ols!$CK$327</definedName>
    <definedName name="CAPEXT_3Q17" localSheetId="10">Tags!$CP$327</definedName>
    <definedName name="CAPEXT_3Q17">Tags_ols!$CP$327</definedName>
    <definedName name="CAPEXT_3Q18" localSheetId="10">Tags!$CU$327</definedName>
    <definedName name="CAPEXT_3Q18">Tags_ols!$CU$327</definedName>
    <definedName name="CAPEXT_3Q19" localSheetId="10">Tags!$CZ$327</definedName>
    <definedName name="CAPEXT_3Q19">Tags_ols!$CZ$327</definedName>
    <definedName name="CAPEXT_3Q20" localSheetId="10">Tags!$DE$327</definedName>
    <definedName name="CAPEXT_3Q20">Tags_ols!$DE$327</definedName>
    <definedName name="CAPEXT_3Q21">Tags!$DJ$327</definedName>
    <definedName name="CAPEXT_3Q22">Tags!$DO$327</definedName>
    <definedName name="CAPEXT_3Q23">Tags!$DT$327</definedName>
    <definedName name="CAPEXT_3Q24">Tags!$DY$327</definedName>
    <definedName name="CAPEXT_4Q00" localSheetId="10">Tags!$J$327</definedName>
    <definedName name="CAPEXT_4Q00">Tags_ols!$J$327</definedName>
    <definedName name="CAPEXT_4Q01" localSheetId="10">Tags!$O$327</definedName>
    <definedName name="CAPEXT_4Q01">Tags_ols!$O$327</definedName>
    <definedName name="CAPEXT_4Q02" localSheetId="10">Tags!$T$327</definedName>
    <definedName name="CAPEXT_4Q02">Tags_ols!$T$327</definedName>
    <definedName name="CAPEXT_4Q03" localSheetId="10">Tags!$Y$327</definedName>
    <definedName name="CAPEXT_4Q03">Tags_ols!$Y$327</definedName>
    <definedName name="CAPEXT_4Q04" localSheetId="10">Tags!$AD$327</definedName>
    <definedName name="CAPEXT_4Q04">Tags_ols!$AD$327</definedName>
    <definedName name="CAPEXT_4Q05" localSheetId="10">Tags!$AI$327</definedName>
    <definedName name="CAPEXT_4Q05">Tags_ols!$AI$327</definedName>
    <definedName name="CAPEXT_4Q06" localSheetId="10">Tags!$AN$327</definedName>
    <definedName name="CAPEXT_4Q06" localSheetId="5">#REF!</definedName>
    <definedName name="CAPEXT_4Q06">Tags_ols!$AN$327</definedName>
    <definedName name="CAPEXT_4Q07" localSheetId="10">Tags!$AS$327</definedName>
    <definedName name="CAPEXT_4Q07">Tags_ols!$AS$327</definedName>
    <definedName name="CAPEXT_4Q08" localSheetId="10">Tags!$AX$327</definedName>
    <definedName name="CAPEXT_4Q08">Tags_ols!$AX$327</definedName>
    <definedName name="CAPEXT_4Q09" localSheetId="10">Tags!$BC$327</definedName>
    <definedName name="CAPEXT_4Q09">Tags_ols!$BC$327</definedName>
    <definedName name="CAPEXT_4Q10" localSheetId="10">Tags!$BH$327</definedName>
    <definedName name="CAPEXT_4Q10">Tags_ols!$BH$327</definedName>
    <definedName name="CAPEXT_4Q11" localSheetId="10">Tags!$BM$327</definedName>
    <definedName name="CAPEXT_4Q11">Tags_ols!$BM$327</definedName>
    <definedName name="CAPEXT_4Q12" localSheetId="10">Tags!$BR$327</definedName>
    <definedName name="CAPEXT_4Q12">Tags_ols!$BR$327</definedName>
    <definedName name="CAPEXT_4Q13" localSheetId="10">Tags!$BW$327</definedName>
    <definedName name="CAPEXT_4Q13">Tags_ols!$BW$327</definedName>
    <definedName name="CAPEXT_4Q14" localSheetId="10">Tags!$CB$327</definedName>
    <definedName name="CAPEXT_4Q14">Tags_ols!$CB$327</definedName>
    <definedName name="CAPEXT_4Q15" localSheetId="10">Tags!$CG$327</definedName>
    <definedName name="CAPEXT_4Q15">Tags_ols!$CG$327</definedName>
    <definedName name="CAPEXT_4Q16" localSheetId="10">Tags!$CL$327</definedName>
    <definedName name="CAPEXT_4Q16">Tags_ols!$CL$327</definedName>
    <definedName name="CAPEXT_4Q17" localSheetId="10">Tags!$CQ$327</definedName>
    <definedName name="CAPEXT_4Q17">Tags_ols!$CQ$327</definedName>
    <definedName name="CAPEXT_4Q18" localSheetId="10">Tags!$CV$327</definedName>
    <definedName name="CAPEXT_4Q18">Tags_ols!$CV$327</definedName>
    <definedName name="CAPEXT_4Q19" localSheetId="10">Tags!$DA$327</definedName>
    <definedName name="CAPEXT_4Q19">Tags_ols!$DA$327</definedName>
    <definedName name="CAPEXT_4Q20" localSheetId="10">Tags!$DF$327</definedName>
    <definedName name="CAPEXT_4Q20">Tags_ols!$DF$327</definedName>
    <definedName name="CAPEXT_4Q21">Tags!$DK$327</definedName>
    <definedName name="CAPEXT_4Q22">Tags!$DP$327</definedName>
    <definedName name="CAPEXT_4Q23">Tags!$DU$327</definedName>
    <definedName name="CAPEXT_4Q24">Tags!$DZ$327</definedName>
    <definedName name="CAPMES_1995">Tags_ols!$B$573</definedName>
    <definedName name="CAPMES_1996">Tags_ols!$C$573</definedName>
    <definedName name="CAPMES_1997">Tags_ols!$D$573</definedName>
    <definedName name="CAPMES_1998">Tags_ols!$E$573</definedName>
    <definedName name="CAPMES_1999">Tags_ols!$F$573</definedName>
    <definedName name="CAPMES_1Q00" localSheetId="10">Tags!$G$573</definedName>
    <definedName name="CAPMES_1Q00">Tags_ols!$G$573</definedName>
    <definedName name="CAPMES_1Q01" localSheetId="10">Tags!$L$573</definedName>
    <definedName name="CAPMES_1Q01">Tags_ols!$L$573</definedName>
    <definedName name="CAPMES_1Q02" localSheetId="10">Tags!$Q$573</definedName>
    <definedName name="CAPMES_1Q02">Tags_ols!$Q$573</definedName>
    <definedName name="CAPMES_1Q03" localSheetId="10">Tags!$V$573</definedName>
    <definedName name="CAPMES_1Q03">Tags_ols!$V$573</definedName>
    <definedName name="CAPMES_1Q04" localSheetId="10">Tags!$AA$573</definedName>
    <definedName name="CAPMES_1Q04">Tags_ols!$AA$573</definedName>
    <definedName name="CAPMES_1Q05" localSheetId="10">Tags!$AF$573</definedName>
    <definedName name="CAPMES_1Q05">Tags_ols!$AF$573</definedName>
    <definedName name="CAPMES_1Q06" localSheetId="10">Tags!$AK$573</definedName>
    <definedName name="CAPMES_1Q06">Tags_ols!$AK$573</definedName>
    <definedName name="CAPMES_1Q07" localSheetId="10">Tags!$AP$573</definedName>
    <definedName name="CAPMES_1Q07">Tags_ols!$AP$573</definedName>
    <definedName name="CAPMES_1Q08" localSheetId="10">Tags!$AU$573</definedName>
    <definedName name="CAPMES_1Q08">Tags_ols!$AU$573</definedName>
    <definedName name="CAPMES_1Q09" localSheetId="10">Tags!$AZ$573</definedName>
    <definedName name="CAPMES_1Q09">Tags_ols!$AZ$573</definedName>
    <definedName name="CAPMES_1Q10" localSheetId="10">Tags!$BE$573</definedName>
    <definedName name="CAPMES_1Q10">Tags_ols!$BE$573</definedName>
    <definedName name="CAPMES_1Q11" localSheetId="10">Tags!$BJ$573</definedName>
    <definedName name="CAPMES_1Q11">Tags_ols!$BJ$573</definedName>
    <definedName name="CAPMES_1Q12" localSheetId="10">Tags!$BO$573</definedName>
    <definedName name="CAPMES_1Q12">Tags_ols!$BO$573</definedName>
    <definedName name="CAPMES_1Q13" localSheetId="10">Tags!$BT$573</definedName>
    <definedName name="CAPMES_1Q13">Tags_ols!$BT$573</definedName>
    <definedName name="CAPMES_1Q14" localSheetId="10">Tags!$BY$573</definedName>
    <definedName name="CAPMES_1Q14">Tags_ols!$BY$573</definedName>
    <definedName name="CAPMES_1Q15" localSheetId="10">Tags!$CD$573</definedName>
    <definedName name="CAPMES_1Q15">Tags_ols!$CD$573</definedName>
    <definedName name="CAPMES_1Q16" localSheetId="10">Tags!$CI$573</definedName>
    <definedName name="CAPMES_1Q16">Tags_ols!$CI$573</definedName>
    <definedName name="CAPMES_1Q17" localSheetId="10">Tags!$CN$573</definedName>
    <definedName name="CAPMES_1Q17">Tags_ols!$CN$573</definedName>
    <definedName name="CAPMES_1Q18" localSheetId="10">Tags!$CS$573</definedName>
    <definedName name="CAPMES_1Q18">Tags_ols!$CS$573</definedName>
    <definedName name="CAPMES_1Q19" localSheetId="10">Tags!$CX$573</definedName>
    <definedName name="CAPMES_1Q19">Tags_ols!$CX$573</definedName>
    <definedName name="CAPMES_1Q20" localSheetId="10">Tags!$DC$573</definedName>
    <definedName name="CAPMES_1Q20">Tags_ols!$DC$573</definedName>
    <definedName name="CAPMES_1Q21">Tags!$DH$573</definedName>
    <definedName name="CAPMES_1Q22">Tags!$DM$573</definedName>
    <definedName name="CAPMES_1Q23">Tags!$DR$573</definedName>
    <definedName name="CAPMES_1Q24">Tags!$DW$573</definedName>
    <definedName name="CAPMES_2000" localSheetId="10">Tags!$K$573</definedName>
    <definedName name="CAPMES_2000">Tags_ols!$K$573</definedName>
    <definedName name="CAPMES_2001" localSheetId="10">Tags!$P$573</definedName>
    <definedName name="CAPMES_2001">Tags_ols!$P$573</definedName>
    <definedName name="CAPMES_2002" localSheetId="10">Tags!$U$573</definedName>
    <definedName name="CAPMES_2002">Tags_ols!$U$573</definedName>
    <definedName name="CAPMES_2003" localSheetId="10">Tags!$Z$573</definedName>
    <definedName name="CAPMES_2003">Tags_ols!$Z$573</definedName>
    <definedName name="CAPMES_2004" localSheetId="10">Tags!$AE$573</definedName>
    <definedName name="CAPMES_2004">Tags_ols!$AE$573</definedName>
    <definedName name="CAPMES_2005" localSheetId="10">Tags!$AJ$573</definedName>
    <definedName name="CAPMES_2005">Tags_ols!$AJ$573</definedName>
    <definedName name="CAPMES_2006" localSheetId="10">Tags!$AO$573</definedName>
    <definedName name="CAPMES_2006">Tags_ols!$AO$573</definedName>
    <definedName name="CAPMES_2007" localSheetId="10">Tags!$AT$573</definedName>
    <definedName name="CAPMES_2007">Tags_ols!$AT$573</definedName>
    <definedName name="CAPMES_2008" localSheetId="10">Tags!$AY$573</definedName>
    <definedName name="CAPMES_2008">Tags_ols!$AY$573</definedName>
    <definedName name="CAPMES_2009" localSheetId="10">Tags!$BD$573</definedName>
    <definedName name="CAPMES_2009">Tags_ols!$BD$573</definedName>
    <definedName name="CAPMES_2010" localSheetId="10">Tags!$BI$573</definedName>
    <definedName name="CAPMES_2010">Tags_ols!$BI$573</definedName>
    <definedName name="CAPMES_2011" localSheetId="10">Tags!$BN$573</definedName>
    <definedName name="CAPMES_2011">Tags_ols!$BN$573</definedName>
    <definedName name="CAPMES_2012" localSheetId="10">Tags!$BS$573</definedName>
    <definedName name="CAPMES_2012">Tags_ols!$BS$573</definedName>
    <definedName name="CAPMES_2013" localSheetId="10">Tags!$BX$573</definedName>
    <definedName name="CAPMES_2013">Tags_ols!$BX$573</definedName>
    <definedName name="CAPMES_2014" localSheetId="10">Tags!$CC$573</definedName>
    <definedName name="CAPMES_2014">Tags_ols!$CC$573</definedName>
    <definedName name="CAPMES_2015" localSheetId="10">Tags!#REF!</definedName>
    <definedName name="CAPMES_2015">Tags!$CH$573</definedName>
    <definedName name="CAPMES_2016" localSheetId="10">Tags!$CM$573</definedName>
    <definedName name="CAPMES_2016">Tags_ols!$CM$573</definedName>
    <definedName name="CAPMES_2017" localSheetId="10">Tags!$CR$573</definedName>
    <definedName name="CAPMES_2017">Tags_ols!$CR$573</definedName>
    <definedName name="CAPMES_2018" localSheetId="10">Tags!$CW$573</definedName>
    <definedName name="CAPMES_2018">Tags_ols!$CW$573</definedName>
    <definedName name="CAPMES_2019" localSheetId="10">Tags!$DB$573</definedName>
    <definedName name="CAPMES_2019">Tags_ols!$DB$573</definedName>
    <definedName name="CAPMES_2020" localSheetId="10">Tags!$DG$573</definedName>
    <definedName name="CAPMES_2020">Tags_ols!$DG$573</definedName>
    <definedName name="CAPMES_2021">Tags!$DL$573</definedName>
    <definedName name="CAPMES_2022">Tags!$DQ$573</definedName>
    <definedName name="CAPMES_2023">Tags!$DV$573</definedName>
    <definedName name="CAPMES_2024">Tags!$EA$573</definedName>
    <definedName name="CAPMES_2Q00" localSheetId="10">Tags!$H$573</definedName>
    <definedName name="CAPMES_2Q00">Tags_ols!$H$573</definedName>
    <definedName name="CAPMES_2Q01" localSheetId="10">Tags!$M$573</definedName>
    <definedName name="CAPMES_2Q01">Tags_ols!$M$573</definedName>
    <definedName name="CAPMES_2Q02" localSheetId="10">Tags!$R$573</definedName>
    <definedName name="CAPMES_2Q02">Tags_ols!$R$573</definedName>
    <definedName name="CAPMES_2Q03" localSheetId="10">Tags!$W$573</definedName>
    <definedName name="CAPMES_2Q03">Tags_ols!$W$573</definedName>
    <definedName name="CAPMES_2Q04" localSheetId="10">Tags!$AB$573</definedName>
    <definedName name="CAPMES_2Q04">Tags_ols!$AB$573</definedName>
    <definedName name="CAPMES_2Q05" localSheetId="10">Tags!$AG$573</definedName>
    <definedName name="CAPMES_2Q05">Tags_ols!$AG$573</definedName>
    <definedName name="CAPMES_2Q06" localSheetId="10">Tags!$AL$573</definedName>
    <definedName name="CAPMES_2Q06">Tags_ols!$AL$573</definedName>
    <definedName name="CAPMES_2Q07" localSheetId="10">Tags!$AQ$573</definedName>
    <definedName name="CAPMES_2Q07">Tags_ols!$AQ$573</definedName>
    <definedName name="CAPMES_2Q08" localSheetId="10">Tags!$AV$573</definedName>
    <definedName name="CAPMES_2Q08">Tags_ols!$AV$573</definedName>
    <definedName name="CAPMES_2Q09" localSheetId="10">Tags!$BA$573</definedName>
    <definedName name="CAPMES_2Q09">Tags_ols!$BA$573</definedName>
    <definedName name="CAPMES_2Q10" localSheetId="10">Tags!$BF$573</definedName>
    <definedName name="CAPMES_2Q10">Tags_ols!$BF$573</definedName>
    <definedName name="CAPMES_2Q11" localSheetId="10">Tags!$BK$573</definedName>
    <definedName name="CAPMES_2Q11">Tags_ols!$BK$573</definedName>
    <definedName name="CAPMES_2Q12" localSheetId="10">Tags!$BP$573</definedName>
    <definedName name="CAPMES_2Q12">Tags_ols!$BP$573</definedName>
    <definedName name="CAPMES_2Q13" localSheetId="10">Tags!$BU$573</definedName>
    <definedName name="CAPMES_2Q13">Tags_ols!$BU$573</definedName>
    <definedName name="CAPMES_2Q14" localSheetId="10">Tags!$BZ$573</definedName>
    <definedName name="CAPMES_2Q14">Tags_ols!$BZ$573</definedName>
    <definedName name="CAPMES_2Q15" localSheetId="10">Tags!$CE$573</definedName>
    <definedName name="CAPMES_2Q15">Tags_ols!$CE$573</definedName>
    <definedName name="CAPMES_2Q16" localSheetId="10">Tags!$CJ$573</definedName>
    <definedName name="CAPMES_2Q16">Tags_ols!$CJ$573</definedName>
    <definedName name="CAPMES_2Q17" localSheetId="10">Tags!$CO$573</definedName>
    <definedName name="CAPMES_2Q17">Tags_ols!$CO$573</definedName>
    <definedName name="CAPMES_2Q18" localSheetId="10">Tags!$CT$573</definedName>
    <definedName name="CAPMES_2Q18">Tags_ols!$CT$573</definedName>
    <definedName name="CAPMES_2Q19" localSheetId="10">Tags!$CY$573</definedName>
    <definedName name="CAPMES_2Q19">Tags_ols!$CY$573</definedName>
    <definedName name="CAPMES_2Q20" localSheetId="10">Tags!$DD$573</definedName>
    <definedName name="CAPMES_2Q20">Tags_ols!$DD$573</definedName>
    <definedName name="CAPMES_2Q21">Tags!$DI$573</definedName>
    <definedName name="CAPMES_2Q22">Tags!$DN$573</definedName>
    <definedName name="CAPMES_2Q23">Tags!$DS$573</definedName>
    <definedName name="CAPMES_2Q24">Tags!$DX$573</definedName>
    <definedName name="CAPMES_3Q00" localSheetId="10">Tags!$I$573</definedName>
    <definedName name="CAPMES_3Q00">Tags_ols!$I$573</definedName>
    <definedName name="CAPMES_3Q01" localSheetId="10">Tags!$N$573</definedName>
    <definedName name="CAPMES_3Q01">Tags_ols!$N$573</definedName>
    <definedName name="CAPMES_3Q02" localSheetId="10">Tags!$S$573</definedName>
    <definedName name="CAPMES_3Q02">Tags_ols!$S$573</definedName>
    <definedName name="CAPMES_3Q03" localSheetId="10">Tags!$X$573</definedName>
    <definedName name="CAPMES_3Q03">Tags_ols!$X$573</definedName>
    <definedName name="CAPMES_3Q04" localSheetId="10">Tags!$AC$573</definedName>
    <definedName name="CAPMES_3Q04">Tags_ols!$AC$573</definedName>
    <definedName name="CAPMES_3Q05" localSheetId="10">Tags!$AH$573</definedName>
    <definedName name="CAPMES_3Q05">Tags_ols!$AH$573</definedName>
    <definedName name="CAPMES_3Q06" localSheetId="10">Tags!$AM$573</definedName>
    <definedName name="CAPMES_3Q06">Tags_ols!$AM$573</definedName>
    <definedName name="CAPMES_3Q07" localSheetId="10">Tags!$AR$573</definedName>
    <definedName name="CAPMES_3Q07">Tags_ols!$AR$573</definedName>
    <definedName name="CAPMES_3Q08" localSheetId="10">Tags!$AW$573</definedName>
    <definedName name="CAPMES_3Q08">Tags_ols!$AW$573</definedName>
    <definedName name="CAPMES_3Q09" localSheetId="10">Tags!$BB$573</definedName>
    <definedName name="CAPMES_3Q09">Tags_ols!$BB$573</definedName>
    <definedName name="CAPMES_3Q10" localSheetId="10">Tags!$BG$573</definedName>
    <definedName name="CAPMES_3Q10">Tags_ols!$BG$573</definedName>
    <definedName name="CAPMES_3Q11" localSheetId="10">Tags!$BL$573</definedName>
    <definedName name="CAPMES_3Q11">Tags_ols!$BL$573</definedName>
    <definedName name="CAPMES_3Q12" localSheetId="10">Tags!$BQ$573</definedName>
    <definedName name="CAPMES_3Q12">Tags_ols!$BQ$573</definedName>
    <definedName name="CAPMES_3Q13" localSheetId="10">Tags!$BV$573</definedName>
    <definedName name="CAPMES_3Q13">Tags_ols!$BV$573</definedName>
    <definedName name="CAPMES_3Q14" localSheetId="10">Tags!$CA$573</definedName>
    <definedName name="CAPMES_3Q14">Tags_ols!$CA$573</definedName>
    <definedName name="CAPMES_3Q15" localSheetId="10">Tags!$CF$573</definedName>
    <definedName name="CAPMES_3Q15">Tags_ols!$CF$573</definedName>
    <definedName name="CAPMES_3Q16" localSheetId="10">Tags!$CK$573</definedName>
    <definedName name="CAPMES_3Q16">Tags_ols!$CK$573</definedName>
    <definedName name="CAPMES_3Q17" localSheetId="10">Tags!$CP$573</definedName>
    <definedName name="CAPMES_3Q17">Tags_ols!$CP$573</definedName>
    <definedName name="CAPMES_3Q18" localSheetId="10">Tags!$CU$573</definedName>
    <definedName name="CAPMES_3Q18">Tags_ols!$CU$573</definedName>
    <definedName name="CAPMES_3Q19" localSheetId="10">Tags!$CZ$573</definedName>
    <definedName name="CAPMES_3Q19">Tags_ols!$CZ$573</definedName>
    <definedName name="CAPMES_3Q20" localSheetId="10">Tags!$DE$573</definedName>
    <definedName name="CAPMES_3Q20">Tags_ols!$DE$573</definedName>
    <definedName name="CAPMES_3Q21">Tags!$DJ$573</definedName>
    <definedName name="CAPMES_3Q22">Tags!$DO$573</definedName>
    <definedName name="CAPMES_3Q23">Tags!$DT$573</definedName>
    <definedName name="CAPMES_3Q24">Tags!$DY$573</definedName>
    <definedName name="CAPMES_4Q00" localSheetId="10">Tags!$J$573</definedName>
    <definedName name="CAPMES_4Q00">Tags_ols!$J$573</definedName>
    <definedName name="CAPMES_4Q01" localSheetId="10">Tags!$O$573</definedName>
    <definedName name="CAPMES_4Q01">Tags_ols!$O$573</definedName>
    <definedName name="CAPMES_4Q02" localSheetId="10">Tags!$T$573</definedName>
    <definedName name="CAPMES_4Q02">Tags_ols!$T$573</definedName>
    <definedName name="CAPMES_4Q03" localSheetId="10">Tags!$Y$573</definedName>
    <definedName name="CAPMES_4Q03">Tags_ols!$Y$573</definedName>
    <definedName name="CAPMES_4Q04" localSheetId="10">Tags!$AD$573</definedName>
    <definedName name="CAPMES_4Q04">Tags_ols!$AD$573</definedName>
    <definedName name="CAPMES_4Q05" localSheetId="10">Tags!$AI$573</definedName>
    <definedName name="CAPMES_4Q05">Tags_ols!$AI$573</definedName>
    <definedName name="CAPMES_4Q06" localSheetId="10">Tags!$AN$573</definedName>
    <definedName name="CAPMES_4Q06">Tags_ols!$AN$573</definedName>
    <definedName name="CAPMES_4Q07" localSheetId="10">Tags!$AS$573</definedName>
    <definedName name="CAPMES_4Q07">Tags_ols!$AS$573</definedName>
    <definedName name="CAPMES_4Q08" localSheetId="10">Tags!$AX$573</definedName>
    <definedName name="CAPMES_4Q08">Tags_ols!$AX$573</definedName>
    <definedName name="CAPMES_4Q09" localSheetId="10">Tags!$BC$573</definedName>
    <definedName name="CAPMES_4Q09">Tags_ols!$BC$573</definedName>
    <definedName name="CAPMES_4Q10" localSheetId="10">Tags!$BH$573</definedName>
    <definedName name="CAPMES_4Q10">Tags_ols!$BH$573</definedName>
    <definedName name="CAPMES_4Q11" localSheetId="10">Tags!$BM$573</definedName>
    <definedName name="CAPMES_4Q11">Tags_ols!$BM$573</definedName>
    <definedName name="CAPMES_4Q12" localSheetId="10">Tags!$BR$573</definedName>
    <definedName name="CAPMES_4Q12">Tags_ols!$BR$573</definedName>
    <definedName name="CAPMES_4Q13" localSheetId="10">Tags!$BW$573</definedName>
    <definedName name="CAPMES_4Q13">Tags_ols!$BW$573</definedName>
    <definedName name="CAPMES_4Q14" localSheetId="10">Tags!$CB$573</definedName>
    <definedName name="CAPMES_4Q14">Tags_ols!$CB$573</definedName>
    <definedName name="CAPMES_4Q15" localSheetId="10">Tags!$CG$573</definedName>
    <definedName name="CAPMES_4Q15">Tags_ols!$CG$573</definedName>
    <definedName name="CAPMES_4Q16" localSheetId="10">Tags!$CL$573</definedName>
    <definedName name="CAPMES_4Q16">Tags_ols!$CL$573</definedName>
    <definedName name="CAPMES_4Q17" localSheetId="10">Tags!$CQ$573</definedName>
    <definedName name="CAPMES_4Q17">Tags_ols!$CQ$573</definedName>
    <definedName name="CAPMES_4Q18" localSheetId="10">Tags!$CV$573</definedName>
    <definedName name="CAPMES_4Q18">Tags_ols!$CV$573</definedName>
    <definedName name="CAPMES_4Q19" localSheetId="10">Tags!$DA$573</definedName>
    <definedName name="CAPMES_4Q19">Tags_ols!$DA$573</definedName>
    <definedName name="CAPMES_4Q20" localSheetId="10">Tags!$DF$573</definedName>
    <definedName name="CAPMES_4Q20">Tags_ols!$DF$573</definedName>
    <definedName name="CAPMES_4Q21">Tags!$DK$573</definedName>
    <definedName name="CAPMES_4Q22">Tags!$DP$573</definedName>
    <definedName name="CAPMES_4Q23">Tags!$DU$573</definedName>
    <definedName name="CAPMES_4Q24">Tags!$DZ$573</definedName>
    <definedName name="carlos" localSheetId="4" hidden="1">{#N/A,"10% Success",FALSE,"Sales Forecast";#N/A,#N/A,FALSE,"Sheet2"}</definedName>
    <definedName name="carlos" localSheetId="6" hidden="1">{#N/A,"10% Success",FALSE,"Sales Forecast";#N/A,#N/A,FALSE,"Sheet2"}</definedName>
    <definedName name="carlos" localSheetId="0" hidden="1">{#N/A,"10% Success",FALSE,"Sales Forecast";#N/A,#N/A,FALSE,"Sheet2"}</definedName>
    <definedName name="carlos" localSheetId="9" hidden="1">{#N/A,"10% Success",FALSE,"Sales Forecast";#N/A,#N/A,FALSE,"Sheet2"}</definedName>
    <definedName name="carlos" localSheetId="5" hidden="1">{#N/A,"10% Success",FALSE,"Sales Forecast";#N/A,#N/A,FALSE,"Sheet2"}</definedName>
    <definedName name="carlos" hidden="1">{#N/A,"10% Success",FALSE,"Sales Forecast";#N/A,#N/A,FALSE,"Sheet2"}</definedName>
    <definedName name="CASH_1995">Tags_ols!$B$144</definedName>
    <definedName name="CASH_1996">Tags_ols!$C$144</definedName>
    <definedName name="CASH_1997">Tags_ols!$D$144</definedName>
    <definedName name="CASH_1998">Tags_ols!$E$144</definedName>
    <definedName name="CASH_1999">Tags_ols!$F$144</definedName>
    <definedName name="CASH_1Q00" localSheetId="10">Tags!$G$144</definedName>
    <definedName name="CASH_1Q00">Tags_ols!$G$144</definedName>
    <definedName name="CASH_1Q01" localSheetId="10">Tags!$L$144</definedName>
    <definedName name="CASH_1Q01">Tags_ols!$L$144</definedName>
    <definedName name="CASH_1Q02" localSheetId="10">Tags!$Q$144</definedName>
    <definedName name="CASH_1Q02">Tags_ols!$Q$144</definedName>
    <definedName name="CASH_1Q03" localSheetId="10">Tags!$V$144</definedName>
    <definedName name="CASH_1Q03">Tags_ols!$V$144</definedName>
    <definedName name="CASH_1Q04" localSheetId="10">Tags!$AA$144</definedName>
    <definedName name="CASH_1Q04">Tags_ols!$AA$144</definedName>
    <definedName name="CASH_1Q05" localSheetId="10">Tags!$AF$144</definedName>
    <definedName name="CASH_1Q05">Tags_ols!$AF$144</definedName>
    <definedName name="CASH_1Q06" localSheetId="10">Tags!$AK$144</definedName>
    <definedName name="CASH_1Q06">Tags_ols!$AK$144</definedName>
    <definedName name="CASH_1Q07" localSheetId="10">Tags!$AP$144</definedName>
    <definedName name="CASH_1Q07">Tags_ols!$AP$144</definedName>
    <definedName name="CASH_1Q08" localSheetId="10">Tags!$AU$144</definedName>
    <definedName name="CASH_1Q08">Tags_ols!$AU$144</definedName>
    <definedName name="CASH_1Q09" localSheetId="10">Tags!$AZ$144</definedName>
    <definedName name="CASH_1Q09">Tags_ols!$AZ$144</definedName>
    <definedName name="CASH_1Q10" localSheetId="10">Tags!$BE$144</definedName>
    <definedName name="CASH_1Q10">Tags_ols!$BE$144</definedName>
    <definedName name="CASH_1Q11" localSheetId="10">Tags!$BJ$144</definedName>
    <definedName name="CASH_1Q11">Tags_ols!$BJ$144</definedName>
    <definedName name="CASH_1Q12" localSheetId="10">Tags!$BO$144</definedName>
    <definedName name="CASH_1Q12">Tags_ols!$BO$144</definedName>
    <definedName name="CASH_1Q13" localSheetId="10">Tags!$BT$144</definedName>
    <definedName name="CASH_1Q13">Tags_ols!$BT$144</definedName>
    <definedName name="CASH_1Q14" localSheetId="10">Tags!$BY$144</definedName>
    <definedName name="CASH_1Q14">Tags_ols!$BY$144</definedName>
    <definedName name="CASH_1Q15" localSheetId="10">Tags!$CD$144</definedName>
    <definedName name="CASH_1Q15">Tags_ols!$CD$144</definedName>
    <definedName name="CASH_1Q16" localSheetId="10">Tags!$CI$144</definedName>
    <definedName name="CASH_1Q16">Tags_ols!$CI$144</definedName>
    <definedName name="CASH_1Q17" localSheetId="10">Tags!$CN$144</definedName>
    <definedName name="CASH_1Q17">Tags_ols!$CN$144</definedName>
    <definedName name="CASH_1Q18" localSheetId="10">Tags!$CS$144</definedName>
    <definedName name="CASH_1Q18">Tags_ols!$CS$144</definedName>
    <definedName name="CASH_1Q19" localSheetId="10">Tags!$CX$144</definedName>
    <definedName name="CASH_1Q19">Tags_ols!$CX$144</definedName>
    <definedName name="CASH_1Q20" localSheetId="10">Tags!$DC$144</definedName>
    <definedName name="CASH_1Q20">Tags_ols!$DC$144</definedName>
    <definedName name="CASH_1Q21">Tags!$DH$144</definedName>
    <definedName name="CASH_1Q22">Tags!$DM$144</definedName>
    <definedName name="CASH_1Q23">Tags!$DR$144</definedName>
    <definedName name="CASH_1Q24">Tags!$DW$144</definedName>
    <definedName name="CASH_2000" localSheetId="10">Tags!$K$144</definedName>
    <definedName name="CASH_2000">Tags_ols!$K$144</definedName>
    <definedName name="CASH_2001" localSheetId="10">Tags!$P$144</definedName>
    <definedName name="CASH_2001">Tags_ols!$P$144</definedName>
    <definedName name="CASH_2002" localSheetId="10">Tags!$U$144</definedName>
    <definedName name="CASH_2002">Tags_ols!$U$144</definedName>
    <definedName name="CASH_2003" localSheetId="10">Tags!$Z$144</definedName>
    <definedName name="CASH_2003">Tags_ols!$Z$144</definedName>
    <definedName name="CASH_2004" localSheetId="10">Tags!$AE$144</definedName>
    <definedName name="CASH_2004">Tags_ols!$AE$144</definedName>
    <definedName name="CASH_2005" localSheetId="10">Tags!$AJ$144</definedName>
    <definedName name="CASH_2005">Tags_ols!$AJ$144</definedName>
    <definedName name="CASH_2006" localSheetId="10">Tags!$AO$144</definedName>
    <definedName name="CASH_2006">Tags_ols!$AO$144</definedName>
    <definedName name="CASH_2007" localSheetId="10">Tags!$AT$144</definedName>
    <definedName name="CASH_2007">Tags_ols!$AT$144</definedName>
    <definedName name="CASH_2008" localSheetId="10">Tags!$AY$144</definedName>
    <definedName name="CASH_2008">Tags_ols!$AY$144</definedName>
    <definedName name="CASH_2009" localSheetId="10">Tags!$BD$144</definedName>
    <definedName name="CASH_2009">Tags_ols!$BD$144</definedName>
    <definedName name="CASH_2010" localSheetId="10">Tags!$BI$144</definedName>
    <definedName name="CASH_2010">Tags_ols!$BI$144</definedName>
    <definedName name="CASH_2011" localSheetId="10">Tags!$BN$144</definedName>
    <definedName name="CASH_2011">Tags_ols!$BN$144</definedName>
    <definedName name="CASH_2012" localSheetId="10">Tags!$BS$144</definedName>
    <definedName name="CASH_2012">Tags_ols!$BS$144</definedName>
    <definedName name="CASH_2013" localSheetId="10">Tags!$BX$144</definedName>
    <definedName name="CASH_2013">Tags_ols!$BX$144</definedName>
    <definedName name="CASH_2014" localSheetId="10">Tags!$CC$144</definedName>
    <definedName name="CASH_2014">Tags_ols!$CC$144</definedName>
    <definedName name="CASH_2015" localSheetId="10">Tags!#REF!</definedName>
    <definedName name="CASH_2015">Tags!$CH$144</definedName>
    <definedName name="CASH_2016" localSheetId="10">Tags!$CM$144</definedName>
    <definedName name="CASH_2016">Tags_ols!$CM$144</definedName>
    <definedName name="CASH_2017" localSheetId="10">Tags!$CR$144</definedName>
    <definedName name="CASH_2017">Tags_ols!$CR$144</definedName>
    <definedName name="CASH_2018" localSheetId="10">Tags!$CW$144</definedName>
    <definedName name="CASH_2018">Tags_ols!$CW$144</definedName>
    <definedName name="CASH_2019" localSheetId="10">Tags!$DB$144</definedName>
    <definedName name="CASH_2019">Tags_ols!$DB$144</definedName>
    <definedName name="CASH_2020" localSheetId="10">Tags!$DG$144</definedName>
    <definedName name="CASH_2020">Tags_ols!$DG$144</definedName>
    <definedName name="CASH_2021">Tags!$DL$144</definedName>
    <definedName name="CASH_2022">Tags!$DQ$144</definedName>
    <definedName name="CASH_2023">Tags!$DV$144</definedName>
    <definedName name="CASH_2024">Tags!$EA$144</definedName>
    <definedName name="CASH_2Q00" localSheetId="10">Tags!$H$144</definedName>
    <definedName name="CASH_2Q00">Tags_ols!$H$144</definedName>
    <definedName name="CASH_2Q01" localSheetId="10">Tags!$M$144</definedName>
    <definedName name="CASH_2Q01">Tags_ols!$M$144</definedName>
    <definedName name="CASH_2Q02" localSheetId="10">Tags!$R$144</definedName>
    <definedName name="CASH_2Q02">Tags_ols!$R$144</definedName>
    <definedName name="CASH_2Q03" localSheetId="10">Tags!$W$144</definedName>
    <definedName name="CASH_2Q03">Tags_ols!$W$144</definedName>
    <definedName name="CASH_2Q04" localSheetId="10">Tags!$AB$144</definedName>
    <definedName name="CASH_2Q04">Tags_ols!$AB$144</definedName>
    <definedName name="CASH_2Q05" localSheetId="10">Tags!$AG$144</definedName>
    <definedName name="CASH_2Q05">Tags_ols!$AG$144</definedName>
    <definedName name="CASH_2Q06" localSheetId="10">Tags!$AL$144</definedName>
    <definedName name="CASH_2Q06">Tags_ols!$AL$144</definedName>
    <definedName name="CASH_2Q07" localSheetId="10">Tags!$AQ$144</definedName>
    <definedName name="CASH_2Q07">Tags_ols!$AQ$144</definedName>
    <definedName name="CASH_2Q08" localSheetId="10">Tags!$AV$144</definedName>
    <definedName name="CASH_2Q08">Tags_ols!$AV$144</definedName>
    <definedName name="CASH_2Q09" localSheetId="10">Tags!$BA$144</definedName>
    <definedName name="CASH_2Q09">Tags_ols!$BA$144</definedName>
    <definedName name="CASH_2Q10" localSheetId="10">Tags!$BF$144</definedName>
    <definedName name="CASH_2Q10">Tags_ols!$BF$144</definedName>
    <definedName name="CASH_2Q11" localSheetId="10">Tags!$BK$144</definedName>
    <definedName name="CASH_2Q11">Tags_ols!$BK$144</definedName>
    <definedName name="CASH_2Q12" localSheetId="10">Tags!$BP$144</definedName>
    <definedName name="CASH_2Q12">Tags_ols!$BP$144</definedName>
    <definedName name="CASH_2Q13" localSheetId="10">Tags!$BU$144</definedName>
    <definedName name="CASH_2Q13">Tags_ols!$BU$144</definedName>
    <definedName name="CASH_2Q14" localSheetId="10">Tags!$BZ$144</definedName>
    <definedName name="CASH_2Q14">Tags_ols!$BZ$144</definedName>
    <definedName name="CASH_2Q15" localSheetId="10">Tags!$CE$144</definedName>
    <definedName name="CASH_2Q15">Tags_ols!$CE$144</definedName>
    <definedName name="CASH_2Q16" localSheetId="10">Tags!$CJ$144</definedName>
    <definedName name="CASH_2Q16">Tags_ols!$CJ$144</definedName>
    <definedName name="CASH_2Q17" localSheetId="10">Tags!$CO$144</definedName>
    <definedName name="CASH_2Q17">Tags_ols!$CO$144</definedName>
    <definedName name="CASH_2Q18" localSheetId="10">Tags!$CT$144</definedName>
    <definedName name="CASH_2Q18">Tags_ols!$CT$144</definedName>
    <definedName name="CASH_2Q19" localSheetId="10">Tags!$CY$144</definedName>
    <definedName name="CASH_2Q19">Tags_ols!$CY$144</definedName>
    <definedName name="CASH_2Q20" localSheetId="10">Tags!$DD$144</definedName>
    <definedName name="CASH_2Q20">Tags_ols!$DD$144</definedName>
    <definedName name="CASH_2Q21">Tags!$DI$144</definedName>
    <definedName name="CASH_2Q22">Tags!$DN$144</definedName>
    <definedName name="CASH_2Q23">Tags!$DS$144</definedName>
    <definedName name="CASH_2Q24">Tags!$DX$144</definedName>
    <definedName name="CASH_3Q00" localSheetId="10">Tags!$I$144</definedName>
    <definedName name="CASH_3Q00">Tags_ols!$I$144</definedName>
    <definedName name="CASH_3Q01" localSheetId="10">Tags!$N$144</definedName>
    <definedName name="CASH_3Q01">Tags_ols!$N$144</definedName>
    <definedName name="CASH_3Q02" localSheetId="10">Tags!$S$144</definedName>
    <definedName name="CASH_3Q02">Tags_ols!$S$144</definedName>
    <definedName name="CASH_3Q03" localSheetId="10">Tags!$X$144</definedName>
    <definedName name="CASH_3Q03">Tags_ols!$X$144</definedName>
    <definedName name="CASH_3Q04" localSheetId="10">Tags!$AC$144</definedName>
    <definedName name="CASH_3Q04">Tags_ols!$AC$144</definedName>
    <definedName name="CASH_3Q05" localSheetId="10">Tags!$AH$144</definedName>
    <definedName name="CASH_3Q05">Tags_ols!$AH$144</definedName>
    <definedName name="CASH_3Q06" localSheetId="10">Tags!$AM$144</definedName>
    <definedName name="CASH_3Q06">Tags_ols!$AM$144</definedName>
    <definedName name="CASH_3Q07" localSheetId="10">Tags!$AR$144</definedName>
    <definedName name="CASH_3Q07">Tags_ols!$AR$144</definedName>
    <definedName name="CASH_3Q08" localSheetId="10">Tags!$AW$144</definedName>
    <definedName name="CASH_3Q08">Tags_ols!$AW$144</definedName>
    <definedName name="CASH_3Q09" localSheetId="10">Tags!$BB$144</definedName>
    <definedName name="CASH_3Q09">Tags_ols!$BB$144</definedName>
    <definedName name="CASH_3Q10" localSheetId="10">Tags!$BG$144</definedName>
    <definedName name="CASH_3Q10">Tags_ols!$BG$144</definedName>
    <definedName name="CASH_3Q11" localSheetId="10">Tags!$BL$144</definedName>
    <definedName name="CASH_3Q11">Tags_ols!$BL$144</definedName>
    <definedName name="CASH_3Q12" localSheetId="10">Tags!$BQ$144</definedName>
    <definedName name="CASH_3Q12">Tags_ols!$BQ$144</definedName>
    <definedName name="CASH_3Q13" localSheetId="10">Tags!$BV$144</definedName>
    <definedName name="CASH_3Q13">Tags_ols!$BV$144</definedName>
    <definedName name="CASH_3Q14" localSheetId="10">Tags!$CA$144</definedName>
    <definedName name="CASH_3Q14">Tags_ols!$CA$144</definedName>
    <definedName name="CASH_3Q15" localSheetId="10">Tags!$CF$144</definedName>
    <definedName name="CASH_3Q15">Tags_ols!$CF$144</definedName>
    <definedName name="CASH_3Q16" localSheetId="10">Tags!$CK$144</definedName>
    <definedName name="CASH_3Q16">Tags_ols!$CK$144</definedName>
    <definedName name="CASH_3Q17" localSheetId="10">Tags!$CP$144</definedName>
    <definedName name="CASH_3Q17">Tags_ols!$CP$144</definedName>
    <definedName name="CASH_3Q18" localSheetId="10">Tags!$CU$144</definedName>
    <definedName name="CASH_3Q18">Tags_ols!$CU$144</definedName>
    <definedName name="CASH_3Q19" localSheetId="10">Tags!$CZ$144</definedName>
    <definedName name="CASH_3Q19">Tags_ols!$CZ$144</definedName>
    <definedName name="CASH_3Q20" localSheetId="10">Tags!$DE$144</definedName>
    <definedName name="CASH_3Q20">Tags_ols!$DE$144</definedName>
    <definedName name="CASH_3Q21">Tags!$DJ$144</definedName>
    <definedName name="CASH_3Q22">Tags!$DO$144</definedName>
    <definedName name="CASH_3Q23">Tags!$DT$144</definedName>
    <definedName name="CASH_3Q24">Tags!$DY$144</definedName>
    <definedName name="CASH_4Q00" localSheetId="10">Tags!$J$144</definedName>
    <definedName name="CASH_4Q00">Tags_ols!$J$144</definedName>
    <definedName name="CASH_4Q01" localSheetId="10">Tags!$O$144</definedName>
    <definedName name="CASH_4Q01">Tags_ols!$O$144</definedName>
    <definedName name="CASH_4Q02" localSheetId="10">Tags!$T$144</definedName>
    <definedName name="CASH_4Q02">Tags_ols!$T$144</definedName>
    <definedName name="CASH_4Q03" localSheetId="10">Tags!$Y$144</definedName>
    <definedName name="CASH_4Q03">Tags_ols!$Y$144</definedName>
    <definedName name="CASH_4Q04" localSheetId="10">Tags!$AD$144</definedName>
    <definedName name="CASH_4Q04">Tags_ols!$AD$144</definedName>
    <definedName name="CASH_4Q05" localSheetId="10">Tags!$AI$144</definedName>
    <definedName name="CASH_4Q05">Tags_ols!$AI$144</definedName>
    <definedName name="CASH_4Q06" localSheetId="10">Tags!$AN$144</definedName>
    <definedName name="CASH_4Q06">Tags_ols!$AN$144</definedName>
    <definedName name="CASH_4Q07" localSheetId="10">Tags!$AS$144</definedName>
    <definedName name="CASH_4Q07">Tags_ols!$AS$144</definedName>
    <definedName name="CASH_4Q08" localSheetId="10">Tags!$AX$144</definedName>
    <definedName name="CASH_4Q08">Tags_ols!$AX$144</definedName>
    <definedName name="CASH_4Q09" localSheetId="10">Tags!$BC$144</definedName>
    <definedName name="CASH_4Q09">Tags_ols!$BC$144</definedName>
    <definedName name="CASH_4Q10" localSheetId="10">Tags!$BH$144</definedName>
    <definedName name="CASH_4Q10">Tags_ols!$BH$144</definedName>
    <definedName name="CASH_4Q11" localSheetId="10">Tags!$BM$144</definedName>
    <definedName name="CASH_4Q11">Tags_ols!$BM$144</definedName>
    <definedName name="CASH_4Q12" localSheetId="10">Tags!$BR$144</definedName>
    <definedName name="CASH_4Q12">Tags_ols!$BR$144</definedName>
    <definedName name="CASH_4Q13" localSheetId="10">Tags!$BW$144</definedName>
    <definedName name="CASH_4Q13">Tags_ols!$BW$144</definedName>
    <definedName name="CASH_4Q14" localSheetId="10">Tags!$CB$144</definedName>
    <definedName name="CASH_4Q14">Tags_ols!$CB$144</definedName>
    <definedName name="CASH_4Q15" localSheetId="10">Tags!$CG$144</definedName>
    <definedName name="CASH_4Q15">Tags_ols!$CG$144</definedName>
    <definedName name="CASH_4Q16" localSheetId="10">Tags!$CL$144</definedName>
    <definedName name="CASH_4Q16">Tags_ols!$CL$144</definedName>
    <definedName name="CASH_4Q17" localSheetId="10">Tags!$CQ$144</definedName>
    <definedName name="CASH_4Q17">Tags_ols!$CQ$144</definedName>
    <definedName name="CASH_4Q18" localSheetId="10">Tags!$CV$144</definedName>
    <definedName name="CASH_4Q18">Tags_ols!$CV$144</definedName>
    <definedName name="CASH_4Q19" localSheetId="10">Tags!$DA$144</definedName>
    <definedName name="CASH_4Q19">Tags_ols!$DA$144</definedName>
    <definedName name="CASH_4Q20" localSheetId="10">Tags!$DF$144</definedName>
    <definedName name="CASH_4Q20">Tags_ols!$DF$144</definedName>
    <definedName name="CASH_4Q21">Tags!$DK$144</definedName>
    <definedName name="CASH_4Q22">Tags!$DP$144</definedName>
    <definedName name="CASH_4Q23">Tags!$DU$144</definedName>
    <definedName name="CASH_4Q24">Tags!$DZ$144</definedName>
    <definedName name="CBOOM_1995">Tags_ols!$B$411</definedName>
    <definedName name="CBOOM_1996">Tags_ols!$C$411</definedName>
    <definedName name="CBOOM_1997">Tags_ols!$D$411</definedName>
    <definedName name="CBOOM_1998">Tags_ols!$E$411</definedName>
    <definedName name="CBOOM_1999">Tags_ols!$F$411</definedName>
    <definedName name="CBOOM_1Q00" localSheetId="10">Tags!$G$411</definedName>
    <definedName name="CBOOM_1Q00">Tags_ols!$G$411</definedName>
    <definedName name="CBOOM_1Q01" localSheetId="10">Tags!$L$411</definedName>
    <definedName name="CBOOM_1Q01">Tags_ols!$L$411</definedName>
    <definedName name="CBOOM_1Q02" localSheetId="10">Tags!$Q$411</definedName>
    <definedName name="CBOOM_1Q02">Tags_ols!$Q$411</definedName>
    <definedName name="CBOOM_1Q03" localSheetId="10">Tags!$V$411</definedName>
    <definedName name="CBOOM_1Q03">Tags_ols!$V$411</definedName>
    <definedName name="CBOOM_1Q04" localSheetId="10">Tags!$AA$411</definedName>
    <definedName name="CBOOM_1Q04">Tags_ols!$AA$411</definedName>
    <definedName name="CBOOM_1Q05" localSheetId="10">Tags!$AF$411</definedName>
    <definedName name="CBOOM_1Q05">Tags_ols!$AF$411</definedName>
    <definedName name="CBOOM_1Q06" localSheetId="10">Tags!$AK$411</definedName>
    <definedName name="CBOOM_1Q06">Tags_ols!$AK$411</definedName>
    <definedName name="CBOOM_1Q07" localSheetId="10">Tags!$AP$411</definedName>
    <definedName name="CBOOM_1Q07">Tags_ols!$AP$411</definedName>
    <definedName name="CBOOM_1Q08" localSheetId="10">Tags!$AU$411</definedName>
    <definedName name="CBOOM_1Q08">Tags_ols!$AU$411</definedName>
    <definedName name="CBOOM_1Q09" localSheetId="10">Tags!$AZ$411</definedName>
    <definedName name="CBOOM_1Q09">Tags_ols!$AZ$411</definedName>
    <definedName name="CBOOM_1Q10" localSheetId="10">Tags!$BE$411</definedName>
    <definedName name="CBOOM_1Q10">Tags_ols!$BE$411</definedName>
    <definedName name="CBOOM_1Q11" localSheetId="10">Tags!$BJ$411</definedName>
    <definedName name="CBOOM_1Q11">Tags_ols!$BJ$411</definedName>
    <definedName name="CBOOM_1Q12" localSheetId="10">Tags!$BO$411</definedName>
    <definedName name="CBOOM_1Q12">Tags_ols!$BO$411</definedName>
    <definedName name="CBOOM_1Q13" localSheetId="10">Tags!$BT$411</definedName>
    <definedName name="CBOOM_1Q13">Tags_ols!$BT$411</definedName>
    <definedName name="CBOOM_1Q14" localSheetId="10">Tags!$BY$411</definedName>
    <definedName name="CBOOM_1Q14">Tags_ols!$BY$411</definedName>
    <definedName name="CBOOM_1Q15" localSheetId="10">Tags!$CD$411</definedName>
    <definedName name="CBOOM_1Q15">Tags_ols!$CD$411</definedName>
    <definedName name="CBOOM_1Q16" localSheetId="10">Tags!$CI$411</definedName>
    <definedName name="CBOOM_1Q16">Tags_ols!$CI$411</definedName>
    <definedName name="CBOOM_1Q17" localSheetId="10">Tags!$CN$411</definedName>
    <definedName name="CBOOM_1Q17">Tags_ols!$CN$411</definedName>
    <definedName name="CBOOM_1Q18" localSheetId="10">Tags!$CS$411</definedName>
    <definedName name="CBOOM_1Q18">Tags_ols!$CS$411</definedName>
    <definedName name="CBOOM_1Q19" localSheetId="10">Tags!$CX$411</definedName>
    <definedName name="CBOOM_1Q19">Tags_ols!$CX$411</definedName>
    <definedName name="CBOOM_1Q20" localSheetId="10">Tags!$DC$411</definedName>
    <definedName name="CBOOM_1Q20">Tags_ols!$DC$411</definedName>
    <definedName name="CBOOM_1Q21">Tags!$DH$411</definedName>
    <definedName name="CBOOM_1Q22">Tags!$DM$411</definedName>
    <definedName name="CBOOM_1Q23">Tags!$DR$411</definedName>
    <definedName name="CBOOM_1Q24">Tags!$DW$411</definedName>
    <definedName name="CBOOM_2000" localSheetId="10">Tags!$K$411</definedName>
    <definedName name="CBOOM_2000">Tags_ols!$K$411</definedName>
    <definedName name="CBOOM_2001" localSheetId="10">Tags!$P$411</definedName>
    <definedName name="CBOOM_2001">Tags_ols!$P$411</definedName>
    <definedName name="CBOOM_2002" localSheetId="10">Tags!$U$411</definedName>
    <definedName name="CBOOM_2002">Tags_ols!$U$411</definedName>
    <definedName name="CBOOM_2003" localSheetId="10">Tags!$Z$411</definedName>
    <definedName name="CBOOM_2003">Tags_ols!$Z$411</definedName>
    <definedName name="CBOOM_2004" localSheetId="10">Tags!$AE$411</definedName>
    <definedName name="CBOOM_2004">Tags_ols!$AE$411</definedName>
    <definedName name="CBOOM_2005" localSheetId="10">Tags!$AJ$411</definedName>
    <definedName name="CBOOM_2005">Tags_ols!$AJ$411</definedName>
    <definedName name="CBOOM_2006" localSheetId="10">Tags!$AO$411</definedName>
    <definedName name="CBOOM_2006">Tags_ols!$AO$411</definedName>
    <definedName name="CBOOM_2007" localSheetId="10">Tags!$AT$411</definedName>
    <definedName name="CBOOM_2007">Tags_ols!$AT$411</definedName>
    <definedName name="CBOOM_2008" localSheetId="10">Tags!$AY$411</definedName>
    <definedName name="CBOOM_2008">Tags_ols!$AY$411</definedName>
    <definedName name="CBOOM_2009" localSheetId="10">Tags!$BD$411</definedName>
    <definedName name="CBOOM_2009">Tags_ols!$BD$411</definedName>
    <definedName name="CBOOM_2010" localSheetId="10">Tags!$BI$411</definedName>
    <definedName name="CBOOM_2010">Tags_ols!$BI$411</definedName>
    <definedName name="CBOOM_2011" localSheetId="10">Tags!$BN$411</definedName>
    <definedName name="CBOOM_2011">Tags_ols!$BN$411</definedName>
    <definedName name="CBOOM_2012" localSheetId="10">Tags!$BS$411</definedName>
    <definedName name="CBOOM_2012">Tags_ols!$BS$411</definedName>
    <definedName name="CBOOM_2013" localSheetId="10">Tags!$BX$411</definedName>
    <definedName name="CBOOM_2013">Tags_ols!$BX$411</definedName>
    <definedName name="CBOOM_2014" localSheetId="10">Tags!$CC$411</definedName>
    <definedName name="CBOOM_2014">Tags_ols!$CC$411</definedName>
    <definedName name="CBOOM_2015" localSheetId="10">Tags!#REF!</definedName>
    <definedName name="CBOOM_2015">Tags!$CH$411</definedName>
    <definedName name="CBOOM_2016" localSheetId="10">Tags!$CM$411</definedName>
    <definedName name="CBOOM_2016">Tags_ols!$CM$411</definedName>
    <definedName name="CBOOM_2017" localSheetId="10">Tags!$CR$411</definedName>
    <definedName name="CBOOM_2017">Tags_ols!$CR$411</definedName>
    <definedName name="CBOOM_2018" localSheetId="10">Tags!$CW$411</definedName>
    <definedName name="CBOOM_2018">Tags_ols!$CW$411</definedName>
    <definedName name="CBOOM_2019" localSheetId="10">Tags!$DB$411</definedName>
    <definedName name="CBOOM_2019">Tags_ols!$DB$411</definedName>
    <definedName name="CBOOM_2020" localSheetId="10">Tags!$DG$411</definedName>
    <definedName name="CBOOM_2020">Tags_ols!$DG$411</definedName>
    <definedName name="CBOOM_2021">Tags!$DL$411</definedName>
    <definedName name="CBOOM_2022">Tags!$DQ$411</definedName>
    <definedName name="CBOOM_2023">Tags!$DV$411</definedName>
    <definedName name="CBOOM_2024">Tags!$EA$411</definedName>
    <definedName name="CBOOM_2Q00" localSheetId="10">Tags!$H$411</definedName>
    <definedName name="CBOOM_2Q00">Tags_ols!$H$411</definedName>
    <definedName name="CBOOM_2Q01" localSheetId="10">Tags!$M$411</definedName>
    <definedName name="CBOOM_2Q01">Tags_ols!$M$411</definedName>
    <definedName name="CBOOM_2Q02" localSheetId="10">Tags!$R$411</definedName>
    <definedName name="CBOOM_2Q02">Tags_ols!$R$411</definedName>
    <definedName name="CBOOM_2Q03" localSheetId="10">Tags!$W$411</definedName>
    <definedName name="CBOOM_2Q03">Tags_ols!$W$411</definedName>
    <definedName name="CBOOM_2Q04" localSheetId="10">Tags!$AB$411</definedName>
    <definedName name="CBOOM_2Q04">Tags_ols!$AB$411</definedName>
    <definedName name="CBOOM_2Q05" localSheetId="10">Tags!$AG$411</definedName>
    <definedName name="CBOOM_2Q05">Tags_ols!$AG$411</definedName>
    <definedName name="CBOOM_2Q06" localSheetId="10">Tags!$AL$411</definedName>
    <definedName name="CBOOM_2Q06">Tags_ols!$AL$411</definedName>
    <definedName name="CBOOM_2Q07" localSheetId="10">Tags!$AQ$411</definedName>
    <definedName name="CBOOM_2Q07">Tags_ols!$AQ$411</definedName>
    <definedName name="CBOOM_2Q08" localSheetId="10">Tags!$AV$411</definedName>
    <definedName name="CBOOM_2Q08">Tags_ols!$AV$411</definedName>
    <definedName name="CBOOM_2Q09" localSheetId="10">Tags!$BA$411</definedName>
    <definedName name="CBOOM_2Q09">Tags_ols!$BA$411</definedName>
    <definedName name="CBOOM_2Q10" localSheetId="10">Tags!$BF$411</definedName>
    <definedName name="CBOOM_2Q10">Tags_ols!$BF$411</definedName>
    <definedName name="CBOOM_2Q11" localSheetId="10">Tags!$BK$411</definedName>
    <definedName name="CBOOM_2Q11">Tags_ols!$BK$411</definedName>
    <definedName name="CBOOM_2Q12" localSheetId="10">Tags!$BP$411</definedName>
    <definedName name="CBOOM_2Q12">Tags_ols!$BP$411</definedName>
    <definedName name="CBOOM_2Q13" localSheetId="10">Tags!$BU$411</definedName>
    <definedName name="CBOOM_2Q13">Tags_ols!$BU$411</definedName>
    <definedName name="CBOOM_2Q14" localSheetId="10">Tags!$BZ$411</definedName>
    <definedName name="CBOOM_2Q14">Tags_ols!$BZ$411</definedName>
    <definedName name="CBOOM_2Q15" localSheetId="10">Tags!$CE$411</definedName>
    <definedName name="CBOOM_2Q15">Tags_ols!$CE$411</definedName>
    <definedName name="CBOOM_2Q16" localSheetId="10">Tags!$CJ$411</definedName>
    <definedName name="CBOOM_2Q16">Tags_ols!$CJ$411</definedName>
    <definedName name="CBOOM_2Q17" localSheetId="10">Tags!$CO$411</definedName>
    <definedName name="CBOOM_2Q17">Tags_ols!$CO$411</definedName>
    <definedName name="CBOOM_2Q18" localSheetId="10">Tags!$CT$411</definedName>
    <definedName name="CBOOM_2Q18">Tags_ols!$CT$411</definedName>
    <definedName name="CBOOM_2Q19" localSheetId="10">Tags!$CY$411</definedName>
    <definedName name="CBOOM_2Q19">Tags_ols!$CY$411</definedName>
    <definedName name="CBOOM_2Q20" localSheetId="10">Tags!$DD$411</definedName>
    <definedName name="CBOOM_2Q20">Tags_ols!$DD$411</definedName>
    <definedName name="CBOOM_2Q21">Tags!$DI$411</definedName>
    <definedName name="CBOOM_2Q22">Tags!$DN$411</definedName>
    <definedName name="CBOOM_2Q23">Tags!$DS$411</definedName>
    <definedName name="CBOOM_2Q24">Tags!$DX$411</definedName>
    <definedName name="CBOOM_3Q00" localSheetId="10">Tags!$I$411</definedName>
    <definedName name="CBOOM_3Q00">Tags_ols!$I$411</definedName>
    <definedName name="CBOOM_3Q01" localSheetId="10">Tags!$N$411</definedName>
    <definedName name="CBOOM_3Q01">Tags_ols!$N$411</definedName>
    <definedName name="CBOOM_3Q02" localSheetId="10">Tags!$S$411</definedName>
    <definedName name="CBOOM_3Q02">Tags_ols!$S$411</definedName>
    <definedName name="CBOOM_3Q03" localSheetId="10">Tags!$X$411</definedName>
    <definedName name="CBOOM_3Q03">Tags_ols!$X$411</definedName>
    <definedName name="CBOOM_3Q04" localSheetId="10">Tags!$AC$411</definedName>
    <definedName name="CBOOM_3Q04">Tags_ols!$AC$411</definedName>
    <definedName name="CBOOM_3Q05" localSheetId="10">Tags!$AH$411</definedName>
    <definedName name="CBOOM_3Q05">Tags_ols!$AH$411</definedName>
    <definedName name="CBOOM_3Q06" localSheetId="10">Tags!$AM$411</definedName>
    <definedName name="CBOOM_3Q06">Tags_ols!$AM$411</definedName>
    <definedName name="CBOOM_3Q07" localSheetId="10">Tags!$AR$411</definedName>
    <definedName name="CBOOM_3Q07">Tags_ols!$AR$411</definedName>
    <definedName name="CBOOM_3Q08" localSheetId="10">Tags!$AW$411</definedName>
    <definedName name="CBOOM_3Q08">Tags_ols!$AW$411</definedName>
    <definedName name="CBOOM_3Q09" localSheetId="10">Tags!$BB$411</definedName>
    <definedName name="CBOOM_3Q09">Tags_ols!$BB$411</definedName>
    <definedName name="CBOOM_3Q10" localSheetId="10">Tags!$BG$411</definedName>
    <definedName name="CBOOM_3Q10">Tags_ols!$BG$411</definedName>
    <definedName name="CBOOM_3Q11" localSheetId="10">Tags!$BL$411</definedName>
    <definedName name="CBOOM_3Q11">Tags_ols!$BL$411</definedName>
    <definedName name="CBOOM_3Q12" localSheetId="10">Tags!$BQ$411</definedName>
    <definedName name="CBOOM_3Q12">Tags_ols!$BQ$411</definedName>
    <definedName name="CBOOM_3Q13" localSheetId="10">Tags!$BV$411</definedName>
    <definedName name="CBOOM_3Q13">Tags_ols!$BV$411</definedName>
    <definedName name="CBOOM_3Q14" localSheetId="10">Tags!$CA$411</definedName>
    <definedName name="CBOOM_3Q14">Tags_ols!$CA$411</definedName>
    <definedName name="CBOOM_3Q15" localSheetId="10">Tags!$CF$411</definedName>
    <definedName name="CBOOM_3Q15">Tags_ols!$CF$411</definedName>
    <definedName name="CBOOM_3Q16" localSheetId="10">Tags!$CK$411</definedName>
    <definedName name="CBOOM_3Q16">Tags_ols!$CK$411</definedName>
    <definedName name="CBOOM_3Q17" localSheetId="10">Tags!$CP$411</definedName>
    <definedName name="CBOOM_3Q17">Tags_ols!$CP$411</definedName>
    <definedName name="CBOOM_3Q18" localSheetId="10">Tags!$CU$411</definedName>
    <definedName name="CBOOM_3Q18">Tags_ols!$CU$411</definedName>
    <definedName name="CBOOM_3Q19" localSheetId="10">Tags!$CZ$411</definedName>
    <definedName name="CBOOM_3Q19">Tags_ols!$CZ$411</definedName>
    <definedName name="CBOOM_3Q20" localSheetId="10">Tags!$DE$411</definedName>
    <definedName name="CBOOM_3Q20">Tags_ols!$DE$411</definedName>
    <definedName name="CBOOM_3Q21">Tags!$DJ$411</definedName>
    <definedName name="CBOOM_3Q22">Tags!$DO$411</definedName>
    <definedName name="CBOOM_3Q23">Tags!$DT$411</definedName>
    <definedName name="CBOOM_3Q24">Tags!$DY$411</definedName>
    <definedName name="CBOOM_4Q00" localSheetId="10">Tags!$J$411</definedName>
    <definedName name="CBOOM_4Q00">Tags_ols!$J$411</definedName>
    <definedName name="CBOOM_4Q01" localSheetId="10">Tags!$O$411</definedName>
    <definedName name="CBOOM_4Q01">Tags_ols!$O$411</definedName>
    <definedName name="CBOOM_4Q02" localSheetId="10">Tags!$T$411</definedName>
    <definedName name="CBOOM_4Q02">Tags_ols!$T$411</definedName>
    <definedName name="CBOOM_4Q03" localSheetId="10">Tags!$Y$411</definedName>
    <definedName name="CBOOM_4Q03">Tags_ols!$Y$411</definedName>
    <definedName name="CBOOM_4Q04" localSheetId="10">Tags!$AD$411</definedName>
    <definedName name="CBOOM_4Q04">Tags_ols!$AD$411</definedName>
    <definedName name="CBOOM_4Q05" localSheetId="10">Tags!$AI$411</definedName>
    <definedName name="CBOOM_4Q05">Tags_ols!$AI$411</definedName>
    <definedName name="CBOOM_4Q06" localSheetId="10">Tags!$AN$411</definedName>
    <definedName name="CBOOM_4Q06">Tags_ols!$AN$411</definedName>
    <definedName name="CBOOM_4Q07" localSheetId="10">Tags!$AS$411</definedName>
    <definedName name="CBOOM_4Q07">Tags_ols!$AS$411</definedName>
    <definedName name="CBOOM_4Q08" localSheetId="10">Tags!$AX$411</definedName>
    <definedName name="CBOOM_4Q08">Tags_ols!$AX$411</definedName>
    <definedName name="CBOOM_4Q09" localSheetId="10">Tags!$BC$411</definedName>
    <definedName name="CBOOM_4Q09">Tags_ols!$BC$411</definedName>
    <definedName name="CBOOM_4Q10" localSheetId="10">Tags!$BH$411</definedName>
    <definedName name="CBOOM_4Q10">Tags_ols!$BH$411</definedName>
    <definedName name="CBOOM_4Q11" localSheetId="10">Tags!$BM$411</definedName>
    <definedName name="CBOOM_4Q11">Tags_ols!$BM$411</definedName>
    <definedName name="CBOOM_4Q12" localSheetId="10">Tags!$BR$411</definedName>
    <definedName name="CBOOM_4Q12">Tags_ols!$BR$411</definedName>
    <definedName name="CBOOM_4Q13" localSheetId="10">Tags!$BW$411</definedName>
    <definedName name="CBOOM_4Q13">Tags_ols!$BW$411</definedName>
    <definedName name="CBOOM_4Q14" localSheetId="10">Tags!$CB$411</definedName>
    <definedName name="CBOOM_4Q14">Tags_ols!$CB$411</definedName>
    <definedName name="CBOOM_4Q15" localSheetId="10">Tags!$CG$411</definedName>
    <definedName name="CBOOM_4Q15">Tags_ols!$CG$411</definedName>
    <definedName name="CBOOM_4Q16" localSheetId="10">Tags!$CL$411</definedName>
    <definedName name="CBOOM_4Q16">Tags_ols!$CL$411</definedName>
    <definedName name="CBOOM_4Q17" localSheetId="10">Tags!$CQ$411</definedName>
    <definedName name="CBOOM_4Q17">Tags_ols!$CQ$411</definedName>
    <definedName name="CBOOM_4Q18" localSheetId="10">Tags!$CV$411</definedName>
    <definedName name="CBOOM_4Q18">Tags_ols!$CV$411</definedName>
    <definedName name="CBOOM_4Q19" localSheetId="10">Tags!$DA$411</definedName>
    <definedName name="CBOOM_4Q19">Tags_ols!$DA$411</definedName>
    <definedName name="CBOOM_4Q20" localSheetId="10">Tags!$DF$411</definedName>
    <definedName name="CBOOM_4Q20">Tags_ols!$DF$411</definedName>
    <definedName name="CBOOM_4Q21">Tags!$DK$411</definedName>
    <definedName name="CBOOM_4Q22">Tags!$DP$411</definedName>
    <definedName name="CBOOM_4Q23">Tags!$DU$411</definedName>
    <definedName name="CBOOM_4Q24">Tags!$DZ$411</definedName>
    <definedName name="CCNCND_1995">Tags_ols!$B$410</definedName>
    <definedName name="CCNCND_1996">Tags_ols!$C$410</definedName>
    <definedName name="CCNCND_1997">Tags_ols!$D$410</definedName>
    <definedName name="CCNCND_1998">Tags_ols!$E$410</definedName>
    <definedName name="CCNCND_1999">Tags_ols!$F$410</definedName>
    <definedName name="CCNCND_1Q00" localSheetId="10">Tags!$G$410</definedName>
    <definedName name="CCNCND_1Q00">Tags_ols!$G$410</definedName>
    <definedName name="CCNCND_1Q01" localSheetId="10">Tags!$L$410</definedName>
    <definedName name="CCNCND_1Q01">Tags_ols!$L$410</definedName>
    <definedName name="CCNCND_1Q02" localSheetId="10">Tags!$Q$410</definedName>
    <definedName name="CCNCND_1Q02">Tags_ols!$Q$410</definedName>
    <definedName name="CCNCND_1Q03" localSheetId="10">Tags!$V$410</definedName>
    <definedName name="CCNCND_1Q03">Tags_ols!$V$410</definedName>
    <definedName name="CCNCND_1Q04" localSheetId="10">Tags!$AA$410</definedName>
    <definedName name="CCNCND_1Q04">Tags_ols!$AA$410</definedName>
    <definedName name="CCNCND_1Q05" localSheetId="10">Tags!$AF$410</definedName>
    <definedName name="CCNCND_1Q05">Tags_ols!$AF$410</definedName>
    <definedName name="CCNCND_1Q06" localSheetId="10">Tags!$AK$410</definedName>
    <definedName name="CCNCND_1Q06">Tags_ols!$AK$410</definedName>
    <definedName name="CCNCND_1Q07" localSheetId="10">Tags!$AP$410</definedName>
    <definedName name="CCNCND_1Q07">Tags_ols!$AP$410</definedName>
    <definedName name="CCNCND_1Q08" localSheetId="10">Tags!$AU$410</definedName>
    <definedName name="CCNCND_1Q08">Tags_ols!$AU$410</definedName>
    <definedName name="CCNCND_1Q09" localSheetId="10">Tags!$AZ$410</definedName>
    <definedName name="CCNCND_1Q09">Tags_ols!$AZ$410</definedName>
    <definedName name="CCNCND_1Q10" localSheetId="10">Tags!$BE$410</definedName>
    <definedName name="CCNCND_1Q10">Tags_ols!$BE$410</definedName>
    <definedName name="CCNCND_1Q11" localSheetId="10">Tags!$BJ$410</definedName>
    <definedName name="CCNCND_1Q11">Tags_ols!$BJ$410</definedName>
    <definedName name="CCNCND_1Q12" localSheetId="10">Tags!$BO$410</definedName>
    <definedName name="CCNCND_1Q12">Tags_ols!$BO$410</definedName>
    <definedName name="CCNCND_1Q13" localSheetId="10">Tags!$BT$410</definedName>
    <definedName name="CCNCND_1Q13">Tags_ols!$BT$410</definedName>
    <definedName name="CCNCND_1Q14" localSheetId="10">Tags!$BY$410</definedName>
    <definedName name="CCNCND_1Q14">Tags_ols!$BY$410</definedName>
    <definedName name="CCNCND_1Q15" localSheetId="10">Tags!$CD$410</definedName>
    <definedName name="CCNCND_1Q15">Tags_ols!$CD$410</definedName>
    <definedName name="CCNCND_1Q16" localSheetId="10">Tags!$CI$410</definedName>
    <definedName name="CCNCND_1Q16">Tags_ols!$CI$410</definedName>
    <definedName name="CCNCND_1Q17" localSheetId="10">Tags!$CN$410</definedName>
    <definedName name="CCNCND_1Q17">Tags_ols!$CN$410</definedName>
    <definedName name="CCNCND_1Q18" localSheetId="10">Tags!$CS$410</definedName>
    <definedName name="CCNCND_1Q18">Tags_ols!$CS$410</definedName>
    <definedName name="CCNCND_1Q19" localSheetId="10">Tags!$CX$410</definedName>
    <definedName name="CCNCND_1Q19">Tags_ols!$CX$410</definedName>
    <definedName name="CCNCND_1Q20" localSheetId="10">Tags!$DC$410</definedName>
    <definedName name="CCNCND_1Q20">Tags_ols!$DC$410</definedName>
    <definedName name="CCNCND_1Q21">Tags!$DH$410</definedName>
    <definedName name="CCNCND_1Q22">Tags!$DM$410</definedName>
    <definedName name="CCNCND_1Q23">Tags!$DR$410</definedName>
    <definedName name="CCNCND_1Q24">Tags!$DW$410</definedName>
    <definedName name="CCNCND_2000" localSheetId="10">Tags!$K$410</definedName>
    <definedName name="CCNCND_2000">Tags_ols!$K$410</definedName>
    <definedName name="CCNCND_2001" localSheetId="10">Tags!$P$410</definedName>
    <definedName name="CCNCND_2001">Tags_ols!$P$410</definedName>
    <definedName name="CCNCND_2002" localSheetId="10">Tags!$U$410</definedName>
    <definedName name="CCNCND_2002">Tags_ols!$U$410</definedName>
    <definedName name="CCNCND_2003" localSheetId="10">Tags!$Z$410</definedName>
    <definedName name="CCNCND_2003">Tags_ols!$Z$410</definedName>
    <definedName name="CCNCND_2004" localSheetId="10">Tags!$AE$410</definedName>
    <definedName name="CCNCND_2004">Tags_ols!$AE$410</definedName>
    <definedName name="CCNCND_2005" localSheetId="10">Tags!$AJ$410</definedName>
    <definedName name="CCNCND_2005">Tags_ols!$AJ$410</definedName>
    <definedName name="CCNCND_2006" localSheetId="10">Tags!$AO$410</definedName>
    <definedName name="CCNCND_2006">Tags_ols!$AO$410</definedName>
    <definedName name="CCNCND_2007" localSheetId="10">Tags!$AT$410</definedName>
    <definedName name="CCNCND_2007">Tags_ols!$AT$410</definedName>
    <definedName name="CCNCND_2008" localSheetId="10">Tags!$AY$410</definedName>
    <definedName name="CCNCND_2008">Tags_ols!$AY$410</definedName>
    <definedName name="CCNCND_2009" localSheetId="10">Tags!$BD$410</definedName>
    <definedName name="CCNCND_2009">Tags_ols!$BD$410</definedName>
    <definedName name="CCNCND_2010" localSheetId="10">Tags!$BI$410</definedName>
    <definedName name="CCNCND_2010">Tags_ols!$BI$410</definedName>
    <definedName name="CCNCND_2011" localSheetId="10">Tags!$BN$410</definedName>
    <definedName name="CCNCND_2011">Tags_ols!$BN$410</definedName>
    <definedName name="CCNCND_2012" localSheetId="10">Tags!$BS$410</definedName>
    <definedName name="CCNCND_2012">Tags_ols!$BS$410</definedName>
    <definedName name="CCNCND_2013" localSheetId="10">Tags!$BX$410</definedName>
    <definedName name="CCNCND_2013">Tags_ols!$BX$410</definedName>
    <definedName name="CCNCND_2014" localSheetId="10">Tags!$CC$410</definedName>
    <definedName name="CCNCND_2014">Tags_ols!$CC$410</definedName>
    <definedName name="CCNCND_2015" localSheetId="10">Tags!#REF!</definedName>
    <definedName name="CCNCND_2015">Tags!$CH$410</definedName>
    <definedName name="CCNCND_2016" localSheetId="10">Tags!$CM$410</definedName>
    <definedName name="CCNCND_2016">Tags_ols!$CM$410</definedName>
    <definedName name="CCNCND_2017" localSheetId="10">Tags!$CR$410</definedName>
    <definedName name="CCNCND_2017">Tags_ols!$CR$410</definedName>
    <definedName name="CCNCND_2018" localSheetId="10">Tags!$CW$410</definedName>
    <definedName name="CCNCND_2018">Tags_ols!$CW$410</definedName>
    <definedName name="CCNCND_2019" localSheetId="10">Tags!$DB$410</definedName>
    <definedName name="CCNCND_2019">Tags_ols!$DB$410</definedName>
    <definedName name="CCNCND_2020" localSheetId="10">Tags!$DG$410</definedName>
    <definedName name="CCNCND_2020">Tags_ols!$DG$410</definedName>
    <definedName name="CCNCND_2021">Tags!$DL$410</definedName>
    <definedName name="CCNCND_2022">Tags!$DQ$410</definedName>
    <definedName name="CCNCND_2023">Tags!$DV$410</definedName>
    <definedName name="CCNCND_2024">Tags!$EA$410</definedName>
    <definedName name="CCNCND_2Q00" localSheetId="10">Tags!$H$410</definedName>
    <definedName name="CCNCND_2Q00">Tags_ols!$H$410</definedName>
    <definedName name="CCNCND_2Q01" localSheetId="10">Tags!$M$410</definedName>
    <definedName name="CCNCND_2Q01">Tags_ols!$M$410</definedName>
    <definedName name="CCNCND_2Q02" localSheetId="10">Tags!$R$410</definedName>
    <definedName name="CCNCND_2Q02">Tags_ols!$R$410</definedName>
    <definedName name="CCNCND_2Q03" localSheetId="10">Tags!$W$410</definedName>
    <definedName name="CCNCND_2Q03">Tags_ols!$W$410</definedName>
    <definedName name="CCNCND_2Q04" localSheetId="10">Tags!$AB$410</definedName>
    <definedName name="CCNCND_2Q04">Tags_ols!$AB$410</definedName>
    <definedName name="CCNCND_2Q05" localSheetId="10">Tags!$AG$410</definedName>
    <definedName name="CCNCND_2Q05">Tags_ols!$AG$410</definedName>
    <definedName name="CCNCND_2Q06" localSheetId="10">Tags!$AL$410</definedName>
    <definedName name="CCNCND_2Q06">Tags_ols!$AL$410</definedName>
    <definedName name="CCNCND_2Q07" localSheetId="10">Tags!$AQ$410</definedName>
    <definedName name="CCNCND_2Q07">Tags_ols!$AQ$410</definedName>
    <definedName name="CCNCND_2Q08" localSheetId="10">Tags!$AV$410</definedName>
    <definedName name="CCNCND_2Q08">Tags_ols!$AV$410</definedName>
    <definedName name="CCNCND_2Q09" localSheetId="10">Tags!$BA$410</definedName>
    <definedName name="CCNCND_2Q09">Tags_ols!$BA$410</definedName>
    <definedName name="CCNCND_2Q10" localSheetId="10">Tags!$BF$410</definedName>
    <definedName name="CCNCND_2Q10">Tags_ols!$BF$410</definedName>
    <definedName name="CCNCND_2Q11" localSheetId="10">Tags!$BK$410</definedName>
    <definedName name="CCNCND_2Q11">Tags_ols!$BK$410</definedName>
    <definedName name="CCNCND_2Q12" localSheetId="10">Tags!$BP$410</definedName>
    <definedName name="CCNCND_2Q12">Tags_ols!$BP$410</definedName>
    <definedName name="CCNCND_2Q13" localSheetId="10">Tags!$BU$410</definedName>
    <definedName name="CCNCND_2Q13">Tags_ols!$BU$410</definedName>
    <definedName name="CCNCND_2Q14" localSheetId="10">Tags!$BZ$410</definedName>
    <definedName name="CCNCND_2Q14">Tags_ols!$BZ$410</definedName>
    <definedName name="CCNCND_2Q15" localSheetId="10">Tags!$CE$410</definedName>
    <definedName name="CCNCND_2Q15">Tags_ols!$CE$410</definedName>
    <definedName name="CCNCND_2Q16" localSheetId="10">Tags!$CJ$410</definedName>
    <definedName name="CCNCND_2Q16">Tags_ols!$CJ$410</definedName>
    <definedName name="CCNCND_2Q17" localSheetId="10">Tags!$CO$410</definedName>
    <definedName name="CCNCND_2Q17">Tags_ols!$CO$410</definedName>
    <definedName name="CCNCND_2Q18" localSheetId="10">Tags!$CT$410</definedName>
    <definedName name="CCNCND_2Q18">Tags_ols!$CT$410</definedName>
    <definedName name="CCNCND_2Q19" localSheetId="10">Tags!$CY$410</definedName>
    <definedName name="CCNCND_2Q19">Tags_ols!$CY$410</definedName>
    <definedName name="CCNCND_2Q20" localSheetId="10">Tags!$DD$410</definedName>
    <definedName name="CCNCND_2Q20">Tags_ols!$DD$410</definedName>
    <definedName name="CCNCND_2Q21">Tags!$DI$410</definedName>
    <definedName name="CCNCND_2Q22">Tags!$DN$410</definedName>
    <definedName name="CCNCND_2Q23">Tags!$DS$410</definedName>
    <definedName name="CCNCND_2Q24">Tags!$DX$410</definedName>
    <definedName name="CCNCND_3Q00" localSheetId="10">Tags!$I$410</definedName>
    <definedName name="CCNCND_3Q00">Tags_ols!$I$410</definedName>
    <definedName name="CCNCND_3Q01" localSheetId="10">Tags!$N$410</definedName>
    <definedName name="CCNCND_3Q01">Tags_ols!$N$410</definedName>
    <definedName name="CCNCND_3Q02" localSheetId="10">Tags!$S$410</definedName>
    <definedName name="CCNCND_3Q02">Tags_ols!$S$410</definedName>
    <definedName name="CCNCND_3Q03" localSheetId="10">Tags!$X$410</definedName>
    <definedName name="CCNCND_3Q03">Tags_ols!$X$410</definedName>
    <definedName name="CCNCND_3Q04" localSheetId="10">Tags!$AC$410</definedName>
    <definedName name="CCNCND_3Q04">Tags_ols!$AC$410</definedName>
    <definedName name="CCNCND_3Q05" localSheetId="10">Tags!$AH$410</definedName>
    <definedName name="CCNCND_3Q05">Tags_ols!$AH$410</definedName>
    <definedName name="CCNCND_3Q06" localSheetId="10">Tags!$AM$410</definedName>
    <definedName name="CCNCND_3Q06">Tags_ols!$AM$410</definedName>
    <definedName name="CCNCND_3Q07" localSheetId="10">Tags!$AR$410</definedName>
    <definedName name="CCNCND_3Q07">Tags_ols!$AR$410</definedName>
    <definedName name="CCNCND_3Q08" localSheetId="10">Tags!$AW$410</definedName>
    <definedName name="CCNCND_3Q08">Tags_ols!$AW$410</definedName>
    <definedName name="CCNCND_3Q09" localSheetId="10">Tags!$BB$410</definedName>
    <definedName name="CCNCND_3Q09">Tags_ols!$BB$410</definedName>
    <definedName name="CCNCND_3Q10" localSheetId="10">Tags!$BG$410</definedName>
    <definedName name="CCNCND_3Q10">Tags_ols!$BG$410</definedName>
    <definedName name="CCNCND_3Q11" localSheetId="10">Tags!$BL$410</definedName>
    <definedName name="CCNCND_3Q11">Tags_ols!$BL$410</definedName>
    <definedName name="CCNCND_3Q12" localSheetId="10">Tags!$BQ$410</definedName>
    <definedName name="CCNCND_3Q12">Tags_ols!$BQ$410</definedName>
    <definedName name="CCNCND_3Q13" localSheetId="10">Tags!$BV$410</definedName>
    <definedName name="CCNCND_3Q13">Tags_ols!$BV$410</definedName>
    <definedName name="CCNCND_3Q14" localSheetId="10">Tags!$CA$410</definedName>
    <definedName name="CCNCND_3Q14">Tags_ols!$CA$410</definedName>
    <definedName name="CCNCND_3Q15" localSheetId="10">Tags!$CF$410</definedName>
    <definedName name="CCNCND_3Q15">Tags_ols!$CF$410</definedName>
    <definedName name="CCNCND_3Q16" localSheetId="10">Tags!$CK$410</definedName>
    <definedName name="CCNCND_3Q16">Tags_ols!$CK$410</definedName>
    <definedName name="CCNCND_3Q17" localSheetId="10">Tags!$CP$410</definedName>
    <definedName name="CCNCND_3Q17">Tags_ols!$CP$410</definedName>
    <definedName name="CCNCND_3Q18" localSheetId="10">Tags!$CU$410</definedName>
    <definedName name="CCNCND_3Q18">Tags_ols!$CU$410</definedName>
    <definedName name="CCNCND_3Q19" localSheetId="10">Tags!$CZ$410</definedName>
    <definedName name="CCNCND_3Q19">Tags_ols!$CZ$410</definedName>
    <definedName name="CCNCND_3Q20" localSheetId="10">Tags!$DE$410</definedName>
    <definedName name="CCNCND_3Q20">Tags_ols!$DE$410</definedName>
    <definedName name="CCNCND_3Q21">Tags!$DJ$410</definedName>
    <definedName name="CCNCND_3Q22">Tags!$DO$410</definedName>
    <definedName name="CCNCND_3Q23">Tags!$DT$410</definedName>
    <definedName name="CCNCND_3Q24">Tags!$DY$410</definedName>
    <definedName name="CCNCND_4Q00" localSheetId="10">Tags!$J$410</definedName>
    <definedName name="CCNCND_4Q00">Tags_ols!$J$410</definedName>
    <definedName name="CCNCND_4Q01" localSheetId="10">Tags!$O$410</definedName>
    <definedName name="CCNCND_4Q01">Tags_ols!$O$410</definedName>
    <definedName name="CCNCND_4Q02" localSheetId="10">Tags!$T$410</definedName>
    <definedName name="CCNCND_4Q02">Tags_ols!$T$410</definedName>
    <definedName name="CCNCND_4Q03" localSheetId="10">Tags!$Y$410</definedName>
    <definedName name="CCNCND_4Q03">Tags_ols!$Y$410</definedName>
    <definedName name="CCNCND_4Q04" localSheetId="10">Tags!$AD$410</definedName>
    <definedName name="CCNCND_4Q04">Tags_ols!$AD$410</definedName>
    <definedName name="CCNCND_4Q05" localSheetId="10">Tags!$AI$410</definedName>
    <definedName name="CCNCND_4Q05">Tags_ols!$AI$410</definedName>
    <definedName name="CCNCND_4Q06" localSheetId="10">Tags!$AN$410</definedName>
    <definedName name="CCNCND_4Q06">Tags_ols!$AN$410</definedName>
    <definedName name="CCNCND_4Q07" localSheetId="10">Tags!$AS$410</definedName>
    <definedName name="CCNCND_4Q07">Tags_ols!$AS$410</definedName>
    <definedName name="CCNCND_4Q08" localSheetId="10">Tags!$AX$410</definedName>
    <definedName name="CCNCND_4Q08">Tags_ols!$AX$410</definedName>
    <definedName name="CCNCND_4Q09" localSheetId="10">Tags!$BC$410</definedName>
    <definedName name="CCNCND_4Q09">Tags_ols!$BC$410</definedName>
    <definedName name="CCNCND_4Q10" localSheetId="10">Tags!$BH$410</definedName>
    <definedName name="CCNCND_4Q10">Tags_ols!$BH$410</definedName>
    <definedName name="CCNCND_4Q11" localSheetId="10">Tags!$BM$410</definedName>
    <definedName name="CCNCND_4Q11">Tags_ols!$BM$410</definedName>
    <definedName name="CCNCND_4Q12" localSheetId="10">Tags!$BR$410</definedName>
    <definedName name="CCNCND_4Q12">Tags_ols!$BR$410</definedName>
    <definedName name="CCNCND_4Q13" localSheetId="10">Tags!$BW$410</definedName>
    <definedName name="CCNCND_4Q13">Tags_ols!$BW$410</definedName>
    <definedName name="CCNCND_4Q14" localSheetId="10">Tags!$CB$410</definedName>
    <definedName name="CCNCND_4Q14">Tags_ols!$CB$410</definedName>
    <definedName name="CCNCND_4Q15" localSheetId="10">Tags!$CG$410</definedName>
    <definedName name="CCNCND_4Q15">Tags_ols!$CG$410</definedName>
    <definedName name="CCNCND_4Q16" localSheetId="10">Tags!$CL$410</definedName>
    <definedName name="CCNCND_4Q16">Tags_ols!$CL$410</definedName>
    <definedName name="CCNCND_4Q17" localSheetId="10">Tags!$CQ$410</definedName>
    <definedName name="CCNCND_4Q17">Tags_ols!$CQ$410</definedName>
    <definedName name="CCNCND_4Q18" localSheetId="10">Tags!$CV$410</definedName>
    <definedName name="CCNCND_4Q18">Tags_ols!$CV$410</definedName>
    <definedName name="CCNCND_4Q19" localSheetId="10">Tags!$DA$410</definedName>
    <definedName name="CCNCND_4Q19">Tags_ols!$DA$410</definedName>
    <definedName name="CCNCND_4Q20" localSheetId="10">Tags!$DF$410</definedName>
    <definedName name="CCNCND_4Q20">Tags_ols!$DF$410</definedName>
    <definedName name="CCNCND_4Q21">Tags!$DK$410</definedName>
    <definedName name="CCNCND_4Q22">Tags!$DP$410</definedName>
    <definedName name="CCNCND_4Q23">Tags!$DU$410</definedName>
    <definedName name="CCNCND_4Q24">Tags!$DZ$410</definedName>
    <definedName name="Cellsdown">#REF!</definedName>
    <definedName name="CEVNPA_1995">Tags_ols!$B$413</definedName>
    <definedName name="CEVNPA_1996">Tags_ols!$C$413</definedName>
    <definedName name="CEVNPA_1997">Tags_ols!$D$413</definedName>
    <definedName name="CEVNPA_1998">Tags_ols!$E$413</definedName>
    <definedName name="CEVNPA_1999">Tags_ols!$F$413</definedName>
    <definedName name="CEVNPA_1Q00" localSheetId="10">Tags!$G$413</definedName>
    <definedName name="CEVNPA_1Q00">Tags_ols!$G$413</definedName>
    <definedName name="CEVNPA_1Q01" localSheetId="10">Tags!$L$413</definedName>
    <definedName name="CEVNPA_1Q01">Tags_ols!$L$413</definedName>
    <definedName name="CEVNPA_1Q02" localSheetId="10">Tags!$Q$413</definedName>
    <definedName name="CEVNPA_1Q02">Tags_ols!$Q$413</definedName>
    <definedName name="CEVNPA_1Q03" localSheetId="10">Tags!$V$413</definedName>
    <definedName name="CEVNPA_1Q03">Tags_ols!$V$413</definedName>
    <definedName name="CEVNPA_1Q04" localSheetId="10">Tags!$AA$413</definedName>
    <definedName name="CEVNPA_1Q04">Tags_ols!$AA$413</definedName>
    <definedName name="CEVNPA_1Q05" localSheetId="10">Tags!$AF$413</definedName>
    <definedName name="CEVNPA_1Q05">Tags_ols!$AF$413</definedName>
    <definedName name="CEVNPA_1Q06" localSheetId="10">Tags!$AK$413</definedName>
    <definedName name="CEVNPA_1Q06">Tags_ols!$AK$413</definedName>
    <definedName name="CEVNPA_1Q07" localSheetId="10">Tags!$AP$413</definedName>
    <definedName name="CEVNPA_1Q07">Tags_ols!$AP$413</definedName>
    <definedName name="CEVNPA_1Q08" localSheetId="10">Tags!$AU$413</definedName>
    <definedName name="CEVNPA_1Q08">Tags_ols!$AU$413</definedName>
    <definedName name="CEVNPA_1Q09" localSheetId="10">Tags!$AZ$413</definedName>
    <definedName name="CEVNPA_1Q09">Tags_ols!$AZ$413</definedName>
    <definedName name="CEVNPA_1Q10" localSheetId="10">Tags!$BE$413</definedName>
    <definedName name="CEVNPA_1Q10">Tags_ols!$BE$413</definedName>
    <definedName name="CEVNPA_1Q11" localSheetId="10">Tags!$BJ$413</definedName>
    <definedName name="CEVNPA_1Q11">Tags_ols!$BJ$413</definedName>
    <definedName name="CEVNPA_1Q12" localSheetId="10">Tags!$BO$413</definedName>
    <definedName name="CEVNPA_1Q12">Tags_ols!$BO$413</definedName>
    <definedName name="CEVNPA_1Q13" localSheetId="10">Tags!$BT$413</definedName>
    <definedName name="CEVNPA_1Q13">Tags_ols!$BT$413</definedName>
    <definedName name="CEVNPA_1Q14" localSheetId="10">Tags!$BY$413</definedName>
    <definedName name="CEVNPA_1Q14">Tags_ols!$BY$413</definedName>
    <definedName name="CEVNPA_1Q15" localSheetId="10">Tags!$CD$413</definedName>
    <definedName name="CEVNPA_1Q15">Tags_ols!$CD$413</definedName>
    <definedName name="CEVNPA_1Q16" localSheetId="10">Tags!$CI$413</definedName>
    <definedName name="CEVNPA_1Q16">Tags_ols!$CI$413</definedName>
    <definedName name="CEVNPA_1Q17" localSheetId="10">Tags!$CN$413</definedName>
    <definedName name="CEVNPA_1Q17">Tags_ols!$CN$413</definedName>
    <definedName name="CEVNPA_1Q18" localSheetId="10">Tags!$CS$413</definedName>
    <definedName name="CEVNPA_1Q18">Tags_ols!$CS$413</definedName>
    <definedName name="CEVNPA_1Q19" localSheetId="10">Tags!$CX$413</definedName>
    <definedName name="CEVNPA_1Q19">Tags_ols!$CX$413</definedName>
    <definedName name="CEVNPA_1Q20" localSheetId="10">Tags!$DC$413</definedName>
    <definedName name="CEVNPA_1Q20">Tags_ols!$DC$413</definedName>
    <definedName name="CEVNPA_1Q21">Tags!$DH$413</definedName>
    <definedName name="CEVNPA_1Q22">Tags!$DM$413</definedName>
    <definedName name="CEVNPA_1Q23">Tags!$DR$413</definedName>
    <definedName name="CEVNPA_1Q24">Tags!$DW$413</definedName>
    <definedName name="CEVNPA_2000" localSheetId="10">Tags!$K$413</definedName>
    <definedName name="CEVNPA_2000">Tags_ols!$K$413</definedName>
    <definedName name="CEVNPA_2001" localSheetId="10">Tags!$P$413</definedName>
    <definedName name="CEVNPA_2001">Tags_ols!$P$413</definedName>
    <definedName name="CEVNPA_2002" localSheetId="10">Tags!$U$413</definedName>
    <definedName name="CEVNPA_2002">Tags_ols!$U$413</definedName>
    <definedName name="CEVNPA_2003" localSheetId="10">Tags!$Z$413</definedName>
    <definedName name="CEVNPA_2003">Tags_ols!$Z$413</definedName>
    <definedName name="CEVNPA_2004" localSheetId="10">Tags!$AE$413</definedName>
    <definedName name="CEVNPA_2004">Tags_ols!$AE$413</definedName>
    <definedName name="CEVNPA_2005" localSheetId="10">Tags!$AJ$413</definedName>
    <definedName name="CEVNPA_2005">Tags_ols!$AJ$413</definedName>
    <definedName name="CEVNPA_2006" localSheetId="10">Tags!$AO$413</definedName>
    <definedName name="CEVNPA_2006">Tags_ols!$AO$413</definedName>
    <definedName name="CEVNPA_2007" localSheetId="10">Tags!$AT$413</definedName>
    <definedName name="CEVNPA_2007">Tags_ols!$AT$413</definedName>
    <definedName name="CEVNPA_2008" localSheetId="10">Tags!$AY$413</definedName>
    <definedName name="CEVNPA_2008">Tags_ols!$AY$413</definedName>
    <definedName name="CEVNPA_2009" localSheetId="10">Tags!$BD$413</definedName>
    <definedName name="CEVNPA_2009">Tags_ols!$BD$413</definedName>
    <definedName name="CEVNPA_2010" localSheetId="10">Tags!$BI$413</definedName>
    <definedName name="CEVNPA_2010">Tags_ols!$BI$413</definedName>
    <definedName name="CEVNPA_2011" localSheetId="10">Tags!$BN$413</definedName>
    <definedName name="CEVNPA_2011">Tags_ols!$BN$413</definedName>
    <definedName name="CEVNPA_2012" localSheetId="10">Tags!$BS$413</definedName>
    <definedName name="CEVNPA_2012">Tags_ols!$BS$413</definedName>
    <definedName name="CEVNPA_2013" localSheetId="10">Tags!$BX$413</definedName>
    <definedName name="CEVNPA_2013">Tags_ols!$BX$413</definedName>
    <definedName name="CEVNPA_2014" localSheetId="10">Tags!$CC$413</definedName>
    <definedName name="CEVNPA_2014">Tags_ols!$CC$413</definedName>
    <definedName name="CEVNPA_2015" localSheetId="10">Tags!#REF!</definedName>
    <definedName name="CEVNPA_2015">Tags!$CH$413</definedName>
    <definedName name="CEVNPA_2016" localSheetId="10">Tags!$CM$413</definedName>
    <definedName name="CEVNPA_2016">Tags_ols!$CM$413</definedName>
    <definedName name="CEVNPA_2017" localSheetId="10">Tags!$CR$413</definedName>
    <definedName name="CEVNPA_2017">Tags_ols!$CR$413</definedName>
    <definedName name="CEVNPA_2018" localSheetId="10">Tags!$CW$413</definedName>
    <definedName name="CEVNPA_2018">Tags_ols!$CW$413</definedName>
    <definedName name="CEVNPA_2019" localSheetId="10">Tags!$DB$413</definedName>
    <definedName name="CEVNPA_2019">Tags_ols!$DB$413</definedName>
    <definedName name="CEVNPA_2020" localSheetId="10">Tags!$DG$413</definedName>
    <definedName name="CEVNPA_2020">Tags_ols!$DG$413</definedName>
    <definedName name="CEVNPA_2021">Tags!$DL$413</definedName>
    <definedName name="CEVNPA_2022">Tags!$DQ$413</definedName>
    <definedName name="CEVNPA_2023">Tags!$DV$413</definedName>
    <definedName name="CEVNPA_2024">Tags!$EA$413</definedName>
    <definedName name="CEVNPA_2Q00" localSheetId="10">Tags!$H$413</definedName>
    <definedName name="CEVNPA_2Q00">Tags_ols!$H$413</definedName>
    <definedName name="CEVNPA_2Q01" localSheetId="10">Tags!$M$413</definedName>
    <definedName name="CEVNPA_2Q01">Tags_ols!$M$413</definedName>
    <definedName name="CEVNPA_2Q02" localSheetId="10">Tags!$R$413</definedName>
    <definedName name="CEVNPA_2Q02">Tags_ols!$R$413</definedName>
    <definedName name="CEVNPA_2Q03" localSheetId="10">Tags!$W$413</definedName>
    <definedName name="CEVNPA_2Q03">Tags_ols!$W$413</definedName>
    <definedName name="CEVNPA_2Q04" localSheetId="10">Tags!$AB$413</definedName>
    <definedName name="CEVNPA_2Q04">Tags_ols!$AB$413</definedName>
    <definedName name="CEVNPA_2Q05" localSheetId="10">Tags!$AG$413</definedName>
    <definedName name="CEVNPA_2Q05">Tags_ols!$AG$413</definedName>
    <definedName name="CEVNPA_2Q06" localSheetId="10">Tags!$AL$413</definedName>
    <definedName name="CEVNPA_2Q06">Tags_ols!$AL$413</definedName>
    <definedName name="CEVNPA_2Q07" localSheetId="10">Tags!$AQ$413</definedName>
    <definedName name="CEVNPA_2Q07">Tags_ols!$AQ$413</definedName>
    <definedName name="CEVNPA_2Q08" localSheetId="10">Tags!$AV$413</definedName>
    <definedName name="CEVNPA_2Q08">Tags_ols!$AV$413</definedName>
    <definedName name="CEVNPA_2Q09" localSheetId="10">Tags!$BA$413</definedName>
    <definedName name="CEVNPA_2Q09">Tags_ols!$BA$413</definedName>
    <definedName name="CEVNPA_2Q10" localSheetId="10">Tags!$BF$413</definedName>
    <definedName name="CEVNPA_2Q10">Tags_ols!$BF$413</definedName>
    <definedName name="CEVNPA_2Q11" localSheetId="10">Tags!$BK$413</definedName>
    <definedName name="CEVNPA_2Q11">Tags_ols!$BK$413</definedName>
    <definedName name="CEVNPA_2Q12" localSheetId="10">Tags!$BP$413</definedName>
    <definedName name="CEVNPA_2Q12">Tags_ols!$BP$413</definedName>
    <definedName name="CEVNPA_2Q13" localSheetId="10">Tags!$BU$413</definedName>
    <definedName name="CEVNPA_2Q13">Tags_ols!$BU$413</definedName>
    <definedName name="CEVNPA_2Q14" localSheetId="10">Tags!$BZ$413</definedName>
    <definedName name="CEVNPA_2Q14">Tags_ols!$BZ$413</definedName>
    <definedName name="CEVNPA_2Q15" localSheetId="10">Tags!$CE$413</definedName>
    <definedName name="CEVNPA_2Q15">Tags_ols!$CE$413</definedName>
    <definedName name="CEVNPA_2Q16" localSheetId="10">Tags!$CJ$413</definedName>
    <definedName name="CEVNPA_2Q16">Tags_ols!$CJ$413</definedName>
    <definedName name="CEVNPA_2Q17" localSheetId="10">Tags!$CO$413</definedName>
    <definedName name="CEVNPA_2Q17">Tags_ols!$CO$413</definedName>
    <definedName name="CEVNPA_2Q18" localSheetId="10">Tags!$CT$413</definedName>
    <definedName name="CEVNPA_2Q18">Tags_ols!$CT$413</definedName>
    <definedName name="CEVNPA_2Q19" localSheetId="10">Tags!$CY$413</definedName>
    <definedName name="CEVNPA_2Q19">Tags_ols!$CY$413</definedName>
    <definedName name="CEVNPA_2Q20" localSheetId="10">Tags!$DD$413</definedName>
    <definedName name="CEVNPA_2Q20">Tags_ols!$DD$413</definedName>
    <definedName name="CEVNPA_2Q21">Tags!$DI$413</definedName>
    <definedName name="CEVNPA_2Q22">Tags!$DN$413</definedName>
    <definedName name="CEVNPA_2Q23">Tags!$DS$413</definedName>
    <definedName name="CEVNPA_2Q24">Tags!$DX$413</definedName>
    <definedName name="CEVNPA_3Q00" localSheetId="10">Tags!$I$413</definedName>
    <definedName name="CEVNPA_3Q00">Tags_ols!$I$413</definedName>
    <definedName name="CEVNPA_3Q01" localSheetId="10">Tags!$N$413</definedName>
    <definedName name="CEVNPA_3Q01">Tags_ols!$N$413</definedName>
    <definedName name="CEVNPA_3Q02" localSheetId="10">Tags!$S$413</definedName>
    <definedName name="CEVNPA_3Q02">Tags_ols!$S$413</definedName>
    <definedName name="CEVNPA_3Q03" localSheetId="10">Tags!$X$413</definedName>
    <definedName name="CEVNPA_3Q03">Tags_ols!$X$413</definedName>
    <definedName name="CEVNPA_3Q04" localSheetId="10">Tags!$AC$413</definedName>
    <definedName name="CEVNPA_3Q04">Tags_ols!$AC$413</definedName>
    <definedName name="CEVNPA_3Q05" localSheetId="10">Tags!$AH$413</definedName>
    <definedName name="CEVNPA_3Q05">Tags_ols!$AH$413</definedName>
    <definedName name="CEVNPA_3Q06" localSheetId="10">Tags!$AM$413</definedName>
    <definedName name="CEVNPA_3Q06">Tags_ols!$AM$413</definedName>
    <definedName name="CEVNPA_3Q07" localSheetId="10">Tags!$AR$413</definedName>
    <definedName name="CEVNPA_3Q07">Tags_ols!$AR$413</definedName>
    <definedName name="CEVNPA_3Q08" localSheetId="10">Tags!$AW$413</definedName>
    <definedName name="CEVNPA_3Q08">Tags_ols!$AW$413</definedName>
    <definedName name="CEVNPA_3Q09" localSheetId="10">Tags!$BB$413</definedName>
    <definedName name="CEVNPA_3Q09">Tags_ols!$BB$413</definedName>
    <definedName name="CEVNPA_3Q10" localSheetId="10">Tags!$BG$413</definedName>
    <definedName name="CEVNPA_3Q10">Tags_ols!$BG$413</definedName>
    <definedName name="CEVNPA_3Q11" localSheetId="10">Tags!$BL$413</definedName>
    <definedName name="CEVNPA_3Q11">Tags_ols!$BL$413</definedName>
    <definedName name="CEVNPA_3Q12" localSheetId="10">Tags!$BQ$413</definedName>
    <definedName name="CEVNPA_3Q12">Tags_ols!$BQ$413</definedName>
    <definedName name="CEVNPA_3Q13" localSheetId="10">Tags!$BV$413</definedName>
    <definedName name="CEVNPA_3Q13">Tags_ols!$BV$413</definedName>
    <definedName name="CEVNPA_3Q14" localSheetId="10">Tags!$CA$413</definedName>
    <definedName name="CEVNPA_3Q14">Tags_ols!$CA$413</definedName>
    <definedName name="CEVNPA_3Q15" localSheetId="10">Tags!$CF$413</definedName>
    <definedName name="CEVNPA_3Q15">Tags_ols!$CF$413</definedName>
    <definedName name="CEVNPA_3Q16" localSheetId="10">Tags!$CK$413</definedName>
    <definedName name="CEVNPA_3Q16">Tags_ols!$CK$413</definedName>
    <definedName name="CEVNPA_3Q17" localSheetId="10">Tags!$CP$413</definedName>
    <definedName name="CEVNPA_3Q17">Tags_ols!$CP$413</definedName>
    <definedName name="CEVNPA_3Q18" localSheetId="10">Tags!$CU$413</definedName>
    <definedName name="CEVNPA_3Q18">Tags_ols!$CU$413</definedName>
    <definedName name="CEVNPA_3Q19" localSheetId="10">Tags!$CZ$413</definedName>
    <definedName name="CEVNPA_3Q19">Tags_ols!$CZ$413</definedName>
    <definedName name="CEVNPA_3Q20" localSheetId="10">Tags!$DE$413</definedName>
    <definedName name="CEVNPA_3Q20">Tags_ols!$DE$413</definedName>
    <definedName name="CEVNPA_3Q21">Tags!$DJ$413</definedName>
    <definedName name="CEVNPA_3Q22">Tags!$DO$413</definedName>
    <definedName name="CEVNPA_3Q23">Tags!$DT$413</definedName>
    <definedName name="CEVNPA_3Q24">Tags!$DY$413</definedName>
    <definedName name="CEVNPA_4Q00" localSheetId="10">Tags!$J$413</definedName>
    <definedName name="CEVNPA_4Q00">Tags_ols!$J$413</definedName>
    <definedName name="CEVNPA_4Q01" localSheetId="10">Tags!$O$413</definedName>
    <definedName name="CEVNPA_4Q01">Tags_ols!$O$413</definedName>
    <definedName name="CEVNPA_4Q02" localSheetId="10">Tags!$T$413</definedName>
    <definedName name="CEVNPA_4Q02">Tags_ols!$T$413</definedName>
    <definedName name="CEVNPA_4Q03" localSheetId="10">Tags!$Y$413</definedName>
    <definedName name="CEVNPA_4Q03">Tags_ols!$Y$413</definedName>
    <definedName name="CEVNPA_4Q04" localSheetId="10">Tags!$AD$413</definedName>
    <definedName name="CEVNPA_4Q04">Tags_ols!$AD$413</definedName>
    <definedName name="CEVNPA_4Q05" localSheetId="10">Tags!$AI$413</definedName>
    <definedName name="CEVNPA_4Q05">Tags_ols!$AI$413</definedName>
    <definedName name="CEVNPA_4Q06" localSheetId="10">Tags!$AN$413</definedName>
    <definedName name="CEVNPA_4Q06">Tags_ols!$AN$413</definedName>
    <definedName name="CEVNPA_4Q07" localSheetId="10">Tags!$AS$413</definedName>
    <definedName name="CEVNPA_4Q07">Tags_ols!$AS$413</definedName>
    <definedName name="CEVNPA_4Q08" localSheetId="10">Tags!$AX$413</definedName>
    <definedName name="CEVNPA_4Q08">Tags_ols!$AX$413</definedName>
    <definedName name="CEVNPA_4Q09" localSheetId="10">Tags!$BC$413</definedName>
    <definedName name="CEVNPA_4Q09">Tags_ols!$BC$413</definedName>
    <definedName name="CEVNPA_4Q10" localSheetId="10">Tags!$BH$413</definedName>
    <definedName name="CEVNPA_4Q10">Tags_ols!$BH$413</definedName>
    <definedName name="CEVNPA_4Q11" localSheetId="10">Tags!$BM$413</definedName>
    <definedName name="CEVNPA_4Q11">Tags_ols!$BM$413</definedName>
    <definedName name="CEVNPA_4Q12" localSheetId="10">Tags!$BR$413</definedName>
    <definedName name="CEVNPA_4Q12">Tags_ols!$BR$413</definedName>
    <definedName name="CEVNPA_4Q13" localSheetId="10">Tags!$BW$413</definedName>
    <definedName name="CEVNPA_4Q13">Tags_ols!$BW$413</definedName>
    <definedName name="CEVNPA_4Q14" localSheetId="10">Tags!$CB$413</definedName>
    <definedName name="CEVNPA_4Q14">Tags_ols!$CB$413</definedName>
    <definedName name="CEVNPA_4Q15" localSheetId="10">Tags!$CG$413</definedName>
    <definedName name="CEVNPA_4Q15">Tags_ols!$CG$413</definedName>
    <definedName name="CEVNPA_4Q16" localSheetId="10">Tags!$CL$413</definedName>
    <definedName name="CEVNPA_4Q16">Tags_ols!$CL$413</definedName>
    <definedName name="CEVNPA_4Q17" localSheetId="10">Tags!$CQ$413</definedName>
    <definedName name="CEVNPA_4Q17">Tags_ols!$CQ$413</definedName>
    <definedName name="CEVNPA_4Q18" localSheetId="10">Tags!$CV$413</definedName>
    <definedName name="CEVNPA_4Q18">Tags_ols!$CV$413</definedName>
    <definedName name="CEVNPA_4Q19" localSheetId="10">Tags!$DA$413</definedName>
    <definedName name="CEVNPA_4Q19">Tags_ols!$DA$413</definedName>
    <definedName name="CEVNPA_4Q20" localSheetId="10">Tags!$DF$413</definedName>
    <definedName name="CEVNPA_4Q20">Tags_ols!$DF$413</definedName>
    <definedName name="CEVNPA_4Q21">Tags!$DK$413</definedName>
    <definedName name="CEVNPA_4Q22">Tags!$DP$413</definedName>
    <definedName name="CEVNPA_4Q23">Tags!$DU$413</definedName>
    <definedName name="CEVNPA_4Q24">Tags!$DZ$413</definedName>
    <definedName name="CEVNWC_1995">Tags_ols!$B$368</definedName>
    <definedName name="CEVNWC_1996">Tags_ols!$C$368</definedName>
    <definedName name="CEVNWC_1997">Tags_ols!$D$368</definedName>
    <definedName name="CEVNWC_1998">Tags_ols!$E$368</definedName>
    <definedName name="CEVNWC_1999">Tags_ols!$F$368</definedName>
    <definedName name="CEVNWC_1Q00" localSheetId="10">Tags!$G$368</definedName>
    <definedName name="CEVNWC_1Q00">Tags_ols!$G$368</definedName>
    <definedName name="CEVNWC_1Q01" localSheetId="10">Tags!$L$368</definedName>
    <definedName name="CEVNWC_1Q01">Tags_ols!$L$368</definedName>
    <definedName name="CEVNWC_1Q02" localSheetId="10">Tags!$Q$368</definedName>
    <definedName name="CEVNWC_1Q02">Tags_ols!$Q$368</definedName>
    <definedName name="CEVNWC_1Q03" localSheetId="10">Tags!$V$368</definedName>
    <definedName name="CEVNWC_1Q03">Tags_ols!$V$368</definedName>
    <definedName name="CEVNWC_1Q04" localSheetId="10">Tags!$AA$368</definedName>
    <definedName name="CEVNWC_1Q04">Tags_ols!$AA$368</definedName>
    <definedName name="CEVNWC_1Q05" localSheetId="10">Tags!$AF$368</definedName>
    <definedName name="CEVNWC_1Q05">Tags_ols!$AF$368</definedName>
    <definedName name="CEVNWC_1Q06" localSheetId="10">Tags!$AK$368</definedName>
    <definedName name="CEVNWC_1Q06">Tags_ols!$AK$368</definedName>
    <definedName name="CEVNWC_1Q07" localSheetId="10">Tags!$AP$368</definedName>
    <definedName name="CEVNWC_1Q07">Tags_ols!$AP$368</definedName>
    <definedName name="CEVNWC_1Q08" localSheetId="10">Tags!$AU$368</definedName>
    <definedName name="CEVNWC_1Q08">Tags_ols!$AU$368</definedName>
    <definedName name="CEVNWC_1Q09" localSheetId="10">Tags!$AZ$368</definedName>
    <definedName name="CEVNWC_1Q09">Tags_ols!$AZ$368</definedName>
    <definedName name="CEVNWC_1Q10" localSheetId="10">Tags!$BE$368</definedName>
    <definedName name="CEVNWC_1Q10">Tags_ols!$BE$368</definedName>
    <definedName name="CEVNWC_1Q11" localSheetId="10">Tags!$BJ$368</definedName>
    <definedName name="CEVNWC_1Q11">Tags_ols!$BJ$368</definedName>
    <definedName name="CEVNWC_1Q12" localSheetId="10">Tags!$BO$368</definedName>
    <definedName name="CEVNWC_1Q12">Tags_ols!$BO$368</definedName>
    <definedName name="CEVNWC_1Q13" localSheetId="10">Tags!$BT$368</definedName>
    <definedName name="CEVNWC_1Q13">Tags_ols!$BT$368</definedName>
    <definedName name="CEVNWC_1Q14" localSheetId="10">Tags!$BY$368</definedName>
    <definedName name="CEVNWC_1Q14">Tags_ols!$BY$368</definedName>
    <definedName name="CEVNWC_1Q15" localSheetId="10">Tags!$CD$368</definedName>
    <definedName name="CEVNWC_1Q15">Tags_ols!$CD$368</definedName>
    <definedName name="CEVNWC_1Q16" localSheetId="10">Tags!$CI$368</definedName>
    <definedName name="CEVNWC_1Q16">Tags_ols!$CI$368</definedName>
    <definedName name="CEVNWC_1Q17" localSheetId="10">Tags!$CN$368</definedName>
    <definedName name="CEVNWC_1Q17">Tags_ols!$CN$368</definedName>
    <definedName name="CEVNWC_1Q18" localSheetId="10">Tags!$CS$368</definedName>
    <definedName name="CEVNWC_1Q18">Tags_ols!$CS$368</definedName>
    <definedName name="CEVNWC_1Q19" localSheetId="10">Tags!$CX$368</definedName>
    <definedName name="CEVNWC_1Q19">Tags_ols!$CX$368</definedName>
    <definedName name="CEVNWC_1Q20" localSheetId="10">Tags!$DC$368</definedName>
    <definedName name="CEVNWC_1Q20">Tags_ols!$DC$368</definedName>
    <definedName name="CEVNWC_1Q21">Tags!$DH$368</definedName>
    <definedName name="CEVNWC_1Q22">Tags!$DM$368</definedName>
    <definedName name="CEVNWC_1Q23">Tags!$DR$368</definedName>
    <definedName name="CEVNWC_1Q24">Tags!$DW$368</definedName>
    <definedName name="CEVNWC_2000" localSheetId="10">Tags!$K$368</definedName>
    <definedName name="CEVNWC_2000">Tags_ols!$K$368</definedName>
    <definedName name="CEVNWC_2001" localSheetId="10">Tags!$P$368</definedName>
    <definedName name="CEVNWC_2001">Tags_ols!$P$368</definedName>
    <definedName name="CEVNWC_2002" localSheetId="10">Tags!$U$368</definedName>
    <definedName name="CEVNWC_2002">Tags_ols!$U$368</definedName>
    <definedName name="CEVNWC_2003" localSheetId="10">Tags!$Z$368</definedName>
    <definedName name="CEVNWC_2003">Tags_ols!$Z$368</definedName>
    <definedName name="CEVNWC_2004" localSheetId="10">Tags!$AE$368</definedName>
    <definedName name="CEVNWC_2004">Tags_ols!$AE$368</definedName>
    <definedName name="CEVNWC_2005" localSheetId="10">Tags!$AJ$368</definedName>
    <definedName name="CEVNWC_2005">Tags_ols!$AJ$368</definedName>
    <definedName name="CEVNWC_2006" localSheetId="10">Tags!$AO$368</definedName>
    <definedName name="CEVNWC_2006">Tags_ols!$AO$368</definedName>
    <definedName name="CEVNWC_2007" localSheetId="10">Tags!$AT$368</definedName>
    <definedName name="CEVNWC_2007">Tags_ols!$AT$368</definedName>
    <definedName name="CEVNWC_2008" localSheetId="10">Tags!$AY$368</definedName>
    <definedName name="CEVNWC_2008">Tags_ols!$AY$368</definedName>
    <definedName name="CEVNWC_2009" localSheetId="10">Tags!$BD$368</definedName>
    <definedName name="CEVNWC_2009">Tags_ols!$BD$368</definedName>
    <definedName name="CEVNWC_2010" localSheetId="10">Tags!$BI$368</definedName>
    <definedName name="CEVNWC_2010">Tags_ols!$BI$368</definedName>
    <definedName name="CEVNWC_2011" localSheetId="10">Tags!$BN$368</definedName>
    <definedName name="CEVNWC_2011">Tags_ols!$BN$368</definedName>
    <definedName name="CEVNWC_2012" localSheetId="10">Tags!$BS$368</definedName>
    <definedName name="CEVNWC_2012">Tags_ols!$BS$368</definedName>
    <definedName name="CEVNWC_2013" localSheetId="10">Tags!$BX$368</definedName>
    <definedName name="CEVNWC_2013">Tags_ols!$BX$368</definedName>
    <definedName name="CEVNWC_2014" localSheetId="10">Tags!$CC$368</definedName>
    <definedName name="CEVNWC_2014">Tags_ols!$CC$368</definedName>
    <definedName name="CEVNWC_2015" localSheetId="10">Tags!#REF!</definedName>
    <definedName name="CEVNWC_2015">Tags!$CH$368</definedName>
    <definedName name="CEVNWC_2016" localSheetId="10">Tags!$CM$368</definedName>
    <definedName name="CEVNWC_2016">Tags_ols!$CM$368</definedName>
    <definedName name="CEVNWC_2017" localSheetId="10">Tags!$CR$368</definedName>
    <definedName name="CEVNWC_2017">Tags_ols!$CR$368</definedName>
    <definedName name="CEVNWC_2018" localSheetId="10">Tags!$CW$368</definedName>
    <definedName name="CEVNWC_2018">Tags_ols!$CW$368</definedName>
    <definedName name="CEVNWC_2019" localSheetId="10">Tags!$DB$368</definedName>
    <definedName name="CEVNWC_2019">Tags_ols!$DB$368</definedName>
    <definedName name="CEVNWC_2020" localSheetId="10">Tags!$DG$368</definedName>
    <definedName name="CEVNWC_2020">Tags_ols!$DG$368</definedName>
    <definedName name="CEVNWC_2021">Tags!$DL$368</definedName>
    <definedName name="CEVNWC_2022">Tags!$DQ$368</definedName>
    <definedName name="CEVNWC_2023">Tags!$DV$368</definedName>
    <definedName name="CEVNWC_2024">Tags!$EA$368</definedName>
    <definedName name="CEVNWC_2Q00" localSheetId="10">Tags!$H$368</definedName>
    <definedName name="CEVNWC_2Q00">Tags_ols!$H$368</definedName>
    <definedName name="CEVNWC_2Q01" localSheetId="10">Tags!$M$368</definedName>
    <definedName name="CEVNWC_2Q01">Tags_ols!$M$368</definedName>
    <definedName name="CEVNWC_2Q02" localSheetId="10">Tags!$R$368</definedName>
    <definedName name="CEVNWC_2Q02">Tags_ols!$R$368</definedName>
    <definedName name="CEVNWC_2Q03" localSheetId="10">Tags!$W$368</definedName>
    <definedName name="CEVNWC_2Q03">Tags_ols!$W$368</definedName>
    <definedName name="CEVNWC_2Q04" localSheetId="10">Tags!$AB$368</definedName>
    <definedName name="CEVNWC_2Q04">Tags_ols!$AB$368</definedName>
    <definedName name="CEVNWC_2Q05" localSheetId="10">Tags!$AG$368</definedName>
    <definedName name="CEVNWC_2Q05">Tags_ols!$AG$368</definedName>
    <definedName name="CEVNWC_2Q06" localSheetId="10">Tags!$AL$368</definedName>
    <definedName name="CEVNWC_2Q06">Tags_ols!$AL$368</definedName>
    <definedName name="CEVNWC_2Q07" localSheetId="10">Tags!$AQ$368</definedName>
    <definedName name="CEVNWC_2Q07">Tags_ols!$AQ$368</definedName>
    <definedName name="CEVNWC_2Q08" localSheetId="10">Tags!$AV$368</definedName>
    <definedName name="CEVNWC_2Q08">Tags_ols!$AV$368</definedName>
    <definedName name="CEVNWC_2Q09" localSheetId="10">Tags!$BA$368</definedName>
    <definedName name="CEVNWC_2Q09">Tags_ols!$BA$368</definedName>
    <definedName name="CEVNWC_2Q10" localSheetId="10">Tags!$BF$368</definedName>
    <definedName name="CEVNWC_2Q10">Tags_ols!$BF$368</definedName>
    <definedName name="CEVNWC_2Q11" localSheetId="10">Tags!$BK$368</definedName>
    <definedName name="CEVNWC_2Q11">Tags_ols!$BK$368</definedName>
    <definedName name="CEVNWC_2Q12" localSheetId="10">Tags!$BP$368</definedName>
    <definedName name="CEVNWC_2Q12">Tags_ols!$BP$368</definedName>
    <definedName name="CEVNWC_2Q13" localSheetId="10">Tags!$BU$368</definedName>
    <definedName name="CEVNWC_2Q13">Tags_ols!$BU$368</definedName>
    <definedName name="CEVNWC_2Q14" localSheetId="10">Tags!$BZ$368</definedName>
    <definedName name="CEVNWC_2Q14">Tags_ols!$BZ$368</definedName>
    <definedName name="CEVNWC_2Q15" localSheetId="10">Tags!$CE$368</definedName>
    <definedName name="CEVNWC_2Q15">Tags_ols!$CE$368</definedName>
    <definedName name="CEVNWC_2Q16" localSheetId="10">Tags!$CJ$368</definedName>
    <definedName name="CEVNWC_2Q16">Tags_ols!$CJ$368</definedName>
    <definedName name="CEVNWC_2Q17" localSheetId="10">Tags!$CO$368</definedName>
    <definedName name="CEVNWC_2Q17">Tags_ols!$CO$368</definedName>
    <definedName name="CEVNWC_2Q18" localSheetId="10">Tags!$CT$368</definedName>
    <definedName name="CEVNWC_2Q18">Tags_ols!$CT$368</definedName>
    <definedName name="CEVNWC_2Q19" localSheetId="10">Tags!$CY$368</definedName>
    <definedName name="CEVNWC_2Q19">Tags_ols!$CY$368</definedName>
    <definedName name="CEVNWC_2Q20" localSheetId="10">Tags!$DD$368</definedName>
    <definedName name="CEVNWC_2Q20">Tags_ols!$DD$368</definedName>
    <definedName name="CEVNWC_2Q21">Tags!$DI$368</definedName>
    <definedName name="CEVNWC_2Q22">Tags!$DN$368</definedName>
    <definedName name="CEVNWC_2Q23">Tags!$DS$368</definedName>
    <definedName name="CEVNWC_2Q24">Tags!$DX$368</definedName>
    <definedName name="CEVNWC_3Q00" localSheetId="10">Tags!$I$368</definedName>
    <definedName name="CEVNWC_3Q00">Tags_ols!$I$368</definedName>
    <definedName name="CEVNWC_3Q01" localSheetId="10">Tags!$N$368</definedName>
    <definedName name="CEVNWC_3Q01">Tags_ols!$N$368</definedName>
    <definedName name="CEVNWC_3Q02" localSheetId="10">Tags!$S$368</definedName>
    <definedName name="CEVNWC_3Q02">Tags_ols!$S$368</definedName>
    <definedName name="CEVNWC_3Q03" localSheetId="10">Tags!$X$368</definedName>
    <definedName name="CEVNWC_3Q03">Tags_ols!$X$368</definedName>
    <definedName name="CEVNWC_3Q04" localSheetId="10">Tags!$AC$368</definedName>
    <definedName name="CEVNWC_3Q04">Tags_ols!$AC$368</definedName>
    <definedName name="CEVNWC_3Q05" localSheetId="10">Tags!$AH$368</definedName>
    <definedName name="CEVNWC_3Q05">Tags_ols!$AH$368</definedName>
    <definedName name="CEVNWC_3Q06" localSheetId="10">Tags!$AM$368</definedName>
    <definedName name="CEVNWC_3Q06">Tags_ols!$AM$368</definedName>
    <definedName name="CEVNWC_3Q07" localSheetId="10">Tags!$AR$368</definedName>
    <definedName name="CEVNWC_3Q07">Tags_ols!$AR$368</definedName>
    <definedName name="CEVNWC_3Q08" localSheetId="10">Tags!$AW$368</definedName>
    <definedName name="CEVNWC_3Q08">Tags_ols!$AW$368</definedName>
    <definedName name="CEVNWC_3Q09" localSheetId="10">Tags!$BB$368</definedName>
    <definedName name="CEVNWC_3Q09">Tags_ols!$BB$368</definedName>
    <definedName name="CEVNWC_3Q10" localSheetId="10">Tags!$BG$368</definedName>
    <definedName name="CEVNWC_3Q10">Tags_ols!$BG$368</definedName>
    <definedName name="CEVNWC_3Q11" localSheetId="10">Tags!$BL$368</definedName>
    <definedName name="CEVNWC_3Q11">Tags_ols!$BL$368</definedName>
    <definedName name="CEVNWC_3Q12" localSheetId="10">Tags!$BQ$368</definedName>
    <definedName name="CEVNWC_3Q12">Tags_ols!$BQ$368</definedName>
    <definedName name="CEVNWC_3Q13" localSheetId="10">Tags!$BV$368</definedName>
    <definedName name="CEVNWC_3Q13">Tags_ols!$BV$368</definedName>
    <definedName name="CEVNWC_3Q14" localSheetId="10">Tags!$CA$368</definedName>
    <definedName name="CEVNWC_3Q14">Tags_ols!$CA$368</definedName>
    <definedName name="CEVNWC_3Q15" localSheetId="10">Tags!$CF$368</definedName>
    <definedName name="CEVNWC_3Q15">Tags_ols!$CF$368</definedName>
    <definedName name="CEVNWC_3Q16" localSheetId="10">Tags!$CK$368</definedName>
    <definedName name="CEVNWC_3Q16">Tags_ols!$CK$368</definedName>
    <definedName name="CEVNWC_3Q17" localSheetId="10">Tags!$CP$368</definedName>
    <definedName name="CEVNWC_3Q17">Tags_ols!$CP$368</definedName>
    <definedName name="CEVNWC_3Q18" localSheetId="10">Tags!$CU$368</definedName>
    <definedName name="CEVNWC_3Q18">Tags_ols!$CU$368</definedName>
    <definedName name="CEVNWC_3Q19" localSheetId="10">Tags!$CZ$368</definedName>
    <definedName name="CEVNWC_3Q19">Tags_ols!$CZ$368</definedName>
    <definedName name="CEVNWC_3Q20" localSheetId="10">Tags!$DE$368</definedName>
    <definedName name="CEVNWC_3Q20">Tags_ols!$DE$368</definedName>
    <definedName name="CEVNWC_3Q21">Tags!$DJ$368</definedName>
    <definedName name="CEVNWC_3Q22">Tags!$DO$368</definedName>
    <definedName name="CEVNWC_3Q23">Tags!$DT$368</definedName>
    <definedName name="CEVNWC_3Q24">Tags!$DY$368</definedName>
    <definedName name="CEVNWC_4Q00" localSheetId="10">Tags!$J$368</definedName>
    <definedName name="CEVNWC_4Q00">Tags_ols!$J$368</definedName>
    <definedName name="CEVNWC_4Q01" localSheetId="10">Tags!$O$368</definedName>
    <definedName name="CEVNWC_4Q01">Tags_ols!$O$368</definedName>
    <definedName name="CEVNWC_4Q02" localSheetId="10">Tags!$T$368</definedName>
    <definedName name="CEVNWC_4Q02">Tags_ols!$T$368</definedName>
    <definedName name="CEVNWC_4Q03" localSheetId="10">Tags!$Y$368</definedName>
    <definedName name="CEVNWC_4Q03">Tags_ols!$Y$368</definedName>
    <definedName name="CEVNWC_4Q04" localSheetId="10">Tags!$AD$368</definedName>
    <definedName name="CEVNWC_4Q04">Tags_ols!$AD$368</definedName>
    <definedName name="CEVNWC_4Q05" localSheetId="10">Tags!$AI$368</definedName>
    <definedName name="CEVNWC_4Q05">Tags_ols!$AI$368</definedName>
    <definedName name="CEVNWC_4Q06" localSheetId="10">Tags!$AN$368</definedName>
    <definedName name="CEVNWC_4Q06">Tags_ols!$AN$368</definedName>
    <definedName name="CEVNWC_4Q07" localSheetId="10">Tags!$AS$368</definedName>
    <definedName name="CEVNWC_4Q07">Tags_ols!$AS$368</definedName>
    <definedName name="CEVNWC_4Q08" localSheetId="10">Tags!$AX$368</definedName>
    <definedName name="CEVNWC_4Q08">Tags_ols!$AX$368</definedName>
    <definedName name="CEVNWC_4Q09" localSheetId="10">Tags!$BC$368</definedName>
    <definedName name="CEVNWC_4Q09">Tags_ols!$BC$368</definedName>
    <definedName name="CEVNWC_4Q10" localSheetId="10">Tags!$BH$368</definedName>
    <definedName name="CEVNWC_4Q10">Tags_ols!$BH$368</definedName>
    <definedName name="CEVNWC_4Q11" localSheetId="10">Tags!$BM$368</definedName>
    <definedName name="CEVNWC_4Q11">Tags_ols!$BM$368</definedName>
    <definedName name="CEVNWC_4Q12" localSheetId="10">Tags!$BR$368</definedName>
    <definedName name="CEVNWC_4Q12">Tags_ols!$BR$368</definedName>
    <definedName name="CEVNWC_4Q13" localSheetId="10">Tags!$BW$368</definedName>
    <definedName name="CEVNWC_4Q13">Tags_ols!$BW$368</definedName>
    <definedName name="CEVNWC_4Q14" localSheetId="10">Tags!$CB$368</definedName>
    <definedName name="CEVNWC_4Q14">Tags_ols!$CB$368</definedName>
    <definedName name="CEVNWC_4Q15" localSheetId="10">Tags!$CG$368</definedName>
    <definedName name="CEVNWC_4Q15">Tags_ols!$CG$368</definedName>
    <definedName name="CEVNWC_4Q16" localSheetId="10">Tags!$CL$368</definedName>
    <definedName name="CEVNWC_4Q16">Tags_ols!$CL$368</definedName>
    <definedName name="CEVNWC_4Q17" localSheetId="10">Tags!$CQ$368</definedName>
    <definedName name="CEVNWC_4Q17">Tags_ols!$CQ$368</definedName>
    <definedName name="CEVNWC_4Q18" localSheetId="10">Tags!$CV$368</definedName>
    <definedName name="CEVNWC_4Q18">Tags_ols!$CV$368</definedName>
    <definedName name="CEVNWC_4Q19" localSheetId="10">Tags!$DA$368</definedName>
    <definedName name="CEVNWC_4Q19">Tags_ols!$DA$368</definedName>
    <definedName name="CEVNWC_4Q20" localSheetId="10">Tags!$DF$368</definedName>
    <definedName name="CEVNWC_4Q20">Tags_ols!$DF$368</definedName>
    <definedName name="CEVNWC_4Q21">Tags!$DK$368</definedName>
    <definedName name="CEVNWC_4Q22">Tags!$DP$368</definedName>
    <definedName name="CEVNWC_4Q23">Tags!$DU$368</definedName>
    <definedName name="CEVNWC_4Q24">Tags!$DZ$368</definedName>
    <definedName name="CGPWO_1995">Tags_ols!$B$235</definedName>
    <definedName name="CGPWO_1996">Tags_ols!$C$235</definedName>
    <definedName name="CGPWO_1997">Tags_ols!$D$235</definedName>
    <definedName name="CGPWO_1998">Tags_ols!$E$235</definedName>
    <definedName name="CGPWO_1999">Tags_ols!$F$235</definedName>
    <definedName name="CGPWO_1Q00" localSheetId="10">Tags!$G$235</definedName>
    <definedName name="CGPWO_1Q00">Tags_ols!$G$235</definedName>
    <definedName name="CGPWO_1Q01" localSheetId="10">Tags!$L$235</definedName>
    <definedName name="CGPWO_1Q01">Tags_ols!$L$235</definedName>
    <definedName name="CGPWO_1Q02" localSheetId="10">Tags!$Q$235</definedName>
    <definedName name="CGPWO_1Q02">Tags_ols!$Q$235</definedName>
    <definedName name="CGPWO_1Q03" localSheetId="10">Tags!$V$235</definedName>
    <definedName name="CGPWO_1Q03">Tags_ols!$V$235</definedName>
    <definedName name="CGPWO_1Q04" localSheetId="10">Tags!$AA$235</definedName>
    <definedName name="CGPWO_1Q04">Tags_ols!$AA$235</definedName>
    <definedName name="CGPWO_1Q05" localSheetId="10">Tags!$AF$235</definedName>
    <definedName name="CGPWO_1Q05">Tags_ols!$AF$235</definedName>
    <definedName name="CGPWO_1Q06" localSheetId="10">Tags!$AK$235</definedName>
    <definedName name="CGPWO_1Q06">Tags_ols!$AK$235</definedName>
    <definedName name="CGPWO_1Q07" localSheetId="10">Tags!$AP$235</definedName>
    <definedName name="CGPWO_1Q07">Tags_ols!$AP$235</definedName>
    <definedName name="CGPWO_1Q08" localSheetId="10">Tags!$AU$235</definedName>
    <definedName name="CGPWO_1Q08">Tags_ols!$AU$235</definedName>
    <definedName name="CGPWO_1Q09" localSheetId="10">Tags!$AZ$235</definedName>
    <definedName name="CGPWO_1Q09">Tags_ols!$AZ$235</definedName>
    <definedName name="CGPWO_1Q10" localSheetId="10">Tags!$BE$235</definedName>
    <definedName name="CGPWO_1Q10">Tags_ols!$BE$235</definedName>
    <definedName name="CGPWO_1Q11" localSheetId="10">Tags!$BJ$235</definedName>
    <definedName name="CGPWO_1Q11">Tags_ols!$BJ$235</definedName>
    <definedName name="CGPWO_1Q12" localSheetId="10">Tags!$BO$235</definedName>
    <definedName name="CGPWO_1Q12">Tags_ols!$BO$235</definedName>
    <definedName name="CGPWO_1Q13" localSheetId="10">Tags!$BT$235</definedName>
    <definedName name="CGPWO_1Q13">Tags_ols!$BT$235</definedName>
    <definedName name="CGPWO_1Q14" localSheetId="10">Tags!$BY$235</definedName>
    <definedName name="CGPWO_1Q14">Tags_ols!$BY$235</definedName>
    <definedName name="CGPWO_1Q15" localSheetId="10">Tags!$CD$235</definedName>
    <definedName name="CGPWO_1Q15">Tags_ols!$CD$235</definedName>
    <definedName name="CGPWO_1Q16" localSheetId="10">Tags!$CI$235</definedName>
    <definedName name="CGPWO_1Q16">Tags_ols!$CI$235</definedName>
    <definedName name="CGPWO_1Q17" localSheetId="10">Tags!$CN$235</definedName>
    <definedName name="CGPWO_1Q17">Tags_ols!$CN$235</definedName>
    <definedName name="CGPWO_1Q18" localSheetId="10">Tags!$CS$235</definedName>
    <definedName name="CGPWO_1Q18">Tags_ols!$CS$235</definedName>
    <definedName name="CGPWO_1Q19" localSheetId="10">Tags!$CX$235</definedName>
    <definedName name="CGPWO_1Q19">Tags_ols!$CX$235</definedName>
    <definedName name="CGPWO_1Q20" localSheetId="10">Tags!$DC$235</definedName>
    <definedName name="CGPWO_1Q20">Tags_ols!$DC$235</definedName>
    <definedName name="CGPWO_1Q21">Tags!$DH$235</definedName>
    <definedName name="CGPWO_1Q22">Tags!$DM$235</definedName>
    <definedName name="CGPWO_1Q23">Tags!$DR$235</definedName>
    <definedName name="CGPWO_1Q24">Tags!$DW$235</definedName>
    <definedName name="CGPWO_2000" localSheetId="10">Tags!$K$235</definedName>
    <definedName name="CGPWO_2000">Tags_ols!$K$235</definedName>
    <definedName name="CGPWO_2001" localSheetId="10">Tags!$P$235</definedName>
    <definedName name="CGPWO_2001">Tags_ols!$P$235</definedName>
    <definedName name="CGPWO_2002" localSheetId="10">Tags!$U$235</definedName>
    <definedName name="CGPWO_2002">Tags_ols!$U$235</definedName>
    <definedName name="CGPWO_2003" localSheetId="10">Tags!$Z$235</definedName>
    <definedName name="CGPWO_2003">Tags_ols!$Z$235</definedName>
    <definedName name="CGPWO_2004" localSheetId="10">Tags!$AE$235</definedName>
    <definedName name="CGPWO_2004">Tags_ols!$AE$235</definedName>
    <definedName name="CGPWO_2005" localSheetId="10">Tags!$AJ$235</definedName>
    <definedName name="CGPWO_2005">Tags_ols!$AJ$235</definedName>
    <definedName name="CGPWO_2006" localSheetId="10">Tags!$AO$235</definedName>
    <definedName name="CGPWO_2006">Tags_ols!$AO$235</definedName>
    <definedName name="CGPWO_2007" localSheetId="10">Tags!$AT$235</definedName>
    <definedName name="CGPWO_2007">Tags_ols!$AT$235</definedName>
    <definedName name="CGPWO_2008" localSheetId="10">Tags!$AY$235</definedName>
    <definedName name="CGPWO_2008">Tags_ols!$AY$235</definedName>
    <definedName name="CGPWO_2009" localSheetId="10">Tags!$BD$235</definedName>
    <definedName name="CGPWO_2009">Tags_ols!$BD$235</definedName>
    <definedName name="CGPWO_2010" localSheetId="10">Tags!$BI$235</definedName>
    <definedName name="CGPWO_2010">Tags_ols!$BI$235</definedName>
    <definedName name="CGPWO_2011" localSheetId="10">Tags!$BN$235</definedName>
    <definedName name="CGPWO_2011">Tags_ols!$BN$235</definedName>
    <definedName name="CGPWO_2012" localSheetId="10">Tags!$BS$235</definedName>
    <definedName name="CGPWO_2012">Tags_ols!$BS$235</definedName>
    <definedName name="CGPWO_2013" localSheetId="10">Tags!$BX$235</definedName>
    <definedName name="CGPWO_2013">Tags_ols!$BX$235</definedName>
    <definedName name="CGPWO_2014" localSheetId="10">Tags!$CC$235</definedName>
    <definedName name="CGPWO_2014">Tags_ols!$CC$235</definedName>
    <definedName name="CGPWO_2015" localSheetId="10">Tags!#REF!</definedName>
    <definedName name="CGPWO_2015">Tags!$CH$235</definedName>
    <definedName name="CGPWO_2016" localSheetId="10">Tags!$CM$235</definedName>
    <definedName name="CGPWO_2016">Tags_ols!$CM$235</definedName>
    <definedName name="CGPWO_2017" localSheetId="10">Tags!$CR$235</definedName>
    <definedName name="CGPWO_2017">Tags_ols!$CR$235</definedName>
    <definedName name="CGPWO_2018" localSheetId="10">Tags!$CW$235</definedName>
    <definedName name="CGPWO_2018">Tags_ols!$CW$235</definedName>
    <definedName name="CGPWO_2019" localSheetId="10">Tags!$DB$235</definedName>
    <definedName name="CGPWO_2019">Tags_ols!$DB$235</definedName>
    <definedName name="CGPWO_2020" localSheetId="10">Tags!$DG$235</definedName>
    <definedName name="CGPWO_2020">Tags_ols!$DG$235</definedName>
    <definedName name="CGPWO_2021">Tags!$DL$235</definedName>
    <definedName name="CGPWO_2022">Tags!$DQ$235</definedName>
    <definedName name="CGPWO_2023">Tags!$DV$235</definedName>
    <definedName name="CGPWO_2024">Tags!$EA$235</definedName>
    <definedName name="CGPWO_2Q00" localSheetId="10">Tags!$H$235</definedName>
    <definedName name="CGPWO_2Q00">Tags_ols!$H$235</definedName>
    <definedName name="CGPWO_2Q01" localSheetId="10">Tags!$M$235</definedName>
    <definedName name="CGPWO_2Q01">Tags_ols!$M$235</definedName>
    <definedName name="CGPWO_2Q02" localSheetId="10">Tags!$R$235</definedName>
    <definedName name="CGPWO_2Q02">Tags_ols!$R$235</definedName>
    <definedName name="CGPWO_2Q03" localSheetId="10">Tags!$W$235</definedName>
    <definedName name="CGPWO_2Q03">Tags_ols!$W$235</definedName>
    <definedName name="CGPWO_2Q04" localSheetId="10">Tags!$AB$235</definedName>
    <definedName name="CGPWO_2Q04">Tags_ols!$AB$235</definedName>
    <definedName name="CGPWO_2Q05" localSheetId="10">Tags!$AG$235</definedName>
    <definedName name="CGPWO_2Q05">Tags_ols!$AG$235</definedName>
    <definedName name="CGPWO_2Q06" localSheetId="10">Tags!$AL$235</definedName>
    <definedName name="CGPWO_2Q06">Tags_ols!$AL$235</definedName>
    <definedName name="CGPWO_2Q07" localSheetId="10">Tags!$AQ$235</definedName>
    <definedName name="CGPWO_2Q07">Tags_ols!$AQ$235</definedName>
    <definedName name="CGPWO_2Q08" localSheetId="10">Tags!$AV$235</definedName>
    <definedName name="CGPWO_2Q08">Tags_ols!$AV$235</definedName>
    <definedName name="CGPWO_2Q09" localSheetId="10">Tags!$BA$235</definedName>
    <definedName name="CGPWO_2Q09">Tags_ols!$BA$235</definedName>
    <definedName name="CGPWO_2Q10" localSheetId="10">Tags!$BF$235</definedName>
    <definedName name="CGPWO_2Q10">Tags_ols!$BF$235</definedName>
    <definedName name="CGPWO_2Q11" localSheetId="10">Tags!$BK$235</definedName>
    <definedName name="CGPWO_2Q11">Tags_ols!$BK$235</definedName>
    <definedName name="CGPWO_2Q12" localSheetId="10">Tags!$BP$235</definedName>
    <definedName name="CGPWO_2Q12">Tags_ols!$BP$235</definedName>
    <definedName name="CGPWO_2Q13" localSheetId="10">Tags!$BU$235</definedName>
    <definedName name="CGPWO_2Q13">Tags_ols!$BU$235</definedName>
    <definedName name="CGPWO_2Q14" localSheetId="10">Tags!$BZ$235</definedName>
    <definedName name="CGPWO_2Q14">Tags_ols!$BZ$235</definedName>
    <definedName name="CGPWO_2Q15" localSheetId="10">Tags!$CE$235</definedName>
    <definedName name="CGPWO_2Q15">Tags_ols!$CE$235</definedName>
    <definedName name="CGPWO_2Q16" localSheetId="10">Tags!$CJ$235</definedName>
    <definedName name="CGPWO_2Q16">Tags_ols!$CJ$235</definedName>
    <definedName name="CGPWO_2Q17" localSheetId="10">Tags!$CO$235</definedName>
    <definedName name="CGPWO_2Q17">Tags_ols!$CO$235</definedName>
    <definedName name="CGPWO_2Q18" localSheetId="10">Tags!$CT$235</definedName>
    <definedName name="CGPWO_2Q18">Tags_ols!$CT$235</definedName>
    <definedName name="CGPWO_2Q19" localSheetId="10">Tags!$CY$235</definedName>
    <definedName name="CGPWO_2Q19">Tags_ols!$CY$235</definedName>
    <definedName name="CGPWO_2Q20" localSheetId="10">Tags!$DD$235</definedName>
    <definedName name="CGPWO_2Q20">Tags_ols!$DD$235</definedName>
    <definedName name="CGPWO_2Q21">Tags!$DI$235</definedName>
    <definedName name="CGPWO_2Q22">Tags!$DN$235</definedName>
    <definedName name="CGPWO_2Q23">Tags!$DS$235</definedName>
    <definedName name="CGPWO_2Q24">Tags!$DX$235</definedName>
    <definedName name="CGPWO_3Q00" localSheetId="10">Tags!$I$235</definedName>
    <definedName name="CGPWO_3Q00">Tags_ols!$I$235</definedName>
    <definedName name="CGPWO_3Q01" localSheetId="10">Tags!$N$235</definedName>
    <definedName name="CGPWO_3Q01">Tags_ols!$N$235</definedName>
    <definedName name="CGPWO_3Q02" localSheetId="10">Tags!$S$235</definedName>
    <definedName name="CGPWO_3Q02">Tags_ols!$S$235</definedName>
    <definedName name="CGPWO_3Q03" localSheetId="10">Tags!$X$235</definedName>
    <definedName name="CGPWO_3Q03">Tags_ols!$X$235</definedName>
    <definedName name="CGPWO_3Q04" localSheetId="10">Tags!$AC$235</definedName>
    <definedName name="CGPWO_3Q04">Tags_ols!$AC$235</definedName>
    <definedName name="CGPWO_3Q05" localSheetId="10">Tags!$AH$235</definedName>
    <definedName name="CGPWO_3Q05">Tags_ols!$AH$235</definedName>
    <definedName name="CGPWO_3Q06" localSheetId="10">Tags!$AM$235</definedName>
    <definedName name="CGPWO_3Q06">Tags_ols!$AM$235</definedName>
    <definedName name="CGPWO_3Q07" localSheetId="10">Tags!$AR$235</definedName>
    <definedName name="CGPWO_3Q07">Tags_ols!$AR$235</definedName>
    <definedName name="CGPWO_3Q08" localSheetId="10">Tags!$AW$235</definedName>
    <definedName name="CGPWO_3Q08">Tags_ols!$AW$235</definedName>
    <definedName name="CGPWO_3Q09" localSheetId="10">Tags!$BB$235</definedName>
    <definedName name="CGPWO_3Q09">Tags_ols!$BB$235</definedName>
    <definedName name="CGPWO_3Q10" localSheetId="10">Tags!$BG$235</definedName>
    <definedName name="CGPWO_3Q10">Tags_ols!$BG$235</definedName>
    <definedName name="CGPWO_3Q11" localSheetId="10">Tags!$BL$235</definedName>
    <definedName name="CGPWO_3Q11">Tags_ols!$BL$235</definedName>
    <definedName name="CGPWO_3Q12" localSheetId="10">Tags!$BQ$235</definedName>
    <definedName name="CGPWO_3Q12">Tags_ols!$BQ$235</definedName>
    <definedName name="CGPWO_3Q13" localSheetId="10">Tags!$BV$235</definedName>
    <definedName name="CGPWO_3Q13">Tags_ols!$BV$235</definedName>
    <definedName name="CGPWO_3Q14" localSheetId="10">Tags!$CA$235</definedName>
    <definedName name="CGPWO_3Q14">Tags_ols!$CA$235</definedName>
    <definedName name="CGPWO_3Q15" localSheetId="10">Tags!$CF$235</definedName>
    <definedName name="CGPWO_3Q15">Tags_ols!$CF$235</definedName>
    <definedName name="CGPWO_3Q16" localSheetId="10">Tags!$CK$235</definedName>
    <definedName name="CGPWO_3Q16">Tags_ols!$CK$235</definedName>
    <definedName name="CGPWO_3Q17" localSheetId="10">Tags!$CP$235</definedName>
    <definedName name="CGPWO_3Q17">Tags_ols!$CP$235</definedName>
    <definedName name="CGPWO_3Q18" localSheetId="10">Tags!$CU$235</definedName>
    <definedName name="CGPWO_3Q18">Tags_ols!$CU$235</definedName>
    <definedName name="CGPWO_3Q19" localSheetId="10">Tags!$CZ$235</definedName>
    <definedName name="CGPWO_3Q19">Tags_ols!$CZ$235</definedName>
    <definedName name="CGPWO_3Q20" localSheetId="10">Tags!$DE$235</definedName>
    <definedName name="CGPWO_3Q20">Tags_ols!$DE$235</definedName>
    <definedName name="CGPWO_3Q21">Tags!$DJ$235</definedName>
    <definedName name="CGPWO_3Q22">Tags!$DO$235</definedName>
    <definedName name="CGPWO_3Q23">Tags!$DT$235</definedName>
    <definedName name="CGPWO_3Q24">Tags!$DY$235</definedName>
    <definedName name="CGPWO_4Q00" localSheetId="10">Tags!$J$235</definedName>
    <definedName name="CGPWO_4Q00">Tags_ols!$J$235</definedName>
    <definedName name="CGPWO_4Q01" localSheetId="10">Tags!$O$235</definedName>
    <definedName name="CGPWO_4Q01">Tags_ols!$O$235</definedName>
    <definedName name="CGPWO_4Q02" localSheetId="10">Tags!$T$235</definedName>
    <definedName name="CGPWO_4Q02">Tags_ols!$T$235</definedName>
    <definedName name="CGPWO_4Q03" localSheetId="10">Tags!$Y$235</definedName>
    <definedName name="CGPWO_4Q03">Tags_ols!$Y$235</definedName>
    <definedName name="CGPWO_4Q04" localSheetId="10">Tags!$AD$235</definedName>
    <definedName name="CGPWO_4Q04">Tags_ols!$AD$235</definedName>
    <definedName name="CGPWO_4Q05" localSheetId="10">Tags!$AI$235</definedName>
    <definedName name="CGPWO_4Q05">Tags_ols!$AI$235</definedName>
    <definedName name="CGPWO_4Q06" localSheetId="10">Tags!$AN$235</definedName>
    <definedName name="CGPWO_4Q06">Tags_ols!$AN$235</definedName>
    <definedName name="CGPWO_4Q07" localSheetId="10">Tags!$AS$235</definedName>
    <definedName name="CGPWO_4Q07">Tags_ols!$AS$235</definedName>
    <definedName name="CGPWO_4Q08" localSheetId="10">Tags!$AX$235</definedName>
    <definedName name="CGPWO_4Q08">Tags_ols!$AX$235</definedName>
    <definedName name="CGPWO_4Q09" localSheetId="10">Tags!$BC$235</definedName>
    <definedName name="CGPWO_4Q09">Tags_ols!$BC$235</definedName>
    <definedName name="CGPWO_4Q10" localSheetId="10">Tags!$BH$235</definedName>
    <definedName name="CGPWO_4Q10">Tags_ols!$BH$235</definedName>
    <definedName name="CGPWO_4Q11" localSheetId="10">Tags!$BM$235</definedName>
    <definedName name="CGPWO_4Q11">Tags_ols!$BM$235</definedName>
    <definedName name="CGPWO_4Q12" localSheetId="10">Tags!$BR$235</definedName>
    <definedName name="CGPWO_4Q12">Tags_ols!$BR$235</definedName>
    <definedName name="CGPWO_4Q13" localSheetId="10">Tags!$BW$235</definedName>
    <definedName name="CGPWO_4Q13">Tags_ols!$BW$235</definedName>
    <definedName name="CGPWO_4Q14" localSheetId="10">Tags!$CB$235</definedName>
    <definedName name="CGPWO_4Q14">Tags_ols!$CB$235</definedName>
    <definedName name="CGPWO_4Q15" localSheetId="10">Tags!$CG$235</definedName>
    <definedName name="CGPWO_4Q15">Tags_ols!$CG$235</definedName>
    <definedName name="CGPWO_4Q16" localSheetId="10">Tags!$CL$235</definedName>
    <definedName name="CGPWO_4Q16">Tags_ols!$CL$235</definedName>
    <definedName name="CGPWO_4Q17" localSheetId="10">Tags!$CQ$235</definedName>
    <definedName name="CGPWO_4Q17">Tags_ols!$CQ$235</definedName>
    <definedName name="CGPWO_4Q18" localSheetId="10">Tags!$CV$235</definedName>
    <definedName name="CGPWO_4Q18">Tags_ols!$CV$235</definedName>
    <definedName name="CGPWO_4Q19" localSheetId="10">Tags!$DA$235</definedName>
    <definedName name="CGPWO_4Q19">Tags_ols!$DA$235</definedName>
    <definedName name="CGPWO_4Q20" localSheetId="10">Tags!$DF$235</definedName>
    <definedName name="CGPWO_4Q20">Tags_ols!$DF$235</definedName>
    <definedName name="CGPWO_4Q21">Tags!$DK$235</definedName>
    <definedName name="CGPWO_4Q22">Tags!$DP$235</definedName>
    <definedName name="CGPWO_4Q23">Tags!$DU$235</definedName>
    <definedName name="CGPWO_4Q24">Tags!$DZ$235</definedName>
    <definedName name="ChartType">#REF!</definedName>
    <definedName name="chkIpoPrice">#REF!</definedName>
    <definedName name="claudia" localSheetId="4" hidden="1">{#N/A,"70% Success",FALSE,"Sales Forecast";#N/A,#N/A,FALSE,"Sheet2"}</definedName>
    <definedName name="claudia" localSheetId="6" hidden="1">{#N/A,"70% Success",FALSE,"Sales Forecast";#N/A,#N/A,FALSE,"Sheet2"}</definedName>
    <definedName name="claudia" localSheetId="0" hidden="1">{#N/A,"70% Success",FALSE,"Sales Forecast";#N/A,#N/A,FALSE,"Sheet2"}</definedName>
    <definedName name="claudia" localSheetId="9" hidden="1">{#N/A,"70% Success",FALSE,"Sales Forecast";#N/A,#N/A,FALSE,"Sheet2"}</definedName>
    <definedName name="claudia" localSheetId="5" hidden="1">{#N/A,"70% Success",FALSE,"Sales Forecast";#N/A,#N/A,FALSE,"Sheet2"}</definedName>
    <definedName name="claudia" hidden="1">{#N/A,"70% Success",FALSE,"Sales Forecast";#N/A,#N/A,FALSE,"Sheet2"}</definedName>
    <definedName name="CO.TAG" localSheetId="10">Tags!$A$1</definedName>
    <definedName name="CO.TAG">Tags_ols!$A$1</definedName>
    <definedName name="COGS_1995">Tags_ols!$B$4</definedName>
    <definedName name="COGS_1996">Tags_ols!$C$4</definedName>
    <definedName name="COGS_1997">Tags_ols!$D$4</definedName>
    <definedName name="COGS_1998">Tags_ols!$E$4</definedName>
    <definedName name="COGS_1999">Tags_ols!$F$4</definedName>
    <definedName name="COGS_1Q00" localSheetId="10">Tags!$G$4</definedName>
    <definedName name="COGS_1Q00">Tags_ols!$G$4</definedName>
    <definedName name="COGS_1Q01" localSheetId="10">Tags!$L$4</definedName>
    <definedName name="COGS_1Q01">Tags_ols!$L$4</definedName>
    <definedName name="COGS_1Q02" localSheetId="10">Tags!$Q$4</definedName>
    <definedName name="COGS_1Q02">Tags_ols!$Q$4</definedName>
    <definedName name="COGS_1Q03" localSheetId="10">Tags!$V$4</definedName>
    <definedName name="COGS_1Q03">Tags_ols!$V$4</definedName>
    <definedName name="COGS_1Q04" localSheetId="10">Tags!$AA$4</definedName>
    <definedName name="COGS_1Q04">Tags_ols!$AA$4</definedName>
    <definedName name="COGS_1Q05" localSheetId="10">Tags!$AF$4</definedName>
    <definedName name="COGS_1Q05">Tags_ols!$AF$4</definedName>
    <definedName name="COGS_1Q06" localSheetId="10">Tags!$AK$4</definedName>
    <definedName name="COGS_1Q06">Tags_ols!$AK$4</definedName>
    <definedName name="COGS_1Q07" localSheetId="10">Tags!$AP$4</definedName>
    <definedName name="COGS_1Q07">Tags_ols!$AP$4</definedName>
    <definedName name="COGS_1Q08" localSheetId="10">Tags!$AU$4</definedName>
    <definedName name="COGS_1Q08">Tags_ols!$AU$4</definedName>
    <definedName name="COGS_1Q09" localSheetId="10">Tags!$AZ$4</definedName>
    <definedName name="COGS_1Q09">Tags_ols!$AZ$4</definedName>
    <definedName name="COGS_1Q10" localSheetId="10">Tags!$BE$4</definedName>
    <definedName name="COGS_1Q10">Tags_ols!$BE$4</definedName>
    <definedName name="COGS_1Q11" localSheetId="10">Tags!$BJ$4</definedName>
    <definedName name="COGS_1Q11">Tags_ols!$BJ$4</definedName>
    <definedName name="COGS_1Q12" localSheetId="10">Tags!$BO$4</definedName>
    <definedName name="COGS_1Q12">Tags_ols!$BO$4</definedName>
    <definedName name="COGS_1Q13" localSheetId="10">Tags!$BT$4</definedName>
    <definedName name="COGS_1Q13">Tags_ols!$BT$4</definedName>
    <definedName name="COGS_1Q14" localSheetId="10">Tags!$BY$4</definedName>
    <definedName name="COGS_1Q14">Tags_ols!$BY$4</definedName>
    <definedName name="COGS_1Q15" localSheetId="10">Tags!$CD$4</definedName>
    <definedName name="COGS_1Q15">Tags_ols!$CD$4</definedName>
    <definedName name="COGS_1Q16" localSheetId="10">Tags!$CI$4</definedName>
    <definedName name="COGS_1Q16">Tags_ols!$CI$4</definedName>
    <definedName name="COGS_1Q17" localSheetId="10">Tags!$CN$4</definedName>
    <definedName name="COGS_1Q17">Tags_ols!$CN$4</definedName>
    <definedName name="COGS_1Q18" localSheetId="10">Tags!$CS$4</definedName>
    <definedName name="COGS_1Q18">Tags_ols!$CS$4</definedName>
    <definedName name="COGS_1Q19" localSheetId="10">Tags!$CX$4</definedName>
    <definedName name="COGS_1Q19">Tags_ols!$CX$4</definedName>
    <definedName name="COGS_1Q20" localSheetId="10">Tags!$DC$4</definedName>
    <definedName name="COGS_1Q20">Tags_ols!$DC$4</definedName>
    <definedName name="COGS_1Q21">Tags!$DH$4</definedName>
    <definedName name="COGS_1Q22">Tags!$DM$4</definedName>
    <definedName name="COGS_1Q23">Tags!$DR$4</definedName>
    <definedName name="COGS_1Q24">Tags!$DW$4</definedName>
    <definedName name="COGS_2000" localSheetId="10">Tags!$K$4</definedName>
    <definedName name="COGS_2000">Tags_ols!$K$4</definedName>
    <definedName name="COGS_2001" localSheetId="10">Tags!$P$4</definedName>
    <definedName name="COGS_2001">Tags_ols!$P$4</definedName>
    <definedName name="COGS_2002" localSheetId="10">Tags!$U$4</definedName>
    <definedName name="COGS_2002">Tags_ols!$U$4</definedName>
    <definedName name="COGS_2003" localSheetId="10">Tags!$Z$4</definedName>
    <definedName name="COGS_2003">Tags_ols!$Z$4</definedName>
    <definedName name="COGS_2004" localSheetId="10">Tags!$AE$4</definedName>
    <definedName name="COGS_2004">Tags_ols!$AE$4</definedName>
    <definedName name="COGS_2005" localSheetId="10">Tags!$AJ$4</definedName>
    <definedName name="COGS_2005">Tags_ols!$AJ$4</definedName>
    <definedName name="COGS_2006" localSheetId="10">Tags!$AO$4</definedName>
    <definedName name="COGS_2006">Tags_ols!$AO$4</definedName>
    <definedName name="COGS_2007" localSheetId="10">Tags!$AT$4</definedName>
    <definedName name="COGS_2007">Tags_ols!$AT$4</definedName>
    <definedName name="COGS_2008" localSheetId="10">Tags!$AY$4</definedName>
    <definedName name="COGS_2008">Tags_ols!$AY$4</definedName>
    <definedName name="COGS_2009" localSheetId="10">Tags!$BD$4</definedName>
    <definedName name="COGS_2009">Tags_ols!$BD$4</definedName>
    <definedName name="COGS_2010" localSheetId="10">Tags!$BI$4</definedName>
    <definedName name="COGS_2010">Tags_ols!$BI$4</definedName>
    <definedName name="COGS_2011" localSheetId="10">Tags!$BN$4</definedName>
    <definedName name="COGS_2011">Tags_ols!$BN$4</definedName>
    <definedName name="COGS_2012" localSheetId="10">Tags!$BS$4</definedName>
    <definedName name="COGS_2012">Tags_ols!$BS$4</definedName>
    <definedName name="COGS_2013" localSheetId="10">Tags!$BX$4</definedName>
    <definedName name="COGS_2013">Tags_ols!$BX$4</definedName>
    <definedName name="COGS_2014" localSheetId="10">Tags!$CC$4</definedName>
    <definedName name="COGS_2014">Tags_ols!$CC$4</definedName>
    <definedName name="COGS_2015" localSheetId="10">Tags!#REF!</definedName>
    <definedName name="COGS_2015">Tags!$CH$4</definedName>
    <definedName name="COGS_2016" localSheetId="10">Tags!$CM$4</definedName>
    <definedName name="COGS_2016">Tags_ols!$CM$4</definedName>
    <definedName name="COGS_2017" localSheetId="10">Tags!$CR$4</definedName>
    <definedName name="COGS_2017">Tags_ols!$CR$4</definedName>
    <definedName name="COGS_2018" localSheetId="10">Tags!$CW$4</definedName>
    <definedName name="COGS_2018">Tags_ols!$CW$4</definedName>
    <definedName name="COGS_2019" localSheetId="10">Tags!$DB$4</definedName>
    <definedName name="COGS_2019">Tags_ols!$DB$4</definedName>
    <definedName name="COGS_2020" localSheetId="10">Tags!$DG$4</definedName>
    <definedName name="COGS_2020">Tags_ols!$DG$4</definedName>
    <definedName name="COGS_2021">Tags!$DL$4</definedName>
    <definedName name="COGS_2022">Tags!$DQ$4</definedName>
    <definedName name="COGS_2023">Tags!$DV$4</definedName>
    <definedName name="COGS_2024">Tags!$EA$4</definedName>
    <definedName name="COGS_2Q00" localSheetId="10">Tags!$H$4</definedName>
    <definedName name="COGS_2Q00">Tags_ols!$H$4</definedName>
    <definedName name="COGS_2Q01" localSheetId="10">Tags!$M$4</definedName>
    <definedName name="COGS_2Q01">Tags_ols!$M$4</definedName>
    <definedName name="COGS_2Q02" localSheetId="10">Tags!$R$4</definedName>
    <definedName name="COGS_2Q02">Tags_ols!$R$4</definedName>
    <definedName name="COGS_2Q03" localSheetId="10">Tags!$W$4</definedName>
    <definedName name="COGS_2Q03">Tags_ols!$W$4</definedName>
    <definedName name="COGS_2Q04" localSheetId="10">Tags!$AB$4</definedName>
    <definedName name="COGS_2Q04">Tags_ols!$AB$4</definedName>
    <definedName name="COGS_2Q05" localSheetId="10">Tags!$AG$4</definedName>
    <definedName name="COGS_2Q05">Tags_ols!$AG$4</definedName>
    <definedName name="COGS_2Q06" localSheetId="10">Tags!$AL$4</definedName>
    <definedName name="COGS_2Q06">Tags_ols!$AL$4</definedName>
    <definedName name="COGS_2Q07" localSheetId="10">Tags!$AQ$4</definedName>
    <definedName name="COGS_2Q07">Tags_ols!$AQ$4</definedName>
    <definedName name="COGS_2Q08" localSheetId="10">Tags!$AV$4</definedName>
    <definedName name="COGS_2Q08">Tags_ols!$AV$4</definedName>
    <definedName name="COGS_2Q09" localSheetId="10">Tags!$BA$4</definedName>
    <definedName name="COGS_2Q09">Tags_ols!$BA$4</definedName>
    <definedName name="COGS_2Q10" localSheetId="10">Tags!$BF$4</definedName>
    <definedName name="COGS_2Q10">Tags_ols!$BF$4</definedName>
    <definedName name="COGS_2Q11" localSheetId="10">Tags!$BK$4</definedName>
    <definedName name="COGS_2Q11">Tags_ols!$BK$4</definedName>
    <definedName name="COGS_2Q12" localSheetId="10">Tags!$BP$4</definedName>
    <definedName name="COGS_2Q12">Tags_ols!$BP$4</definedName>
    <definedName name="COGS_2Q13" localSheetId="10">Tags!$BU$4</definedName>
    <definedName name="COGS_2Q13">Tags_ols!$BU$4</definedName>
    <definedName name="COGS_2Q14" localSheetId="10">Tags!$BZ$4</definedName>
    <definedName name="COGS_2Q14">Tags_ols!$BZ$4</definedName>
    <definedName name="COGS_2Q15" localSheetId="10">Tags!$CE$4</definedName>
    <definedName name="COGS_2Q15">Tags_ols!$CE$4</definedName>
    <definedName name="COGS_2Q16" localSheetId="10">Tags!$CJ$4</definedName>
    <definedName name="COGS_2Q16">Tags_ols!$CJ$4</definedName>
    <definedName name="COGS_2Q17" localSheetId="10">Tags!$CO$4</definedName>
    <definedName name="COGS_2Q17">Tags_ols!$CO$4</definedName>
    <definedName name="COGS_2Q18" localSheetId="10">Tags!$CT$4</definedName>
    <definedName name="COGS_2Q18">Tags_ols!$CT$4</definedName>
    <definedName name="COGS_2Q19" localSheetId="10">Tags!$CY$4</definedName>
    <definedName name="COGS_2Q19">Tags_ols!$CY$4</definedName>
    <definedName name="COGS_2Q20" localSheetId="10">Tags!$DD$4</definedName>
    <definedName name="COGS_2Q20">Tags_ols!$DD$4</definedName>
    <definedName name="COGS_2Q21">Tags!$DI$4</definedName>
    <definedName name="COGS_2Q22">Tags!$DN$4</definedName>
    <definedName name="COGS_2Q23">Tags!$DS$4</definedName>
    <definedName name="COGS_2Q24">Tags!$DX$4</definedName>
    <definedName name="COGS_3Q00" localSheetId="10">Tags!$I$4</definedName>
    <definedName name="COGS_3Q00">Tags_ols!$I$4</definedName>
    <definedName name="COGS_3Q01" localSheetId="10">Tags!$N$4</definedName>
    <definedName name="COGS_3Q01">Tags_ols!$N$4</definedName>
    <definedName name="COGS_3Q02" localSheetId="10">Tags!$S$4</definedName>
    <definedName name="COGS_3Q02">Tags_ols!$S$4</definedName>
    <definedName name="COGS_3Q03" localSheetId="10">Tags!$X$4</definedName>
    <definedName name="COGS_3Q03">Tags_ols!$X$4</definedName>
    <definedName name="COGS_3Q04" localSheetId="10">Tags!$AC$4</definedName>
    <definedName name="COGS_3Q04">Tags_ols!$AC$4</definedName>
    <definedName name="COGS_3Q05" localSheetId="10">Tags!$AH$4</definedName>
    <definedName name="COGS_3Q05">Tags_ols!$AH$4</definedName>
    <definedName name="COGS_3Q06" localSheetId="10">Tags!$AM$4</definedName>
    <definedName name="COGS_3Q06">Tags_ols!$AM$4</definedName>
    <definedName name="COGS_3Q07" localSheetId="10">Tags!$AR$4</definedName>
    <definedName name="COGS_3Q07">Tags_ols!$AR$4</definedName>
    <definedName name="COGS_3Q08" localSheetId="10">Tags!$AW$4</definedName>
    <definedName name="COGS_3Q08">Tags_ols!$AW$4</definedName>
    <definedName name="COGS_3Q09" localSheetId="10">Tags!$BB$4</definedName>
    <definedName name="COGS_3Q09">Tags_ols!$BB$4</definedName>
    <definedName name="COGS_3Q10" localSheetId="10">Tags!$BG$4</definedName>
    <definedName name="COGS_3Q10">Tags_ols!$BG$4</definedName>
    <definedName name="COGS_3Q11" localSheetId="10">Tags!$BL$4</definedName>
    <definedName name="COGS_3Q11">Tags_ols!$BL$4</definedName>
    <definedName name="COGS_3Q12" localSheetId="10">Tags!$BQ$4</definedName>
    <definedName name="COGS_3Q12">Tags_ols!$BQ$4</definedName>
    <definedName name="COGS_3Q13" localSheetId="10">Tags!$BV$4</definedName>
    <definedName name="COGS_3Q13">Tags_ols!$BV$4</definedName>
    <definedName name="COGS_3Q14" localSheetId="10">Tags!$CA$4</definedName>
    <definedName name="COGS_3Q14">Tags_ols!$CA$4</definedName>
    <definedName name="COGS_3Q15" localSheetId="10">Tags!$CF$4</definedName>
    <definedName name="COGS_3Q15">Tags_ols!$CF$4</definedName>
    <definedName name="COGS_3Q16" localSheetId="10">Tags!$CK$4</definedName>
    <definedName name="COGS_3Q16">Tags_ols!$CK$4</definedName>
    <definedName name="COGS_3Q17" localSheetId="10">Tags!$CP$4</definedName>
    <definedName name="COGS_3Q17">Tags_ols!$CP$4</definedName>
    <definedName name="COGS_3Q18" localSheetId="10">Tags!$CU$4</definedName>
    <definedName name="COGS_3Q18">Tags_ols!$CU$4</definedName>
    <definedName name="COGS_3Q19" localSheetId="10">Tags!$CZ$4</definedName>
    <definedName name="COGS_3Q19">Tags_ols!$CZ$4</definedName>
    <definedName name="COGS_3Q20" localSheetId="10">Tags!$DE$4</definedName>
    <definedName name="COGS_3Q20">Tags_ols!$DE$4</definedName>
    <definedName name="COGS_3Q21">Tags!$DJ$4</definedName>
    <definedName name="COGS_3Q22">Tags!$DO$4</definedName>
    <definedName name="COGS_3Q23">Tags!$DT$4</definedName>
    <definedName name="COGS_3Q24">Tags!$DY$4</definedName>
    <definedName name="COGS_4Q00" localSheetId="10">Tags!$J$4</definedName>
    <definedName name="COGS_4Q00">Tags_ols!$J$4</definedName>
    <definedName name="COGS_4Q01" localSheetId="10">Tags!$O$4</definedName>
    <definedName name="COGS_4Q01">Tags_ols!$O$4</definedName>
    <definedName name="COGS_4Q02" localSheetId="10">Tags!$T$4</definedName>
    <definedName name="COGS_4Q02">Tags_ols!$T$4</definedName>
    <definedName name="COGS_4Q03" localSheetId="10">Tags!$Y$4</definedName>
    <definedName name="COGS_4Q03">Tags_ols!$Y$4</definedName>
    <definedName name="COGS_4Q04" localSheetId="10">Tags!$AD$4</definedName>
    <definedName name="COGS_4Q04">Tags_ols!$AD$4</definedName>
    <definedName name="COGS_4Q05" localSheetId="10">Tags!$AI$4</definedName>
    <definedName name="COGS_4Q05">Tags_ols!$AI$4</definedName>
    <definedName name="COGS_4Q06" localSheetId="10">Tags!$AN$4</definedName>
    <definedName name="COGS_4Q06">Tags_ols!$AN$4</definedName>
    <definedName name="COGS_4Q07" localSheetId="10">Tags!$AS$4</definedName>
    <definedName name="COGS_4Q07">Tags_ols!$AS$4</definedName>
    <definedName name="COGS_4Q08" localSheetId="10">Tags!$AX$4</definedName>
    <definedName name="COGS_4Q08">Tags_ols!$AX$4</definedName>
    <definedName name="COGS_4Q09" localSheetId="10">Tags!$BC$4</definedName>
    <definedName name="COGS_4Q09">Tags_ols!$BC$4</definedName>
    <definedName name="COGS_4Q10" localSheetId="10">Tags!$BH$4</definedName>
    <definedName name="COGS_4Q10">Tags_ols!$BH$4</definedName>
    <definedName name="COGS_4Q11" localSheetId="10">Tags!$BM$4</definedName>
    <definedName name="COGS_4Q11">Tags_ols!$BM$4</definedName>
    <definedName name="COGS_4Q12" localSheetId="10">Tags!$BR$4</definedName>
    <definedName name="COGS_4Q12">Tags_ols!$BR$4</definedName>
    <definedName name="COGS_4Q13" localSheetId="10">Tags!$BW$4</definedName>
    <definedName name="COGS_4Q13">Tags_ols!$BW$4</definedName>
    <definedName name="COGS_4Q14" localSheetId="10">Tags!$CB$4</definedName>
    <definedName name="COGS_4Q14">Tags_ols!$CB$4</definedName>
    <definedName name="COGS_4Q15" localSheetId="10">Tags!$CG$4</definedName>
    <definedName name="COGS_4Q15">Tags_ols!$CG$4</definedName>
    <definedName name="COGS_4Q16" localSheetId="10">Tags!$CL$4</definedName>
    <definedName name="COGS_4Q16">Tags_ols!$CL$4</definedName>
    <definedName name="COGS_4Q17" localSheetId="10">Tags!$CQ$4</definedName>
    <definedName name="COGS_4Q17">Tags_ols!$CQ$4</definedName>
    <definedName name="COGS_4Q18" localSheetId="10">Tags!$CV$4</definedName>
    <definedName name="COGS_4Q18">Tags_ols!$CV$4</definedName>
    <definedName name="COGS_4Q19" localSheetId="10">Tags!$DA$4</definedName>
    <definedName name="COGS_4Q19">Tags_ols!$DA$4</definedName>
    <definedName name="COGS_4Q20" localSheetId="10">Tags!$DF$4</definedName>
    <definedName name="COGS_4Q20">Tags_ols!$DF$4</definedName>
    <definedName name="COGS_4Q21">Tags!$DK$4</definedName>
    <definedName name="COGS_4Q22">Tags!$DP$4</definedName>
    <definedName name="COGS_4Q23">Tags!$DU$4</definedName>
    <definedName name="COGS_4Q24">Tags!$DZ$4</definedName>
    <definedName name="ColourIndex">#REF!</definedName>
    <definedName name="CompanyName1">#REF!</definedName>
    <definedName name="CompanyTicker1">#REF!</definedName>
    <definedName name="Comparison">#REF!</definedName>
    <definedName name="Concessão_Malha_Sul" localSheetId="4" hidden="1">{#N/A,"100% Success",TRUE,"Sales Forecast";#N/A,#N/A,TRUE,"Sheet2"}</definedName>
    <definedName name="Concessão_Malha_Sul" localSheetId="6" hidden="1">{#N/A,"100% Success",TRUE,"Sales Forecast";#N/A,#N/A,TRUE,"Sheet2"}</definedName>
    <definedName name="Concessão_Malha_Sul" localSheetId="0" hidden="1">{#N/A,"100% Success",TRUE,"Sales Forecast";#N/A,#N/A,TRUE,"Sheet2"}</definedName>
    <definedName name="Concessão_Malha_Sul" localSheetId="9" hidden="1">{#N/A,"100% Success",TRUE,"Sales Forecast";#N/A,#N/A,TRUE,"Sheet2"}</definedName>
    <definedName name="Concessão_Malha_Sul" localSheetId="5" hidden="1">{#N/A,"100% Success",TRUE,"Sales Forecast";#N/A,#N/A,TRUE,"Sheet2"}</definedName>
    <definedName name="Concessão_Malha_Sul" hidden="1">{#N/A,"100% Success",TRUE,"Sales Forecast";#N/A,#N/A,TRUE,"Sheet2"}</definedName>
    <definedName name="copy_area">#REF!</definedName>
    <definedName name="CPPROV_1995">Tags_ols!$B$412</definedName>
    <definedName name="CPPROV_1996">Tags_ols!$C$412</definedName>
    <definedName name="CPPROV_1997">Tags_ols!$D$412</definedName>
    <definedName name="CPPROV_1998">Tags_ols!$E$412</definedName>
    <definedName name="CPPROV_1999">Tags_ols!$F$412</definedName>
    <definedName name="CPPROV_1Q00" localSheetId="10">Tags!$G$412</definedName>
    <definedName name="CPPROV_1Q00">Tags_ols!$G$412</definedName>
    <definedName name="CPPROV_1Q01" localSheetId="10">Tags!$L$412</definedName>
    <definedName name="CPPROV_1Q01">Tags_ols!$L$412</definedName>
    <definedName name="CPPROV_1Q02" localSheetId="10">Tags!$Q$412</definedName>
    <definedName name="CPPROV_1Q02">Tags_ols!$Q$412</definedName>
    <definedName name="CPPROV_1Q03" localSheetId="10">Tags!$V$412</definedName>
    <definedName name="CPPROV_1Q03">Tags_ols!$V$412</definedName>
    <definedName name="CPPROV_1Q04" localSheetId="10">Tags!$AA$412</definedName>
    <definedName name="CPPROV_1Q04">Tags_ols!$AA$412</definedName>
    <definedName name="CPPROV_1Q05" localSheetId="10">Tags!$AF$412</definedName>
    <definedName name="CPPROV_1Q05">Tags_ols!$AF$412</definedName>
    <definedName name="CPPROV_1Q06" localSheetId="10">Tags!$AK$412</definedName>
    <definedName name="CPPROV_1Q06">Tags_ols!$AK$412</definedName>
    <definedName name="CPPROV_1Q07" localSheetId="10">Tags!$AP$412</definedName>
    <definedName name="CPPROV_1Q07">Tags_ols!$AP$412</definedName>
    <definedName name="CPPROV_1Q08" localSheetId="10">Tags!$AU$412</definedName>
    <definedName name="CPPROV_1Q08">Tags_ols!$AU$412</definedName>
    <definedName name="CPPROV_1Q09" localSheetId="10">Tags!$AZ$412</definedName>
    <definedName name="CPPROV_1Q09">Tags_ols!$AZ$412</definedName>
    <definedName name="CPPROV_1Q10" localSheetId="10">Tags!$BE$412</definedName>
    <definedName name="CPPROV_1Q10">Tags_ols!$BE$412</definedName>
    <definedName name="CPPROV_1Q11" localSheetId="10">Tags!$BJ$412</definedName>
    <definedName name="CPPROV_1Q11">Tags_ols!$BJ$412</definedName>
    <definedName name="CPPROV_1Q12" localSheetId="10">Tags!$BO$412</definedName>
    <definedName name="CPPROV_1Q12">Tags_ols!$BO$412</definedName>
    <definedName name="CPPROV_1Q13" localSheetId="10">Tags!$BT$412</definedName>
    <definedName name="CPPROV_1Q13">Tags_ols!$BT$412</definedName>
    <definedName name="CPPROV_1Q14" localSheetId="10">Tags!$BY$412</definedName>
    <definedName name="CPPROV_1Q14">Tags_ols!$BY$412</definedName>
    <definedName name="CPPROV_1Q15" localSheetId="10">Tags!$CD$412</definedName>
    <definedName name="CPPROV_1Q15">Tags_ols!$CD$412</definedName>
    <definedName name="CPPROV_1Q16" localSheetId="10">Tags!$CI$412</definedName>
    <definedName name="CPPROV_1Q16">Tags_ols!$CI$412</definedName>
    <definedName name="CPPROV_1Q17" localSheetId="10">Tags!$CN$412</definedName>
    <definedName name="CPPROV_1Q17">Tags_ols!$CN$412</definedName>
    <definedName name="CPPROV_1Q18" localSheetId="10">Tags!$CS$412</definedName>
    <definedName name="CPPROV_1Q18">Tags_ols!$CS$412</definedName>
    <definedName name="CPPROV_1Q19" localSheetId="10">Tags!$CX$412</definedName>
    <definedName name="CPPROV_1Q19">Tags_ols!$CX$412</definedName>
    <definedName name="CPPROV_1Q20" localSheetId="10">Tags!$DC$412</definedName>
    <definedName name="CPPROV_1Q20">Tags_ols!$DC$412</definedName>
    <definedName name="CPPROV_1Q21">Tags!$DH$412</definedName>
    <definedName name="CPPROV_1Q22">Tags!$DM$412</definedName>
    <definedName name="CPPROV_1Q23">Tags!$DR$412</definedName>
    <definedName name="CPPROV_1Q24">Tags!$DW$412</definedName>
    <definedName name="CPPROV_2000" localSheetId="10">Tags!$K$412</definedName>
    <definedName name="CPPROV_2000">Tags_ols!$K$412</definedName>
    <definedName name="CPPROV_2001" localSheetId="10">Tags!$P$412</definedName>
    <definedName name="CPPROV_2001">Tags_ols!$P$412</definedName>
    <definedName name="CPPROV_2002" localSheetId="10">Tags!$U$412</definedName>
    <definedName name="CPPROV_2002">Tags_ols!$U$412</definedName>
    <definedName name="CPPROV_2003" localSheetId="10">Tags!$Z$412</definedName>
    <definedName name="CPPROV_2003">Tags_ols!$Z$412</definedName>
    <definedName name="CPPROV_2004" localSheetId="10">Tags!$AE$412</definedName>
    <definedName name="CPPROV_2004">Tags_ols!$AE$412</definedName>
    <definedName name="CPPROV_2005" localSheetId="10">Tags!$AJ$412</definedName>
    <definedName name="CPPROV_2005">Tags_ols!$AJ$412</definedName>
    <definedName name="CPPROV_2006" localSheetId="10">Tags!$AO$412</definedName>
    <definedName name="CPPROV_2006">Tags_ols!$AO$412</definedName>
    <definedName name="CPPROV_2007" localSheetId="10">Tags!$AT$412</definedName>
    <definedName name="CPPROV_2007">Tags_ols!$AT$412</definedName>
    <definedName name="CPPROV_2008" localSheetId="10">Tags!$AY$412</definedName>
    <definedName name="CPPROV_2008">Tags_ols!$AY$412</definedName>
    <definedName name="CPPROV_2009" localSheetId="10">Tags!$BD$412</definedName>
    <definedName name="CPPROV_2009">Tags_ols!$BD$412</definedName>
    <definedName name="CPPROV_2010" localSheetId="10">Tags!$BI$412</definedName>
    <definedName name="CPPROV_2010">Tags_ols!$BI$412</definedName>
    <definedName name="CPPROV_2011" localSheetId="10">Tags!$BN$412</definedName>
    <definedName name="CPPROV_2011">Tags_ols!$BN$412</definedName>
    <definedName name="CPPROV_2012" localSheetId="10">Tags!$BS$412</definedName>
    <definedName name="CPPROV_2012">Tags_ols!$BS$412</definedName>
    <definedName name="CPPROV_2013" localSheetId="10">Tags!$BX$412</definedName>
    <definedName name="CPPROV_2013">Tags_ols!$BX$412</definedName>
    <definedName name="CPPROV_2014" localSheetId="10">Tags!$CC$412</definedName>
    <definedName name="CPPROV_2014">Tags_ols!$CC$412</definedName>
    <definedName name="CPPROV_2015" localSheetId="10">Tags!#REF!</definedName>
    <definedName name="CPPROV_2015">Tags!$CH$412</definedName>
    <definedName name="CPPROV_2016" localSheetId="10">Tags!$CM$412</definedName>
    <definedName name="CPPROV_2016">Tags_ols!$CM$412</definedName>
    <definedName name="CPPROV_2017" localSheetId="10">Tags!$CR$412</definedName>
    <definedName name="CPPROV_2017">Tags_ols!$CR$412</definedName>
    <definedName name="CPPROV_2018" localSheetId="10">Tags!$CW$412</definedName>
    <definedName name="CPPROV_2018">Tags_ols!$CW$412</definedName>
    <definedName name="CPPROV_2019" localSheetId="10">Tags!$DB$412</definedName>
    <definedName name="CPPROV_2019">Tags_ols!$DB$412</definedName>
    <definedName name="CPPROV_2020" localSheetId="10">Tags!$DG$412</definedName>
    <definedName name="CPPROV_2020">Tags_ols!$DG$412</definedName>
    <definedName name="CPPROV_2021">Tags!$DL$412</definedName>
    <definedName name="CPPROV_2022">Tags!$DQ$412</definedName>
    <definedName name="CPPROV_2023">Tags!$DV$412</definedName>
    <definedName name="CPPROV_2024">Tags!$EA$412</definedName>
    <definedName name="CPPROV_2Q00" localSheetId="10">Tags!$H$412</definedName>
    <definedName name="CPPROV_2Q00">Tags_ols!$H$412</definedName>
    <definedName name="CPPROV_2Q01" localSheetId="10">Tags!$M$412</definedName>
    <definedName name="CPPROV_2Q01">Tags_ols!$M$412</definedName>
    <definedName name="CPPROV_2Q02" localSheetId="10">Tags!$R$412</definedName>
    <definedName name="CPPROV_2Q02">Tags_ols!$R$412</definedName>
    <definedName name="CPPROV_2Q03" localSheetId="10">Tags!$W$412</definedName>
    <definedName name="CPPROV_2Q03">Tags_ols!$W$412</definedName>
    <definedName name="CPPROV_2Q04" localSheetId="10">Tags!$AB$412</definedName>
    <definedName name="CPPROV_2Q04">Tags_ols!$AB$412</definedName>
    <definedName name="CPPROV_2Q05" localSheetId="10">Tags!$AG$412</definedName>
    <definedName name="CPPROV_2Q05">Tags_ols!$AG$412</definedName>
    <definedName name="CPPROV_2Q06" localSheetId="10">Tags!$AL$412</definedName>
    <definedName name="CPPROV_2Q06">Tags_ols!$AL$412</definedName>
    <definedName name="CPPROV_2Q07" localSheetId="10">Tags!$AQ$412</definedName>
    <definedName name="CPPROV_2Q07">Tags_ols!$AQ$412</definedName>
    <definedName name="CPPROV_2Q08" localSheetId="10">Tags!$AV$412</definedName>
    <definedName name="CPPROV_2Q08">Tags_ols!$AV$412</definedName>
    <definedName name="CPPROV_2Q09" localSheetId="10">Tags!$BA$412</definedName>
    <definedName name="CPPROV_2Q09">Tags_ols!$BA$412</definedName>
    <definedName name="CPPROV_2Q10" localSheetId="10">Tags!$BF$412</definedName>
    <definedName name="CPPROV_2Q10">Tags_ols!$BF$412</definedName>
    <definedName name="CPPROV_2Q11" localSheetId="10">Tags!$BK$412</definedName>
    <definedName name="CPPROV_2Q11">Tags_ols!$BK$412</definedName>
    <definedName name="CPPROV_2Q12" localSheetId="10">Tags!$BP$412</definedName>
    <definedName name="CPPROV_2Q12">Tags_ols!$BP$412</definedName>
    <definedName name="CPPROV_2Q13" localSheetId="10">Tags!$BU$412</definedName>
    <definedName name="CPPROV_2Q13">Tags_ols!$BU$412</definedName>
    <definedName name="CPPROV_2Q14" localSheetId="10">Tags!$BZ$412</definedName>
    <definedName name="CPPROV_2Q14">Tags_ols!$BZ$412</definedName>
    <definedName name="CPPROV_2Q15" localSheetId="10">Tags!$CE$412</definedName>
    <definedName name="CPPROV_2Q15">Tags_ols!$CE$412</definedName>
    <definedName name="CPPROV_2Q16" localSheetId="10">Tags!$CJ$412</definedName>
    <definedName name="CPPROV_2Q16">Tags_ols!$CJ$412</definedName>
    <definedName name="CPPROV_2Q17" localSheetId="10">Tags!$CO$412</definedName>
    <definedName name="CPPROV_2Q17">Tags_ols!$CO$412</definedName>
    <definedName name="CPPROV_2Q18" localSheetId="10">Tags!$CT$412</definedName>
    <definedName name="CPPROV_2Q18">Tags_ols!$CT$412</definedName>
    <definedName name="CPPROV_2Q19" localSheetId="10">Tags!$CY$412</definedName>
    <definedName name="CPPROV_2Q19">Tags_ols!$CY$412</definedName>
    <definedName name="CPPROV_2Q20" localSheetId="10">Tags!$DD$412</definedName>
    <definedName name="CPPROV_2Q20">Tags_ols!$DD$412</definedName>
    <definedName name="CPPROV_2Q21">Tags!$DI$412</definedName>
    <definedName name="CPPROV_2Q22">Tags!$DN$412</definedName>
    <definedName name="CPPROV_2Q23">Tags!$DS$412</definedName>
    <definedName name="CPPROV_2Q24">Tags!$DX$412</definedName>
    <definedName name="CPPROV_3Q00" localSheetId="10">Tags!$I$412</definedName>
    <definedName name="CPPROV_3Q00">Tags_ols!$I$412</definedName>
    <definedName name="CPPROV_3Q01" localSheetId="10">Tags!$N$412</definedName>
    <definedName name="CPPROV_3Q01">Tags_ols!$N$412</definedName>
    <definedName name="CPPROV_3Q02" localSheetId="10">Tags!$S$412</definedName>
    <definedName name="CPPROV_3Q02">Tags_ols!$S$412</definedName>
    <definedName name="CPPROV_3Q03" localSheetId="10">Tags!$X$412</definedName>
    <definedName name="CPPROV_3Q03">Tags_ols!$X$412</definedName>
    <definedName name="CPPROV_3Q04" localSheetId="10">Tags!$AC$412</definedName>
    <definedName name="CPPROV_3Q04">Tags_ols!$AC$412</definedName>
    <definedName name="CPPROV_3Q05" localSheetId="10">Tags!$AH$412</definedName>
    <definedName name="CPPROV_3Q05">Tags_ols!$AH$412</definedName>
    <definedName name="CPPROV_3Q06" localSheetId="10">Tags!$AM$412</definedName>
    <definedName name="CPPROV_3Q06">Tags_ols!$AM$412</definedName>
    <definedName name="CPPROV_3Q07" localSheetId="10">Tags!$AR$412</definedName>
    <definedName name="CPPROV_3Q07">Tags_ols!$AR$412</definedName>
    <definedName name="CPPROV_3Q08" localSheetId="10">Tags!$AW$412</definedName>
    <definedName name="CPPROV_3Q08">Tags_ols!$AW$412</definedName>
    <definedName name="CPPROV_3Q09" localSheetId="10">Tags!$BB$412</definedName>
    <definedName name="CPPROV_3Q09">Tags_ols!$BB$412</definedName>
    <definedName name="CPPROV_3Q10" localSheetId="10">Tags!$BG$412</definedName>
    <definedName name="CPPROV_3Q10">Tags_ols!$BG$412</definedName>
    <definedName name="CPPROV_3Q11" localSheetId="10">Tags!$BL$412</definedName>
    <definedName name="CPPROV_3Q11">Tags_ols!$BL$412</definedName>
    <definedName name="CPPROV_3Q12" localSheetId="10">Tags!$BQ$412</definedName>
    <definedName name="CPPROV_3Q12">Tags_ols!$BQ$412</definedName>
    <definedName name="CPPROV_3Q13" localSheetId="10">Tags!$BV$412</definedName>
    <definedName name="CPPROV_3Q13">Tags_ols!$BV$412</definedName>
    <definedName name="CPPROV_3Q14" localSheetId="10">Tags!$CA$412</definedName>
    <definedName name="CPPROV_3Q14">Tags_ols!$CA$412</definedName>
    <definedName name="CPPROV_3Q15" localSheetId="10">Tags!$CF$412</definedName>
    <definedName name="CPPROV_3Q15">Tags_ols!$CF$412</definedName>
    <definedName name="CPPROV_3Q16" localSheetId="10">Tags!$CK$412</definedName>
    <definedName name="CPPROV_3Q16">Tags_ols!$CK$412</definedName>
    <definedName name="CPPROV_3Q17" localSheetId="10">Tags!$CP$412</definedName>
    <definedName name="CPPROV_3Q17">Tags_ols!$CP$412</definedName>
    <definedName name="CPPROV_3Q18" localSheetId="10">Tags!$CU$412</definedName>
    <definedName name="CPPROV_3Q18">Tags_ols!$CU$412</definedName>
    <definedName name="CPPROV_3Q19" localSheetId="10">Tags!$CZ$412</definedName>
    <definedName name="CPPROV_3Q19">Tags_ols!$CZ$412</definedName>
    <definedName name="CPPROV_3Q20" localSheetId="10">Tags!$DE$412</definedName>
    <definedName name="CPPROV_3Q20">Tags_ols!$DE$412</definedName>
    <definedName name="CPPROV_3Q21">Tags!$DJ$412</definedName>
    <definedName name="CPPROV_3Q22">Tags!$DO$412</definedName>
    <definedName name="CPPROV_3Q23">Tags!$DT$412</definedName>
    <definedName name="CPPROV_3Q24">Tags!$DY$412</definedName>
    <definedName name="CPPROV_4Q00" localSheetId="10">Tags!$J$412</definedName>
    <definedName name="CPPROV_4Q00">Tags_ols!$J$412</definedName>
    <definedName name="CPPROV_4Q01" localSheetId="10">Tags!$O$412</definedName>
    <definedName name="CPPROV_4Q01">Tags_ols!$O$412</definedName>
    <definedName name="CPPROV_4Q02" localSheetId="10">Tags!$T$412</definedName>
    <definedName name="CPPROV_4Q02">Tags_ols!$T$412</definedName>
    <definedName name="CPPROV_4Q03" localSheetId="10">Tags!$Y$412</definedName>
    <definedName name="CPPROV_4Q03">Tags_ols!$Y$412</definedName>
    <definedName name="CPPROV_4Q04" localSheetId="10">Tags!$AD$412</definedName>
    <definedName name="CPPROV_4Q04">Tags_ols!$AD$412</definedName>
    <definedName name="CPPROV_4Q05" localSheetId="10">Tags!$AI$412</definedName>
    <definedName name="CPPROV_4Q05">Tags_ols!$AI$412</definedName>
    <definedName name="CPPROV_4Q06" localSheetId="10">Tags!$AN$412</definedName>
    <definedName name="CPPROV_4Q06">Tags_ols!$AN$412</definedName>
    <definedName name="CPPROV_4Q07" localSheetId="10">Tags!$AS$412</definedName>
    <definedName name="CPPROV_4Q07">Tags_ols!$AS$412</definedName>
    <definedName name="CPPROV_4Q08" localSheetId="10">Tags!$AX$412</definedName>
    <definedName name="CPPROV_4Q08">Tags_ols!$AX$412</definedName>
    <definedName name="CPPROV_4Q09" localSheetId="10">Tags!$BC$412</definedName>
    <definedName name="CPPROV_4Q09">Tags_ols!$BC$412</definedName>
    <definedName name="CPPROV_4Q10" localSheetId="10">Tags!$BH$412</definedName>
    <definedName name="CPPROV_4Q10">Tags_ols!$BH$412</definedName>
    <definedName name="CPPROV_4Q11" localSheetId="10">Tags!$BM$412</definedName>
    <definedName name="CPPROV_4Q11">Tags_ols!$BM$412</definedName>
    <definedName name="CPPROV_4Q12" localSheetId="10">Tags!$BR$412</definedName>
    <definedName name="CPPROV_4Q12">Tags_ols!$BR$412</definedName>
    <definedName name="CPPROV_4Q13" localSheetId="10">Tags!$BW$412</definedName>
    <definedName name="CPPROV_4Q13">Tags_ols!$BW$412</definedName>
    <definedName name="CPPROV_4Q14" localSheetId="10">Tags!$CB$412</definedName>
    <definedName name="CPPROV_4Q14">Tags_ols!$CB$412</definedName>
    <definedName name="CPPROV_4Q15" localSheetId="10">Tags!$CG$412</definedName>
    <definedName name="CPPROV_4Q15">Tags_ols!$CG$412</definedName>
    <definedName name="CPPROV_4Q16" localSheetId="10">Tags!$CL$412</definedName>
    <definedName name="CPPROV_4Q16">Tags_ols!$CL$412</definedName>
    <definedName name="CPPROV_4Q17" localSheetId="10">Tags!$CQ$412</definedName>
    <definedName name="CPPROV_4Q17">Tags_ols!$CQ$412</definedName>
    <definedName name="CPPROV_4Q18" localSheetId="10">Tags!$CV$412</definedName>
    <definedName name="CPPROV_4Q18">Tags_ols!$CV$412</definedName>
    <definedName name="CPPROV_4Q19" localSheetId="10">Tags!$DA$412</definedName>
    <definedName name="CPPROV_4Q19">Tags_ols!$DA$412</definedName>
    <definedName name="CPPROV_4Q20" localSheetId="10">Tags!$DF$412</definedName>
    <definedName name="CPPROV_4Q20">Tags_ols!$DF$412</definedName>
    <definedName name="CPPROV_4Q21">Tags!$DK$412</definedName>
    <definedName name="CPPROV_4Q22">Tags!$DP$412</definedName>
    <definedName name="CPPROV_4Q23">Tags!$DU$412</definedName>
    <definedName name="CPPROV_4Q24">Tags!$DZ$412</definedName>
    <definedName name="Credit0000">#REF!</definedName>
    <definedName name="Credit0101">#REF!</definedName>
    <definedName name="Credit9797">#REF!</definedName>
    <definedName name="Credit9898">#REF!</definedName>
    <definedName name="Credit9999">#REF!</definedName>
    <definedName name="Crng_Landscape">#REF!</definedName>
    <definedName name="Crng_Normal">#REF!</definedName>
    <definedName name="Crng_Portrait">#REF!</definedName>
    <definedName name="Crng_WPane">#REF!</definedName>
    <definedName name="cu102.ShareScalingFactor" hidden="1">1000000</definedName>
    <definedName name="cu103.EmployeeScalingFactor" hidden="1">1000</definedName>
    <definedName name="cu71.ScalingFactor" hidden="1">1000000</definedName>
    <definedName name="CUPEIT_1995">Tags_ols!$B$230</definedName>
    <definedName name="CUPEIT_1996">Tags_ols!$C$230</definedName>
    <definedName name="CUPEIT_1997">Tags_ols!$D$230</definedName>
    <definedName name="CUPEIT_1998">Tags_ols!$E$230</definedName>
    <definedName name="CUPEIT_1999">Tags_ols!$F$230</definedName>
    <definedName name="CUPEIT_1Q00" localSheetId="10">Tags!$G$230</definedName>
    <definedName name="CUPEIT_1Q00">Tags_ols!$G$230</definedName>
    <definedName name="CUPEIT_1Q01" localSheetId="10">Tags!$L$230</definedName>
    <definedName name="CUPEIT_1Q01">Tags_ols!$L$230</definedName>
    <definedName name="CUPEIT_1Q02" localSheetId="10">Tags!$Q$230</definedName>
    <definedName name="CUPEIT_1Q02">Tags_ols!$Q$230</definedName>
    <definedName name="CUPEIT_1Q03" localSheetId="10">Tags!$V$230</definedName>
    <definedName name="CUPEIT_1Q03">Tags_ols!$V$230</definedName>
    <definedName name="CUPEIT_1Q04" localSheetId="10">Tags!$AA$230</definedName>
    <definedName name="CUPEIT_1Q04">Tags_ols!$AA$230</definedName>
    <definedName name="CUPEIT_1Q05" localSheetId="10">Tags!$AF$230</definedName>
    <definedName name="CUPEIT_1Q05">Tags_ols!$AF$230</definedName>
    <definedName name="CUPEIT_1Q06" localSheetId="10">Tags!$AK$230</definedName>
    <definedName name="CUPEIT_1Q06">Tags_ols!$AK$230</definedName>
    <definedName name="CUPEIT_1Q07" localSheetId="10">Tags!$AP$230</definedName>
    <definedName name="CUPEIT_1Q07">Tags_ols!$AP$230</definedName>
    <definedName name="CUPEIT_1Q08" localSheetId="10">Tags!$AU$230</definedName>
    <definedName name="CUPEIT_1Q08">Tags_ols!$AU$230</definedName>
    <definedName name="CUPEIT_1Q09" localSheetId="10">Tags!$AZ$230</definedName>
    <definedName name="CUPEIT_1Q09">Tags_ols!$AZ$230</definedName>
    <definedName name="CUPEIT_1Q10" localSheetId="10">Tags!$BE$230</definedName>
    <definedName name="CUPEIT_1Q10">Tags_ols!$BE$230</definedName>
    <definedName name="CUPEIT_1Q11" localSheetId="10">Tags!$BJ$230</definedName>
    <definedName name="CUPEIT_1Q11">Tags_ols!$BJ$230</definedName>
    <definedName name="CUPEIT_1Q12" localSheetId="10">Tags!$BO$230</definedName>
    <definedName name="CUPEIT_1Q12">Tags_ols!$BO$230</definedName>
    <definedName name="CUPEIT_1Q13" localSheetId="10">Tags!$BT$230</definedName>
    <definedName name="CUPEIT_1Q13">Tags_ols!$BT$230</definedName>
    <definedName name="CUPEIT_1Q14" localSheetId="10">Tags!$BY$230</definedName>
    <definedName name="CUPEIT_1Q14">Tags_ols!$BY$230</definedName>
    <definedName name="CUPEIT_1Q15" localSheetId="10">Tags!$CD$230</definedName>
    <definedName name="CUPEIT_1Q15">Tags_ols!$CD$230</definedName>
    <definedName name="CUPEIT_1Q16" localSheetId="10">Tags!$CI$230</definedName>
    <definedName name="CUPEIT_1Q16">Tags_ols!$CI$230</definedName>
    <definedName name="CUPEIT_1Q17" localSheetId="10">Tags!$CN$230</definedName>
    <definedName name="CUPEIT_1Q17">Tags_ols!$CN$230</definedName>
    <definedName name="CUPEIT_1Q18" localSheetId="10">Tags!$CS$230</definedName>
    <definedName name="CUPEIT_1Q18">Tags_ols!$CS$230</definedName>
    <definedName name="CUPEIT_1Q19" localSheetId="10">Tags!$CX$230</definedName>
    <definedName name="CUPEIT_1Q19">Tags_ols!$CX$230</definedName>
    <definedName name="CUPEIT_1Q20" localSheetId="10">Tags!$DC$230</definedName>
    <definedName name="CUPEIT_1Q20">Tags_ols!$DC$230</definedName>
    <definedName name="CUPEIT_1Q21">Tags!$DH$230</definedName>
    <definedName name="CUPEIT_1Q22">Tags!$DM$230</definedName>
    <definedName name="CUPEIT_1Q23">Tags!$DR$230</definedName>
    <definedName name="CUPEIT_1Q24">Tags!$DW$230</definedName>
    <definedName name="CUPEIT_2000" localSheetId="10">Tags!$K$230</definedName>
    <definedName name="CUPEIT_2000">Tags_ols!$K$230</definedName>
    <definedName name="CUPEIT_2001" localSheetId="10">Tags!$P$230</definedName>
    <definedName name="CUPEIT_2001">Tags_ols!$P$230</definedName>
    <definedName name="CUPEIT_2002" localSheetId="10">Tags!$U$230</definedName>
    <definedName name="CUPEIT_2002">Tags_ols!$U$230</definedName>
    <definedName name="CUPEIT_2003" localSheetId="10">Tags!$Z$230</definedName>
    <definedName name="CUPEIT_2003">Tags_ols!$Z$230</definedName>
    <definedName name="CUPEIT_2004" localSheetId="10">Tags!$AE$230</definedName>
    <definedName name="CUPEIT_2004">Tags_ols!$AE$230</definedName>
    <definedName name="CUPEIT_2005" localSheetId="10">Tags!$AJ$230</definedName>
    <definedName name="CUPEIT_2005">Tags_ols!$AJ$230</definedName>
    <definedName name="CUPEIT_2006" localSheetId="10">Tags!$AO$230</definedName>
    <definedName name="CUPEIT_2006">Tags_ols!$AO$230</definedName>
    <definedName name="CUPEIT_2007" localSheetId="10">Tags!$AT$230</definedName>
    <definedName name="CUPEIT_2007">Tags_ols!$AT$230</definedName>
    <definedName name="CUPEIT_2008" localSheetId="10">Tags!$AY$230</definedName>
    <definedName name="CUPEIT_2008">Tags_ols!$AY$230</definedName>
    <definedName name="CUPEIT_2009" localSheetId="10">Tags!$BD$230</definedName>
    <definedName name="CUPEIT_2009">Tags_ols!$BD$230</definedName>
    <definedName name="CUPEIT_2010" localSheetId="10">Tags!$BI$230</definedName>
    <definedName name="CUPEIT_2010">Tags_ols!$BI$230</definedName>
    <definedName name="CUPEIT_2011" localSheetId="10">Tags!$BN$230</definedName>
    <definedName name="CUPEIT_2011">Tags_ols!$BN$230</definedName>
    <definedName name="CUPEIT_2012" localSheetId="10">Tags!$BS$230</definedName>
    <definedName name="CUPEIT_2012">Tags_ols!$BS$230</definedName>
    <definedName name="CUPEIT_2013" localSheetId="10">Tags!$BX$230</definedName>
    <definedName name="CUPEIT_2013">Tags_ols!$BX$230</definedName>
    <definedName name="CUPEIT_2014" localSheetId="10">Tags!$CC$230</definedName>
    <definedName name="CUPEIT_2014">Tags_ols!$CC$230</definedName>
    <definedName name="CUPEIT_2015" localSheetId="10">Tags!#REF!</definedName>
    <definedName name="CUPEIT_2015">Tags!$CH$230</definedName>
    <definedName name="CUPEIT_2016" localSheetId="10">Tags!$CM$230</definedName>
    <definedName name="CUPEIT_2016">Tags_ols!$CM$230</definedName>
    <definedName name="CUPEIT_2017" localSheetId="10">Tags!$CR$230</definedName>
    <definedName name="CUPEIT_2017">Tags_ols!$CR$230</definedName>
    <definedName name="CUPEIT_2018" localSheetId="10">Tags!$CW$230</definedName>
    <definedName name="CUPEIT_2018">Tags_ols!$CW$230</definedName>
    <definedName name="CUPEIT_2019" localSheetId="10">Tags!$DB$230</definedName>
    <definedName name="CUPEIT_2019">Tags_ols!$DB$230</definedName>
    <definedName name="CUPEIT_2020" localSheetId="10">Tags!$DG$230</definedName>
    <definedName name="CUPEIT_2020">Tags_ols!$DG$230</definedName>
    <definedName name="CUPEIT_2021">Tags!$DL$230</definedName>
    <definedName name="CUPEIT_2022">Tags!$DQ$230</definedName>
    <definedName name="CUPEIT_2023">Tags!$DV$230</definedName>
    <definedName name="CUPEIT_2024">Tags!$EA$230</definedName>
    <definedName name="CUPEIT_2Q00" localSheetId="10">Tags!$H$230</definedName>
    <definedName name="CUPEIT_2Q00">Tags_ols!$H$230</definedName>
    <definedName name="CUPEIT_2Q01" localSheetId="10">Tags!$M$230</definedName>
    <definedName name="CUPEIT_2Q01">Tags_ols!$M$230</definedName>
    <definedName name="CUPEIT_2Q02" localSheetId="10">Tags!$R$230</definedName>
    <definedName name="CUPEIT_2Q02">Tags_ols!$R$230</definedName>
    <definedName name="CUPEIT_2Q03" localSheetId="10">Tags!$W$230</definedName>
    <definedName name="CUPEIT_2Q03">Tags_ols!$W$230</definedName>
    <definedName name="CUPEIT_2Q04" localSheetId="10">Tags!$AB$230</definedName>
    <definedName name="CUPEIT_2Q04">Tags_ols!$AB$230</definedName>
    <definedName name="CUPEIT_2Q05" localSheetId="10">Tags!$AG$230</definedName>
    <definedName name="CUPEIT_2Q05">Tags_ols!$AG$230</definedName>
    <definedName name="CUPEIT_2Q06" localSheetId="10">Tags!$AL$230</definedName>
    <definedName name="CUPEIT_2Q06">Tags_ols!$AL$230</definedName>
    <definedName name="CUPEIT_2Q07" localSheetId="10">Tags!$AQ$230</definedName>
    <definedName name="CUPEIT_2Q07">Tags_ols!$AQ$230</definedName>
    <definedName name="CUPEIT_2Q08" localSheetId="10">Tags!$AV$230</definedName>
    <definedName name="CUPEIT_2Q08">Tags_ols!$AV$230</definedName>
    <definedName name="CUPEIT_2Q09" localSheetId="10">Tags!$BA$230</definedName>
    <definedName name="CUPEIT_2Q09">Tags_ols!$BA$230</definedName>
    <definedName name="CUPEIT_2Q10" localSheetId="10">Tags!$BF$230</definedName>
    <definedName name="CUPEIT_2Q10">Tags_ols!$BF$230</definedName>
    <definedName name="CUPEIT_2Q11" localSheetId="10">Tags!$BK$230</definedName>
    <definedName name="CUPEIT_2Q11">Tags_ols!$BK$230</definedName>
    <definedName name="CUPEIT_2Q12" localSheetId="10">Tags!$BP$230</definedName>
    <definedName name="CUPEIT_2Q12">Tags_ols!$BP$230</definedName>
    <definedName name="CUPEIT_2Q13" localSheetId="10">Tags!$BU$230</definedName>
    <definedName name="CUPEIT_2Q13">Tags_ols!$BU$230</definedName>
    <definedName name="CUPEIT_2Q14" localSheetId="10">Tags!$BZ$230</definedName>
    <definedName name="CUPEIT_2Q14">Tags_ols!$BZ$230</definedName>
    <definedName name="CUPEIT_2Q15" localSheetId="10">Tags!$CE$230</definedName>
    <definedName name="CUPEIT_2Q15">Tags_ols!$CE$230</definedName>
    <definedName name="CUPEIT_2Q16" localSheetId="10">Tags!$CJ$230</definedName>
    <definedName name="CUPEIT_2Q16">Tags_ols!$CJ$230</definedName>
    <definedName name="CUPEIT_2Q17" localSheetId="10">Tags!$CO$230</definedName>
    <definedName name="CUPEIT_2Q17">Tags_ols!$CO$230</definedName>
    <definedName name="CUPEIT_2Q18" localSheetId="10">Tags!$CT$230</definedName>
    <definedName name="CUPEIT_2Q18">Tags_ols!$CT$230</definedName>
    <definedName name="CUPEIT_2Q19" localSheetId="10">Tags!$CY$230</definedName>
    <definedName name="CUPEIT_2Q19">Tags_ols!$CY$230</definedName>
    <definedName name="CUPEIT_2Q20" localSheetId="10">Tags!$DD$230</definedName>
    <definedName name="CUPEIT_2Q20">Tags_ols!$DD$230</definedName>
    <definedName name="CUPEIT_2Q21">Tags!$DI$230</definedName>
    <definedName name="CUPEIT_2Q22">Tags!$DN$230</definedName>
    <definedName name="CUPEIT_2Q23">Tags!$DS$230</definedName>
    <definedName name="CUPEIT_2Q24">Tags!$DX$230</definedName>
    <definedName name="CUPEIT_3Q00" localSheetId="10">Tags!$I$230</definedName>
    <definedName name="CUPEIT_3Q00">Tags_ols!$I$230</definedName>
    <definedName name="CUPEIT_3Q01" localSheetId="10">Tags!$N$230</definedName>
    <definedName name="CUPEIT_3Q01">Tags_ols!$N$230</definedName>
    <definedName name="CUPEIT_3Q02" localSheetId="10">Tags!$S$230</definedName>
    <definedName name="CUPEIT_3Q02">Tags_ols!$S$230</definedName>
    <definedName name="CUPEIT_3Q03" localSheetId="10">Tags!$X$230</definedName>
    <definedName name="CUPEIT_3Q03">Tags_ols!$X$230</definedName>
    <definedName name="CUPEIT_3Q04" localSheetId="10">Tags!$AC$230</definedName>
    <definedName name="CUPEIT_3Q04">Tags_ols!$AC$230</definedName>
    <definedName name="CUPEIT_3Q05" localSheetId="10">Tags!$AH$230</definedName>
    <definedName name="CUPEIT_3Q05">Tags_ols!$AH$230</definedName>
    <definedName name="CUPEIT_3Q06" localSheetId="10">Tags!$AM$230</definedName>
    <definedName name="CUPEIT_3Q06">Tags_ols!$AM$230</definedName>
    <definedName name="CUPEIT_3Q07" localSheetId="10">Tags!$AR$230</definedName>
    <definedName name="CUPEIT_3Q07">Tags_ols!$AR$230</definedName>
    <definedName name="CUPEIT_3Q08" localSheetId="10">Tags!$AW$230</definedName>
    <definedName name="CUPEIT_3Q08">Tags_ols!$AW$230</definedName>
    <definedName name="CUPEIT_3Q09" localSheetId="10">Tags!$BB$230</definedName>
    <definedName name="CUPEIT_3Q09">Tags_ols!$BB$230</definedName>
    <definedName name="CUPEIT_3Q10" localSheetId="10">Tags!$BG$230</definedName>
    <definedName name="CUPEIT_3Q10">Tags_ols!$BG$230</definedName>
    <definedName name="CUPEIT_3Q11" localSheetId="10">Tags!$BL$230</definedName>
    <definedName name="CUPEIT_3Q11">Tags_ols!$BL$230</definedName>
    <definedName name="CUPEIT_3Q12" localSheetId="10">Tags!$BQ$230</definedName>
    <definedName name="CUPEIT_3Q12">Tags_ols!$BQ$230</definedName>
    <definedName name="CUPEIT_3Q13" localSheetId="10">Tags!$BV$230</definedName>
    <definedName name="CUPEIT_3Q13">Tags_ols!$BV$230</definedName>
    <definedName name="CUPEIT_3Q14" localSheetId="10">Tags!$CA$230</definedName>
    <definedName name="CUPEIT_3Q14">Tags_ols!$CA$230</definedName>
    <definedName name="CUPEIT_3Q15" localSheetId="10">Tags!$CF$230</definedName>
    <definedName name="CUPEIT_3Q15">Tags_ols!$CF$230</definedName>
    <definedName name="CUPEIT_3Q16" localSheetId="10">Tags!$CK$230</definedName>
    <definedName name="CUPEIT_3Q16">Tags_ols!$CK$230</definedName>
    <definedName name="CUPEIT_3Q17" localSheetId="10">Tags!$CP$230</definedName>
    <definedName name="CUPEIT_3Q17">Tags_ols!$CP$230</definedName>
    <definedName name="CUPEIT_3Q18" localSheetId="10">Tags!$CU$230</definedName>
    <definedName name="CUPEIT_3Q18">Tags_ols!$CU$230</definedName>
    <definedName name="CUPEIT_3Q19" localSheetId="10">Tags!$CZ$230</definedName>
    <definedName name="CUPEIT_3Q19">Tags_ols!$CZ$230</definedName>
    <definedName name="CUPEIT_3Q20" localSheetId="10">Tags!$DE$230</definedName>
    <definedName name="CUPEIT_3Q20">Tags_ols!$DE$230</definedName>
    <definedName name="CUPEIT_3Q21">Tags!$DJ$230</definedName>
    <definedName name="CUPEIT_3Q22">Tags!$DO$230</definedName>
    <definedName name="CUPEIT_3Q23">Tags!$DT$230</definedName>
    <definedName name="CUPEIT_3Q24">Tags!$DY$230</definedName>
    <definedName name="CUPEIT_4Q00" localSheetId="10">Tags!$J$230</definedName>
    <definedName name="CUPEIT_4Q00">Tags_ols!$J$230</definedName>
    <definedName name="CUPEIT_4Q01" localSheetId="10">Tags!$O$230</definedName>
    <definedName name="CUPEIT_4Q01">Tags_ols!$O$230</definedName>
    <definedName name="CUPEIT_4Q02" localSheetId="10">Tags!$T$230</definedName>
    <definedName name="CUPEIT_4Q02">Tags_ols!$T$230</definedName>
    <definedName name="CUPEIT_4Q03" localSheetId="10">Tags!$Y$230</definedName>
    <definedName name="CUPEIT_4Q03">Tags_ols!$Y$230</definedName>
    <definedName name="CUPEIT_4Q04" localSheetId="10">Tags!$AD$230</definedName>
    <definedName name="CUPEIT_4Q04">Tags_ols!$AD$230</definedName>
    <definedName name="CUPEIT_4Q05" localSheetId="10">Tags!$AI$230</definedName>
    <definedName name="CUPEIT_4Q05">Tags_ols!$AI$230</definedName>
    <definedName name="CUPEIT_4Q06" localSheetId="10">Tags!$AN$230</definedName>
    <definedName name="CUPEIT_4Q06">Tags_ols!$AN$230</definedName>
    <definedName name="CUPEIT_4Q07" localSheetId="10">Tags!$AS$230</definedName>
    <definedName name="CUPEIT_4Q07">Tags_ols!$AS$230</definedName>
    <definedName name="CUPEIT_4Q08" localSheetId="10">Tags!$AX$230</definedName>
    <definedName name="CUPEIT_4Q08">Tags_ols!$AX$230</definedName>
    <definedName name="CUPEIT_4Q09" localSheetId="10">Tags!$BC$230</definedName>
    <definedName name="CUPEIT_4Q09">Tags_ols!$BC$230</definedName>
    <definedName name="CUPEIT_4Q10" localSheetId="10">Tags!$BH$230</definedName>
    <definedName name="CUPEIT_4Q10">Tags_ols!$BH$230</definedName>
    <definedName name="CUPEIT_4Q11" localSheetId="10">Tags!$BM$230</definedName>
    <definedName name="CUPEIT_4Q11">Tags_ols!$BM$230</definedName>
    <definedName name="CUPEIT_4Q12" localSheetId="10">Tags!$BR$230</definedName>
    <definedName name="CUPEIT_4Q12">Tags_ols!$BR$230</definedName>
    <definedName name="CUPEIT_4Q13" localSheetId="10">Tags!$BW$230</definedName>
    <definedName name="CUPEIT_4Q13">Tags_ols!$BW$230</definedName>
    <definedName name="CUPEIT_4Q14" localSheetId="10">Tags!$CB$230</definedName>
    <definedName name="CUPEIT_4Q14">Tags_ols!$CB$230</definedName>
    <definedName name="CUPEIT_4Q15" localSheetId="10">Tags!$CG$230</definedName>
    <definedName name="CUPEIT_4Q15">Tags_ols!$CG$230</definedName>
    <definedName name="CUPEIT_4Q16" localSheetId="10">Tags!$CL$230</definedName>
    <definedName name="CUPEIT_4Q16">Tags_ols!$CL$230</definedName>
    <definedName name="CUPEIT_4Q17" localSheetId="10">Tags!$CQ$230</definedName>
    <definedName name="CUPEIT_4Q17">Tags_ols!$CQ$230</definedName>
    <definedName name="CUPEIT_4Q18" localSheetId="10">Tags!$CV$230</definedName>
    <definedName name="CUPEIT_4Q18">Tags_ols!$CV$230</definedName>
    <definedName name="CUPEIT_4Q19" localSheetId="10">Tags!$DA$230</definedName>
    <definedName name="CUPEIT_4Q19">Tags_ols!$DA$230</definedName>
    <definedName name="CUPEIT_4Q20" localSheetId="10">Tags!$DF$230</definedName>
    <definedName name="CUPEIT_4Q20">Tags_ols!$DF$230</definedName>
    <definedName name="CUPEIT_4Q21">Tags!$DK$230</definedName>
    <definedName name="CUPEIT_4Q22">Tags!$DP$230</definedName>
    <definedName name="CUPEIT_4Q23">Tags!$DU$230</definedName>
    <definedName name="CUPEIT_4Q24">Tags!$DZ$230</definedName>
    <definedName name="CurrencyCell">#REF!</definedName>
    <definedName name="CurrencySymbol">#REF!</definedName>
    <definedName name="CustomIndexDate">#REF!</definedName>
    <definedName name="CustomIndexValue">#REF!</definedName>
    <definedName name="CVMCPX_1995">Tags_ols!$B$367</definedName>
    <definedName name="CVMCPX_1996">Tags_ols!$C$367</definedName>
    <definedName name="CVMCPX_1997">Tags_ols!$D$367</definedName>
    <definedName name="CVMCPX_1998">Tags_ols!$E$367</definedName>
    <definedName name="CVMCPX_1999">Tags_ols!$F$367</definedName>
    <definedName name="CVMCPX_1Q00" localSheetId="10">Tags!$G$367</definedName>
    <definedName name="CVMCPX_1Q00">Tags_ols!$G$367</definedName>
    <definedName name="CVMCPX_1Q01" localSheetId="10">Tags!$L$367</definedName>
    <definedName name="CVMCPX_1Q01">Tags_ols!$L$367</definedName>
    <definedName name="CVMCPX_1Q02" localSheetId="10">Tags!$Q$367</definedName>
    <definedName name="CVMCPX_1Q02">Tags_ols!$Q$367</definedName>
    <definedName name="CVMCPX_1Q03" localSheetId="10">Tags!$V$367</definedName>
    <definedName name="CVMCPX_1Q03">Tags_ols!$V$367</definedName>
    <definedName name="CVMCPX_1Q04" localSheetId="10">Tags!$AA$367</definedName>
    <definedName name="CVMCPX_1Q04">Tags_ols!$AA$367</definedName>
    <definedName name="CVMCPX_1Q05" localSheetId="10">Tags!$AF$367</definedName>
    <definedName name="CVMCPX_1Q05">Tags_ols!$AF$367</definedName>
    <definedName name="CVMCPX_1Q06" localSheetId="10">Tags!$AK$367</definedName>
    <definedName name="CVMCPX_1Q06">Tags_ols!$AK$367</definedName>
    <definedName name="CVMCPX_1Q07" localSheetId="10">Tags!$AP$367</definedName>
    <definedName name="CVMCPX_1Q07">Tags_ols!$AP$367</definedName>
    <definedName name="CVMCPX_1Q08" localSheetId="10">Tags!$AU$367</definedName>
    <definedName name="CVMCPX_1Q08">Tags_ols!$AU$367</definedName>
    <definedName name="CVMCPX_1Q09" localSheetId="10">Tags!$AZ$367</definedName>
    <definedName name="CVMCPX_1Q09">Tags_ols!$AZ$367</definedName>
    <definedName name="CVMCPX_1Q10" localSheetId="10">Tags!$BE$367</definedName>
    <definedName name="CVMCPX_1Q10">Tags_ols!$BE$367</definedName>
    <definedName name="CVMCPX_1Q11" localSheetId="10">Tags!$BJ$367</definedName>
    <definedName name="CVMCPX_1Q11">Tags_ols!$BJ$367</definedName>
    <definedName name="CVMCPX_1Q12" localSheetId="10">Tags!$BO$367</definedName>
    <definedName name="CVMCPX_1Q12">Tags_ols!$BO$367</definedName>
    <definedName name="CVMCPX_1Q13" localSheetId="10">Tags!$BT$367</definedName>
    <definedName name="CVMCPX_1Q13">Tags_ols!$BT$367</definedName>
    <definedName name="CVMCPX_1Q14" localSheetId="10">Tags!$BY$367</definedName>
    <definedName name="CVMCPX_1Q14">Tags_ols!$BY$367</definedName>
    <definedName name="CVMCPX_1Q15" localSheetId="10">Tags!$CD$367</definedName>
    <definedName name="CVMCPX_1Q15">Tags_ols!$CD$367</definedName>
    <definedName name="CVMCPX_1Q16" localSheetId="10">Tags!$CI$367</definedName>
    <definedName name="CVMCPX_1Q16">Tags_ols!$CI$367</definedName>
    <definedName name="CVMCPX_1Q17" localSheetId="10">Tags!$CN$367</definedName>
    <definedName name="CVMCPX_1Q17">Tags_ols!$CN$367</definedName>
    <definedName name="CVMCPX_1Q18" localSheetId="10">Tags!$CS$367</definedName>
    <definedName name="CVMCPX_1Q18">Tags_ols!$CS$367</definedName>
    <definedName name="CVMCPX_1Q19" localSheetId="10">Tags!$CX$367</definedName>
    <definedName name="CVMCPX_1Q19">Tags_ols!$CX$367</definedName>
    <definedName name="CVMCPX_1Q20" localSheetId="10">Tags!$DC$367</definedName>
    <definedName name="CVMCPX_1Q20">Tags_ols!$DC$367</definedName>
    <definedName name="CVMCPX_1Q21">Tags!$DH$367</definedName>
    <definedName name="CVMCPX_1Q22">Tags!$DM$367</definedName>
    <definedName name="CVMCPX_1Q23">Tags!$DR$367</definedName>
    <definedName name="CVMCPX_1Q24">Tags!$DW$367</definedName>
    <definedName name="CVMCPX_2000" localSheetId="10">Tags!$K$367</definedName>
    <definedName name="CVMCPX_2000">Tags_ols!$K$367</definedName>
    <definedName name="CVMCPX_2001" localSheetId="10">Tags!$P$367</definedName>
    <definedName name="CVMCPX_2001">Tags_ols!$P$367</definedName>
    <definedName name="CVMCPX_2002" localSheetId="10">Tags!$U$367</definedName>
    <definedName name="CVMCPX_2002">Tags_ols!$U$367</definedName>
    <definedName name="CVMCPX_2003" localSheetId="10">Tags!$Z$367</definedName>
    <definedName name="CVMCPX_2003">Tags_ols!$Z$367</definedName>
    <definedName name="CVMCPX_2004" localSheetId="10">Tags!$AE$367</definedName>
    <definedName name="CVMCPX_2004">Tags_ols!$AE$367</definedName>
    <definedName name="CVMCPX_2005" localSheetId="10">Tags!$AJ$367</definedName>
    <definedName name="CVMCPX_2005">Tags_ols!$AJ$367</definedName>
    <definedName name="CVMCPX_2006" localSheetId="10">Tags!$AO$367</definedName>
    <definedName name="CVMCPX_2006">Tags_ols!$AO$367</definedName>
    <definedName name="CVMCPX_2007" localSheetId="10">Tags!$AT$367</definedName>
    <definedName name="CVMCPX_2007">Tags_ols!$AT$367</definedName>
    <definedName name="CVMCPX_2008" localSheetId="10">Tags!$AY$367</definedName>
    <definedName name="CVMCPX_2008">Tags_ols!$AY$367</definedName>
    <definedName name="CVMCPX_2009" localSheetId="10">Tags!$BD$367</definedName>
    <definedName name="CVMCPX_2009">Tags_ols!$BD$367</definedName>
    <definedName name="CVMCPX_2010" localSheetId="10">Tags!$BI$367</definedName>
    <definedName name="CVMCPX_2010">Tags_ols!$BI$367</definedName>
    <definedName name="CVMCPX_2011" localSheetId="10">Tags!$BN$367</definedName>
    <definedName name="CVMCPX_2011">Tags_ols!$BN$367</definedName>
    <definedName name="CVMCPX_2012" localSheetId="10">Tags!$BS$367</definedName>
    <definedName name="CVMCPX_2012">Tags_ols!$BS$367</definedName>
    <definedName name="CVMCPX_2013" localSheetId="10">Tags!$BX$367</definedName>
    <definedName name="CVMCPX_2013">Tags_ols!$BX$367</definedName>
    <definedName name="CVMCPX_2014" localSheetId="10">Tags!$CC$367</definedName>
    <definedName name="CVMCPX_2014">Tags_ols!$CC$367</definedName>
    <definedName name="CVMCPX_2015" localSheetId="10">Tags!#REF!</definedName>
    <definedName name="CVMCPX_2015">Tags!$CH$367</definedName>
    <definedName name="CVMCPX_2016" localSheetId="10">Tags!$CM$367</definedName>
    <definedName name="CVMCPX_2016">Tags_ols!$CM$367</definedName>
    <definedName name="CVMCPX_2017" localSheetId="10">Tags!$CR$367</definedName>
    <definedName name="CVMCPX_2017">Tags_ols!$CR$367</definedName>
    <definedName name="CVMCPX_2018" localSheetId="10">Tags!$CW$367</definedName>
    <definedName name="CVMCPX_2018">Tags_ols!$CW$367</definedName>
    <definedName name="CVMCPX_2019" localSheetId="10">Tags!$DB$367</definedName>
    <definedName name="CVMCPX_2019">Tags_ols!$DB$367</definedName>
    <definedName name="CVMCPX_2020" localSheetId="10">Tags!$DG$367</definedName>
    <definedName name="CVMCPX_2020">Tags_ols!$DG$367</definedName>
    <definedName name="CVMCPX_2021">Tags!$DL$367</definedName>
    <definedName name="CVMCPX_2022">Tags!$DQ$367</definedName>
    <definedName name="CVMCPX_2023">Tags!$DV$367</definedName>
    <definedName name="CVMCPX_2024">Tags!$EA$367</definedName>
    <definedName name="CVMCPX_2Q00" localSheetId="10">Tags!$H$367</definedName>
    <definedName name="CVMCPX_2Q00">Tags_ols!$H$367</definedName>
    <definedName name="CVMCPX_2Q01" localSheetId="10">Tags!$M$367</definedName>
    <definedName name="CVMCPX_2Q01">Tags_ols!$M$367</definedName>
    <definedName name="CVMCPX_2Q02" localSheetId="10">Tags!$R$367</definedName>
    <definedName name="CVMCPX_2Q02">Tags_ols!$R$367</definedName>
    <definedName name="CVMCPX_2Q03" localSheetId="10">Tags!$W$367</definedName>
    <definedName name="CVMCPX_2Q03">Tags_ols!$W$367</definedName>
    <definedName name="CVMCPX_2Q04" localSheetId="10">Tags!$AB$367</definedName>
    <definedName name="CVMCPX_2Q04">Tags_ols!$AB$367</definedName>
    <definedName name="CVMCPX_2Q05" localSheetId="10">Tags!$AG$367</definedName>
    <definedName name="CVMCPX_2Q05">Tags_ols!$AG$367</definedName>
    <definedName name="CVMCPX_2Q06" localSheetId="10">Tags!$AL$367</definedName>
    <definedName name="CVMCPX_2Q06">Tags_ols!$AL$367</definedName>
    <definedName name="CVMCPX_2Q07" localSheetId="10">Tags!$AQ$367</definedName>
    <definedName name="CVMCPX_2Q07">Tags_ols!$AQ$367</definedName>
    <definedName name="CVMCPX_2Q08" localSheetId="10">Tags!$AV$367</definedName>
    <definedName name="CVMCPX_2Q08">Tags_ols!$AV$367</definedName>
    <definedName name="CVMCPX_2Q09" localSheetId="10">Tags!$BA$367</definedName>
    <definedName name="CVMCPX_2Q09">Tags_ols!$BA$367</definedName>
    <definedName name="CVMCPX_2Q10" localSheetId="10">Tags!$BF$367</definedName>
    <definedName name="CVMCPX_2Q10">Tags_ols!$BF$367</definedName>
    <definedName name="CVMCPX_2Q11" localSheetId="10">Tags!$BK$367</definedName>
    <definedName name="CVMCPX_2Q11">Tags_ols!$BK$367</definedName>
    <definedName name="CVMCPX_2Q12" localSheetId="10">Tags!$BP$367</definedName>
    <definedName name="CVMCPX_2Q12">Tags_ols!$BP$367</definedName>
    <definedName name="CVMCPX_2Q13" localSheetId="10">Tags!$BU$367</definedName>
    <definedName name="CVMCPX_2Q13">Tags_ols!$BU$367</definedName>
    <definedName name="CVMCPX_2Q14" localSheetId="10">Tags!$BZ$367</definedName>
    <definedName name="CVMCPX_2Q14">Tags_ols!$BZ$367</definedName>
    <definedName name="CVMCPX_2Q15" localSheetId="10">Tags!$CE$367</definedName>
    <definedName name="CVMCPX_2Q15">Tags_ols!$CE$367</definedName>
    <definedName name="CVMCPX_2Q16" localSheetId="10">Tags!$CJ$367</definedName>
    <definedName name="CVMCPX_2Q16">Tags_ols!$CJ$367</definedName>
    <definedName name="CVMCPX_2Q17" localSheetId="10">Tags!$CO$367</definedName>
    <definedName name="CVMCPX_2Q17">Tags_ols!$CO$367</definedName>
    <definedName name="CVMCPX_2Q18" localSheetId="10">Tags!$CT$367</definedName>
    <definedName name="CVMCPX_2Q18">Tags_ols!$CT$367</definedName>
    <definedName name="CVMCPX_2Q19" localSheetId="10">Tags!$CY$367</definedName>
    <definedName name="CVMCPX_2Q19">Tags_ols!$CY$367</definedName>
    <definedName name="CVMCPX_2Q20" localSheetId="10">Tags!$DD$367</definedName>
    <definedName name="CVMCPX_2Q20">Tags_ols!$DD$367</definedName>
    <definedName name="CVMCPX_2Q21">Tags!$DI$367</definedName>
    <definedName name="CVMCPX_2Q22">Tags!$DN$367</definedName>
    <definedName name="CVMCPX_2Q23">Tags!$DS$367</definedName>
    <definedName name="CVMCPX_2Q24">Tags!$DX$367</definedName>
    <definedName name="CVMCPX_3Q00" localSheetId="10">Tags!$I$367</definedName>
    <definedName name="CVMCPX_3Q00">Tags_ols!$I$367</definedName>
    <definedName name="CVMCPX_3Q01" localSheetId="10">Tags!$N$367</definedName>
    <definedName name="CVMCPX_3Q01">Tags_ols!$N$367</definedName>
    <definedName name="CVMCPX_3Q02" localSheetId="10">Tags!$S$367</definedName>
    <definedName name="CVMCPX_3Q02">Tags_ols!$S$367</definedName>
    <definedName name="CVMCPX_3Q03" localSheetId="10">Tags!$X$367</definedName>
    <definedName name="CVMCPX_3Q03">Tags_ols!$X$367</definedName>
    <definedName name="CVMCPX_3Q04" localSheetId="10">Tags!$AC$367</definedName>
    <definedName name="CVMCPX_3Q04">Tags_ols!$AC$367</definedName>
    <definedName name="CVMCPX_3Q05" localSheetId="10">Tags!$AH$367</definedName>
    <definedName name="CVMCPX_3Q05">Tags_ols!$AH$367</definedName>
    <definedName name="CVMCPX_3Q06" localSheetId="10">Tags!$AM$367</definedName>
    <definedName name="CVMCPX_3Q06">Tags_ols!$AM$367</definedName>
    <definedName name="CVMCPX_3Q07" localSheetId="10">Tags!$AR$367</definedName>
    <definedName name="CVMCPX_3Q07">Tags_ols!$AR$367</definedName>
    <definedName name="CVMCPX_3Q08" localSheetId="10">Tags!$AW$367</definedName>
    <definedName name="CVMCPX_3Q08">Tags_ols!$AW$367</definedName>
    <definedName name="CVMCPX_3Q09" localSheetId="10">Tags!$BB$367</definedName>
    <definedName name="CVMCPX_3Q09">Tags_ols!$BB$367</definedName>
    <definedName name="CVMCPX_3Q10" localSheetId="10">Tags!$BG$367</definedName>
    <definedName name="CVMCPX_3Q10">Tags_ols!$BG$367</definedName>
    <definedName name="CVMCPX_3Q11" localSheetId="10">Tags!$BL$367</definedName>
    <definedName name="CVMCPX_3Q11">Tags_ols!$BL$367</definedName>
    <definedName name="CVMCPX_3Q12" localSheetId="10">Tags!$BQ$367</definedName>
    <definedName name="CVMCPX_3Q12">Tags_ols!$BQ$367</definedName>
    <definedName name="CVMCPX_3Q13" localSheetId="10">Tags!$BV$367</definedName>
    <definedName name="CVMCPX_3Q13">Tags_ols!$BV$367</definedName>
    <definedName name="CVMCPX_3Q14" localSheetId="10">Tags!$CA$367</definedName>
    <definedName name="CVMCPX_3Q14">Tags_ols!$CA$367</definedName>
    <definedName name="CVMCPX_3Q15" localSheetId="10">Tags!$CF$367</definedName>
    <definedName name="CVMCPX_3Q15">Tags_ols!$CF$367</definedName>
    <definedName name="CVMCPX_3Q16" localSheetId="10">Tags!$CK$367</definedName>
    <definedName name="CVMCPX_3Q16">Tags_ols!$CK$367</definedName>
    <definedName name="CVMCPX_3Q17" localSheetId="10">Tags!$CP$367</definedName>
    <definedName name="CVMCPX_3Q17">Tags_ols!$CP$367</definedName>
    <definedName name="CVMCPX_3Q18" localSheetId="10">Tags!$CU$367</definedName>
    <definedName name="CVMCPX_3Q18">Tags_ols!$CU$367</definedName>
    <definedName name="CVMCPX_3Q19" localSheetId="10">Tags!$CZ$367</definedName>
    <definedName name="CVMCPX_3Q19">Tags_ols!$CZ$367</definedName>
    <definedName name="CVMCPX_3Q20" localSheetId="10">Tags!$DE$367</definedName>
    <definedName name="CVMCPX_3Q20">Tags_ols!$DE$367</definedName>
    <definedName name="CVMCPX_3Q21">Tags!$DJ$367</definedName>
    <definedName name="CVMCPX_3Q22">Tags!$DO$367</definedName>
    <definedName name="CVMCPX_3Q23">Tags!$DT$367</definedName>
    <definedName name="CVMCPX_3Q24">Tags!$DY$367</definedName>
    <definedName name="CVMCPX_4Q00" localSheetId="10">Tags!$J$367</definedName>
    <definedName name="CVMCPX_4Q00">Tags_ols!$J$367</definedName>
    <definedName name="CVMCPX_4Q01" localSheetId="10">Tags!$O$367</definedName>
    <definedName name="CVMCPX_4Q01">Tags_ols!$O$367</definedName>
    <definedName name="CVMCPX_4Q02" localSheetId="10">Tags!$T$367</definedName>
    <definedName name="CVMCPX_4Q02">Tags_ols!$T$367</definedName>
    <definedName name="CVMCPX_4Q03" localSheetId="10">Tags!$Y$367</definedName>
    <definedName name="CVMCPX_4Q03">Tags_ols!$Y$367</definedName>
    <definedName name="CVMCPX_4Q04" localSheetId="10">Tags!$AD$367</definedName>
    <definedName name="CVMCPX_4Q04">Tags_ols!$AD$367</definedName>
    <definedName name="CVMCPX_4Q05" localSheetId="10">Tags!$AI$367</definedName>
    <definedName name="CVMCPX_4Q05">Tags_ols!$AI$367</definedName>
    <definedName name="CVMCPX_4Q06" localSheetId="10">Tags!$AN$367</definedName>
    <definedName name="CVMCPX_4Q06">Tags_ols!$AN$367</definedName>
    <definedName name="CVMCPX_4Q07" localSheetId="10">Tags!$AS$367</definedName>
    <definedName name="CVMCPX_4Q07">Tags_ols!$AS$367</definedName>
    <definedName name="CVMCPX_4Q08" localSheetId="10">Tags!$AX$367</definedName>
    <definedName name="CVMCPX_4Q08">Tags_ols!$AX$367</definedName>
    <definedName name="CVMCPX_4Q09" localSheetId="10">Tags!$BC$367</definedName>
    <definedName name="CVMCPX_4Q09">Tags_ols!$BC$367</definedName>
    <definedName name="CVMCPX_4Q10" localSheetId="10">Tags!$BH$367</definedName>
    <definedName name="CVMCPX_4Q10">Tags_ols!$BH$367</definedName>
    <definedName name="CVMCPX_4Q11" localSheetId="10">Tags!$BM$367</definedName>
    <definedName name="CVMCPX_4Q11">Tags_ols!$BM$367</definedName>
    <definedName name="CVMCPX_4Q12" localSheetId="10">Tags!$BR$367</definedName>
    <definedName name="CVMCPX_4Q12">Tags_ols!$BR$367</definedName>
    <definedName name="CVMCPX_4Q13" localSheetId="10">Tags!$BW$367</definedName>
    <definedName name="CVMCPX_4Q13">Tags_ols!$BW$367</definedName>
    <definedName name="CVMCPX_4Q14" localSheetId="10">Tags!$CB$367</definedName>
    <definedName name="CVMCPX_4Q14">Tags_ols!$CB$367</definedName>
    <definedName name="CVMCPX_4Q15" localSheetId="10">Tags!$CG$367</definedName>
    <definedName name="CVMCPX_4Q15">Tags_ols!$CG$367</definedName>
    <definedName name="CVMCPX_4Q16" localSheetId="10">Tags!$CL$367</definedName>
    <definedName name="CVMCPX_4Q16">Tags_ols!$CL$367</definedName>
    <definedName name="CVMCPX_4Q17" localSheetId="10">Tags!$CQ$367</definedName>
    <definedName name="CVMCPX_4Q17">Tags_ols!$CQ$367</definedName>
    <definedName name="CVMCPX_4Q18" localSheetId="10">Tags!$CV$367</definedName>
    <definedName name="CVMCPX_4Q18">Tags_ols!$CV$367</definedName>
    <definedName name="CVMCPX_4Q19" localSheetId="10">Tags!$DA$367</definedName>
    <definedName name="CVMCPX_4Q19">Tags_ols!$DA$367</definedName>
    <definedName name="CVMCPX_4Q20" localSheetId="10">Tags!$DF$367</definedName>
    <definedName name="CVMCPX_4Q20">Tags_ols!$DF$367</definedName>
    <definedName name="CVMCPX_4Q21">Tags!$DK$367</definedName>
    <definedName name="CVMCPX_4Q22">Tags!$DP$367</definedName>
    <definedName name="CVMCPX_4Q23">Tags!$DU$367</definedName>
    <definedName name="CVMCPX_4Q24">Tags!$DZ$367</definedName>
    <definedName name="CVOPLE_1995">Tags_ols!$B$234</definedName>
    <definedName name="CVOPLE_1996">Tags_ols!$C$234</definedName>
    <definedName name="CVOPLE_1997">Tags_ols!$D$234</definedName>
    <definedName name="CVOPLE_1998">Tags_ols!$E$234</definedName>
    <definedName name="CVOPLE_1999">Tags_ols!$F$234</definedName>
    <definedName name="CVOPLE_1Q00" localSheetId="10">Tags!$G$234</definedName>
    <definedName name="CVOPLE_1Q00">Tags_ols!$G$234</definedName>
    <definedName name="CVOPLE_1Q01" localSheetId="10">Tags!$L$234</definedName>
    <definedName name="CVOPLE_1Q01">Tags_ols!$L$234</definedName>
    <definedName name="CVOPLE_1Q02" localSheetId="10">Tags!$Q$234</definedName>
    <definedName name="CVOPLE_1Q02">Tags_ols!$Q$234</definedName>
    <definedName name="CVOPLE_1Q03" localSheetId="10">Tags!$V$234</definedName>
    <definedName name="CVOPLE_1Q03">Tags_ols!$V$234</definedName>
    <definedName name="CVOPLE_1Q04" localSheetId="10">Tags!$AA$234</definedName>
    <definedName name="CVOPLE_1Q04">Tags_ols!$AA$234</definedName>
    <definedName name="CVOPLE_1Q05" localSheetId="10">Tags!$AF$234</definedName>
    <definedName name="CVOPLE_1Q05">Tags_ols!$AF$234</definedName>
    <definedName name="CVOPLE_1Q06" localSheetId="10">Tags!$AK$234</definedName>
    <definedName name="CVOPLE_1Q06">Tags_ols!$AK$234</definedName>
    <definedName name="CVOPLE_1Q07" localSheetId="10">Tags!$AP$234</definedName>
    <definedName name="CVOPLE_1Q07">Tags_ols!$AP$234</definedName>
    <definedName name="CVOPLE_1Q08" localSheetId="10">Tags!$AU$234</definedName>
    <definedName name="CVOPLE_1Q08">Tags_ols!$AU$234</definedName>
    <definedName name="CVOPLE_1Q09" localSheetId="10">Tags!$AZ$234</definedName>
    <definedName name="CVOPLE_1Q09">Tags_ols!$AZ$234</definedName>
    <definedName name="CVOPLE_1Q10" localSheetId="10">Tags!$BE$234</definedName>
    <definedName name="CVOPLE_1Q10">Tags_ols!$BE$234</definedName>
    <definedName name="CVOPLE_1Q11" localSheetId="10">Tags!$BJ$234</definedName>
    <definedName name="CVOPLE_1Q11">Tags_ols!$BJ$234</definedName>
    <definedName name="CVOPLE_1Q12" localSheetId="10">Tags!$BO$234</definedName>
    <definedName name="CVOPLE_1Q12">Tags_ols!$BO$234</definedName>
    <definedName name="CVOPLE_1Q13" localSheetId="10">Tags!$BT$234</definedName>
    <definedName name="CVOPLE_1Q13">Tags_ols!$BT$234</definedName>
    <definedName name="CVOPLE_1Q14" localSheetId="10">Tags!$BY$234</definedName>
    <definedName name="CVOPLE_1Q14">Tags_ols!$BY$234</definedName>
    <definedName name="CVOPLE_1Q15" localSheetId="10">Tags!$CD$234</definedName>
    <definedName name="CVOPLE_1Q15">Tags_ols!$CD$234</definedName>
    <definedName name="CVOPLE_1Q16" localSheetId="10">Tags!$CI$234</definedName>
    <definedName name="CVOPLE_1Q16">Tags_ols!$CI$234</definedName>
    <definedName name="CVOPLE_1Q17" localSheetId="10">Tags!$CN$234</definedName>
    <definedName name="CVOPLE_1Q17">Tags_ols!$CN$234</definedName>
    <definedName name="CVOPLE_1Q18" localSheetId="10">Tags!$CS$234</definedName>
    <definedName name="CVOPLE_1Q18">Tags_ols!$CS$234</definedName>
    <definedName name="CVOPLE_1Q19" localSheetId="10">Tags!$CX$234</definedName>
    <definedName name="CVOPLE_1Q19">Tags_ols!$CX$234</definedName>
    <definedName name="CVOPLE_1Q20" localSheetId="10">Tags!$DC$234</definedName>
    <definedName name="CVOPLE_1Q20">Tags_ols!$DC$234</definedName>
    <definedName name="CVOPLE_1Q21">Tags!$DH$234</definedName>
    <definedName name="CVOPLE_1Q22">Tags!$DM$234</definedName>
    <definedName name="CVOPLE_1Q23">Tags!$DR$234</definedName>
    <definedName name="CVOPLE_1Q24">Tags!$DW$234</definedName>
    <definedName name="CVOPLE_2000" localSheetId="10">Tags!$K$234</definedName>
    <definedName name="CVOPLE_2000">Tags_ols!$K$234</definedName>
    <definedName name="CVOPLE_2001" localSheetId="10">Tags!$P$234</definedName>
    <definedName name="CVOPLE_2001">Tags_ols!$P$234</definedName>
    <definedName name="CVOPLE_2002" localSheetId="10">Tags!$U$234</definedName>
    <definedName name="CVOPLE_2002">Tags_ols!$U$234</definedName>
    <definedName name="CVOPLE_2003" localSheetId="10">Tags!$Z$234</definedName>
    <definedName name="CVOPLE_2003">Tags_ols!$Z$234</definedName>
    <definedName name="CVOPLE_2004" localSheetId="10">Tags!$AE$234</definedName>
    <definedName name="CVOPLE_2004">Tags_ols!$AE$234</definedName>
    <definedName name="CVOPLE_2005" localSheetId="10">Tags!$AJ$234</definedName>
    <definedName name="CVOPLE_2005">Tags_ols!$AJ$234</definedName>
    <definedName name="CVOPLE_2006" localSheetId="10">Tags!$AO$234</definedName>
    <definedName name="CVOPLE_2006">Tags_ols!$AO$234</definedName>
    <definedName name="CVOPLE_2007" localSheetId="10">Tags!$AT$234</definedName>
    <definedName name="CVOPLE_2007">Tags_ols!$AT$234</definedName>
    <definedName name="CVOPLE_2008" localSheetId="10">Tags!$AY$234</definedName>
    <definedName name="CVOPLE_2008">Tags_ols!$AY$234</definedName>
    <definedName name="CVOPLE_2009" localSheetId="10">Tags!$BD$234</definedName>
    <definedName name="CVOPLE_2009">Tags_ols!$BD$234</definedName>
    <definedName name="CVOPLE_2010" localSheetId="10">Tags!$BI$234</definedName>
    <definedName name="CVOPLE_2010">Tags_ols!$BI$234</definedName>
    <definedName name="CVOPLE_2011" localSheetId="10">Tags!$BN$234</definedName>
    <definedName name="CVOPLE_2011">Tags_ols!$BN$234</definedName>
    <definedName name="CVOPLE_2012" localSheetId="10">Tags!$BS$234</definedName>
    <definedName name="CVOPLE_2012">Tags_ols!$BS$234</definedName>
    <definedName name="CVOPLE_2013" localSheetId="10">Tags!$BX$234</definedName>
    <definedName name="CVOPLE_2013">Tags_ols!$BX$234</definedName>
    <definedName name="CVOPLE_2014" localSheetId="10">Tags!$CC$234</definedName>
    <definedName name="CVOPLE_2014">Tags_ols!$CC$234</definedName>
    <definedName name="CVOPLE_2015" localSheetId="10">Tags!#REF!</definedName>
    <definedName name="CVOPLE_2015">Tags!$CH$234</definedName>
    <definedName name="CVOPLE_2016" localSheetId="10">Tags!$CM$234</definedName>
    <definedName name="CVOPLE_2016">Tags_ols!$CM$234</definedName>
    <definedName name="CVOPLE_2017" localSheetId="10">Tags!$CR$234</definedName>
    <definedName name="CVOPLE_2017">Tags_ols!$CR$234</definedName>
    <definedName name="CVOPLE_2018" localSheetId="10">Tags!$CW$234</definedName>
    <definedName name="CVOPLE_2018">Tags_ols!$CW$234</definedName>
    <definedName name="CVOPLE_2019" localSheetId="10">Tags!$DB$234</definedName>
    <definedName name="CVOPLE_2019">Tags_ols!$DB$234</definedName>
    <definedName name="CVOPLE_2020" localSheetId="10">Tags!$DG$234</definedName>
    <definedName name="CVOPLE_2020">Tags_ols!$DG$234</definedName>
    <definedName name="CVOPLE_2021">Tags!$DL$234</definedName>
    <definedName name="CVOPLE_2022">Tags!$DQ$234</definedName>
    <definedName name="CVOPLE_2023">Tags!$DV$234</definedName>
    <definedName name="CVOPLE_2024">Tags!$EA$234</definedName>
    <definedName name="CVOPLE_2Q00" localSheetId="10">Tags!$H$234</definedName>
    <definedName name="CVOPLE_2Q00">Tags_ols!$H$234</definedName>
    <definedName name="CVOPLE_2Q01" localSheetId="10">Tags!$M$234</definedName>
    <definedName name="CVOPLE_2Q01">Tags_ols!$M$234</definedName>
    <definedName name="CVOPLE_2Q02" localSheetId="10">Tags!$R$234</definedName>
    <definedName name="CVOPLE_2Q02">Tags_ols!$R$234</definedName>
    <definedName name="CVOPLE_2Q03" localSheetId="10">Tags!$W$234</definedName>
    <definedName name="CVOPLE_2Q03">Tags_ols!$W$234</definedName>
    <definedName name="CVOPLE_2Q04" localSheetId="10">Tags!$AB$234</definedName>
    <definedName name="CVOPLE_2Q04">Tags_ols!$AB$234</definedName>
    <definedName name="CVOPLE_2Q05" localSheetId="10">Tags!$AG$234</definedName>
    <definedName name="CVOPLE_2Q05">Tags_ols!$AG$234</definedName>
    <definedName name="CVOPLE_2Q06" localSheetId="10">Tags!$AL$234</definedName>
    <definedName name="CVOPLE_2Q06">Tags_ols!$AL$234</definedName>
    <definedName name="CVOPLE_2Q07" localSheetId="10">Tags!$AQ$234</definedName>
    <definedName name="CVOPLE_2Q07">Tags_ols!$AQ$234</definedName>
    <definedName name="CVOPLE_2Q08" localSheetId="10">Tags!$AV$234</definedName>
    <definedName name="CVOPLE_2Q08">Tags_ols!$AV$234</definedName>
    <definedName name="CVOPLE_2Q09" localSheetId="10">Tags!$BA$234</definedName>
    <definedName name="CVOPLE_2Q09">Tags_ols!$BA$234</definedName>
    <definedName name="CVOPLE_2Q10" localSheetId="10">Tags!$BF$234</definedName>
    <definedName name="CVOPLE_2Q10">Tags_ols!$BF$234</definedName>
    <definedName name="CVOPLE_2Q11" localSheetId="10">Tags!$BK$234</definedName>
    <definedName name="CVOPLE_2Q11">Tags_ols!$BK$234</definedName>
    <definedName name="CVOPLE_2Q12" localSheetId="10">Tags!$BP$234</definedName>
    <definedName name="CVOPLE_2Q12">Tags_ols!$BP$234</definedName>
    <definedName name="CVOPLE_2Q13" localSheetId="10">Tags!$BU$234</definedName>
    <definedName name="CVOPLE_2Q13">Tags_ols!$BU$234</definedName>
    <definedName name="CVOPLE_2Q14" localSheetId="10">Tags!$BZ$234</definedName>
    <definedName name="CVOPLE_2Q14">Tags_ols!$BZ$234</definedName>
    <definedName name="CVOPLE_2Q15" localSheetId="10">Tags!$CE$234</definedName>
    <definedName name="CVOPLE_2Q15">Tags_ols!$CE$234</definedName>
    <definedName name="CVOPLE_2Q16" localSheetId="10">Tags!$CJ$234</definedName>
    <definedName name="CVOPLE_2Q16">Tags_ols!$CJ$234</definedName>
    <definedName name="CVOPLE_2Q17" localSheetId="10">Tags!$CO$234</definedName>
    <definedName name="CVOPLE_2Q17">Tags_ols!$CO$234</definedName>
    <definedName name="CVOPLE_2Q18" localSheetId="10">Tags!$CT$234</definedName>
    <definedName name="CVOPLE_2Q18">Tags_ols!$CT$234</definedName>
    <definedName name="CVOPLE_2Q19" localSheetId="10">Tags!$CY$234</definedName>
    <definedName name="CVOPLE_2Q19">Tags_ols!$CY$234</definedName>
    <definedName name="CVOPLE_2Q20" localSheetId="10">Tags!$DD$234</definedName>
    <definedName name="CVOPLE_2Q20">Tags_ols!$DD$234</definedName>
    <definedName name="CVOPLE_2Q21">Tags!$DI$234</definedName>
    <definedName name="CVOPLE_2Q22">Tags!$DN$234</definedName>
    <definedName name="CVOPLE_2Q23">Tags!$DS$234</definedName>
    <definedName name="CVOPLE_2Q24">Tags!$DX$234</definedName>
    <definedName name="CVOPLE_3Q00" localSheetId="10">Tags!$I$234</definedName>
    <definedName name="CVOPLE_3Q00">Tags_ols!$I$234</definedName>
    <definedName name="CVOPLE_3Q01" localSheetId="10">Tags!$N$234</definedName>
    <definedName name="CVOPLE_3Q01">Tags_ols!$N$234</definedName>
    <definedName name="CVOPLE_3Q02" localSheetId="10">Tags!$S$234</definedName>
    <definedName name="CVOPLE_3Q02">Tags_ols!$S$234</definedName>
    <definedName name="CVOPLE_3Q03" localSheetId="10">Tags!$X$234</definedName>
    <definedName name="CVOPLE_3Q03">Tags_ols!$X$234</definedName>
    <definedName name="CVOPLE_3Q04" localSheetId="10">Tags!$AC$234</definedName>
    <definedName name="CVOPLE_3Q04">Tags_ols!$AC$234</definedName>
    <definedName name="CVOPLE_3Q05" localSheetId="10">Tags!$AH$234</definedName>
    <definedName name="CVOPLE_3Q05">Tags_ols!$AH$234</definedName>
    <definedName name="CVOPLE_3Q06" localSheetId="10">Tags!$AM$234</definedName>
    <definedName name="CVOPLE_3Q06">Tags_ols!$AM$234</definedName>
    <definedName name="CVOPLE_3Q07" localSheetId="10">Tags!$AR$234</definedName>
    <definedName name="CVOPLE_3Q07">Tags_ols!$AR$234</definedName>
    <definedName name="CVOPLE_3Q08" localSheetId="10">Tags!$AW$234</definedName>
    <definedName name="CVOPLE_3Q08">Tags_ols!$AW$234</definedName>
    <definedName name="CVOPLE_3Q09" localSheetId="10">Tags!$BB$234</definedName>
    <definedName name="CVOPLE_3Q09">Tags_ols!$BB$234</definedName>
    <definedName name="CVOPLE_3Q10" localSheetId="10">Tags!$BG$234</definedName>
    <definedName name="CVOPLE_3Q10">Tags_ols!$BG$234</definedName>
    <definedName name="CVOPLE_3Q11" localSheetId="10">Tags!$BL$234</definedName>
    <definedName name="CVOPLE_3Q11">Tags_ols!$BL$234</definedName>
    <definedName name="CVOPLE_3Q12" localSheetId="10">Tags!$BQ$234</definedName>
    <definedName name="CVOPLE_3Q12">Tags_ols!$BQ$234</definedName>
    <definedName name="CVOPLE_3Q13" localSheetId="10">Tags!$BV$234</definedName>
    <definedName name="CVOPLE_3Q13">Tags_ols!$BV$234</definedName>
    <definedName name="CVOPLE_3Q14" localSheetId="10">Tags!$CA$234</definedName>
    <definedName name="CVOPLE_3Q14">Tags_ols!$CA$234</definedName>
    <definedName name="CVOPLE_3Q15" localSheetId="10">Tags!$CF$234</definedName>
    <definedName name="CVOPLE_3Q15">Tags_ols!$CF$234</definedName>
    <definedName name="CVOPLE_3Q16" localSheetId="10">Tags!$CK$234</definedName>
    <definedName name="CVOPLE_3Q16">Tags_ols!$CK$234</definedName>
    <definedName name="CVOPLE_3Q17" localSheetId="10">Tags!$CP$234</definedName>
    <definedName name="CVOPLE_3Q17">Tags_ols!$CP$234</definedName>
    <definedName name="CVOPLE_3Q18" localSheetId="10">Tags!$CU$234</definedName>
    <definedName name="CVOPLE_3Q18">Tags_ols!$CU$234</definedName>
    <definedName name="CVOPLE_3Q19" localSheetId="10">Tags!$CZ$234</definedName>
    <definedName name="CVOPLE_3Q19">Tags_ols!$CZ$234</definedName>
    <definedName name="CVOPLE_3Q20" localSheetId="10">Tags!$DE$234</definedName>
    <definedName name="CVOPLE_3Q20">Tags_ols!$DE$234</definedName>
    <definedName name="CVOPLE_3Q21">Tags!$DJ$234</definedName>
    <definedName name="CVOPLE_3Q22">Tags!$DO$234</definedName>
    <definedName name="CVOPLE_3Q23">Tags!$DT$234</definedName>
    <definedName name="CVOPLE_3Q24">Tags!$DY$234</definedName>
    <definedName name="CVOPLE_4Q00" localSheetId="10">Tags!$J$234</definedName>
    <definedName name="CVOPLE_4Q00">Tags_ols!$J$234</definedName>
    <definedName name="CVOPLE_4Q01" localSheetId="10">Tags!$O$234</definedName>
    <definedName name="CVOPLE_4Q01">Tags_ols!$O$234</definedName>
    <definedName name="CVOPLE_4Q02" localSheetId="10">Tags!$T$234</definedName>
    <definedName name="CVOPLE_4Q02">Tags_ols!$T$234</definedName>
    <definedName name="CVOPLE_4Q03" localSheetId="10">Tags!$Y$234</definedName>
    <definedName name="CVOPLE_4Q03">Tags_ols!$Y$234</definedName>
    <definedName name="CVOPLE_4Q04" localSheetId="10">Tags!$AD$234</definedName>
    <definedName name="CVOPLE_4Q04">Tags_ols!$AD$234</definedName>
    <definedName name="CVOPLE_4Q05" localSheetId="10">Tags!$AI$234</definedName>
    <definedName name="CVOPLE_4Q05">Tags_ols!$AI$234</definedName>
    <definedName name="CVOPLE_4Q06" localSheetId="10">Tags!$AN$234</definedName>
    <definedName name="CVOPLE_4Q06">Tags_ols!$AN$234</definedName>
    <definedName name="CVOPLE_4Q07" localSheetId="10">Tags!$AS$234</definedName>
    <definedName name="CVOPLE_4Q07">Tags_ols!$AS$234</definedName>
    <definedName name="CVOPLE_4Q08" localSheetId="10">Tags!$AX$234</definedName>
    <definedName name="CVOPLE_4Q08">Tags_ols!$AX$234</definedName>
    <definedName name="CVOPLE_4Q09" localSheetId="10">Tags!$BC$234</definedName>
    <definedName name="CVOPLE_4Q09">Tags_ols!$BC$234</definedName>
    <definedName name="CVOPLE_4Q10" localSheetId="10">Tags!$BH$234</definedName>
    <definedName name="CVOPLE_4Q10">Tags_ols!$BH$234</definedName>
    <definedName name="CVOPLE_4Q11" localSheetId="10">Tags!$BM$234</definedName>
    <definedName name="CVOPLE_4Q11">Tags_ols!$BM$234</definedName>
    <definedName name="CVOPLE_4Q12" localSheetId="10">Tags!$BR$234</definedName>
    <definedName name="CVOPLE_4Q12">Tags_ols!$BR$234</definedName>
    <definedName name="CVOPLE_4Q13" localSheetId="10">Tags!$BW$234</definedName>
    <definedName name="CVOPLE_4Q13">Tags_ols!$BW$234</definedName>
    <definedName name="CVOPLE_4Q14" localSheetId="10">Tags!$CB$234</definedName>
    <definedName name="CVOPLE_4Q14">Tags_ols!$CB$234</definedName>
    <definedName name="CVOPLE_4Q15" localSheetId="10">Tags!$CG$234</definedName>
    <definedName name="CVOPLE_4Q15">Tags_ols!$CG$234</definedName>
    <definedName name="CVOPLE_4Q16" localSheetId="10">Tags!$CL$234</definedName>
    <definedName name="CVOPLE_4Q16">Tags_ols!$CL$234</definedName>
    <definedName name="CVOPLE_4Q17" localSheetId="10">Tags!$CQ$234</definedName>
    <definedName name="CVOPLE_4Q17">Tags_ols!$CQ$234</definedName>
    <definedName name="CVOPLE_4Q18" localSheetId="10">Tags!$CV$234</definedName>
    <definedName name="CVOPLE_4Q18">Tags_ols!$CV$234</definedName>
    <definedName name="CVOPLE_4Q19" localSheetId="10">Tags!$DA$234</definedName>
    <definedName name="CVOPLE_4Q19">Tags_ols!$DA$234</definedName>
    <definedName name="CVOPLE_4Q20" localSheetId="10">Tags!$DF$234</definedName>
    <definedName name="CVOPLE_4Q20">Tags_ols!$DF$234</definedName>
    <definedName name="CVOPLE_4Q21">Tags!$DK$234</definedName>
    <definedName name="CVOPLE_4Q22">Tags!$DP$234</definedName>
    <definedName name="CVOPLE_4Q23">Tags!$DU$234</definedName>
    <definedName name="CVOPLE_4Q24">Tags!$DZ$234</definedName>
    <definedName name="d" localSheetId="4" hidden="1">{#N/A,"70% Success",FALSE,"Sales Forecast";#N/A,#N/A,FALSE,"Sheet2"}</definedName>
    <definedName name="d" localSheetId="6" hidden="1">{#N/A,"70% Success",FALSE,"Sales Forecast";#N/A,#N/A,FALSE,"Sheet2"}</definedName>
    <definedName name="d" localSheetId="0" hidden="1">{#N/A,"70% Success",FALSE,"Sales Forecast";#N/A,#N/A,FALSE,"Sheet2"}</definedName>
    <definedName name="d" localSheetId="9" hidden="1">{#N/A,"70% Success",FALSE,"Sales Forecast";#N/A,#N/A,FALSE,"Sheet2"}</definedName>
    <definedName name="d" localSheetId="5" hidden="1">{#N/A,"70% Success",FALSE,"Sales Forecast";#N/A,#N/A,FALSE,"Sheet2"}</definedName>
    <definedName name="d" hidden="1">{#N/A,"70% Success",FALSE,"Sales Forecast";#N/A,#N/A,FALSE,"Sheet2"}</definedName>
    <definedName name="DataAdjust">#REF!</definedName>
    <definedName name="_xlnm.Database">#REF!</definedName>
    <definedName name="DataRange">#REF!</definedName>
    <definedName name="DB">"WIRENYPROD"</definedName>
    <definedName name="DEP_1995">Tags_ols!$B$30</definedName>
    <definedName name="DEP_1996">Tags_ols!$C$30</definedName>
    <definedName name="DEP_1997">Tags_ols!$D$30</definedName>
    <definedName name="DEP_1998">Tags_ols!$E$30</definedName>
    <definedName name="DEP_1999">Tags_ols!$F$30</definedName>
    <definedName name="DEP_1Q00" localSheetId="10">Tags!$G$30</definedName>
    <definedName name="DEP_1Q00">Tags_ols!$G$30</definedName>
    <definedName name="DEP_1Q01" localSheetId="10">Tags!$L$30</definedName>
    <definedName name="DEP_1Q01">Tags_ols!$L$30</definedName>
    <definedName name="DEP_1Q02" localSheetId="10">Tags!$Q$30</definedName>
    <definedName name="DEP_1Q02">Tags_ols!$Q$30</definedName>
    <definedName name="DEP_1Q03" localSheetId="10">Tags!$V$30</definedName>
    <definedName name="DEP_1Q03">Tags_ols!$V$30</definedName>
    <definedName name="DEP_1Q04" localSheetId="10">Tags!$AA$30</definedName>
    <definedName name="DEP_1Q04">Tags_ols!$AA$30</definedName>
    <definedName name="DEP_1Q05" localSheetId="10">Tags!$AF$30</definedName>
    <definedName name="DEP_1Q05">Tags_ols!$AF$30</definedName>
    <definedName name="DEP_1Q06" localSheetId="10">Tags!$AK$30</definedName>
    <definedName name="DEP_1Q06">Tags_ols!$AK$30</definedName>
    <definedName name="DEP_1Q07" localSheetId="10">Tags!$AP$30</definedName>
    <definedName name="DEP_1Q07">Tags_ols!$AP$30</definedName>
    <definedName name="DEP_1Q08" localSheetId="10">Tags!$AU$30</definedName>
    <definedName name="DEP_1Q08">Tags_ols!$AU$30</definedName>
    <definedName name="DEP_1Q09" localSheetId="10">Tags!$AZ$30</definedName>
    <definedName name="DEP_1Q09">Tags_ols!$AZ$30</definedName>
    <definedName name="DEP_1Q10" localSheetId="10">Tags!$BE$30</definedName>
    <definedName name="DEP_1Q10">Tags_ols!$BE$30</definedName>
    <definedName name="DEP_1Q11" localSheetId="10">Tags!$BJ$30</definedName>
    <definedName name="DEP_1Q11">Tags_ols!$BJ$30</definedName>
    <definedName name="DEP_1Q12" localSheetId="10">Tags!$BO$30</definedName>
    <definedName name="DEP_1Q12">Tags_ols!$BO$30</definedName>
    <definedName name="DEP_1Q13" localSheetId="10">Tags!$BT$30</definedName>
    <definedName name="DEP_1Q13">Tags_ols!$BT$30</definedName>
    <definedName name="DEP_1Q14" localSheetId="10">Tags!$BY$30</definedName>
    <definedName name="DEP_1Q14">Tags_ols!$BY$30</definedName>
    <definedName name="DEP_1Q15" localSheetId="10">Tags!$CD$30</definedName>
    <definedName name="DEP_1Q15">Tags_ols!$CD$30</definedName>
    <definedName name="DEP_1Q16" localSheetId="10">Tags!$CI$30</definedName>
    <definedName name="DEP_1Q16">Tags_ols!$CI$30</definedName>
    <definedName name="DEP_1Q17" localSheetId="10">Tags!$CN$30</definedName>
    <definedName name="DEP_1Q17">Tags_ols!$CN$30</definedName>
    <definedName name="DEP_1Q18" localSheetId="10">Tags!$CS$30</definedName>
    <definedName name="DEP_1Q18">Tags_ols!$CS$30</definedName>
    <definedName name="DEP_1Q19" localSheetId="10">Tags!$CX$30</definedName>
    <definedName name="DEP_1Q19">Tags_ols!$CX$30</definedName>
    <definedName name="DEP_1Q20" localSheetId="10">Tags!$DC$30</definedName>
    <definedName name="DEP_1Q20">Tags_ols!$DC$30</definedName>
    <definedName name="DEP_1Q21">Tags!$DH$30</definedName>
    <definedName name="DEP_1Q22">Tags!$DM$30</definedName>
    <definedName name="DEP_1Q23">Tags!$DR$30</definedName>
    <definedName name="DEP_1Q24">Tags!$DW$30</definedName>
    <definedName name="DEP_2000" localSheetId="10">Tags!$K$30</definedName>
    <definedName name="DEP_2000">Tags_ols!$K$30</definedName>
    <definedName name="DEP_2001" localSheetId="10">Tags!$P$30</definedName>
    <definedName name="DEP_2001">Tags_ols!$P$30</definedName>
    <definedName name="DEP_2002" localSheetId="10">Tags!$U$30</definedName>
    <definedName name="DEP_2002">Tags_ols!$U$30</definedName>
    <definedName name="DEP_2003" localSheetId="10">Tags!$Z$30</definedName>
    <definedName name="DEP_2003">Tags_ols!$Z$30</definedName>
    <definedName name="DEP_2004" localSheetId="10">Tags!$AE$30</definedName>
    <definedName name="DEP_2004">Tags_ols!$AE$30</definedName>
    <definedName name="DEP_2005" localSheetId="10">Tags!$AJ$30</definedName>
    <definedName name="DEP_2005">Tags_ols!$AJ$30</definedName>
    <definedName name="DEP_2006" localSheetId="10">Tags!$AO$30</definedName>
    <definedName name="DEP_2006">Tags_ols!$AO$30</definedName>
    <definedName name="DEP_2007" localSheetId="10">Tags!$AT$30</definedName>
    <definedName name="DEP_2007">Tags_ols!$AT$30</definedName>
    <definedName name="DEP_2008" localSheetId="10">Tags!$AY$30</definedName>
    <definedName name="DEP_2008">Tags_ols!$AY$30</definedName>
    <definedName name="DEP_2009" localSheetId="10">Tags!$BD$30</definedName>
    <definedName name="DEP_2009">Tags_ols!$BD$30</definedName>
    <definedName name="DEP_2010" localSheetId="10">Tags!$BI$30</definedName>
    <definedName name="DEP_2010">Tags_ols!$BI$30</definedName>
    <definedName name="DEP_2011" localSheetId="10">Tags!$BN$30</definedName>
    <definedName name="DEP_2011">Tags_ols!$BN$30</definedName>
    <definedName name="DEP_2012" localSheetId="10">Tags!$BS$30</definedName>
    <definedName name="DEP_2012">Tags_ols!$BS$30</definedName>
    <definedName name="DEP_2013" localSheetId="10">Tags!$BX$30</definedName>
    <definedName name="DEP_2013">Tags_ols!$BX$30</definedName>
    <definedName name="DEP_2014" localSheetId="10">Tags!$CC$30</definedName>
    <definedName name="DEP_2014">Tags_ols!$CC$30</definedName>
    <definedName name="DEP_2015" localSheetId="10">Tags!#REF!</definedName>
    <definedName name="DEP_2015">Tags!$CH$30</definedName>
    <definedName name="DEP_2016" localSheetId="10">Tags!$CM$30</definedName>
    <definedName name="DEP_2016">Tags_ols!$CM$30</definedName>
    <definedName name="DEP_2017" localSheetId="10">Tags!$CR$30</definedName>
    <definedName name="DEP_2017">Tags_ols!$CR$30</definedName>
    <definedName name="DEP_2018" localSheetId="10">Tags!$CW$30</definedName>
    <definedName name="DEP_2018">Tags_ols!$CW$30</definedName>
    <definedName name="DEP_2019" localSheetId="10">Tags!$DB$30</definedName>
    <definedName name="DEP_2019">Tags_ols!$DB$30</definedName>
    <definedName name="DEP_2020" localSheetId="10">Tags!$DG$30</definedName>
    <definedName name="DEP_2020">Tags_ols!$DG$30</definedName>
    <definedName name="DEP_2021">Tags!$DL$30</definedName>
    <definedName name="DEP_2022">Tags!$DQ$30</definedName>
    <definedName name="DEP_2023">Tags!$DV$30</definedName>
    <definedName name="DEP_2024">Tags!$EA$30</definedName>
    <definedName name="DEP_2Q00" localSheetId="10">Tags!$H$30</definedName>
    <definedName name="DEP_2Q00">Tags_ols!$H$30</definedName>
    <definedName name="DEP_2Q01" localSheetId="10">Tags!$M$30</definedName>
    <definedName name="DEP_2Q01">Tags_ols!$M$30</definedName>
    <definedName name="DEP_2Q02" localSheetId="10">Tags!$R$30</definedName>
    <definedName name="DEP_2Q02">Tags_ols!$R$30</definedName>
    <definedName name="DEP_2Q03" localSheetId="10">Tags!$W$30</definedName>
    <definedName name="DEP_2Q03">Tags_ols!$W$30</definedName>
    <definedName name="DEP_2Q04" localSheetId="10">Tags!$AB$30</definedName>
    <definedName name="DEP_2Q04">Tags_ols!$AB$30</definedName>
    <definedName name="DEP_2Q05" localSheetId="10">Tags!$AG$30</definedName>
    <definedName name="DEP_2Q05">Tags_ols!$AG$30</definedName>
    <definedName name="DEP_2Q06" localSheetId="10">Tags!$AL$30</definedName>
    <definedName name="DEP_2Q06">Tags_ols!$AL$30</definedName>
    <definedName name="DEP_2Q07" localSheetId="10">Tags!$AQ$30</definedName>
    <definedName name="DEP_2Q07">Tags_ols!$AQ$30</definedName>
    <definedName name="DEP_2Q08" localSheetId="10">Tags!$AV$30</definedName>
    <definedName name="DEP_2Q08">Tags_ols!$AV$30</definedName>
    <definedName name="DEP_2Q09" localSheetId="10">Tags!$BA$30</definedName>
    <definedName name="DEP_2Q09">Tags_ols!$BA$30</definedName>
    <definedName name="DEP_2Q10" localSheetId="10">Tags!$BF$30</definedName>
    <definedName name="DEP_2Q10">Tags_ols!$BF$30</definedName>
    <definedName name="DEP_2Q11" localSheetId="10">Tags!$BK$30</definedName>
    <definedName name="DEP_2Q11">Tags_ols!$BK$30</definedName>
    <definedName name="DEP_2Q12" localSheetId="10">Tags!$BP$30</definedName>
    <definedName name="DEP_2Q12">Tags_ols!$BP$30</definedName>
    <definedName name="DEP_2Q13" localSheetId="10">Tags!$BU$30</definedName>
    <definedName name="DEP_2Q13">Tags_ols!$BU$30</definedName>
    <definedName name="DEP_2Q14" localSheetId="10">Tags!$BZ$30</definedName>
    <definedName name="DEP_2Q14">Tags_ols!$BZ$30</definedName>
    <definedName name="DEP_2Q15" localSheetId="10">Tags!$CE$30</definedName>
    <definedName name="DEP_2Q15">Tags_ols!$CE$30</definedName>
    <definedName name="DEP_2Q16" localSheetId="10">Tags!$CJ$30</definedName>
    <definedName name="DEP_2Q16">Tags_ols!$CJ$30</definedName>
    <definedName name="DEP_2Q17" localSheetId="10">Tags!$CO$30</definedName>
    <definedName name="DEP_2Q17">Tags_ols!$CO$30</definedName>
    <definedName name="DEP_2Q18" localSheetId="10">Tags!$CT$30</definedName>
    <definedName name="DEP_2Q18">Tags_ols!$CT$30</definedName>
    <definedName name="DEP_2Q19" localSheetId="10">Tags!$CY$30</definedName>
    <definedName name="DEP_2Q19">Tags_ols!$CY$30</definedName>
    <definedName name="DEP_2Q20" localSheetId="10">Tags!$DD$30</definedName>
    <definedName name="DEP_2Q20">Tags_ols!$DD$30</definedName>
    <definedName name="DEP_2Q21">Tags!$DI$30</definedName>
    <definedName name="DEP_2Q22">Tags!$DN$30</definedName>
    <definedName name="DEP_2Q23">Tags!$DS$30</definedName>
    <definedName name="DEP_2Q24">Tags!$DX$30</definedName>
    <definedName name="DEP_3Q00" localSheetId="10">Tags!$I$30</definedName>
    <definedName name="DEP_3Q00">Tags_ols!$I$30</definedName>
    <definedName name="DEP_3Q01" localSheetId="10">Tags!$N$30</definedName>
    <definedName name="DEP_3Q01">Tags_ols!$N$30</definedName>
    <definedName name="DEP_3Q02" localSheetId="10">Tags!$S$30</definedName>
    <definedName name="DEP_3Q02">Tags_ols!$S$30</definedName>
    <definedName name="DEP_3Q03" localSheetId="10">Tags!$X$30</definedName>
    <definedName name="DEP_3Q03">Tags_ols!$X$30</definedName>
    <definedName name="DEP_3Q04" localSheetId="10">Tags!$AC$30</definedName>
    <definedName name="DEP_3Q04">Tags_ols!$AC$30</definedName>
    <definedName name="DEP_3Q05" localSheetId="10">Tags!$AH$30</definedName>
    <definedName name="DEP_3Q05">Tags_ols!$AH$30</definedName>
    <definedName name="DEP_3Q06" localSheetId="10">Tags!$AM$30</definedName>
    <definedName name="DEP_3Q06">Tags_ols!$AM$30</definedName>
    <definedName name="DEP_3Q07" localSheetId="10">Tags!$AR$30</definedName>
    <definedName name="DEP_3Q07">Tags_ols!$AR$30</definedName>
    <definedName name="DEP_3Q08" localSheetId="10">Tags!$AW$30</definedName>
    <definedName name="DEP_3Q08">Tags_ols!$AW$30</definedName>
    <definedName name="DEP_3Q09" localSheetId="10">Tags!$BB$30</definedName>
    <definedName name="DEP_3Q09">Tags_ols!$BB$30</definedName>
    <definedName name="DEP_3Q10" localSheetId="10">Tags!$BG$30</definedName>
    <definedName name="DEP_3Q10">Tags_ols!$BG$30</definedName>
    <definedName name="DEP_3Q11" localSheetId="10">Tags!$BL$30</definedName>
    <definedName name="DEP_3Q11">Tags_ols!$BL$30</definedName>
    <definedName name="DEP_3Q12" localSheetId="10">Tags!$BQ$30</definedName>
    <definedName name="DEP_3Q12">Tags_ols!$BQ$30</definedName>
    <definedName name="DEP_3Q13" localSheetId="10">Tags!$BV$30</definedName>
    <definedName name="DEP_3Q13">Tags_ols!$BV$30</definedName>
    <definedName name="DEP_3Q14" localSheetId="10">Tags!$CA$30</definedName>
    <definedName name="DEP_3Q14">Tags_ols!$CA$30</definedName>
    <definedName name="DEP_3Q15" localSheetId="10">Tags!$CF$30</definedName>
    <definedName name="DEP_3Q15">Tags_ols!$CF$30</definedName>
    <definedName name="DEP_3Q16" localSheetId="10">Tags!$CK$30</definedName>
    <definedName name="DEP_3Q16">Tags_ols!$CK$30</definedName>
    <definedName name="DEP_3Q17" localSheetId="10">Tags!$CP$30</definedName>
    <definedName name="DEP_3Q17">Tags_ols!$CP$30</definedName>
    <definedName name="DEP_3Q18" localSheetId="10">Tags!$CU$30</definedName>
    <definedName name="DEP_3Q18">Tags_ols!$CU$30</definedName>
    <definedName name="DEP_3Q19" localSheetId="10">Tags!$CZ$30</definedName>
    <definedName name="DEP_3Q19">Tags_ols!$CZ$30</definedName>
    <definedName name="DEP_3Q20" localSheetId="10">Tags!$DE$30</definedName>
    <definedName name="DEP_3Q20">Tags_ols!$DE$30</definedName>
    <definedName name="DEP_3Q21">Tags!$DJ$30</definedName>
    <definedName name="DEP_3Q22">Tags!$DO$30</definedName>
    <definedName name="DEP_3Q23">Tags!$DT$30</definedName>
    <definedName name="DEP_3Q24">Tags!$DY$30</definedName>
    <definedName name="DEP_4Q00" localSheetId="10">Tags!$J$30</definedName>
    <definedName name="DEP_4Q00">Tags_ols!$J$30</definedName>
    <definedName name="DEP_4Q01" localSheetId="10">Tags!$O$30</definedName>
    <definedName name="DEP_4Q01">Tags_ols!$O$30</definedName>
    <definedName name="DEP_4Q02" localSheetId="10">Tags!$T$30</definedName>
    <definedName name="DEP_4Q02">Tags_ols!$T$30</definedName>
    <definedName name="DEP_4Q03" localSheetId="10">Tags!$Y$30</definedName>
    <definedName name="DEP_4Q03">Tags_ols!$Y$30</definedName>
    <definedName name="DEP_4Q04" localSheetId="10">Tags!$AD$30</definedName>
    <definedName name="DEP_4Q04">Tags_ols!$AD$30</definedName>
    <definedName name="DEP_4Q05" localSheetId="10">Tags!$AI$30</definedName>
    <definedName name="DEP_4Q05">Tags_ols!$AI$30</definedName>
    <definedName name="DEP_4Q06" localSheetId="10">Tags!$AN$30</definedName>
    <definedName name="DEP_4Q06">Tags_ols!$AN$30</definedName>
    <definedName name="DEP_4Q07" localSheetId="10">Tags!$AS$30</definedName>
    <definedName name="DEP_4Q07">Tags_ols!$AS$30</definedName>
    <definedName name="DEP_4Q08" localSheetId="10">Tags!$AX$30</definedName>
    <definedName name="DEP_4Q08">Tags_ols!$AX$30</definedName>
    <definedName name="DEP_4Q09" localSheetId="10">Tags!$BC$30</definedName>
    <definedName name="DEP_4Q09">Tags_ols!$BC$30</definedName>
    <definedName name="DEP_4Q10" localSheetId="10">Tags!$BH$30</definedName>
    <definedName name="DEP_4Q10">Tags_ols!$BH$30</definedName>
    <definedName name="DEP_4Q11" localSheetId="10">Tags!$BM$30</definedName>
    <definedName name="DEP_4Q11">Tags_ols!$BM$30</definedName>
    <definedName name="DEP_4Q12" localSheetId="10">Tags!$BR$30</definedName>
    <definedName name="DEP_4Q12">Tags_ols!$BR$30</definedName>
    <definedName name="DEP_4Q13" localSheetId="10">Tags!$BW$30</definedName>
    <definedName name="DEP_4Q13">Tags_ols!$BW$30</definedName>
    <definedName name="DEP_4Q14" localSheetId="10">Tags!$CB$30</definedName>
    <definedName name="DEP_4Q14">Tags_ols!$CB$30</definedName>
    <definedName name="DEP_4Q15" localSheetId="10">Tags!$CG$30</definedName>
    <definedName name="DEP_4Q15">Tags_ols!$CG$30</definedName>
    <definedName name="DEP_4Q16" localSheetId="10">Tags!$CL$30</definedName>
    <definedName name="DEP_4Q16">Tags_ols!$CL$30</definedName>
    <definedName name="DEP_4Q17" localSheetId="10">Tags!$CQ$30</definedName>
    <definedName name="DEP_4Q17">Tags_ols!$CQ$30</definedName>
    <definedName name="DEP_4Q18" localSheetId="10">Tags!$CV$30</definedName>
    <definedName name="DEP_4Q18">Tags_ols!$CV$30</definedName>
    <definedName name="DEP_4Q19" localSheetId="10">Tags!$DA$30</definedName>
    <definedName name="DEP_4Q19">Tags_ols!$DA$30</definedName>
    <definedName name="DEP_4Q20" localSheetId="10">Tags!$DF$30</definedName>
    <definedName name="DEP_4Q20">Tags_ols!$DF$30</definedName>
    <definedName name="DEP_4Q21">Tags!$DK$30</definedName>
    <definedName name="DEP_4Q22">Tags!$DP$30</definedName>
    <definedName name="DEP_4Q23">Tags!$DU$30</definedName>
    <definedName name="DEP_4Q24">Tags!$DZ$30</definedName>
    <definedName name="DISCOP_1995">Tags_ols!$B$48</definedName>
    <definedName name="DISCOP_1996">Tags_ols!$C$48</definedName>
    <definedName name="DISCOP_1997">Tags_ols!$D$48</definedName>
    <definedName name="DISCOP_1998">Tags_ols!$E$48</definedName>
    <definedName name="DISCOP_1999">Tags_ols!$F$48</definedName>
    <definedName name="DISCOP_1Q00" localSheetId="10">Tags!$G$48</definedName>
    <definedName name="DISCOP_1Q00">Tags_ols!$G$48</definedName>
    <definedName name="DISCOP_1Q01" localSheetId="10">Tags!$L$48</definedName>
    <definedName name="DISCOP_1Q01">Tags_ols!$L$48</definedName>
    <definedName name="DISCOP_1Q02" localSheetId="10">Tags!$Q$48</definedName>
    <definedName name="DISCOP_1Q02">Tags_ols!$Q$48</definedName>
    <definedName name="DISCOP_1Q03" localSheetId="10">Tags!$V$48</definedName>
    <definedName name="DISCOP_1Q03">Tags_ols!$V$48</definedName>
    <definedName name="DISCOP_1Q04" localSheetId="10">Tags!$AA$48</definedName>
    <definedName name="DISCOP_1Q04">Tags_ols!$AA$48</definedName>
    <definedName name="DISCOP_1Q05" localSheetId="10">Tags!$AF$48</definedName>
    <definedName name="DISCOP_1Q05">Tags_ols!$AF$48</definedName>
    <definedName name="DISCOP_1Q06" localSheetId="10">Tags!$AK$48</definedName>
    <definedName name="DISCOP_1Q06">Tags_ols!$AK$48</definedName>
    <definedName name="DISCOP_1Q07" localSheetId="10">Tags!$AP$48</definedName>
    <definedName name="DISCOP_1Q07">Tags_ols!$AP$48</definedName>
    <definedName name="DISCOP_1Q08" localSheetId="10">Tags!$AU$48</definedName>
    <definedName name="DISCOP_1Q08">Tags_ols!$AU$48</definedName>
    <definedName name="DISCOP_1Q09" localSheetId="10">Tags!$AZ$48</definedName>
    <definedName name="DISCOP_1Q09">Tags_ols!$AZ$48</definedName>
    <definedName name="DISCOP_1Q10" localSheetId="10">Tags!$BE$48</definedName>
    <definedName name="DISCOP_1Q10">Tags_ols!$BE$48</definedName>
    <definedName name="DISCOP_1Q11" localSheetId="10">Tags!$BJ$48</definedName>
    <definedName name="DISCOP_1Q11">Tags_ols!$BJ$48</definedName>
    <definedName name="DISCOP_1Q12" localSheetId="10">Tags!$BO$48</definedName>
    <definedName name="DISCOP_1Q12">Tags_ols!$BO$48</definedName>
    <definedName name="DISCOP_1Q13" localSheetId="10">Tags!$BT$48</definedName>
    <definedName name="DISCOP_1Q13">Tags_ols!$BT$48</definedName>
    <definedName name="DISCOP_1Q14" localSheetId="10">Tags!$BY$48</definedName>
    <definedName name="DISCOP_1Q14">Tags_ols!$BY$48</definedName>
    <definedName name="DISCOP_1Q15" localSheetId="10">Tags!$CD$48</definedName>
    <definedName name="DISCOP_1Q15">Tags_ols!$CD$48</definedName>
    <definedName name="DISCOP_1Q16" localSheetId="10">Tags!$CI$48</definedName>
    <definedName name="DISCOP_1Q16">Tags_ols!$CI$48</definedName>
    <definedName name="DISCOP_1Q17" localSheetId="10">Tags!$CN$48</definedName>
    <definedName name="DISCOP_1Q17">Tags_ols!$CN$48</definedName>
    <definedName name="DISCOP_1Q18" localSheetId="10">Tags!$CS$48</definedName>
    <definedName name="DISCOP_1Q18">Tags_ols!$CS$48</definedName>
    <definedName name="DISCOP_1Q19" localSheetId="10">Tags!$CX$48</definedName>
    <definedName name="DISCOP_1Q19">Tags_ols!$CX$48</definedName>
    <definedName name="DISCOP_1Q20" localSheetId="10">Tags!$DC$48</definedName>
    <definedName name="DISCOP_1Q20">Tags_ols!$DC$48</definedName>
    <definedName name="DISCOP_1Q21">Tags!$DH$48</definedName>
    <definedName name="DISCOP_1Q22">Tags!$DM$48</definedName>
    <definedName name="DISCOP_1Q23">Tags!$DR$48</definedName>
    <definedName name="DISCOP_1Q24">Tags!$DW$48</definedName>
    <definedName name="DISCOP_2000" localSheetId="10">Tags!$K$48</definedName>
    <definedName name="DISCOP_2000">Tags_ols!$K$48</definedName>
    <definedName name="DISCOP_2001" localSheetId="10">Tags!$P$48</definedName>
    <definedName name="DISCOP_2001">Tags_ols!$P$48</definedName>
    <definedName name="DISCOP_2002" localSheetId="10">Tags!$U$48</definedName>
    <definedName name="DISCOP_2002">Tags_ols!$U$48</definedName>
    <definedName name="DISCOP_2003" localSheetId="10">Tags!$Z$48</definedName>
    <definedName name="DISCOP_2003">Tags_ols!$Z$48</definedName>
    <definedName name="DISCOP_2004" localSheetId="10">Tags!$AE$48</definedName>
    <definedName name="DISCOP_2004">Tags_ols!$AE$48</definedName>
    <definedName name="DISCOP_2005" localSheetId="10">Tags!$AJ$48</definedName>
    <definedName name="DISCOP_2005">Tags_ols!$AJ$48</definedName>
    <definedName name="DISCOP_2006" localSheetId="10">Tags!$AO$48</definedName>
    <definedName name="DISCOP_2006">Tags_ols!$AO$48</definedName>
    <definedName name="DISCOP_2007" localSheetId="10">Tags!$AT$48</definedName>
    <definedName name="DISCOP_2007">Tags_ols!$AT$48</definedName>
    <definedName name="DISCOP_2008" localSheetId="10">Tags!$AY$48</definedName>
    <definedName name="DISCOP_2008">Tags_ols!$AY$48</definedName>
    <definedName name="DISCOP_2009" localSheetId="10">Tags!$BD$48</definedName>
    <definedName name="DISCOP_2009">Tags_ols!$BD$48</definedName>
    <definedName name="DISCOP_2010" localSheetId="10">Tags!$BI$48</definedName>
    <definedName name="DISCOP_2010">Tags_ols!$BI$48</definedName>
    <definedName name="DISCOP_2011" localSheetId="10">Tags!$BN$48</definedName>
    <definedName name="DISCOP_2011">Tags_ols!$BN$48</definedName>
    <definedName name="DISCOP_2012" localSheetId="10">Tags!$BS$48</definedName>
    <definedName name="DISCOP_2012">Tags_ols!$BS$48</definedName>
    <definedName name="DISCOP_2013" localSheetId="10">Tags!$BX$48</definedName>
    <definedName name="DISCOP_2013">Tags_ols!$BX$48</definedName>
    <definedName name="DISCOP_2014" localSheetId="10">Tags!$CC$48</definedName>
    <definedName name="DISCOP_2014">Tags_ols!$CC$48</definedName>
    <definedName name="DISCOP_2015" localSheetId="10">Tags!#REF!</definedName>
    <definedName name="DISCOP_2015">Tags!$CH$48</definedName>
    <definedName name="DISCOP_2016" localSheetId="10">Tags!$CM$48</definedName>
    <definedName name="DISCOP_2016">Tags_ols!$CM$48</definedName>
    <definedName name="DISCOP_2017" localSheetId="10">Tags!$CR$48</definedName>
    <definedName name="DISCOP_2017">Tags_ols!$CR$48</definedName>
    <definedName name="DISCOP_2018" localSheetId="10">Tags!$CW$48</definedName>
    <definedName name="DISCOP_2018">Tags_ols!$CW$48</definedName>
    <definedName name="DISCOP_2019" localSheetId="10">Tags!$DB$48</definedName>
    <definedName name="DISCOP_2019">Tags_ols!$DB$48</definedName>
    <definedName name="DISCOP_2020" localSheetId="10">Tags!$DG$48</definedName>
    <definedName name="DISCOP_2020">Tags_ols!$DG$48</definedName>
    <definedName name="DISCOP_2021">Tags!$DL$48</definedName>
    <definedName name="DISCOP_2022">Tags!$DQ$48</definedName>
    <definedName name="DISCOP_2023">Tags!$DV$48</definedName>
    <definedName name="DISCOP_2024">Tags!$EA$48</definedName>
    <definedName name="DISCOP_2Q00" localSheetId="10">Tags!$H$48</definedName>
    <definedName name="DISCOP_2Q00">Tags_ols!$H$48</definedName>
    <definedName name="DISCOP_2Q01" localSheetId="10">Tags!$M$48</definedName>
    <definedName name="DISCOP_2Q01">Tags_ols!$M$48</definedName>
    <definedName name="DISCOP_2Q02" localSheetId="10">Tags!$R$48</definedName>
    <definedName name="DISCOP_2Q02">Tags_ols!$R$48</definedName>
    <definedName name="DISCOP_2Q03" localSheetId="10">Tags!$W$48</definedName>
    <definedName name="DISCOP_2Q03">Tags_ols!$W$48</definedName>
    <definedName name="DISCOP_2Q04" localSheetId="10">Tags!$AB$48</definedName>
    <definedName name="DISCOP_2Q04">Tags_ols!$AB$48</definedName>
    <definedName name="DISCOP_2Q05" localSheetId="10">Tags!$AG$48</definedName>
    <definedName name="DISCOP_2Q05">Tags_ols!$AG$48</definedName>
    <definedName name="DISCOP_2Q06" localSheetId="10">Tags!$AL$48</definedName>
    <definedName name="DISCOP_2Q06">Tags_ols!$AL$48</definedName>
    <definedName name="DISCOP_2Q07" localSheetId="10">Tags!$AQ$48</definedName>
    <definedName name="DISCOP_2Q07">Tags_ols!$AQ$48</definedName>
    <definedName name="DISCOP_2Q08" localSheetId="10">Tags!$AV$48</definedName>
    <definedName name="DISCOP_2Q08">Tags_ols!$AV$48</definedName>
    <definedName name="DISCOP_2Q09" localSheetId="10">Tags!$BA$48</definedName>
    <definedName name="DISCOP_2Q09">Tags_ols!$BA$48</definedName>
    <definedName name="DISCOP_2Q10" localSheetId="10">Tags!$BF$48</definedName>
    <definedName name="DISCOP_2Q10">Tags_ols!$BF$48</definedName>
    <definedName name="DISCOP_2Q11" localSheetId="10">Tags!$BK$48</definedName>
    <definedName name="DISCOP_2Q11">Tags_ols!$BK$48</definedName>
    <definedName name="DISCOP_2Q12" localSheetId="10">Tags!$BP$48</definedName>
    <definedName name="DISCOP_2Q12">Tags_ols!$BP$48</definedName>
    <definedName name="DISCOP_2Q13" localSheetId="10">Tags!$BU$48</definedName>
    <definedName name="DISCOP_2Q13">Tags_ols!$BU$48</definedName>
    <definedName name="DISCOP_2Q14" localSheetId="10">Tags!$BZ$48</definedName>
    <definedName name="DISCOP_2Q14">Tags_ols!$BZ$48</definedName>
    <definedName name="DISCOP_2Q15" localSheetId="10">Tags!$CE$48</definedName>
    <definedName name="DISCOP_2Q15">Tags_ols!$CE$48</definedName>
    <definedName name="DISCOP_2Q16" localSheetId="10">Tags!$CJ$48</definedName>
    <definedName name="DISCOP_2Q16">Tags_ols!$CJ$48</definedName>
    <definedName name="DISCOP_2Q17" localSheetId="10">Tags!$CO$48</definedName>
    <definedName name="DISCOP_2Q17">Tags_ols!$CO$48</definedName>
    <definedName name="DISCOP_2Q18" localSheetId="10">Tags!$CT$48</definedName>
    <definedName name="DISCOP_2Q18">Tags_ols!$CT$48</definedName>
    <definedName name="DISCOP_2Q19" localSheetId="10">Tags!$CY$48</definedName>
    <definedName name="DISCOP_2Q19">Tags_ols!$CY$48</definedName>
    <definedName name="DISCOP_2Q20" localSheetId="10">Tags!$DD$48</definedName>
    <definedName name="DISCOP_2Q20">Tags_ols!$DD$48</definedName>
    <definedName name="DISCOP_2Q21">Tags!$DI$48</definedName>
    <definedName name="DISCOP_2Q22">Tags!$DN$48</definedName>
    <definedName name="DISCOP_2Q23">Tags!$DS$48</definedName>
    <definedName name="DISCOP_2Q24">Tags!$DX$48</definedName>
    <definedName name="DISCOP_3Q00" localSheetId="10">Tags!$I$48</definedName>
    <definedName name="DISCOP_3Q00">Tags_ols!$I$48</definedName>
    <definedName name="DISCOP_3Q01" localSheetId="10">Tags!$N$48</definedName>
    <definedName name="DISCOP_3Q01">Tags_ols!$N$48</definedName>
    <definedName name="DISCOP_3Q02" localSheetId="10">Tags!$S$48</definedName>
    <definedName name="DISCOP_3Q02">Tags_ols!$S$48</definedName>
    <definedName name="DISCOP_3Q03" localSheetId="10">Tags!$X$48</definedName>
    <definedName name="DISCOP_3Q03">Tags_ols!$X$48</definedName>
    <definedName name="DISCOP_3Q04" localSheetId="10">Tags!$AC$48</definedName>
    <definedName name="DISCOP_3Q04">Tags_ols!$AC$48</definedName>
    <definedName name="DISCOP_3Q05" localSheetId="10">Tags!$AH$48</definedName>
    <definedName name="DISCOP_3Q05">Tags_ols!$AH$48</definedName>
    <definedName name="DISCOP_3Q06" localSheetId="10">Tags!$AM$48</definedName>
    <definedName name="DISCOP_3Q06">Tags_ols!$AM$48</definedName>
    <definedName name="DISCOP_3Q07" localSheetId="10">Tags!$AR$48</definedName>
    <definedName name="DISCOP_3Q07">Tags_ols!$AR$48</definedName>
    <definedName name="DISCOP_3Q08" localSheetId="10">Tags!$AW$48</definedName>
    <definedName name="DISCOP_3Q08">Tags_ols!$AW$48</definedName>
    <definedName name="DISCOP_3Q09" localSheetId="10">Tags!$BB$48</definedName>
    <definedName name="DISCOP_3Q09">Tags_ols!$BB$48</definedName>
    <definedName name="DISCOP_3Q10" localSheetId="10">Tags!$BG$48</definedName>
    <definedName name="DISCOP_3Q10">Tags_ols!$BG$48</definedName>
    <definedName name="DISCOP_3Q11" localSheetId="10">Tags!$BL$48</definedName>
    <definedName name="DISCOP_3Q11">Tags_ols!$BL$48</definedName>
    <definedName name="DISCOP_3Q12" localSheetId="10">Tags!$BQ$48</definedName>
    <definedName name="DISCOP_3Q12">Tags_ols!$BQ$48</definedName>
    <definedName name="DISCOP_3Q13" localSheetId="10">Tags!$BV$48</definedName>
    <definedName name="DISCOP_3Q13">Tags_ols!$BV$48</definedName>
    <definedName name="DISCOP_3Q14" localSheetId="10">Tags!$CA$48</definedName>
    <definedName name="DISCOP_3Q14">Tags_ols!$CA$48</definedName>
    <definedName name="DISCOP_3Q15" localSheetId="10">Tags!$CF$48</definedName>
    <definedName name="DISCOP_3Q15">Tags_ols!$CF$48</definedName>
    <definedName name="DISCOP_3Q16" localSheetId="10">Tags!$CK$48</definedName>
    <definedName name="DISCOP_3Q16">Tags_ols!$CK$48</definedName>
    <definedName name="DISCOP_3Q17" localSheetId="10">Tags!$CP$48</definedName>
    <definedName name="DISCOP_3Q17">Tags_ols!$CP$48</definedName>
    <definedName name="DISCOP_3Q18" localSheetId="10">Tags!$CU$48</definedName>
    <definedName name="DISCOP_3Q18">Tags_ols!$CU$48</definedName>
    <definedName name="DISCOP_3Q19" localSheetId="10">Tags!$CZ$48</definedName>
    <definedName name="DISCOP_3Q19">Tags_ols!$CZ$48</definedName>
    <definedName name="DISCOP_3Q20" localSheetId="10">Tags!$DE$48</definedName>
    <definedName name="DISCOP_3Q20">Tags_ols!$DE$48</definedName>
    <definedName name="DISCOP_3Q21">Tags!$DJ$48</definedName>
    <definedName name="DISCOP_3Q22">Tags!$DO$48</definedName>
    <definedName name="DISCOP_3Q23">Tags!$DT$48</definedName>
    <definedName name="DISCOP_3Q24">Tags!$DY$48</definedName>
    <definedName name="DISCOP_4Q00" localSheetId="10">Tags!$J$48</definedName>
    <definedName name="DISCOP_4Q00">Tags_ols!$J$48</definedName>
    <definedName name="DISCOP_4Q01" localSheetId="10">Tags!$O$48</definedName>
    <definedName name="DISCOP_4Q01">Tags_ols!$O$48</definedName>
    <definedName name="DISCOP_4Q02" localSheetId="10">Tags!$T$48</definedName>
    <definedName name="DISCOP_4Q02">Tags_ols!$T$48</definedName>
    <definedName name="DISCOP_4Q03" localSheetId="10">Tags!$Y$48</definedName>
    <definedName name="DISCOP_4Q03">Tags_ols!$Y$48</definedName>
    <definedName name="DISCOP_4Q04" localSheetId="10">Tags!$AD$48</definedName>
    <definedName name="DISCOP_4Q04">Tags_ols!$AD$48</definedName>
    <definedName name="DISCOP_4Q05" localSheetId="10">Tags!$AI$48</definedName>
    <definedName name="DISCOP_4Q05">Tags_ols!$AI$48</definedName>
    <definedName name="DISCOP_4Q06" localSheetId="10">Tags!$AN$48</definedName>
    <definedName name="DISCOP_4Q06">Tags_ols!$AN$48</definedName>
    <definedName name="DISCOP_4Q07" localSheetId="10">Tags!$AS$48</definedName>
    <definedName name="DISCOP_4Q07">Tags_ols!$AS$48</definedName>
    <definedName name="DISCOP_4Q08" localSheetId="10">Tags!$AX$48</definedName>
    <definedName name="DISCOP_4Q08">Tags_ols!$AX$48</definedName>
    <definedName name="DISCOP_4Q09" localSheetId="10">Tags!$BC$48</definedName>
    <definedName name="DISCOP_4Q09">Tags_ols!$BC$48</definedName>
    <definedName name="DISCOP_4Q10" localSheetId="10">Tags!$BH$48</definedName>
    <definedName name="DISCOP_4Q10">Tags_ols!$BH$48</definedName>
    <definedName name="DISCOP_4Q11" localSheetId="10">Tags!$BM$48</definedName>
    <definedName name="DISCOP_4Q11">Tags_ols!$BM$48</definedName>
    <definedName name="DISCOP_4Q12" localSheetId="10">Tags!$BR$48</definedName>
    <definedName name="DISCOP_4Q12">Tags_ols!$BR$48</definedName>
    <definedName name="DISCOP_4Q13" localSheetId="10">Tags!$BW$48</definedName>
    <definedName name="DISCOP_4Q13">Tags_ols!$BW$48</definedName>
    <definedName name="DISCOP_4Q14" localSheetId="10">Tags!$CB$48</definedName>
    <definedName name="DISCOP_4Q14">Tags_ols!$CB$48</definedName>
    <definedName name="DISCOP_4Q15" localSheetId="10">Tags!$CG$48</definedName>
    <definedName name="DISCOP_4Q15">Tags_ols!$CG$48</definedName>
    <definedName name="DISCOP_4Q16" localSheetId="10">Tags!$CL$48</definedName>
    <definedName name="DISCOP_4Q16">Tags_ols!$CL$48</definedName>
    <definedName name="DISCOP_4Q17" localSheetId="10">Tags!$CQ$48</definedName>
    <definedName name="DISCOP_4Q17">Tags_ols!$CQ$48</definedName>
    <definedName name="DISCOP_4Q18" localSheetId="10">Tags!$CV$48</definedName>
    <definedName name="DISCOP_4Q18">Tags_ols!$CV$48</definedName>
    <definedName name="DISCOP_4Q19" localSheetId="10">Tags!$DA$48</definedName>
    <definedName name="DISCOP_4Q19">Tags_ols!$DA$48</definedName>
    <definedName name="DISCOP_4Q20" localSheetId="10">Tags!$DF$48</definedName>
    <definedName name="DISCOP_4Q20">Tags_ols!$DF$48</definedName>
    <definedName name="DISCOP_4Q21">Tags!$DK$48</definedName>
    <definedName name="DISCOP_4Q22">Tags!$DP$48</definedName>
    <definedName name="DISCOP_4Q23">Tags!$DU$48</definedName>
    <definedName name="DISCOP_4Q24">Tags!$DZ$48</definedName>
    <definedName name="Div_Method">#REF!</definedName>
    <definedName name="Dividends_Common_1995">Tags_ols!$B$340</definedName>
    <definedName name="Dividends_Common_1996">Tags_ols!$C$340</definedName>
    <definedName name="Dividends_Common_1997">Tags_ols!$D$340</definedName>
    <definedName name="Dividends_Common_1998">Tags_ols!$E$340</definedName>
    <definedName name="Dividends_Common_1999">Tags_ols!$F$340</definedName>
    <definedName name="DIVIDENDS_COMMON_1Q00" localSheetId="10">Tags!$G$340</definedName>
    <definedName name="Dividends_Common_1Q00">Tags_ols!$G$340</definedName>
    <definedName name="DIVIDENDS_COMMON_1Q01" localSheetId="10">Tags!$L$340</definedName>
    <definedName name="Dividends_Common_1Q01">Tags_ols!$L$340</definedName>
    <definedName name="DIVIDENDS_COMMON_1Q02" localSheetId="10">Tags!$Q$340</definedName>
    <definedName name="Dividends_Common_1Q02">Tags_ols!$Q$340</definedName>
    <definedName name="DIVIDENDS_COMMON_1Q03" localSheetId="10">Tags!$V$340</definedName>
    <definedName name="Dividends_Common_1Q03">Tags_ols!$V$340</definedName>
    <definedName name="DIVIDENDS_COMMON_1Q04" localSheetId="10">Tags!$AA$340</definedName>
    <definedName name="Dividends_Common_1Q04">Tags_ols!$AA$340</definedName>
    <definedName name="DIVIDENDS_COMMON_1Q05" localSheetId="10">Tags!$AF$340</definedName>
    <definedName name="Dividends_Common_1Q05">Tags_ols!$AF$340</definedName>
    <definedName name="DIVIDENDS_COMMON_1Q06" localSheetId="10">Tags!$AK$340</definedName>
    <definedName name="Dividends_Common_1Q06">Tags_ols!$AK$340</definedName>
    <definedName name="DIVIDENDS_COMMON_1Q07" localSheetId="10">Tags!$AP$340</definedName>
    <definedName name="Dividends_Common_1Q07">Tags_ols!$AP$340</definedName>
    <definedName name="DIVIDENDS_COMMON_1Q08" localSheetId="10">Tags!$AU$340</definedName>
    <definedName name="Dividends_Common_1Q08">Tags_ols!$AU$340</definedName>
    <definedName name="DIVIDENDS_COMMON_1Q09" localSheetId="10">Tags!$AZ$340</definedName>
    <definedName name="Dividends_Common_1Q09">Tags_ols!$AZ$340</definedName>
    <definedName name="DIVIDENDS_COMMON_1Q10" localSheetId="10">Tags!$BE$340</definedName>
    <definedName name="Dividends_Common_1Q10">Tags_ols!$BE$340</definedName>
    <definedName name="DIVIDENDS_COMMON_1Q11" localSheetId="10">Tags!$BJ$340</definedName>
    <definedName name="Dividends_Common_1Q11">Tags_ols!$BJ$340</definedName>
    <definedName name="DIVIDENDS_COMMON_1Q12" localSheetId="10">Tags!$BO$340</definedName>
    <definedName name="Dividends_Common_1Q12">Tags_ols!$BO$340</definedName>
    <definedName name="DIVIDENDS_COMMON_1Q13" localSheetId="10">Tags!$BT$340</definedName>
    <definedName name="Dividends_Common_1Q13">Tags_ols!$BT$340</definedName>
    <definedName name="DIVIDENDS_COMMON_1Q14" localSheetId="10">Tags!$BY$340</definedName>
    <definedName name="Dividends_Common_1Q14">Tags_ols!$BY$340</definedName>
    <definedName name="DIVIDENDS_COMMON_1Q15" localSheetId="10">Tags!$CD$340</definedName>
    <definedName name="Dividends_Common_1Q15">Tags_ols!$CD$340</definedName>
    <definedName name="DIVIDENDS_COMMON_1Q16" localSheetId="10">Tags!$CI$340</definedName>
    <definedName name="Dividends_Common_1Q16">Tags_ols!$CI$340</definedName>
    <definedName name="DIVIDENDS_COMMON_1Q17" localSheetId="10">Tags!$CN$340</definedName>
    <definedName name="Dividends_Common_1Q17">Tags_ols!$CN$340</definedName>
    <definedName name="DIVIDENDS_COMMON_1Q18" localSheetId="10">Tags!$CS$340</definedName>
    <definedName name="Dividends_Common_1Q18">Tags_ols!$CS$340</definedName>
    <definedName name="DIVIDENDS_COMMON_1Q19" localSheetId="10">Tags!$CX$340</definedName>
    <definedName name="Dividends_Common_1Q19">Tags_ols!$CX$340</definedName>
    <definedName name="DIVIDENDS_COMMON_1Q20" localSheetId="10">Tags!$DC$340</definedName>
    <definedName name="Dividends_Common_1Q20">Tags_ols!$DC$340</definedName>
    <definedName name="DIVIDENDS_COMMON_1Q21">Tags!$DH$340</definedName>
    <definedName name="DIVIDENDS_COMMON_1Q22">Tags!$DM$340</definedName>
    <definedName name="DIVIDENDS_COMMON_1Q23">Tags!$DR$340</definedName>
    <definedName name="DIVIDENDS_COMMON_1Q24">Tags!$DW$340</definedName>
    <definedName name="DIVIDENDS_COMMON_2000" localSheetId="10">Tags!$K$340</definedName>
    <definedName name="Dividends_Common_2000">Tags_ols!$K$340</definedName>
    <definedName name="DIVIDENDS_COMMON_2001" localSheetId="10">Tags!$P$340</definedName>
    <definedName name="Dividends_Common_2001">Tags_ols!$P$340</definedName>
    <definedName name="DIVIDENDS_COMMON_2002" localSheetId="10">Tags!$U$340</definedName>
    <definedName name="Dividends_Common_2002">Tags_ols!$U$340</definedName>
    <definedName name="DIVIDENDS_COMMON_2003" localSheetId="10">Tags!$Z$340</definedName>
    <definedName name="Dividends_Common_2003">Tags_ols!$Z$340</definedName>
    <definedName name="DIVIDENDS_COMMON_2004" localSheetId="10">Tags!$AE$340</definedName>
    <definedName name="Dividends_Common_2004">Tags_ols!$AE$340</definedName>
    <definedName name="DIVIDENDS_COMMON_2005" localSheetId="10">Tags!$AJ$340</definedName>
    <definedName name="Dividends_Common_2005">Tags_ols!$AJ$340</definedName>
    <definedName name="DIVIDENDS_COMMON_2006" localSheetId="10">Tags!$AO$340</definedName>
    <definedName name="Dividends_Common_2006">Tags_ols!$AO$340</definedName>
    <definedName name="DIVIDENDS_COMMON_2007" localSheetId="10">Tags!$AT$340</definedName>
    <definedName name="Dividends_Common_2007">Tags_ols!$AT$340</definedName>
    <definedName name="DIVIDENDS_COMMON_2008" localSheetId="10">Tags!$AY$340</definedName>
    <definedName name="Dividends_Common_2008">Tags_ols!$AY$340</definedName>
    <definedName name="DIVIDENDS_COMMON_2009" localSheetId="10">Tags!$BD$340</definedName>
    <definedName name="Dividends_Common_2009">Tags_ols!$BD$340</definedName>
    <definedName name="DIVIDENDS_COMMON_2010" localSheetId="10">Tags!$BI$340</definedName>
    <definedName name="Dividends_Common_2010">Tags_ols!$BI$340</definedName>
    <definedName name="DIVIDENDS_COMMON_2011" localSheetId="10">Tags!$BN$340</definedName>
    <definedName name="Dividends_Common_2011">Tags_ols!$BN$340</definedName>
    <definedName name="DIVIDENDS_COMMON_2012" localSheetId="10">Tags!$BS$340</definedName>
    <definedName name="Dividends_Common_2012">Tags_ols!$BS$340</definedName>
    <definedName name="DIVIDENDS_COMMON_2013" localSheetId="10">Tags!$BX$340</definedName>
    <definedName name="Dividends_Common_2013">Tags_ols!$BX$340</definedName>
    <definedName name="DIVIDENDS_COMMON_2014" localSheetId="10">Tags!$CC$340</definedName>
    <definedName name="Dividends_Common_2014">Tags_ols!$CC$340</definedName>
    <definedName name="DIVIDENDS_COMMON_2015" localSheetId="10">Tags!#REF!</definedName>
    <definedName name="Dividends_Common_2015">Tags!$CH$340</definedName>
    <definedName name="DIVIDENDS_COMMON_2016" localSheetId="10">Tags!$CM$340</definedName>
    <definedName name="Dividends_Common_2016">Tags_ols!$CM$340</definedName>
    <definedName name="DIVIDENDS_COMMON_2017" localSheetId="10">Tags!$CR$340</definedName>
    <definedName name="Dividends_Common_2017">Tags_ols!$CR$340</definedName>
    <definedName name="DIVIDENDS_COMMON_2018" localSheetId="10">Tags!$CW$340</definedName>
    <definedName name="Dividends_Common_2018">Tags_ols!$CW$340</definedName>
    <definedName name="DIVIDENDS_COMMON_2019" localSheetId="10">Tags!$DB$340</definedName>
    <definedName name="Dividends_Common_2019">Tags_ols!$DB$340</definedName>
    <definedName name="DIVIDENDS_COMMON_2020" localSheetId="10">Tags!$DG$340</definedName>
    <definedName name="Dividends_Common_2020">Tags_ols!$DG$340</definedName>
    <definedName name="DIVIDENDS_COMMON_2021">Tags!$DL$340</definedName>
    <definedName name="DIVIDENDS_COMMON_2022">Tags!$DQ$340</definedName>
    <definedName name="DIVIDENDS_COMMON_2023">Tags!$DV$340</definedName>
    <definedName name="DIVIDENDS_COMMON_2024">Tags!$EA$340</definedName>
    <definedName name="DIVIDENDS_COMMON_2Q00" localSheetId="10">Tags!$H$340</definedName>
    <definedName name="Dividends_Common_2Q00">Tags_ols!$H$340</definedName>
    <definedName name="DIVIDENDS_COMMON_2Q01" localSheetId="10">Tags!$M$340</definedName>
    <definedName name="Dividends_Common_2Q01">Tags_ols!$M$340</definedName>
    <definedName name="DIVIDENDS_COMMON_2Q02" localSheetId="10">Tags!$R$340</definedName>
    <definedName name="Dividends_Common_2Q02">Tags_ols!$R$340</definedName>
    <definedName name="DIVIDENDS_COMMON_2Q03" localSheetId="10">Tags!$W$340</definedName>
    <definedName name="Dividends_Common_2Q03">Tags_ols!$W$340</definedName>
    <definedName name="DIVIDENDS_COMMON_2Q04" localSheetId="10">Tags!$AB$340</definedName>
    <definedName name="Dividends_Common_2Q04">Tags_ols!$AB$340</definedName>
    <definedName name="DIVIDENDS_COMMON_2Q05" localSheetId="10">Tags!$AG$340</definedName>
    <definedName name="Dividends_Common_2Q05">Tags_ols!$AG$340</definedName>
    <definedName name="DIVIDENDS_COMMON_2Q06" localSheetId="10">Tags!$AL$340</definedName>
    <definedName name="Dividends_Common_2Q06">Tags_ols!$AL$340</definedName>
    <definedName name="DIVIDENDS_COMMON_2Q07" localSheetId="10">Tags!$AQ$340</definedName>
    <definedName name="Dividends_Common_2Q07">Tags_ols!$AQ$340</definedName>
    <definedName name="DIVIDENDS_COMMON_2Q08" localSheetId="10">Tags!$AV$340</definedName>
    <definedName name="Dividends_Common_2Q08">Tags_ols!$AV$340</definedName>
    <definedName name="DIVIDENDS_COMMON_2Q09" localSheetId="10">Tags!$BA$340</definedName>
    <definedName name="Dividends_Common_2Q09">Tags_ols!$BA$340</definedName>
    <definedName name="DIVIDENDS_COMMON_2Q10" localSheetId="10">Tags!$BF$340</definedName>
    <definedName name="Dividends_Common_2Q10">Tags_ols!$BF$340</definedName>
    <definedName name="DIVIDENDS_COMMON_2Q11" localSheetId="10">Tags!$BK$340</definedName>
    <definedName name="Dividends_Common_2Q11">Tags_ols!$BK$340</definedName>
    <definedName name="DIVIDENDS_COMMON_2Q12" localSheetId="10">Tags!$BP$340</definedName>
    <definedName name="Dividends_Common_2Q12">Tags_ols!$BP$340</definedName>
    <definedName name="DIVIDENDS_COMMON_2Q13" localSheetId="10">Tags!$BU$340</definedName>
    <definedName name="Dividends_Common_2Q13">Tags_ols!$BU$340</definedName>
    <definedName name="DIVIDENDS_COMMON_2Q14" localSheetId="10">Tags!$BZ$340</definedName>
    <definedName name="Dividends_Common_2Q14">Tags_ols!$BZ$340</definedName>
    <definedName name="DIVIDENDS_COMMON_2Q15" localSheetId="10">Tags!$CE$340</definedName>
    <definedName name="Dividends_Common_2Q15">Tags_ols!$CE$340</definedName>
    <definedName name="DIVIDENDS_COMMON_2Q16" localSheetId="10">Tags!$CJ$340</definedName>
    <definedName name="Dividends_Common_2Q16">Tags_ols!$CJ$340</definedName>
    <definedName name="DIVIDENDS_COMMON_2Q17" localSheetId="10">Tags!$CO$340</definedName>
    <definedName name="Dividends_Common_2Q17">Tags_ols!$CO$340</definedName>
    <definedName name="DIVIDENDS_COMMON_2Q18" localSheetId="10">Tags!$CT$340</definedName>
    <definedName name="Dividends_Common_2Q18">Tags_ols!$CT$340</definedName>
    <definedName name="DIVIDENDS_COMMON_2Q19" localSheetId="10">Tags!$CY$340</definedName>
    <definedName name="Dividends_Common_2Q19">Tags_ols!$CY$340</definedName>
    <definedName name="DIVIDENDS_COMMON_2Q20" localSheetId="10">Tags!$DD$340</definedName>
    <definedName name="Dividends_Common_2Q20">Tags_ols!$DD$340</definedName>
    <definedName name="DIVIDENDS_COMMON_2Q21">Tags!$DI$340</definedName>
    <definedName name="DIVIDENDS_COMMON_2Q22">Tags!$DN$340</definedName>
    <definedName name="DIVIDENDS_COMMON_2Q23">Tags!$DS$340</definedName>
    <definedName name="DIVIDENDS_COMMON_2Q24">Tags!$DX$340</definedName>
    <definedName name="DIVIDENDS_COMMON_3Q00" localSheetId="10">Tags!$I$340</definedName>
    <definedName name="Dividends_Common_3Q00">Tags_ols!$I$340</definedName>
    <definedName name="DIVIDENDS_COMMON_3Q01" localSheetId="10">Tags!$N$340</definedName>
    <definedName name="Dividends_Common_3Q01">Tags_ols!$N$340</definedName>
    <definedName name="DIVIDENDS_COMMON_3Q02" localSheetId="10">Tags!$S$340</definedName>
    <definedName name="Dividends_Common_3Q02">Tags_ols!$S$340</definedName>
    <definedName name="DIVIDENDS_COMMON_3Q03" localSheetId="10">Tags!$X$340</definedName>
    <definedName name="Dividends_Common_3Q03">Tags_ols!$X$340</definedName>
    <definedName name="DIVIDENDS_COMMON_3Q04" localSheetId="10">Tags!$AC$340</definedName>
    <definedName name="Dividends_Common_3Q04">Tags_ols!$AC$340</definedName>
    <definedName name="DIVIDENDS_COMMON_3Q05" localSheetId="10">Tags!$AH$340</definedName>
    <definedName name="Dividends_Common_3Q05">Tags_ols!$AH$340</definedName>
    <definedName name="DIVIDENDS_COMMON_3Q06" localSheetId="10">Tags!$AM$340</definedName>
    <definedName name="Dividends_Common_3Q06">Tags_ols!$AM$340</definedName>
    <definedName name="DIVIDENDS_COMMON_3Q07" localSheetId="10">Tags!$AR$340</definedName>
    <definedName name="Dividends_Common_3Q07">Tags_ols!$AR$340</definedName>
    <definedName name="DIVIDENDS_COMMON_3Q08" localSheetId="10">Tags!$AW$340</definedName>
    <definedName name="Dividends_Common_3Q08">Tags_ols!$AW$340</definedName>
    <definedName name="DIVIDENDS_COMMON_3Q09" localSheetId="10">Tags!$BB$340</definedName>
    <definedName name="Dividends_Common_3Q09">Tags_ols!$BB$340</definedName>
    <definedName name="DIVIDENDS_COMMON_3Q10" localSheetId="10">Tags!$BG$340</definedName>
    <definedName name="Dividends_Common_3Q10">Tags_ols!$BG$340</definedName>
    <definedName name="DIVIDENDS_COMMON_3Q11" localSheetId="10">Tags!$BL$340</definedName>
    <definedName name="Dividends_Common_3Q11">Tags_ols!$BL$340</definedName>
    <definedName name="DIVIDENDS_COMMON_3Q12" localSheetId="10">Tags!$BQ$340</definedName>
    <definedName name="Dividends_Common_3Q12">Tags_ols!$BQ$340</definedName>
    <definedName name="DIVIDENDS_COMMON_3Q13" localSheetId="10">Tags!$BV$340</definedName>
    <definedName name="Dividends_Common_3Q13">Tags_ols!$BV$340</definedName>
    <definedName name="DIVIDENDS_COMMON_3Q14" localSheetId="10">Tags!$CA$340</definedName>
    <definedName name="Dividends_Common_3Q14">Tags_ols!$CA$340</definedName>
    <definedName name="DIVIDENDS_COMMON_3Q15" localSheetId="10">Tags!$CF$340</definedName>
    <definedName name="Dividends_Common_3Q15">Tags_ols!$CF$340</definedName>
    <definedName name="DIVIDENDS_COMMON_3Q16" localSheetId="10">Tags!$CK$340</definedName>
    <definedName name="Dividends_Common_3Q16">Tags_ols!$CK$340</definedName>
    <definedName name="DIVIDENDS_COMMON_3Q17" localSheetId="10">Tags!$CP$340</definedName>
    <definedName name="Dividends_Common_3Q17">Tags_ols!$CP$340</definedName>
    <definedName name="DIVIDENDS_COMMON_3Q18" localSheetId="10">Tags!$CU$340</definedName>
    <definedName name="Dividends_Common_3Q18">Tags_ols!$CU$340</definedName>
    <definedName name="DIVIDENDS_COMMON_3Q19" localSheetId="10">Tags!$CZ$340</definedName>
    <definedName name="Dividends_Common_3Q19">Tags_ols!$CZ$340</definedName>
    <definedName name="DIVIDENDS_COMMON_3Q20" localSheetId="10">Tags!$DE$340</definedName>
    <definedName name="Dividends_Common_3Q20">Tags_ols!$DE$340</definedName>
    <definedName name="DIVIDENDS_COMMON_3Q21">Tags!$DJ$340</definedName>
    <definedName name="DIVIDENDS_COMMON_3Q22">Tags!$DO$340</definedName>
    <definedName name="DIVIDENDS_COMMON_3Q23">Tags!$DT$340</definedName>
    <definedName name="DIVIDENDS_COMMON_3Q24">Tags!$DY$340</definedName>
    <definedName name="DIVIDENDS_COMMON_4Q00" localSheetId="10">Tags!$J$340</definedName>
    <definedName name="Dividends_Common_4Q00">Tags_ols!$J$340</definedName>
    <definedName name="DIVIDENDS_COMMON_4Q01" localSheetId="10">Tags!$O$340</definedName>
    <definedName name="Dividends_Common_4Q01">Tags_ols!$O$340</definedName>
    <definedName name="DIVIDENDS_COMMON_4Q02" localSheetId="10">Tags!$T$340</definedName>
    <definedName name="Dividends_Common_4Q02">Tags_ols!$T$340</definedName>
    <definedName name="DIVIDENDS_COMMON_4Q03" localSheetId="10">Tags!$Y$340</definedName>
    <definedName name="Dividends_Common_4Q03">Tags_ols!$Y$340</definedName>
    <definedName name="DIVIDENDS_COMMON_4Q04" localSheetId="10">Tags!$AD$340</definedName>
    <definedName name="Dividends_Common_4Q04">Tags_ols!$AD$340</definedName>
    <definedName name="DIVIDENDS_COMMON_4Q05" localSheetId="10">Tags!$AI$340</definedName>
    <definedName name="Dividends_Common_4Q05">Tags_ols!$AI$340</definedName>
    <definedName name="DIVIDENDS_COMMON_4Q06" localSheetId="10">Tags!$AN$340</definedName>
    <definedName name="Dividends_Common_4Q06">Tags_ols!$AN$340</definedName>
    <definedName name="DIVIDENDS_COMMON_4Q07" localSheetId="10">Tags!$AS$340</definedName>
    <definedName name="Dividends_Common_4Q07">Tags_ols!$AS$340</definedName>
    <definedName name="DIVIDENDS_COMMON_4Q08" localSheetId="10">Tags!$AX$340</definedName>
    <definedName name="Dividends_Common_4Q08">Tags_ols!$AX$340</definedName>
    <definedName name="DIVIDENDS_COMMON_4Q09" localSheetId="10">Tags!$BC$340</definedName>
    <definedName name="Dividends_Common_4Q09">Tags_ols!$BC$340</definedName>
    <definedName name="DIVIDENDS_COMMON_4Q10" localSheetId="10">Tags!$BH$340</definedName>
    <definedName name="Dividends_Common_4Q10">Tags_ols!$BH$340</definedName>
    <definedName name="DIVIDENDS_COMMON_4Q11" localSheetId="10">Tags!$BM$340</definedName>
    <definedName name="Dividends_Common_4Q11">Tags_ols!$BM$340</definedName>
    <definedName name="DIVIDENDS_COMMON_4Q12" localSheetId="10">Tags!$BR$340</definedName>
    <definedName name="Dividends_Common_4Q12">Tags_ols!$BR$340</definedName>
    <definedName name="DIVIDENDS_COMMON_4Q13" localSheetId="10">Tags!$BW$340</definedName>
    <definedName name="Dividends_Common_4Q13">Tags_ols!$BW$340</definedName>
    <definedName name="DIVIDENDS_COMMON_4Q14" localSheetId="10">Tags!$CB$340</definedName>
    <definedName name="Dividends_Common_4Q14">Tags_ols!$CB$340</definedName>
    <definedName name="DIVIDENDS_COMMON_4Q15" localSheetId="10">Tags!$CG$340</definedName>
    <definedName name="Dividends_Common_4Q15">Tags_ols!$CG$340</definedName>
    <definedName name="DIVIDENDS_COMMON_4Q16" localSheetId="10">Tags!$CL$340</definedName>
    <definedName name="Dividends_Common_4Q16">Tags_ols!$CL$340</definedName>
    <definedName name="DIVIDENDS_COMMON_4Q17" localSheetId="10">Tags!$CQ$340</definedName>
    <definedName name="Dividends_Common_4Q17">Tags_ols!$CQ$340</definedName>
    <definedName name="DIVIDENDS_COMMON_4Q18" localSheetId="10">Tags!$CV$340</definedName>
    <definedName name="Dividends_Common_4Q18">Tags_ols!$CV$340</definedName>
    <definedName name="DIVIDENDS_COMMON_4Q19" localSheetId="10">Tags!$DA$340</definedName>
    <definedName name="Dividends_Common_4Q19">Tags_ols!$DA$340</definedName>
    <definedName name="DIVIDENDS_COMMON_4Q20" localSheetId="10">Tags!$DF$340</definedName>
    <definedName name="Dividends_Common_4Q20">Tags_ols!$DF$340</definedName>
    <definedName name="DIVIDENDS_COMMON_4Q21">Tags!$DK$340</definedName>
    <definedName name="DIVIDENDS_COMMON_4Q22">Tags!$DP$340</definedName>
    <definedName name="DIVIDENDS_COMMON_4Q23">Tags!$DU$340</definedName>
    <definedName name="DIVIDENDS_COMMON_4Q24">Tags!$DZ$340</definedName>
    <definedName name="Dividends_Preferred_1995">Tags_ols!$B$339</definedName>
    <definedName name="Dividends_Preferred_1996">Tags_ols!$C$339</definedName>
    <definedName name="Dividends_Preferred_1997">Tags_ols!$D$339</definedName>
    <definedName name="Dividends_Preferred_1998">Tags_ols!$E$339</definedName>
    <definedName name="Dividends_Preferred_1999">Tags_ols!$F$339</definedName>
    <definedName name="DIVIDENDS_PREFERRED_1Q00" localSheetId="10">Tags!$G$339</definedName>
    <definedName name="Dividends_Preferred_1Q00">Tags_ols!$G$339</definedName>
    <definedName name="DIVIDENDS_PREFERRED_1Q01" localSheetId="10">Tags!$L$339</definedName>
    <definedName name="Dividends_Preferred_1Q01">Tags_ols!$L$339</definedName>
    <definedName name="DIVIDENDS_PREFERRED_1Q02" localSheetId="10">Tags!$Q$339</definedName>
    <definedName name="Dividends_Preferred_1Q02">Tags_ols!$Q$339</definedName>
    <definedName name="DIVIDENDS_PREFERRED_1Q03" localSheetId="10">Tags!$V$339</definedName>
    <definedName name="Dividends_Preferred_1Q03">Tags_ols!$V$339</definedName>
    <definedName name="DIVIDENDS_PREFERRED_1Q04" localSheetId="10">Tags!$AA$339</definedName>
    <definedName name="Dividends_Preferred_1Q04">Tags_ols!$AA$339</definedName>
    <definedName name="DIVIDENDS_PREFERRED_1Q05" localSheetId="10">Tags!$AF$339</definedName>
    <definedName name="Dividends_Preferred_1Q05">Tags_ols!$AF$339</definedName>
    <definedName name="DIVIDENDS_PREFERRED_1Q06" localSheetId="10">Tags!$AK$339</definedName>
    <definedName name="Dividends_Preferred_1Q06">Tags_ols!$AK$339</definedName>
    <definedName name="DIVIDENDS_PREFERRED_1Q07" localSheetId="10">Tags!$AP$339</definedName>
    <definedName name="Dividends_Preferred_1Q07">Tags_ols!$AP$339</definedName>
    <definedName name="DIVIDENDS_PREFERRED_1Q08" localSheetId="10">Tags!$AU$339</definedName>
    <definedName name="Dividends_Preferred_1Q08">Tags_ols!$AU$339</definedName>
    <definedName name="DIVIDENDS_PREFERRED_1Q09" localSheetId="10">Tags!$AZ$339</definedName>
    <definedName name="Dividends_Preferred_1Q09">Tags_ols!$AZ$339</definedName>
    <definedName name="DIVIDENDS_PREFERRED_1Q10" localSheetId="10">Tags!$BE$339</definedName>
    <definedName name="Dividends_Preferred_1Q10">Tags_ols!$BE$339</definedName>
    <definedName name="DIVIDENDS_PREFERRED_1Q11" localSheetId="10">Tags!$BJ$339</definedName>
    <definedName name="Dividends_Preferred_1Q11">Tags_ols!$BJ$339</definedName>
    <definedName name="DIVIDENDS_PREFERRED_1Q12" localSheetId="10">Tags!$BO$339</definedName>
    <definedName name="Dividends_Preferred_1Q12">Tags_ols!$BO$339</definedName>
    <definedName name="DIVIDENDS_PREFERRED_1Q13" localSheetId="10">Tags!$BT$339</definedName>
    <definedName name="Dividends_Preferred_1Q13">Tags_ols!$BT$339</definedName>
    <definedName name="DIVIDENDS_PREFERRED_1Q14" localSheetId="10">Tags!$BY$339</definedName>
    <definedName name="Dividends_Preferred_1Q14">Tags_ols!$BY$339</definedName>
    <definedName name="DIVIDENDS_PREFERRED_1Q15" localSheetId="10">Tags!$CD$339</definedName>
    <definedName name="Dividends_Preferred_1Q15">Tags_ols!$CD$339</definedName>
    <definedName name="DIVIDENDS_PREFERRED_1Q16" localSheetId="10">Tags!$CI$339</definedName>
    <definedName name="Dividends_Preferred_1Q16">Tags_ols!$CI$339</definedName>
    <definedName name="DIVIDENDS_PREFERRED_1Q17" localSheetId="10">Tags!$CN$339</definedName>
    <definedName name="Dividends_Preferred_1Q17">Tags_ols!$CN$339</definedName>
    <definedName name="DIVIDENDS_PREFERRED_1Q18" localSheetId="10">Tags!$CS$339</definedName>
    <definedName name="Dividends_Preferred_1Q18">Tags_ols!$CS$339</definedName>
    <definedName name="DIVIDENDS_PREFERRED_1Q19" localSheetId="10">Tags!$CX$339</definedName>
    <definedName name="Dividends_Preferred_1Q19">Tags_ols!$CX$339</definedName>
    <definedName name="DIVIDENDS_PREFERRED_1Q20" localSheetId="10">Tags!$DC$339</definedName>
    <definedName name="Dividends_Preferred_1Q20">Tags_ols!$DC$339</definedName>
    <definedName name="DIVIDENDS_PREFERRED_1Q21">Tags!$DH$339</definedName>
    <definedName name="DIVIDENDS_PREFERRED_1Q22">Tags!$DM$339</definedName>
    <definedName name="DIVIDENDS_PREFERRED_1Q23">Tags!$DR$339</definedName>
    <definedName name="DIVIDENDS_PREFERRED_1Q24">Tags!$DW$339</definedName>
    <definedName name="DIVIDENDS_PREFERRED_2000" localSheetId="10">Tags!$K$339</definedName>
    <definedName name="Dividends_Preferred_2000">Tags_ols!$K$339</definedName>
    <definedName name="DIVIDENDS_PREFERRED_2001" localSheetId="10">Tags!$P$339</definedName>
    <definedName name="Dividends_Preferred_2001">Tags_ols!$P$339</definedName>
    <definedName name="DIVIDENDS_PREFERRED_2002" localSheetId="10">Tags!$U$339</definedName>
    <definedName name="Dividends_Preferred_2002">Tags_ols!$U$339</definedName>
    <definedName name="DIVIDENDS_PREFERRED_2003" localSheetId="10">Tags!$Z$339</definedName>
    <definedName name="Dividends_Preferred_2003">Tags_ols!$Z$339</definedName>
    <definedName name="DIVIDENDS_PREFERRED_2004" localSheetId="10">Tags!$AE$339</definedName>
    <definedName name="Dividends_Preferred_2004">Tags_ols!$AE$339</definedName>
    <definedName name="DIVIDENDS_PREFERRED_2005" localSheetId="10">Tags!$AJ$339</definedName>
    <definedName name="Dividends_Preferred_2005">Tags_ols!$AJ$339</definedName>
    <definedName name="DIVIDENDS_PREFERRED_2006" localSheetId="10">Tags!$AO$339</definedName>
    <definedName name="Dividends_Preferred_2006">Tags_ols!$AO$339</definedName>
    <definedName name="DIVIDENDS_PREFERRED_2007" localSheetId="10">Tags!$AT$339</definedName>
    <definedName name="Dividends_Preferred_2007">Tags_ols!$AT$339</definedName>
    <definedName name="DIVIDENDS_PREFERRED_2008" localSheetId="10">Tags!$AY$339</definedName>
    <definedName name="Dividends_Preferred_2008">Tags_ols!$AY$339</definedName>
    <definedName name="DIVIDENDS_PREFERRED_2009" localSheetId="10">Tags!$BD$339</definedName>
    <definedName name="Dividends_Preferred_2009">Tags_ols!$BD$339</definedName>
    <definedName name="DIVIDENDS_PREFERRED_2010" localSheetId="10">Tags!$BI$339</definedName>
    <definedName name="Dividends_Preferred_2010">Tags_ols!$BI$339</definedName>
    <definedName name="DIVIDENDS_PREFERRED_2011" localSheetId="10">Tags!$BN$339</definedName>
    <definedName name="Dividends_Preferred_2011">Tags_ols!$BN$339</definedName>
    <definedName name="DIVIDENDS_PREFERRED_2012" localSheetId="10">Tags!$BS$339</definedName>
    <definedName name="Dividends_Preferred_2012">Tags_ols!$BS$339</definedName>
    <definedName name="DIVIDENDS_PREFERRED_2013" localSheetId="10">Tags!$BX$339</definedName>
    <definedName name="Dividends_Preferred_2013">Tags_ols!$BX$339</definedName>
    <definedName name="DIVIDENDS_PREFERRED_2014" localSheetId="10">Tags!$CC$339</definedName>
    <definedName name="Dividends_Preferred_2014">Tags_ols!$CC$339</definedName>
    <definedName name="DIVIDENDS_PREFERRED_2015" localSheetId="10">Tags!#REF!</definedName>
    <definedName name="Dividends_Preferred_2015">Tags!$CH$339</definedName>
    <definedName name="DIVIDENDS_PREFERRED_2016" localSheetId="10">Tags!$CM$339</definedName>
    <definedName name="Dividends_Preferred_2016">Tags_ols!$CM$339</definedName>
    <definedName name="DIVIDENDS_PREFERRED_2017" localSheetId="10">Tags!$CR$339</definedName>
    <definedName name="Dividends_Preferred_2017">Tags_ols!$CR$339</definedName>
    <definedName name="DIVIDENDS_PREFERRED_2018" localSheetId="10">Tags!$CW$339</definedName>
    <definedName name="Dividends_Preferred_2018">Tags_ols!$CW$339</definedName>
    <definedName name="DIVIDENDS_PREFERRED_2019" localSheetId="10">Tags!$DB$339</definedName>
    <definedName name="Dividends_Preferred_2019">Tags_ols!$DB$339</definedName>
    <definedName name="DIVIDENDS_PREFERRED_2020" localSheetId="10">Tags!$DG$339</definedName>
    <definedName name="Dividends_Preferred_2020">Tags_ols!$DG$339</definedName>
    <definedName name="DIVIDENDS_PREFERRED_2021">Tags!$DL$339</definedName>
    <definedName name="DIVIDENDS_PREFERRED_2022">Tags!$DQ$339</definedName>
    <definedName name="DIVIDENDS_PREFERRED_2023">Tags!$DV$339</definedName>
    <definedName name="DIVIDENDS_PREFERRED_2024">Tags!$EA$339</definedName>
    <definedName name="DIVIDENDS_PREFERRED_2Q00" localSheetId="10">Tags!$H$339</definedName>
    <definedName name="Dividends_Preferred_2Q00">Tags_ols!$H$339</definedName>
    <definedName name="DIVIDENDS_PREFERRED_2Q01" localSheetId="10">Tags!$M$339</definedName>
    <definedName name="Dividends_Preferred_2Q01">Tags_ols!$M$339</definedName>
    <definedName name="DIVIDENDS_PREFERRED_2Q02" localSheetId="10">Tags!$R$339</definedName>
    <definedName name="Dividends_Preferred_2Q02">Tags_ols!$R$339</definedName>
    <definedName name="DIVIDENDS_PREFERRED_2Q03" localSheetId="10">Tags!$W$339</definedName>
    <definedName name="Dividends_Preferred_2Q03">Tags_ols!$W$339</definedName>
    <definedName name="DIVIDENDS_PREFERRED_2Q04" localSheetId="10">Tags!$AB$339</definedName>
    <definedName name="Dividends_Preferred_2Q04">Tags_ols!$AB$339</definedName>
    <definedName name="DIVIDENDS_PREFERRED_2Q05" localSheetId="10">Tags!$AG$339</definedName>
    <definedName name="Dividends_Preferred_2Q05">Tags_ols!$AG$339</definedName>
    <definedName name="DIVIDENDS_PREFERRED_2Q06" localSheetId="10">Tags!$AL$339</definedName>
    <definedName name="Dividends_Preferred_2Q06">Tags_ols!$AL$339</definedName>
    <definedName name="DIVIDENDS_PREFERRED_2Q07" localSheetId="10">Tags!$AQ$339</definedName>
    <definedName name="Dividends_Preferred_2Q07">Tags_ols!$AQ$339</definedName>
    <definedName name="DIVIDENDS_PREFERRED_2Q08" localSheetId="10">Tags!$AV$339</definedName>
    <definedName name="Dividends_Preferred_2Q08">Tags_ols!$AV$339</definedName>
    <definedName name="DIVIDENDS_PREFERRED_2Q09" localSheetId="10">Tags!$BA$339</definedName>
    <definedName name="Dividends_Preferred_2Q09">Tags_ols!$BA$339</definedName>
    <definedName name="DIVIDENDS_PREFERRED_2Q10" localSheetId="10">Tags!$BF$339</definedName>
    <definedName name="Dividends_Preferred_2Q10">Tags_ols!$BF$339</definedName>
    <definedName name="DIVIDENDS_PREFERRED_2Q11" localSheetId="10">Tags!$BK$339</definedName>
    <definedName name="Dividends_Preferred_2Q11">Tags_ols!$BK$339</definedName>
    <definedName name="DIVIDENDS_PREFERRED_2Q12" localSheetId="10">Tags!$BP$339</definedName>
    <definedName name="Dividends_Preferred_2Q12">Tags_ols!$BP$339</definedName>
    <definedName name="DIVIDENDS_PREFERRED_2Q13" localSheetId="10">Tags!$BU$339</definedName>
    <definedName name="Dividends_Preferred_2Q13">Tags_ols!$BU$339</definedName>
    <definedName name="DIVIDENDS_PREFERRED_2Q14" localSheetId="10">Tags!$BZ$339</definedName>
    <definedName name="Dividends_Preferred_2Q14">Tags_ols!$BZ$339</definedName>
    <definedName name="DIVIDENDS_PREFERRED_2Q15" localSheetId="10">Tags!$CE$339</definedName>
    <definedName name="Dividends_Preferred_2Q15">Tags_ols!$CE$339</definedName>
    <definedName name="DIVIDENDS_PREFERRED_2Q16" localSheetId="10">Tags!$CJ$339</definedName>
    <definedName name="Dividends_Preferred_2Q16">Tags_ols!$CJ$339</definedName>
    <definedName name="DIVIDENDS_PREFERRED_2Q17" localSheetId="10">Tags!$CO$339</definedName>
    <definedName name="Dividends_Preferred_2Q17">Tags_ols!$CO$339</definedName>
    <definedName name="DIVIDENDS_PREFERRED_2Q18" localSheetId="10">Tags!$CT$339</definedName>
    <definedName name="Dividends_Preferred_2Q18">Tags_ols!$CT$339</definedName>
    <definedName name="DIVIDENDS_PREFERRED_2Q19" localSheetId="10">Tags!$CY$339</definedName>
    <definedName name="Dividends_Preferred_2Q19">Tags_ols!$CY$339</definedName>
    <definedName name="DIVIDENDS_PREFERRED_2Q20" localSheetId="10">Tags!$DD$339</definedName>
    <definedName name="Dividends_Preferred_2Q20">Tags_ols!$DD$339</definedName>
    <definedName name="DIVIDENDS_PREFERRED_2Q21">Tags!$DI$339</definedName>
    <definedName name="DIVIDENDS_PREFERRED_2Q22">Tags!$DN$339</definedName>
    <definedName name="DIVIDENDS_PREFERRED_2Q23">Tags!$DS$339</definedName>
    <definedName name="DIVIDENDS_PREFERRED_2Q24">Tags!$DX$339</definedName>
    <definedName name="DIVIDENDS_PREFERRED_3Q00" localSheetId="10">Tags!$I$339</definedName>
    <definedName name="Dividends_Preferred_3Q00">Tags_ols!$I$339</definedName>
    <definedName name="DIVIDENDS_PREFERRED_3Q01" localSheetId="10">Tags!$N$339</definedName>
    <definedName name="Dividends_Preferred_3Q01">Tags_ols!$N$339</definedName>
    <definedName name="DIVIDENDS_PREFERRED_3Q02" localSheetId="10">Tags!$S$339</definedName>
    <definedName name="Dividends_Preferred_3Q02">Tags_ols!$S$339</definedName>
    <definedName name="DIVIDENDS_PREFERRED_3Q03" localSheetId="10">Tags!$X$339</definedName>
    <definedName name="Dividends_Preferred_3Q03">Tags_ols!$X$339</definedName>
    <definedName name="DIVIDENDS_PREFERRED_3Q04" localSheetId="10">Tags!$AC$339</definedName>
    <definedName name="Dividends_Preferred_3Q04">Tags_ols!$AC$339</definedName>
    <definedName name="DIVIDENDS_PREFERRED_3Q05" localSheetId="10">Tags!$AH$339</definedName>
    <definedName name="Dividends_Preferred_3Q05">Tags_ols!$AH$339</definedName>
    <definedName name="DIVIDENDS_PREFERRED_3Q06" localSheetId="10">Tags!$AM$339</definedName>
    <definedName name="Dividends_Preferred_3Q06">Tags_ols!$AM$339</definedName>
    <definedName name="DIVIDENDS_PREFERRED_3Q07" localSheetId="10">Tags!$AR$339</definedName>
    <definedName name="Dividends_Preferred_3Q07">Tags_ols!$AR$339</definedName>
    <definedName name="DIVIDENDS_PREFERRED_3Q08" localSheetId="10">Tags!$AW$339</definedName>
    <definedName name="Dividends_Preferred_3Q08">Tags_ols!$AW$339</definedName>
    <definedName name="DIVIDENDS_PREFERRED_3Q09" localSheetId="10">Tags!$BB$339</definedName>
    <definedName name="Dividends_Preferred_3Q09">Tags_ols!$BB$339</definedName>
    <definedName name="DIVIDENDS_PREFERRED_3Q10" localSheetId="10">Tags!$BG$339</definedName>
    <definedName name="Dividends_Preferred_3Q10">Tags_ols!$BG$339</definedName>
    <definedName name="DIVIDENDS_PREFERRED_3Q11" localSheetId="10">Tags!$BL$339</definedName>
    <definedName name="Dividends_Preferred_3Q11">Tags_ols!$BL$339</definedName>
    <definedName name="DIVIDENDS_PREFERRED_3Q12" localSheetId="10">Tags!$BQ$339</definedName>
    <definedName name="Dividends_Preferred_3Q12">Tags_ols!$BQ$339</definedName>
    <definedName name="DIVIDENDS_PREFERRED_3Q13" localSheetId="10">Tags!$BV$339</definedName>
    <definedName name="Dividends_Preferred_3Q13">Tags_ols!$BV$339</definedName>
    <definedName name="DIVIDENDS_PREFERRED_3Q14" localSheetId="10">Tags!$CA$339</definedName>
    <definedName name="Dividends_Preferred_3Q14">Tags_ols!$CA$339</definedName>
    <definedName name="DIVIDENDS_PREFERRED_3Q15" localSheetId="10">Tags!$CF$339</definedName>
    <definedName name="Dividends_Preferred_3Q15">Tags_ols!$CF$339</definedName>
    <definedName name="DIVIDENDS_PREFERRED_3Q16" localSheetId="10">Tags!$CK$339</definedName>
    <definedName name="Dividends_Preferred_3Q16">Tags_ols!$CK$339</definedName>
    <definedName name="DIVIDENDS_PREFERRED_3Q17" localSheetId="10">Tags!$CP$339</definedName>
    <definedName name="Dividends_Preferred_3Q17">Tags_ols!$CP$339</definedName>
    <definedName name="DIVIDENDS_PREFERRED_3Q18" localSheetId="10">Tags!$CU$339</definedName>
    <definedName name="Dividends_Preferred_3Q18">Tags_ols!$CU$339</definedName>
    <definedName name="DIVIDENDS_PREFERRED_3Q19" localSheetId="10">Tags!$CZ$339</definedName>
    <definedName name="Dividends_Preferred_3Q19">Tags_ols!$CZ$339</definedName>
    <definedName name="DIVIDENDS_PREFERRED_3Q20" localSheetId="10">Tags!$DE$339</definedName>
    <definedName name="Dividends_Preferred_3Q20">Tags_ols!$DE$339</definedName>
    <definedName name="DIVIDENDS_PREFERRED_3Q21">Tags!$DJ$339</definedName>
    <definedName name="DIVIDENDS_PREFERRED_3Q22">Tags!$DO$339</definedName>
    <definedName name="DIVIDENDS_PREFERRED_3Q23">Tags!$DT$339</definedName>
    <definedName name="DIVIDENDS_PREFERRED_3Q24">Tags!$DY$339</definedName>
    <definedName name="DIVIDENDS_PREFERRED_4Q00" localSheetId="10">Tags!$J$339</definedName>
    <definedName name="Dividends_Preferred_4Q00">Tags_ols!$J$339</definedName>
    <definedName name="DIVIDENDS_PREFERRED_4Q01" localSheetId="10">Tags!$O$339</definedName>
    <definedName name="Dividends_Preferred_4Q01">Tags_ols!$O$339</definedName>
    <definedName name="DIVIDENDS_PREFERRED_4Q02" localSheetId="10">Tags!$T$339</definedName>
    <definedName name="Dividends_Preferred_4Q02">Tags_ols!$T$339</definedName>
    <definedName name="DIVIDENDS_PREFERRED_4Q03" localSheetId="10">Tags!$Y$339</definedName>
    <definedName name="Dividends_Preferred_4Q03">Tags_ols!$Y$339</definedName>
    <definedName name="DIVIDENDS_PREFERRED_4Q04" localSheetId="10">Tags!$AD$339</definedName>
    <definedName name="Dividends_Preferred_4Q04">Tags_ols!$AD$339</definedName>
    <definedName name="DIVIDENDS_PREFERRED_4Q05" localSheetId="10">Tags!$AI$339</definedName>
    <definedName name="Dividends_Preferred_4Q05">Tags_ols!$AI$339</definedName>
    <definedName name="DIVIDENDS_PREFERRED_4Q06" localSheetId="10">Tags!$AN$339</definedName>
    <definedName name="Dividends_Preferred_4Q06">Tags_ols!$AN$339</definedName>
    <definedName name="DIVIDENDS_PREFERRED_4Q07" localSheetId="10">Tags!$AS$339</definedName>
    <definedName name="Dividends_Preferred_4Q07">Tags_ols!$AS$339</definedName>
    <definedName name="DIVIDENDS_PREFERRED_4Q08" localSheetId="10">Tags!$AX$339</definedName>
    <definedName name="Dividends_Preferred_4Q08">Tags_ols!$AX$339</definedName>
    <definedName name="DIVIDENDS_PREFERRED_4Q09" localSheetId="10">Tags!$BC$339</definedName>
    <definedName name="Dividends_Preferred_4Q09">Tags_ols!$BC$339</definedName>
    <definedName name="DIVIDENDS_PREFERRED_4Q10" localSheetId="10">Tags!$BH$339</definedName>
    <definedName name="Dividends_Preferred_4Q10">Tags_ols!$BH$339</definedName>
    <definedName name="DIVIDENDS_PREFERRED_4Q11" localSheetId="10">Tags!$BM$339</definedName>
    <definedName name="Dividends_Preferred_4Q11">Tags_ols!$BM$339</definedName>
    <definedName name="DIVIDENDS_PREFERRED_4Q12" localSheetId="10">Tags!$BR$339</definedName>
    <definedName name="Dividends_Preferred_4Q12">Tags_ols!$BR$339</definedName>
    <definedName name="DIVIDENDS_PREFERRED_4Q13" localSheetId="10">Tags!$BW$339</definedName>
    <definedName name="Dividends_Preferred_4Q13">Tags_ols!$BW$339</definedName>
    <definedName name="DIVIDENDS_PREFERRED_4Q14" localSheetId="10">Tags!$CB$339</definedName>
    <definedName name="Dividends_Preferred_4Q14">Tags_ols!$CB$339</definedName>
    <definedName name="DIVIDENDS_PREFERRED_4Q15" localSheetId="10">Tags!$CG$339</definedName>
    <definedName name="Dividends_Preferred_4Q15">Tags_ols!$CG$339</definedName>
    <definedName name="DIVIDENDS_PREFERRED_4Q16" localSheetId="10">Tags!$CL$339</definedName>
    <definedName name="Dividends_Preferred_4Q16">Tags_ols!$CL$339</definedName>
    <definedName name="DIVIDENDS_PREFERRED_4Q17" localSheetId="10">Tags!$CQ$339</definedName>
    <definedName name="Dividends_Preferred_4Q17">Tags_ols!$CQ$339</definedName>
    <definedName name="DIVIDENDS_PREFERRED_4Q18" localSheetId="10">Tags!$CV$339</definedName>
    <definedName name="Dividends_Preferred_4Q18">Tags_ols!$CV$339</definedName>
    <definedName name="DIVIDENDS_PREFERRED_4Q19" localSheetId="10">Tags!$DA$339</definedName>
    <definedName name="Dividends_Preferred_4Q19">Tags_ols!$DA$339</definedName>
    <definedName name="DIVIDENDS_PREFERRED_4Q20" localSheetId="10">Tags!$DF$339</definedName>
    <definedName name="Dividends_Preferred_4Q20">Tags_ols!$DF$339</definedName>
    <definedName name="DIVIDENDS_PREFERRED_4Q21">Tags!$DK$339</definedName>
    <definedName name="DIVIDENDS_PREFERRED_4Q22">Tags!$DP$339</definedName>
    <definedName name="DIVIDENDS_PREFERRED_4Q23">Tags!$DU$339</definedName>
    <definedName name="DIVIDENDS_PREFERRED_4Q24">Tags!$DZ$339</definedName>
    <definedName name="DocType" localSheetId="9">PPt</definedName>
    <definedName name="DocType" localSheetId="5">PPt</definedName>
    <definedName name="DocType">PPt</definedName>
    <definedName name="DTCCTC_1995">Tags_ols!$B$52</definedName>
    <definedName name="DTCCTC_1996">Tags_ols!$C$52</definedName>
    <definedName name="DTCCTC_1997">Tags_ols!$D$52</definedName>
    <definedName name="DTCCTC_1998">Tags_ols!$E$52</definedName>
    <definedName name="DTCCTC_1999">Tags_ols!$F$52</definedName>
    <definedName name="DTCCTC_1Q00" localSheetId="10">Tags!$G$52</definedName>
    <definedName name="DTCCTC_1Q00">Tags_ols!$G$52</definedName>
    <definedName name="DTCCTC_1Q01" localSheetId="10">Tags!$L$52</definedName>
    <definedName name="DTCCTC_1Q01">Tags_ols!$L$52</definedName>
    <definedName name="DTCCTC_1Q02" localSheetId="10">Tags!$Q$52</definedName>
    <definedName name="DTCCTC_1Q02">Tags_ols!$Q$52</definedName>
    <definedName name="DTCCTC_1Q03" localSheetId="10">Tags!$V$52</definedName>
    <definedName name="DTCCTC_1Q03">Tags_ols!$V$52</definedName>
    <definedName name="DTCCTC_1Q04" localSheetId="10">Tags!$AA$52</definedName>
    <definedName name="DTCCTC_1Q04">Tags_ols!$AA$52</definedName>
    <definedName name="DTCCTC_1Q05" localSheetId="10">Tags!$AF$52</definedName>
    <definedName name="DTCCTC_1Q05">Tags_ols!$AF$52</definedName>
    <definedName name="DTCCTC_1Q06" localSheetId="10">Tags!$AK$52</definedName>
    <definedName name="DTCCTC_1Q06">Tags_ols!$AK$52</definedName>
    <definedName name="DTCCTC_1Q07" localSheetId="10">Tags!$AP$52</definedName>
    <definedName name="DTCCTC_1Q07">Tags_ols!$AP$52</definedName>
    <definedName name="DTCCTC_1Q08" localSheetId="10">Tags!$AU$52</definedName>
    <definedName name="DTCCTC_1Q08">Tags_ols!$AU$52</definedName>
    <definedName name="DTCCTC_1Q09" localSheetId="10">Tags!$AZ$52</definedName>
    <definedName name="DTCCTC_1Q09">Tags_ols!$AZ$52</definedName>
    <definedName name="DTCCTC_1Q10" localSheetId="10">Tags!$BE$52</definedName>
    <definedName name="DTCCTC_1Q10">Tags_ols!$BE$52</definedName>
    <definedName name="DTCCTC_1Q11" localSheetId="10">Tags!$BJ$52</definedName>
    <definedName name="DTCCTC_1Q11">Tags_ols!$BJ$52</definedName>
    <definedName name="DTCCTC_1Q12" localSheetId="10">Tags!$BO$52</definedName>
    <definedName name="DTCCTC_1Q12">Tags_ols!$BO$52</definedName>
    <definedName name="DTCCTC_1Q13" localSheetId="10">Tags!$BT$52</definedName>
    <definedName name="DTCCTC_1Q13">Tags_ols!$BT$52</definedName>
    <definedName name="DTCCTC_1Q14" localSheetId="10">Tags!$BY$52</definedName>
    <definedName name="DTCCTC_1Q14">Tags_ols!$BY$52</definedName>
    <definedName name="DTCCTC_1Q15" localSheetId="10">Tags!$CD$52</definedName>
    <definedName name="DTCCTC_1Q15">Tags_ols!$CD$52</definedName>
    <definedName name="DTCCTC_1Q16" localSheetId="10">Tags!$CI$52</definedName>
    <definedName name="DTCCTC_1Q16">Tags_ols!$CI$52</definedName>
    <definedName name="DTCCTC_1Q17" localSheetId="10">Tags!$CN$52</definedName>
    <definedName name="DTCCTC_1Q17">Tags_ols!$CN$52</definedName>
    <definedName name="DTCCTC_1Q18" localSheetId="10">Tags!$CS$52</definedName>
    <definedName name="DTCCTC_1Q18">Tags_ols!$CS$52</definedName>
    <definedName name="DTCCTC_1Q19" localSheetId="10">Tags!$CX$52</definedName>
    <definedName name="DTCCTC_1Q19">Tags_ols!$CX$52</definedName>
    <definedName name="DTCCTC_1Q20" localSheetId="10">Tags!$DC$52</definedName>
    <definedName name="DTCCTC_1Q20">Tags_ols!$DC$52</definedName>
    <definedName name="DTCCTC_1Q21">Tags!$DH$52</definedName>
    <definedName name="DTCCTC_1Q22">Tags!$DM$52</definedName>
    <definedName name="DTCCTC_1Q23">Tags!$DR$52</definedName>
    <definedName name="DTCCTC_1Q24">Tags!$DW$52</definedName>
    <definedName name="DTCCTC_2000" localSheetId="10">Tags!$K$52</definedName>
    <definedName name="DTCCTC_2000">Tags_ols!$K$52</definedName>
    <definedName name="DTCCTC_2001" localSheetId="10">Tags!$P$52</definedName>
    <definedName name="DTCCTC_2001">Tags_ols!$P$52</definedName>
    <definedName name="DTCCTC_2002" localSheetId="10">Tags!$U$52</definedName>
    <definedName name="DTCCTC_2002">Tags_ols!$U$52</definedName>
    <definedName name="DTCCTC_2003" localSheetId="10">Tags!$Z$52</definedName>
    <definedName name="DTCCTC_2003">Tags_ols!$Z$52</definedName>
    <definedName name="DTCCTC_2004" localSheetId="10">Tags!$AE$52</definedName>
    <definedName name="DTCCTC_2004">Tags_ols!$AE$52</definedName>
    <definedName name="DTCCTC_2005" localSheetId="10">Tags!$AJ$52</definedName>
    <definedName name="DTCCTC_2005">Tags_ols!$AJ$52</definedName>
    <definedName name="DTCCTC_2006" localSheetId="10">Tags!$AO$52</definedName>
    <definedName name="DTCCTC_2006">Tags_ols!$AO$52</definedName>
    <definedName name="DTCCTC_2007" localSheetId="10">Tags!$AT$52</definedName>
    <definedName name="DTCCTC_2007">Tags_ols!$AT$52</definedName>
    <definedName name="DTCCTC_2008" localSheetId="10">Tags!$AY$52</definedName>
    <definedName name="DTCCTC_2008">Tags_ols!$AY$52</definedName>
    <definedName name="DTCCTC_2009" localSheetId="10">Tags!$BD$52</definedName>
    <definedName name="DTCCTC_2009">Tags_ols!$BD$52</definedName>
    <definedName name="DTCCTC_2010" localSheetId="10">Tags!$BI$52</definedName>
    <definedName name="DTCCTC_2010">Tags_ols!$BI$52</definedName>
    <definedName name="DTCCTC_2011" localSheetId="10">Tags!$BN$52</definedName>
    <definedName name="DTCCTC_2011">Tags_ols!$BN$52</definedName>
    <definedName name="DTCCTC_2012" localSheetId="10">Tags!$BS$52</definedName>
    <definedName name="DTCCTC_2012">Tags_ols!$BS$52</definedName>
    <definedName name="DTCCTC_2013" localSheetId="10">Tags!$BX$52</definedName>
    <definedName name="DTCCTC_2013">Tags_ols!$BX$52</definedName>
    <definedName name="DTCCTC_2014" localSheetId="10">Tags!$CC$52</definedName>
    <definedName name="DTCCTC_2014">Tags_ols!$CC$52</definedName>
    <definedName name="DTCCTC_2015" localSheetId="10">Tags!#REF!</definedName>
    <definedName name="DTCCTC_2015">Tags!$CH$52</definedName>
    <definedName name="DTCCTC_2016" localSheetId="10">Tags!$CM$52</definedName>
    <definedName name="DTCCTC_2016">Tags_ols!$CM$52</definedName>
    <definedName name="DTCCTC_2017" localSheetId="10">Tags!$CR$52</definedName>
    <definedName name="DTCCTC_2017">Tags_ols!$CR$52</definedName>
    <definedName name="DTCCTC_2018" localSheetId="10">Tags!$CW$52</definedName>
    <definedName name="DTCCTC_2018">Tags_ols!$CW$52</definedName>
    <definedName name="DTCCTC_2019" localSheetId="10">Tags!$DB$52</definedName>
    <definedName name="DTCCTC_2019">Tags_ols!$DB$52</definedName>
    <definedName name="DTCCTC_2020" localSheetId="10">Tags!$DG$52</definedName>
    <definedName name="DTCCTC_2020">Tags_ols!$DG$52</definedName>
    <definedName name="DTCCTC_2021">Tags!$DL$52</definedName>
    <definedName name="DTCCTC_2022">Tags!$DQ$52</definedName>
    <definedName name="DTCCTC_2023">Tags!$DV$52</definedName>
    <definedName name="DTCCTC_2024">Tags!$EA$52</definedName>
    <definedName name="DTCCTC_2Q00" localSheetId="10">Tags!$H$52</definedName>
    <definedName name="DTCCTC_2Q00">Tags_ols!$H$52</definedName>
    <definedName name="DTCCTC_2Q01" localSheetId="10">Tags!$M$52</definedName>
    <definedName name="DTCCTC_2Q01">Tags_ols!$M$52</definedName>
    <definedName name="DTCCTC_2Q02" localSheetId="10">Tags!$R$52</definedName>
    <definedName name="DTCCTC_2Q02">Tags_ols!$R$52</definedName>
    <definedName name="DTCCTC_2Q03" localSheetId="10">Tags!$W$52</definedName>
    <definedName name="DTCCTC_2Q03">Tags_ols!$W$52</definedName>
    <definedName name="DTCCTC_2Q04" localSheetId="10">Tags!$AB$52</definedName>
    <definedName name="DTCCTC_2Q04">Tags_ols!$AB$52</definedName>
    <definedName name="DTCCTC_2Q05" localSheetId="10">Tags!$AG$52</definedName>
    <definedName name="DTCCTC_2Q05">Tags_ols!$AG$52</definedName>
    <definedName name="DTCCTC_2Q06" localSheetId="10">Tags!$AL$52</definedName>
    <definedName name="DTCCTC_2Q06">Tags_ols!$AL$52</definedName>
    <definedName name="DTCCTC_2Q07" localSheetId="10">Tags!$AQ$52</definedName>
    <definedName name="DTCCTC_2Q07">Tags_ols!$AQ$52</definedName>
    <definedName name="DTCCTC_2Q08" localSheetId="10">Tags!$AV$52</definedName>
    <definedName name="DTCCTC_2Q08">Tags_ols!$AV$52</definedName>
    <definedName name="DTCCTC_2Q09" localSheetId="10">Tags!$BA$52</definedName>
    <definedName name="DTCCTC_2Q09">Tags_ols!$BA$52</definedName>
    <definedName name="DTCCTC_2Q10" localSheetId="10">Tags!$BF$52</definedName>
    <definedName name="DTCCTC_2Q10">Tags_ols!$BF$52</definedName>
    <definedName name="DTCCTC_2Q11" localSheetId="10">Tags!$BK$52</definedName>
    <definedName name="DTCCTC_2Q11">Tags_ols!$BK$52</definedName>
    <definedName name="DTCCTC_2Q12" localSheetId="10">Tags!$BP$52</definedName>
    <definedName name="DTCCTC_2Q12">Tags_ols!$BP$52</definedName>
    <definedName name="DTCCTC_2Q13" localSheetId="10">Tags!$BU$52</definedName>
    <definedName name="DTCCTC_2Q13">Tags_ols!$BU$52</definedName>
    <definedName name="DTCCTC_2Q14" localSheetId="10">Tags!$BZ$52</definedName>
    <definedName name="DTCCTC_2Q14">Tags_ols!$BZ$52</definedName>
    <definedName name="DTCCTC_2Q15" localSheetId="10">Tags!$CE$52</definedName>
    <definedName name="DTCCTC_2Q15">Tags_ols!$CE$52</definedName>
    <definedName name="DTCCTC_2Q16" localSheetId="10">Tags!$CJ$52</definedName>
    <definedName name="DTCCTC_2Q16">Tags_ols!$CJ$52</definedName>
    <definedName name="DTCCTC_2Q17" localSheetId="10">Tags!$CO$52</definedName>
    <definedName name="DTCCTC_2Q17">Tags_ols!$CO$52</definedName>
    <definedName name="DTCCTC_2Q18" localSheetId="10">Tags!$CT$52</definedName>
    <definedName name="DTCCTC_2Q18">Tags_ols!$CT$52</definedName>
    <definedName name="DTCCTC_2Q19" localSheetId="10">Tags!$CY$52</definedName>
    <definedName name="DTCCTC_2Q19">Tags_ols!$CY$52</definedName>
    <definedName name="DTCCTC_2Q20" localSheetId="10">Tags!$DD$52</definedName>
    <definedName name="DTCCTC_2Q20">Tags_ols!$DD$52</definedName>
    <definedName name="DTCCTC_2Q21">Tags!$DI$52</definedName>
    <definedName name="DTCCTC_2Q22">Tags!$DN$52</definedName>
    <definedName name="DTCCTC_2Q23">Tags!$DS$52</definedName>
    <definedName name="DTCCTC_2Q24">Tags!$DX$52</definedName>
    <definedName name="DTCCTC_3Q00" localSheetId="10">Tags!$I$52</definedName>
    <definedName name="DTCCTC_3Q00">Tags_ols!$I$52</definedName>
    <definedName name="DTCCTC_3Q01" localSheetId="10">Tags!$N$52</definedName>
    <definedName name="DTCCTC_3Q01">Tags_ols!$N$52</definedName>
    <definedName name="DTCCTC_3Q02" localSheetId="10">Tags!$S$52</definedName>
    <definedName name="DTCCTC_3Q02">Tags_ols!$S$52</definedName>
    <definedName name="DTCCTC_3Q03" localSheetId="10">Tags!$X$52</definedName>
    <definedName name="DTCCTC_3Q03">Tags_ols!$X$52</definedName>
    <definedName name="DTCCTC_3Q04" localSheetId="10">Tags!$AC$52</definedName>
    <definedName name="DTCCTC_3Q04">Tags_ols!$AC$52</definedName>
    <definedName name="DTCCTC_3Q05" localSheetId="10">Tags!$AH$52</definedName>
    <definedName name="DTCCTC_3Q05">Tags_ols!$AH$52</definedName>
    <definedName name="DTCCTC_3Q06" localSheetId="10">Tags!$AM$52</definedName>
    <definedName name="DTCCTC_3Q06">Tags_ols!$AM$52</definedName>
    <definedName name="DTCCTC_3Q07" localSheetId="10">Tags!$AR$52</definedName>
    <definedName name="DTCCTC_3Q07">Tags_ols!$AR$52</definedName>
    <definedName name="DTCCTC_3Q08" localSheetId="10">Tags!$AW$52</definedName>
    <definedName name="DTCCTC_3Q08">Tags_ols!$AW$52</definedName>
    <definedName name="DTCCTC_3Q09" localSheetId="10">Tags!$BB$52</definedName>
    <definedName name="DTCCTC_3Q09">Tags_ols!$BB$52</definedName>
    <definedName name="DTCCTC_3Q10" localSheetId="10">Tags!$BG$52</definedName>
    <definedName name="DTCCTC_3Q10">Tags_ols!$BG$52</definedName>
    <definedName name="DTCCTC_3Q11" localSheetId="10">Tags!$BL$52</definedName>
    <definedName name="DTCCTC_3Q11">Tags_ols!$BL$52</definedName>
    <definedName name="DTCCTC_3Q12" localSheetId="10">Tags!$BQ$52</definedName>
    <definedName name="DTCCTC_3Q12">Tags_ols!$BQ$52</definedName>
    <definedName name="DTCCTC_3Q13" localSheetId="10">Tags!$BV$52</definedName>
    <definedName name="DTCCTC_3Q13">Tags_ols!$BV$52</definedName>
    <definedName name="DTCCTC_3Q14" localSheetId="10">Tags!$CA$52</definedName>
    <definedName name="DTCCTC_3Q14">Tags_ols!$CA$52</definedName>
    <definedName name="DTCCTC_3Q15" localSheetId="10">Tags!$CF$52</definedName>
    <definedName name="DTCCTC_3Q15">Tags_ols!$CF$52</definedName>
    <definedName name="DTCCTC_3Q16" localSheetId="10">Tags!$CK$52</definedName>
    <definedName name="DTCCTC_3Q16">Tags_ols!$CK$52</definedName>
    <definedName name="DTCCTC_3Q17" localSheetId="10">Tags!$CP$52</definedName>
    <definedName name="DTCCTC_3Q17">Tags_ols!$CP$52</definedName>
    <definedName name="DTCCTC_3Q18" localSheetId="10">Tags!$CU$52</definedName>
    <definedName name="DTCCTC_3Q18">Tags_ols!$CU$52</definedName>
    <definedName name="DTCCTC_3Q19" localSheetId="10">Tags!$CZ$52</definedName>
    <definedName name="DTCCTC_3Q19">Tags_ols!$CZ$52</definedName>
    <definedName name="DTCCTC_3Q20" localSheetId="10">Tags!$DE$52</definedName>
    <definedName name="DTCCTC_3Q20">Tags_ols!$DE$52</definedName>
    <definedName name="DTCCTC_3Q21">Tags!$DJ$52</definedName>
    <definedName name="DTCCTC_3Q22">Tags!$DO$52</definedName>
    <definedName name="DTCCTC_3Q23">Tags!$DT$52</definedName>
    <definedName name="DTCCTC_3Q24">Tags!$DY$52</definedName>
    <definedName name="DTCCTC_4Q00" localSheetId="10">Tags!$J$52</definedName>
    <definedName name="DTCCTC_4Q00">Tags_ols!$J$52</definedName>
    <definedName name="DTCCTC_4Q01" localSheetId="10">Tags!$O$52</definedName>
    <definedName name="DTCCTC_4Q01">Tags_ols!$O$52</definedName>
    <definedName name="DTCCTC_4Q02" localSheetId="10">Tags!$T$52</definedName>
    <definedName name="DTCCTC_4Q02">Tags_ols!$T$52</definedName>
    <definedName name="DTCCTC_4Q03" localSheetId="10">Tags!$Y$52</definedName>
    <definedName name="DTCCTC_4Q03">Tags_ols!$Y$52</definedName>
    <definedName name="DTCCTC_4Q04" localSheetId="10">Tags!$AD$52</definedName>
    <definedName name="DTCCTC_4Q04">Tags_ols!$AD$52</definedName>
    <definedName name="DTCCTC_4Q05" localSheetId="10">Tags!$AI$52</definedName>
    <definedName name="DTCCTC_4Q05">Tags_ols!$AI$52</definedName>
    <definedName name="DTCCTC_4Q06" localSheetId="10">Tags!$AN$52</definedName>
    <definedName name="DTCCTC_4Q06">Tags_ols!$AN$52</definedName>
    <definedName name="DTCCTC_4Q07" localSheetId="10">Tags!$AS$52</definedName>
    <definedName name="DTCCTC_4Q07">Tags_ols!$AS$52</definedName>
    <definedName name="DTCCTC_4Q08" localSheetId="10">Tags!$AX$52</definedName>
    <definedName name="DTCCTC_4Q08">Tags_ols!$AX$52</definedName>
    <definedName name="DTCCTC_4Q09" localSheetId="10">Tags!$BC$52</definedName>
    <definedName name="DTCCTC_4Q09">Tags_ols!$BC$52</definedName>
    <definedName name="DTCCTC_4Q10" localSheetId="10">Tags!$BH$52</definedName>
    <definedName name="DTCCTC_4Q10">Tags_ols!$BH$52</definedName>
    <definedName name="DTCCTC_4Q11" localSheetId="10">Tags!$BM$52</definedName>
    <definedName name="DTCCTC_4Q11">Tags_ols!$BM$52</definedName>
    <definedName name="DTCCTC_4Q12" localSheetId="10">Tags!$BR$52</definedName>
    <definedName name="DTCCTC_4Q12">Tags_ols!$BR$52</definedName>
    <definedName name="DTCCTC_4Q13" localSheetId="10">Tags!$BW$52</definedName>
    <definedName name="DTCCTC_4Q13">Tags_ols!$BW$52</definedName>
    <definedName name="DTCCTC_4Q14" localSheetId="10">Tags!$CB$52</definedName>
    <definedName name="DTCCTC_4Q14">Tags_ols!$CB$52</definedName>
    <definedName name="DTCCTC_4Q15" localSheetId="10">Tags!$CG$52</definedName>
    <definedName name="DTCCTC_4Q15">Tags_ols!$CG$52</definedName>
    <definedName name="DTCCTC_4Q16" localSheetId="10">Tags!$CL$52</definedName>
    <definedName name="DTCCTC_4Q16">Tags_ols!$CL$52</definedName>
    <definedName name="DTCCTC_4Q17" localSheetId="10">Tags!$CQ$52</definedName>
    <definedName name="DTCCTC_4Q17">Tags_ols!$CQ$52</definedName>
    <definedName name="DTCCTC_4Q18" localSheetId="10">Tags!$CV$52</definedName>
    <definedName name="DTCCTC_4Q18">Tags_ols!$CV$52</definedName>
    <definedName name="DTCCTC_4Q19" localSheetId="10">Tags!$DA$52</definedName>
    <definedName name="DTCCTC_4Q19">Tags_ols!$DA$52</definedName>
    <definedName name="DTCCTC_4Q20" localSheetId="10">Tags!$DF$52</definedName>
    <definedName name="DTCCTC_4Q20">Tags_ols!$DF$52</definedName>
    <definedName name="DTCCTC_4Q21">Tags!$DK$52</definedName>
    <definedName name="DTCCTC_4Q22">Tags!$DP$52</definedName>
    <definedName name="DTCCTC_4Q23">Tags!$DU$52</definedName>
    <definedName name="DTCCTC_4Q24">Tags!$DZ$52</definedName>
    <definedName name="ENANAJ_1995">Tags_ols!$B$380</definedName>
    <definedName name="ENANAJ_1996">Tags_ols!$C$380</definedName>
    <definedName name="ENANAJ_1997">Tags_ols!$D$380</definedName>
    <definedName name="ENANAJ_1998">Tags_ols!$E$380</definedName>
    <definedName name="ENANAJ_1999">Tags_ols!$F$380</definedName>
    <definedName name="ENANAJ_1Q00" localSheetId="10">Tags!$G$380</definedName>
    <definedName name="ENANAJ_1Q00">Tags_ols!$G$380</definedName>
    <definedName name="ENANAJ_1Q01" localSheetId="10">Tags!$L$380</definedName>
    <definedName name="ENANAJ_1Q01">Tags_ols!$L$380</definedName>
    <definedName name="ENANAJ_1Q02" localSheetId="10">Tags!$Q$380</definedName>
    <definedName name="ENANAJ_1Q02">Tags_ols!$Q$380</definedName>
    <definedName name="ENANAJ_1Q03" localSheetId="10">Tags!$V$380</definedName>
    <definedName name="ENANAJ_1Q03">Tags_ols!$V$380</definedName>
    <definedName name="ENANAJ_1Q04" localSheetId="10">Tags!$AA$380</definedName>
    <definedName name="ENANAJ_1Q04">Tags_ols!$AA$380</definedName>
    <definedName name="ENANAJ_1Q05" localSheetId="10">Tags!$AF$380</definedName>
    <definedName name="ENANAJ_1Q05">Tags_ols!$AF$380</definedName>
    <definedName name="ENANAJ_1Q06" localSheetId="10">Tags!$AK$380</definedName>
    <definedName name="ENANAJ_1Q06">Tags_ols!$AK$380</definedName>
    <definedName name="ENANAJ_1Q07" localSheetId="10">Tags!$AP$380</definedName>
    <definedName name="ENANAJ_1Q07">Tags_ols!$AP$380</definedName>
    <definedName name="ENANAJ_1Q08" localSheetId="10">Tags!$AU$380</definedName>
    <definedName name="ENANAJ_1Q08">Tags_ols!$AU$380</definedName>
    <definedName name="ENANAJ_1Q09" localSheetId="10">Tags!$AZ$380</definedName>
    <definedName name="ENANAJ_1Q09">Tags_ols!$AZ$380</definedName>
    <definedName name="ENANAJ_1Q10" localSheetId="10">Tags!$BE$380</definedName>
    <definedName name="ENANAJ_1Q10">Tags_ols!$BE$380</definedName>
    <definedName name="ENANAJ_1Q11" localSheetId="10">Tags!$BJ$380</definedName>
    <definedName name="ENANAJ_1Q11">Tags_ols!$BJ$380</definedName>
    <definedName name="ENANAJ_1Q12" localSheetId="10">Tags!$BO$380</definedName>
    <definedName name="ENANAJ_1Q12">Tags_ols!$BO$380</definedName>
    <definedName name="ENANAJ_1Q13" localSheetId="10">Tags!$BT$380</definedName>
    <definedName name="ENANAJ_1Q13">Tags_ols!$BT$380</definedName>
    <definedName name="ENANAJ_1Q14" localSheetId="10">Tags!$BY$380</definedName>
    <definedName name="ENANAJ_1Q14">Tags_ols!$BY$380</definedName>
    <definedName name="ENANAJ_1Q15" localSheetId="10">Tags!$CD$380</definedName>
    <definedName name="ENANAJ_1Q15">Tags_ols!$CD$380</definedName>
    <definedName name="ENANAJ_1Q16" localSheetId="10">Tags!$CI$380</definedName>
    <definedName name="ENANAJ_1Q16">Tags_ols!$CI$380</definedName>
    <definedName name="ENANAJ_1Q17" localSheetId="10">Tags!$CN$380</definedName>
    <definedName name="ENANAJ_1Q17">Tags_ols!$CN$380</definedName>
    <definedName name="ENANAJ_1Q18" localSheetId="10">Tags!$CS$380</definedName>
    <definedName name="ENANAJ_1Q18">Tags_ols!$CS$380</definedName>
    <definedName name="ENANAJ_1Q19" localSheetId="10">Tags!$CX$380</definedName>
    <definedName name="ENANAJ_1Q19">Tags_ols!$CX$380</definedName>
    <definedName name="ENANAJ_1Q20" localSheetId="10">Tags!$DC$380</definedName>
    <definedName name="ENANAJ_1Q20">Tags_ols!$DC$380</definedName>
    <definedName name="ENANAJ_1Q21">Tags!$DH$380</definedName>
    <definedName name="ENANAJ_1Q22">Tags!$DM$380</definedName>
    <definedName name="ENANAJ_1Q23">Tags!$DR$380</definedName>
    <definedName name="ENANAJ_1Q24">Tags!$DW$380</definedName>
    <definedName name="ENANAJ_2000" localSheetId="10">Tags!$K$380</definedName>
    <definedName name="ENANAJ_2000">Tags_ols!$K$380</definedName>
    <definedName name="ENANAJ_2001" localSheetId="10">Tags!$P$380</definedName>
    <definedName name="ENANAJ_2001">Tags_ols!$P$380</definedName>
    <definedName name="ENANAJ_2002" localSheetId="10">Tags!$U$380</definedName>
    <definedName name="ENANAJ_2002">Tags_ols!$U$380</definedName>
    <definedName name="ENANAJ_2003" localSheetId="10">Tags!$Z$380</definedName>
    <definedName name="ENANAJ_2003">Tags_ols!$Z$380</definedName>
    <definedName name="ENANAJ_2004" localSheetId="10">Tags!$AE$380</definedName>
    <definedName name="ENANAJ_2004">Tags_ols!$AE$380</definedName>
    <definedName name="ENANAJ_2005" localSheetId="10">Tags!$AJ$380</definedName>
    <definedName name="ENANAJ_2005">Tags_ols!$AJ$380</definedName>
    <definedName name="ENANAJ_2006" localSheetId="10">Tags!$AO$380</definedName>
    <definedName name="ENANAJ_2006">Tags_ols!$AO$380</definedName>
    <definedName name="ENANAJ_2007" localSheetId="10">Tags!$AT$380</definedName>
    <definedName name="ENANAJ_2007">Tags_ols!$AT$380</definedName>
    <definedName name="ENANAJ_2008" localSheetId="10">Tags!$AY$380</definedName>
    <definedName name="ENANAJ_2008">Tags_ols!$AY$380</definedName>
    <definedName name="ENANAJ_2009" localSheetId="10">Tags!$BD$380</definedName>
    <definedName name="ENANAJ_2009">Tags_ols!$BD$380</definedName>
    <definedName name="ENANAJ_2010" localSheetId="10">Tags!$BI$380</definedName>
    <definedName name="ENANAJ_2010">Tags_ols!$BI$380</definedName>
    <definedName name="ENANAJ_2011" localSheetId="10">Tags!$BN$380</definedName>
    <definedName name="ENANAJ_2011">Tags_ols!$BN$380</definedName>
    <definedName name="ENANAJ_2012" localSheetId="10">Tags!$BS$380</definedName>
    <definedName name="ENANAJ_2012">Tags_ols!$BS$380</definedName>
    <definedName name="ENANAJ_2013" localSheetId="10">Tags!$BX$380</definedName>
    <definedName name="ENANAJ_2013">Tags_ols!$BX$380</definedName>
    <definedName name="ENANAJ_2014" localSheetId="10">Tags!$CC$380</definedName>
    <definedName name="ENANAJ_2014">Tags_ols!$CC$380</definedName>
    <definedName name="ENANAJ_2015" localSheetId="10">Tags!#REF!</definedName>
    <definedName name="ENANAJ_2015">Tags!$CH$380</definedName>
    <definedName name="ENANAJ_2016" localSheetId="10">Tags!$CM$380</definedName>
    <definedName name="ENANAJ_2016">Tags_ols!$CM$380</definedName>
    <definedName name="ENANAJ_2017" localSheetId="10">Tags!$CR$380</definedName>
    <definedName name="ENANAJ_2017">Tags_ols!$CR$380</definedName>
    <definedName name="ENANAJ_2018" localSheetId="10">Tags!$CW$380</definedName>
    <definedName name="ENANAJ_2018">Tags_ols!$CW$380</definedName>
    <definedName name="ENANAJ_2019" localSheetId="10">Tags!$DB$380</definedName>
    <definedName name="ENANAJ_2019">Tags_ols!$DB$380</definedName>
    <definedName name="ENANAJ_2020" localSheetId="10">Tags!$DG$380</definedName>
    <definedName name="ENANAJ_2020">Tags_ols!$DG$380</definedName>
    <definedName name="ENANAJ_2021">Tags!$DL$380</definedName>
    <definedName name="ENANAJ_2022">Tags!$DQ$380</definedName>
    <definedName name="ENANAJ_2023">Tags!$DV$380</definedName>
    <definedName name="ENANAJ_2024">Tags!$EA$380</definedName>
    <definedName name="ENANAJ_2Q00" localSheetId="10">Tags!$H$380</definedName>
    <definedName name="ENANAJ_2Q00">Tags_ols!$H$380</definedName>
    <definedName name="ENANAJ_2Q01" localSheetId="10">Tags!$M$380</definedName>
    <definedName name="ENANAJ_2Q01">Tags_ols!$M$380</definedName>
    <definedName name="ENANAJ_2Q02" localSheetId="10">Tags!$R$380</definedName>
    <definedName name="ENANAJ_2Q02">Tags_ols!$R$380</definedName>
    <definedName name="ENANAJ_2Q03" localSheetId="10">Tags!$W$380</definedName>
    <definedName name="ENANAJ_2Q03">Tags_ols!$W$380</definedName>
    <definedName name="ENANAJ_2Q04" localSheetId="10">Tags!$AB$380</definedName>
    <definedName name="ENANAJ_2Q04">Tags_ols!$AB$380</definedName>
    <definedName name="ENANAJ_2Q05" localSheetId="10">Tags!$AG$380</definedName>
    <definedName name="ENANAJ_2Q05">Tags_ols!$AG$380</definedName>
    <definedName name="ENANAJ_2Q06" localSheetId="10">Tags!$AL$380</definedName>
    <definedName name="ENANAJ_2Q06">Tags_ols!$AL$380</definedName>
    <definedName name="ENANAJ_2Q07" localSheetId="10">Tags!$AQ$380</definedName>
    <definedName name="ENANAJ_2Q07">Tags_ols!$AQ$380</definedName>
    <definedName name="ENANAJ_2Q08" localSheetId="10">Tags!$AV$380</definedName>
    <definedName name="ENANAJ_2Q08">Tags_ols!$AV$380</definedName>
    <definedName name="ENANAJ_2Q09" localSheetId="10">Tags!$BA$380</definedName>
    <definedName name="ENANAJ_2Q09">Tags_ols!$BA$380</definedName>
    <definedName name="ENANAJ_2Q10" localSheetId="10">Tags!$BF$380</definedName>
    <definedName name="ENANAJ_2Q10">Tags_ols!$BF$380</definedName>
    <definedName name="ENANAJ_2Q11" localSheetId="10">Tags!$BK$380</definedName>
    <definedName name="ENANAJ_2Q11">Tags_ols!$BK$380</definedName>
    <definedName name="ENANAJ_2Q12" localSheetId="10">Tags!$BP$380</definedName>
    <definedName name="ENANAJ_2Q12">Tags_ols!$BP$380</definedName>
    <definedName name="ENANAJ_2Q13" localSheetId="10">Tags!$BU$380</definedName>
    <definedName name="ENANAJ_2Q13">Tags_ols!$BU$380</definedName>
    <definedName name="ENANAJ_2Q14" localSheetId="10">Tags!$BZ$380</definedName>
    <definedName name="ENANAJ_2Q14">Tags_ols!$BZ$380</definedName>
    <definedName name="ENANAJ_2Q15" localSheetId="10">Tags!$CE$380</definedName>
    <definedName name="ENANAJ_2Q15">Tags_ols!$CE$380</definedName>
    <definedName name="ENANAJ_2Q16" localSheetId="10">Tags!$CJ$380</definedName>
    <definedName name="ENANAJ_2Q16">Tags_ols!$CJ$380</definedName>
    <definedName name="ENANAJ_2Q17" localSheetId="10">Tags!$CO$380</definedName>
    <definedName name="ENANAJ_2Q17">Tags_ols!$CO$380</definedName>
    <definedName name="ENANAJ_2Q18" localSheetId="10">Tags!$CT$380</definedName>
    <definedName name="ENANAJ_2Q18">Tags_ols!$CT$380</definedName>
    <definedName name="ENANAJ_2Q19" localSheetId="10">Tags!$CY$380</definedName>
    <definedName name="ENANAJ_2Q19">Tags_ols!$CY$380</definedName>
    <definedName name="ENANAJ_2Q20" localSheetId="10">Tags!$DD$380</definedName>
    <definedName name="ENANAJ_2Q20">Tags_ols!$DD$380</definedName>
    <definedName name="ENANAJ_2Q21">Tags!$DI$380</definedName>
    <definedName name="ENANAJ_2Q22">Tags!$DN$380</definedName>
    <definedName name="ENANAJ_2Q23">Tags!$DS$380</definedName>
    <definedName name="ENANAJ_2Q24">Tags!$DX$380</definedName>
    <definedName name="ENANAJ_3Q00" localSheetId="10">Tags!$I$380</definedName>
    <definedName name="ENANAJ_3Q00">Tags_ols!$I$380</definedName>
    <definedName name="ENANAJ_3Q01" localSheetId="10">Tags!$N$380</definedName>
    <definedName name="ENANAJ_3Q01">Tags_ols!$N$380</definedName>
    <definedName name="ENANAJ_3Q02" localSheetId="10">Tags!$S$380</definedName>
    <definedName name="ENANAJ_3Q02">Tags_ols!$S$380</definedName>
    <definedName name="ENANAJ_3Q03" localSheetId="10">Tags!$X$380</definedName>
    <definedName name="ENANAJ_3Q03">Tags_ols!$X$380</definedName>
    <definedName name="ENANAJ_3Q04" localSheetId="10">Tags!$AC$380</definedName>
    <definedName name="ENANAJ_3Q04">Tags_ols!$AC$380</definedName>
    <definedName name="ENANAJ_3Q05" localSheetId="10">Tags!$AH$380</definedName>
    <definedName name="ENANAJ_3Q05">Tags_ols!$AH$380</definedName>
    <definedName name="ENANAJ_3Q06" localSheetId="10">Tags!$AM$380</definedName>
    <definedName name="ENANAJ_3Q06">Tags_ols!$AM$380</definedName>
    <definedName name="ENANAJ_3Q07" localSheetId="10">Tags!$AR$380</definedName>
    <definedName name="ENANAJ_3Q07">Tags_ols!$AR$380</definedName>
    <definedName name="ENANAJ_3Q08" localSheetId="10">Tags!$AW$380</definedName>
    <definedName name="ENANAJ_3Q08">Tags_ols!$AW$380</definedName>
    <definedName name="ENANAJ_3Q09" localSheetId="10">Tags!$BB$380</definedName>
    <definedName name="ENANAJ_3Q09">Tags_ols!$BB$380</definedName>
    <definedName name="ENANAJ_3Q10" localSheetId="10">Tags!$BG$380</definedName>
    <definedName name="ENANAJ_3Q10">Tags_ols!$BG$380</definedName>
    <definedName name="ENANAJ_3Q11" localSheetId="10">Tags!$BL$380</definedName>
    <definedName name="ENANAJ_3Q11">Tags_ols!$BL$380</definedName>
    <definedName name="ENANAJ_3Q12" localSheetId="10">Tags!$BQ$380</definedName>
    <definedName name="ENANAJ_3Q12">Tags_ols!$BQ$380</definedName>
    <definedName name="ENANAJ_3Q13" localSheetId="10">Tags!$BV$380</definedName>
    <definedName name="ENANAJ_3Q13">Tags_ols!$BV$380</definedName>
    <definedName name="ENANAJ_3Q14" localSheetId="10">Tags!$CA$380</definedName>
    <definedName name="ENANAJ_3Q14">Tags_ols!$CA$380</definedName>
    <definedName name="ENANAJ_3Q15" localSheetId="10">Tags!$CF$380</definedName>
    <definedName name="ENANAJ_3Q15">Tags_ols!$CF$380</definedName>
    <definedName name="ENANAJ_3Q16" localSheetId="10">Tags!$CK$380</definedName>
    <definedName name="ENANAJ_3Q16">Tags_ols!$CK$380</definedName>
    <definedName name="ENANAJ_3Q17" localSheetId="10">Tags!$CP$380</definedName>
    <definedName name="ENANAJ_3Q17">Tags_ols!$CP$380</definedName>
    <definedName name="ENANAJ_3Q18" localSheetId="10">Tags!$CU$380</definedName>
    <definedName name="ENANAJ_3Q18">Tags_ols!$CU$380</definedName>
    <definedName name="ENANAJ_3Q19" localSheetId="10">Tags!$CZ$380</definedName>
    <definedName name="ENANAJ_3Q19">Tags_ols!$CZ$380</definedName>
    <definedName name="ENANAJ_3Q20" localSheetId="10">Tags!$DE$380</definedName>
    <definedName name="ENANAJ_3Q20">Tags_ols!$DE$380</definedName>
    <definedName name="ENANAJ_3Q21">Tags!$DJ$380</definedName>
    <definedName name="ENANAJ_3Q22">Tags!$DO$380</definedName>
    <definedName name="ENANAJ_3Q23">Tags!$DT$380</definedName>
    <definedName name="ENANAJ_3Q24">Tags!$DY$380</definedName>
    <definedName name="ENANAJ_4Q00" localSheetId="10">Tags!$J$380</definedName>
    <definedName name="ENANAJ_4Q00">Tags_ols!$J$380</definedName>
    <definedName name="ENANAJ_4Q01" localSheetId="10">Tags!$O$380</definedName>
    <definedName name="ENANAJ_4Q01">Tags_ols!$O$380</definedName>
    <definedName name="ENANAJ_4Q02" localSheetId="10">Tags!$T$380</definedName>
    <definedName name="ENANAJ_4Q02">Tags_ols!$T$380</definedName>
    <definedName name="ENANAJ_4Q03" localSheetId="10">Tags!$Y$380</definedName>
    <definedName name="ENANAJ_4Q03">Tags_ols!$Y$380</definedName>
    <definedName name="ENANAJ_4Q04" localSheetId="10">Tags!$AD$380</definedName>
    <definedName name="ENANAJ_4Q04">Tags_ols!$AD$380</definedName>
    <definedName name="ENANAJ_4Q05" localSheetId="10">Tags!$AI$380</definedName>
    <definedName name="ENANAJ_4Q05">Tags_ols!$AI$380</definedName>
    <definedName name="ENANAJ_4Q06" localSheetId="10">Tags!$AN$380</definedName>
    <definedName name="ENANAJ_4Q06">Tags_ols!$AN$380</definedName>
    <definedName name="ENANAJ_4Q07" localSheetId="10">Tags!$AS$380</definedName>
    <definedName name="ENANAJ_4Q07">Tags_ols!$AS$380</definedName>
    <definedName name="ENANAJ_4Q08" localSheetId="10">Tags!$AX$380</definedName>
    <definedName name="ENANAJ_4Q08">Tags_ols!$AX$380</definedName>
    <definedName name="ENANAJ_4Q09" localSheetId="10">Tags!$BC$380</definedName>
    <definedName name="ENANAJ_4Q09">Tags_ols!$BC$380</definedName>
    <definedName name="ENANAJ_4Q10" localSheetId="10">Tags!$BH$380</definedName>
    <definedName name="ENANAJ_4Q10">Tags_ols!$BH$380</definedName>
    <definedName name="ENANAJ_4Q11" localSheetId="10">Tags!$BM$380</definedName>
    <definedName name="ENANAJ_4Q11">Tags_ols!$BM$380</definedName>
    <definedName name="ENANAJ_4Q12" localSheetId="10">Tags!$BR$380</definedName>
    <definedName name="ENANAJ_4Q12">Tags_ols!$BR$380</definedName>
    <definedName name="ENANAJ_4Q13" localSheetId="10">Tags!$BW$380</definedName>
    <definedName name="ENANAJ_4Q13">Tags_ols!$BW$380</definedName>
    <definedName name="ENANAJ_4Q14" localSheetId="10">Tags!$CB$380</definedName>
    <definedName name="ENANAJ_4Q14">Tags_ols!$CB$380</definedName>
    <definedName name="ENANAJ_4Q15" localSheetId="10">Tags!$CG$380</definedName>
    <definedName name="ENANAJ_4Q15">Tags_ols!$CG$380</definedName>
    <definedName name="ENANAJ_4Q16" localSheetId="10">Tags!$CL$380</definedName>
    <definedName name="ENANAJ_4Q16">Tags_ols!$CL$380</definedName>
    <definedName name="ENANAJ_4Q17" localSheetId="10">Tags!$CQ$380</definedName>
    <definedName name="ENANAJ_4Q17">Tags_ols!$CQ$380</definedName>
    <definedName name="ENANAJ_4Q18" localSheetId="10">Tags!$CV$380</definedName>
    <definedName name="ENANAJ_4Q18">Tags_ols!$CV$380</definedName>
    <definedName name="ENANAJ_4Q19" localSheetId="10">Tags!$DA$380</definedName>
    <definedName name="ENANAJ_4Q19">Tags_ols!$DA$380</definedName>
    <definedName name="ENANAJ_4Q20" localSheetId="10">Tags!$DF$380</definedName>
    <definedName name="ENANAJ_4Q20">Tags_ols!$DF$380</definedName>
    <definedName name="ENANAJ_4Q21">Tags!$DK$380</definedName>
    <definedName name="ENANAJ_4Q22">Tags!$DP$380</definedName>
    <definedName name="ENANAJ_4Q23">Tags!$DU$380</definedName>
    <definedName name="ENANAJ_4Q24">Tags!$DZ$380</definedName>
    <definedName name="endcell">#REF!</definedName>
    <definedName name="EndDate">#REF!</definedName>
    <definedName name="EndDate2">#REF!</definedName>
    <definedName name="EndDate3">#REF!</definedName>
    <definedName name="EndDate4">#REF!</definedName>
    <definedName name="EPEFIA_1995">Tags_ols!$B$42</definedName>
    <definedName name="EPEFIA_1996">Tags_ols!$C$42</definedName>
    <definedName name="EPEFIA_1997">Tags_ols!$D$42</definedName>
    <definedName name="EPEFIA_1998">Tags_ols!$E$42</definedName>
    <definedName name="EPEFIA_1999">Tags_ols!$F$42</definedName>
    <definedName name="EPEFIA_1Q00" localSheetId="10">Tags!$G$42</definedName>
    <definedName name="EPEFIA_1Q00">Tags_ols!$G$42</definedName>
    <definedName name="EPEFIA_1Q01" localSheetId="10">Tags!$L$42</definedName>
    <definedName name="EPEFIA_1Q01">Tags_ols!$L$42</definedName>
    <definedName name="EPEFIA_1Q02" localSheetId="10">Tags!$Q$42</definedName>
    <definedName name="EPEFIA_1Q02">Tags_ols!$Q$42</definedName>
    <definedName name="EPEFIA_1Q03" localSheetId="10">Tags!$V$42</definedName>
    <definedName name="EPEFIA_1Q03">Tags_ols!$V$42</definedName>
    <definedName name="EPEFIA_1Q04" localSheetId="10">Tags!$AA$42</definedName>
    <definedName name="EPEFIA_1Q04">Tags_ols!$AA$42</definedName>
    <definedName name="EPEFIA_1Q05" localSheetId="10">Tags!$AF$42</definedName>
    <definedName name="EPEFIA_1Q05">Tags_ols!$AF$42</definedName>
    <definedName name="EPEFIA_1Q06" localSheetId="10">Tags!$AK$42</definedName>
    <definedName name="EPEFIA_1Q06">Tags_ols!$AK$42</definedName>
    <definedName name="EPEFIA_1Q07" localSheetId="10">Tags!$AP$42</definedName>
    <definedName name="EPEFIA_1Q07">Tags_ols!$AP$42</definedName>
    <definedName name="EPEFIA_1Q08" localSheetId="10">Tags!$AU$42</definedName>
    <definedName name="EPEFIA_1Q08">Tags_ols!$AU$42</definedName>
    <definedName name="EPEFIA_1Q09" localSheetId="10">Tags!$AZ$42</definedName>
    <definedName name="EPEFIA_1Q09">Tags_ols!$AZ$42</definedName>
    <definedName name="EPEFIA_1Q10" localSheetId="10">Tags!$BE$42</definedName>
    <definedName name="EPEFIA_1Q10">Tags_ols!$BE$42</definedName>
    <definedName name="EPEFIA_1Q11" localSheetId="10">Tags!$BJ$42</definedName>
    <definedName name="EPEFIA_1Q11">Tags_ols!$BJ$42</definedName>
    <definedName name="EPEFIA_1Q12" localSheetId="10">Tags!$BO$42</definedName>
    <definedName name="EPEFIA_1Q12">Tags_ols!$BO$42</definedName>
    <definedName name="EPEFIA_1Q13" localSheetId="10">Tags!$BT$42</definedName>
    <definedName name="EPEFIA_1Q13">Tags_ols!$BT$42</definedName>
    <definedName name="EPEFIA_1Q14" localSheetId="10">Tags!$BY$42</definedName>
    <definedName name="EPEFIA_1Q14">Tags_ols!$BY$42</definedName>
    <definedName name="EPEFIA_1Q15" localSheetId="10">Tags!$CD$42</definedName>
    <definedName name="EPEFIA_1Q15">Tags_ols!$CD$42</definedName>
    <definedName name="EPEFIA_1Q16" localSheetId="10">Tags!$CI$42</definedName>
    <definedName name="EPEFIA_1Q16">Tags_ols!$CI$42</definedName>
    <definedName name="EPEFIA_1Q17" localSheetId="10">Tags!$CN$42</definedName>
    <definedName name="EPEFIA_1Q17">Tags_ols!$CN$42</definedName>
    <definedName name="EPEFIA_1Q18" localSheetId="10">Tags!$CS$42</definedName>
    <definedName name="EPEFIA_1Q18">Tags_ols!$CS$42</definedName>
    <definedName name="EPEFIA_1Q19" localSheetId="10">Tags!$CX$42</definedName>
    <definedName name="EPEFIA_1Q19">Tags_ols!$CX$42</definedName>
    <definedName name="EPEFIA_1Q20" localSheetId="10">Tags!$DC$42</definedName>
    <definedName name="EPEFIA_1Q20">Tags_ols!$DC$42</definedName>
    <definedName name="EPEFIA_1Q21">Tags!$DH$42</definedName>
    <definedName name="EPEFIA_1Q22">Tags!$DM$42</definedName>
    <definedName name="EPEFIA_1Q23">Tags!$DR$42</definedName>
    <definedName name="EPEFIA_1Q24">Tags!$DW$42</definedName>
    <definedName name="EPEFIA_2000" localSheetId="10">Tags!$K$42</definedName>
    <definedName name="EPEFIA_2000">Tags_ols!$K$42</definedName>
    <definedName name="EPEFIA_2001" localSheetId="10">Tags!$P$42</definedName>
    <definedName name="EPEFIA_2001">Tags_ols!$P$42</definedName>
    <definedName name="EPEFIA_2002" localSheetId="10">Tags!$U$42</definedName>
    <definedName name="EPEFIA_2002">Tags_ols!$U$42</definedName>
    <definedName name="EPEFIA_2003" localSheetId="10">Tags!$Z$42</definedName>
    <definedName name="EPEFIA_2003">Tags_ols!$Z$42</definedName>
    <definedName name="EPEFIA_2004" localSheetId="10">Tags!$AE$42</definedName>
    <definedName name="EPEFIA_2004">Tags_ols!$AE$42</definedName>
    <definedName name="EPEFIA_2005" localSheetId="10">Tags!$AJ$42</definedName>
    <definedName name="EPEFIA_2005">Tags_ols!$AJ$42</definedName>
    <definedName name="EPEFIA_2006" localSheetId="10">Tags!$AO$42</definedName>
    <definedName name="EPEFIA_2006">Tags_ols!$AO$42</definedName>
    <definedName name="EPEFIA_2007" localSheetId="10">Tags!$AT$42</definedName>
    <definedName name="EPEFIA_2007">Tags_ols!$AT$42</definedName>
    <definedName name="EPEFIA_2008" localSheetId="10">Tags!$AY$42</definedName>
    <definedName name="EPEFIA_2008">Tags_ols!$AY$42</definedName>
    <definedName name="EPEFIA_2009" localSheetId="10">Tags!$BD$42</definedName>
    <definedName name="EPEFIA_2009">Tags_ols!$BD$42</definedName>
    <definedName name="EPEFIA_2010" localSheetId="10">Tags!$BI$42</definedName>
    <definedName name="EPEFIA_2010">Tags_ols!$BI$42</definedName>
    <definedName name="EPEFIA_2011" localSheetId="10">Tags!$BN$42</definedName>
    <definedName name="EPEFIA_2011">Tags_ols!$BN$42</definedName>
    <definedName name="EPEFIA_2012" localSheetId="10">Tags!$BS$42</definedName>
    <definedName name="EPEFIA_2012">Tags_ols!$BS$42</definedName>
    <definedName name="EPEFIA_2013" localSheetId="10">Tags!$BX$42</definedName>
    <definedName name="EPEFIA_2013">Tags_ols!$BX$42</definedName>
    <definedName name="EPEFIA_2014" localSheetId="10">Tags!$CC$42</definedName>
    <definedName name="EPEFIA_2014">Tags_ols!$CC$42</definedName>
    <definedName name="EPEFIA_2015" localSheetId="10">Tags!#REF!</definedName>
    <definedName name="EPEFIA_2015">Tags!$CH$42</definedName>
    <definedName name="EPEFIA_2016" localSheetId="10">Tags!$CM$42</definedName>
    <definedName name="EPEFIA_2016">Tags_ols!$CM$42</definedName>
    <definedName name="EPEFIA_2017" localSheetId="10">Tags!$CR$42</definedName>
    <definedName name="EPEFIA_2017">Tags_ols!$CR$42</definedName>
    <definedName name="EPEFIA_2018" localSheetId="10">Tags!$CW$42</definedName>
    <definedName name="EPEFIA_2018">Tags_ols!$CW$42</definedName>
    <definedName name="EPEFIA_2019" localSheetId="10">Tags!$DB$42</definedName>
    <definedName name="EPEFIA_2019">Tags_ols!$DB$42</definedName>
    <definedName name="EPEFIA_2020" localSheetId="10">Tags!$DG$42</definedName>
    <definedName name="EPEFIA_2020">Tags_ols!$DG$42</definedName>
    <definedName name="EPEFIA_2021">Tags!$DL$42</definedName>
    <definedName name="EPEFIA_2022">Tags!$DQ$42</definedName>
    <definedName name="EPEFIA_2023">Tags!$DV$42</definedName>
    <definedName name="EPEFIA_2024">Tags!$EA$42</definedName>
    <definedName name="EPEFIA_2Q00" localSheetId="10">Tags!$H$42</definedName>
    <definedName name="EPEFIA_2Q00">Tags_ols!$H$42</definedName>
    <definedName name="EPEFIA_2Q01" localSheetId="10">Tags!$M$42</definedName>
    <definedName name="EPEFIA_2Q01">Tags_ols!$M$42</definedName>
    <definedName name="EPEFIA_2Q02" localSheetId="10">Tags!$R$42</definedName>
    <definedName name="EPEFIA_2Q02">Tags_ols!$R$42</definedName>
    <definedName name="EPEFIA_2Q03" localSheetId="10">Tags!$W$42</definedName>
    <definedName name="EPEFIA_2Q03">Tags_ols!$W$42</definedName>
    <definedName name="EPEFIA_2Q04" localSheetId="10">Tags!$AB$42</definedName>
    <definedName name="EPEFIA_2Q04">Tags_ols!$AB$42</definedName>
    <definedName name="EPEFIA_2Q05" localSheetId="10">Tags!$AG$42</definedName>
    <definedName name="EPEFIA_2Q05">Tags_ols!$AG$42</definedName>
    <definedName name="EPEFIA_2Q06" localSheetId="10">Tags!$AL$42</definedName>
    <definedName name="EPEFIA_2Q06">Tags_ols!$AL$42</definedName>
    <definedName name="EPEFIA_2Q07" localSheetId="10">Tags!$AQ$42</definedName>
    <definedName name="EPEFIA_2Q07">Tags_ols!$AQ$42</definedName>
    <definedName name="EPEFIA_2Q08" localSheetId="10">Tags!$AV$42</definedName>
    <definedName name="EPEFIA_2Q08">Tags_ols!$AV$42</definedName>
    <definedName name="EPEFIA_2Q09" localSheetId="10">Tags!$BA$42</definedName>
    <definedName name="EPEFIA_2Q09">Tags_ols!$BA$42</definedName>
    <definedName name="EPEFIA_2Q10" localSheetId="10">Tags!$BF$42</definedName>
    <definedName name="EPEFIA_2Q10">Tags_ols!$BF$42</definedName>
    <definedName name="EPEFIA_2Q11" localSheetId="10">Tags!$BK$42</definedName>
    <definedName name="EPEFIA_2Q11">Tags_ols!$BK$42</definedName>
    <definedName name="EPEFIA_2Q12" localSheetId="10">Tags!$BP$42</definedName>
    <definedName name="EPEFIA_2Q12">Tags_ols!$BP$42</definedName>
    <definedName name="EPEFIA_2Q13" localSheetId="10">Tags!$BU$42</definedName>
    <definedName name="EPEFIA_2Q13">Tags_ols!$BU$42</definedName>
    <definedName name="EPEFIA_2Q14" localSheetId="10">Tags!$BZ$42</definedName>
    <definedName name="EPEFIA_2Q14">Tags_ols!$BZ$42</definedName>
    <definedName name="EPEFIA_2Q15" localSheetId="10">Tags!$CE$42</definedName>
    <definedName name="EPEFIA_2Q15">Tags_ols!$CE$42</definedName>
    <definedName name="EPEFIA_2Q16" localSheetId="10">Tags!$CJ$42</definedName>
    <definedName name="EPEFIA_2Q16">Tags_ols!$CJ$42</definedName>
    <definedName name="EPEFIA_2Q17" localSheetId="10">Tags!$CO$42</definedName>
    <definedName name="EPEFIA_2Q17">Tags_ols!$CO$42</definedName>
    <definedName name="EPEFIA_2Q18" localSheetId="10">Tags!$CT$42</definedName>
    <definedName name="EPEFIA_2Q18">Tags_ols!$CT$42</definedName>
    <definedName name="EPEFIA_2Q19" localSheetId="10">Tags!$CY$42</definedName>
    <definedName name="EPEFIA_2Q19">Tags_ols!$CY$42</definedName>
    <definedName name="EPEFIA_2Q20" localSheetId="10">Tags!$DD$42</definedName>
    <definedName name="EPEFIA_2Q20">Tags_ols!$DD$42</definedName>
    <definedName name="EPEFIA_2Q21">Tags!$DI$42</definedName>
    <definedName name="EPEFIA_2Q22">Tags!$DN$42</definedName>
    <definedName name="EPEFIA_2Q23">Tags!$DS$42</definedName>
    <definedName name="EPEFIA_2Q24">Tags!$DX$42</definedName>
    <definedName name="EPEFIA_3Q00" localSheetId="10">Tags!$I$42</definedName>
    <definedName name="EPEFIA_3Q00">Tags_ols!$I$42</definedName>
    <definedName name="EPEFIA_3Q01" localSheetId="10">Tags!$N$42</definedName>
    <definedName name="EPEFIA_3Q01">Tags_ols!$N$42</definedName>
    <definedName name="EPEFIA_3Q02" localSheetId="10">Tags!$S$42</definedName>
    <definedName name="EPEFIA_3Q02">Tags_ols!$S$42</definedName>
    <definedName name="EPEFIA_3Q03" localSheetId="10">Tags!$X$42</definedName>
    <definedName name="EPEFIA_3Q03">Tags_ols!$X$42</definedName>
    <definedName name="EPEFIA_3Q04" localSheetId="10">Tags!$AC$42</definedName>
    <definedName name="EPEFIA_3Q04">Tags_ols!$AC$42</definedName>
    <definedName name="EPEFIA_3Q05" localSheetId="10">Tags!$AH$42</definedName>
    <definedName name="EPEFIA_3Q05">Tags_ols!$AH$42</definedName>
    <definedName name="EPEFIA_3Q06" localSheetId="10">Tags!$AM$42</definedName>
    <definedName name="EPEFIA_3Q06">Tags_ols!$AM$42</definedName>
    <definedName name="EPEFIA_3Q07" localSheetId="10">Tags!$AR$42</definedName>
    <definedName name="EPEFIA_3Q07">Tags_ols!$AR$42</definedName>
    <definedName name="EPEFIA_3Q08" localSheetId="10">Tags!$AW$42</definedName>
    <definedName name="EPEFIA_3Q08">Tags_ols!$AW$42</definedName>
    <definedName name="EPEFIA_3Q09" localSheetId="10">Tags!$BB$42</definedName>
    <definedName name="EPEFIA_3Q09">Tags_ols!$BB$42</definedName>
    <definedName name="EPEFIA_3Q10" localSheetId="10">Tags!$BG$42</definedName>
    <definedName name="EPEFIA_3Q10">Tags_ols!$BG$42</definedName>
    <definedName name="EPEFIA_3Q11" localSheetId="10">Tags!$BL$42</definedName>
    <definedName name="EPEFIA_3Q11">Tags_ols!$BL$42</definedName>
    <definedName name="EPEFIA_3Q12" localSheetId="10">Tags!$BQ$42</definedName>
    <definedName name="EPEFIA_3Q12">Tags_ols!$BQ$42</definedName>
    <definedName name="EPEFIA_3Q13" localSheetId="10">Tags!$BV$42</definedName>
    <definedName name="EPEFIA_3Q13">Tags_ols!$BV$42</definedName>
    <definedName name="EPEFIA_3Q14" localSheetId="10">Tags!$CA$42</definedName>
    <definedName name="EPEFIA_3Q14">Tags_ols!$CA$42</definedName>
    <definedName name="EPEFIA_3Q15" localSheetId="10">Tags!$CF$42</definedName>
    <definedName name="EPEFIA_3Q15">Tags_ols!$CF$42</definedName>
    <definedName name="EPEFIA_3Q16" localSheetId="10">Tags!$CK$42</definedName>
    <definedName name="EPEFIA_3Q16">Tags_ols!$CK$42</definedName>
    <definedName name="EPEFIA_3Q17" localSheetId="10">Tags!$CP$42</definedName>
    <definedName name="EPEFIA_3Q17">Tags_ols!$CP$42</definedName>
    <definedName name="EPEFIA_3Q18" localSheetId="10">Tags!$CU$42</definedName>
    <definedName name="EPEFIA_3Q18">Tags_ols!$CU$42</definedName>
    <definedName name="EPEFIA_3Q19" localSheetId="10">Tags!$CZ$42</definedName>
    <definedName name="EPEFIA_3Q19">Tags_ols!$CZ$42</definedName>
    <definedName name="EPEFIA_3Q20" localSheetId="10">Tags!$DE$42</definedName>
    <definedName name="EPEFIA_3Q20">Tags_ols!$DE$42</definedName>
    <definedName name="EPEFIA_3Q21">Tags!$DJ$42</definedName>
    <definedName name="EPEFIA_3Q22">Tags!$DO$42</definedName>
    <definedName name="EPEFIA_3Q23">Tags!$DT$42</definedName>
    <definedName name="EPEFIA_3Q24">Tags!$DY$42</definedName>
    <definedName name="EPEFIA_4Q00" localSheetId="10">Tags!$J$42</definedName>
    <definedName name="EPEFIA_4Q00">Tags_ols!$J$42</definedName>
    <definedName name="EPEFIA_4Q01" localSheetId="10">Tags!$O$42</definedName>
    <definedName name="EPEFIA_4Q01">Tags_ols!$O$42</definedName>
    <definedName name="EPEFIA_4Q02" localSheetId="10">Tags!$T$42</definedName>
    <definedName name="EPEFIA_4Q02">Tags_ols!$T$42</definedName>
    <definedName name="EPEFIA_4Q03" localSheetId="10">Tags!$Y$42</definedName>
    <definedName name="EPEFIA_4Q03">Tags_ols!$Y$42</definedName>
    <definedName name="EPEFIA_4Q04" localSheetId="10">Tags!$AD$42</definedName>
    <definedName name="EPEFIA_4Q04">Tags_ols!$AD$42</definedName>
    <definedName name="EPEFIA_4Q05" localSheetId="10">Tags!$AI$42</definedName>
    <definedName name="EPEFIA_4Q05">Tags_ols!$AI$42</definedName>
    <definedName name="EPEFIA_4Q06" localSheetId="10">Tags!$AN$42</definedName>
    <definedName name="EPEFIA_4Q06">Tags_ols!$AN$42</definedName>
    <definedName name="EPEFIA_4Q07" localSheetId="10">Tags!$AS$42</definedName>
    <definedName name="EPEFIA_4Q07">Tags_ols!$AS$42</definedName>
    <definedName name="EPEFIA_4Q08" localSheetId="10">Tags!$AX$42</definedName>
    <definedName name="EPEFIA_4Q08">Tags_ols!$AX$42</definedName>
    <definedName name="EPEFIA_4Q09" localSheetId="10">Tags!$BC$42</definedName>
    <definedName name="EPEFIA_4Q09">Tags_ols!$BC$42</definedName>
    <definedName name="EPEFIA_4Q10" localSheetId="10">Tags!$BH$42</definedName>
    <definedName name="EPEFIA_4Q10">Tags_ols!$BH$42</definedName>
    <definedName name="EPEFIA_4Q11" localSheetId="10">Tags!$BM$42</definedName>
    <definedName name="EPEFIA_4Q11">Tags_ols!$BM$42</definedName>
    <definedName name="EPEFIA_4Q12" localSheetId="10">Tags!$BR$42</definedName>
    <definedName name="EPEFIA_4Q12">Tags_ols!$BR$42</definedName>
    <definedName name="EPEFIA_4Q13" localSheetId="10">Tags!$BW$42</definedName>
    <definedName name="EPEFIA_4Q13">Tags_ols!$BW$42</definedName>
    <definedName name="EPEFIA_4Q14" localSheetId="10">Tags!$CB$42</definedName>
    <definedName name="EPEFIA_4Q14">Tags_ols!$CB$42</definedName>
    <definedName name="EPEFIA_4Q15" localSheetId="10">Tags!$CG$42</definedName>
    <definedName name="EPEFIA_4Q15">Tags_ols!$CG$42</definedName>
    <definedName name="EPEFIA_4Q16" localSheetId="10">Tags!$CL$42</definedName>
    <definedName name="EPEFIA_4Q16">Tags_ols!$CL$42</definedName>
    <definedName name="EPEFIA_4Q17" localSheetId="10">Tags!$CQ$42</definedName>
    <definedName name="EPEFIA_4Q17">Tags_ols!$CQ$42</definedName>
    <definedName name="EPEFIA_4Q18" localSheetId="10">Tags!$CV$42</definedName>
    <definedName name="EPEFIA_4Q18">Tags_ols!$CV$42</definedName>
    <definedName name="EPEFIA_4Q19" localSheetId="10">Tags!$DA$42</definedName>
    <definedName name="EPEFIA_4Q19">Tags_ols!$DA$42</definedName>
    <definedName name="EPEFIA_4Q20" localSheetId="10">Tags!$DF$42</definedName>
    <definedName name="EPEFIA_4Q20">Tags_ols!$DF$42</definedName>
    <definedName name="EPEFIA_4Q21">Tags!$DK$42</definedName>
    <definedName name="EPEFIA_4Q22">Tags!$DP$42</definedName>
    <definedName name="EPEFIA_4Q23">Tags!$DU$42</definedName>
    <definedName name="EPEFIA_4Q24">Tags!$DZ$42</definedName>
    <definedName name="EQANAJ_1995">Tags_ols!$B$390</definedName>
    <definedName name="EQANAJ_1996">Tags_ols!$C$390</definedName>
    <definedName name="EQANAJ_1997">Tags_ols!$D$390</definedName>
    <definedName name="EQANAJ_1998">Tags_ols!$E$390</definedName>
    <definedName name="EQANAJ_1999">Tags_ols!$F$390</definedName>
    <definedName name="EQANAJ_1Q00" localSheetId="10">Tags!$G$390</definedName>
    <definedName name="EQANAJ_1Q00">Tags_ols!$G$390</definedName>
    <definedName name="EQANAJ_1Q01" localSheetId="10">Tags!$L$390</definedName>
    <definedName name="EQANAJ_1Q01">Tags_ols!$L$390</definedName>
    <definedName name="EQANAJ_1Q02" localSheetId="10">Tags!$Q$390</definedName>
    <definedName name="EQANAJ_1Q02">Tags_ols!$Q$390</definedName>
    <definedName name="EQANAJ_1Q03" localSheetId="10">Tags!$V$390</definedName>
    <definedName name="EQANAJ_1Q03">Tags_ols!$V$390</definedName>
    <definedName name="EQANAJ_1Q04" localSheetId="10">Tags!$AA$390</definedName>
    <definedName name="EQANAJ_1Q04">Tags_ols!$AA$390</definedName>
    <definedName name="EQANAJ_1Q05" localSheetId="10">Tags!$AF$390</definedName>
    <definedName name="EQANAJ_1Q05">Tags_ols!$AF$390</definedName>
    <definedName name="EQANAJ_1Q06" localSheetId="10">Tags!$AK$390</definedName>
    <definedName name="EQANAJ_1Q06">Tags_ols!$AK$390</definedName>
    <definedName name="EQANAJ_1Q07" localSheetId="10">Tags!$AP$390</definedName>
    <definedName name="EQANAJ_1Q07">Tags_ols!$AP$390</definedName>
    <definedName name="EQANAJ_1Q08" localSheetId="10">Tags!$AU$390</definedName>
    <definedName name="EQANAJ_1Q08">Tags_ols!$AU$390</definedName>
    <definedName name="EQANAJ_1Q09" localSheetId="10">Tags!$AZ$390</definedName>
    <definedName name="EQANAJ_1Q09">Tags_ols!$AZ$390</definedName>
    <definedName name="EQANAJ_1Q10" localSheetId="10">Tags!$BE$390</definedName>
    <definedName name="EQANAJ_1Q10">Tags_ols!$BE$390</definedName>
    <definedName name="EQANAJ_1Q11" localSheetId="10">Tags!$BJ$390</definedName>
    <definedName name="EQANAJ_1Q11">Tags_ols!$BJ$390</definedName>
    <definedName name="EQANAJ_1Q12" localSheetId="10">Tags!$BO$390</definedName>
    <definedName name="EQANAJ_1Q12">Tags_ols!$BO$390</definedName>
    <definedName name="EQANAJ_1Q13" localSheetId="10">Tags!$BT$390</definedName>
    <definedName name="EQANAJ_1Q13">Tags_ols!$BT$390</definedName>
    <definedName name="EQANAJ_1Q14" localSheetId="10">Tags!$BY$390</definedName>
    <definedName name="EQANAJ_1Q14">Tags_ols!$BY$390</definedName>
    <definedName name="EQANAJ_1Q15" localSheetId="10">Tags!$CD$390</definedName>
    <definedName name="EQANAJ_1Q15">Tags_ols!$CD$390</definedName>
    <definedName name="EQANAJ_1Q16" localSheetId="10">Tags!$CI$390</definedName>
    <definedName name="EQANAJ_1Q16">Tags_ols!$CI$390</definedName>
    <definedName name="EQANAJ_1Q17" localSheetId="10">Tags!$CN$390</definedName>
    <definedName name="EQANAJ_1Q17">Tags_ols!$CN$390</definedName>
    <definedName name="EQANAJ_1Q18" localSheetId="10">Tags!$CS$390</definedName>
    <definedName name="EQANAJ_1Q18">Tags_ols!$CS$390</definedName>
    <definedName name="EQANAJ_1Q19" localSheetId="10">Tags!$CX$390</definedName>
    <definedName name="EQANAJ_1Q19">Tags_ols!$CX$390</definedName>
    <definedName name="EQANAJ_1Q20" localSheetId="10">Tags!$DC$390</definedName>
    <definedName name="EQANAJ_1Q20">Tags_ols!$DC$390</definedName>
    <definedName name="EQANAJ_1Q21">Tags!$DH$390</definedName>
    <definedName name="EQANAJ_1Q22">Tags!$DM$390</definedName>
    <definedName name="EQANAJ_1Q23">Tags!$DR$390</definedName>
    <definedName name="EQANAJ_1Q24">Tags!$DW$390</definedName>
    <definedName name="EQANAJ_2000" localSheetId="10">Tags!$K$390</definedName>
    <definedName name="EQANAJ_2000">Tags_ols!$K$390</definedName>
    <definedName name="EQANAJ_2001" localSheetId="10">Tags!$P$390</definedName>
    <definedName name="EQANAJ_2001">Tags_ols!$P$390</definedName>
    <definedName name="EQANAJ_2002" localSheetId="10">Tags!$U$390</definedName>
    <definedName name="EQANAJ_2002">Tags_ols!$U$390</definedName>
    <definedName name="EQANAJ_2003" localSheetId="10">Tags!$Z$390</definedName>
    <definedName name="EQANAJ_2003">Tags_ols!$Z$390</definedName>
    <definedName name="EQANAJ_2004" localSheetId="10">Tags!$AE$390</definedName>
    <definedName name="EQANAJ_2004">Tags_ols!$AE$390</definedName>
    <definedName name="EQANAJ_2005" localSheetId="10">Tags!$AJ$390</definedName>
    <definedName name="EQANAJ_2005">Tags_ols!$AJ$390</definedName>
    <definedName name="EQANAJ_2006" localSheetId="10">Tags!$AO$390</definedName>
    <definedName name="EQANAJ_2006">Tags_ols!$AO$390</definedName>
    <definedName name="EQANAJ_2007" localSheetId="10">Tags!$AT$390</definedName>
    <definedName name="EQANAJ_2007">Tags_ols!$AT$390</definedName>
    <definedName name="EQANAJ_2008" localSheetId="10">Tags!$AY$390</definedName>
    <definedName name="EQANAJ_2008">Tags_ols!$AY$390</definedName>
    <definedName name="EQANAJ_2009" localSheetId="10">Tags!$BD$390</definedName>
    <definedName name="EQANAJ_2009">Tags_ols!$BD$390</definedName>
    <definedName name="EQANAJ_2010" localSheetId="10">Tags!$BI$390</definedName>
    <definedName name="EQANAJ_2010">Tags_ols!$BI$390</definedName>
    <definedName name="EQANAJ_2011" localSheetId="10">Tags!$BN$390</definedName>
    <definedName name="EQANAJ_2011">Tags_ols!$BN$390</definedName>
    <definedName name="EQANAJ_2012" localSheetId="10">Tags!$BS$390</definedName>
    <definedName name="EQANAJ_2012">Tags_ols!$BS$390</definedName>
    <definedName name="EQANAJ_2013" localSheetId="10">Tags!$BX$390</definedName>
    <definedName name="EQANAJ_2013">Tags_ols!$BX$390</definedName>
    <definedName name="EQANAJ_2014" localSheetId="10">Tags!$CC$390</definedName>
    <definedName name="EQANAJ_2014">Tags_ols!$CC$390</definedName>
    <definedName name="EQANAJ_2015" localSheetId="10">Tags!#REF!</definedName>
    <definedName name="EQANAJ_2015">Tags!$CH$390</definedName>
    <definedName name="EQANAJ_2016" localSheetId="10">Tags!$CM$390</definedName>
    <definedName name="EQANAJ_2016">Tags_ols!$CM$390</definedName>
    <definedName name="EQANAJ_2017" localSheetId="10">Tags!$CR$390</definedName>
    <definedName name="EQANAJ_2017">Tags_ols!$CR$390</definedName>
    <definedName name="EQANAJ_2018" localSheetId="10">Tags!$CW$390</definedName>
    <definedName name="EQANAJ_2018">Tags_ols!$CW$390</definedName>
    <definedName name="EQANAJ_2019" localSheetId="10">Tags!$DB$390</definedName>
    <definedName name="EQANAJ_2019">Tags_ols!$DB$390</definedName>
    <definedName name="EQANAJ_2020" localSheetId="10">Tags!$DG$390</definedName>
    <definedName name="EQANAJ_2020">Tags_ols!$DG$390</definedName>
    <definedName name="EQANAJ_2021">Tags!$DL$390</definedName>
    <definedName name="EQANAJ_2022">Tags!$DQ$390</definedName>
    <definedName name="EQANAJ_2023">Tags!$DV$390</definedName>
    <definedName name="EQANAJ_2024">Tags!$EA$390</definedName>
    <definedName name="EQANAJ_2Q00" localSheetId="10">Tags!$H$390</definedName>
    <definedName name="EQANAJ_2Q00">Tags_ols!$H$390</definedName>
    <definedName name="EQANAJ_2Q01" localSheetId="10">Tags!$M$390</definedName>
    <definedName name="EQANAJ_2Q01">Tags_ols!$M$390</definedName>
    <definedName name="EQANAJ_2Q02" localSheetId="10">Tags!$R$390</definedName>
    <definedName name="EQANAJ_2Q02">Tags_ols!$R$390</definedName>
    <definedName name="EQANAJ_2Q03" localSheetId="10">Tags!$W$390</definedName>
    <definedName name="EQANAJ_2Q03">Tags_ols!$W$390</definedName>
    <definedName name="EQANAJ_2Q04" localSheetId="10">Tags!$AB$390</definedName>
    <definedName name="EQANAJ_2Q04">Tags_ols!$AB$390</definedName>
    <definedName name="EQANAJ_2Q05" localSheetId="10">Tags!$AG$390</definedName>
    <definedName name="EQANAJ_2Q05">Tags_ols!$AG$390</definedName>
    <definedName name="EQANAJ_2Q06" localSheetId="10">Tags!$AL$390</definedName>
    <definedName name="EQANAJ_2Q06">Tags_ols!$AL$390</definedName>
    <definedName name="EQANAJ_2Q07" localSheetId="10">Tags!$AQ$390</definedName>
    <definedName name="EQANAJ_2Q07">Tags_ols!$AQ$390</definedName>
    <definedName name="EQANAJ_2Q08" localSheetId="10">Tags!$AV$390</definedName>
    <definedName name="EQANAJ_2Q08">Tags_ols!$AV$390</definedName>
    <definedName name="EQANAJ_2Q09" localSheetId="10">Tags!$BA$390</definedName>
    <definedName name="EQANAJ_2Q09">Tags_ols!$BA$390</definedName>
    <definedName name="EQANAJ_2Q10" localSheetId="10">Tags!$BF$390</definedName>
    <definedName name="EQANAJ_2Q10">Tags_ols!$BF$390</definedName>
    <definedName name="EQANAJ_2Q11" localSheetId="10">Tags!$BK$390</definedName>
    <definedName name="EQANAJ_2Q11">Tags_ols!$BK$390</definedName>
    <definedName name="EQANAJ_2Q12" localSheetId="10">Tags!$BP$390</definedName>
    <definedName name="EQANAJ_2Q12">Tags_ols!$BP$390</definedName>
    <definedName name="EQANAJ_2Q13" localSheetId="10">Tags!$BU$390</definedName>
    <definedName name="EQANAJ_2Q13">Tags_ols!$BU$390</definedName>
    <definedName name="EQANAJ_2Q14" localSheetId="10">Tags!$BZ$390</definedName>
    <definedName name="EQANAJ_2Q14">Tags_ols!$BZ$390</definedName>
    <definedName name="EQANAJ_2Q15" localSheetId="10">Tags!$CE$390</definedName>
    <definedName name="EQANAJ_2Q15">Tags_ols!$CE$390</definedName>
    <definedName name="EQANAJ_2Q16" localSheetId="10">Tags!$CJ$390</definedName>
    <definedName name="EQANAJ_2Q16">Tags_ols!$CJ$390</definedName>
    <definedName name="EQANAJ_2Q17" localSheetId="10">Tags!$CO$390</definedName>
    <definedName name="EQANAJ_2Q17">Tags_ols!$CO$390</definedName>
    <definedName name="EQANAJ_2Q18" localSheetId="10">Tags!$CT$390</definedName>
    <definedName name="EQANAJ_2Q18">Tags_ols!$CT$390</definedName>
    <definedName name="EQANAJ_2Q19" localSheetId="10">Tags!$CY$390</definedName>
    <definedName name="EQANAJ_2Q19">Tags_ols!$CY$390</definedName>
    <definedName name="EQANAJ_2Q20" localSheetId="10">Tags!$DD$390</definedName>
    <definedName name="EQANAJ_2Q20">Tags_ols!$DD$390</definedName>
    <definedName name="EQANAJ_2Q21">Tags!$DI$390</definedName>
    <definedName name="EQANAJ_2Q22">Tags!$DN$390</definedName>
    <definedName name="EQANAJ_2Q23">Tags!$DS$390</definedName>
    <definedName name="EQANAJ_2Q24">Tags!$DX$390</definedName>
    <definedName name="EQANAJ_3Q00" localSheetId="10">Tags!$I$390</definedName>
    <definedName name="EQANAJ_3Q00">Tags_ols!$I$390</definedName>
    <definedName name="EQANAJ_3Q01" localSheetId="10">Tags!$N$390</definedName>
    <definedName name="EQANAJ_3Q01">Tags_ols!$N$390</definedName>
    <definedName name="EQANAJ_3Q02" localSheetId="10">Tags!$S$390</definedName>
    <definedName name="EQANAJ_3Q02">Tags_ols!$S$390</definedName>
    <definedName name="EQANAJ_3Q03" localSheetId="10">Tags!$X$390</definedName>
    <definedName name="EQANAJ_3Q03">Tags_ols!$X$390</definedName>
    <definedName name="EQANAJ_3Q04" localSheetId="10">Tags!$AC$390</definedName>
    <definedName name="EQANAJ_3Q04">Tags_ols!$AC$390</definedName>
    <definedName name="EQANAJ_3Q05" localSheetId="10">Tags!$AH$390</definedName>
    <definedName name="EQANAJ_3Q05">Tags_ols!$AH$390</definedName>
    <definedName name="EQANAJ_3Q06" localSheetId="10">Tags!$AM$390</definedName>
    <definedName name="EQANAJ_3Q06">Tags_ols!$AM$390</definedName>
    <definedName name="EQANAJ_3Q07" localSheetId="10">Tags!$AR$390</definedName>
    <definedName name="EQANAJ_3Q07">Tags_ols!$AR$390</definedName>
    <definedName name="EQANAJ_3Q08" localSheetId="10">Tags!$AW$390</definedName>
    <definedName name="EQANAJ_3Q08">Tags_ols!$AW$390</definedName>
    <definedName name="EQANAJ_3Q09" localSheetId="10">Tags!$BB$390</definedName>
    <definedName name="EQANAJ_3Q09">Tags_ols!$BB$390</definedName>
    <definedName name="EQANAJ_3Q10" localSheetId="10">Tags!$BG$390</definedName>
    <definedName name="EQANAJ_3Q10">Tags_ols!$BG$390</definedName>
    <definedName name="EQANAJ_3Q11" localSheetId="10">Tags!$BL$390</definedName>
    <definedName name="EQANAJ_3Q11">Tags_ols!$BL$390</definedName>
    <definedName name="EQANAJ_3Q12" localSheetId="10">Tags!$BQ$390</definedName>
    <definedName name="EQANAJ_3Q12">Tags_ols!$BQ$390</definedName>
    <definedName name="EQANAJ_3Q13" localSheetId="10">Tags!$BV$390</definedName>
    <definedName name="EQANAJ_3Q13">Tags_ols!$BV$390</definedName>
    <definedName name="EQANAJ_3Q14" localSheetId="10">Tags!$CA$390</definedName>
    <definedName name="EQANAJ_3Q14">Tags_ols!$CA$390</definedName>
    <definedName name="EQANAJ_3Q15" localSheetId="10">Tags!$CF$390</definedName>
    <definedName name="EQANAJ_3Q15">Tags_ols!$CF$390</definedName>
    <definedName name="EQANAJ_3Q16" localSheetId="10">Tags!$CK$390</definedName>
    <definedName name="EQANAJ_3Q16">Tags_ols!$CK$390</definedName>
    <definedName name="EQANAJ_3Q17" localSheetId="10">Tags!$CP$390</definedName>
    <definedName name="EQANAJ_3Q17">Tags_ols!$CP$390</definedName>
    <definedName name="EQANAJ_3Q18" localSheetId="10">Tags!$CU$390</definedName>
    <definedName name="EQANAJ_3Q18">Tags_ols!$CU$390</definedName>
    <definedName name="EQANAJ_3Q19" localSheetId="10">Tags!$CZ$390</definedName>
    <definedName name="EQANAJ_3Q19">Tags_ols!$CZ$390</definedName>
    <definedName name="EQANAJ_3Q20" localSheetId="10">Tags!$DE$390</definedName>
    <definedName name="EQANAJ_3Q20">Tags_ols!$DE$390</definedName>
    <definedName name="EQANAJ_3Q21">Tags!$DJ$390</definedName>
    <definedName name="EQANAJ_3Q22">Tags!$DO$390</definedName>
    <definedName name="EQANAJ_3Q23">Tags!$DT$390</definedName>
    <definedName name="EQANAJ_3Q24">Tags!$DY$390</definedName>
    <definedName name="EQANAJ_4Q00" localSheetId="10">Tags!$J$390</definedName>
    <definedName name="EQANAJ_4Q00">Tags_ols!$J$390</definedName>
    <definedName name="EQANAJ_4Q01" localSheetId="10">Tags!$O$390</definedName>
    <definedName name="EQANAJ_4Q01">Tags_ols!$O$390</definedName>
    <definedName name="EQANAJ_4Q02" localSheetId="10">Tags!$T$390</definedName>
    <definedName name="EQANAJ_4Q02">Tags_ols!$T$390</definedName>
    <definedName name="EQANAJ_4Q03" localSheetId="10">Tags!$Y$390</definedName>
    <definedName name="EQANAJ_4Q03">Tags_ols!$Y$390</definedName>
    <definedName name="EQANAJ_4Q04" localSheetId="10">Tags!$AD$390</definedName>
    <definedName name="EQANAJ_4Q04">Tags_ols!$AD$390</definedName>
    <definedName name="EQANAJ_4Q05" localSheetId="10">Tags!$AI$390</definedName>
    <definedName name="EQANAJ_4Q05">Tags_ols!$AI$390</definedName>
    <definedName name="EQANAJ_4Q06" localSheetId="10">Tags!$AN$390</definedName>
    <definedName name="EQANAJ_4Q06">Tags_ols!$AN$390</definedName>
    <definedName name="EQANAJ_4Q07" localSheetId="10">Tags!$AS$390</definedName>
    <definedName name="EQANAJ_4Q07">Tags_ols!$AS$390</definedName>
    <definedName name="EQANAJ_4Q08" localSheetId="10">Tags!$AX$390</definedName>
    <definedName name="EQANAJ_4Q08">Tags_ols!$AX$390</definedName>
    <definedName name="EQANAJ_4Q09" localSheetId="10">Tags!$BC$390</definedName>
    <definedName name="EQANAJ_4Q09">Tags_ols!$BC$390</definedName>
    <definedName name="EQANAJ_4Q10" localSheetId="10">Tags!$BH$390</definedName>
    <definedName name="EQANAJ_4Q10">Tags_ols!$BH$390</definedName>
    <definedName name="EQANAJ_4Q11" localSheetId="10">Tags!$BM$390</definedName>
    <definedName name="EQANAJ_4Q11">Tags_ols!$BM$390</definedName>
    <definedName name="EQANAJ_4Q12" localSheetId="10">Tags!$BR$390</definedName>
    <definedName name="EQANAJ_4Q12">Tags_ols!$BR$390</definedName>
    <definedName name="EQANAJ_4Q13" localSheetId="10">Tags!$BW$390</definedName>
    <definedName name="EQANAJ_4Q13">Tags_ols!$BW$390</definedName>
    <definedName name="EQANAJ_4Q14" localSheetId="10">Tags!$CB$390</definedName>
    <definedName name="EQANAJ_4Q14">Tags_ols!$CB$390</definedName>
    <definedName name="EQANAJ_4Q15" localSheetId="10">Tags!$CG$390</definedName>
    <definedName name="EQANAJ_4Q15">Tags_ols!$CG$390</definedName>
    <definedName name="EQANAJ_4Q16" localSheetId="10">Tags!$CL$390</definedName>
    <definedName name="EQANAJ_4Q16">Tags_ols!$CL$390</definedName>
    <definedName name="EQANAJ_4Q17" localSheetId="10">Tags!$CQ$390</definedName>
    <definedName name="EQANAJ_4Q17">Tags_ols!$CQ$390</definedName>
    <definedName name="EQANAJ_4Q18" localSheetId="10">Tags!$CV$390</definedName>
    <definedName name="EQANAJ_4Q18">Tags_ols!$CV$390</definedName>
    <definedName name="EQANAJ_4Q19" localSheetId="10">Tags!$DA$390</definedName>
    <definedName name="EQANAJ_4Q19">Tags_ols!$DA$390</definedName>
    <definedName name="EQANAJ_4Q20" localSheetId="10">Tags!$DF$390</definedName>
    <definedName name="EQANAJ_4Q20">Tags_ols!$DF$390</definedName>
    <definedName name="EQANAJ_4Q21">Tags!$DK$390</definedName>
    <definedName name="EQANAJ_4Q22">Tags!$DP$390</definedName>
    <definedName name="EQANAJ_4Q23">Tags!$DU$390</definedName>
    <definedName name="EQANAJ_4Q24">Tags!$DZ$390</definedName>
    <definedName name="EVSBB_1995">Tags_ols!$B$409</definedName>
    <definedName name="EVSBB_1996">Tags_ols!$C$409</definedName>
    <definedName name="EVSBB_1997">Tags_ols!$D$409</definedName>
    <definedName name="EVSBB_1998">Tags_ols!$E$409</definedName>
    <definedName name="EVSBB_1999">Tags_ols!$F$409</definedName>
    <definedName name="EVSBB_1Q00" localSheetId="10">Tags!$G$409</definedName>
    <definedName name="EVSBB_1Q00">Tags_ols!$G$409</definedName>
    <definedName name="EVSBB_1Q01" localSheetId="10">Tags!$L$409</definedName>
    <definedName name="EVSBB_1Q01">Tags_ols!$L$409</definedName>
    <definedName name="EVSBB_1Q02" localSheetId="10">Tags!$Q$409</definedName>
    <definedName name="EVSBB_1Q02">Tags_ols!$Q$409</definedName>
    <definedName name="EVSBB_1Q03" localSheetId="10">Tags!$V$409</definedName>
    <definedName name="EVSBB_1Q03">Tags_ols!$V$409</definedName>
    <definedName name="EVSBB_1Q04" localSheetId="10">Tags!$AA$409</definedName>
    <definedName name="EVSBB_1Q04">Tags_ols!$AA$409</definedName>
    <definedName name="EVSBB_1Q05" localSheetId="10">Tags!$AF$409</definedName>
    <definedName name="EVSBB_1Q05">Tags_ols!$AF$409</definedName>
    <definedName name="EVSBB_1Q06" localSheetId="10">Tags!$AK$409</definedName>
    <definedName name="EVSBB_1Q06">Tags_ols!$AK$409</definedName>
    <definedName name="EVSBB_1Q07" localSheetId="10">Tags!$AP$409</definedName>
    <definedName name="EVSBB_1Q07">Tags_ols!$AP$409</definedName>
    <definedName name="EVSBB_1Q08" localSheetId="10">Tags!$AU$409</definedName>
    <definedName name="EVSBB_1Q08">Tags_ols!$AU$409</definedName>
    <definedName name="EVSBB_1Q09" localSheetId="10">Tags!$AZ$409</definedName>
    <definedName name="EVSBB_1Q09">Tags_ols!$AZ$409</definedName>
    <definedName name="EVSBB_1Q10" localSheetId="10">Tags!$BE$409</definedName>
    <definedName name="EVSBB_1Q10">Tags_ols!$BE$409</definedName>
    <definedName name="EVSBB_1Q11" localSheetId="10">Tags!$BJ$409</definedName>
    <definedName name="EVSBB_1Q11">Tags_ols!$BJ$409</definedName>
    <definedName name="EVSBB_1Q12" localSheetId="10">Tags!$BO$409</definedName>
    <definedName name="EVSBB_1Q12">Tags_ols!$BO$409</definedName>
    <definedName name="EVSBB_1Q13" localSheetId="10">Tags!$BT$409</definedName>
    <definedName name="EVSBB_1Q13">Tags_ols!$BT$409</definedName>
    <definedName name="EVSBB_1Q14" localSheetId="10">Tags!$BY$409</definedName>
    <definedName name="EVSBB_1Q14">Tags_ols!$BY$409</definedName>
    <definedName name="EVSBB_1Q15" localSheetId="10">Tags!$CD$409</definedName>
    <definedName name="EVSBB_1Q15">Tags_ols!$CD$409</definedName>
    <definedName name="EVSBB_1Q16" localSheetId="10">Tags!$CI$409</definedName>
    <definedName name="EVSBB_1Q16">Tags_ols!$CI$409</definedName>
    <definedName name="EVSBB_1Q17" localSheetId="10">Tags!$CN$409</definedName>
    <definedName name="EVSBB_1Q17">Tags_ols!$CN$409</definedName>
    <definedName name="EVSBB_1Q18" localSheetId="10">Tags!$CS$409</definedName>
    <definedName name="EVSBB_1Q18">Tags_ols!$CS$409</definedName>
    <definedName name="EVSBB_1Q19" localSheetId="10">Tags!$CX$409</definedName>
    <definedName name="EVSBB_1Q19">Tags_ols!$CX$409</definedName>
    <definedName name="EVSBB_1Q20" localSheetId="10">Tags!$DC$409</definedName>
    <definedName name="EVSBB_1Q20">Tags_ols!$DC$409</definedName>
    <definedName name="EVSBB_1Q21">Tags!$DH$409</definedName>
    <definedName name="EVSBB_1Q22">Tags!$DM$409</definedName>
    <definedName name="EVSBB_1Q23">Tags!$DR$409</definedName>
    <definedName name="EVSBB_1Q24">Tags!$DW$409</definedName>
    <definedName name="EVSBB_2000" localSheetId="10">Tags!$K$409</definedName>
    <definedName name="EVSBB_2000">Tags_ols!$K$409</definedName>
    <definedName name="EVSBB_2001" localSheetId="10">Tags!$P$409</definedName>
    <definedName name="EVSBB_2001">Tags_ols!$P$409</definedName>
    <definedName name="EVSBB_2002" localSheetId="10">Tags!$U$409</definedName>
    <definedName name="EVSBB_2002">Tags_ols!$U$409</definedName>
    <definedName name="EVSBB_2003" localSheetId="10">Tags!$Z$409</definedName>
    <definedName name="EVSBB_2003">Tags_ols!$Z$409</definedName>
    <definedName name="EVSBB_2004" localSheetId="10">Tags!$AE$409</definedName>
    <definedName name="EVSBB_2004">Tags_ols!$AE$409</definedName>
    <definedName name="EVSBB_2005" localSheetId="10">Tags!$AJ$409</definedName>
    <definedName name="EVSBB_2005">Tags_ols!$AJ$409</definedName>
    <definedName name="EVSBB_2006" localSheetId="10">Tags!$AO$409</definedName>
    <definedName name="EVSBB_2006">Tags_ols!$AO$409</definedName>
    <definedName name="EVSBB_2007" localSheetId="10">Tags!$AT$409</definedName>
    <definedName name="EVSBB_2007">Tags_ols!$AT$409</definedName>
    <definedName name="EVSBB_2008" localSheetId="10">Tags!$AY$409</definedName>
    <definedName name="EVSBB_2008">Tags_ols!$AY$409</definedName>
    <definedName name="EVSBB_2009" localSheetId="10">Tags!$BD$409</definedName>
    <definedName name="EVSBB_2009">Tags_ols!$BD$409</definedName>
    <definedName name="EVSBB_2010" localSheetId="10">Tags!$BI$409</definedName>
    <definedName name="EVSBB_2010">Tags_ols!$BI$409</definedName>
    <definedName name="EVSBB_2011" localSheetId="10">Tags!$BN$409</definedName>
    <definedName name="EVSBB_2011">Tags_ols!$BN$409</definedName>
    <definedName name="EVSBB_2012" localSheetId="10">Tags!$BS$409</definedName>
    <definedName name="EVSBB_2012">Tags_ols!$BS$409</definedName>
    <definedName name="EVSBB_2013" localSheetId="10">Tags!$BX$409</definedName>
    <definedName name="EVSBB_2013">Tags_ols!$BX$409</definedName>
    <definedName name="EVSBB_2014" localSheetId="10">Tags!$CC$409</definedName>
    <definedName name="EVSBB_2014">Tags_ols!$CC$409</definedName>
    <definedName name="EVSBB_2015" localSheetId="10">Tags!#REF!</definedName>
    <definedName name="EVSBB_2015">Tags!$CH$409</definedName>
    <definedName name="EVSBB_2016" localSheetId="10">Tags!$CM$409</definedName>
    <definedName name="EVSBB_2016">Tags_ols!$CM$409</definedName>
    <definedName name="EVSBB_2017" localSheetId="10">Tags!$CR$409</definedName>
    <definedName name="EVSBB_2017">Tags_ols!$CR$409</definedName>
    <definedName name="EVSBB_2018" localSheetId="10">Tags!$CW$409</definedName>
    <definedName name="EVSBB_2018">Tags_ols!$CW$409</definedName>
    <definedName name="EVSBB_2019" localSheetId="10">Tags!$DB$409</definedName>
    <definedName name="EVSBB_2019">Tags_ols!$DB$409</definedName>
    <definedName name="EVSBB_2020" localSheetId="10">Tags!$DG$409</definedName>
    <definedName name="EVSBB_2020">Tags_ols!$DG$409</definedName>
    <definedName name="EVSBB_2021">Tags!$DL$409</definedName>
    <definedName name="EVSBB_2022">Tags!$DQ$409</definedName>
    <definedName name="EVSBB_2023">Tags!$DV$409</definedName>
    <definedName name="EVSBB_2024">Tags!$EA$409</definedName>
    <definedName name="EVSBB_2Q00" localSheetId="10">Tags!$H$409</definedName>
    <definedName name="EVSBB_2Q00">Tags_ols!$H$409</definedName>
    <definedName name="EVSBB_2Q01" localSheetId="10">Tags!$M$409</definedName>
    <definedName name="EVSBB_2Q01">Tags_ols!$M$409</definedName>
    <definedName name="EVSBB_2Q02" localSheetId="10">Tags!$R$409</definedName>
    <definedName name="EVSBB_2Q02">Tags_ols!$R$409</definedName>
    <definedName name="EVSBB_2Q03" localSheetId="10">Tags!$W$409</definedName>
    <definedName name="EVSBB_2Q03">Tags_ols!$W$409</definedName>
    <definedName name="EVSBB_2Q04" localSheetId="10">Tags!$AB$409</definedName>
    <definedName name="EVSBB_2Q04">Tags_ols!$AB$409</definedName>
    <definedName name="EVSBB_2Q05" localSheetId="10">Tags!$AG$409</definedName>
    <definedName name="EVSBB_2Q05">Tags_ols!$AG$409</definedName>
    <definedName name="EVSBB_2Q06" localSheetId="10">Tags!$AL$409</definedName>
    <definedName name="EVSBB_2Q06">Tags_ols!$AL$409</definedName>
    <definedName name="EVSBB_2Q07" localSheetId="10">Tags!$AQ$409</definedName>
    <definedName name="EVSBB_2Q07">Tags_ols!$AQ$409</definedName>
    <definedName name="EVSBB_2Q08" localSheetId="10">Tags!$AV$409</definedName>
    <definedName name="EVSBB_2Q08">Tags_ols!$AV$409</definedName>
    <definedName name="EVSBB_2Q09" localSheetId="10">Tags!$BA$409</definedName>
    <definedName name="EVSBB_2Q09">Tags_ols!$BA$409</definedName>
    <definedName name="EVSBB_2Q10" localSheetId="10">Tags!$BF$409</definedName>
    <definedName name="EVSBB_2Q10">Tags_ols!$BF$409</definedName>
    <definedName name="EVSBB_2Q11" localSheetId="10">Tags!$BK$409</definedName>
    <definedName name="EVSBB_2Q11">Tags_ols!$BK$409</definedName>
    <definedName name="EVSBB_2Q12" localSheetId="10">Tags!$BP$409</definedName>
    <definedName name="EVSBB_2Q12">Tags_ols!$BP$409</definedName>
    <definedName name="EVSBB_2Q13" localSheetId="10">Tags!$BU$409</definedName>
    <definedName name="EVSBB_2Q13">Tags_ols!$BU$409</definedName>
    <definedName name="EVSBB_2Q14" localSheetId="10">Tags!$BZ$409</definedName>
    <definedName name="EVSBB_2Q14">Tags_ols!$BZ$409</definedName>
    <definedName name="EVSBB_2Q15" localSheetId="10">Tags!$CE$409</definedName>
    <definedName name="EVSBB_2Q15">Tags_ols!$CE$409</definedName>
    <definedName name="EVSBB_2Q16" localSheetId="10">Tags!$CJ$409</definedName>
    <definedName name="EVSBB_2Q16">Tags_ols!$CJ$409</definedName>
    <definedName name="EVSBB_2Q17" localSheetId="10">Tags!$CO$409</definedName>
    <definedName name="EVSBB_2Q17">Tags_ols!$CO$409</definedName>
    <definedName name="EVSBB_2Q18" localSheetId="10">Tags!$CT$409</definedName>
    <definedName name="EVSBB_2Q18">Tags_ols!$CT$409</definedName>
    <definedName name="EVSBB_2Q19" localSheetId="10">Tags!$CY$409</definedName>
    <definedName name="EVSBB_2Q19">Tags_ols!$CY$409</definedName>
    <definedName name="EVSBB_2Q20" localSheetId="10">Tags!$DD$409</definedName>
    <definedName name="EVSBB_2Q20">Tags_ols!$DD$409</definedName>
    <definedName name="EVSBB_2Q21">Tags!$DI$409</definedName>
    <definedName name="EVSBB_2Q22">Tags!$DN$409</definedName>
    <definedName name="EVSBB_2Q23">Tags!$DS$409</definedName>
    <definedName name="EVSBB_2Q24">Tags!$DX$409</definedName>
    <definedName name="EVSBB_3Q00" localSheetId="10">Tags!$I$409</definedName>
    <definedName name="EVSBB_3Q00">Tags_ols!$I$409</definedName>
    <definedName name="EVSBB_3Q01" localSheetId="10">Tags!$N$409</definedName>
    <definedName name="EVSBB_3Q01">Tags_ols!$N$409</definedName>
    <definedName name="EVSBB_3Q02" localSheetId="10">Tags!$S$409</definedName>
    <definedName name="EVSBB_3Q02">Tags_ols!$S$409</definedName>
    <definedName name="EVSBB_3Q03" localSheetId="10">Tags!$X$409</definedName>
    <definedName name="EVSBB_3Q03">Tags_ols!$X$409</definedName>
    <definedName name="EVSBB_3Q04" localSheetId="10">Tags!$AC$409</definedName>
    <definedName name="EVSBB_3Q04">Tags_ols!$AC$409</definedName>
    <definedName name="EVSBB_3Q05" localSheetId="10">Tags!$AH$409</definedName>
    <definedName name="EVSBB_3Q05">Tags_ols!$AH$409</definedName>
    <definedName name="EVSBB_3Q06" localSheetId="10">Tags!$AM$409</definedName>
    <definedName name="EVSBB_3Q06">Tags_ols!$AM$409</definedName>
    <definedName name="EVSBB_3Q07" localSheetId="10">Tags!$AR$409</definedName>
    <definedName name="EVSBB_3Q07">Tags_ols!$AR$409</definedName>
    <definedName name="EVSBB_3Q08" localSheetId="10">Tags!$AW$409</definedName>
    <definedName name="EVSBB_3Q08">Tags_ols!$AW$409</definedName>
    <definedName name="EVSBB_3Q09" localSheetId="10">Tags!$BB$409</definedName>
    <definedName name="EVSBB_3Q09">Tags_ols!$BB$409</definedName>
    <definedName name="EVSBB_3Q10" localSheetId="10">Tags!$BG$409</definedName>
    <definedName name="EVSBB_3Q10">Tags_ols!$BG$409</definedName>
    <definedName name="EVSBB_3Q11" localSheetId="10">Tags!$BL$409</definedName>
    <definedName name="EVSBB_3Q11">Tags_ols!$BL$409</definedName>
    <definedName name="EVSBB_3Q12" localSheetId="10">Tags!$BQ$409</definedName>
    <definedName name="EVSBB_3Q12">Tags_ols!$BQ$409</definedName>
    <definedName name="EVSBB_3Q13" localSheetId="10">Tags!$BV$409</definedName>
    <definedName name="EVSBB_3Q13">Tags_ols!$BV$409</definedName>
    <definedName name="EVSBB_3Q14" localSheetId="10">Tags!$CA$409</definedName>
    <definedName name="EVSBB_3Q14">Tags_ols!$CA$409</definedName>
    <definedName name="EVSBB_3Q15" localSheetId="10">Tags!$CF$409</definedName>
    <definedName name="EVSBB_3Q15">Tags_ols!$CF$409</definedName>
    <definedName name="EVSBB_3Q16" localSheetId="10">Tags!$CK$409</definedName>
    <definedName name="EVSBB_3Q16">Tags_ols!$CK$409</definedName>
    <definedName name="EVSBB_3Q17" localSheetId="10">Tags!$CP$409</definedName>
    <definedName name="EVSBB_3Q17">Tags_ols!$CP$409</definedName>
    <definedName name="EVSBB_3Q18" localSheetId="10">Tags!$CU$409</definedName>
    <definedName name="EVSBB_3Q18">Tags_ols!$CU$409</definedName>
    <definedName name="EVSBB_3Q19" localSheetId="10">Tags!$CZ$409</definedName>
    <definedName name="EVSBB_3Q19">Tags_ols!$CZ$409</definedName>
    <definedName name="EVSBB_3Q20" localSheetId="10">Tags!$DE$409</definedName>
    <definedName name="EVSBB_3Q20">Tags_ols!$DE$409</definedName>
    <definedName name="EVSBB_3Q21">Tags!$DJ$409</definedName>
    <definedName name="EVSBB_3Q22">Tags!$DO$409</definedName>
    <definedName name="EVSBB_3Q23">Tags!$DT$409</definedName>
    <definedName name="EVSBB_3Q24">Tags!$DY$409</definedName>
    <definedName name="EVSBB_4Q00" localSheetId="10">Tags!$J$409</definedName>
    <definedName name="EVSBB_4Q00">Tags_ols!$J$409</definedName>
    <definedName name="EVSBB_4Q01" localSheetId="10">Tags!$O$409</definedName>
    <definedName name="EVSBB_4Q01">Tags_ols!$O$409</definedName>
    <definedName name="EVSBB_4Q02" localSheetId="10">Tags!$T$409</definedName>
    <definedName name="EVSBB_4Q02">Tags_ols!$T$409</definedName>
    <definedName name="EVSBB_4Q03" localSheetId="10">Tags!$Y$409</definedName>
    <definedName name="EVSBB_4Q03">Tags_ols!$Y$409</definedName>
    <definedName name="EVSBB_4Q04" localSheetId="10">Tags!$AD$409</definedName>
    <definedName name="EVSBB_4Q04">Tags_ols!$AD$409</definedName>
    <definedName name="EVSBB_4Q05" localSheetId="10">Tags!$AI$409</definedName>
    <definedName name="EVSBB_4Q05">Tags_ols!$AI$409</definedName>
    <definedName name="EVSBB_4Q06" localSheetId="10">Tags!$AN$409</definedName>
    <definedName name="EVSBB_4Q06">Tags_ols!$AN$409</definedName>
    <definedName name="EVSBB_4Q07" localSheetId="10">Tags!$AS$409</definedName>
    <definedName name="EVSBB_4Q07">Tags_ols!$AS$409</definedName>
    <definedName name="EVSBB_4Q08" localSheetId="10">Tags!$AX$409</definedName>
    <definedName name="EVSBB_4Q08">Tags_ols!$AX$409</definedName>
    <definedName name="EVSBB_4Q09" localSheetId="10">Tags!$BC$409</definedName>
    <definedName name="EVSBB_4Q09">Tags_ols!$BC$409</definedName>
    <definedName name="EVSBB_4Q10" localSheetId="10">Tags!$BH$409</definedName>
    <definedName name="EVSBB_4Q10">Tags_ols!$BH$409</definedName>
    <definedName name="EVSBB_4Q11" localSheetId="10">Tags!$BM$409</definedName>
    <definedName name="EVSBB_4Q11">Tags_ols!$BM$409</definedName>
    <definedName name="EVSBB_4Q12" localSheetId="10">Tags!$BR$409</definedName>
    <definedName name="EVSBB_4Q12">Tags_ols!$BR$409</definedName>
    <definedName name="EVSBB_4Q13" localSheetId="10">Tags!$BW$409</definedName>
    <definedName name="EVSBB_4Q13">Tags_ols!$BW$409</definedName>
    <definedName name="EVSBB_4Q14" localSheetId="10">Tags!$CB$409</definedName>
    <definedName name="EVSBB_4Q14">Tags_ols!$CB$409</definedName>
    <definedName name="EVSBB_4Q15" localSheetId="10">Tags!$CG$409</definedName>
    <definedName name="EVSBB_4Q15">Tags_ols!$CG$409</definedName>
    <definedName name="EVSBB_4Q16" localSheetId="10">Tags!$CL$409</definedName>
    <definedName name="EVSBB_4Q16">Tags_ols!$CL$409</definedName>
    <definedName name="EVSBB_4Q17" localSheetId="10">Tags!$CQ$409</definedName>
    <definedName name="EVSBB_4Q17">Tags_ols!$CQ$409</definedName>
    <definedName name="EVSBB_4Q18" localSheetId="10">Tags!$CV$409</definedName>
    <definedName name="EVSBB_4Q18">Tags_ols!$CV$409</definedName>
    <definedName name="EVSBB_4Q19" localSheetId="10">Tags!$DA$409</definedName>
    <definedName name="EVSBB_4Q19">Tags_ols!$DA$409</definedName>
    <definedName name="EVSBB_4Q20" localSheetId="10">Tags!$DF$409</definedName>
    <definedName name="EVSBB_4Q20">Tags_ols!$DF$409</definedName>
    <definedName name="EVSBB_4Q21">Tags!$DK$409</definedName>
    <definedName name="EVSBB_4Q22">Tags!$DP$409</definedName>
    <definedName name="EVSBB_4Q23">Tags!$DU$409</definedName>
    <definedName name="EVSBB_4Q24">Tags!$DZ$409</definedName>
    <definedName name="EXCPT_1995">Tags_ols!$B$14</definedName>
    <definedName name="EXCPT_1996">Tags_ols!$C$14</definedName>
    <definedName name="EXCPT_1997">Tags_ols!$D$14</definedName>
    <definedName name="EXCPT_1998">Tags_ols!$E$14</definedName>
    <definedName name="EXCPT_1999">Tags_ols!$F$14</definedName>
    <definedName name="EXCPT_1Q00" localSheetId="10">Tags!$G$14</definedName>
    <definedName name="EXCPT_1Q00">Tags_ols!$G$14</definedName>
    <definedName name="EXCPT_1Q01" localSheetId="10">Tags!$L$14</definedName>
    <definedName name="EXCPT_1Q01">Tags_ols!$L$14</definedName>
    <definedName name="EXCPT_1Q02" localSheetId="10">Tags!$Q$14</definedName>
    <definedName name="EXCPT_1Q02">Tags_ols!$Q$14</definedName>
    <definedName name="EXCPT_1Q03" localSheetId="10">Tags!$V$14</definedName>
    <definedName name="EXCPT_1Q03">Tags_ols!$V$14</definedName>
    <definedName name="EXCPT_1Q04" localSheetId="10">Tags!$AA$14</definedName>
    <definedName name="EXCPT_1Q04">Tags_ols!$AA$14</definedName>
    <definedName name="EXCPT_1Q05" localSheetId="10">Tags!$AF$14</definedName>
    <definedName name="EXCPT_1Q05">Tags_ols!$AF$14</definedName>
    <definedName name="EXCPT_1Q06" localSheetId="10">Tags!$AK$14</definedName>
    <definedName name="EXCPT_1Q06">Tags_ols!$AK$14</definedName>
    <definedName name="EXCPT_1Q07" localSheetId="10">Tags!$AP$14</definedName>
    <definedName name="EXCPT_1Q07">Tags_ols!$AP$14</definedName>
    <definedName name="EXCPT_1Q08" localSheetId="10">Tags!$AU$14</definedName>
    <definedName name="EXCPT_1Q08">Tags_ols!$AU$14</definedName>
    <definedName name="EXCPT_1Q09" localSheetId="10">Tags!$AZ$14</definedName>
    <definedName name="EXCPT_1Q09">Tags_ols!$AZ$14</definedName>
    <definedName name="EXCPT_1Q10" localSheetId="10">Tags!$BE$14</definedName>
    <definedName name="EXCPT_1Q10">Tags_ols!$BE$14</definedName>
    <definedName name="EXCPT_1Q11" localSheetId="10">Tags!$BJ$14</definedName>
    <definedName name="EXCPT_1Q11">Tags_ols!$BJ$14</definedName>
    <definedName name="EXCPT_1Q12" localSheetId="10">Tags!$BO$14</definedName>
    <definedName name="EXCPT_1Q12">Tags_ols!$BO$14</definedName>
    <definedName name="EXCPT_1Q13" localSheetId="10">Tags!$BT$14</definedName>
    <definedName name="EXCPT_1Q13">Tags_ols!$BT$14</definedName>
    <definedName name="EXCPT_1Q14" localSheetId="10">Tags!$BY$14</definedName>
    <definedName name="EXCPT_1Q14">Tags_ols!$BY$14</definedName>
    <definedName name="EXCPT_1Q15" localSheetId="10">Tags!$CD$14</definedName>
    <definedName name="EXCPT_1Q15">Tags_ols!$CD$14</definedName>
    <definedName name="EXCPT_1Q16" localSheetId="10">Tags!$CI$14</definedName>
    <definedName name="EXCPT_1Q16">Tags_ols!$CI$14</definedName>
    <definedName name="EXCPT_1Q17" localSheetId="10">Tags!$CN$14</definedName>
    <definedName name="EXCPT_1Q17">Tags_ols!$CN$14</definedName>
    <definedName name="EXCPT_1Q18" localSheetId="10">Tags!$CS$14</definedName>
    <definedName name="EXCPT_1Q18">Tags_ols!$CS$14</definedName>
    <definedName name="EXCPT_1Q19" localSheetId="10">Tags!$CX$14</definedName>
    <definedName name="EXCPT_1Q19">Tags_ols!$CX$14</definedName>
    <definedName name="EXCPT_1Q20" localSheetId="10">Tags!$DC$14</definedName>
    <definedName name="EXCPT_1Q20">Tags_ols!$DC$14</definedName>
    <definedName name="EXCPT_1Q21">Tags!$DH$14</definedName>
    <definedName name="EXCPT_1Q22">Tags!$DM$14</definedName>
    <definedName name="EXCPT_1Q23">Tags!$DR$14</definedName>
    <definedName name="EXCPT_1Q24">Tags!$DW$14</definedName>
    <definedName name="EXCPT_2000" localSheetId="10">Tags!$K$14</definedName>
    <definedName name="EXCPT_2000">Tags_ols!$K$14</definedName>
    <definedName name="EXCPT_2001" localSheetId="10">Tags!$P$14</definedName>
    <definedName name="EXCPT_2001">Tags_ols!$P$14</definedName>
    <definedName name="EXCPT_2002" localSheetId="10">Tags!$U$14</definedName>
    <definedName name="EXCPT_2002">Tags_ols!$U$14</definedName>
    <definedName name="EXCPT_2003" localSheetId="10">Tags!$Z$14</definedName>
    <definedName name="EXCPT_2003">Tags_ols!$Z$14</definedName>
    <definedName name="EXCPT_2004" localSheetId="10">Tags!$AE$14</definedName>
    <definedName name="EXCPT_2004">Tags_ols!$AE$14</definedName>
    <definedName name="EXCPT_2005" localSheetId="10">Tags!$AJ$14</definedName>
    <definedName name="EXCPT_2005">Tags_ols!$AJ$14</definedName>
    <definedName name="EXCPT_2006" localSheetId="10">Tags!$AO$14</definedName>
    <definedName name="EXCPT_2006">Tags_ols!$AO$14</definedName>
    <definedName name="EXCPT_2007" localSheetId="10">Tags!$AT$14</definedName>
    <definedName name="EXCPT_2007">Tags_ols!$AT$14</definedName>
    <definedName name="EXCPT_2008" localSheetId="10">Tags!$AY$14</definedName>
    <definedName name="EXCPT_2008">Tags_ols!$AY$14</definedName>
    <definedName name="EXCPT_2009" localSheetId="10">Tags!$BD$14</definedName>
    <definedName name="EXCPT_2009">Tags_ols!$BD$14</definedName>
    <definedName name="EXCPT_2010" localSheetId="10">Tags!$BI$14</definedName>
    <definedName name="EXCPT_2010">Tags_ols!$BI$14</definedName>
    <definedName name="EXCPT_2011" localSheetId="10">Tags!$BN$14</definedName>
    <definedName name="EXCPT_2011">Tags_ols!$BN$14</definedName>
    <definedName name="EXCPT_2012" localSheetId="10">Tags!$BS$14</definedName>
    <definedName name="EXCPT_2012">Tags_ols!$BS$14</definedName>
    <definedName name="EXCPT_2013" localSheetId="10">Tags!$BX$14</definedName>
    <definedName name="EXCPT_2013">Tags_ols!$BX$14</definedName>
    <definedName name="EXCPT_2014" localSheetId="10">Tags!$CC$14</definedName>
    <definedName name="EXCPT_2014">Tags_ols!$CC$14</definedName>
    <definedName name="EXCPT_2015" localSheetId="10">Tags!#REF!</definedName>
    <definedName name="EXCPT_2015">Tags!$CH$14</definedName>
    <definedName name="EXCPT_2016" localSheetId="10">Tags!$CM$14</definedName>
    <definedName name="EXCPT_2016">Tags_ols!$CM$14</definedName>
    <definedName name="EXCPT_2017" localSheetId="10">Tags!$CR$14</definedName>
    <definedName name="EXCPT_2017">Tags_ols!$CR$14</definedName>
    <definedName name="EXCPT_2018" localSheetId="10">Tags!$CW$14</definedName>
    <definedName name="EXCPT_2018">Tags_ols!$CW$14</definedName>
    <definedName name="EXCPT_2019" localSheetId="10">Tags!$DB$14</definedName>
    <definedName name="EXCPT_2019">Tags_ols!$DB$14</definedName>
    <definedName name="EXCPT_2020" localSheetId="10">Tags!$DG$14</definedName>
    <definedName name="EXCPT_2020">Tags_ols!$DG$14</definedName>
    <definedName name="EXCPT_2021">Tags!$DL$14</definedName>
    <definedName name="EXCPT_2022">Tags!$DQ$14</definedName>
    <definedName name="EXCPT_2023">Tags!$DV$14</definedName>
    <definedName name="EXCPT_2024">Tags!$EA$14</definedName>
    <definedName name="EXCPT_2Q00" localSheetId="10">Tags!$H$14</definedName>
    <definedName name="EXCPT_2Q00">Tags_ols!$H$14</definedName>
    <definedName name="EXCPT_2Q01" localSheetId="10">Tags!$M$14</definedName>
    <definedName name="EXCPT_2Q01">Tags_ols!$M$14</definedName>
    <definedName name="EXCPT_2Q02" localSheetId="10">Tags!$R$14</definedName>
    <definedName name="EXCPT_2Q02">Tags_ols!$R$14</definedName>
    <definedName name="EXCPT_2Q03" localSheetId="10">Tags!$W$14</definedName>
    <definedName name="EXCPT_2Q03">Tags_ols!$W$14</definedName>
    <definedName name="EXCPT_2Q04" localSheetId="10">Tags!$AB$14</definedName>
    <definedName name="EXCPT_2Q04">Tags_ols!$AB$14</definedName>
    <definedName name="EXCPT_2Q05" localSheetId="10">Tags!$AG$14</definedName>
    <definedName name="EXCPT_2Q05">Tags_ols!$AG$14</definedName>
    <definedName name="EXCPT_2Q06" localSheetId="10">Tags!$AL$14</definedName>
    <definedName name="EXCPT_2Q06">Tags_ols!$AL$14</definedName>
    <definedName name="EXCPT_2Q07" localSheetId="10">Tags!$AQ$14</definedName>
    <definedName name="EXCPT_2Q07">Tags_ols!$AQ$14</definedName>
    <definedName name="EXCPT_2Q08" localSheetId="10">Tags!$AV$14</definedName>
    <definedName name="EXCPT_2Q08">Tags_ols!$AV$14</definedName>
    <definedName name="EXCPT_2Q09" localSheetId="10">Tags!$BA$14</definedName>
    <definedName name="EXCPT_2Q09">Tags_ols!$BA$14</definedName>
    <definedName name="EXCPT_2Q10" localSheetId="10">Tags!$BF$14</definedName>
    <definedName name="EXCPT_2Q10">Tags_ols!$BF$14</definedName>
    <definedName name="EXCPT_2Q11" localSheetId="10">Tags!$BK$14</definedName>
    <definedName name="EXCPT_2Q11">Tags_ols!$BK$14</definedName>
    <definedName name="EXCPT_2Q12" localSheetId="10">Tags!$BP$14</definedName>
    <definedName name="EXCPT_2Q12">Tags_ols!$BP$14</definedName>
    <definedName name="EXCPT_2Q13" localSheetId="10">Tags!$BU$14</definedName>
    <definedName name="EXCPT_2Q13">Tags_ols!$BU$14</definedName>
    <definedName name="EXCPT_2Q14" localSheetId="10">Tags!$BZ$14</definedName>
    <definedName name="EXCPT_2Q14">Tags_ols!$BZ$14</definedName>
    <definedName name="EXCPT_2Q15" localSheetId="10">Tags!$CE$14</definedName>
    <definedName name="EXCPT_2Q15">Tags_ols!$CE$14</definedName>
    <definedName name="EXCPT_2Q16" localSheetId="10">Tags!$CJ$14</definedName>
    <definedName name="EXCPT_2Q16">Tags_ols!$CJ$14</definedName>
    <definedName name="EXCPT_2Q17" localSheetId="10">Tags!$CO$14</definedName>
    <definedName name="EXCPT_2Q17">Tags_ols!$CO$14</definedName>
    <definedName name="EXCPT_2Q18" localSheetId="10">Tags!$CT$14</definedName>
    <definedName name="EXCPT_2Q18">Tags_ols!$CT$14</definedName>
    <definedName name="EXCPT_2Q19" localSheetId="10">Tags!$CY$14</definedName>
    <definedName name="EXCPT_2Q19">Tags_ols!$CY$14</definedName>
    <definedName name="EXCPT_2Q20" localSheetId="10">Tags!$DD$14</definedName>
    <definedName name="EXCPT_2Q20">Tags_ols!$DD$14</definedName>
    <definedName name="EXCPT_2Q21">Tags!$DI$14</definedName>
    <definedName name="EXCPT_2Q22">Tags!$DN$14</definedName>
    <definedName name="EXCPT_2Q23">Tags!$DS$14</definedName>
    <definedName name="EXCPT_2Q24">Tags!$DX$14</definedName>
    <definedName name="EXCPT_3Q00" localSheetId="10">Tags!$I$14</definedName>
    <definedName name="EXCPT_3Q00">Tags_ols!$I$14</definedName>
    <definedName name="EXCPT_3Q01" localSheetId="10">Tags!$N$14</definedName>
    <definedName name="EXCPT_3Q01">Tags_ols!$N$14</definedName>
    <definedName name="EXCPT_3Q02" localSheetId="10">Tags!$S$14</definedName>
    <definedName name="EXCPT_3Q02">Tags_ols!$S$14</definedName>
    <definedName name="EXCPT_3Q03" localSheetId="10">Tags!$X$14</definedName>
    <definedName name="EXCPT_3Q03">Tags_ols!$X$14</definedName>
    <definedName name="EXCPT_3Q04" localSheetId="10">Tags!$AC$14</definedName>
    <definedName name="EXCPT_3Q04">Tags_ols!$AC$14</definedName>
    <definedName name="EXCPT_3Q05" localSheetId="10">Tags!$AH$14</definedName>
    <definedName name="EXCPT_3Q05">Tags_ols!$AH$14</definedName>
    <definedName name="EXCPT_3Q06" localSheetId="10">Tags!$AM$14</definedName>
    <definedName name="EXCPT_3Q06">Tags_ols!$AM$14</definedName>
    <definedName name="EXCPT_3Q07" localSheetId="10">Tags!$AR$14</definedName>
    <definedName name="EXCPT_3Q07">Tags_ols!$AR$14</definedName>
    <definedName name="EXCPT_3Q08" localSheetId="10">Tags!$AW$14</definedName>
    <definedName name="EXCPT_3Q08">Tags_ols!$AW$14</definedName>
    <definedName name="EXCPT_3Q09" localSheetId="10">Tags!$BB$14</definedName>
    <definedName name="EXCPT_3Q09">Tags_ols!$BB$14</definedName>
    <definedName name="EXCPT_3Q10" localSheetId="10">Tags!$BG$14</definedName>
    <definedName name="EXCPT_3Q10">Tags_ols!$BG$14</definedName>
    <definedName name="EXCPT_3Q11" localSheetId="10">Tags!$BL$14</definedName>
    <definedName name="EXCPT_3Q11">Tags_ols!$BL$14</definedName>
    <definedName name="EXCPT_3Q12" localSheetId="10">Tags!$BQ$14</definedName>
    <definedName name="EXCPT_3Q12">Tags_ols!$BQ$14</definedName>
    <definedName name="EXCPT_3Q13" localSheetId="10">Tags!$BV$14</definedName>
    <definedName name="EXCPT_3Q13">Tags_ols!$BV$14</definedName>
    <definedName name="EXCPT_3Q14" localSheetId="10">Tags!$CA$14</definedName>
    <definedName name="EXCPT_3Q14">Tags_ols!$CA$14</definedName>
    <definedName name="EXCPT_3Q15" localSheetId="10">Tags!$CF$14</definedName>
    <definedName name="EXCPT_3Q15">Tags_ols!$CF$14</definedName>
    <definedName name="EXCPT_3Q16" localSheetId="10">Tags!$CK$14</definedName>
    <definedName name="EXCPT_3Q16">Tags_ols!$CK$14</definedName>
    <definedName name="EXCPT_3Q17" localSheetId="10">Tags!$CP$14</definedName>
    <definedName name="EXCPT_3Q17">Tags_ols!$CP$14</definedName>
    <definedName name="EXCPT_3Q18" localSheetId="10">Tags!$CU$14</definedName>
    <definedName name="EXCPT_3Q18">Tags_ols!$CU$14</definedName>
    <definedName name="EXCPT_3Q19" localSheetId="10">Tags!$CZ$14</definedName>
    <definedName name="EXCPT_3Q19">Tags_ols!$CZ$14</definedName>
    <definedName name="EXCPT_3Q20" localSheetId="10">Tags!$DE$14</definedName>
    <definedName name="EXCPT_3Q20">Tags_ols!$DE$14</definedName>
    <definedName name="EXCPT_3Q21">Tags!$DJ$14</definedName>
    <definedName name="EXCPT_3Q22">Tags!$DO$14</definedName>
    <definedName name="EXCPT_3Q23">Tags!$DT$14</definedName>
    <definedName name="EXCPT_3Q24">Tags!$DY$14</definedName>
    <definedName name="EXCPT_4Q00" localSheetId="10">Tags!$J$14</definedName>
    <definedName name="EXCPT_4Q00">Tags_ols!$J$14</definedName>
    <definedName name="EXCPT_4Q01" localSheetId="10">Tags!$O$14</definedName>
    <definedName name="EXCPT_4Q01">Tags_ols!$O$14</definedName>
    <definedName name="EXCPT_4Q02" localSheetId="10">Tags!$T$14</definedName>
    <definedName name="EXCPT_4Q02">Tags_ols!$T$14</definedName>
    <definedName name="EXCPT_4Q03" localSheetId="10">Tags!$Y$14</definedName>
    <definedName name="EXCPT_4Q03">Tags_ols!$Y$14</definedName>
    <definedName name="EXCPT_4Q04" localSheetId="10">Tags!$AD$14</definedName>
    <definedName name="EXCPT_4Q04">Tags_ols!$AD$14</definedName>
    <definedName name="EXCPT_4Q05" localSheetId="10">Tags!$AI$14</definedName>
    <definedName name="EXCPT_4Q05">Tags_ols!$AI$14</definedName>
    <definedName name="EXCPT_4Q06" localSheetId="10">Tags!$AN$14</definedName>
    <definedName name="EXCPT_4Q06">Tags_ols!$AN$14</definedName>
    <definedName name="EXCPT_4Q07" localSheetId="10">Tags!$AS$14</definedName>
    <definedName name="EXCPT_4Q07">Tags_ols!$AS$14</definedName>
    <definedName name="EXCPT_4Q08" localSheetId="10">Tags!$AX$14</definedName>
    <definedName name="EXCPT_4Q08">Tags_ols!$AX$14</definedName>
    <definedName name="EXCPT_4Q09" localSheetId="10">Tags!$BC$14</definedName>
    <definedName name="EXCPT_4Q09">Tags_ols!$BC$14</definedName>
    <definedName name="EXCPT_4Q10" localSheetId="10">Tags!$BH$14</definedName>
    <definedName name="EXCPT_4Q10">Tags_ols!$BH$14</definedName>
    <definedName name="EXCPT_4Q11" localSheetId="10">Tags!$BM$14</definedName>
    <definedName name="EXCPT_4Q11">Tags_ols!$BM$14</definedName>
    <definedName name="EXCPT_4Q12" localSheetId="10">Tags!$BR$14</definedName>
    <definedName name="EXCPT_4Q12">Tags_ols!$BR$14</definedName>
    <definedName name="EXCPT_4Q13" localSheetId="10">Tags!$BW$14</definedName>
    <definedName name="EXCPT_4Q13">Tags_ols!$BW$14</definedName>
    <definedName name="EXCPT_4Q14" localSheetId="10">Tags!$CB$14</definedName>
    <definedName name="EXCPT_4Q14">Tags_ols!$CB$14</definedName>
    <definedName name="EXCPT_4Q15" localSheetId="10">Tags!$CG$14</definedName>
    <definedName name="EXCPT_4Q15">Tags_ols!$CG$14</definedName>
    <definedName name="EXCPT_4Q16" localSheetId="10">Tags!$CL$14</definedName>
    <definedName name="EXCPT_4Q16">Tags_ols!$CL$14</definedName>
    <definedName name="EXCPT_4Q17" localSheetId="10">Tags!$CQ$14</definedName>
    <definedName name="EXCPT_4Q17">Tags_ols!$CQ$14</definedName>
    <definedName name="EXCPT_4Q18" localSheetId="10">Tags!$CV$14</definedName>
    <definedName name="EXCPT_4Q18">Tags_ols!$CV$14</definedName>
    <definedName name="EXCPT_4Q19" localSheetId="10">Tags!$DA$14</definedName>
    <definedName name="EXCPT_4Q19">Tags_ols!$DA$14</definedName>
    <definedName name="EXCPT_4Q20" localSheetId="10">Tags!$DF$14</definedName>
    <definedName name="EXCPT_4Q20">Tags_ols!$DF$14</definedName>
    <definedName name="EXCPT_4Q21">Tags!$DK$14</definedName>
    <definedName name="EXCPT_4Q22">Tags!$DP$14</definedName>
    <definedName name="EXCPT_4Q23">Tags!$DU$14</definedName>
    <definedName name="EXCPT_4Q24">Tags!$DZ$14</definedName>
    <definedName name="ExpandOutputs" localSheetId="9">Tags_ols!ExpandOutputs</definedName>
    <definedName name="ExpandOutputs" localSheetId="5">'TP Calculation'!ExpandOutputs</definedName>
    <definedName name="ExpandOutputs">Tags_ols!ExpandOutputs</definedName>
    <definedName name="ExpandVPeriods" localSheetId="9">Tags_ols!ExpandVPeriods</definedName>
    <definedName name="ExpandVPeriods" localSheetId="5">'TP Calculation'!ExpandVPeriods</definedName>
    <definedName name="ExpandVPeriods">Tags_ols!ExpandVPeriods</definedName>
    <definedName name="ExportFile" localSheetId="9">Tags_ols!ExportFile</definedName>
    <definedName name="ExportFile" localSheetId="5">'TP Calculation'!ExportFile</definedName>
    <definedName name="ExportFile">Tags_ols!ExportFile</definedName>
    <definedName name="EXTRA_1995">Tags_ols!$B$23</definedName>
    <definedName name="EXTRA_1996">Tags_ols!$C$23</definedName>
    <definedName name="EXTRA_1997">Tags_ols!$D$23</definedName>
    <definedName name="EXTRA_1998">Tags_ols!$E$23</definedName>
    <definedName name="EXTRA_1999">Tags_ols!$F$23</definedName>
    <definedName name="EXTRA_1Q00" localSheetId="10">Tags!$G$23</definedName>
    <definedName name="EXTRA_1Q00">Tags_ols!$G$23</definedName>
    <definedName name="EXTRA_1Q01" localSheetId="10">Tags!$L$23</definedName>
    <definedName name="EXTRA_1Q01">Tags_ols!$L$23</definedName>
    <definedName name="EXTRA_1Q02" localSheetId="10">Tags!$Q$23</definedName>
    <definedName name="EXTRA_1Q02">Tags_ols!$Q$23</definedName>
    <definedName name="EXTRA_1Q03" localSheetId="10">Tags!$V$23</definedName>
    <definedName name="EXTRA_1Q03">Tags_ols!$V$23</definedName>
    <definedName name="EXTRA_1Q04" localSheetId="10">Tags!$AA$23</definedName>
    <definedName name="EXTRA_1Q04">Tags_ols!$AA$23</definedName>
    <definedName name="EXTRA_1Q05" localSheetId="10">Tags!$AF$23</definedName>
    <definedName name="EXTRA_1Q05">Tags_ols!$AF$23</definedName>
    <definedName name="EXTRA_1Q06" localSheetId="10">Tags!$AK$23</definedName>
    <definedName name="EXTRA_1Q06">Tags_ols!$AK$23</definedName>
    <definedName name="EXTRA_1Q07" localSheetId="10">Tags!$AP$23</definedName>
    <definedName name="EXTRA_1Q07">Tags_ols!$AP$23</definedName>
    <definedName name="EXTRA_1Q08" localSheetId="10">Tags!$AU$23</definedName>
    <definedName name="EXTRA_1Q08">Tags_ols!$AU$23</definedName>
    <definedName name="EXTRA_1Q09" localSheetId="10">Tags!$AZ$23</definedName>
    <definedName name="EXTRA_1Q09">Tags_ols!$AZ$23</definedName>
    <definedName name="EXTRA_1Q10" localSheetId="10">Tags!$BE$23</definedName>
    <definedName name="EXTRA_1Q10">Tags_ols!$BE$23</definedName>
    <definedName name="EXTRA_1Q11" localSheetId="10">Tags!$BJ$23</definedName>
    <definedName name="EXTRA_1Q11">Tags_ols!$BJ$23</definedName>
    <definedName name="EXTRA_1Q12" localSheetId="10">Tags!$BO$23</definedName>
    <definedName name="EXTRA_1Q12">Tags_ols!$BO$23</definedName>
    <definedName name="EXTRA_1Q13" localSheetId="10">Tags!$BT$23</definedName>
    <definedName name="EXTRA_1Q13">Tags_ols!$BT$23</definedName>
    <definedName name="EXTRA_1Q14" localSheetId="10">Tags!$BY$23</definedName>
    <definedName name="EXTRA_1Q14">Tags_ols!$BY$23</definedName>
    <definedName name="EXTRA_1Q15" localSheetId="10">Tags!$CD$23</definedName>
    <definedName name="EXTRA_1Q15">Tags_ols!$CD$23</definedName>
    <definedName name="EXTRA_1Q16" localSheetId="10">Tags!$CI$23</definedName>
    <definedName name="EXTRA_1Q16">Tags_ols!$CI$23</definedName>
    <definedName name="EXTRA_1Q17" localSheetId="10">Tags!$CN$23</definedName>
    <definedName name="EXTRA_1Q17">Tags_ols!$CN$23</definedName>
    <definedName name="EXTRA_1Q18" localSheetId="10">Tags!$CS$23</definedName>
    <definedName name="EXTRA_1Q18">Tags_ols!$CS$23</definedName>
    <definedName name="EXTRA_1Q19" localSheetId="10">Tags!$CX$23</definedName>
    <definedName name="EXTRA_1Q19">Tags_ols!$CX$23</definedName>
    <definedName name="EXTRA_1Q20" localSheetId="10">Tags!$DC$23</definedName>
    <definedName name="EXTRA_1Q20">Tags_ols!$DC$23</definedName>
    <definedName name="EXTRA_1Q21">Tags!$DH$23</definedName>
    <definedName name="EXTRA_1Q22">Tags!$DM$23</definedName>
    <definedName name="EXTRA_1Q23">Tags!$DR$23</definedName>
    <definedName name="EXTRA_1Q24">Tags!$DW$23</definedName>
    <definedName name="EXTRA_2000" localSheetId="10">Tags!$K$23</definedName>
    <definedName name="EXTRA_2000">Tags_ols!$K$23</definedName>
    <definedName name="EXTRA_2001" localSheetId="10">Tags!$P$23</definedName>
    <definedName name="EXTRA_2001">Tags_ols!$P$23</definedName>
    <definedName name="EXTRA_2002" localSheetId="10">Tags!$U$23</definedName>
    <definedName name="EXTRA_2002">Tags_ols!$U$23</definedName>
    <definedName name="EXTRA_2003" localSheetId="10">Tags!$Z$23</definedName>
    <definedName name="EXTRA_2003">Tags_ols!$Z$23</definedName>
    <definedName name="EXTRA_2004" localSheetId="10">Tags!$AE$23</definedName>
    <definedName name="EXTRA_2004">Tags_ols!$AE$23</definedName>
    <definedName name="EXTRA_2005" localSheetId="10">Tags!$AJ$23</definedName>
    <definedName name="EXTRA_2005">Tags_ols!$AJ$23</definedName>
    <definedName name="EXTRA_2006" localSheetId="10">Tags!$AO$23</definedName>
    <definedName name="EXTRA_2006">Tags_ols!$AO$23</definedName>
    <definedName name="EXTRA_2007" localSheetId="10">Tags!$AT$23</definedName>
    <definedName name="EXTRA_2007">Tags_ols!$AT$23</definedName>
    <definedName name="EXTRA_2008" localSheetId="10">Tags!$AY$23</definedName>
    <definedName name="EXTRA_2008">Tags_ols!$AY$23</definedName>
    <definedName name="EXTRA_2009" localSheetId="10">Tags!$BD$23</definedName>
    <definedName name="EXTRA_2009">Tags_ols!$BD$23</definedName>
    <definedName name="EXTRA_2010" localSheetId="10">Tags!$BI$23</definedName>
    <definedName name="EXTRA_2010">Tags_ols!$BI$23</definedName>
    <definedName name="EXTRA_2011" localSheetId="10">Tags!$BN$23</definedName>
    <definedName name="EXTRA_2011">Tags_ols!$BN$23</definedName>
    <definedName name="EXTRA_2012" localSheetId="10">Tags!$BS$23</definedName>
    <definedName name="EXTRA_2012">Tags_ols!$BS$23</definedName>
    <definedName name="EXTRA_2013" localSheetId="10">Tags!$BX$23</definedName>
    <definedName name="EXTRA_2013">Tags_ols!$BX$23</definedName>
    <definedName name="EXTRA_2014" localSheetId="10">Tags!$CC$23</definedName>
    <definedName name="EXTRA_2014">Tags_ols!$CC$23</definedName>
    <definedName name="EXTRA_2015" localSheetId="10">Tags!#REF!</definedName>
    <definedName name="EXTRA_2015">Tags!$CH$23</definedName>
    <definedName name="EXTRA_2016" localSheetId="10">Tags!$CM$23</definedName>
    <definedName name="EXTRA_2016">Tags_ols!$CM$23</definedName>
    <definedName name="EXTRA_2017" localSheetId="10">Tags!$CR$23</definedName>
    <definedName name="EXTRA_2017">Tags_ols!$CR$23</definedName>
    <definedName name="EXTRA_2018" localSheetId="10">Tags!$CW$23</definedName>
    <definedName name="EXTRA_2018">Tags_ols!$CW$23</definedName>
    <definedName name="EXTRA_2019" localSheetId="10">Tags!$DB$23</definedName>
    <definedName name="EXTRA_2019">Tags_ols!$DB$23</definedName>
    <definedName name="EXTRA_2020" localSheetId="10">Tags!$DG$23</definedName>
    <definedName name="EXTRA_2020">Tags_ols!$DG$23</definedName>
    <definedName name="EXTRA_2021">Tags!$DL$23</definedName>
    <definedName name="EXTRA_2022">Tags!$DQ$23</definedName>
    <definedName name="EXTRA_2023">Tags!$DV$23</definedName>
    <definedName name="EXTRA_2024">Tags!$EA$23</definedName>
    <definedName name="EXTRA_2Q00" localSheetId="10">Tags!$H$23</definedName>
    <definedName name="EXTRA_2Q00">Tags_ols!$H$23</definedName>
    <definedName name="EXTRA_2Q01" localSheetId="10">Tags!$M$23</definedName>
    <definedName name="EXTRA_2Q01">Tags_ols!$M$23</definedName>
    <definedName name="EXTRA_2Q02" localSheetId="10">Tags!$R$23</definedName>
    <definedName name="EXTRA_2Q02">Tags_ols!$R$23</definedName>
    <definedName name="EXTRA_2Q03" localSheetId="10">Tags!$W$23</definedName>
    <definedName name="EXTRA_2Q03">Tags_ols!$W$23</definedName>
    <definedName name="EXTRA_2Q04" localSheetId="10">Tags!$AB$23</definedName>
    <definedName name="EXTRA_2Q04">Tags_ols!$AB$23</definedName>
    <definedName name="EXTRA_2Q05" localSheetId="10">Tags!$AG$23</definedName>
    <definedName name="EXTRA_2Q05">Tags_ols!$AG$23</definedName>
    <definedName name="EXTRA_2Q06" localSheetId="10">Tags!$AL$23</definedName>
    <definedName name="EXTRA_2Q06">Tags_ols!$AL$23</definedName>
    <definedName name="EXTRA_2Q07" localSheetId="10">Tags!$AQ$23</definedName>
    <definedName name="EXTRA_2Q07">Tags_ols!$AQ$23</definedName>
    <definedName name="EXTRA_2Q08" localSheetId="10">Tags!$AV$23</definedName>
    <definedName name="EXTRA_2Q08">Tags_ols!$AV$23</definedName>
    <definedName name="EXTRA_2Q09" localSheetId="10">Tags!$BA$23</definedName>
    <definedName name="EXTRA_2Q09">Tags_ols!$BA$23</definedName>
    <definedName name="EXTRA_2Q10" localSheetId="10">Tags!$BF$23</definedName>
    <definedName name="EXTRA_2Q10">Tags_ols!$BF$23</definedName>
    <definedName name="EXTRA_2Q11" localSheetId="10">Tags!$BK$23</definedName>
    <definedName name="EXTRA_2Q11">Tags_ols!$BK$23</definedName>
    <definedName name="EXTRA_2Q12" localSheetId="10">Tags!$BP$23</definedName>
    <definedName name="EXTRA_2Q12">Tags_ols!$BP$23</definedName>
    <definedName name="EXTRA_2Q13" localSheetId="10">Tags!$BU$23</definedName>
    <definedName name="EXTRA_2Q13">Tags_ols!$BU$23</definedName>
    <definedName name="EXTRA_2Q14" localSheetId="10">Tags!$BZ$23</definedName>
    <definedName name="EXTRA_2Q14">Tags_ols!$BZ$23</definedName>
    <definedName name="EXTRA_2Q15" localSheetId="10">Tags!$CE$23</definedName>
    <definedName name="EXTRA_2Q15">Tags_ols!$CE$23</definedName>
    <definedName name="EXTRA_2Q16" localSheetId="10">Tags!$CJ$23</definedName>
    <definedName name="EXTRA_2Q16">Tags_ols!$CJ$23</definedName>
    <definedName name="EXTRA_2Q17" localSheetId="10">Tags!$CO$23</definedName>
    <definedName name="EXTRA_2Q17">Tags_ols!$CO$23</definedName>
    <definedName name="EXTRA_2Q18" localSheetId="10">Tags!$CT$23</definedName>
    <definedName name="EXTRA_2Q18">Tags_ols!$CT$23</definedName>
    <definedName name="EXTRA_2Q19" localSheetId="10">Tags!$CY$23</definedName>
    <definedName name="EXTRA_2Q19">Tags_ols!$CY$23</definedName>
    <definedName name="EXTRA_2Q20" localSheetId="10">Tags!$DD$23</definedName>
    <definedName name="EXTRA_2Q20">Tags_ols!$DD$23</definedName>
    <definedName name="EXTRA_2Q21">Tags!$DI$23</definedName>
    <definedName name="EXTRA_2Q22">Tags!$DN$23</definedName>
    <definedName name="EXTRA_2Q23">Tags!$DS$23</definedName>
    <definedName name="EXTRA_2Q24">Tags!$DX$23</definedName>
    <definedName name="EXTRA_3Q00" localSheetId="10">Tags!$I$23</definedName>
    <definedName name="EXTRA_3Q00">Tags_ols!$I$23</definedName>
    <definedName name="EXTRA_3Q01" localSheetId="10">Tags!$N$23</definedName>
    <definedName name="EXTRA_3Q01">Tags_ols!$N$23</definedName>
    <definedName name="EXTRA_3Q02" localSheetId="10">Tags!$S$23</definedName>
    <definedName name="EXTRA_3Q02">Tags_ols!$S$23</definedName>
    <definedName name="EXTRA_3Q03" localSheetId="10">Tags!$X$23</definedName>
    <definedName name="EXTRA_3Q03">Tags_ols!$X$23</definedName>
    <definedName name="EXTRA_3Q04" localSheetId="10">Tags!$AC$23</definedName>
    <definedName name="EXTRA_3Q04">Tags_ols!$AC$23</definedName>
    <definedName name="EXTRA_3Q05" localSheetId="10">Tags!$AH$23</definedName>
    <definedName name="EXTRA_3Q05">Tags_ols!$AH$23</definedName>
    <definedName name="EXTRA_3Q06" localSheetId="10">Tags!$AM$23</definedName>
    <definedName name="EXTRA_3Q06">Tags_ols!$AM$23</definedName>
    <definedName name="EXTRA_3Q07" localSheetId="10">Tags!$AR$23</definedName>
    <definedName name="EXTRA_3Q07">Tags_ols!$AR$23</definedName>
    <definedName name="EXTRA_3Q08" localSheetId="10">Tags!$AW$23</definedName>
    <definedName name="EXTRA_3Q08">Tags_ols!$AW$23</definedName>
    <definedName name="EXTRA_3Q09" localSheetId="10">Tags!$BB$23</definedName>
    <definedName name="EXTRA_3Q09">Tags_ols!$BB$23</definedName>
    <definedName name="EXTRA_3Q10" localSheetId="10">Tags!$BG$23</definedName>
    <definedName name="EXTRA_3Q10">Tags_ols!$BG$23</definedName>
    <definedName name="EXTRA_3Q11" localSheetId="10">Tags!$BL$23</definedName>
    <definedName name="EXTRA_3Q11">Tags_ols!$BL$23</definedName>
    <definedName name="EXTRA_3Q12" localSheetId="10">Tags!$BQ$23</definedName>
    <definedName name="EXTRA_3Q12">Tags_ols!$BQ$23</definedName>
    <definedName name="EXTRA_3Q13" localSheetId="10">Tags!$BV$23</definedName>
    <definedName name="EXTRA_3Q13">Tags_ols!$BV$23</definedName>
    <definedName name="EXTRA_3Q14" localSheetId="10">Tags!$CA$23</definedName>
    <definedName name="EXTRA_3Q14">Tags_ols!$CA$23</definedName>
    <definedName name="EXTRA_3Q15" localSheetId="10">Tags!$CF$23</definedName>
    <definedName name="EXTRA_3Q15">Tags_ols!$CF$23</definedName>
    <definedName name="EXTRA_3Q16" localSheetId="10">Tags!$CK$23</definedName>
    <definedName name="EXTRA_3Q16">Tags_ols!$CK$23</definedName>
    <definedName name="EXTRA_3Q17" localSheetId="10">Tags!$CP$23</definedName>
    <definedName name="EXTRA_3Q17">Tags_ols!$CP$23</definedName>
    <definedName name="EXTRA_3Q18" localSheetId="10">Tags!$CU$23</definedName>
    <definedName name="EXTRA_3Q18">Tags_ols!$CU$23</definedName>
    <definedName name="EXTRA_3Q19" localSheetId="10">Tags!$CZ$23</definedName>
    <definedName name="EXTRA_3Q19">Tags_ols!$CZ$23</definedName>
    <definedName name="EXTRA_3Q20" localSheetId="10">Tags!$DE$23</definedName>
    <definedName name="EXTRA_3Q20">Tags_ols!$DE$23</definedName>
    <definedName name="EXTRA_3Q21">Tags!$DJ$23</definedName>
    <definedName name="EXTRA_3Q22">Tags!$DO$23</definedName>
    <definedName name="EXTRA_3Q23">Tags!$DT$23</definedName>
    <definedName name="EXTRA_3Q24">Tags!$DY$23</definedName>
    <definedName name="EXTRA_4Q00" localSheetId="10">Tags!$J$23</definedName>
    <definedName name="EXTRA_4Q00">Tags_ols!$J$23</definedName>
    <definedName name="EXTRA_4Q01" localSheetId="10">Tags!$O$23</definedName>
    <definedName name="EXTRA_4Q01">Tags_ols!$O$23</definedName>
    <definedName name="EXTRA_4Q02" localSheetId="10">Tags!$T$23</definedName>
    <definedName name="EXTRA_4Q02">Tags_ols!$T$23</definedName>
    <definedName name="EXTRA_4Q03" localSheetId="10">Tags!$Y$23</definedName>
    <definedName name="EXTRA_4Q03">Tags_ols!$Y$23</definedName>
    <definedName name="EXTRA_4Q04" localSheetId="10">Tags!$AD$23</definedName>
    <definedName name="EXTRA_4Q04">Tags_ols!$AD$23</definedName>
    <definedName name="EXTRA_4Q05" localSheetId="10">Tags!$AI$23</definedName>
    <definedName name="EXTRA_4Q05">Tags_ols!$AI$23</definedName>
    <definedName name="EXTRA_4Q06" localSheetId="10">Tags!$AN$23</definedName>
    <definedName name="EXTRA_4Q06">Tags_ols!$AN$23</definedName>
    <definedName name="EXTRA_4Q07" localSheetId="10">Tags!$AS$23</definedName>
    <definedName name="EXTRA_4Q07">Tags_ols!$AS$23</definedName>
    <definedName name="EXTRA_4Q08" localSheetId="10">Tags!$AX$23</definedName>
    <definedName name="EXTRA_4Q08">Tags_ols!$AX$23</definedName>
    <definedName name="EXTRA_4Q09" localSheetId="10">Tags!$BC$23</definedName>
    <definedName name="EXTRA_4Q09">Tags_ols!$BC$23</definedName>
    <definedName name="EXTRA_4Q10" localSheetId="10">Tags!$BH$23</definedName>
    <definedName name="EXTRA_4Q10">Tags_ols!$BH$23</definedName>
    <definedName name="EXTRA_4Q11" localSheetId="10">Tags!$BM$23</definedName>
    <definedName name="EXTRA_4Q11">Tags_ols!$BM$23</definedName>
    <definedName name="EXTRA_4Q12" localSheetId="10">Tags!$BR$23</definedName>
    <definedName name="EXTRA_4Q12">Tags_ols!$BR$23</definedName>
    <definedName name="EXTRA_4Q13" localSheetId="10">Tags!$BW$23</definedName>
    <definedName name="EXTRA_4Q13">Tags_ols!$BW$23</definedName>
    <definedName name="EXTRA_4Q14" localSheetId="10">Tags!$CB$23</definedName>
    <definedName name="EXTRA_4Q14">Tags_ols!$CB$23</definedName>
    <definedName name="EXTRA_4Q15" localSheetId="10">Tags!$CG$23</definedName>
    <definedName name="EXTRA_4Q15">Tags_ols!$CG$23</definedName>
    <definedName name="EXTRA_4Q16" localSheetId="10">Tags!$CL$23</definedName>
    <definedName name="EXTRA_4Q16">Tags_ols!$CL$23</definedName>
    <definedName name="EXTRA_4Q17" localSheetId="10">Tags!$CQ$23</definedName>
    <definedName name="EXTRA_4Q17">Tags_ols!$CQ$23</definedName>
    <definedName name="EXTRA_4Q18" localSheetId="10">Tags!$CV$23</definedName>
    <definedName name="EXTRA_4Q18">Tags_ols!$CV$23</definedName>
    <definedName name="EXTRA_4Q19" localSheetId="10">Tags!$DA$23</definedName>
    <definedName name="EXTRA_4Q19">Tags_ols!$DA$23</definedName>
    <definedName name="EXTRA_4Q20" localSheetId="10">Tags!$DF$23</definedName>
    <definedName name="EXTRA_4Q20">Tags_ols!$DF$23</definedName>
    <definedName name="EXTRA_4Q21">Tags!$DK$23</definedName>
    <definedName name="EXTRA_4Q22">Tags!$DP$23</definedName>
    <definedName name="EXTRA_4Q23">Tags!$DU$23</definedName>
    <definedName name="EXTRA_4Q24">Tags!$DZ$23</definedName>
    <definedName name="F.2008.12" localSheetId="5">#REF!</definedName>
    <definedName name="F.2008.12">#REF!</definedName>
    <definedName name="F.2009.12" localSheetId="5">#REF!</definedName>
    <definedName name="F.2009.12">#REF!</definedName>
    <definedName name="fad" localSheetId="4" hidden="1">{#N/A,"70% Success",FALSE,"Sales Forecast";#N/A,#N/A,FALSE,"Sheet2"}</definedName>
    <definedName name="fad" localSheetId="6" hidden="1">{#N/A,"70% Success",FALSE,"Sales Forecast";#N/A,#N/A,FALSE,"Sheet2"}</definedName>
    <definedName name="fad" localSheetId="0" hidden="1">{#N/A,"70% Success",FALSE,"Sales Forecast";#N/A,#N/A,FALSE,"Sheet2"}</definedName>
    <definedName name="fad" localSheetId="9" hidden="1">{#N/A,"70% Success",FALSE,"Sales Forecast";#N/A,#N/A,FALSE,"Sheet2"}</definedName>
    <definedName name="fad" localSheetId="5" hidden="1">{#N/A,"70% Success",FALSE,"Sales Forecast";#N/A,#N/A,FALSE,"Sheet2"}</definedName>
    <definedName name="fad" hidden="1">{#N/A,"70% Success",FALSE,"Sales Forecast";#N/A,#N/A,FALSE,"Sheet2"}</definedName>
    <definedName name="FCF_Inc_Dec_In_Equity_1995">Tags_ols!$B$338</definedName>
    <definedName name="FCF_Inc_Dec_In_Equity_1996">Tags_ols!$C$338</definedName>
    <definedName name="FCF_Inc_Dec_In_Equity_1997">Tags_ols!$D$338</definedName>
    <definedName name="FCF_Inc_Dec_In_Equity_1998">Tags_ols!$E$338</definedName>
    <definedName name="FCF_Inc_Dec_In_Equity_1999">Tags_ols!$F$338</definedName>
    <definedName name="FCF_INC_DEC_IN_EQUITY_1Q00" localSheetId="10">Tags!$G$338</definedName>
    <definedName name="FCF_Inc_Dec_In_Equity_1Q00">Tags_ols!$G$338</definedName>
    <definedName name="FCF_INC_DEC_IN_EQUITY_1Q01" localSheetId="10">Tags!$L$338</definedName>
    <definedName name="FCF_Inc_Dec_In_Equity_1Q01">Tags_ols!$L$338</definedName>
    <definedName name="FCF_INC_DEC_IN_EQUITY_1Q02" localSheetId="10">Tags!$Q$338</definedName>
    <definedName name="FCF_Inc_Dec_In_Equity_1Q02">Tags_ols!$Q$338</definedName>
    <definedName name="FCF_INC_DEC_IN_EQUITY_1Q03" localSheetId="10">Tags!$V$338</definedName>
    <definedName name="FCF_Inc_Dec_In_Equity_1Q03">Tags_ols!$V$338</definedName>
    <definedName name="FCF_INC_DEC_IN_EQUITY_1Q04" localSheetId="10">Tags!$AA$338</definedName>
    <definedName name="FCF_Inc_Dec_In_Equity_1Q04">Tags_ols!$AA$338</definedName>
    <definedName name="FCF_INC_DEC_IN_EQUITY_1Q05" localSheetId="10">Tags!$AF$338</definedName>
    <definedName name="FCF_Inc_Dec_In_Equity_1Q05">Tags_ols!$AF$338</definedName>
    <definedName name="FCF_INC_DEC_IN_EQUITY_1Q06" localSheetId="10">Tags!$AK$338</definedName>
    <definedName name="FCF_Inc_Dec_In_Equity_1Q06">Tags_ols!$AK$338</definedName>
    <definedName name="FCF_INC_DEC_IN_EQUITY_1Q07" localSheetId="10">Tags!$AP$338</definedName>
    <definedName name="FCF_Inc_Dec_In_Equity_1Q07">Tags_ols!$AP$338</definedName>
    <definedName name="FCF_INC_DEC_IN_EQUITY_1Q08" localSheetId="10">Tags!$AU$338</definedName>
    <definedName name="FCF_Inc_Dec_In_Equity_1Q08">Tags_ols!$AU$338</definedName>
    <definedName name="FCF_INC_DEC_IN_EQUITY_1Q09" localSheetId="10">Tags!$AZ$338</definedName>
    <definedName name="FCF_Inc_Dec_In_Equity_1Q09">Tags_ols!$AZ$338</definedName>
    <definedName name="FCF_INC_DEC_IN_EQUITY_1Q10" localSheetId="10">Tags!$BE$338</definedName>
    <definedName name="FCF_Inc_Dec_In_Equity_1Q10">Tags_ols!$BE$338</definedName>
    <definedName name="FCF_INC_DEC_IN_EQUITY_1Q11" localSheetId="10">Tags!$BJ$338</definedName>
    <definedName name="FCF_Inc_Dec_In_Equity_1Q11">Tags_ols!$BJ$338</definedName>
    <definedName name="FCF_INC_DEC_IN_EQUITY_1Q12" localSheetId="10">Tags!$BO$338</definedName>
    <definedName name="FCF_Inc_Dec_In_Equity_1Q12">Tags_ols!$BO$338</definedName>
    <definedName name="FCF_INC_DEC_IN_EQUITY_1Q13" localSheetId="10">Tags!$BT$338</definedName>
    <definedName name="FCF_Inc_Dec_In_Equity_1Q13">Tags_ols!$BT$338</definedName>
    <definedName name="FCF_INC_DEC_IN_EQUITY_1Q14" localSheetId="10">Tags!$BY$338</definedName>
    <definedName name="FCF_Inc_Dec_In_Equity_1Q14">Tags_ols!$BY$338</definedName>
    <definedName name="FCF_INC_DEC_IN_EQUITY_1Q15" localSheetId="10">Tags!$CD$338</definedName>
    <definedName name="FCF_Inc_Dec_In_Equity_1Q15">Tags_ols!$CD$338</definedName>
    <definedName name="FCF_INC_DEC_IN_EQUITY_1Q16" localSheetId="10">Tags!$CI$338</definedName>
    <definedName name="FCF_Inc_Dec_In_Equity_1Q16">Tags_ols!$CI$338</definedName>
    <definedName name="FCF_INC_DEC_IN_EQUITY_1Q17" localSheetId="10">Tags!$CN$338</definedName>
    <definedName name="FCF_Inc_Dec_In_Equity_1Q17">Tags_ols!$CN$338</definedName>
    <definedName name="FCF_INC_DEC_IN_EQUITY_1Q18" localSheetId="10">Tags!$CS$338</definedName>
    <definedName name="FCF_Inc_Dec_In_Equity_1Q18">Tags_ols!$CS$338</definedName>
    <definedName name="FCF_INC_DEC_IN_EQUITY_1Q19" localSheetId="10">Tags!$CX$338</definedName>
    <definedName name="FCF_Inc_Dec_In_Equity_1Q19">Tags_ols!$CX$338</definedName>
    <definedName name="FCF_INC_DEC_IN_EQUITY_1Q20" localSheetId="10">Tags!$DC$338</definedName>
    <definedName name="FCF_Inc_Dec_In_Equity_1Q20">Tags_ols!$DC$338</definedName>
    <definedName name="FCF_INC_DEC_IN_EQUITY_1Q21">Tags!$DH$338</definedName>
    <definedName name="FCF_INC_DEC_IN_EQUITY_1Q22">Tags!$DM$338</definedName>
    <definedName name="FCF_INC_DEC_IN_EQUITY_1Q23">Tags!$DR$338</definedName>
    <definedName name="FCF_INC_DEC_IN_EQUITY_1Q24">Tags!$DW$338</definedName>
    <definedName name="FCF_INC_DEC_IN_EQUITY_2000" localSheetId="10">Tags!$K$338</definedName>
    <definedName name="FCF_Inc_Dec_In_Equity_2000">Tags_ols!$K$338</definedName>
    <definedName name="FCF_INC_DEC_IN_EQUITY_2001" localSheetId="10">Tags!$P$338</definedName>
    <definedName name="FCF_Inc_Dec_In_Equity_2001">Tags_ols!$P$338</definedName>
    <definedName name="FCF_INC_DEC_IN_EQUITY_2002" localSheetId="10">Tags!$U$338</definedName>
    <definedName name="FCF_Inc_Dec_In_Equity_2002">Tags_ols!$U$338</definedName>
    <definedName name="FCF_INC_DEC_IN_EQUITY_2003" localSheetId="10">Tags!$Z$338</definedName>
    <definedName name="FCF_Inc_Dec_In_Equity_2003">Tags_ols!$Z$338</definedName>
    <definedName name="FCF_INC_DEC_IN_EQUITY_2004" localSheetId="10">Tags!$AE$338</definedName>
    <definedName name="FCF_Inc_Dec_In_Equity_2004">Tags_ols!$AE$338</definedName>
    <definedName name="FCF_INC_DEC_IN_EQUITY_2005" localSheetId="10">Tags!$AJ$338</definedName>
    <definedName name="FCF_Inc_Dec_In_Equity_2005">Tags_ols!$AJ$338</definedName>
    <definedName name="FCF_INC_DEC_IN_EQUITY_2006" localSheetId="10">Tags!$AO$338</definedName>
    <definedName name="FCF_Inc_Dec_In_Equity_2006">Tags_ols!$AO$338</definedName>
    <definedName name="FCF_INC_DEC_IN_EQUITY_2007" localSheetId="10">Tags!$AT$338</definedName>
    <definedName name="FCF_Inc_Dec_In_Equity_2007">Tags_ols!$AT$338</definedName>
    <definedName name="FCF_INC_DEC_IN_EQUITY_2008" localSheetId="10">Tags!$AY$338</definedName>
    <definedName name="FCF_Inc_Dec_In_Equity_2008">Tags_ols!$AY$338</definedName>
    <definedName name="FCF_INC_DEC_IN_EQUITY_2009" localSheetId="10">Tags!$BD$338</definedName>
    <definedName name="FCF_Inc_Dec_In_Equity_2009">Tags_ols!$BD$338</definedName>
    <definedName name="FCF_INC_DEC_IN_EQUITY_2010" localSheetId="10">Tags!$BI$338</definedName>
    <definedName name="FCF_Inc_Dec_In_Equity_2010">Tags_ols!$BI$338</definedName>
    <definedName name="FCF_INC_DEC_IN_EQUITY_2011" localSheetId="10">Tags!$BN$338</definedName>
    <definedName name="FCF_Inc_Dec_In_Equity_2011">Tags_ols!$BN$338</definedName>
    <definedName name="FCF_INC_DEC_IN_EQUITY_2012" localSheetId="10">Tags!$BS$338</definedName>
    <definedName name="FCF_Inc_Dec_In_Equity_2012">Tags_ols!$BS$338</definedName>
    <definedName name="FCF_INC_DEC_IN_EQUITY_2013" localSheetId="10">Tags!$BX$338</definedName>
    <definedName name="FCF_Inc_Dec_In_Equity_2013">Tags_ols!$BX$338</definedName>
    <definedName name="FCF_INC_DEC_IN_EQUITY_2014" localSheetId="10">Tags!$CC$338</definedName>
    <definedName name="FCF_Inc_Dec_In_Equity_2014">Tags_ols!$CC$338</definedName>
    <definedName name="FCF_INC_DEC_IN_EQUITY_2015" localSheetId="10">Tags!#REF!</definedName>
    <definedName name="FCF_Inc_Dec_In_Equity_2015">Tags!$CH$338</definedName>
    <definedName name="FCF_INC_DEC_IN_EQUITY_2016" localSheetId="10">Tags!$CM$338</definedName>
    <definedName name="FCF_Inc_Dec_In_Equity_2016">Tags_ols!$CM$338</definedName>
    <definedName name="FCF_INC_DEC_IN_EQUITY_2017" localSheetId="10">Tags!$CR$338</definedName>
    <definedName name="FCF_Inc_Dec_In_Equity_2017">Tags_ols!$CR$338</definedName>
    <definedName name="FCF_INC_DEC_IN_EQUITY_2018" localSheetId="10">Tags!$CW$338</definedName>
    <definedName name="FCF_Inc_Dec_In_Equity_2018">Tags_ols!$CW$338</definedName>
    <definedName name="FCF_INC_DEC_IN_EQUITY_2019" localSheetId="10">Tags!$DB$338</definedName>
    <definedName name="FCF_Inc_Dec_In_Equity_2019">Tags_ols!$DB$338</definedName>
    <definedName name="FCF_INC_DEC_IN_EQUITY_2020" localSheetId="10">Tags!$DG$338</definedName>
    <definedName name="FCF_Inc_Dec_In_Equity_2020">Tags_ols!$DG$338</definedName>
    <definedName name="FCF_INC_DEC_IN_EQUITY_2021">Tags!$DL$338</definedName>
    <definedName name="FCF_INC_DEC_IN_EQUITY_2022">Tags!$DQ$338</definedName>
    <definedName name="FCF_INC_DEC_IN_EQUITY_2023">Tags!$DV$338</definedName>
    <definedName name="FCF_INC_DEC_IN_EQUITY_2024">Tags!$EA$338</definedName>
    <definedName name="FCF_INC_DEC_IN_EQUITY_2Q00" localSheetId="10">Tags!$H$338</definedName>
    <definedName name="FCF_Inc_Dec_In_Equity_2Q00">Tags_ols!$H$338</definedName>
    <definedName name="FCF_INC_DEC_IN_EQUITY_2Q01" localSheetId="10">Tags!$M$338</definedName>
    <definedName name="FCF_Inc_Dec_In_Equity_2Q01">Tags_ols!$M$338</definedName>
    <definedName name="FCF_INC_DEC_IN_EQUITY_2Q02" localSheetId="10">Tags!$R$338</definedName>
    <definedName name="FCF_Inc_Dec_In_Equity_2Q02">Tags_ols!$R$338</definedName>
    <definedName name="FCF_INC_DEC_IN_EQUITY_2Q03" localSheetId="10">Tags!$W$338</definedName>
    <definedName name="FCF_Inc_Dec_In_Equity_2Q03">Tags_ols!$W$338</definedName>
    <definedName name="FCF_INC_DEC_IN_EQUITY_2Q04" localSheetId="10">Tags!$AB$338</definedName>
    <definedName name="FCF_Inc_Dec_In_Equity_2Q04">Tags_ols!$AB$338</definedName>
    <definedName name="FCF_INC_DEC_IN_EQUITY_2Q05" localSheetId="10">Tags!$AG$338</definedName>
    <definedName name="FCF_Inc_Dec_In_Equity_2Q05">Tags_ols!$AG$338</definedName>
    <definedName name="FCF_INC_DEC_IN_EQUITY_2Q06" localSheetId="10">Tags!$AL$338</definedName>
    <definedName name="FCF_Inc_Dec_In_Equity_2Q06">Tags_ols!$AL$338</definedName>
    <definedName name="FCF_INC_DEC_IN_EQUITY_2Q07" localSheetId="10">Tags!$AQ$338</definedName>
    <definedName name="FCF_Inc_Dec_In_Equity_2Q07">Tags_ols!$AQ$338</definedName>
    <definedName name="FCF_INC_DEC_IN_EQUITY_2Q08" localSheetId="10">Tags!$AV$338</definedName>
    <definedName name="FCF_Inc_Dec_In_Equity_2Q08">Tags_ols!$AV$338</definedName>
    <definedName name="FCF_INC_DEC_IN_EQUITY_2Q09" localSheetId="10">Tags!$BA$338</definedName>
    <definedName name="FCF_Inc_Dec_In_Equity_2Q09">Tags_ols!$BA$338</definedName>
    <definedName name="FCF_INC_DEC_IN_EQUITY_2Q10" localSheetId="10">Tags!$BF$338</definedName>
    <definedName name="FCF_Inc_Dec_In_Equity_2Q10">Tags_ols!$BF$338</definedName>
    <definedName name="FCF_INC_DEC_IN_EQUITY_2Q11" localSheetId="10">Tags!$BK$338</definedName>
    <definedName name="FCF_Inc_Dec_In_Equity_2Q11">Tags_ols!$BK$338</definedName>
    <definedName name="FCF_INC_DEC_IN_EQUITY_2Q12" localSheetId="10">Tags!$BP$338</definedName>
    <definedName name="FCF_Inc_Dec_In_Equity_2Q12">Tags_ols!$BP$338</definedName>
    <definedName name="FCF_INC_DEC_IN_EQUITY_2Q13" localSheetId="10">Tags!$BU$338</definedName>
    <definedName name="FCF_Inc_Dec_In_Equity_2Q13">Tags_ols!$BU$338</definedName>
    <definedName name="FCF_INC_DEC_IN_EQUITY_2Q14" localSheetId="10">Tags!$BZ$338</definedName>
    <definedName name="FCF_Inc_Dec_In_Equity_2Q14">Tags_ols!$BZ$338</definedName>
    <definedName name="FCF_INC_DEC_IN_EQUITY_2Q15" localSheetId="10">Tags!$CE$338</definedName>
    <definedName name="FCF_Inc_Dec_In_Equity_2Q15">Tags_ols!$CE$338</definedName>
    <definedName name="FCF_INC_DEC_IN_EQUITY_2Q16" localSheetId="10">Tags!$CJ$338</definedName>
    <definedName name="FCF_Inc_Dec_In_Equity_2Q16">Tags_ols!$CJ$338</definedName>
    <definedName name="FCF_INC_DEC_IN_EQUITY_2Q17" localSheetId="10">Tags!$CO$338</definedName>
    <definedName name="FCF_Inc_Dec_In_Equity_2Q17">Tags_ols!$CO$338</definedName>
    <definedName name="FCF_INC_DEC_IN_EQUITY_2Q18" localSheetId="10">Tags!$CT$338</definedName>
    <definedName name="FCF_Inc_Dec_In_Equity_2Q18">Tags_ols!$CT$338</definedName>
    <definedName name="FCF_INC_DEC_IN_EQUITY_2Q19" localSheetId="10">Tags!$CY$338</definedName>
    <definedName name="FCF_Inc_Dec_In_Equity_2Q19">Tags_ols!$CY$338</definedName>
    <definedName name="FCF_INC_DEC_IN_EQUITY_2Q20" localSheetId="10">Tags!$DD$338</definedName>
    <definedName name="FCF_Inc_Dec_In_Equity_2Q20">Tags_ols!$DD$338</definedName>
    <definedName name="FCF_INC_DEC_IN_EQUITY_2Q21">Tags!$DI$338</definedName>
    <definedName name="FCF_INC_DEC_IN_EQUITY_2Q22">Tags!$DN$338</definedName>
    <definedName name="FCF_INC_DEC_IN_EQUITY_2Q23">Tags!$DS$338</definedName>
    <definedName name="FCF_INC_DEC_IN_EQUITY_2Q24">Tags!$DX$338</definedName>
    <definedName name="FCF_INC_DEC_IN_EQUITY_3Q00" localSheetId="10">Tags!$I$338</definedName>
    <definedName name="FCF_Inc_Dec_In_Equity_3Q00">Tags_ols!$I$338</definedName>
    <definedName name="FCF_INC_DEC_IN_EQUITY_3Q01" localSheetId="10">Tags!$N$338</definedName>
    <definedName name="FCF_Inc_Dec_In_Equity_3Q01">Tags_ols!$N$338</definedName>
    <definedName name="FCF_INC_DEC_IN_EQUITY_3Q02" localSheetId="10">Tags!$S$338</definedName>
    <definedName name="FCF_Inc_Dec_In_Equity_3Q02">Tags_ols!$S$338</definedName>
    <definedName name="FCF_INC_DEC_IN_EQUITY_3Q03" localSheetId="10">Tags!$X$338</definedName>
    <definedName name="FCF_Inc_Dec_In_Equity_3Q03">Tags_ols!$X$338</definedName>
    <definedName name="FCF_INC_DEC_IN_EQUITY_3Q04" localSheetId="10">Tags!$AC$338</definedName>
    <definedName name="FCF_Inc_Dec_In_Equity_3Q04">Tags_ols!$AC$338</definedName>
    <definedName name="FCF_INC_DEC_IN_EQUITY_3Q05" localSheetId="10">Tags!$AH$338</definedName>
    <definedName name="FCF_Inc_Dec_In_Equity_3Q05">Tags_ols!$AH$338</definedName>
    <definedName name="FCF_INC_DEC_IN_EQUITY_3Q06" localSheetId="10">Tags!$AM$338</definedName>
    <definedName name="FCF_Inc_Dec_In_Equity_3Q06">Tags_ols!$AM$338</definedName>
    <definedName name="FCF_INC_DEC_IN_EQUITY_3Q07" localSheetId="10">Tags!$AR$338</definedName>
    <definedName name="FCF_Inc_Dec_In_Equity_3Q07">Tags_ols!$AR$338</definedName>
    <definedName name="FCF_INC_DEC_IN_EQUITY_3Q08" localSheetId="10">Tags!$AW$338</definedName>
    <definedName name="FCF_Inc_Dec_In_Equity_3Q08">Tags_ols!$AW$338</definedName>
    <definedName name="FCF_INC_DEC_IN_EQUITY_3Q09" localSheetId="10">Tags!$BB$338</definedName>
    <definedName name="FCF_Inc_Dec_In_Equity_3Q09">Tags_ols!$BB$338</definedName>
    <definedName name="FCF_INC_DEC_IN_EQUITY_3Q10" localSheetId="10">Tags!$BG$338</definedName>
    <definedName name="FCF_Inc_Dec_In_Equity_3Q10">Tags_ols!$BG$338</definedName>
    <definedName name="FCF_INC_DEC_IN_EQUITY_3Q11" localSheetId="10">Tags!$BL$338</definedName>
    <definedName name="FCF_Inc_Dec_In_Equity_3Q11">Tags_ols!$BL$338</definedName>
    <definedName name="FCF_INC_DEC_IN_EQUITY_3Q12" localSheetId="10">Tags!$BQ$338</definedName>
    <definedName name="FCF_Inc_Dec_In_Equity_3Q12">Tags_ols!$BQ$338</definedName>
    <definedName name="FCF_INC_DEC_IN_EQUITY_3Q13" localSheetId="10">Tags!$BV$338</definedName>
    <definedName name="FCF_Inc_Dec_In_Equity_3Q13">Tags_ols!$BV$338</definedName>
    <definedName name="FCF_INC_DEC_IN_EQUITY_3Q14" localSheetId="10">Tags!$CA$338</definedName>
    <definedName name="FCF_Inc_Dec_In_Equity_3Q14">Tags_ols!$CA$338</definedName>
    <definedName name="FCF_INC_DEC_IN_EQUITY_3Q15" localSheetId="10">Tags!$CF$338</definedName>
    <definedName name="FCF_Inc_Dec_In_Equity_3Q15">Tags_ols!$CF$338</definedName>
    <definedName name="FCF_INC_DEC_IN_EQUITY_3Q16" localSheetId="10">Tags!$CK$338</definedName>
    <definedName name="FCF_Inc_Dec_In_Equity_3Q16">Tags_ols!$CK$338</definedName>
    <definedName name="FCF_INC_DEC_IN_EQUITY_3Q17" localSheetId="10">Tags!$CP$338</definedName>
    <definedName name="FCF_Inc_Dec_In_Equity_3Q17">Tags_ols!$CP$338</definedName>
    <definedName name="FCF_INC_DEC_IN_EQUITY_3Q18" localSheetId="10">Tags!$CU$338</definedName>
    <definedName name="FCF_Inc_Dec_In_Equity_3Q18">Tags_ols!$CU$338</definedName>
    <definedName name="FCF_INC_DEC_IN_EQUITY_3Q19" localSheetId="10">Tags!$CZ$338</definedName>
    <definedName name="FCF_Inc_Dec_In_Equity_3Q19">Tags_ols!$CZ$338</definedName>
    <definedName name="FCF_INC_DEC_IN_EQUITY_3Q20" localSheetId="10">Tags!$DE$338</definedName>
    <definedName name="FCF_Inc_Dec_In_Equity_3Q20">Tags_ols!$DE$338</definedName>
    <definedName name="FCF_INC_DEC_IN_EQUITY_3Q21">Tags!$DJ$338</definedName>
    <definedName name="FCF_INC_DEC_IN_EQUITY_3Q22">Tags!$DO$338</definedName>
    <definedName name="FCF_INC_DEC_IN_EQUITY_3Q23">Tags!$DT$338</definedName>
    <definedName name="FCF_INC_DEC_IN_EQUITY_3Q24">Tags!$DY$338</definedName>
    <definedName name="FCF_INC_DEC_IN_EQUITY_4Q00" localSheetId="10">Tags!$J$338</definedName>
    <definedName name="FCF_Inc_Dec_In_Equity_4Q00">Tags_ols!$J$338</definedName>
    <definedName name="FCF_INC_DEC_IN_EQUITY_4Q01" localSheetId="10">Tags!$O$338</definedName>
    <definedName name="FCF_Inc_Dec_In_Equity_4Q01">Tags_ols!$O$338</definedName>
    <definedName name="FCF_INC_DEC_IN_EQUITY_4Q02" localSheetId="10">Tags!$T$338</definedName>
    <definedName name="FCF_Inc_Dec_In_Equity_4Q02">Tags_ols!$T$338</definedName>
    <definedName name="FCF_INC_DEC_IN_EQUITY_4Q03" localSheetId="10">Tags!$Y$338</definedName>
    <definedName name="FCF_Inc_Dec_In_Equity_4Q03">Tags_ols!$Y$338</definedName>
    <definedName name="FCF_INC_DEC_IN_EQUITY_4Q04" localSheetId="10">Tags!$AD$338</definedName>
    <definedName name="FCF_Inc_Dec_In_Equity_4Q04">Tags_ols!$AD$338</definedName>
    <definedName name="FCF_INC_DEC_IN_EQUITY_4Q05" localSheetId="10">Tags!$AI$338</definedName>
    <definedName name="FCF_Inc_Dec_In_Equity_4Q05">Tags_ols!$AI$338</definedName>
    <definedName name="FCF_INC_DEC_IN_EQUITY_4Q06" localSheetId="10">Tags!$AN$338</definedName>
    <definedName name="FCF_Inc_Dec_In_Equity_4Q06">Tags_ols!$AN$338</definedName>
    <definedName name="FCF_INC_DEC_IN_EQUITY_4Q07" localSheetId="10">Tags!$AS$338</definedName>
    <definedName name="FCF_Inc_Dec_In_Equity_4Q07">Tags_ols!$AS$338</definedName>
    <definedName name="FCF_INC_DEC_IN_EQUITY_4Q08" localSheetId="10">Tags!$AX$338</definedName>
    <definedName name="FCF_Inc_Dec_In_Equity_4Q08">Tags_ols!$AX$338</definedName>
    <definedName name="FCF_INC_DEC_IN_EQUITY_4Q09" localSheetId="10">Tags!$BC$338</definedName>
    <definedName name="FCF_Inc_Dec_In_Equity_4Q09">Tags_ols!$BC$338</definedName>
    <definedName name="FCF_INC_DEC_IN_EQUITY_4Q10" localSheetId="10">Tags!$BH$338</definedName>
    <definedName name="FCF_Inc_Dec_In_Equity_4Q10">Tags_ols!$BH$338</definedName>
    <definedName name="FCF_INC_DEC_IN_EQUITY_4Q11" localSheetId="10">Tags!$BM$338</definedName>
    <definedName name="FCF_Inc_Dec_In_Equity_4Q11">Tags_ols!$BM$338</definedName>
    <definedName name="FCF_INC_DEC_IN_EQUITY_4Q12" localSheetId="10">Tags!$BR$338</definedName>
    <definedName name="FCF_Inc_Dec_In_Equity_4Q12">Tags_ols!$BR$338</definedName>
    <definedName name="FCF_INC_DEC_IN_EQUITY_4Q13" localSheetId="10">Tags!$BW$338</definedName>
    <definedName name="FCF_Inc_Dec_In_Equity_4Q13">Tags_ols!$BW$338</definedName>
    <definedName name="FCF_INC_DEC_IN_EQUITY_4Q14" localSheetId="10">Tags!$CB$338</definedName>
    <definedName name="FCF_Inc_Dec_In_Equity_4Q14">Tags_ols!$CB$338</definedName>
    <definedName name="FCF_INC_DEC_IN_EQUITY_4Q15" localSheetId="10">Tags!$CG$338</definedName>
    <definedName name="FCF_Inc_Dec_In_Equity_4Q15">Tags_ols!$CG$338</definedName>
    <definedName name="FCF_INC_DEC_IN_EQUITY_4Q16" localSheetId="10">Tags!$CL$338</definedName>
    <definedName name="FCF_Inc_Dec_In_Equity_4Q16">Tags_ols!$CL$338</definedName>
    <definedName name="FCF_INC_DEC_IN_EQUITY_4Q17" localSheetId="10">Tags!$CQ$338</definedName>
    <definedName name="FCF_Inc_Dec_In_Equity_4Q17">Tags_ols!$CQ$338</definedName>
    <definedName name="FCF_INC_DEC_IN_EQUITY_4Q18" localSheetId="10">Tags!$CV$338</definedName>
    <definedName name="FCF_Inc_Dec_In_Equity_4Q18">Tags_ols!$CV$338</definedName>
    <definedName name="FCF_INC_DEC_IN_EQUITY_4Q19" localSheetId="10">Tags!$DA$338</definedName>
    <definedName name="FCF_Inc_Dec_In_Equity_4Q19">Tags_ols!$DA$338</definedName>
    <definedName name="FCF_INC_DEC_IN_EQUITY_4Q20" localSheetId="10">Tags!$DF$338</definedName>
    <definedName name="FCF_Inc_Dec_In_Equity_4Q20">Tags_ols!$DF$338</definedName>
    <definedName name="FCF_INC_DEC_IN_EQUITY_4Q21">Tags!$DK$338</definedName>
    <definedName name="FCF_INC_DEC_IN_EQUITY_4Q22">Tags!$DP$338</definedName>
    <definedName name="FCF_INC_DEC_IN_EQUITY_4Q23">Tags!$DU$338</definedName>
    <definedName name="FCF_INC_DEC_IN_EQUITY_4Q24">Tags!$DZ$338</definedName>
    <definedName name="finali" localSheetId="9">Word</definedName>
    <definedName name="finali" localSheetId="5">Word</definedName>
    <definedName name="finali">Word</definedName>
    <definedName name="FirstDate">#REF!</definedName>
    <definedName name="Footnote1">#REF!</definedName>
    <definedName name="Footnote2">#REF!</definedName>
    <definedName name="Footnote3">#REF!</definedName>
    <definedName name="FreezeCell">#REF!</definedName>
    <definedName name="FreqName">#REF!</definedName>
    <definedName name="Frequency">#REF!</definedName>
    <definedName name="FXAVERAGE_1995">Tags_ols!$B$628</definedName>
    <definedName name="FXAVERAGE_1996">Tags_ols!$C$628</definedName>
    <definedName name="FXAVERAGE_1997">Tags_ols!$D$628</definedName>
    <definedName name="FXAVERAGE_1998">Tags_ols!$E$628</definedName>
    <definedName name="FXAVERAGE_1999">Tags_ols!$F$628</definedName>
    <definedName name="FXAVERAGE_1Q00" localSheetId="10">Tags!$G$628</definedName>
    <definedName name="FXAVERAGE_1Q00">Tags_ols!$G$628</definedName>
    <definedName name="FXAVERAGE_1Q01" localSheetId="10">Tags!$L$628</definedName>
    <definedName name="FXAVERAGE_1Q01">Tags_ols!$L$628</definedName>
    <definedName name="FXAVERAGE_1Q02" localSheetId="10">Tags!$Q$628</definedName>
    <definedName name="FXAVERAGE_1Q02">Tags_ols!$Q$628</definedName>
    <definedName name="FXAVERAGE_1Q03" localSheetId="10">Tags!$V$628</definedName>
    <definedName name="FXAVERAGE_1Q03">Tags_ols!$V$628</definedName>
    <definedName name="FXAVERAGE_1Q04" localSheetId="10">Tags!$AA$628</definedName>
    <definedName name="FXAVERAGE_1Q04">Tags_ols!$AA$628</definedName>
    <definedName name="FXAVERAGE_1Q05" localSheetId="10">Tags!$AF$628</definedName>
    <definedName name="FXAVERAGE_1Q05">Tags_ols!$AF$628</definedName>
    <definedName name="FXAVERAGE_1Q06" localSheetId="10">Tags!$AK$628</definedName>
    <definedName name="FXAVERAGE_1Q06">Tags_ols!$AK$628</definedName>
    <definedName name="FXAVERAGE_1Q07" localSheetId="10">Tags!$AP$628</definedName>
    <definedName name="FXAVERAGE_1Q07">Tags_ols!$AP$628</definedName>
    <definedName name="FXAVERAGE_1Q08" localSheetId="10">Tags!$AU$628</definedName>
    <definedName name="FXAVERAGE_1Q08">Tags_ols!$AU$628</definedName>
    <definedName name="FXAVERAGE_1Q09" localSheetId="10">Tags!$AZ$628</definedName>
    <definedName name="FXAVERAGE_1Q09">Tags_ols!$AZ$628</definedName>
    <definedName name="FXAVERAGE_1Q10" localSheetId="10">Tags!$BE$628</definedName>
    <definedName name="FXAVERAGE_1Q10">Tags_ols!$BE$628</definedName>
    <definedName name="FXAVERAGE_1Q11" localSheetId="10">Tags!$BJ$628</definedName>
    <definedName name="FXAVERAGE_1Q11">Tags_ols!$BJ$628</definedName>
    <definedName name="FXAVERAGE_1Q12" localSheetId="10">Tags!$BO$628</definedName>
    <definedName name="FXAVERAGE_1Q12">Tags_ols!$BO$628</definedName>
    <definedName name="FXAVERAGE_1Q13" localSheetId="10">Tags!$BT$628</definedName>
    <definedName name="FXAVERAGE_1Q13">Tags_ols!$BT$628</definedName>
    <definedName name="FXAVERAGE_1Q14" localSheetId="10">Tags!$BY$628</definedName>
    <definedName name="FXAVERAGE_1Q14">Tags_ols!$BY$628</definedName>
    <definedName name="FXAVERAGE_1Q15" localSheetId="10">Tags!$CD$628</definedName>
    <definedName name="FXAVERAGE_1Q15">Tags_ols!$CD$628</definedName>
    <definedName name="FXAVERAGE_1Q16" localSheetId="10">Tags!$CI$628</definedName>
    <definedName name="FXAVERAGE_1Q16">Tags_ols!$CI$628</definedName>
    <definedName name="FXAVERAGE_1Q17" localSheetId="10">Tags!$CN$628</definedName>
    <definedName name="FXAVERAGE_1Q17">Tags_ols!$CN$628</definedName>
    <definedName name="FXAVERAGE_1Q18" localSheetId="10">Tags!$CS$628</definedName>
    <definedName name="FXAVERAGE_1Q18">Tags_ols!$CS$628</definedName>
    <definedName name="FXAVERAGE_1Q19" localSheetId="10">Tags!$CX$628</definedName>
    <definedName name="FXAVERAGE_1Q19">Tags_ols!$CX$628</definedName>
    <definedName name="FXAVERAGE_1Q20" localSheetId="10">Tags!$DC$628</definedName>
    <definedName name="FXAVERAGE_1Q20">Tags_ols!$DC$628</definedName>
    <definedName name="FXAVERAGE_1Q21">Tags!$DH$628</definedName>
    <definedName name="FXAVERAGE_1Q22">Tags!$DM$628</definedName>
    <definedName name="FXAVERAGE_1Q23">Tags!$DR$628</definedName>
    <definedName name="FXAVERAGE_1Q24">Tags!$DW$628</definedName>
    <definedName name="FXAVERAGE_2000" localSheetId="10">Tags!$K$628</definedName>
    <definedName name="FXAVERAGE_2000">Tags_ols!$K$628</definedName>
    <definedName name="FXAVERAGE_2001" localSheetId="10">Tags!$P$628</definedName>
    <definedName name="FXAVERAGE_2001">Tags_ols!$P$628</definedName>
    <definedName name="FXAVERAGE_2002" localSheetId="10">Tags!$U$628</definedName>
    <definedName name="FXAVERAGE_2002">Tags_ols!$U$628</definedName>
    <definedName name="FXAVERAGE_2003" localSheetId="10">Tags!$Z$628</definedName>
    <definedName name="FXAVERAGE_2003">Tags_ols!$Z$628</definedName>
    <definedName name="FXAVERAGE_2004" localSheetId="10">Tags!$AE$628</definedName>
    <definedName name="FXAVERAGE_2004">Tags_ols!$AE$628</definedName>
    <definedName name="FXAVERAGE_2005" localSheetId="10">Tags!$AJ$628</definedName>
    <definedName name="FXAVERAGE_2005">Tags_ols!$AJ$628</definedName>
    <definedName name="FXAVERAGE_2006" localSheetId="10">Tags!$AO$628</definedName>
    <definedName name="FXAVERAGE_2006">Tags_ols!$AO$628</definedName>
    <definedName name="FXAVERAGE_2007" localSheetId="10">Tags!$AT$628</definedName>
    <definedName name="FXAVERAGE_2007">Tags_ols!$AT$628</definedName>
    <definedName name="FXAVERAGE_2008" localSheetId="10">Tags!$AY$628</definedName>
    <definedName name="FXAVERAGE_2008">Tags_ols!$AY$628</definedName>
    <definedName name="FXAVERAGE_2009" localSheetId="10">Tags!$BD$628</definedName>
    <definedName name="FXAVERAGE_2009">Tags_ols!$BD$628</definedName>
    <definedName name="FXAVERAGE_2010" localSheetId="10">Tags!$BI$628</definedName>
    <definedName name="FXAVERAGE_2010">Tags_ols!$BI$628</definedName>
    <definedName name="FXAVERAGE_2011" localSheetId="10">Tags!$BN$628</definedName>
    <definedName name="FXAVERAGE_2011">Tags_ols!$BN$628</definedName>
    <definedName name="FXAVERAGE_2012" localSheetId="10">Tags!$BS$628</definedName>
    <definedName name="FXAVERAGE_2012">Tags_ols!$BS$628</definedName>
    <definedName name="FXAVERAGE_2013" localSheetId="10">Tags!$BX$628</definedName>
    <definedName name="FXAVERAGE_2013">Tags_ols!$BX$628</definedName>
    <definedName name="FXAVERAGE_2014" localSheetId="10">Tags!$CC$628</definedName>
    <definedName name="FXAVERAGE_2014">Tags_ols!$CC$628</definedName>
    <definedName name="FXAVERAGE_2015" localSheetId="10">Tags!#REF!</definedName>
    <definedName name="FXAVERAGE_2015">Tags!$CH$628</definedName>
    <definedName name="FXAVERAGE_2016" localSheetId="10">Tags!$CM$628</definedName>
    <definedName name="FXAVERAGE_2016">Tags_ols!$CM$628</definedName>
    <definedName name="FXAVERAGE_2017" localSheetId="10">Tags!$CR$628</definedName>
    <definedName name="FXAVERAGE_2017">Tags_ols!$CR$628</definedName>
    <definedName name="FXAVERAGE_2018" localSheetId="10">Tags!$CW$628</definedName>
    <definedName name="FXAVERAGE_2018">Tags_ols!$CW$628</definedName>
    <definedName name="FXAVERAGE_2019" localSheetId="10">Tags!$DB$628</definedName>
    <definedName name="FXAVERAGE_2019">Tags_ols!$DB$628</definedName>
    <definedName name="FXAVERAGE_2020" localSheetId="10">Tags!$DG$628</definedName>
    <definedName name="FXAVERAGE_2020">Tags_ols!$DG$628</definedName>
    <definedName name="FXAVERAGE_2021">Tags!$DL$628</definedName>
    <definedName name="FXAVERAGE_2022">Tags!$DQ$628</definedName>
    <definedName name="FXAVERAGE_2023">Tags!$DV$628</definedName>
    <definedName name="FXAVERAGE_2024">Tags!$EA$628</definedName>
    <definedName name="FXAVERAGE_2Q00" localSheetId="10">Tags!$H$628</definedName>
    <definedName name="FXAVERAGE_2Q00">Tags_ols!$H$628</definedName>
    <definedName name="FXAVERAGE_2Q01" localSheetId="10">Tags!$M$628</definedName>
    <definedName name="FXAVERAGE_2Q01">Tags_ols!$M$628</definedName>
    <definedName name="FXAVERAGE_2Q02" localSheetId="10">Tags!$R$628</definedName>
    <definedName name="FXAVERAGE_2Q02">Tags_ols!$R$628</definedName>
    <definedName name="FXAVERAGE_2Q03" localSheetId="10">Tags!$W$628</definedName>
    <definedName name="FXAVERAGE_2Q03">Tags_ols!$W$628</definedName>
    <definedName name="FXAVERAGE_2Q04" localSheetId="10">Tags!$AB$628</definedName>
    <definedName name="FXAVERAGE_2Q04">Tags_ols!$AB$628</definedName>
    <definedName name="FXAVERAGE_2Q05" localSheetId="10">Tags!$AG$628</definedName>
    <definedName name="FXAVERAGE_2Q05">Tags_ols!$AG$628</definedName>
    <definedName name="FXAVERAGE_2Q06" localSheetId="10">Tags!$AL$628</definedName>
    <definedName name="FXAVERAGE_2Q06">Tags_ols!$AL$628</definedName>
    <definedName name="FXAVERAGE_2Q07" localSheetId="10">Tags!$AQ$628</definedName>
    <definedName name="FXAVERAGE_2Q07">Tags_ols!$AQ$628</definedName>
    <definedName name="FXAVERAGE_2Q08" localSheetId="10">Tags!$AV$628</definedName>
    <definedName name="FXAVERAGE_2Q08">Tags_ols!$AV$628</definedName>
    <definedName name="FXAVERAGE_2Q09" localSheetId="10">Tags!$BA$628</definedName>
    <definedName name="FXAVERAGE_2Q09">Tags_ols!$BA$628</definedName>
    <definedName name="FXAVERAGE_2Q10" localSheetId="10">Tags!$BF$628</definedName>
    <definedName name="FXAVERAGE_2Q10">Tags_ols!$BF$628</definedName>
    <definedName name="FXAVERAGE_2Q11" localSheetId="10">Tags!$BK$628</definedName>
    <definedName name="FXAVERAGE_2Q11">Tags_ols!$BK$628</definedName>
    <definedName name="FXAVERAGE_2Q12" localSheetId="10">Tags!$BP$628</definedName>
    <definedName name="FXAVERAGE_2Q12">Tags_ols!$BP$628</definedName>
    <definedName name="FXAVERAGE_2Q13" localSheetId="10">Tags!$BU$628</definedName>
    <definedName name="FXAVERAGE_2Q13">Tags_ols!$BU$628</definedName>
    <definedName name="FXAVERAGE_2Q14" localSheetId="10">Tags!$BZ$628</definedName>
    <definedName name="FXAVERAGE_2Q14">Tags_ols!$BZ$628</definedName>
    <definedName name="FXAVERAGE_2Q15" localSheetId="10">Tags!$CE$628</definedName>
    <definedName name="FXAVERAGE_2Q15">Tags_ols!$CE$628</definedName>
    <definedName name="FXAVERAGE_2Q16" localSheetId="10">Tags!$CJ$628</definedName>
    <definedName name="FXAVERAGE_2Q16">Tags_ols!$CJ$628</definedName>
    <definedName name="FXAVERAGE_2Q17" localSheetId="10">Tags!$CO$628</definedName>
    <definedName name="FXAVERAGE_2Q17">Tags_ols!$CO$628</definedName>
    <definedName name="FXAVERAGE_2Q18" localSheetId="10">Tags!$CT$628</definedName>
    <definedName name="FXAVERAGE_2Q18">Tags_ols!$CT$628</definedName>
    <definedName name="FXAVERAGE_2Q19" localSheetId="10">Tags!$CY$628</definedName>
    <definedName name="FXAVERAGE_2Q19">Tags_ols!$CY$628</definedName>
    <definedName name="FXAVERAGE_2Q20" localSheetId="10">Tags!$DD$628</definedName>
    <definedName name="FXAVERAGE_2Q20">Tags_ols!$DD$628</definedName>
    <definedName name="FXAVERAGE_2Q21">Tags!$DI$628</definedName>
    <definedName name="FXAVERAGE_2Q22">Tags!$DN$628</definedName>
    <definedName name="FXAVERAGE_2Q23">Tags!$DS$628</definedName>
    <definedName name="FXAVERAGE_2Q24">Tags!$DX$628</definedName>
    <definedName name="FXAVERAGE_3Q00" localSheetId="10">Tags!$I$628</definedName>
    <definedName name="FXAVERAGE_3Q00">Tags_ols!$I$628</definedName>
    <definedName name="FXAVERAGE_3Q01" localSheetId="10">Tags!$N$628</definedName>
    <definedName name="FXAVERAGE_3Q01">Tags_ols!$N$628</definedName>
    <definedName name="FXAVERAGE_3Q02" localSheetId="10">Tags!$S$628</definedName>
    <definedName name="FXAVERAGE_3Q02">Tags_ols!$S$628</definedName>
    <definedName name="FXAVERAGE_3Q03" localSheetId="10">Tags!$X$628</definedName>
    <definedName name="FXAVERAGE_3Q03">Tags_ols!$X$628</definedName>
    <definedName name="FXAVERAGE_3Q04" localSheetId="10">Tags!$AC$628</definedName>
    <definedName name="FXAVERAGE_3Q04">Tags_ols!$AC$628</definedName>
    <definedName name="FXAVERAGE_3Q05" localSheetId="10">Tags!$AH$628</definedName>
    <definedName name="FXAVERAGE_3Q05">Tags_ols!$AH$628</definedName>
    <definedName name="FXAVERAGE_3Q06" localSheetId="10">Tags!$AM$628</definedName>
    <definedName name="FXAVERAGE_3Q06">Tags_ols!$AM$628</definedName>
    <definedName name="FXAVERAGE_3Q07" localSheetId="10">Tags!$AR$628</definedName>
    <definedName name="FXAVERAGE_3Q07">Tags_ols!$AR$628</definedName>
    <definedName name="FXAVERAGE_3Q08" localSheetId="10">Tags!$AW$628</definedName>
    <definedName name="FXAVERAGE_3Q08">Tags_ols!$AW$628</definedName>
    <definedName name="FXAVERAGE_3Q09" localSheetId="10">Tags!$BB$628</definedName>
    <definedName name="FXAVERAGE_3Q09">Tags_ols!$BB$628</definedName>
    <definedName name="FXAVERAGE_3Q10" localSheetId="10">Tags!$BG$628</definedName>
    <definedName name="FXAVERAGE_3Q10">Tags_ols!$BG$628</definedName>
    <definedName name="FXAVERAGE_3Q11" localSheetId="10">Tags!$BL$628</definedName>
    <definedName name="FXAVERAGE_3Q11">Tags_ols!$BL$628</definedName>
    <definedName name="FXAVERAGE_3Q12" localSheetId="10">Tags!$BQ$628</definedName>
    <definedName name="FXAVERAGE_3Q12">Tags_ols!$BQ$628</definedName>
    <definedName name="FXAVERAGE_3Q13" localSheetId="10">Tags!$BV$628</definedName>
    <definedName name="FXAVERAGE_3Q13">Tags_ols!$BV$628</definedName>
    <definedName name="FXAVERAGE_3Q14" localSheetId="10">Tags!$CA$628</definedName>
    <definedName name="FXAVERAGE_3Q14">Tags_ols!$CA$628</definedName>
    <definedName name="FXAVERAGE_3Q15" localSheetId="10">Tags!$CF$628</definedName>
    <definedName name="FXAVERAGE_3Q15">Tags_ols!$CF$628</definedName>
    <definedName name="FXAVERAGE_3Q16" localSheetId="10">Tags!$CK$628</definedName>
    <definedName name="FXAVERAGE_3Q16">Tags_ols!$CK$628</definedName>
    <definedName name="FXAVERAGE_3Q17" localSheetId="10">Tags!$CP$628</definedName>
    <definedName name="FXAVERAGE_3Q17">Tags_ols!$CP$628</definedName>
    <definedName name="FXAVERAGE_3Q18" localSheetId="10">Tags!$CU$628</definedName>
    <definedName name="FXAVERAGE_3Q18">Tags_ols!$CU$628</definedName>
    <definedName name="FXAVERAGE_3Q19" localSheetId="10">Tags!$CZ$628</definedName>
    <definedName name="FXAVERAGE_3Q19">Tags_ols!$CZ$628</definedName>
    <definedName name="FXAVERAGE_3Q20" localSheetId="10">Tags!$DE$628</definedName>
    <definedName name="FXAVERAGE_3Q20">Tags_ols!$DE$628</definedName>
    <definedName name="FXAVERAGE_3Q21">Tags!$DJ$628</definedName>
    <definedName name="FXAVERAGE_3Q22">Tags!$DO$628</definedName>
    <definedName name="FXAVERAGE_3Q23">Tags!$DT$628</definedName>
    <definedName name="FXAVERAGE_3Q24">Tags!$DY$628</definedName>
    <definedName name="FXAVERAGE_4Q00" localSheetId="10">Tags!$J$628</definedName>
    <definedName name="FXAVERAGE_4Q00">Tags_ols!$J$628</definedName>
    <definedName name="FXAVERAGE_4Q01" localSheetId="10">Tags!$O$628</definedName>
    <definedName name="FXAVERAGE_4Q01">Tags_ols!$O$628</definedName>
    <definedName name="FXAVERAGE_4Q02" localSheetId="10">Tags!$T$628</definedName>
    <definedName name="FXAVERAGE_4Q02">Tags_ols!$T$628</definedName>
    <definedName name="FXAVERAGE_4Q03" localSheetId="10">Tags!$Y$628</definedName>
    <definedName name="FXAVERAGE_4Q03">Tags_ols!$Y$628</definedName>
    <definedName name="FXAVERAGE_4Q04" localSheetId="10">Tags!$AD$628</definedName>
    <definedName name="FXAVERAGE_4Q04">Tags_ols!$AD$628</definedName>
    <definedName name="FXAVERAGE_4Q05" localSheetId="10">Tags!$AI$628</definedName>
    <definedName name="FXAVERAGE_4Q05">Tags_ols!$AI$628</definedName>
    <definedName name="FXAVERAGE_4Q06" localSheetId="10">Tags!$AN$628</definedName>
    <definedName name="FXAVERAGE_4Q06">Tags_ols!$AN$628</definedName>
    <definedName name="FXAVERAGE_4Q07" localSheetId="10">Tags!$AS$628</definedName>
    <definedName name="FXAVERAGE_4Q07">Tags_ols!$AS$628</definedName>
    <definedName name="FXAVERAGE_4Q08" localSheetId="10">Tags!$AX$628</definedName>
    <definedName name="FXAVERAGE_4Q08">Tags_ols!$AX$628</definedName>
    <definedName name="FXAVERAGE_4Q09" localSheetId="10">Tags!$BC$628</definedName>
    <definedName name="FXAVERAGE_4Q09">Tags_ols!$BC$628</definedName>
    <definedName name="FXAVERAGE_4Q10" localSheetId="10">Tags!$BH$628</definedName>
    <definedName name="FXAVERAGE_4Q10">Tags_ols!$BH$628</definedName>
    <definedName name="FXAVERAGE_4Q11" localSheetId="10">Tags!$BM$628</definedName>
    <definedName name="FXAVERAGE_4Q11">Tags_ols!$BM$628</definedName>
    <definedName name="FXAVERAGE_4Q12" localSheetId="10">Tags!$BR$628</definedName>
    <definedName name="FXAVERAGE_4Q12">Tags_ols!$BR$628</definedName>
    <definedName name="FXAVERAGE_4Q13" localSheetId="10">Tags!$BW$628</definedName>
    <definedName name="FXAVERAGE_4Q13">Tags_ols!$BW$628</definedName>
    <definedName name="FXAVERAGE_4Q14" localSheetId="10">Tags!$CB$628</definedName>
    <definedName name="FXAVERAGE_4Q14">Tags_ols!$CB$628</definedName>
    <definedName name="FXAVERAGE_4Q15" localSheetId="10">Tags!$CG$628</definedName>
    <definedName name="FXAVERAGE_4Q15">Tags_ols!$CG$628</definedName>
    <definedName name="FXAVERAGE_4Q16" localSheetId="10">Tags!$CL$628</definedName>
    <definedName name="FXAVERAGE_4Q16">Tags_ols!$CL$628</definedName>
    <definedName name="FXAVERAGE_4Q17" localSheetId="10">Tags!$CQ$628</definedName>
    <definedName name="FXAVERAGE_4Q17">Tags_ols!$CQ$628</definedName>
    <definedName name="FXAVERAGE_4Q18" localSheetId="10">Tags!$CV$628</definedName>
    <definedName name="FXAVERAGE_4Q18">Tags_ols!$CV$628</definedName>
    <definedName name="FXAVERAGE_4Q19" localSheetId="10">Tags!$DA$628</definedName>
    <definedName name="FXAVERAGE_4Q19">Tags_ols!$DA$628</definedName>
    <definedName name="FXAVERAGE_4Q20" localSheetId="10">Tags!$DF$628</definedName>
    <definedName name="FXAVERAGE_4Q20">Tags_ols!$DF$628</definedName>
    <definedName name="FXAVERAGE_4Q21">Tags!$DK$628</definedName>
    <definedName name="FXAVERAGE_4Q22">Tags!$DP$628</definedName>
    <definedName name="FXAVERAGE_4Q23">Tags!$DU$628</definedName>
    <definedName name="FXAVERAGE_4Q24">Tags!$DZ$628</definedName>
    <definedName name="FXBEST_1995">Tags_ols!$B$629</definedName>
    <definedName name="FXBEST_1996">Tags_ols!$C$629</definedName>
    <definedName name="FXBEST_1997">Tags_ols!$D$629</definedName>
    <definedName name="FXBEST_1998">Tags_ols!$E$629</definedName>
    <definedName name="FXBEST_1999">Tags_ols!$F$629</definedName>
    <definedName name="FXBEST_1Q00" localSheetId="10">Tags!$G$629</definedName>
    <definedName name="FXBEST_1Q00">Tags_ols!$G$629</definedName>
    <definedName name="FXBEST_1Q01" localSheetId="10">Tags!$L$629</definedName>
    <definedName name="FXBEST_1Q01">Tags_ols!$L$629</definedName>
    <definedName name="FXBEST_1Q02" localSheetId="10">Tags!$Q$629</definedName>
    <definedName name="FXBEST_1Q02">Tags_ols!$Q$629</definedName>
    <definedName name="FXBEST_1Q03" localSheetId="10">Tags!$V$629</definedName>
    <definedName name="FXBEST_1Q03">Tags_ols!$V$629</definedName>
    <definedName name="FXBEST_1Q04" localSheetId="10">Tags!$AA$629</definedName>
    <definedName name="FXBEST_1Q04">Tags_ols!$AA$629</definedName>
    <definedName name="FXBEST_1Q05" localSheetId="10">Tags!$AF$629</definedName>
    <definedName name="FXBEST_1Q05">Tags_ols!$AF$629</definedName>
    <definedName name="FXBEST_1Q06" localSheetId="10">Tags!$AK$629</definedName>
    <definedName name="FXBEST_1Q06">Tags_ols!$AK$629</definedName>
    <definedName name="FXBEST_1Q07" localSheetId="10">Tags!$AP$629</definedName>
    <definedName name="FXBEST_1Q07">Tags_ols!$AP$629</definedName>
    <definedName name="FXBEST_1Q08" localSheetId="10">Tags!$AU$629</definedName>
    <definedName name="FXBEST_1Q08">Tags_ols!$AU$629</definedName>
    <definedName name="FXBEST_1Q09" localSheetId="10">Tags!$AZ$629</definedName>
    <definedName name="FXBEST_1Q09">Tags_ols!$AZ$629</definedName>
    <definedName name="FXBEST_1Q10" localSheetId="10">Tags!$BE$629</definedName>
    <definedName name="FXBEST_1Q10">Tags_ols!$BE$629</definedName>
    <definedName name="FXBEST_1Q11" localSheetId="10">Tags!$BJ$629</definedName>
    <definedName name="FXBEST_1Q11">Tags_ols!$BJ$629</definedName>
    <definedName name="FXBEST_1Q12" localSheetId="10">Tags!$BO$629</definedName>
    <definedName name="FXBEST_1Q12">Tags_ols!$BO$629</definedName>
    <definedName name="FXBEST_1Q13" localSheetId="10">Tags!$BT$629</definedName>
    <definedName name="FXBEST_1Q13">Tags_ols!$BT$629</definedName>
    <definedName name="FXBEST_1Q14" localSheetId="10">Tags!$BY$629</definedName>
    <definedName name="FXBEST_1Q14">Tags_ols!$BY$629</definedName>
    <definedName name="FXBEST_1Q15" localSheetId="10">Tags!$CD$629</definedName>
    <definedName name="FXBEST_1Q15">Tags_ols!$CD$629</definedName>
    <definedName name="FXBEST_1Q16" localSheetId="10">Tags!$CI$629</definedName>
    <definedName name="FXBEST_1Q16">Tags_ols!$CI$629</definedName>
    <definedName name="FXBEST_1Q17" localSheetId="10">Tags!$CN$629</definedName>
    <definedName name="FXBEST_1Q17">Tags_ols!$CN$629</definedName>
    <definedName name="FXBEST_1Q18" localSheetId="10">Tags!$CS$629</definedName>
    <definedName name="FXBEST_1Q18">Tags_ols!$CS$629</definedName>
    <definedName name="FXBEST_1Q19" localSheetId="10">Tags!$CX$629</definedName>
    <definedName name="FXBEST_1Q19">Tags_ols!$CX$629</definedName>
    <definedName name="FXBEST_1Q20" localSheetId="10">Tags!$DC$629</definedName>
    <definedName name="FXBEST_1Q20">Tags_ols!$DC$629</definedName>
    <definedName name="FXBEST_1Q21">Tags!$DH$629</definedName>
    <definedName name="FXBEST_1Q22">Tags!$DM$629</definedName>
    <definedName name="FXBEST_1Q23">Tags!$DR$629</definedName>
    <definedName name="FXBEST_1Q24">Tags!$DW$629</definedName>
    <definedName name="FXBEST_2000" localSheetId="10">Tags!$K$629</definedName>
    <definedName name="FXBEST_2000">Tags_ols!$K$629</definedName>
    <definedName name="FXBEST_2001" localSheetId="10">Tags!$P$629</definedName>
    <definedName name="FXBEST_2001">Tags_ols!$P$629</definedName>
    <definedName name="FXBEST_2002" localSheetId="10">Tags!$U$629</definedName>
    <definedName name="FXBEST_2002">Tags_ols!$U$629</definedName>
    <definedName name="FXBEST_2003" localSheetId="10">Tags!$Z$629</definedName>
    <definedName name="FXBEST_2003">Tags_ols!$Z$629</definedName>
    <definedName name="FXBEST_2004" localSheetId="10">Tags!$AE$629</definedName>
    <definedName name="FXBEST_2004">Tags_ols!$AE$629</definedName>
    <definedName name="FXBEST_2005" localSheetId="10">Tags!$AJ$629</definedName>
    <definedName name="FXBEST_2005">Tags_ols!$AJ$629</definedName>
    <definedName name="FXBEST_2006" localSheetId="10">Tags!$AO$629</definedName>
    <definedName name="FXBEST_2006">Tags_ols!$AO$629</definedName>
    <definedName name="FXBEST_2007" localSheetId="10">Tags!$AT$629</definedName>
    <definedName name="FXBEST_2007">Tags_ols!$AT$629</definedName>
    <definedName name="FXBEST_2008" localSheetId="10">Tags!$AY$629</definedName>
    <definedName name="FXBEST_2008">Tags_ols!$AY$629</definedName>
    <definedName name="FXBEST_2009" localSheetId="10">Tags!$BD$629</definedName>
    <definedName name="FXBEST_2009">Tags_ols!$BD$629</definedName>
    <definedName name="FXBEST_2010" localSheetId="10">Tags!$BI$629</definedName>
    <definedName name="FXBEST_2010">Tags_ols!$BI$629</definedName>
    <definedName name="FXBEST_2011" localSheetId="10">Tags!$BN$629</definedName>
    <definedName name="FXBEST_2011">Tags_ols!$BN$629</definedName>
    <definedName name="FXBEST_2012" localSheetId="10">Tags!$BS$629</definedName>
    <definedName name="FXBEST_2012">Tags_ols!$BS$629</definedName>
    <definedName name="FXBEST_2013" localSheetId="10">Tags!$BX$629</definedName>
    <definedName name="FXBEST_2013">Tags_ols!$BX$629</definedName>
    <definedName name="FXBEST_2014" localSheetId="10">Tags!$CC$629</definedName>
    <definedName name="FXBEST_2014">Tags_ols!$CC$629</definedName>
    <definedName name="FXBEST_2015" localSheetId="10">Tags!#REF!</definedName>
    <definedName name="FXBEST_2015">Tags!$CH$629</definedName>
    <definedName name="FXBEST_2016" localSheetId="10">Tags!$CM$629</definedName>
    <definedName name="FXBEST_2016">Tags_ols!$CM$629</definedName>
    <definedName name="FXBEST_2017" localSheetId="10">Tags!$CR$629</definedName>
    <definedName name="FXBEST_2017">Tags_ols!$CR$629</definedName>
    <definedName name="FXBEST_2018" localSheetId="10">Tags!$CW$629</definedName>
    <definedName name="FXBEST_2018">Tags_ols!$CW$629</definedName>
    <definedName name="FXBEST_2019" localSheetId="10">Tags!$DB$629</definedName>
    <definedName name="FXBEST_2019">Tags_ols!$DB$629</definedName>
    <definedName name="FXBEST_2020" localSheetId="10">Tags!$DG$629</definedName>
    <definedName name="FXBEST_2020">Tags_ols!$DG$629</definedName>
    <definedName name="FXBEST_2021">Tags!$DL$629</definedName>
    <definedName name="FXBEST_2022">Tags!$DQ$629</definedName>
    <definedName name="FXBEST_2023">Tags!$DV$629</definedName>
    <definedName name="FXBEST_2024">Tags!$EA$629</definedName>
    <definedName name="FXBEST_2Q00" localSheetId="10">Tags!$H$629</definedName>
    <definedName name="FXBEST_2Q00">Tags_ols!$H$629</definedName>
    <definedName name="FXBEST_2Q01" localSheetId="10">Tags!$M$629</definedName>
    <definedName name="FXBEST_2Q01">Tags_ols!$M$629</definedName>
    <definedName name="FXBEST_2Q02" localSheetId="10">Tags!$R$629</definedName>
    <definedName name="FXBEST_2Q02">Tags_ols!$R$629</definedName>
    <definedName name="FXBEST_2Q03" localSheetId="10">Tags!$W$629</definedName>
    <definedName name="FXBEST_2Q03">Tags_ols!$W$629</definedName>
    <definedName name="FXBEST_2Q04" localSheetId="10">Tags!$AB$629</definedName>
    <definedName name="FXBEST_2Q04">Tags_ols!$AB$629</definedName>
    <definedName name="FXBEST_2Q05" localSheetId="10">Tags!$AG$629</definedName>
    <definedName name="FXBEST_2Q05">Tags_ols!$AG$629</definedName>
    <definedName name="FXBEST_2Q06" localSheetId="10">Tags!$AL$629</definedName>
    <definedName name="FXBEST_2Q06">Tags_ols!$AL$629</definedName>
    <definedName name="FXBEST_2Q07" localSheetId="10">Tags!$AQ$629</definedName>
    <definedName name="FXBEST_2Q07">Tags_ols!$AQ$629</definedName>
    <definedName name="FXBEST_2Q08" localSheetId="10">Tags!$AV$629</definedName>
    <definedName name="FXBEST_2Q08">Tags_ols!$AV$629</definedName>
    <definedName name="FXBEST_2Q09" localSheetId="10">Tags!$BA$629</definedName>
    <definedName name="FXBEST_2Q09">Tags_ols!$BA$629</definedName>
    <definedName name="FXBEST_2Q10" localSheetId="10">Tags!$BF$629</definedName>
    <definedName name="FXBEST_2Q10">Tags_ols!$BF$629</definedName>
    <definedName name="FXBEST_2Q11" localSheetId="10">Tags!$BK$629</definedName>
    <definedName name="FXBEST_2Q11">Tags_ols!$BK$629</definedName>
    <definedName name="FXBEST_2Q12" localSheetId="10">Tags!$BP$629</definedName>
    <definedName name="FXBEST_2Q12">Tags_ols!$BP$629</definedName>
    <definedName name="FXBEST_2Q13" localSheetId="10">Tags!$BU$629</definedName>
    <definedName name="FXBEST_2Q13">Tags_ols!$BU$629</definedName>
    <definedName name="FXBEST_2Q14" localSheetId="10">Tags!$BZ$629</definedName>
    <definedName name="FXBEST_2Q14">Tags_ols!$BZ$629</definedName>
    <definedName name="FXBEST_2Q15" localSheetId="10">Tags!$CE$629</definedName>
    <definedName name="FXBEST_2Q15">Tags_ols!$CE$629</definedName>
    <definedName name="FXBEST_2Q16" localSheetId="10">Tags!$CJ$629</definedName>
    <definedName name="FXBEST_2Q16">Tags_ols!$CJ$629</definedName>
    <definedName name="FXBEST_2Q17" localSheetId="10">Tags!$CO$629</definedName>
    <definedName name="FXBEST_2Q17">Tags_ols!$CO$629</definedName>
    <definedName name="FXBEST_2Q18" localSheetId="10">Tags!$CT$629</definedName>
    <definedName name="FXBEST_2Q18">Tags_ols!$CT$629</definedName>
    <definedName name="FXBEST_2Q19" localSheetId="10">Tags!$CY$629</definedName>
    <definedName name="FXBEST_2Q19">Tags_ols!$CY$629</definedName>
    <definedName name="FXBEST_2Q20" localSheetId="10">Tags!$DD$629</definedName>
    <definedName name="FXBEST_2Q20">Tags_ols!$DD$629</definedName>
    <definedName name="FXBEST_2Q21">Tags!$DI$629</definedName>
    <definedName name="FXBEST_2Q22">Tags!$DN$629</definedName>
    <definedName name="FXBEST_2Q23">Tags!$DS$629</definedName>
    <definedName name="FXBEST_2Q24">Tags!$DX$629</definedName>
    <definedName name="FXBEST_3Q00" localSheetId="10">Tags!$I$629</definedName>
    <definedName name="FXBEST_3Q00">Tags_ols!$I$629</definedName>
    <definedName name="FXBEST_3Q01" localSheetId="10">Tags!$N$629</definedName>
    <definedName name="FXBEST_3Q01">Tags_ols!$N$629</definedName>
    <definedName name="FXBEST_3Q02" localSheetId="10">Tags!$S$629</definedName>
    <definedName name="FXBEST_3Q02">Tags_ols!$S$629</definedName>
    <definedName name="FXBEST_3Q03" localSheetId="10">Tags!$X$629</definedName>
    <definedName name="FXBEST_3Q03">Tags_ols!$X$629</definedName>
    <definedName name="FXBEST_3Q04" localSheetId="10">Tags!$AC$629</definedName>
    <definedName name="FXBEST_3Q04">Tags_ols!$AC$629</definedName>
    <definedName name="FXBEST_3Q05" localSheetId="10">Tags!$AH$629</definedName>
    <definedName name="FXBEST_3Q05">Tags_ols!$AH$629</definedName>
    <definedName name="FXBEST_3Q06" localSheetId="10">Tags!$AM$629</definedName>
    <definedName name="FXBEST_3Q06">Tags_ols!$AM$629</definedName>
    <definedName name="FXBEST_3Q07" localSheetId="10">Tags!$AR$629</definedName>
    <definedName name="FXBEST_3Q07">Tags_ols!$AR$629</definedName>
    <definedName name="FXBEST_3Q08" localSheetId="10">Tags!$AW$629</definedName>
    <definedName name="FXBEST_3Q08">Tags_ols!$AW$629</definedName>
    <definedName name="FXBEST_3Q09" localSheetId="10">Tags!$BB$629</definedName>
    <definedName name="FXBEST_3Q09">Tags_ols!$BB$629</definedName>
    <definedName name="FXBEST_3Q10" localSheetId="10">Tags!$BG$629</definedName>
    <definedName name="FXBEST_3Q10">Tags_ols!$BG$629</definedName>
    <definedName name="FXBEST_3Q11" localSheetId="10">Tags!$BL$629</definedName>
    <definedName name="FXBEST_3Q11">Tags_ols!$BL$629</definedName>
    <definedName name="FXBEST_3Q12" localSheetId="10">Tags!$BQ$629</definedName>
    <definedName name="FXBEST_3Q12">Tags_ols!$BQ$629</definedName>
    <definedName name="FXBEST_3Q13" localSheetId="10">Tags!$BV$629</definedName>
    <definedName name="FXBEST_3Q13">Tags_ols!$BV$629</definedName>
    <definedName name="FXBEST_3Q14" localSheetId="10">Tags!$CA$629</definedName>
    <definedName name="FXBEST_3Q14">Tags_ols!$CA$629</definedName>
    <definedName name="FXBEST_3Q15" localSheetId="10">Tags!$CF$629</definedName>
    <definedName name="FXBEST_3Q15">Tags_ols!$CF$629</definedName>
    <definedName name="FXBEST_3Q16" localSheetId="10">Tags!$CK$629</definedName>
    <definedName name="FXBEST_3Q16">Tags_ols!$CK$629</definedName>
    <definedName name="FXBEST_3Q17" localSheetId="10">Tags!$CP$629</definedName>
    <definedName name="FXBEST_3Q17">Tags_ols!$CP$629</definedName>
    <definedName name="FXBEST_3Q18" localSheetId="10">Tags!$CU$629</definedName>
    <definedName name="FXBEST_3Q18">Tags_ols!$CU$629</definedName>
    <definedName name="FXBEST_3Q19" localSheetId="10">Tags!$CZ$629</definedName>
    <definedName name="FXBEST_3Q19">Tags_ols!$CZ$629</definedName>
    <definedName name="FXBEST_3Q20" localSheetId="10">Tags!$DE$629</definedName>
    <definedName name="FXBEST_3Q20">Tags_ols!$DE$629</definedName>
    <definedName name="FXBEST_3Q21">Tags!$DJ$629</definedName>
    <definedName name="FXBEST_3Q22">Tags!$DO$629</definedName>
    <definedName name="FXBEST_3Q23">Tags!$DT$629</definedName>
    <definedName name="FXBEST_3Q24">Tags!$DY$629</definedName>
    <definedName name="FXBEST_4Q00" localSheetId="10">Tags!$J$629</definedName>
    <definedName name="FXBEST_4Q00">Tags_ols!$J$629</definedName>
    <definedName name="FXBEST_4Q01" localSheetId="10">Tags!$O$629</definedName>
    <definedName name="FXBEST_4Q01">Tags_ols!$O$629</definedName>
    <definedName name="FXBEST_4Q02" localSheetId="10">Tags!$T$629</definedName>
    <definedName name="FXBEST_4Q02">Tags_ols!$T$629</definedName>
    <definedName name="FXBEST_4Q03" localSheetId="10">Tags!$Y$629</definedName>
    <definedName name="FXBEST_4Q03">Tags_ols!$Y$629</definedName>
    <definedName name="FXBEST_4Q04" localSheetId="10">Tags!$AD$629</definedName>
    <definedName name="FXBEST_4Q04">Tags_ols!$AD$629</definedName>
    <definedName name="FXBEST_4Q05" localSheetId="10">Tags!$AI$629</definedName>
    <definedName name="FXBEST_4Q05">Tags_ols!$AI$629</definedName>
    <definedName name="FXBEST_4Q06" localSheetId="10">Tags!$AN$629</definedName>
    <definedName name="FXBEST_4Q06">Tags_ols!$AN$629</definedName>
    <definedName name="FXBEST_4Q07" localSheetId="10">Tags!$AS$629</definedName>
    <definedName name="FXBEST_4Q07">Tags_ols!$AS$629</definedName>
    <definedName name="FXBEST_4Q08" localSheetId="10">Tags!$AX$629</definedName>
    <definedName name="FXBEST_4Q08">Tags_ols!$AX$629</definedName>
    <definedName name="FXBEST_4Q09" localSheetId="10">Tags!$BC$629</definedName>
    <definedName name="FXBEST_4Q09">Tags_ols!$BC$629</definedName>
    <definedName name="FXBEST_4Q10" localSheetId="10">Tags!$BH$629</definedName>
    <definedName name="FXBEST_4Q10">Tags_ols!$BH$629</definedName>
    <definedName name="FXBEST_4Q11" localSheetId="10">Tags!$BM$629</definedName>
    <definedName name="FXBEST_4Q11">Tags_ols!$BM$629</definedName>
    <definedName name="FXBEST_4Q12" localSheetId="10">Tags!$BR$629</definedName>
    <definedName name="FXBEST_4Q12">Tags_ols!$BR$629</definedName>
    <definedName name="FXBEST_4Q13" localSheetId="10">Tags!$BW$629</definedName>
    <definedName name="FXBEST_4Q13">Tags_ols!$BW$629</definedName>
    <definedName name="FXBEST_4Q14" localSheetId="10">Tags!$CB$629</definedName>
    <definedName name="FXBEST_4Q14">Tags_ols!$CB$629</definedName>
    <definedName name="FXBEST_4Q15" localSheetId="10">Tags!$CG$629</definedName>
    <definedName name="FXBEST_4Q15">Tags_ols!$CG$629</definedName>
    <definedName name="FXBEST_4Q16" localSheetId="10">Tags!$CL$629</definedName>
    <definedName name="FXBEST_4Q16">Tags_ols!$CL$629</definedName>
    <definedName name="FXBEST_4Q17" localSheetId="10">Tags!$CQ$629</definedName>
    <definedName name="FXBEST_4Q17">Tags_ols!$CQ$629</definedName>
    <definedName name="FXBEST_4Q18" localSheetId="10">Tags!$CV$629</definedName>
    <definedName name="FXBEST_4Q18">Tags_ols!$CV$629</definedName>
    <definedName name="FXBEST_4Q19" localSheetId="10">Tags!$DA$629</definedName>
    <definedName name="FXBEST_4Q19">Tags_ols!$DA$629</definedName>
    <definedName name="FXBEST_4Q20" localSheetId="10">Tags!$DF$629</definedName>
    <definedName name="FXBEST_4Q20">Tags_ols!$DF$629</definedName>
    <definedName name="FXBEST_4Q21">Tags!$DK$629</definedName>
    <definedName name="FXBEST_4Q22">Tags!$DP$629</definedName>
    <definedName name="FXBEST_4Q23">Tags!$DU$629</definedName>
    <definedName name="FXBEST_4Q24">Tags!$DZ$629</definedName>
    <definedName name="FXFINAL_1995">Tags_ols!$B$627</definedName>
    <definedName name="FXFINAL_1996">Tags_ols!$C$627</definedName>
    <definedName name="FXFINAL_1997">Tags_ols!$D$627</definedName>
    <definedName name="FXFINAL_1998">Tags_ols!$E$627</definedName>
    <definedName name="FXFINAL_1999">Tags_ols!$F$627</definedName>
    <definedName name="FXFINAL_1Q00" localSheetId="10">Tags!$G$627</definedName>
    <definedName name="FXFINAL_1Q00">Tags_ols!$G$627</definedName>
    <definedName name="FXFINAL_1Q01" localSheetId="10">Tags!$L$627</definedName>
    <definedName name="FXFINAL_1Q01">Tags_ols!$L$627</definedName>
    <definedName name="FXFINAL_1Q02" localSheetId="10">Tags!$Q$627</definedName>
    <definedName name="FXFINAL_1Q02">Tags_ols!$Q$627</definedName>
    <definedName name="FXFINAL_1Q03" localSheetId="10">Tags!$V$627</definedName>
    <definedName name="FXFINAL_1Q03">Tags_ols!$V$627</definedName>
    <definedName name="FXFINAL_1Q04" localSheetId="10">Tags!$AA$627</definedName>
    <definedName name="FXFINAL_1Q04">Tags_ols!$AA$627</definedName>
    <definedName name="FXFINAL_1Q05" localSheetId="10">Tags!$AF$627</definedName>
    <definedName name="FXFINAL_1Q05">Tags_ols!$AF$627</definedName>
    <definedName name="FXFINAL_1Q06" localSheetId="10">Tags!$AK$627</definedName>
    <definedName name="FXFINAL_1Q06">Tags_ols!$AK$627</definedName>
    <definedName name="FXFINAL_1Q07" localSheetId="10">Tags!$AP$627</definedName>
    <definedName name="FXFINAL_1Q07">Tags_ols!$AP$627</definedName>
    <definedName name="FXFINAL_1Q08" localSheetId="10">Tags!$AU$627</definedName>
    <definedName name="FXFINAL_1Q08">Tags_ols!$AU$627</definedName>
    <definedName name="FXFINAL_1Q09" localSheetId="10">Tags!$AZ$627</definedName>
    <definedName name="FXFINAL_1Q09">Tags_ols!$AZ$627</definedName>
    <definedName name="FXFINAL_1Q10" localSheetId="10">Tags!$BE$627</definedName>
    <definedName name="FXFINAL_1Q10">Tags_ols!$BE$627</definedName>
    <definedName name="FXFINAL_1Q11" localSheetId="10">Tags!$BJ$627</definedName>
    <definedName name="FXFINAL_1Q11">Tags_ols!$BJ$627</definedName>
    <definedName name="FXFINAL_1Q12" localSheetId="10">Tags!$BO$627</definedName>
    <definedName name="FXFINAL_1Q12">Tags_ols!$BO$627</definedName>
    <definedName name="FXFINAL_1Q13" localSheetId="10">Tags!$BT$627</definedName>
    <definedName name="FXFINAL_1Q13">Tags_ols!$BT$627</definedName>
    <definedName name="FXFINAL_1Q14" localSheetId="10">Tags!$BY$627</definedName>
    <definedName name="FXFINAL_1Q14">Tags_ols!$BY$627</definedName>
    <definedName name="FXFINAL_1Q15" localSheetId="10">Tags!$CD$627</definedName>
    <definedName name="FXFINAL_1Q15">Tags_ols!$CD$627</definedName>
    <definedName name="FXFINAL_1Q16" localSheetId="10">Tags!$CI$627</definedName>
    <definedName name="FXFINAL_1Q16">Tags_ols!$CI$627</definedName>
    <definedName name="FXFINAL_1Q17" localSheetId="10">Tags!$CN$627</definedName>
    <definedName name="FXFINAL_1Q17">Tags_ols!$CN$627</definedName>
    <definedName name="FXFINAL_1Q18" localSheetId="10">Tags!$CS$627</definedName>
    <definedName name="FXFINAL_1Q18">Tags_ols!$CS$627</definedName>
    <definedName name="FXFINAL_1Q19" localSheetId="10">Tags!$CX$627</definedName>
    <definedName name="FXFINAL_1Q19">Tags_ols!$CX$627</definedName>
    <definedName name="FXFINAL_1Q20" localSheetId="10">Tags!$DC$627</definedName>
    <definedName name="FXFINAL_1Q20">Tags_ols!$DC$627</definedName>
    <definedName name="FXFINAL_1Q21">Tags!$DH$627</definedName>
    <definedName name="FXFINAL_1Q22">Tags!$DM$627</definedName>
    <definedName name="FXFINAL_1Q23">Tags!$DR$627</definedName>
    <definedName name="FXFINAL_1Q24">Tags!$DW$627</definedName>
    <definedName name="FXFINAL_2000" localSheetId="10">Tags!$K$627</definedName>
    <definedName name="FXFINAL_2000">Tags_ols!$K$627</definedName>
    <definedName name="FXFINAL_2001" localSheetId="10">Tags!$P$627</definedName>
    <definedName name="FXFINAL_2001">Tags_ols!$P$627</definedName>
    <definedName name="FXFINAL_2002" localSheetId="10">Tags!$U$627</definedName>
    <definedName name="FXFINAL_2002">Tags_ols!$U$627</definedName>
    <definedName name="FXFINAL_2003" localSheetId="10">Tags!$Z$627</definedName>
    <definedName name="FXFINAL_2003">Tags_ols!$Z$627</definedName>
    <definedName name="FXFINAL_2004" localSheetId="10">Tags!$AE$627</definedName>
    <definedName name="FXFINAL_2004">Tags_ols!$AE$627</definedName>
    <definedName name="FXFINAL_2005" localSheetId="10">Tags!$AJ$627</definedName>
    <definedName name="FXFINAL_2005">Tags_ols!$AJ$627</definedName>
    <definedName name="FXFINAL_2006" localSheetId="10">Tags!$AO$627</definedName>
    <definedName name="FXFINAL_2006">Tags_ols!$AO$627</definedName>
    <definedName name="FXFINAL_2007" localSheetId="10">Tags!$AT$627</definedName>
    <definedName name="FXFINAL_2007">Tags_ols!$AT$627</definedName>
    <definedName name="FXFINAL_2008" localSheetId="10">Tags!$AY$627</definedName>
    <definedName name="FXFINAL_2008">Tags_ols!$AY$627</definedName>
    <definedName name="FXFINAL_2009" localSheetId="10">Tags!$BD$627</definedName>
    <definedName name="FXFINAL_2009">Tags_ols!$BD$627</definedName>
    <definedName name="FXFINAL_2010" localSheetId="10">Tags!$BI$627</definedName>
    <definedName name="FXFINAL_2010">Tags_ols!$BI$627</definedName>
    <definedName name="FXFINAL_2011" localSheetId="10">Tags!$BN$627</definedName>
    <definedName name="FXFINAL_2011">Tags_ols!$BN$627</definedName>
    <definedName name="FXFINAL_2012" localSheetId="10">Tags!$BS$627</definedName>
    <definedName name="FXFINAL_2012">Tags_ols!$BS$627</definedName>
    <definedName name="FXFINAL_2013" localSheetId="10">Tags!$BX$627</definedName>
    <definedName name="FXFINAL_2013">Tags_ols!$BX$627</definedName>
    <definedName name="FXFINAL_2014" localSheetId="10">Tags!$CC$627</definedName>
    <definedName name="FXFINAL_2014">Tags_ols!$CC$627</definedName>
    <definedName name="FXFINAL_2015" localSheetId="10">Tags!#REF!</definedName>
    <definedName name="FXFINAL_2015">Tags!$CH$627</definedName>
    <definedName name="FXFINAL_2016" localSheetId="10">Tags!$CM$627</definedName>
    <definedName name="FXFINAL_2016">Tags_ols!$CM$627</definedName>
    <definedName name="FXFINAL_2017" localSheetId="10">Tags!$CR$627</definedName>
    <definedName name="FXFINAL_2017">Tags_ols!$CR$627</definedName>
    <definedName name="FXFINAL_2018" localSheetId="10">Tags!$CW$627</definedName>
    <definedName name="FXFINAL_2018">Tags_ols!$CW$627</definedName>
    <definedName name="FXFINAL_2019" localSheetId="10">Tags!$DB$627</definedName>
    <definedName name="FXFINAL_2019">Tags_ols!$DB$627</definedName>
    <definedName name="FXFINAL_2020" localSheetId="10">Tags!$DG$627</definedName>
    <definedName name="FXFINAL_2020">Tags_ols!$DG$627</definedName>
    <definedName name="FXFINAL_2021">Tags!$DL$627</definedName>
    <definedName name="FXFINAL_2022">Tags!$DQ$627</definedName>
    <definedName name="FXFINAL_2023">Tags!$DV$627</definedName>
    <definedName name="FXFINAL_2024">Tags!$EA$627</definedName>
    <definedName name="FXFINAL_2Q00" localSheetId="10">Tags!$H$627</definedName>
    <definedName name="FXFINAL_2Q00">Tags_ols!$H$627</definedName>
    <definedName name="FXFINAL_2Q01" localSheetId="10">Tags!$M$627</definedName>
    <definedName name="FXFINAL_2Q01">Tags_ols!$M$627</definedName>
    <definedName name="FXFINAL_2Q02" localSheetId="10">Tags!$R$627</definedName>
    <definedName name="FXFINAL_2Q02">Tags_ols!$R$627</definedName>
    <definedName name="FXFINAL_2Q03" localSheetId="10">Tags!$W$627</definedName>
    <definedName name="FXFINAL_2Q03">Tags_ols!$W$627</definedName>
    <definedName name="FXFINAL_2Q04" localSheetId="10">Tags!$AB$627</definedName>
    <definedName name="FXFINAL_2Q04">Tags_ols!$AB$627</definedName>
    <definedName name="FXFINAL_2Q05" localSheetId="10">Tags!$AG$627</definedName>
    <definedName name="FXFINAL_2Q05">Tags_ols!$AG$627</definedName>
    <definedName name="FXFINAL_2Q06" localSheetId="10">Tags!$AL$627</definedName>
    <definedName name="FXFINAL_2Q06">Tags_ols!$AL$627</definedName>
    <definedName name="FXFINAL_2Q07" localSheetId="10">Tags!$AQ$627</definedName>
    <definedName name="FXFINAL_2Q07">Tags_ols!$AQ$627</definedName>
    <definedName name="FXFINAL_2Q08" localSheetId="10">Tags!$AV$627</definedName>
    <definedName name="FXFINAL_2Q08">Tags_ols!$AV$627</definedName>
    <definedName name="FXFINAL_2Q09" localSheetId="10">Tags!$BA$627</definedName>
    <definedName name="FXFINAL_2Q09">Tags_ols!$BA$627</definedName>
    <definedName name="FXFINAL_2Q10" localSheetId="10">Tags!$BF$627</definedName>
    <definedName name="FXFINAL_2Q10">Tags_ols!$BF$627</definedName>
    <definedName name="FXFINAL_2Q11" localSheetId="10">Tags!$BK$627</definedName>
    <definedName name="FXFINAL_2Q11">Tags_ols!$BK$627</definedName>
    <definedName name="FXFINAL_2Q12" localSheetId="10">Tags!$BP$627</definedName>
    <definedName name="FXFINAL_2Q12">Tags_ols!$BP$627</definedName>
    <definedName name="FXFINAL_2Q13" localSheetId="10">Tags!$BU$627</definedName>
    <definedName name="FXFINAL_2Q13">Tags_ols!$BU$627</definedName>
    <definedName name="FXFINAL_2Q14" localSheetId="10">Tags!$BZ$627</definedName>
    <definedName name="FXFINAL_2Q14">Tags_ols!$BZ$627</definedName>
    <definedName name="FXFINAL_2Q15" localSheetId="10">Tags!$CE$627</definedName>
    <definedName name="FXFINAL_2Q15">Tags_ols!$CE$627</definedName>
    <definedName name="FXFINAL_2Q16" localSheetId="10">Tags!$CJ$627</definedName>
    <definedName name="FXFINAL_2Q16">Tags_ols!$CJ$627</definedName>
    <definedName name="FXFINAL_2Q17" localSheetId="10">Tags!$CO$627</definedName>
    <definedName name="FXFINAL_2Q17">Tags_ols!$CO$627</definedName>
    <definedName name="FXFINAL_2Q18" localSheetId="10">Tags!$CT$627</definedName>
    <definedName name="FXFINAL_2Q18">Tags_ols!$CT$627</definedName>
    <definedName name="FXFINAL_2Q19" localSheetId="10">Tags!$CY$627</definedName>
    <definedName name="FXFINAL_2Q19">Tags_ols!$CY$627</definedName>
    <definedName name="FXFINAL_2Q20" localSheetId="10">Tags!$DD$627</definedName>
    <definedName name="FXFINAL_2Q20">Tags_ols!$DD$627</definedName>
    <definedName name="FXFINAL_2Q21">Tags!$DI$627</definedName>
    <definedName name="FXFINAL_2Q22">Tags!$DN$627</definedName>
    <definedName name="FXFINAL_2Q23">Tags!$DS$627</definedName>
    <definedName name="FXFINAL_2Q24">Tags!$DX$627</definedName>
    <definedName name="FXFINAL_3Q00" localSheetId="10">Tags!$I$627</definedName>
    <definedName name="FXFINAL_3Q00">Tags_ols!$I$627</definedName>
    <definedName name="FXFINAL_3Q01" localSheetId="10">Tags!$N$627</definedName>
    <definedName name="FXFINAL_3Q01">Tags_ols!$N$627</definedName>
    <definedName name="FXFINAL_3Q02" localSheetId="10">Tags!$S$627</definedName>
    <definedName name="FXFINAL_3Q02">Tags_ols!$S$627</definedName>
    <definedName name="FXFINAL_3Q03" localSheetId="10">Tags!$X$627</definedName>
    <definedName name="FXFINAL_3Q03">Tags_ols!$X$627</definedName>
    <definedName name="FXFINAL_3Q04" localSheetId="10">Tags!$AC$627</definedName>
    <definedName name="FXFINAL_3Q04">Tags_ols!$AC$627</definedName>
    <definedName name="FXFINAL_3Q05" localSheetId="10">Tags!$AH$627</definedName>
    <definedName name="FXFINAL_3Q05">Tags_ols!$AH$627</definedName>
    <definedName name="FXFINAL_3Q06" localSheetId="10">Tags!$AM$627</definedName>
    <definedName name="FXFINAL_3Q06">Tags_ols!$AM$627</definedName>
    <definedName name="FXFINAL_3Q07" localSheetId="10">Tags!$AR$627</definedName>
    <definedName name="FXFINAL_3Q07">Tags_ols!$AR$627</definedName>
    <definedName name="FXFINAL_3Q08" localSheetId="10">Tags!$AW$627</definedName>
    <definedName name="FXFINAL_3Q08">Tags_ols!$AW$627</definedName>
    <definedName name="FXFINAL_3Q09" localSheetId="10">Tags!$BB$627</definedName>
    <definedName name="FXFINAL_3Q09">Tags_ols!$BB$627</definedName>
    <definedName name="FXFINAL_3Q10" localSheetId="10">Tags!$BG$627</definedName>
    <definedName name="FXFINAL_3Q10">Tags_ols!$BG$627</definedName>
    <definedName name="FXFINAL_3Q11" localSheetId="10">Tags!$BL$627</definedName>
    <definedName name="FXFINAL_3Q11">Tags_ols!$BL$627</definedName>
    <definedName name="FXFINAL_3Q12" localSheetId="10">Tags!$BQ$627</definedName>
    <definedName name="FXFINAL_3Q12">Tags_ols!$BQ$627</definedName>
    <definedName name="FXFINAL_3Q13" localSheetId="10">Tags!$BV$627</definedName>
    <definedName name="FXFINAL_3Q13">Tags_ols!$BV$627</definedName>
    <definedName name="FXFINAL_3Q14" localSheetId="10">Tags!$CA$627</definedName>
    <definedName name="FXFINAL_3Q14">Tags_ols!$CA$627</definedName>
    <definedName name="FXFINAL_3Q15" localSheetId="10">Tags!$CF$627</definedName>
    <definedName name="FXFINAL_3Q15">Tags_ols!$CF$627</definedName>
    <definedName name="FXFINAL_3Q16" localSheetId="10">Tags!$CK$627</definedName>
    <definedName name="FXFINAL_3Q16">Tags_ols!$CK$627</definedName>
    <definedName name="FXFINAL_3Q17" localSheetId="10">Tags!$CP$627</definedName>
    <definedName name="FXFINAL_3Q17">Tags_ols!$CP$627</definedName>
    <definedName name="FXFINAL_3Q18" localSheetId="10">Tags!$CU$627</definedName>
    <definedName name="FXFINAL_3Q18">Tags_ols!$CU$627</definedName>
    <definedName name="FXFINAL_3Q19" localSheetId="10">Tags!$CZ$627</definedName>
    <definedName name="FXFINAL_3Q19">Tags_ols!$CZ$627</definedName>
    <definedName name="FXFINAL_3Q20" localSheetId="10">Tags!$DE$627</definedName>
    <definedName name="FXFINAL_3Q20">Tags_ols!$DE$627</definedName>
    <definedName name="FXFINAL_3Q21">Tags!$DJ$627</definedName>
    <definedName name="FXFINAL_3Q22">Tags!$DO$627</definedName>
    <definedName name="FXFINAL_3Q23">Tags!$DT$627</definedName>
    <definedName name="FXFINAL_3Q24">Tags!$DY$627</definedName>
    <definedName name="FXFINAL_4Q00" localSheetId="10">Tags!$J$627</definedName>
    <definedName name="FXFINAL_4Q00">Tags_ols!$J$627</definedName>
    <definedName name="FXFINAL_4Q01" localSheetId="10">Tags!$O$627</definedName>
    <definedName name="FXFINAL_4Q01">Tags_ols!$O$627</definedName>
    <definedName name="FXFINAL_4Q02" localSheetId="10">Tags!$T$627</definedName>
    <definedName name="FXFINAL_4Q02">Tags_ols!$T$627</definedName>
    <definedName name="FXFINAL_4Q03" localSheetId="10">Tags!$Y$627</definedName>
    <definedName name="FXFINAL_4Q03">Tags_ols!$Y$627</definedName>
    <definedName name="FXFINAL_4Q04" localSheetId="10">Tags!$AD$627</definedName>
    <definedName name="FXFINAL_4Q04">Tags_ols!$AD$627</definedName>
    <definedName name="FXFINAL_4Q05" localSheetId="10">Tags!$AI$627</definedName>
    <definedName name="FXFINAL_4Q05">Tags_ols!$AI$627</definedName>
    <definedName name="FXFINAL_4Q06" localSheetId="10">Tags!$AN$627</definedName>
    <definedName name="FXFINAL_4Q06">Tags_ols!$AN$627</definedName>
    <definedName name="FXFINAL_4Q07" localSheetId="10">Tags!$AS$627</definedName>
    <definedName name="FXFINAL_4Q07">Tags_ols!$AS$627</definedName>
    <definedName name="FXFINAL_4Q08" localSheetId="10">Tags!$AX$627</definedName>
    <definedName name="FXFINAL_4Q08">Tags_ols!$AX$627</definedName>
    <definedName name="FXFINAL_4Q09" localSheetId="10">Tags!$BC$627</definedName>
    <definedName name="FXFINAL_4Q09">Tags_ols!$BC$627</definedName>
    <definedName name="FXFINAL_4Q10" localSheetId="10">Tags!$BH$627</definedName>
    <definedName name="FXFINAL_4Q10">Tags_ols!$BH$627</definedName>
    <definedName name="FXFINAL_4Q11" localSheetId="10">Tags!$BM$627</definedName>
    <definedName name="FXFINAL_4Q11">Tags_ols!$BM$627</definedName>
    <definedName name="FXFINAL_4Q12" localSheetId="10">Tags!$BR$627</definedName>
    <definedName name="FXFINAL_4Q12">Tags_ols!$BR$627</definedName>
    <definedName name="FXFINAL_4Q13" localSheetId="10">Tags!$BW$627</definedName>
    <definedName name="FXFINAL_4Q13">Tags_ols!$BW$627</definedName>
    <definedName name="FXFINAL_4Q14" localSheetId="10">Tags!$CB$627</definedName>
    <definedName name="FXFINAL_4Q14">Tags_ols!$CB$627</definedName>
    <definedName name="FXFINAL_4Q15" localSheetId="10">Tags!$CG$627</definedName>
    <definedName name="FXFINAL_4Q15">Tags_ols!$CG$627</definedName>
    <definedName name="FXFINAL_4Q16" localSheetId="10">Tags!$CL$627</definedName>
    <definedName name="FXFINAL_4Q16">Tags_ols!$CL$627</definedName>
    <definedName name="FXFINAL_4Q17" localSheetId="10">Tags!$CQ$627</definedName>
    <definedName name="FXFINAL_4Q17">Tags_ols!$CQ$627</definedName>
    <definedName name="FXFINAL_4Q18" localSheetId="10">Tags!$CV$627</definedName>
    <definedName name="FXFINAL_4Q18">Tags_ols!$CV$627</definedName>
    <definedName name="FXFINAL_4Q19" localSheetId="10">Tags!$DA$627</definedName>
    <definedName name="FXFINAL_4Q19">Tags_ols!$DA$627</definedName>
    <definedName name="FXFINAL_4Q20" localSheetId="10">Tags!$DF$627</definedName>
    <definedName name="FXFINAL_4Q20">Tags_ols!$DF$627</definedName>
    <definedName name="FXFINAL_4Q21">Tags!$DK$627</definedName>
    <definedName name="FXFINAL_4Q22">Tags!$DP$627</definedName>
    <definedName name="FXFINAL_4Q23">Tags!$DU$627</definedName>
    <definedName name="FXFINAL_4Q24">Tags!$DZ$627</definedName>
    <definedName name="general_exp." localSheetId="4" hidden="1">{#N/A,"100% Success",TRUE,"Sales Forecast";#N/A,#N/A,TRUE,"Sheet2"}</definedName>
    <definedName name="general_exp." localSheetId="6" hidden="1">{#N/A,"100% Success",TRUE,"Sales Forecast";#N/A,#N/A,TRUE,"Sheet2"}</definedName>
    <definedName name="general_exp." localSheetId="0" hidden="1">{#N/A,"100% Success",TRUE,"Sales Forecast";#N/A,#N/A,TRUE,"Sheet2"}</definedName>
    <definedName name="general_exp." localSheetId="9" hidden="1">{#N/A,"100% Success",TRUE,"Sales Forecast";#N/A,#N/A,TRUE,"Sheet2"}</definedName>
    <definedName name="general_exp." localSheetId="5" hidden="1">{#N/A,"100% Success",TRUE,"Sales Forecast";#N/A,#N/A,TRUE,"Sheet2"}</definedName>
    <definedName name="general_exp." hidden="1">{#N/A,"100% Success",TRUE,"Sales Forecast";#N/A,#N/A,TRUE,"Sheet2"}</definedName>
    <definedName name="GOODBS_1995">Tags_ols!$B$152</definedName>
    <definedName name="GOODBS_1996">Tags_ols!$C$152</definedName>
    <definedName name="GOODBS_1997">Tags_ols!$D$152</definedName>
    <definedName name="GOODBS_1998">Tags_ols!$E$152</definedName>
    <definedName name="GOODBS_1999">Tags_ols!$F$152</definedName>
    <definedName name="GOODBS_1Q00" localSheetId="10">Tags!$G$152</definedName>
    <definedName name="GOODBS_1Q00">Tags_ols!$G$152</definedName>
    <definedName name="GOODBS_1Q01" localSheetId="10">Tags!$L$152</definedName>
    <definedName name="GOODBS_1Q01">Tags_ols!$L$152</definedName>
    <definedName name="GOODBS_1Q02" localSheetId="10">Tags!$Q$152</definedName>
    <definedName name="GOODBS_1Q02">Tags_ols!$Q$152</definedName>
    <definedName name="GOODBS_1Q03" localSheetId="10">Tags!$V$152</definedName>
    <definedName name="GOODBS_1Q03">Tags_ols!$V$152</definedName>
    <definedName name="GOODBS_1Q04" localSheetId="10">Tags!$AA$152</definedName>
    <definedName name="GOODBS_1Q04">Tags_ols!$AA$152</definedName>
    <definedName name="GOODBS_1Q05" localSheetId="10">Tags!$AF$152</definedName>
    <definedName name="GOODBS_1Q05">Tags_ols!$AF$152</definedName>
    <definedName name="GOODBS_1Q06" localSheetId="10">Tags!$AK$152</definedName>
    <definedName name="GOODBS_1Q06">Tags_ols!$AK$152</definedName>
    <definedName name="GOODBS_1Q07" localSheetId="10">Tags!$AP$152</definedName>
    <definedName name="GOODBS_1Q07">Tags_ols!$AP$152</definedName>
    <definedName name="GOODBS_1Q08" localSheetId="10">Tags!$AU$152</definedName>
    <definedName name="GOODBS_1Q08">Tags_ols!$AU$152</definedName>
    <definedName name="GOODBS_1Q09" localSheetId="10">Tags!$AZ$152</definedName>
    <definedName name="GOODBS_1Q09">Tags_ols!$AZ$152</definedName>
    <definedName name="GOODBS_1Q10" localSheetId="10">Tags!$BE$152</definedName>
    <definedName name="GOODBS_1Q10">Tags_ols!$BE$152</definedName>
    <definedName name="GOODBS_1Q11" localSheetId="10">Tags!$BJ$152</definedName>
    <definedName name="GOODBS_1Q11">Tags_ols!$BJ$152</definedName>
    <definedName name="GOODBS_1Q12" localSheetId="10">Tags!$BO$152</definedName>
    <definedName name="GOODBS_1Q12">Tags_ols!$BO$152</definedName>
    <definedName name="GOODBS_1Q13" localSheetId="10">Tags!$BT$152</definedName>
    <definedName name="GOODBS_1Q13">Tags_ols!$BT$152</definedName>
    <definedName name="GOODBS_1Q14" localSheetId="10">Tags!$BY$152</definedName>
    <definedName name="GOODBS_1Q14">Tags_ols!$BY$152</definedName>
    <definedName name="GOODBS_1Q15" localSheetId="10">Tags!$CD$152</definedName>
    <definedName name="GOODBS_1Q15">Tags_ols!$CD$152</definedName>
    <definedName name="GOODBS_1Q16" localSheetId="10">Tags!$CI$152</definedName>
    <definedName name="GOODBS_1Q16">Tags_ols!$CI$152</definedName>
    <definedName name="GOODBS_1Q17" localSheetId="10">Tags!$CN$152</definedName>
    <definedName name="GOODBS_1Q17">Tags_ols!$CN$152</definedName>
    <definedName name="GOODBS_1Q18" localSheetId="10">Tags!$CS$152</definedName>
    <definedName name="GOODBS_1Q18">Tags_ols!$CS$152</definedName>
    <definedName name="GOODBS_1Q19" localSheetId="10">Tags!$CX$152</definedName>
    <definedName name="GOODBS_1Q19">Tags_ols!$CX$152</definedName>
    <definedName name="GOODBS_1Q20" localSheetId="10">Tags!$DC$152</definedName>
    <definedName name="GOODBS_1Q20">Tags_ols!$DC$152</definedName>
    <definedName name="GOODBS_1Q21">Tags!$DH$152</definedName>
    <definedName name="GOODBS_1Q22">Tags!$DM$152</definedName>
    <definedName name="GOODBS_1Q23">Tags!$DR$152</definedName>
    <definedName name="GOODBS_1Q24">Tags!$DW$152</definedName>
    <definedName name="GOODBS_2000" localSheetId="10">Tags!$K$152</definedName>
    <definedName name="GOODBS_2000">Tags_ols!$K$152</definedName>
    <definedName name="GOODBS_2001" localSheetId="10">Tags!$P$152</definedName>
    <definedName name="GOODBS_2001">Tags_ols!$P$152</definedName>
    <definedName name="GOODBS_2002" localSheetId="10">Tags!$U$152</definedName>
    <definedName name="GOODBS_2002">Tags_ols!$U$152</definedName>
    <definedName name="GOODBS_2003" localSheetId="10">Tags!$Z$152</definedName>
    <definedName name="GOODBS_2003">Tags_ols!$Z$152</definedName>
    <definedName name="GOODBS_2004" localSheetId="10">Tags!$AE$152</definedName>
    <definedName name="GOODBS_2004">Tags_ols!$AE$152</definedName>
    <definedName name="GOODBS_2005" localSheetId="10">Tags!$AJ$152</definedName>
    <definedName name="GOODBS_2005">Tags_ols!$AJ$152</definedName>
    <definedName name="GOODBS_2006" localSheetId="10">Tags!$AO$152</definedName>
    <definedName name="GOODBS_2006">Tags_ols!$AO$152</definedName>
    <definedName name="GOODBS_2007" localSheetId="10">Tags!$AT$152</definedName>
    <definedName name="GOODBS_2007">Tags_ols!$AT$152</definedName>
    <definedName name="GOODBS_2008" localSheetId="10">Tags!$AY$152</definedName>
    <definedName name="GOODBS_2008">Tags_ols!$AY$152</definedName>
    <definedName name="GOODBS_2009" localSheetId="10">Tags!$BD$152</definedName>
    <definedName name="GOODBS_2009">Tags_ols!$BD$152</definedName>
    <definedName name="GOODBS_2010" localSheetId="10">Tags!$BI$152</definedName>
    <definedName name="GOODBS_2010">Tags_ols!$BI$152</definedName>
    <definedName name="GOODBS_2011" localSheetId="10">Tags!$BN$152</definedName>
    <definedName name="GOODBS_2011">Tags_ols!$BN$152</definedName>
    <definedName name="GOODBS_2012" localSheetId="10">Tags!$BS$152</definedName>
    <definedName name="GOODBS_2012">Tags_ols!$BS$152</definedName>
    <definedName name="GOODBS_2013" localSheetId="10">Tags!$BX$152</definedName>
    <definedName name="GOODBS_2013">Tags_ols!$BX$152</definedName>
    <definedName name="GOODBS_2014" localSheetId="10">Tags!$CC$152</definedName>
    <definedName name="GOODBS_2014">Tags_ols!$CC$152</definedName>
    <definedName name="GOODBS_2015" localSheetId="10">Tags!#REF!</definedName>
    <definedName name="GOODBS_2015">Tags!$CH$152</definedName>
    <definedName name="GOODBS_2016" localSheetId="10">Tags!$CM$152</definedName>
    <definedName name="GOODBS_2016">Tags_ols!$CM$152</definedName>
    <definedName name="GOODBS_2017" localSheetId="10">Tags!$CR$152</definedName>
    <definedName name="GOODBS_2017">Tags_ols!$CR$152</definedName>
    <definedName name="GOODBS_2018" localSheetId="10">Tags!$CW$152</definedName>
    <definedName name="GOODBS_2018">Tags_ols!$CW$152</definedName>
    <definedName name="GOODBS_2019" localSheetId="10">Tags!$DB$152</definedName>
    <definedName name="GOODBS_2019">Tags_ols!$DB$152</definedName>
    <definedName name="GOODBS_2020" localSheetId="10">Tags!$DG$152</definedName>
    <definedName name="GOODBS_2020">Tags_ols!$DG$152</definedName>
    <definedName name="GOODBS_2021">Tags!$DL$152</definedName>
    <definedName name="GOODBS_2022">Tags!$DQ$152</definedName>
    <definedName name="GOODBS_2023">Tags!$DV$152</definedName>
    <definedName name="GOODBS_2024">Tags!$EA$152</definedName>
    <definedName name="GOODBS_2Q00" localSheetId="10">Tags!$H$152</definedName>
    <definedName name="GOODBS_2Q00">Tags_ols!$H$152</definedName>
    <definedName name="GOODBS_2Q01" localSheetId="10">Tags!$M$152</definedName>
    <definedName name="GOODBS_2Q01">Tags_ols!$M$152</definedName>
    <definedName name="GOODBS_2Q02" localSheetId="10">Tags!$R$152</definedName>
    <definedName name="GOODBS_2Q02">Tags_ols!$R$152</definedName>
    <definedName name="GOODBS_2Q03" localSheetId="10">Tags!$W$152</definedName>
    <definedName name="GOODBS_2Q03">Tags_ols!$W$152</definedName>
    <definedName name="GOODBS_2Q04" localSheetId="10">Tags!$AB$152</definedName>
    <definedName name="GOODBS_2Q04">Tags_ols!$AB$152</definedName>
    <definedName name="GOODBS_2Q05" localSheetId="10">Tags!$AG$152</definedName>
    <definedName name="GOODBS_2Q05">Tags_ols!$AG$152</definedName>
    <definedName name="GOODBS_2Q06" localSheetId="10">Tags!$AL$152</definedName>
    <definedName name="GOODBS_2Q06">Tags_ols!$AL$152</definedName>
    <definedName name="GOODBS_2Q07" localSheetId="10">Tags!$AQ$152</definedName>
    <definedName name="GOODBS_2Q07">Tags_ols!$AQ$152</definedName>
    <definedName name="GOODBS_2Q08" localSheetId="10">Tags!$AV$152</definedName>
    <definedName name="GOODBS_2Q08">Tags_ols!$AV$152</definedName>
    <definedName name="GOODBS_2Q09" localSheetId="10">Tags!$BA$152</definedName>
    <definedName name="GOODBS_2Q09">Tags_ols!$BA$152</definedName>
    <definedName name="GOODBS_2Q10" localSheetId="10">Tags!$BF$152</definedName>
    <definedName name="GOODBS_2Q10">Tags_ols!$BF$152</definedName>
    <definedName name="GOODBS_2Q11" localSheetId="10">Tags!$BK$152</definedName>
    <definedName name="GOODBS_2Q11">Tags_ols!$BK$152</definedName>
    <definedName name="GOODBS_2Q12" localSheetId="10">Tags!$BP$152</definedName>
    <definedName name="GOODBS_2Q12">Tags_ols!$BP$152</definedName>
    <definedName name="GOODBS_2Q13" localSheetId="10">Tags!$BU$152</definedName>
    <definedName name="GOODBS_2Q13">Tags_ols!$BU$152</definedName>
    <definedName name="GOODBS_2Q14" localSheetId="10">Tags!$BZ$152</definedName>
    <definedName name="GOODBS_2Q14">Tags_ols!$BZ$152</definedName>
    <definedName name="GOODBS_2Q15" localSheetId="10">Tags!$CE$152</definedName>
    <definedName name="GOODBS_2Q15">Tags_ols!$CE$152</definedName>
    <definedName name="GOODBS_2Q16" localSheetId="10">Tags!$CJ$152</definedName>
    <definedName name="GOODBS_2Q16">Tags_ols!$CJ$152</definedName>
    <definedName name="GOODBS_2Q17" localSheetId="10">Tags!$CO$152</definedName>
    <definedName name="GOODBS_2Q17">Tags_ols!$CO$152</definedName>
    <definedName name="GOODBS_2Q18" localSheetId="10">Tags!$CT$152</definedName>
    <definedName name="GOODBS_2Q18">Tags_ols!$CT$152</definedName>
    <definedName name="GOODBS_2Q19" localSheetId="10">Tags!$CY$152</definedName>
    <definedName name="GOODBS_2Q19">Tags_ols!$CY$152</definedName>
    <definedName name="GOODBS_2Q20" localSheetId="10">Tags!$DD$152</definedName>
    <definedName name="GOODBS_2Q20">Tags_ols!$DD$152</definedName>
    <definedName name="GOODBS_2Q21">Tags!$DI$152</definedName>
    <definedName name="GOODBS_2Q22">Tags!$DN$152</definedName>
    <definedName name="GOODBS_2Q23">Tags!$DS$152</definedName>
    <definedName name="GOODBS_2Q24">Tags!$DX$152</definedName>
    <definedName name="GOODBS_3Q00" localSheetId="10">Tags!$I$152</definedName>
    <definedName name="GOODBS_3Q00">Tags_ols!$I$152</definedName>
    <definedName name="GOODBS_3Q01" localSheetId="10">Tags!$N$152</definedName>
    <definedName name="GOODBS_3Q01">Tags_ols!$N$152</definedName>
    <definedName name="GOODBS_3Q02" localSheetId="10">Tags!$S$152</definedName>
    <definedName name="GOODBS_3Q02">Tags_ols!$S$152</definedName>
    <definedName name="GOODBS_3Q03" localSheetId="10">Tags!$X$152</definedName>
    <definedName name="GOODBS_3Q03">Tags_ols!$X$152</definedName>
    <definedName name="GOODBS_3Q04" localSheetId="10">Tags!$AC$152</definedName>
    <definedName name="GOODBS_3Q04">Tags_ols!$AC$152</definedName>
    <definedName name="GOODBS_3Q05" localSheetId="10">Tags!$AH$152</definedName>
    <definedName name="GOODBS_3Q05">Tags_ols!$AH$152</definedName>
    <definedName name="GOODBS_3Q06" localSheetId="10">Tags!$AM$152</definedName>
    <definedName name="GOODBS_3Q06">Tags_ols!$AM$152</definedName>
    <definedName name="GOODBS_3Q07" localSheetId="10">Tags!$AR$152</definedName>
    <definedName name="GOODBS_3Q07">Tags_ols!$AR$152</definedName>
    <definedName name="GOODBS_3Q08" localSheetId="10">Tags!$AW$152</definedName>
    <definedName name="GOODBS_3Q08">Tags_ols!$AW$152</definedName>
    <definedName name="GOODBS_3Q09" localSheetId="10">Tags!$BB$152</definedName>
    <definedName name="GOODBS_3Q09">Tags_ols!$BB$152</definedName>
    <definedName name="GOODBS_3Q10" localSheetId="10">Tags!$BG$152</definedName>
    <definedName name="GOODBS_3Q10">Tags_ols!$BG$152</definedName>
    <definedName name="GOODBS_3Q11" localSheetId="10">Tags!$BL$152</definedName>
    <definedName name="GOODBS_3Q11">Tags_ols!$BL$152</definedName>
    <definedName name="GOODBS_3Q12" localSheetId="10">Tags!$BQ$152</definedName>
    <definedName name="GOODBS_3Q12">Tags_ols!$BQ$152</definedName>
    <definedName name="GOODBS_3Q13" localSheetId="10">Tags!$BV$152</definedName>
    <definedName name="GOODBS_3Q13">Tags_ols!$BV$152</definedName>
    <definedName name="GOODBS_3Q14" localSheetId="10">Tags!$CA$152</definedName>
    <definedName name="GOODBS_3Q14">Tags_ols!$CA$152</definedName>
    <definedName name="GOODBS_3Q15" localSheetId="10">Tags!$CF$152</definedName>
    <definedName name="GOODBS_3Q15">Tags_ols!$CF$152</definedName>
    <definedName name="GOODBS_3Q16" localSheetId="10">Tags!$CK$152</definedName>
    <definedName name="GOODBS_3Q16">Tags_ols!$CK$152</definedName>
    <definedName name="GOODBS_3Q17" localSheetId="10">Tags!$CP$152</definedName>
    <definedName name="GOODBS_3Q17">Tags_ols!$CP$152</definedName>
    <definedName name="GOODBS_3Q18" localSheetId="10">Tags!$CU$152</definedName>
    <definedName name="GOODBS_3Q18">Tags_ols!$CU$152</definedName>
    <definedName name="GOODBS_3Q19" localSheetId="10">Tags!$CZ$152</definedName>
    <definedName name="GOODBS_3Q19">Tags_ols!$CZ$152</definedName>
    <definedName name="GOODBS_3Q20" localSheetId="10">Tags!$DE$152</definedName>
    <definedName name="GOODBS_3Q20">Tags_ols!$DE$152</definedName>
    <definedName name="GOODBS_3Q21">Tags!$DJ$152</definedName>
    <definedName name="GOODBS_3Q22">Tags!$DO$152</definedName>
    <definedName name="GOODBS_3Q23">Tags!$DT$152</definedName>
    <definedName name="GOODBS_3Q24">Tags!$DY$152</definedName>
    <definedName name="GOODBS_4Q00" localSheetId="10">Tags!$J$152</definedName>
    <definedName name="GOODBS_4Q00">Tags_ols!$J$152</definedName>
    <definedName name="GOODBS_4Q01" localSheetId="10">Tags!$O$152</definedName>
    <definedName name="GOODBS_4Q01">Tags_ols!$O$152</definedName>
    <definedName name="GOODBS_4Q02" localSheetId="10">Tags!$T$152</definedName>
    <definedName name="GOODBS_4Q02">Tags_ols!$T$152</definedName>
    <definedName name="GOODBS_4Q03" localSheetId="10">Tags!$Y$152</definedName>
    <definedName name="GOODBS_4Q03">Tags_ols!$Y$152</definedName>
    <definedName name="GOODBS_4Q04" localSheetId="10">Tags!$AD$152</definedName>
    <definedName name="GOODBS_4Q04">Tags_ols!$AD$152</definedName>
    <definedName name="GOODBS_4Q05" localSheetId="10">Tags!$AI$152</definedName>
    <definedName name="GOODBS_4Q05">Tags_ols!$AI$152</definedName>
    <definedName name="GOODBS_4Q06" localSheetId="10">Tags!$AN$152</definedName>
    <definedName name="GOODBS_4Q06">Tags_ols!$AN$152</definedName>
    <definedName name="GOODBS_4Q07" localSheetId="10">Tags!$AS$152</definedName>
    <definedName name="GOODBS_4Q07">Tags_ols!$AS$152</definedName>
    <definedName name="GOODBS_4Q08" localSheetId="10">Tags!$AX$152</definedName>
    <definedName name="GOODBS_4Q08">Tags_ols!$AX$152</definedName>
    <definedName name="GOODBS_4Q09" localSheetId="10">Tags!$BC$152</definedName>
    <definedName name="GOODBS_4Q09">Tags_ols!$BC$152</definedName>
    <definedName name="GOODBS_4Q10" localSheetId="10">Tags!$BH$152</definedName>
    <definedName name="GOODBS_4Q10">Tags_ols!$BH$152</definedName>
    <definedName name="GOODBS_4Q11" localSheetId="10">Tags!$BM$152</definedName>
    <definedName name="GOODBS_4Q11">Tags_ols!$BM$152</definedName>
    <definedName name="GOODBS_4Q12" localSheetId="10">Tags!$BR$152</definedName>
    <definedName name="GOODBS_4Q12">Tags_ols!$BR$152</definedName>
    <definedName name="GOODBS_4Q13" localSheetId="10">Tags!$BW$152</definedName>
    <definedName name="GOODBS_4Q13">Tags_ols!$BW$152</definedName>
    <definedName name="GOODBS_4Q14" localSheetId="10">Tags!$CB$152</definedName>
    <definedName name="GOODBS_4Q14">Tags_ols!$CB$152</definedName>
    <definedName name="GOODBS_4Q15" localSheetId="10">Tags!$CG$152</definedName>
    <definedName name="GOODBS_4Q15">Tags_ols!$CG$152</definedName>
    <definedName name="GOODBS_4Q16" localSheetId="10">Tags!$CL$152</definedName>
    <definedName name="GOODBS_4Q16">Tags_ols!$CL$152</definedName>
    <definedName name="GOODBS_4Q17" localSheetId="10">Tags!$CQ$152</definedName>
    <definedName name="GOODBS_4Q17">Tags_ols!$CQ$152</definedName>
    <definedName name="GOODBS_4Q18" localSheetId="10">Tags!$CV$152</definedName>
    <definedName name="GOODBS_4Q18">Tags_ols!$CV$152</definedName>
    <definedName name="GOODBS_4Q19" localSheetId="10">Tags!$DA$152</definedName>
    <definedName name="GOODBS_4Q19">Tags_ols!$DA$152</definedName>
    <definedName name="GOODBS_4Q20" localSheetId="10">Tags!$DF$152</definedName>
    <definedName name="GOODBS_4Q20">Tags_ols!$DF$152</definedName>
    <definedName name="GOODBS_4Q21">Tags!$DK$152</definedName>
    <definedName name="GOODBS_4Q22">Tags!$DP$152</definedName>
    <definedName name="GOODBS_4Q23">Tags!$DU$152</definedName>
    <definedName name="GOODBS_4Q24">Tags!$DZ$152</definedName>
    <definedName name="GPERP_1995">Tags_ols!$B$626</definedName>
    <definedName name="GPERP_1996">Tags_ols!$C$626</definedName>
    <definedName name="GPERP_1997">Tags_ols!$D$626</definedName>
    <definedName name="GPERP_1998">Tags_ols!$E$626</definedName>
    <definedName name="GPERP_1999">Tags_ols!$F$626</definedName>
    <definedName name="GPERP_1Q00" localSheetId="10">Tags!$G$626</definedName>
    <definedName name="GPERP_1Q00">Tags_ols!$G$626</definedName>
    <definedName name="GPERP_1Q01" localSheetId="10">Tags!$L$626</definedName>
    <definedName name="GPERP_1Q01">Tags_ols!$L$626</definedName>
    <definedName name="GPERP_1Q02" localSheetId="10">Tags!$Q$626</definedName>
    <definedName name="GPERP_1Q02">Tags_ols!$Q$626</definedName>
    <definedName name="GPERP_1Q03" localSheetId="10">Tags!$V$626</definedName>
    <definedName name="GPERP_1Q03">Tags_ols!$V$626</definedName>
    <definedName name="GPERP_1Q04" localSheetId="10">Tags!$AA$626</definedName>
    <definedName name="GPERP_1Q04">Tags_ols!$AA$626</definedName>
    <definedName name="GPERP_1Q05" localSheetId="10">Tags!$AF$626</definedName>
    <definedName name="GPERP_1Q05">Tags_ols!$AF$626</definedName>
    <definedName name="GPERP_1Q06" localSheetId="10">Tags!$AK$626</definedName>
    <definedName name="GPERP_1Q06">Tags_ols!$AK$626</definedName>
    <definedName name="GPERP_1Q07" localSheetId="10">Tags!$AP$626</definedName>
    <definedName name="GPERP_1Q07">Tags_ols!$AP$626</definedName>
    <definedName name="GPERP_1Q08" localSheetId="10">Tags!$AU$626</definedName>
    <definedName name="GPERP_1Q08">Tags_ols!$AU$626</definedName>
    <definedName name="GPERP_1Q09" localSheetId="10">Tags!$AZ$626</definedName>
    <definedName name="GPERP_1Q09">Tags_ols!$AZ$626</definedName>
    <definedName name="GPERP_1Q10" localSheetId="10">Tags!$BE$626</definedName>
    <definedName name="GPERP_1Q10">Tags_ols!$BE$626</definedName>
    <definedName name="GPERP_1Q11" localSheetId="10">Tags!$BJ$626</definedName>
    <definedName name="GPERP_1Q11">Tags_ols!$BJ$626</definedName>
    <definedName name="GPERP_1Q12" localSheetId="10">Tags!$BO$626</definedName>
    <definedName name="GPERP_1Q12">Tags_ols!$BO$626</definedName>
    <definedName name="GPERP_1Q13" localSheetId="10">Tags!$BT$626</definedName>
    <definedName name="GPERP_1Q13">Tags_ols!$BT$626</definedName>
    <definedName name="GPERP_1Q14" localSheetId="10">Tags!$BY$626</definedName>
    <definedName name="GPERP_1Q14">Tags_ols!$BY$626</definedName>
    <definedName name="GPERP_1Q15" localSheetId="10">Tags!$CD$626</definedName>
    <definedName name="GPERP_1Q15">Tags_ols!$CD$626</definedName>
    <definedName name="GPERP_1Q16" localSheetId="10">Tags!$CI$626</definedName>
    <definedName name="GPERP_1Q16">Tags_ols!$CI$626</definedName>
    <definedName name="GPERP_1Q17" localSheetId="10">Tags!$CN$626</definedName>
    <definedName name="GPERP_1Q17">Tags_ols!$CN$626</definedName>
    <definedName name="GPERP_1Q18" localSheetId="10">Tags!$CS$626</definedName>
    <definedName name="GPERP_1Q18">Tags_ols!$CS$626</definedName>
    <definedName name="GPERP_1Q19" localSheetId="10">Tags!$CX$626</definedName>
    <definedName name="GPERP_1Q19">Tags_ols!$CX$626</definedName>
    <definedName name="GPERP_1Q20" localSheetId="10">Tags!$DC$626</definedName>
    <definedName name="GPERP_1Q20">Tags_ols!$DC$626</definedName>
    <definedName name="GPERP_1Q21">Tags!$DH$626</definedName>
    <definedName name="GPERP_1Q22">Tags!$DM$626</definedName>
    <definedName name="GPERP_1Q23">Tags!$DR$626</definedName>
    <definedName name="GPERP_1Q24">Tags!$DW$626</definedName>
    <definedName name="GPERP_2000" localSheetId="10">Tags!$K$626</definedName>
    <definedName name="GPERP_2000">Tags_ols!$K$626</definedName>
    <definedName name="GPERP_2001" localSheetId="10">Tags!$P$626</definedName>
    <definedName name="GPERP_2001">Tags_ols!$P$626</definedName>
    <definedName name="GPERP_2002" localSheetId="10">Tags!$U$626</definedName>
    <definedName name="GPERP_2002">Tags_ols!$U$626</definedName>
    <definedName name="GPERP_2003" localSheetId="10">Tags!$Z$626</definedName>
    <definedName name="GPERP_2003">Tags_ols!$Z$626</definedName>
    <definedName name="GPERP_2004" localSheetId="10">Tags!$AE$626</definedName>
    <definedName name="GPERP_2004" localSheetId="5">#REF!</definedName>
    <definedName name="GPERP_2004">Tags_ols!$AE$626</definedName>
    <definedName name="GPERP_2005" localSheetId="10">Tags!$AJ$626</definedName>
    <definedName name="GPERP_2005">Tags_ols!$AJ$626</definedName>
    <definedName name="GPERP_2006" localSheetId="10">Tags!$AO$626</definedName>
    <definedName name="GPERP_2006">Tags_ols!$AO$626</definedName>
    <definedName name="GPERP_2007" localSheetId="10">Tags!$AT$626</definedName>
    <definedName name="GPERP_2007">Tags_ols!$AT$626</definedName>
    <definedName name="GPERP_2008" localSheetId="10">Tags!$AY$626</definedName>
    <definedName name="GPERP_2008">Tags_ols!$AY$626</definedName>
    <definedName name="GPERP_2009" localSheetId="10">Tags!$BD$626</definedName>
    <definedName name="GPERP_2009">Tags_ols!$BD$626</definedName>
    <definedName name="GPERP_2010" localSheetId="10">Tags!$BI$626</definedName>
    <definedName name="GPERP_2010">Tags_ols!$BI$626</definedName>
    <definedName name="GPERP_2011" localSheetId="10">Tags!$BN$626</definedName>
    <definedName name="GPERP_2011">Tags_ols!$BN$626</definedName>
    <definedName name="GPERP_2012" localSheetId="10">Tags!$BS$626</definedName>
    <definedName name="GPERP_2012">Tags_ols!$BS$626</definedName>
    <definedName name="GPERP_2013" localSheetId="10">Tags!$BX$626</definedName>
    <definedName name="GPERP_2013">Tags_ols!$BX$626</definedName>
    <definedName name="GPERP_2014" localSheetId="10">Tags!$CC$626</definedName>
    <definedName name="GPERP_2014">Tags_ols!$CC$626</definedName>
    <definedName name="GPERP_2015" localSheetId="10">Tags!#REF!</definedName>
    <definedName name="GPERP_2015">Tags!$CH$626</definedName>
    <definedName name="GPERP_2016" localSheetId="10">Tags!$CM$626</definedName>
    <definedName name="GPERP_2016">Tags_ols!$CM$626</definedName>
    <definedName name="GPERP_2017" localSheetId="10">Tags!$CR$626</definedName>
    <definedName name="GPERP_2017">Tags_ols!$CR$626</definedName>
    <definedName name="GPERP_2018" localSheetId="10">Tags!$CW$626</definedName>
    <definedName name="GPERP_2018">Tags_ols!$CW$626</definedName>
    <definedName name="GPERP_2019" localSheetId="10">Tags!$DB$626</definedName>
    <definedName name="GPERP_2019">Tags_ols!$DB$626</definedName>
    <definedName name="GPERP_2020" localSheetId="10">Tags!$DG$626</definedName>
    <definedName name="GPERP_2020">Tags_ols!$DG$626</definedName>
    <definedName name="GPERP_2021">Tags!$DL$626</definedName>
    <definedName name="GPERP_2022">Tags!$DQ$626</definedName>
    <definedName name="GPERP_2023">Tags!$DV$626</definedName>
    <definedName name="GPERP_2024">Tags!$EA$626</definedName>
    <definedName name="GPERP_2Q00" localSheetId="10">Tags!$H$626</definedName>
    <definedName name="GPERP_2Q00">Tags_ols!$H$626</definedName>
    <definedName name="GPERP_2Q01" localSheetId="10">Tags!$M$626</definedName>
    <definedName name="GPERP_2Q01">Tags_ols!$M$626</definedName>
    <definedName name="GPERP_2Q02" localSheetId="10">Tags!$R$626</definedName>
    <definedName name="GPERP_2Q02">Tags_ols!$R$626</definedName>
    <definedName name="GPERP_2Q03" localSheetId="10">Tags!$W$626</definedName>
    <definedName name="GPERP_2Q03">Tags_ols!$W$626</definedName>
    <definedName name="GPERP_2Q04" localSheetId="10">Tags!$AB$626</definedName>
    <definedName name="GPERP_2Q04">Tags_ols!$AB$626</definedName>
    <definedName name="GPERP_2Q05" localSheetId="10">Tags!$AG$626</definedName>
    <definedName name="GPERP_2Q05">Tags_ols!$AG$626</definedName>
    <definedName name="GPERP_2Q06" localSheetId="10">Tags!$AL$626</definedName>
    <definedName name="GPERP_2Q06">Tags_ols!$AL$626</definedName>
    <definedName name="GPERP_2Q07" localSheetId="10">Tags!$AQ$626</definedName>
    <definedName name="GPERP_2Q07">Tags_ols!$AQ$626</definedName>
    <definedName name="GPERP_2Q08" localSheetId="10">Tags!$AV$626</definedName>
    <definedName name="GPERP_2Q08">Tags_ols!$AV$626</definedName>
    <definedName name="GPERP_2Q09" localSheetId="10">Tags!$BA$626</definedName>
    <definedName name="GPERP_2Q09">Tags_ols!$BA$626</definedName>
    <definedName name="GPERP_2Q10" localSheetId="10">Tags!$BF$626</definedName>
    <definedName name="GPERP_2Q10">Tags_ols!$BF$626</definedName>
    <definedName name="GPERP_2Q11" localSheetId="10">Tags!$BK$626</definedName>
    <definedName name="GPERP_2Q11">Tags_ols!$BK$626</definedName>
    <definedName name="GPERP_2Q12" localSheetId="10">Tags!$BP$626</definedName>
    <definedName name="GPERP_2Q12">Tags_ols!$BP$626</definedName>
    <definedName name="GPERP_2Q13" localSheetId="10">Tags!$BU$626</definedName>
    <definedName name="GPERP_2Q13">Tags_ols!$BU$626</definedName>
    <definedName name="GPERP_2Q14" localSheetId="10">Tags!$BZ$626</definedName>
    <definedName name="GPERP_2Q14">Tags_ols!$BZ$626</definedName>
    <definedName name="GPERP_2Q15" localSheetId="10">Tags!$CE$626</definedName>
    <definedName name="GPERP_2Q15">Tags_ols!$CE$626</definedName>
    <definedName name="GPERP_2Q16" localSheetId="10">Tags!$CJ$626</definedName>
    <definedName name="GPERP_2Q16">Tags_ols!$CJ$626</definedName>
    <definedName name="GPERP_2Q17" localSheetId="10">Tags!$CO$626</definedName>
    <definedName name="GPERP_2Q17">Tags_ols!$CO$626</definedName>
    <definedName name="GPERP_2Q18" localSheetId="10">Tags!$CT$626</definedName>
    <definedName name="GPERP_2Q18">Tags_ols!$CT$626</definedName>
    <definedName name="GPERP_2Q19" localSheetId="10">Tags!$CY$626</definedName>
    <definedName name="GPERP_2Q19">Tags_ols!$CY$626</definedName>
    <definedName name="GPERP_2Q20" localSheetId="10">Tags!$DD$626</definedName>
    <definedName name="GPERP_2Q20">Tags_ols!$DD$626</definedName>
    <definedName name="GPERP_2Q21">Tags!$DI$626</definedName>
    <definedName name="GPERP_2Q22">Tags!$DN$626</definedName>
    <definedName name="GPERP_2Q23">Tags!$DS$626</definedName>
    <definedName name="GPERP_2Q24">Tags!$DX$626</definedName>
    <definedName name="GPERP_3Q00" localSheetId="10">Tags!$I$626</definedName>
    <definedName name="GPERP_3Q00">Tags_ols!$I$626</definedName>
    <definedName name="GPERP_3Q01" localSheetId="10">Tags!$N$626</definedName>
    <definedName name="GPERP_3Q01">Tags_ols!$N$626</definedName>
    <definedName name="GPERP_3Q02" localSheetId="10">Tags!$S$626</definedName>
    <definedName name="GPERP_3Q02">Tags_ols!$S$626</definedName>
    <definedName name="GPERP_3Q03" localSheetId="10">Tags!$X$626</definedName>
    <definedName name="GPERP_3Q03">Tags_ols!$X$626</definedName>
    <definedName name="GPERP_3Q04" localSheetId="10">Tags!$AC$626</definedName>
    <definedName name="GPERP_3Q04">Tags_ols!$AC$626</definedName>
    <definedName name="GPERP_3Q05" localSheetId="10">Tags!$AH$626</definedName>
    <definedName name="GPERP_3Q05">Tags_ols!$AH$626</definedName>
    <definedName name="GPERP_3Q06" localSheetId="10">Tags!$AM$626</definedName>
    <definedName name="GPERP_3Q06">Tags_ols!$AM$626</definedName>
    <definedName name="GPERP_3Q07" localSheetId="10">Tags!$AR$626</definedName>
    <definedName name="GPERP_3Q07">Tags_ols!$AR$626</definedName>
    <definedName name="GPERP_3Q08" localSheetId="10">Tags!$AW$626</definedName>
    <definedName name="GPERP_3Q08">Tags_ols!$AW$626</definedName>
    <definedName name="GPERP_3Q09" localSheetId="10">Tags!$BB$626</definedName>
    <definedName name="GPERP_3Q09">Tags_ols!$BB$626</definedName>
    <definedName name="GPERP_3Q10" localSheetId="10">Tags!$BG$626</definedName>
    <definedName name="GPERP_3Q10">Tags_ols!$BG$626</definedName>
    <definedName name="GPERP_3Q11" localSheetId="10">Tags!$BL$626</definedName>
    <definedName name="GPERP_3Q11">Tags_ols!$BL$626</definedName>
    <definedName name="GPERP_3Q12" localSheetId="10">Tags!$BQ$626</definedName>
    <definedName name="GPERP_3Q12">Tags_ols!$BQ$626</definedName>
    <definedName name="GPERP_3Q13" localSheetId="10">Tags!$BV$626</definedName>
    <definedName name="GPERP_3Q13">Tags_ols!$BV$626</definedName>
    <definedName name="GPERP_3Q14" localSheetId="10">Tags!$CA$626</definedName>
    <definedName name="GPERP_3Q14">Tags_ols!$CA$626</definedName>
    <definedName name="GPERP_3Q15" localSheetId="10">Tags!$CF$626</definedName>
    <definedName name="GPERP_3Q15">Tags_ols!$CF$626</definedName>
    <definedName name="GPERP_3Q16" localSheetId="10">Tags!$CK$626</definedName>
    <definedName name="GPERP_3Q16">Tags_ols!$CK$626</definedName>
    <definedName name="GPERP_3Q17" localSheetId="10">Tags!$CP$626</definedName>
    <definedName name="GPERP_3Q17">Tags_ols!$CP$626</definedName>
    <definedName name="GPERP_3Q18" localSheetId="10">Tags!$CU$626</definedName>
    <definedName name="GPERP_3Q18">Tags_ols!$CU$626</definedName>
    <definedName name="GPERP_3Q19" localSheetId="10">Tags!$CZ$626</definedName>
    <definedName name="GPERP_3Q19">Tags_ols!$CZ$626</definedName>
    <definedName name="GPERP_3Q20" localSheetId="10">Tags!$DE$626</definedName>
    <definedName name="GPERP_3Q20">Tags_ols!$DE$626</definedName>
    <definedName name="GPERP_3Q21">Tags!$DJ$626</definedName>
    <definedName name="GPERP_3Q22">Tags!$DO$626</definedName>
    <definedName name="GPERP_3Q23">Tags!$DT$626</definedName>
    <definedName name="GPERP_3Q24">Tags!$DY$626</definedName>
    <definedName name="GPERP_4Q00" localSheetId="10">Tags!$J$626</definedName>
    <definedName name="GPERP_4Q00">Tags_ols!$J$626</definedName>
    <definedName name="GPERP_4Q01" localSheetId="10">Tags!$O$626</definedName>
    <definedName name="GPERP_4Q01">Tags_ols!$O$626</definedName>
    <definedName name="GPERP_4Q02" localSheetId="10">Tags!$T$626</definedName>
    <definedName name="GPERP_4Q02">Tags_ols!$T$626</definedName>
    <definedName name="GPERP_4Q03" localSheetId="10">Tags!$Y$626</definedName>
    <definedName name="GPERP_4Q03">Tags_ols!$Y$626</definedName>
    <definedName name="GPERP_4Q04" localSheetId="10">Tags!$AD$626</definedName>
    <definedName name="GPERP_4Q04">Tags_ols!$AD$626</definedName>
    <definedName name="GPERP_4Q05" localSheetId="10">Tags!$AI$626</definedName>
    <definedName name="GPERP_4Q05">Tags_ols!$AI$626</definedName>
    <definedName name="GPERP_4Q06" localSheetId="10">Tags!$AN$626</definedName>
    <definedName name="GPERP_4Q06">Tags_ols!$AN$626</definedName>
    <definedName name="GPERP_4Q07" localSheetId="10">Tags!$AS$626</definedName>
    <definedName name="GPERP_4Q07">Tags_ols!$AS$626</definedName>
    <definedName name="GPERP_4Q08" localSheetId="10">Tags!$AX$626</definedName>
    <definedName name="GPERP_4Q08">Tags_ols!$AX$626</definedName>
    <definedName name="GPERP_4Q09" localSheetId="10">Tags!$BC$626</definedName>
    <definedName name="GPERP_4Q09">Tags_ols!$BC$626</definedName>
    <definedName name="GPERP_4Q10" localSheetId="10">Tags!$BH$626</definedName>
    <definedName name="GPERP_4Q10">Tags_ols!$BH$626</definedName>
    <definedName name="GPERP_4Q11" localSheetId="10">Tags!$BM$626</definedName>
    <definedName name="GPERP_4Q11">Tags_ols!$BM$626</definedName>
    <definedName name="GPERP_4Q12" localSheetId="10">Tags!$BR$626</definedName>
    <definedName name="GPERP_4Q12">Tags_ols!$BR$626</definedName>
    <definedName name="GPERP_4Q13" localSheetId="10">Tags!$BW$626</definedName>
    <definedName name="GPERP_4Q13">Tags_ols!$BW$626</definedName>
    <definedName name="GPERP_4Q14" localSheetId="10">Tags!$CB$626</definedName>
    <definedName name="GPERP_4Q14">Tags_ols!$CB$626</definedName>
    <definedName name="GPERP_4Q15" localSheetId="10">Tags!$CG$626</definedName>
    <definedName name="GPERP_4Q15">Tags_ols!$CG$626</definedName>
    <definedName name="GPERP_4Q16" localSheetId="10">Tags!$CL$626</definedName>
    <definedName name="GPERP_4Q16">Tags_ols!$CL$626</definedName>
    <definedName name="GPERP_4Q17" localSheetId="10">Tags!$CQ$626</definedName>
    <definedName name="GPERP_4Q17">Tags_ols!$CQ$626</definedName>
    <definedName name="GPERP_4Q18" localSheetId="10">Tags!$CV$626</definedName>
    <definedName name="GPERP_4Q18">Tags_ols!$CV$626</definedName>
    <definedName name="GPERP_4Q19" localSheetId="10">Tags!$DA$626</definedName>
    <definedName name="GPERP_4Q19">Tags_ols!$DA$626</definedName>
    <definedName name="GPERP_4Q20" localSheetId="10">Tags!$DF$626</definedName>
    <definedName name="GPERP_4Q20">Tags_ols!$DF$626</definedName>
    <definedName name="GPERP_4Q21">Tags!$DK$626</definedName>
    <definedName name="GPERP_4Q22">Tags!$DP$626</definedName>
    <definedName name="GPERP_4Q23">Tags!$DU$626</definedName>
    <definedName name="GPERP_4Q24">Tags!$DZ$626</definedName>
    <definedName name="GTFA_1995">Tags_ols!$B$149</definedName>
    <definedName name="GTFA_1996">Tags_ols!$C$149</definedName>
    <definedName name="GTFA_1997">Tags_ols!$D$149</definedName>
    <definedName name="GTFA_1998">Tags_ols!$E$149</definedName>
    <definedName name="GTFA_1999">Tags_ols!$F$149</definedName>
    <definedName name="GTFA_1Q00" localSheetId="10">Tags!$G$149</definedName>
    <definedName name="GTFA_1Q00">Tags_ols!$G$149</definedName>
    <definedName name="GTFA_1Q01" localSheetId="10">Tags!$L$149</definedName>
    <definedName name="GTFA_1Q01">Tags_ols!$L$149</definedName>
    <definedName name="GTFA_1Q02" localSheetId="10">Tags!$Q$149</definedName>
    <definedName name="GTFA_1Q02">Tags_ols!$Q$149</definedName>
    <definedName name="GTFA_1Q03" localSheetId="10">Tags!$V$149</definedName>
    <definedName name="GTFA_1Q03">Tags_ols!$V$149</definedName>
    <definedName name="GTFA_1Q04" localSheetId="10">Tags!$AA$149</definedName>
    <definedName name="GTFA_1Q04">Tags_ols!$AA$149</definedName>
    <definedName name="GTFA_1Q05" localSheetId="10">Tags!$AF$149</definedName>
    <definedName name="GTFA_1Q05">Tags_ols!$AF$149</definedName>
    <definedName name="GTFA_1Q06" localSheetId="10">Tags!$AK$149</definedName>
    <definedName name="GTFA_1Q06">Tags_ols!$AK$149</definedName>
    <definedName name="GTFA_1Q07" localSheetId="10">Tags!$AP$149</definedName>
    <definedName name="GTFA_1Q07">Tags_ols!$AP$149</definedName>
    <definedName name="GTFA_1Q08" localSheetId="10">Tags!$AU$149</definedName>
    <definedName name="GTFA_1Q08">Tags_ols!$AU$149</definedName>
    <definedName name="GTFA_1Q09" localSheetId="10">Tags!$AZ$149</definedName>
    <definedName name="GTFA_1Q09">Tags_ols!$AZ$149</definedName>
    <definedName name="GTFA_1Q10" localSheetId="10">Tags!$BE$149</definedName>
    <definedName name="GTFA_1Q10">Tags_ols!$BE$149</definedName>
    <definedName name="GTFA_1Q11" localSheetId="10">Tags!$BJ$149</definedName>
    <definedName name="GTFA_1Q11">Tags_ols!$BJ$149</definedName>
    <definedName name="GTFA_1Q12" localSheetId="10">Tags!$BO$149</definedName>
    <definedName name="GTFA_1Q12">Tags_ols!$BO$149</definedName>
    <definedName name="GTFA_1Q13" localSheetId="10">Tags!$BT$149</definedName>
    <definedName name="GTFA_1Q13">Tags_ols!$BT$149</definedName>
    <definedName name="GTFA_1Q14" localSheetId="10">Tags!$BY$149</definedName>
    <definedName name="GTFA_1Q14">Tags_ols!$BY$149</definedName>
    <definedName name="GTFA_1Q15" localSheetId="10">Tags!$CD$149</definedName>
    <definedName name="GTFA_1Q15">Tags_ols!$CD$149</definedName>
    <definedName name="GTFA_1Q16" localSheetId="10">Tags!$CI$149</definedName>
    <definedName name="GTFA_1Q16">Tags_ols!$CI$149</definedName>
    <definedName name="GTFA_1Q17" localSheetId="10">Tags!$CN$149</definedName>
    <definedName name="GTFA_1Q17">Tags_ols!$CN$149</definedName>
    <definedName name="GTFA_1Q18" localSheetId="10">Tags!$CS$149</definedName>
    <definedName name="GTFA_1Q18">Tags_ols!$CS$149</definedName>
    <definedName name="GTFA_1Q19" localSheetId="10">Tags!$CX$149</definedName>
    <definedName name="GTFA_1Q19">Tags_ols!$CX$149</definedName>
    <definedName name="GTFA_1Q20" localSheetId="10">Tags!$DC$149</definedName>
    <definedName name="GTFA_1Q20">Tags_ols!$DC$149</definedName>
    <definedName name="GTFA_1Q21">Tags!$DH$149</definedName>
    <definedName name="GTFA_1Q22">Tags!$DM$149</definedName>
    <definedName name="GTFA_1Q23">Tags!$DR$149</definedName>
    <definedName name="GTFA_1Q24">Tags!$DW$149</definedName>
    <definedName name="GTFA_2000" localSheetId="10">Tags!$K$149</definedName>
    <definedName name="GTFA_2000">Tags_ols!$K$149</definedName>
    <definedName name="GTFA_2001" localSheetId="10">Tags!$P$149</definedName>
    <definedName name="GTFA_2001">Tags_ols!$P$149</definedName>
    <definedName name="GTFA_2002" localSheetId="10">Tags!$U$149</definedName>
    <definedName name="GTFA_2002">Tags_ols!$U$149</definedName>
    <definedName name="GTFA_2003" localSheetId="10">Tags!$Z$149</definedName>
    <definedName name="GTFA_2003">Tags_ols!$Z$149</definedName>
    <definedName name="GTFA_2004" localSheetId="10">Tags!$AE$149</definedName>
    <definedName name="GTFA_2004">Tags_ols!$AE$149</definedName>
    <definedName name="GTFA_2005" localSheetId="10">Tags!$AJ$149</definedName>
    <definedName name="GTFA_2005">Tags_ols!$AJ$149</definedName>
    <definedName name="GTFA_2006" localSheetId="10">Tags!$AO$149</definedName>
    <definedName name="GTFA_2006">Tags_ols!$AO$149</definedName>
    <definedName name="GTFA_2007" localSheetId="10">Tags!$AT$149</definedName>
    <definedName name="GTFA_2007">Tags_ols!$AT$149</definedName>
    <definedName name="GTFA_2008" localSheetId="10">Tags!$AY$149</definedName>
    <definedName name="GTFA_2008">Tags_ols!$AY$149</definedName>
    <definedName name="GTFA_2009" localSheetId="10">Tags!$BD$149</definedName>
    <definedName name="GTFA_2009">Tags_ols!$BD$149</definedName>
    <definedName name="GTFA_2010" localSheetId="10">Tags!$BI$149</definedName>
    <definedName name="GTFA_2010">Tags_ols!$BI$149</definedName>
    <definedName name="GTFA_2011" localSheetId="10">Tags!$BN$149</definedName>
    <definedName name="GTFA_2011">Tags_ols!$BN$149</definedName>
    <definedName name="GTFA_2012" localSheetId="10">Tags!$BS$149</definedName>
    <definedName name="GTFA_2012">Tags_ols!$BS$149</definedName>
    <definedName name="GTFA_2013" localSheetId="10">Tags!$BX$149</definedName>
    <definedName name="GTFA_2013">Tags_ols!$BX$149</definedName>
    <definedName name="GTFA_2014" localSheetId="10">Tags!$CC$149</definedName>
    <definedName name="GTFA_2014">Tags_ols!$CC$149</definedName>
    <definedName name="GTFA_2015" localSheetId="10">Tags!#REF!</definedName>
    <definedName name="GTFA_2015">Tags!$CH$149</definedName>
    <definedName name="GTFA_2016" localSheetId="10">Tags!$CM$149</definedName>
    <definedName name="GTFA_2016">Tags_ols!$CM$149</definedName>
    <definedName name="GTFA_2017" localSheetId="10">Tags!$CR$149</definedName>
    <definedName name="GTFA_2017">Tags_ols!$CR$149</definedName>
    <definedName name="GTFA_2018" localSheetId="10">Tags!$CW$149</definedName>
    <definedName name="GTFA_2018">Tags_ols!$CW$149</definedName>
    <definedName name="GTFA_2019" localSheetId="10">Tags!$DB$149</definedName>
    <definedName name="GTFA_2019">Tags_ols!$DB$149</definedName>
    <definedName name="GTFA_2020" localSheetId="10">Tags!$DG$149</definedName>
    <definedName name="GTFA_2020">Tags_ols!$DG$149</definedName>
    <definedName name="GTFA_2021">Tags!$DL$149</definedName>
    <definedName name="GTFA_2022">Tags!$DQ$149</definedName>
    <definedName name="GTFA_2023">Tags!$DV$149</definedName>
    <definedName name="GTFA_2024">Tags!$EA$149</definedName>
    <definedName name="GTFA_2Q00" localSheetId="10">Tags!$H$149</definedName>
    <definedName name="GTFA_2Q00">Tags_ols!$H$149</definedName>
    <definedName name="GTFA_2Q01" localSheetId="10">Tags!$M$149</definedName>
    <definedName name="GTFA_2Q01">Tags_ols!$M$149</definedName>
    <definedName name="GTFA_2Q02" localSheetId="10">Tags!$R$149</definedName>
    <definedName name="GTFA_2Q02">Tags_ols!$R$149</definedName>
    <definedName name="GTFA_2Q03" localSheetId="10">Tags!$W$149</definedName>
    <definedName name="GTFA_2Q03">Tags_ols!$W$149</definedName>
    <definedName name="GTFA_2Q04" localSheetId="10">Tags!$AB$149</definedName>
    <definedName name="GTFA_2Q04">Tags_ols!$AB$149</definedName>
    <definedName name="GTFA_2Q05" localSheetId="10">Tags!$AG$149</definedName>
    <definedName name="GTFA_2Q05">Tags_ols!$AG$149</definedName>
    <definedName name="GTFA_2Q06" localSheetId="10">Tags!$AL$149</definedName>
    <definedName name="GTFA_2Q06">Tags_ols!$AL$149</definedName>
    <definedName name="GTFA_2Q07" localSheetId="10">Tags!$AQ$149</definedName>
    <definedName name="GTFA_2Q07">Tags_ols!$AQ$149</definedName>
    <definedName name="GTFA_2Q08" localSheetId="10">Tags!$AV$149</definedName>
    <definedName name="GTFA_2Q08">Tags_ols!$AV$149</definedName>
    <definedName name="GTFA_2Q09" localSheetId="10">Tags!$BA$149</definedName>
    <definedName name="GTFA_2Q09">Tags_ols!$BA$149</definedName>
    <definedName name="GTFA_2Q10" localSheetId="10">Tags!$BF$149</definedName>
    <definedName name="GTFA_2Q10">Tags_ols!$BF$149</definedName>
    <definedName name="GTFA_2Q11" localSheetId="10">Tags!$BK$149</definedName>
    <definedName name="GTFA_2Q11">Tags_ols!$BK$149</definedName>
    <definedName name="GTFA_2Q12" localSheetId="10">Tags!$BP$149</definedName>
    <definedName name="GTFA_2Q12">Tags_ols!$BP$149</definedName>
    <definedName name="GTFA_2Q13" localSheetId="10">Tags!$BU$149</definedName>
    <definedName name="GTFA_2Q13">Tags_ols!$BU$149</definedName>
    <definedName name="GTFA_2Q14" localSheetId="10">Tags!$BZ$149</definedName>
    <definedName name="GTFA_2Q14">Tags_ols!$BZ$149</definedName>
    <definedName name="GTFA_2Q15" localSheetId="10">Tags!$CE$149</definedName>
    <definedName name="GTFA_2Q15">Tags_ols!$CE$149</definedName>
    <definedName name="GTFA_2Q16" localSheetId="10">Tags!$CJ$149</definedName>
    <definedName name="GTFA_2Q16">Tags_ols!$CJ$149</definedName>
    <definedName name="GTFA_2Q17" localSheetId="10">Tags!$CO$149</definedName>
    <definedName name="GTFA_2Q17">Tags_ols!$CO$149</definedName>
    <definedName name="GTFA_2Q18" localSheetId="10">Tags!$CT$149</definedName>
    <definedName name="GTFA_2Q18">Tags_ols!$CT$149</definedName>
    <definedName name="GTFA_2Q19" localSheetId="10">Tags!$CY$149</definedName>
    <definedName name="GTFA_2Q19">Tags_ols!$CY$149</definedName>
    <definedName name="GTFA_2Q20" localSheetId="10">Tags!$DD$149</definedName>
    <definedName name="GTFA_2Q20">Tags_ols!$DD$149</definedName>
    <definedName name="GTFA_2Q21">Tags!$DI$149</definedName>
    <definedName name="GTFA_2Q22">Tags!$DN$149</definedName>
    <definedName name="GTFA_2Q23">Tags!$DS$149</definedName>
    <definedName name="GTFA_2Q24">Tags!$DX$149</definedName>
    <definedName name="GTFA_3Q00" localSheetId="10">Tags!$I$149</definedName>
    <definedName name="GTFA_3Q00">Tags_ols!$I$149</definedName>
    <definedName name="GTFA_3Q01" localSheetId="10">Tags!$N$149</definedName>
    <definedName name="GTFA_3Q01">Tags_ols!$N$149</definedName>
    <definedName name="GTFA_3Q02" localSheetId="10">Tags!$S$149</definedName>
    <definedName name="GTFA_3Q02">Tags_ols!$S$149</definedName>
    <definedName name="GTFA_3Q03" localSheetId="10">Tags!$X$149</definedName>
    <definedName name="GTFA_3Q03">Tags_ols!$X$149</definedName>
    <definedName name="GTFA_3Q04" localSheetId="10">Tags!$AC$149</definedName>
    <definedName name="GTFA_3Q04">Tags_ols!$AC$149</definedName>
    <definedName name="GTFA_3Q05" localSheetId="10">Tags!$AH$149</definedName>
    <definedName name="GTFA_3Q05">Tags_ols!$AH$149</definedName>
    <definedName name="GTFA_3Q06" localSheetId="10">Tags!$AM$149</definedName>
    <definedName name="GTFA_3Q06">Tags_ols!$AM$149</definedName>
    <definedName name="GTFA_3Q07" localSheetId="10">Tags!$AR$149</definedName>
    <definedName name="GTFA_3Q07">Tags_ols!$AR$149</definedName>
    <definedName name="GTFA_3Q08" localSheetId="10">Tags!$AW$149</definedName>
    <definedName name="GTFA_3Q08">Tags_ols!$AW$149</definedName>
    <definedName name="GTFA_3Q09" localSheetId="10">Tags!$BB$149</definedName>
    <definedName name="GTFA_3Q09">Tags_ols!$BB$149</definedName>
    <definedName name="GTFA_3Q10" localSheetId="10">Tags!$BG$149</definedName>
    <definedName name="GTFA_3Q10">Tags_ols!$BG$149</definedName>
    <definedName name="GTFA_3Q11" localSheetId="10">Tags!$BL$149</definedName>
    <definedName name="GTFA_3Q11">Tags_ols!$BL$149</definedName>
    <definedName name="GTFA_3Q12" localSheetId="10">Tags!$BQ$149</definedName>
    <definedName name="GTFA_3Q12">Tags_ols!$BQ$149</definedName>
    <definedName name="GTFA_3Q13" localSheetId="10">Tags!$BV$149</definedName>
    <definedName name="GTFA_3Q13">Tags_ols!$BV$149</definedName>
    <definedName name="GTFA_3Q14" localSheetId="10">Tags!$CA$149</definedName>
    <definedName name="GTFA_3Q14">Tags_ols!$CA$149</definedName>
    <definedName name="GTFA_3Q15" localSheetId="10">Tags!$CF$149</definedName>
    <definedName name="GTFA_3Q15">Tags_ols!$CF$149</definedName>
    <definedName name="GTFA_3Q16" localSheetId="10">Tags!$CK$149</definedName>
    <definedName name="GTFA_3Q16">Tags_ols!$CK$149</definedName>
    <definedName name="GTFA_3Q17" localSheetId="10">Tags!$CP$149</definedName>
    <definedName name="GTFA_3Q17">Tags_ols!$CP$149</definedName>
    <definedName name="GTFA_3Q18" localSheetId="10">Tags!$CU$149</definedName>
    <definedName name="GTFA_3Q18">Tags_ols!$CU$149</definedName>
    <definedName name="GTFA_3Q19" localSheetId="10">Tags!$CZ$149</definedName>
    <definedName name="GTFA_3Q19">Tags_ols!$CZ$149</definedName>
    <definedName name="GTFA_3Q20" localSheetId="10">Tags!$DE$149</definedName>
    <definedName name="GTFA_3Q20">Tags_ols!$DE$149</definedName>
    <definedName name="GTFA_3Q21">Tags!$DJ$149</definedName>
    <definedName name="GTFA_3Q22">Tags!$DO$149</definedName>
    <definedName name="GTFA_3Q23">Tags!$DT$149</definedName>
    <definedName name="GTFA_3Q24">Tags!$DY$149</definedName>
    <definedName name="GTFA_4Q00" localSheetId="10">Tags!$J$149</definedName>
    <definedName name="GTFA_4Q00">Tags_ols!$J$149</definedName>
    <definedName name="GTFA_4Q01" localSheetId="10">Tags!$O$149</definedName>
    <definedName name="GTFA_4Q01">Tags_ols!$O$149</definedName>
    <definedName name="GTFA_4Q02" localSheetId="10">Tags!$T$149</definedName>
    <definedName name="GTFA_4Q02">Tags_ols!$T$149</definedName>
    <definedName name="GTFA_4Q03" localSheetId="10">Tags!$Y$149</definedName>
    <definedName name="GTFA_4Q03">Tags_ols!$Y$149</definedName>
    <definedName name="GTFA_4Q04" localSheetId="10">Tags!$AD$149</definedName>
    <definedName name="GTFA_4Q04">Tags_ols!$AD$149</definedName>
    <definedName name="GTFA_4Q05" localSheetId="10">Tags!$AI$149</definedName>
    <definedName name="GTFA_4Q05">Tags_ols!$AI$149</definedName>
    <definedName name="GTFA_4Q06" localSheetId="10">Tags!$AN$149</definedName>
    <definedName name="GTFA_4Q06">Tags_ols!$AN$149</definedName>
    <definedName name="GTFA_4Q07" localSheetId="10">Tags!$AS$149</definedName>
    <definedName name="GTFA_4Q07">Tags_ols!$AS$149</definedName>
    <definedName name="GTFA_4Q08" localSheetId="10">Tags!$AX$149</definedName>
    <definedName name="GTFA_4Q08">Tags_ols!$AX$149</definedName>
    <definedName name="GTFA_4Q09" localSheetId="10">Tags!$BC$149</definedName>
    <definedName name="GTFA_4Q09">Tags_ols!$BC$149</definedName>
    <definedName name="GTFA_4Q10" localSheetId="10">Tags!$BH$149</definedName>
    <definedName name="GTFA_4Q10">Tags_ols!$BH$149</definedName>
    <definedName name="GTFA_4Q11" localSheetId="10">Tags!$BM$149</definedName>
    <definedName name="GTFA_4Q11">Tags_ols!$BM$149</definedName>
    <definedName name="GTFA_4Q12" localSheetId="10">Tags!$BR$149</definedName>
    <definedName name="GTFA_4Q12">Tags_ols!$BR$149</definedName>
    <definedName name="GTFA_4Q13" localSheetId="10">Tags!$BW$149</definedName>
    <definedName name="GTFA_4Q13">Tags_ols!$BW$149</definedName>
    <definedName name="GTFA_4Q14" localSheetId="10">Tags!$CB$149</definedName>
    <definedName name="GTFA_4Q14">Tags_ols!$CB$149</definedName>
    <definedName name="GTFA_4Q15" localSheetId="10">Tags!$CG$149</definedName>
    <definedName name="GTFA_4Q15">Tags_ols!$CG$149</definedName>
    <definedName name="GTFA_4Q16" localSheetId="10">Tags!$CL$149</definedName>
    <definedName name="GTFA_4Q16">Tags_ols!$CL$149</definedName>
    <definedName name="GTFA_4Q17" localSheetId="10">Tags!$CQ$149</definedName>
    <definedName name="GTFA_4Q17">Tags_ols!$CQ$149</definedName>
    <definedName name="GTFA_4Q18" localSheetId="10">Tags!$CV$149</definedName>
    <definedName name="GTFA_4Q18">Tags_ols!$CV$149</definedName>
    <definedName name="GTFA_4Q19" localSheetId="10">Tags!$DA$149</definedName>
    <definedName name="GTFA_4Q19">Tags_ols!$DA$149</definedName>
    <definedName name="GTFA_4Q20" localSheetId="10">Tags!$DF$149</definedName>
    <definedName name="GTFA_4Q20">Tags_ols!$DF$149</definedName>
    <definedName name="GTFA_4Q21">Tags!$DK$149</definedName>
    <definedName name="GTFA_4Q22">Tags!$DP$149</definedName>
    <definedName name="GTFA_4Q23">Tags!$DU$149</definedName>
    <definedName name="GTFA_4Q24">Tags!$DZ$149</definedName>
    <definedName name="HeaderSpot">#REF!</definedName>
    <definedName name="hgjg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6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9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localSheetId="5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gjg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HighPrice">#REF!</definedName>
    <definedName name="HistoCell">#REF!</definedName>
    <definedName name="HistoComplement">#REF!</definedName>
    <definedName name="HistoType">#REF!</definedName>
    <definedName name="home">#REF!</definedName>
    <definedName name="IEXP_1995">Tags_ols!$B$54</definedName>
    <definedName name="IEXP_1996">Tags_ols!$C$54</definedName>
    <definedName name="IEXP_1997">Tags_ols!$D$54</definedName>
    <definedName name="IEXP_1998">Tags_ols!$E$54</definedName>
    <definedName name="IEXP_1999">Tags_ols!$F$54</definedName>
    <definedName name="IEXP_1Q00" localSheetId="10">Tags!$G$54</definedName>
    <definedName name="IEXP_1Q00">Tags_ols!$G$54</definedName>
    <definedName name="IEXP_1Q01" localSheetId="10">Tags!$L$54</definedName>
    <definedName name="IEXP_1Q01">Tags_ols!$L$54</definedName>
    <definedName name="IEXP_1Q02" localSheetId="10">Tags!$Q$54</definedName>
    <definedName name="IEXP_1Q02">Tags_ols!$Q$54</definedName>
    <definedName name="IEXP_1Q03" localSheetId="10">Tags!$V$54</definedName>
    <definedName name="IEXP_1Q03">Tags_ols!$V$54</definedName>
    <definedName name="IEXP_1Q04" localSheetId="10">Tags!$AA$54</definedName>
    <definedName name="IEXP_1Q04">Tags_ols!$AA$54</definedName>
    <definedName name="IEXP_1Q05" localSheetId="10">Tags!$AF$54</definedName>
    <definedName name="IEXP_1Q05">Tags_ols!$AF$54</definedName>
    <definedName name="IEXP_1Q06" localSheetId="10">Tags!$AK$54</definedName>
    <definedName name="IEXP_1Q06">Tags_ols!$AK$54</definedName>
    <definedName name="IEXP_1Q07" localSheetId="10">Tags!$AP$54</definedName>
    <definedName name="IEXP_1Q07">Tags_ols!$AP$54</definedName>
    <definedName name="IEXP_1Q08" localSheetId="10">Tags!$AU$54</definedName>
    <definedName name="IEXP_1Q08">Tags_ols!$AU$54</definedName>
    <definedName name="IEXP_1Q09" localSheetId="10">Tags!$AZ$54</definedName>
    <definedName name="IEXP_1Q09">Tags_ols!$AZ$54</definedName>
    <definedName name="IEXP_1Q10" localSheetId="10">Tags!$BE$54</definedName>
    <definedName name="IEXP_1Q10">Tags_ols!$BE$54</definedName>
    <definedName name="IEXP_1Q11" localSheetId="10">Tags!$BJ$54</definedName>
    <definedName name="IEXP_1Q11">Tags_ols!$BJ$54</definedName>
    <definedName name="IEXP_1Q12" localSheetId="10">Tags!$BO$54</definedName>
    <definedName name="IEXP_1Q12">Tags_ols!$BO$54</definedName>
    <definedName name="IEXP_1Q13" localSheetId="10">Tags!$BT$54</definedName>
    <definedName name="IEXP_1Q13">Tags_ols!$BT$54</definedName>
    <definedName name="IEXP_1Q14" localSheetId="10">Tags!$BY$54</definedName>
    <definedName name="IEXP_1Q14">Tags_ols!$BY$54</definedName>
    <definedName name="IEXP_1Q15" localSheetId="10">Tags!$CD$54</definedName>
    <definedName name="IEXP_1Q15">Tags_ols!$CD$54</definedName>
    <definedName name="IEXP_1Q16" localSheetId="10">Tags!$CI$54</definedName>
    <definedName name="IEXP_1Q16">Tags_ols!$CI$54</definedName>
    <definedName name="IEXP_1Q17" localSheetId="10">Tags!$CN$54</definedName>
    <definedName name="IEXP_1Q17">Tags_ols!$CN$54</definedName>
    <definedName name="IEXP_1Q18" localSheetId="10">Tags!$CS$54</definedName>
    <definedName name="IEXP_1Q18">Tags_ols!$CS$54</definedName>
    <definedName name="IEXP_1Q19" localSheetId="10">Tags!$CX$54</definedName>
    <definedName name="IEXP_1Q19">Tags_ols!$CX$54</definedName>
    <definedName name="IEXP_1Q20" localSheetId="10">Tags!$DC$54</definedName>
    <definedName name="IEXP_1Q20">Tags_ols!$DC$54</definedName>
    <definedName name="IEXP_1Q21">Tags!$DH$54</definedName>
    <definedName name="IEXP_1Q22">Tags!$DM$54</definedName>
    <definedName name="IEXP_1Q23">Tags!$DR$54</definedName>
    <definedName name="IEXP_1Q24">Tags!$DW$54</definedName>
    <definedName name="IEXP_2000" localSheetId="10">Tags!$K$54</definedName>
    <definedName name="IEXP_2000">Tags_ols!$K$54</definedName>
    <definedName name="IEXP_2001" localSheetId="10">Tags!$P$54</definedName>
    <definedName name="IEXP_2001">Tags_ols!$P$54</definedName>
    <definedName name="IEXP_2002" localSheetId="10">Tags!$U$54</definedName>
    <definedName name="IEXP_2002">Tags_ols!$U$54</definedName>
    <definedName name="IEXP_2003" localSheetId="10">Tags!$Z$54</definedName>
    <definedName name="IEXP_2003">Tags_ols!$Z$54</definedName>
    <definedName name="IEXP_2004" localSheetId="10">Tags!$AE$54</definedName>
    <definedName name="IEXP_2004">Tags_ols!$AE$54</definedName>
    <definedName name="IEXP_2005" localSheetId="10">Tags!$AJ$54</definedName>
    <definedName name="IEXP_2005">Tags_ols!$AJ$54</definedName>
    <definedName name="IEXP_2006" localSheetId="10">Tags!$AO$54</definedName>
    <definedName name="IEXP_2006">Tags_ols!$AO$54</definedName>
    <definedName name="IEXP_2007" localSheetId="10">Tags!$AT$54</definedName>
    <definedName name="IEXP_2007">Tags_ols!$AT$54</definedName>
    <definedName name="IEXP_2008" localSheetId="10">Tags!$AY$54</definedName>
    <definedName name="IEXP_2008">Tags_ols!$AY$54</definedName>
    <definedName name="IEXP_2009" localSheetId="10">Tags!$BD$54</definedName>
    <definedName name="IEXP_2009">Tags_ols!$BD$54</definedName>
    <definedName name="IEXP_2010" localSheetId="10">Tags!$BI$54</definedName>
    <definedName name="IEXP_2010">Tags_ols!$BI$54</definedName>
    <definedName name="IEXP_2011" localSheetId="10">Tags!$BN$54</definedName>
    <definedName name="IEXP_2011">Tags_ols!$BN$54</definedName>
    <definedName name="IEXP_2012" localSheetId="10">Tags!$BS$54</definedName>
    <definedName name="IEXP_2012">Tags_ols!$BS$54</definedName>
    <definedName name="IEXP_2013" localSheetId="10">Tags!$BX$54</definedName>
    <definedName name="IEXP_2013">Tags_ols!$BX$54</definedName>
    <definedName name="IEXP_2014" localSheetId="10">Tags!$CC$54</definedName>
    <definedName name="IEXP_2014">Tags_ols!$CC$54</definedName>
    <definedName name="IEXP_2015" localSheetId="10">Tags!#REF!</definedName>
    <definedName name="IEXP_2015">Tags!$CH$54</definedName>
    <definedName name="IEXP_2016" localSheetId="10">Tags!$CM$54</definedName>
    <definedName name="IEXP_2016">Tags_ols!$CM$54</definedName>
    <definedName name="IEXP_2017" localSheetId="10">Tags!$CR$54</definedName>
    <definedName name="IEXP_2017">Tags_ols!$CR$54</definedName>
    <definedName name="IEXP_2018" localSheetId="10">Tags!$CW$54</definedName>
    <definedName name="IEXP_2018">Tags_ols!$CW$54</definedName>
    <definedName name="IEXP_2019" localSheetId="10">Tags!$DB$54</definedName>
    <definedName name="IEXP_2019">Tags_ols!$DB$54</definedName>
    <definedName name="IEXP_2020" localSheetId="10">Tags!$DG$54</definedName>
    <definedName name="IEXP_2020">Tags_ols!$DG$54</definedName>
    <definedName name="IEXP_2021">Tags!$DL$54</definedName>
    <definedName name="IEXP_2022">Tags!$DQ$54</definedName>
    <definedName name="IEXP_2023">Tags!$DV$54</definedName>
    <definedName name="IEXP_2024">Tags!$EA$54</definedName>
    <definedName name="IEXP_2Q00" localSheetId="10">Tags!$H$54</definedName>
    <definedName name="IEXP_2Q00">Tags_ols!$H$54</definedName>
    <definedName name="IEXP_2Q01" localSheetId="10">Tags!$M$54</definedName>
    <definedName name="IEXP_2Q01">Tags_ols!$M$54</definedName>
    <definedName name="IEXP_2Q02" localSheetId="10">Tags!$R$54</definedName>
    <definedName name="IEXP_2Q02">Tags_ols!$R$54</definedName>
    <definedName name="IEXP_2Q03" localSheetId="10">Tags!$W$54</definedName>
    <definedName name="IEXP_2Q03">Tags_ols!$W$54</definedName>
    <definedName name="IEXP_2Q04" localSheetId="10">Tags!$AB$54</definedName>
    <definedName name="IEXP_2Q04">Tags_ols!$AB$54</definedName>
    <definedName name="IEXP_2Q05" localSheetId="10">Tags!$AG$54</definedName>
    <definedName name="IEXP_2Q05">Tags_ols!$AG$54</definedName>
    <definedName name="IEXP_2Q06" localSheetId="10">Tags!$AL$54</definedName>
    <definedName name="IEXP_2Q06">Tags_ols!$AL$54</definedName>
    <definedName name="IEXP_2Q07" localSheetId="10">Tags!$AQ$54</definedName>
    <definedName name="IEXP_2Q07">Tags_ols!$AQ$54</definedName>
    <definedName name="IEXP_2Q08" localSheetId="10">Tags!$AV$54</definedName>
    <definedName name="IEXP_2Q08">Tags_ols!$AV$54</definedName>
    <definedName name="IEXP_2Q09" localSheetId="10">Tags!$BA$54</definedName>
    <definedName name="IEXP_2Q09">Tags_ols!$BA$54</definedName>
    <definedName name="IEXP_2Q10" localSheetId="10">Tags!$BF$54</definedName>
    <definedName name="IEXP_2Q10">Tags_ols!$BF$54</definedName>
    <definedName name="IEXP_2Q11" localSheetId="10">Tags!$BK$54</definedName>
    <definedName name="IEXP_2Q11">Tags_ols!$BK$54</definedName>
    <definedName name="IEXP_2Q12" localSheetId="10">Tags!$BP$54</definedName>
    <definedName name="IEXP_2Q12">Tags_ols!$BP$54</definedName>
    <definedName name="IEXP_2Q13" localSheetId="10">Tags!$BU$54</definedName>
    <definedName name="IEXP_2Q13">Tags_ols!$BU$54</definedName>
    <definedName name="IEXP_2Q14" localSheetId="10">Tags!$BZ$54</definedName>
    <definedName name="IEXP_2Q14">Tags_ols!$BZ$54</definedName>
    <definedName name="IEXP_2Q15" localSheetId="10">Tags!$CE$54</definedName>
    <definedName name="IEXP_2Q15">Tags_ols!$CE$54</definedName>
    <definedName name="IEXP_2Q16" localSheetId="10">Tags!$CJ$54</definedName>
    <definedName name="IEXP_2Q16">Tags_ols!$CJ$54</definedName>
    <definedName name="IEXP_2Q17" localSheetId="10">Tags!$CO$54</definedName>
    <definedName name="IEXP_2Q17">Tags_ols!$CO$54</definedName>
    <definedName name="IEXP_2Q18" localSheetId="10">Tags!$CT$54</definedName>
    <definedName name="IEXP_2Q18">Tags_ols!$CT$54</definedName>
    <definedName name="IEXP_2Q19" localSheetId="10">Tags!$CY$54</definedName>
    <definedName name="IEXP_2Q19">Tags_ols!$CY$54</definedName>
    <definedName name="IEXP_2Q20" localSheetId="10">Tags!$DD$54</definedName>
    <definedName name="IEXP_2Q20">Tags_ols!$DD$54</definedName>
    <definedName name="IEXP_2Q21">Tags!$DI$54</definedName>
    <definedName name="IEXP_2Q22">Tags!$DN$54</definedName>
    <definedName name="IEXP_2Q23">Tags!$DS$54</definedName>
    <definedName name="IEXP_2Q24">Tags!$DX$54</definedName>
    <definedName name="IEXP_3Q00" localSheetId="10">Tags!$I$54</definedName>
    <definedName name="IEXP_3Q00">Tags_ols!$I$54</definedName>
    <definedName name="IEXP_3Q01" localSheetId="10">Tags!$N$54</definedName>
    <definedName name="IEXP_3Q01">Tags_ols!$N$54</definedName>
    <definedName name="IEXP_3Q02" localSheetId="10">Tags!$S$54</definedName>
    <definedName name="IEXP_3Q02">Tags_ols!$S$54</definedName>
    <definedName name="IEXP_3Q03" localSheetId="10">Tags!$X$54</definedName>
    <definedName name="IEXP_3Q03">Tags_ols!$X$54</definedName>
    <definedName name="IEXP_3Q04" localSheetId="10">Tags!$AC$54</definedName>
    <definedName name="IEXP_3Q04">Tags_ols!$AC$54</definedName>
    <definedName name="IEXP_3Q05" localSheetId="10">Tags!$AH$54</definedName>
    <definedName name="IEXP_3Q05">Tags_ols!$AH$54</definedName>
    <definedName name="IEXP_3Q06" localSheetId="10">Tags!$AM$54</definedName>
    <definedName name="IEXP_3Q06">Tags_ols!$AM$54</definedName>
    <definedName name="IEXP_3Q07" localSheetId="10">Tags!$AR$54</definedName>
    <definedName name="IEXP_3Q07">Tags_ols!$AR$54</definedName>
    <definedName name="IEXP_3Q08" localSheetId="10">Tags!$AW$54</definedName>
    <definedName name="IEXP_3Q08">Tags_ols!$AW$54</definedName>
    <definedName name="IEXP_3Q09" localSheetId="10">Tags!$BB$54</definedName>
    <definedName name="IEXP_3Q09">Tags_ols!$BB$54</definedName>
    <definedName name="IEXP_3Q10" localSheetId="10">Tags!$BG$54</definedName>
    <definedName name="IEXP_3Q10">Tags_ols!$BG$54</definedName>
    <definedName name="IEXP_3Q11" localSheetId="10">Tags!$BL$54</definedName>
    <definedName name="IEXP_3Q11">Tags_ols!$BL$54</definedName>
    <definedName name="IEXP_3Q12" localSheetId="10">Tags!$BQ$54</definedName>
    <definedName name="IEXP_3Q12">Tags_ols!$BQ$54</definedName>
    <definedName name="IEXP_3Q13" localSheetId="10">Tags!$BV$54</definedName>
    <definedName name="IEXP_3Q13">Tags_ols!$BV$54</definedName>
    <definedName name="IEXP_3Q14" localSheetId="10">Tags!$CA$54</definedName>
    <definedName name="IEXP_3Q14">Tags_ols!$CA$54</definedName>
    <definedName name="IEXP_3Q15" localSheetId="10">Tags!$CF$54</definedName>
    <definedName name="IEXP_3Q15">Tags_ols!$CF$54</definedName>
    <definedName name="IEXP_3Q16" localSheetId="10">Tags!$CK$54</definedName>
    <definedName name="IEXP_3Q16">Tags_ols!$CK$54</definedName>
    <definedName name="IEXP_3Q17" localSheetId="10">Tags!$CP$54</definedName>
    <definedName name="IEXP_3Q17">Tags_ols!$CP$54</definedName>
    <definedName name="IEXP_3Q18" localSheetId="10">Tags!$CU$54</definedName>
    <definedName name="IEXP_3Q18">Tags_ols!$CU$54</definedName>
    <definedName name="IEXP_3Q19" localSheetId="10">Tags!$CZ$54</definedName>
    <definedName name="IEXP_3Q19">Tags_ols!$CZ$54</definedName>
    <definedName name="IEXP_3Q20" localSheetId="10">Tags!$DE$54</definedName>
    <definedName name="IEXP_3Q20">Tags_ols!$DE$54</definedName>
    <definedName name="IEXP_3Q21">Tags!$DJ$54</definedName>
    <definedName name="IEXP_3Q22">Tags!$DO$54</definedName>
    <definedName name="IEXP_3Q23">Tags!$DT$54</definedName>
    <definedName name="IEXP_3Q24">Tags!$DY$54</definedName>
    <definedName name="IEXP_4Q00" localSheetId="10">Tags!$J$54</definedName>
    <definedName name="IEXP_4Q00">Tags_ols!$J$54</definedName>
    <definedName name="IEXP_4Q01" localSheetId="10">Tags!$O$54</definedName>
    <definedName name="IEXP_4Q01">Tags_ols!$O$54</definedName>
    <definedName name="IEXP_4Q02" localSheetId="10">Tags!$T$54</definedName>
    <definedName name="IEXP_4Q02">Tags_ols!$T$54</definedName>
    <definedName name="IEXP_4Q03" localSheetId="10">Tags!$Y$54</definedName>
    <definedName name="IEXP_4Q03">Tags_ols!$Y$54</definedName>
    <definedName name="IEXP_4Q04" localSheetId="10">Tags!$AD$54</definedName>
    <definedName name="IEXP_4Q04">Tags_ols!$AD$54</definedName>
    <definedName name="IEXP_4Q05" localSheetId="10">Tags!$AI$54</definedName>
    <definedName name="IEXP_4Q05">Tags_ols!$AI$54</definedName>
    <definedName name="IEXP_4Q06" localSheetId="10">Tags!$AN$54</definedName>
    <definedName name="IEXP_4Q06">Tags_ols!$AN$54</definedName>
    <definedName name="IEXP_4Q07" localSheetId="10">Tags!$AS$54</definedName>
    <definedName name="IEXP_4Q07">Tags_ols!$AS$54</definedName>
    <definedName name="IEXP_4Q08" localSheetId="10">Tags!$AX$54</definedName>
    <definedName name="IEXP_4Q08">Tags_ols!$AX$54</definedName>
    <definedName name="IEXP_4Q09" localSheetId="10">Tags!$BC$54</definedName>
    <definedName name="IEXP_4Q09">Tags_ols!$BC$54</definedName>
    <definedName name="IEXP_4Q10" localSheetId="10">Tags!$BH$54</definedName>
    <definedName name="IEXP_4Q10">Tags_ols!$BH$54</definedName>
    <definedName name="IEXP_4Q11" localSheetId="10">Tags!$BM$54</definedName>
    <definedName name="IEXP_4Q11">Tags_ols!$BM$54</definedName>
    <definedName name="IEXP_4Q12" localSheetId="10">Tags!$BR$54</definedName>
    <definedName name="IEXP_4Q12">Tags_ols!$BR$54</definedName>
    <definedName name="IEXP_4Q13" localSheetId="10">Tags!$BW$54</definedName>
    <definedName name="IEXP_4Q13">Tags_ols!$BW$54</definedName>
    <definedName name="IEXP_4Q14" localSheetId="10">Tags!$CB$54</definedName>
    <definedName name="IEXP_4Q14">Tags_ols!$CB$54</definedName>
    <definedName name="IEXP_4Q15" localSheetId="10">Tags!$CG$54</definedName>
    <definedName name="IEXP_4Q15">Tags_ols!$CG$54</definedName>
    <definedName name="IEXP_4Q16" localSheetId="10">Tags!$CL$54</definedName>
    <definedName name="IEXP_4Q16">Tags_ols!$CL$54</definedName>
    <definedName name="IEXP_4Q17" localSheetId="10">Tags!$CQ$54</definedName>
    <definedName name="IEXP_4Q17">Tags_ols!$CQ$54</definedName>
    <definedName name="IEXP_4Q18" localSheetId="10">Tags!$CV$54</definedName>
    <definedName name="IEXP_4Q18">Tags_ols!$CV$54</definedName>
    <definedName name="IEXP_4Q19" localSheetId="10">Tags!$DA$54</definedName>
    <definedName name="IEXP_4Q19">Tags_ols!$DA$54</definedName>
    <definedName name="IEXP_4Q20" localSheetId="10">Tags!$DF$54</definedName>
    <definedName name="IEXP_4Q20">Tags_ols!$DF$54</definedName>
    <definedName name="IEXP_4Q21">Tags!$DK$54</definedName>
    <definedName name="IEXP_4Q22">Tags!$DP$54</definedName>
    <definedName name="IEXP_4Q23">Tags!$DU$54</definedName>
    <definedName name="IEXP_4Q24">Tags!$DZ$54</definedName>
    <definedName name="IIA_1995">Tags_ols!$B$155</definedName>
    <definedName name="IIA_1996">Tags_ols!$C$155</definedName>
    <definedName name="IIA_1997">Tags_ols!$D$155</definedName>
    <definedName name="IIA_1998">Tags_ols!$E$155</definedName>
    <definedName name="IIA_1999">Tags_ols!$F$155</definedName>
    <definedName name="IIA_1Q00" localSheetId="10">Tags!$G$155</definedName>
    <definedName name="IIA_1Q00">Tags_ols!$G$155</definedName>
    <definedName name="IIA_1Q01" localSheetId="10">Tags!$L$155</definedName>
    <definedName name="IIA_1Q01">Tags_ols!$L$155</definedName>
    <definedName name="IIA_1Q02" localSheetId="10">Tags!$Q$155</definedName>
    <definedName name="IIA_1Q02">Tags_ols!$Q$155</definedName>
    <definedName name="IIA_1Q03" localSheetId="10">Tags!$V$155</definedName>
    <definedName name="IIA_1Q03">Tags_ols!$V$155</definedName>
    <definedName name="IIA_1Q04" localSheetId="10">Tags!$AA$155</definedName>
    <definedName name="IIA_1Q04">Tags_ols!$AA$155</definedName>
    <definedName name="IIA_1Q05" localSheetId="10">Tags!$AF$155</definedName>
    <definedName name="IIA_1Q05">Tags_ols!$AF$155</definedName>
    <definedName name="IIA_1Q06" localSheetId="10">Tags!$AK$155</definedName>
    <definedName name="IIA_1Q06">Tags_ols!$AK$155</definedName>
    <definedName name="IIA_1Q07" localSheetId="10">Tags!$AP$155</definedName>
    <definedName name="IIA_1Q07">Tags_ols!$AP$155</definedName>
    <definedName name="IIA_1Q08" localSheetId="10">Tags!$AU$155</definedName>
    <definedName name="IIA_1Q08">Tags_ols!$AU$155</definedName>
    <definedName name="IIA_1Q09" localSheetId="10">Tags!$AZ$155</definedName>
    <definedName name="IIA_1Q09">Tags_ols!$AZ$155</definedName>
    <definedName name="IIA_1Q10" localSheetId="10">Tags!$BE$155</definedName>
    <definedName name="IIA_1Q10">Tags_ols!$BE$155</definedName>
    <definedName name="IIA_1Q11" localSheetId="10">Tags!$BJ$155</definedName>
    <definedName name="IIA_1Q11">Tags_ols!$BJ$155</definedName>
    <definedName name="IIA_1Q12" localSheetId="10">Tags!$BO$155</definedName>
    <definedName name="IIA_1Q12">Tags_ols!$BO$155</definedName>
    <definedName name="IIA_1Q13" localSheetId="10">Tags!$BT$155</definedName>
    <definedName name="IIA_1Q13">Tags_ols!$BT$155</definedName>
    <definedName name="IIA_1Q14" localSheetId="10">Tags!$BY$155</definedName>
    <definedName name="IIA_1Q14">Tags_ols!$BY$155</definedName>
    <definedName name="IIA_1Q15" localSheetId="10">Tags!$CD$155</definedName>
    <definedName name="IIA_1Q15">Tags_ols!$CD$155</definedName>
    <definedName name="IIA_1Q16" localSheetId="10">Tags!$CI$155</definedName>
    <definedName name="IIA_1Q16">Tags_ols!$CI$155</definedName>
    <definedName name="IIA_1Q17" localSheetId="10">Tags!$CN$155</definedName>
    <definedName name="IIA_1Q17">Tags_ols!$CN$155</definedName>
    <definedName name="IIA_1Q18" localSheetId="10">Tags!$CS$155</definedName>
    <definedName name="IIA_1Q18">Tags_ols!$CS$155</definedName>
    <definedName name="IIA_1Q19" localSheetId="10">Tags!$CX$155</definedName>
    <definedName name="IIA_1Q19">Tags_ols!$CX$155</definedName>
    <definedName name="IIA_1Q20" localSheetId="10">Tags!$DC$155</definedName>
    <definedName name="IIA_1Q20">Tags_ols!$DC$155</definedName>
    <definedName name="IIA_1Q21">Tags!$DH$155</definedName>
    <definedName name="IIA_1Q22">Tags!$DM$155</definedName>
    <definedName name="IIA_1Q23">Tags!$DR$155</definedName>
    <definedName name="IIA_1Q24">Tags!$DW$155</definedName>
    <definedName name="IIA_2000" localSheetId="10">Tags!$K$155</definedName>
    <definedName name="IIA_2000">Tags_ols!$K$155</definedName>
    <definedName name="IIA_2001" localSheetId="10">Tags!$P$155</definedName>
    <definedName name="IIA_2001">Tags_ols!$P$155</definedName>
    <definedName name="IIA_2002" localSheetId="10">Tags!$U$155</definedName>
    <definedName name="IIA_2002">Tags_ols!$U$155</definedName>
    <definedName name="IIA_2003" localSheetId="10">Tags!$Z$155</definedName>
    <definedName name="IIA_2003">Tags_ols!$Z$155</definedName>
    <definedName name="IIA_2004" localSheetId="10">Tags!$AE$155</definedName>
    <definedName name="IIA_2004">Tags_ols!$AE$155</definedName>
    <definedName name="IIA_2005" localSheetId="10">Tags!$AJ$155</definedName>
    <definedName name="IIA_2005">Tags_ols!$AJ$155</definedName>
    <definedName name="IIA_2006" localSheetId="10">Tags!$AO$155</definedName>
    <definedName name="IIA_2006">Tags_ols!$AO$155</definedName>
    <definedName name="IIA_2007" localSheetId="10">Tags!$AT$155</definedName>
    <definedName name="IIA_2007">Tags_ols!$AT$155</definedName>
    <definedName name="IIA_2008" localSheetId="10">Tags!$AY$155</definedName>
    <definedName name="IIA_2008">Tags_ols!$AY$155</definedName>
    <definedName name="IIA_2009" localSheetId="10">Tags!$BD$155</definedName>
    <definedName name="IIA_2009">Tags_ols!$BD$155</definedName>
    <definedName name="IIA_2010" localSheetId="10">Tags!$BI$155</definedName>
    <definedName name="IIA_2010">Tags_ols!$BI$155</definedName>
    <definedName name="IIA_2011" localSheetId="10">Tags!$BN$155</definedName>
    <definedName name="IIA_2011">Tags_ols!$BN$155</definedName>
    <definedName name="IIA_2012" localSheetId="10">Tags!$BS$155</definedName>
    <definedName name="IIA_2012">Tags_ols!$BS$155</definedName>
    <definedName name="IIA_2013" localSheetId="10">Tags!$BX$155</definedName>
    <definedName name="IIA_2013">Tags_ols!$BX$155</definedName>
    <definedName name="IIA_2014" localSheetId="10">Tags!$CC$155</definedName>
    <definedName name="IIA_2014">Tags_ols!$CC$155</definedName>
    <definedName name="IIA_2015" localSheetId="10">Tags!#REF!</definedName>
    <definedName name="IIA_2015">Tags!$CH$155</definedName>
    <definedName name="IIA_2016" localSheetId="10">Tags!$CM$155</definedName>
    <definedName name="IIA_2016">Tags_ols!$CM$155</definedName>
    <definedName name="IIA_2017" localSheetId="10">Tags!$CR$155</definedName>
    <definedName name="IIA_2017">Tags_ols!$CR$155</definedName>
    <definedName name="IIA_2018" localSheetId="10">Tags!$CW$155</definedName>
    <definedName name="IIA_2018">Tags_ols!$CW$155</definedName>
    <definedName name="IIA_2019" localSheetId="10">Tags!$DB$155</definedName>
    <definedName name="IIA_2019">Tags_ols!$DB$155</definedName>
    <definedName name="IIA_2020" localSheetId="10">Tags!$DG$155</definedName>
    <definedName name="IIA_2020">Tags_ols!$DG$155</definedName>
    <definedName name="IIA_2021">Tags!$DL$155</definedName>
    <definedName name="IIA_2022">Tags!$DQ$155</definedName>
    <definedName name="IIA_2023">Tags!$DV$155</definedName>
    <definedName name="IIA_2024">Tags!$EA$155</definedName>
    <definedName name="IIA_2Q00" localSheetId="10">Tags!$H$155</definedName>
    <definedName name="IIA_2Q00">Tags_ols!$H$155</definedName>
    <definedName name="IIA_2Q01" localSheetId="10">Tags!$M$155</definedName>
    <definedName name="IIA_2Q01">Tags_ols!$M$155</definedName>
    <definedName name="IIA_2Q02" localSheetId="10">Tags!$R$155</definedName>
    <definedName name="IIA_2Q02">Tags_ols!$R$155</definedName>
    <definedName name="IIA_2Q03" localSheetId="10">Tags!$W$155</definedName>
    <definedName name="IIA_2Q03">Tags_ols!$W$155</definedName>
    <definedName name="IIA_2Q04" localSheetId="10">Tags!$AB$155</definedName>
    <definedName name="IIA_2Q04">Tags_ols!$AB$155</definedName>
    <definedName name="IIA_2Q05" localSheetId="10">Tags!$AG$155</definedName>
    <definedName name="IIA_2Q05">Tags_ols!$AG$155</definedName>
    <definedName name="IIA_2Q06" localSheetId="10">Tags!$AL$155</definedName>
    <definedName name="IIA_2Q06">Tags_ols!$AL$155</definedName>
    <definedName name="IIA_2Q07" localSheetId="10">Tags!$AQ$155</definedName>
    <definedName name="IIA_2Q07">Tags_ols!$AQ$155</definedName>
    <definedName name="IIA_2Q08" localSheetId="10">Tags!$AV$155</definedName>
    <definedName name="IIA_2Q08">Tags_ols!$AV$155</definedName>
    <definedName name="IIA_2Q09" localSheetId="10">Tags!$BA$155</definedName>
    <definedName name="IIA_2Q09">Tags_ols!$BA$155</definedName>
    <definedName name="IIA_2Q10" localSheetId="10">Tags!$BF$155</definedName>
    <definedName name="IIA_2Q10">Tags_ols!$BF$155</definedName>
    <definedName name="IIA_2Q11" localSheetId="10">Tags!$BK$155</definedName>
    <definedName name="IIA_2Q11">Tags_ols!$BK$155</definedName>
    <definedName name="IIA_2Q12" localSheetId="10">Tags!$BP$155</definedName>
    <definedName name="IIA_2Q12">Tags_ols!$BP$155</definedName>
    <definedName name="IIA_2Q13" localSheetId="10">Tags!$BU$155</definedName>
    <definedName name="IIA_2Q13">Tags_ols!$BU$155</definedName>
    <definedName name="IIA_2Q14" localSheetId="10">Tags!$BZ$155</definedName>
    <definedName name="IIA_2Q14">Tags_ols!$BZ$155</definedName>
    <definedName name="IIA_2Q15" localSheetId="10">Tags!$CE$155</definedName>
    <definedName name="IIA_2Q15">Tags_ols!$CE$155</definedName>
    <definedName name="IIA_2Q16" localSheetId="10">Tags!$CJ$155</definedName>
    <definedName name="IIA_2Q16">Tags_ols!$CJ$155</definedName>
    <definedName name="IIA_2Q17" localSheetId="10">Tags!$CO$155</definedName>
    <definedName name="IIA_2Q17">Tags_ols!$CO$155</definedName>
    <definedName name="IIA_2Q18" localSheetId="10">Tags!$CT$155</definedName>
    <definedName name="IIA_2Q18">Tags_ols!$CT$155</definedName>
    <definedName name="IIA_2Q19" localSheetId="10">Tags!$CY$155</definedName>
    <definedName name="IIA_2Q19">Tags_ols!$CY$155</definedName>
    <definedName name="IIA_2Q20" localSheetId="10">Tags!$DD$155</definedName>
    <definedName name="IIA_2Q20">Tags_ols!$DD$155</definedName>
    <definedName name="IIA_2Q21">Tags!$DI$155</definedName>
    <definedName name="IIA_2Q22">Tags!$DN$155</definedName>
    <definedName name="IIA_2Q23">Tags!$DS$155</definedName>
    <definedName name="IIA_2Q24">Tags!$DX$155</definedName>
    <definedName name="IIA_3Q00" localSheetId="10">Tags!$I$155</definedName>
    <definedName name="IIA_3Q00">Tags_ols!$I$155</definedName>
    <definedName name="IIA_3Q01" localSheetId="10">Tags!$N$155</definedName>
    <definedName name="IIA_3Q01">Tags_ols!$N$155</definedName>
    <definedName name="IIA_3Q02" localSheetId="10">Tags!$S$155</definedName>
    <definedName name="IIA_3Q02">Tags_ols!$S$155</definedName>
    <definedName name="IIA_3Q03" localSheetId="10">Tags!$X$155</definedName>
    <definedName name="IIA_3Q03">Tags_ols!$X$155</definedName>
    <definedName name="IIA_3Q04" localSheetId="10">Tags!$AC$155</definedName>
    <definedName name="IIA_3Q04">Tags_ols!$AC$155</definedName>
    <definedName name="IIA_3Q05" localSheetId="10">Tags!$AH$155</definedName>
    <definedName name="IIA_3Q05">Tags_ols!$AH$155</definedName>
    <definedName name="IIA_3Q06" localSheetId="10">Tags!$AM$155</definedName>
    <definedName name="IIA_3Q06">Tags_ols!$AM$155</definedName>
    <definedName name="IIA_3Q07" localSheetId="10">Tags!$AR$155</definedName>
    <definedName name="IIA_3Q07">Tags_ols!$AR$155</definedName>
    <definedName name="IIA_3Q08" localSheetId="10">Tags!$AW$155</definedName>
    <definedName name="IIA_3Q08">Tags_ols!$AW$155</definedName>
    <definedName name="IIA_3Q09" localSheetId="10">Tags!$BB$155</definedName>
    <definedName name="IIA_3Q09">Tags_ols!$BB$155</definedName>
    <definedName name="IIA_3Q10" localSheetId="10">Tags!$BG$155</definedName>
    <definedName name="IIA_3Q10">Tags_ols!$BG$155</definedName>
    <definedName name="IIA_3Q11" localSheetId="10">Tags!$BL$155</definedName>
    <definedName name="IIA_3Q11">Tags_ols!$BL$155</definedName>
    <definedName name="IIA_3Q12" localSheetId="10">Tags!$BQ$155</definedName>
    <definedName name="IIA_3Q12">Tags_ols!$BQ$155</definedName>
    <definedName name="IIA_3Q13" localSheetId="10">Tags!$BV$155</definedName>
    <definedName name="IIA_3Q13">Tags_ols!$BV$155</definedName>
    <definedName name="IIA_3Q14" localSheetId="10">Tags!$CA$155</definedName>
    <definedName name="IIA_3Q14">Tags_ols!$CA$155</definedName>
    <definedName name="IIA_3Q15" localSheetId="10">Tags!$CF$155</definedName>
    <definedName name="IIA_3Q15">Tags_ols!$CF$155</definedName>
    <definedName name="IIA_3Q16" localSheetId="10">Tags!$CK$155</definedName>
    <definedName name="IIA_3Q16">Tags_ols!$CK$155</definedName>
    <definedName name="IIA_3Q17" localSheetId="10">Tags!$CP$155</definedName>
    <definedName name="IIA_3Q17">Tags_ols!$CP$155</definedName>
    <definedName name="IIA_3Q18" localSheetId="10">Tags!$CU$155</definedName>
    <definedName name="IIA_3Q18">Tags_ols!$CU$155</definedName>
    <definedName name="IIA_3Q19" localSheetId="10">Tags!$CZ$155</definedName>
    <definedName name="IIA_3Q19">Tags_ols!$CZ$155</definedName>
    <definedName name="IIA_3Q20" localSheetId="10">Tags!$DE$155</definedName>
    <definedName name="IIA_3Q20">Tags_ols!$DE$155</definedName>
    <definedName name="IIA_3Q21">Tags!$DJ$155</definedName>
    <definedName name="IIA_3Q22">Tags!$DO$155</definedName>
    <definedName name="IIA_3Q23">Tags!$DT$155</definedName>
    <definedName name="IIA_3Q24">Tags!$DY$155</definedName>
    <definedName name="IIA_4Q00" localSheetId="10">Tags!$J$155</definedName>
    <definedName name="IIA_4Q00">Tags_ols!$J$155</definedName>
    <definedName name="IIA_4Q01" localSheetId="10">Tags!$O$155</definedName>
    <definedName name="IIA_4Q01">Tags_ols!$O$155</definedName>
    <definedName name="IIA_4Q02" localSheetId="10">Tags!$T$155</definedName>
    <definedName name="IIA_4Q02">Tags_ols!$T$155</definedName>
    <definedName name="IIA_4Q03" localSheetId="10">Tags!$Y$155</definedName>
    <definedName name="IIA_4Q03">Tags_ols!$Y$155</definedName>
    <definedName name="IIA_4Q04" localSheetId="10">Tags!$AD$155</definedName>
    <definedName name="IIA_4Q04">Tags_ols!$AD$155</definedName>
    <definedName name="IIA_4Q05" localSheetId="10">Tags!$AI$155</definedName>
    <definedName name="IIA_4Q05">Tags_ols!$AI$155</definedName>
    <definedName name="IIA_4Q06" localSheetId="10">Tags!$AN$155</definedName>
    <definedName name="IIA_4Q06">Tags_ols!$AN$155</definedName>
    <definedName name="IIA_4Q07" localSheetId="10">Tags!$AS$155</definedName>
    <definedName name="IIA_4Q07">Tags_ols!$AS$155</definedName>
    <definedName name="IIA_4Q08" localSheetId="10">Tags!$AX$155</definedName>
    <definedName name="IIA_4Q08">Tags_ols!$AX$155</definedName>
    <definedName name="IIA_4Q09" localSheetId="10">Tags!$BC$155</definedName>
    <definedName name="IIA_4Q09">Tags_ols!$BC$155</definedName>
    <definedName name="IIA_4Q10" localSheetId="10">Tags!$BH$155</definedName>
    <definedName name="IIA_4Q10">Tags_ols!$BH$155</definedName>
    <definedName name="IIA_4Q11" localSheetId="10">Tags!$BM$155</definedName>
    <definedName name="IIA_4Q11">Tags_ols!$BM$155</definedName>
    <definedName name="IIA_4Q12" localSheetId="10">Tags!$BR$155</definedName>
    <definedName name="IIA_4Q12">Tags_ols!$BR$155</definedName>
    <definedName name="IIA_4Q13" localSheetId="10">Tags!$BW$155</definedName>
    <definedName name="IIA_4Q13">Tags_ols!$BW$155</definedName>
    <definedName name="IIA_4Q14" localSheetId="10">Tags!$CB$155</definedName>
    <definedName name="IIA_4Q14">Tags_ols!$CB$155</definedName>
    <definedName name="IIA_4Q15" localSheetId="10">Tags!$CG$155</definedName>
    <definedName name="IIA_4Q15">Tags_ols!$CG$155</definedName>
    <definedName name="IIA_4Q16" localSheetId="10">Tags!$CL$155</definedName>
    <definedName name="IIA_4Q16">Tags_ols!$CL$155</definedName>
    <definedName name="IIA_4Q17" localSheetId="10">Tags!$CQ$155</definedName>
    <definedName name="IIA_4Q17">Tags_ols!$CQ$155</definedName>
    <definedName name="IIA_4Q18" localSheetId="10">Tags!$CV$155</definedName>
    <definedName name="IIA_4Q18">Tags_ols!$CV$155</definedName>
    <definedName name="IIA_4Q19" localSheetId="10">Tags!$DA$155</definedName>
    <definedName name="IIA_4Q19">Tags_ols!$DA$155</definedName>
    <definedName name="IIA_4Q20" localSheetId="10">Tags!$DF$155</definedName>
    <definedName name="IIA_4Q20">Tags_ols!$DF$155</definedName>
    <definedName name="IIA_4Q21">Tags!$DK$155</definedName>
    <definedName name="IIA_4Q22">Tags!$DP$155</definedName>
    <definedName name="IIA_4Q23">Tags!$DU$155</definedName>
    <definedName name="IIA_4Q24">Tags!$DZ$155</definedName>
    <definedName name="IINC_1995">Tags_ols!$B$53</definedName>
    <definedName name="IINC_1996">Tags_ols!$C$53</definedName>
    <definedName name="IINC_1997">Tags_ols!$D$53</definedName>
    <definedName name="IINC_1998">Tags_ols!$E$53</definedName>
    <definedName name="IINC_1999">Tags_ols!$F$53</definedName>
    <definedName name="IINC_1Q00" localSheetId="10">Tags!$G$53</definedName>
    <definedName name="IINC_1Q00">Tags_ols!$G$53</definedName>
    <definedName name="IINC_1Q01" localSheetId="10">Tags!$L$53</definedName>
    <definedName name="IINC_1Q01">Tags_ols!$L$53</definedName>
    <definedName name="IINC_1Q02" localSheetId="10">Tags!$Q$53</definedName>
    <definedName name="IINC_1Q02">Tags_ols!$Q$53</definedName>
    <definedName name="IINC_1Q03" localSheetId="10">Tags!$V$53</definedName>
    <definedName name="IINC_1Q03">Tags_ols!$V$53</definedName>
    <definedName name="IINC_1Q04" localSheetId="10">Tags!$AA$53</definedName>
    <definedName name="IINC_1Q04">Tags_ols!$AA$53</definedName>
    <definedName name="IINC_1Q05" localSheetId="10">Tags!$AF$53</definedName>
    <definedName name="IINC_1Q05">Tags_ols!$AF$53</definedName>
    <definedName name="IINC_1Q06" localSheetId="10">Tags!$AK$53</definedName>
    <definedName name="IINC_1Q06">Tags_ols!$AK$53</definedName>
    <definedName name="IINC_1Q07" localSheetId="10">Tags!$AP$53</definedName>
    <definedName name="IINC_1Q07">Tags_ols!$AP$53</definedName>
    <definedName name="IINC_1Q08" localSheetId="10">Tags!$AU$53</definedName>
    <definedName name="IINC_1Q08">Tags_ols!$AU$53</definedName>
    <definedName name="IINC_1Q09" localSheetId="10">Tags!$AZ$53</definedName>
    <definedName name="IINC_1Q09">Tags_ols!$AZ$53</definedName>
    <definedName name="IINC_1Q10" localSheetId="10">Tags!$BE$53</definedName>
    <definedName name="IINC_1Q10">Tags_ols!$BE$53</definedName>
    <definedName name="IINC_1Q11" localSheetId="10">Tags!$BJ$53</definedName>
    <definedName name="IINC_1Q11">Tags_ols!$BJ$53</definedName>
    <definedName name="IINC_1Q12" localSheetId="10">Tags!$BO$53</definedName>
    <definedName name="IINC_1Q12">Tags_ols!$BO$53</definedName>
    <definedName name="IINC_1Q13" localSheetId="10">Tags!$BT$53</definedName>
    <definedName name="IINC_1Q13">Tags_ols!$BT$53</definedName>
    <definedName name="IINC_1Q14" localSheetId="10">Tags!$BY$53</definedName>
    <definedName name="IINC_1Q14">Tags_ols!$BY$53</definedName>
    <definedName name="IINC_1Q15" localSheetId="10">Tags!$CD$53</definedName>
    <definedName name="IINC_1Q15">Tags_ols!$CD$53</definedName>
    <definedName name="IINC_1Q16" localSheetId="10">Tags!$CI$53</definedName>
    <definedName name="IINC_1Q16">Tags_ols!$CI$53</definedName>
    <definedName name="IINC_1Q17" localSheetId="10">Tags!$CN$53</definedName>
    <definedName name="IINC_1Q17">Tags_ols!$CN$53</definedName>
    <definedName name="IINC_1Q18" localSheetId="10">Tags!$CS$53</definedName>
    <definedName name="IINC_1Q18">Tags_ols!$CS$53</definedName>
    <definedName name="IINC_1Q19" localSheetId="10">Tags!$CX$53</definedName>
    <definedName name="IINC_1Q19">Tags_ols!$CX$53</definedName>
    <definedName name="IINC_1Q20" localSheetId="10">Tags!$DC$53</definedName>
    <definedName name="IINC_1Q20">Tags_ols!$DC$53</definedName>
    <definedName name="IINC_1Q21">Tags!$DH$53</definedName>
    <definedName name="IINC_1Q22">Tags!$DM$53</definedName>
    <definedName name="IINC_1Q23">Tags!$DR$53</definedName>
    <definedName name="IINC_1Q24">Tags!$DW$53</definedName>
    <definedName name="IINC_2000" localSheetId="10">Tags!$K$53</definedName>
    <definedName name="IINC_2000">Tags_ols!$K$53</definedName>
    <definedName name="IINC_2001" localSheetId="10">Tags!$P$53</definedName>
    <definedName name="IINC_2001">Tags_ols!$P$53</definedName>
    <definedName name="IINC_2002" localSheetId="10">Tags!$U$53</definedName>
    <definedName name="IINC_2002">Tags_ols!$U$53</definedName>
    <definedName name="IINC_2003" localSheetId="10">Tags!$Z$53</definedName>
    <definedName name="IINC_2003">Tags_ols!$Z$53</definedName>
    <definedName name="IINC_2004" localSheetId="10">Tags!$AE$53</definedName>
    <definedName name="IINC_2004">Tags_ols!$AE$53</definedName>
    <definedName name="IINC_2005" localSheetId="10">Tags!$AJ$53</definedName>
    <definedName name="IINC_2005">Tags_ols!$AJ$53</definedName>
    <definedName name="IINC_2006" localSheetId="10">Tags!$AO$53</definedName>
    <definedName name="IINC_2006">Tags_ols!$AO$53</definedName>
    <definedName name="IINC_2007" localSheetId="10">Tags!$AT$53</definedName>
    <definedName name="IINC_2007">Tags_ols!$AT$53</definedName>
    <definedName name="IINC_2008" localSheetId="10">Tags!$AY$53</definedName>
    <definedName name="IINC_2008">Tags_ols!$AY$53</definedName>
    <definedName name="IINC_2009" localSheetId="10">Tags!$BD$53</definedName>
    <definedName name="IINC_2009">Tags_ols!$BD$53</definedName>
    <definedName name="IINC_2010" localSheetId="10">Tags!$BI$53</definedName>
    <definedName name="IINC_2010">Tags_ols!$BI$53</definedName>
    <definedName name="IINC_2011" localSheetId="10">Tags!$BN$53</definedName>
    <definedName name="IINC_2011">Tags_ols!$BN$53</definedName>
    <definedName name="IINC_2012" localSheetId="10">Tags!$BS$53</definedName>
    <definedName name="IINC_2012">Tags_ols!$BS$53</definedName>
    <definedName name="IINC_2013" localSheetId="10">Tags!$BX$53</definedName>
    <definedName name="IINC_2013">Tags_ols!$BX$53</definedName>
    <definedName name="IINC_2014" localSheetId="10">Tags!$CC$53</definedName>
    <definedName name="IINC_2014">Tags_ols!$CC$53</definedName>
    <definedName name="IINC_2015" localSheetId="10">Tags!#REF!</definedName>
    <definedName name="IINC_2015">Tags!$CH$53</definedName>
    <definedName name="IINC_2016" localSheetId="10">Tags!$CM$53</definedName>
    <definedName name="IINC_2016">Tags_ols!$CM$53</definedName>
    <definedName name="IINC_2017" localSheetId="10">Tags!$CR$53</definedName>
    <definedName name="IINC_2017">Tags_ols!$CR$53</definedName>
    <definedName name="IINC_2018" localSheetId="10">Tags!$CW$53</definedName>
    <definedName name="IINC_2018">Tags_ols!$CW$53</definedName>
    <definedName name="IINC_2019" localSheetId="10">Tags!$DB$53</definedName>
    <definedName name="IINC_2019">Tags_ols!$DB$53</definedName>
    <definedName name="IINC_2020" localSheetId="10">Tags!$DG$53</definedName>
    <definedName name="IINC_2020">Tags_ols!$DG$53</definedName>
    <definedName name="IINC_2021">Tags!$DL$53</definedName>
    <definedName name="IINC_2022">Tags!$DQ$53</definedName>
    <definedName name="IINC_2023">Tags!$DV$53</definedName>
    <definedName name="IINC_2024">Tags!$EA$53</definedName>
    <definedName name="IINC_2Q00" localSheetId="10">Tags!$H$53</definedName>
    <definedName name="IINC_2Q00">Tags_ols!$H$53</definedName>
    <definedName name="IINC_2Q01" localSheetId="10">Tags!$M$53</definedName>
    <definedName name="IINC_2Q01">Tags_ols!$M$53</definedName>
    <definedName name="IINC_2Q02" localSheetId="10">Tags!$R$53</definedName>
    <definedName name="IINC_2Q02">Tags_ols!$R$53</definedName>
    <definedName name="IINC_2Q03" localSheetId="10">Tags!$W$53</definedName>
    <definedName name="IINC_2Q03">Tags_ols!$W$53</definedName>
    <definedName name="IINC_2Q04" localSheetId="10">Tags!$AB$53</definedName>
    <definedName name="IINC_2Q04">Tags_ols!$AB$53</definedName>
    <definedName name="IINC_2Q05" localSheetId="10">Tags!$AG$53</definedName>
    <definedName name="IINC_2Q05">Tags_ols!$AG$53</definedName>
    <definedName name="IINC_2Q06" localSheetId="10">Tags!$AL$53</definedName>
    <definedName name="IINC_2Q06">Tags_ols!$AL$53</definedName>
    <definedName name="IINC_2Q07" localSheetId="10">Tags!$AQ$53</definedName>
    <definedName name="IINC_2Q07">Tags_ols!$AQ$53</definedName>
    <definedName name="IINC_2Q08" localSheetId="10">Tags!$AV$53</definedName>
    <definedName name="IINC_2Q08">Tags_ols!$AV$53</definedName>
    <definedName name="IINC_2Q09" localSheetId="10">Tags!$BA$53</definedName>
    <definedName name="IINC_2Q09">Tags_ols!$BA$53</definedName>
    <definedName name="IINC_2Q10" localSheetId="10">Tags!$BF$53</definedName>
    <definedName name="IINC_2Q10">Tags_ols!$BF$53</definedName>
    <definedName name="IINC_2Q11" localSheetId="10">Tags!$BK$53</definedName>
    <definedName name="IINC_2Q11">Tags_ols!$BK$53</definedName>
    <definedName name="IINC_2Q12" localSheetId="10">Tags!$BP$53</definedName>
    <definedName name="IINC_2Q12">Tags_ols!$BP$53</definedName>
    <definedName name="IINC_2Q13" localSheetId="10">Tags!$BU$53</definedName>
    <definedName name="IINC_2Q13">Tags_ols!$BU$53</definedName>
    <definedName name="IINC_2Q14" localSheetId="10">Tags!$BZ$53</definedName>
    <definedName name="IINC_2Q14">Tags_ols!$BZ$53</definedName>
    <definedName name="IINC_2Q15" localSheetId="10">Tags!$CE$53</definedName>
    <definedName name="IINC_2Q15">Tags_ols!$CE$53</definedName>
    <definedName name="IINC_2Q16" localSheetId="10">Tags!$CJ$53</definedName>
    <definedName name="IINC_2Q16">Tags_ols!$CJ$53</definedName>
    <definedName name="IINC_2Q17" localSheetId="10">Tags!$CO$53</definedName>
    <definedName name="IINC_2Q17">Tags_ols!$CO$53</definedName>
    <definedName name="IINC_2Q18" localSheetId="10">Tags!$CT$53</definedName>
    <definedName name="IINC_2Q18">Tags_ols!$CT$53</definedName>
    <definedName name="IINC_2Q19" localSheetId="10">Tags!$CY$53</definedName>
    <definedName name="IINC_2Q19">Tags_ols!$CY$53</definedName>
    <definedName name="IINC_2Q20" localSheetId="10">Tags!$DD$53</definedName>
    <definedName name="IINC_2Q20">Tags_ols!$DD$53</definedName>
    <definedName name="IINC_2Q21">Tags!$DI$53</definedName>
    <definedName name="IINC_2Q22">Tags!$DN$53</definedName>
    <definedName name="IINC_2Q23">Tags!$DS$53</definedName>
    <definedName name="IINC_2Q24">Tags!$DX$53</definedName>
    <definedName name="IINC_3Q00" localSheetId="10">Tags!$I$53</definedName>
    <definedName name="IINC_3Q00">Tags_ols!$I$53</definedName>
    <definedName name="IINC_3Q01" localSheetId="10">Tags!$N$53</definedName>
    <definedName name="IINC_3Q01">Tags_ols!$N$53</definedName>
    <definedName name="IINC_3Q02" localSheetId="10">Tags!$S$53</definedName>
    <definedName name="IINC_3Q02">Tags_ols!$S$53</definedName>
    <definedName name="IINC_3Q03" localSheetId="10">Tags!$X$53</definedName>
    <definedName name="IINC_3Q03">Tags_ols!$X$53</definedName>
    <definedName name="IINC_3Q04" localSheetId="10">Tags!$AC$53</definedName>
    <definedName name="IINC_3Q04">Tags_ols!$AC$53</definedName>
    <definedName name="IINC_3Q05" localSheetId="10">Tags!$AH$53</definedName>
    <definedName name="IINC_3Q05">Tags_ols!$AH$53</definedName>
    <definedName name="IINC_3Q06" localSheetId="10">Tags!$AM$53</definedName>
    <definedName name="IINC_3Q06">Tags_ols!$AM$53</definedName>
    <definedName name="IINC_3Q07" localSheetId="10">Tags!$AR$53</definedName>
    <definedName name="IINC_3Q07">Tags_ols!$AR$53</definedName>
    <definedName name="IINC_3Q08" localSheetId="10">Tags!$AW$53</definedName>
    <definedName name="IINC_3Q08">Tags_ols!$AW$53</definedName>
    <definedName name="IINC_3Q09" localSheetId="10">Tags!$BB$53</definedName>
    <definedName name="IINC_3Q09">Tags_ols!$BB$53</definedName>
    <definedName name="IINC_3Q10" localSheetId="10">Tags!$BG$53</definedName>
    <definedName name="IINC_3Q10">Tags_ols!$BG$53</definedName>
    <definedName name="IINC_3Q11" localSheetId="10">Tags!$BL$53</definedName>
    <definedName name="IINC_3Q11">Tags_ols!$BL$53</definedName>
    <definedName name="IINC_3Q12" localSheetId="10">Tags!$BQ$53</definedName>
    <definedName name="IINC_3Q12">Tags_ols!$BQ$53</definedName>
    <definedName name="IINC_3Q13" localSheetId="10">Tags!$BV$53</definedName>
    <definedName name="IINC_3Q13">Tags_ols!$BV$53</definedName>
    <definedName name="IINC_3Q14" localSheetId="10">Tags!$CA$53</definedName>
    <definedName name="IINC_3Q14">Tags_ols!$CA$53</definedName>
    <definedName name="IINC_3Q15" localSheetId="10">Tags!$CF$53</definedName>
    <definedName name="IINC_3Q15">Tags_ols!$CF$53</definedName>
    <definedName name="IINC_3Q16" localSheetId="10">Tags!$CK$53</definedName>
    <definedName name="IINC_3Q16">Tags_ols!$CK$53</definedName>
    <definedName name="IINC_3Q17" localSheetId="10">Tags!$CP$53</definedName>
    <definedName name="IINC_3Q17">Tags_ols!$CP$53</definedName>
    <definedName name="IINC_3Q18" localSheetId="10">Tags!$CU$53</definedName>
    <definedName name="IINC_3Q18">Tags_ols!$CU$53</definedName>
    <definedName name="IINC_3Q19" localSheetId="10">Tags!$CZ$53</definedName>
    <definedName name="IINC_3Q19">Tags_ols!$CZ$53</definedName>
    <definedName name="IINC_3Q20" localSheetId="10">Tags!$DE$53</definedName>
    <definedName name="IINC_3Q20">Tags_ols!$DE$53</definedName>
    <definedName name="IINC_3Q21">Tags!$DJ$53</definedName>
    <definedName name="IINC_3Q22">Tags!$DO$53</definedName>
    <definedName name="IINC_3Q23">Tags!$DT$53</definedName>
    <definedName name="IINC_3Q24">Tags!$DY$53</definedName>
    <definedName name="IINC_4Q00" localSheetId="10">Tags!$J$53</definedName>
    <definedName name="IINC_4Q00">Tags_ols!$J$53</definedName>
    <definedName name="IINC_4Q01" localSheetId="10">Tags!$O$53</definedName>
    <definedName name="IINC_4Q01">Tags_ols!$O$53</definedName>
    <definedName name="IINC_4Q02" localSheetId="10">Tags!$T$53</definedName>
    <definedName name="IINC_4Q02">Tags_ols!$T$53</definedName>
    <definedName name="IINC_4Q03" localSheetId="10">Tags!$Y$53</definedName>
    <definedName name="IINC_4Q03">Tags_ols!$Y$53</definedName>
    <definedName name="IINC_4Q04" localSheetId="10">Tags!$AD$53</definedName>
    <definedName name="IINC_4Q04">Tags_ols!$AD$53</definedName>
    <definedName name="IINC_4Q05" localSheetId="10">Tags!$AI$53</definedName>
    <definedName name="IINC_4Q05">Tags_ols!$AI$53</definedName>
    <definedName name="IINC_4Q06" localSheetId="10">Tags!$AN$53</definedName>
    <definedName name="IINC_4Q06">Tags_ols!$AN$53</definedName>
    <definedName name="IINC_4Q07" localSheetId="10">Tags!$AS$53</definedName>
    <definedName name="IINC_4Q07">Tags_ols!$AS$53</definedName>
    <definedName name="IINC_4Q08" localSheetId="10">Tags!$AX$53</definedName>
    <definedName name="IINC_4Q08">Tags_ols!$AX$53</definedName>
    <definedName name="IINC_4Q09" localSheetId="10">Tags!$BC$53</definedName>
    <definedName name="IINC_4Q09">Tags_ols!$BC$53</definedName>
    <definedName name="IINC_4Q10" localSheetId="10">Tags!$BH$53</definedName>
    <definedName name="IINC_4Q10">Tags_ols!$BH$53</definedName>
    <definedName name="IINC_4Q11" localSheetId="10">Tags!$BM$53</definedName>
    <definedName name="IINC_4Q11">Tags_ols!$BM$53</definedName>
    <definedName name="IINC_4Q12" localSheetId="10">Tags!$BR$53</definedName>
    <definedName name="IINC_4Q12">Tags_ols!$BR$53</definedName>
    <definedName name="IINC_4Q13" localSheetId="10">Tags!$BW$53</definedName>
    <definedName name="IINC_4Q13">Tags_ols!$BW$53</definedName>
    <definedName name="IINC_4Q14" localSheetId="10">Tags!$CB$53</definedName>
    <definedName name="IINC_4Q14">Tags_ols!$CB$53</definedName>
    <definedName name="IINC_4Q15" localSheetId="10">Tags!$CG$53</definedName>
    <definedName name="IINC_4Q15">Tags_ols!$CG$53</definedName>
    <definedName name="IINC_4Q16" localSheetId="10">Tags!$CL$53</definedName>
    <definedName name="IINC_4Q16">Tags_ols!$CL$53</definedName>
    <definedName name="IINC_4Q17" localSheetId="10">Tags!$CQ$53</definedName>
    <definedName name="IINC_4Q17">Tags_ols!$CQ$53</definedName>
    <definedName name="IINC_4Q18" localSheetId="10">Tags!$CV$53</definedName>
    <definedName name="IINC_4Q18">Tags_ols!$CV$53</definedName>
    <definedName name="IINC_4Q19" localSheetId="10">Tags!$DA$53</definedName>
    <definedName name="IINC_4Q19">Tags_ols!$DA$53</definedName>
    <definedName name="IINC_4Q20" localSheetId="10">Tags!$DF$53</definedName>
    <definedName name="IINC_4Q20">Tags_ols!$DF$53</definedName>
    <definedName name="IINC_4Q21">Tags!$DK$53</definedName>
    <definedName name="IINC_4Q22">Tags!$DP$53</definedName>
    <definedName name="IINC_4Q23">Tags!$DU$53</definedName>
    <definedName name="IINC_4Q24">Tags!$DZ$53</definedName>
    <definedName name="ImportFile" localSheetId="9">Tags_ols!ImportFile</definedName>
    <definedName name="ImportFile" localSheetId="5">'TP Calculation'!ImportFile</definedName>
    <definedName name="ImportFile">Tags_ols!ImportFile</definedName>
    <definedName name="IncrementCell">#REF!</definedName>
    <definedName name="InLineRng">#REF!</definedName>
    <definedName name="INSAD_1995">Tags_ols!$B$113</definedName>
    <definedName name="INSAD_1996">Tags_ols!$C$113</definedName>
    <definedName name="INSAD_1997">Tags_ols!$D$113</definedName>
    <definedName name="INSAD_1998">Tags_ols!$E$113</definedName>
    <definedName name="INSAD_1999">Tags_ols!$F$113</definedName>
    <definedName name="INSAD_1Q00" localSheetId="10">Tags!$G$113</definedName>
    <definedName name="INSAD_1Q00">Tags_ols!$G$113</definedName>
    <definedName name="INSAD_1Q01" localSheetId="10">Tags!$L$113</definedName>
    <definedName name="INSAD_1Q01">Tags_ols!$L$113</definedName>
    <definedName name="INSAD_1Q02" localSheetId="10">Tags!$Q$113</definedName>
    <definedName name="INSAD_1Q02">Tags_ols!$Q$113</definedName>
    <definedName name="INSAD_1Q03" localSheetId="10">Tags!$V$113</definedName>
    <definedName name="INSAD_1Q03">Tags_ols!$V$113</definedName>
    <definedName name="INSAD_1Q04" localSheetId="10">Tags!$AA$113</definedName>
    <definedName name="INSAD_1Q04">Tags_ols!$AA$113</definedName>
    <definedName name="INSAD_1Q05" localSheetId="10">Tags!$AF$113</definedName>
    <definedName name="INSAD_1Q05">Tags_ols!$AF$113</definedName>
    <definedName name="INSAD_1Q06" localSheetId="10">Tags!$AK$113</definedName>
    <definedName name="INSAD_1Q06">Tags_ols!$AK$113</definedName>
    <definedName name="INSAD_1Q07" localSheetId="10">Tags!$AP$113</definedName>
    <definedName name="INSAD_1Q07">Tags_ols!$AP$113</definedName>
    <definedName name="INSAD_1Q08" localSheetId="10">Tags!$AU$113</definedName>
    <definedName name="INSAD_1Q08">Tags_ols!$AU$113</definedName>
    <definedName name="INSAD_1Q09" localSheetId="10">Tags!$AZ$113</definedName>
    <definedName name="INSAD_1Q09">Tags_ols!$AZ$113</definedName>
    <definedName name="INSAD_1Q10" localSheetId="10">Tags!$BE$113</definedName>
    <definedName name="INSAD_1Q10">Tags_ols!$BE$113</definedName>
    <definedName name="INSAD_1Q11" localSheetId="10">Tags!$BJ$113</definedName>
    <definedName name="INSAD_1Q11">Tags_ols!$BJ$113</definedName>
    <definedName name="INSAD_1Q12" localSheetId="10">Tags!$BO$113</definedName>
    <definedName name="INSAD_1Q12">Tags_ols!$BO$113</definedName>
    <definedName name="INSAD_1Q13" localSheetId="10">Tags!$BT$113</definedName>
    <definedName name="INSAD_1Q13">Tags_ols!$BT$113</definedName>
    <definedName name="INSAD_1Q14" localSheetId="10">Tags!$BY$113</definedName>
    <definedName name="INSAD_1Q14">Tags_ols!$BY$113</definedName>
    <definedName name="INSAD_1Q15" localSheetId="10">Tags!$CD$113</definedName>
    <definedName name="INSAD_1Q15">Tags_ols!$CD$113</definedName>
    <definedName name="INSAD_1Q16" localSheetId="10">Tags!$CI$113</definedName>
    <definedName name="INSAD_1Q16">Tags_ols!$CI$113</definedName>
    <definedName name="INSAD_1Q17" localSheetId="10">Tags!$CN$113</definedName>
    <definedName name="INSAD_1Q17">Tags_ols!$CN$113</definedName>
    <definedName name="INSAD_1Q18" localSheetId="10">Tags!$CS$113</definedName>
    <definedName name="INSAD_1Q18">Tags_ols!$CS$113</definedName>
    <definedName name="INSAD_1Q19" localSheetId="10">Tags!$CX$113</definedName>
    <definedName name="INSAD_1Q19">Tags_ols!$CX$113</definedName>
    <definedName name="INSAD_1Q20" localSheetId="10">Tags!$DC$113</definedName>
    <definedName name="INSAD_1Q20">Tags_ols!$DC$113</definedName>
    <definedName name="INSAD_1Q21">Tags!$DH$113</definedName>
    <definedName name="INSAD_1Q22">Tags!$DM$113</definedName>
    <definedName name="INSAD_1Q23">Tags!$DR$113</definedName>
    <definedName name="INSAD_1Q24">Tags!$DW$113</definedName>
    <definedName name="INSAD_2000" localSheetId="10">Tags!$K$113</definedName>
    <definedName name="INSAD_2000">Tags_ols!$K$113</definedName>
    <definedName name="INSAD_2001" localSheetId="10">Tags!$P$113</definedName>
    <definedName name="INSAD_2001">Tags_ols!$P$113</definedName>
    <definedName name="INSAD_2002" localSheetId="10">Tags!$U$113</definedName>
    <definedName name="INSAD_2002">Tags_ols!$U$113</definedName>
    <definedName name="INSAD_2003" localSheetId="10">Tags!$Z$113</definedName>
    <definedName name="INSAD_2003">Tags_ols!$Z$113</definedName>
    <definedName name="INSAD_2004" localSheetId="10">Tags!$AE$113</definedName>
    <definedName name="INSAD_2004">Tags_ols!$AE$113</definedName>
    <definedName name="INSAD_2005" localSheetId="10">Tags!$AJ$113</definedName>
    <definedName name="INSAD_2005">Tags_ols!$AJ$113</definedName>
    <definedName name="INSAD_2006" localSheetId="10">Tags!$AO$113</definedName>
    <definedName name="INSAD_2006">Tags_ols!$AO$113</definedName>
    <definedName name="INSAD_2007" localSheetId="10">Tags!$AT$113</definedName>
    <definedName name="INSAD_2007">Tags_ols!$AT$113</definedName>
    <definedName name="INSAD_2008" localSheetId="10">Tags!$AY$113</definedName>
    <definedName name="INSAD_2008">Tags_ols!$AY$113</definedName>
    <definedName name="INSAD_2009" localSheetId="10">Tags!$BD$113</definedName>
    <definedName name="INSAD_2009">Tags_ols!$BD$113</definedName>
    <definedName name="INSAD_2010" localSheetId="10">Tags!$BI$113</definedName>
    <definedName name="INSAD_2010">Tags_ols!$BI$113</definedName>
    <definedName name="INSAD_2011" localSheetId="10">Tags!$BN$113</definedName>
    <definedName name="INSAD_2011">Tags_ols!$BN$113</definedName>
    <definedName name="INSAD_2012" localSheetId="10">Tags!$BS$113</definedName>
    <definedName name="INSAD_2012">Tags_ols!$BS$113</definedName>
    <definedName name="INSAD_2013" localSheetId="10">Tags!$BX$113</definedName>
    <definedName name="INSAD_2013">Tags_ols!$BX$113</definedName>
    <definedName name="INSAD_2014" localSheetId="10">Tags!$CC$113</definedName>
    <definedName name="INSAD_2014">Tags_ols!$CC$113</definedName>
    <definedName name="INSAD_2015" localSheetId="10">Tags!#REF!</definedName>
    <definedName name="INSAD_2015">Tags!$CH$113</definedName>
    <definedName name="INSAD_2016" localSheetId="10">Tags!$CM$113</definedName>
    <definedName name="INSAD_2016">Tags_ols!$CM$113</definedName>
    <definedName name="INSAD_2017" localSheetId="10">Tags!$CR$113</definedName>
    <definedName name="INSAD_2017">Tags_ols!$CR$113</definedName>
    <definedName name="INSAD_2018" localSheetId="10">Tags!$CW$113</definedName>
    <definedName name="INSAD_2018">Tags_ols!$CW$113</definedName>
    <definedName name="INSAD_2019" localSheetId="10">Tags!$DB$113</definedName>
    <definedName name="INSAD_2019">Tags_ols!$DB$113</definedName>
    <definedName name="INSAD_2020" localSheetId="10">Tags!$DG$113</definedName>
    <definedName name="INSAD_2020">Tags_ols!$DG$113</definedName>
    <definedName name="INSAD_2021">Tags!$DL$113</definedName>
    <definedName name="INSAD_2022">Tags!$DQ$113</definedName>
    <definedName name="INSAD_2023">Tags!$DV$113</definedName>
    <definedName name="INSAD_2024">Tags!$EA$113</definedName>
    <definedName name="INSAD_2Q00" localSheetId="10">Tags!$H$113</definedName>
    <definedName name="INSAD_2Q00">Tags_ols!$H$113</definedName>
    <definedName name="INSAD_2Q01" localSheetId="10">Tags!$M$113</definedName>
    <definedName name="INSAD_2Q01">Tags_ols!$M$113</definedName>
    <definedName name="INSAD_2Q02" localSheetId="10">Tags!$R$113</definedName>
    <definedName name="INSAD_2Q02">Tags_ols!$R$113</definedName>
    <definedName name="INSAD_2Q03" localSheetId="10">Tags!$W$113</definedName>
    <definedName name="INSAD_2Q03">Tags_ols!$W$113</definedName>
    <definedName name="INSAD_2Q04" localSheetId="10">Tags!$AB$113</definedName>
    <definedName name="INSAD_2Q04">Tags_ols!$AB$113</definedName>
    <definedName name="INSAD_2Q05" localSheetId="10">Tags!$AG$113</definedName>
    <definedName name="INSAD_2Q05">Tags_ols!$AG$113</definedName>
    <definedName name="INSAD_2Q06" localSheetId="10">Tags!$AL$113</definedName>
    <definedName name="INSAD_2Q06">Tags_ols!$AL$113</definedName>
    <definedName name="INSAD_2Q07" localSheetId="10">Tags!$AQ$113</definedName>
    <definedName name="INSAD_2Q07">Tags_ols!$AQ$113</definedName>
    <definedName name="INSAD_2Q08" localSheetId="10">Tags!$AV$113</definedName>
    <definedName name="INSAD_2Q08">Tags_ols!$AV$113</definedName>
    <definedName name="INSAD_2Q09" localSheetId="10">Tags!$BA$113</definedName>
    <definedName name="INSAD_2Q09">Tags_ols!$BA$113</definedName>
    <definedName name="INSAD_2Q10" localSheetId="10">Tags!$BF$113</definedName>
    <definedName name="INSAD_2Q10">Tags_ols!$BF$113</definedName>
    <definedName name="INSAD_2Q11" localSheetId="10">Tags!$BK$113</definedName>
    <definedName name="INSAD_2Q11">Tags_ols!$BK$113</definedName>
    <definedName name="INSAD_2Q12" localSheetId="10">Tags!$BP$113</definedName>
    <definedName name="INSAD_2Q12">Tags_ols!$BP$113</definedName>
    <definedName name="INSAD_2Q13" localSheetId="10">Tags!$BU$113</definedName>
    <definedName name="INSAD_2Q13">Tags_ols!$BU$113</definedName>
    <definedName name="INSAD_2Q14" localSheetId="10">Tags!$BZ$113</definedName>
    <definedName name="INSAD_2Q14">Tags_ols!$BZ$113</definedName>
    <definedName name="INSAD_2Q15" localSheetId="10">Tags!$CE$113</definedName>
    <definedName name="INSAD_2Q15">Tags_ols!$CE$113</definedName>
    <definedName name="INSAD_2Q16" localSheetId="10">Tags!$CJ$113</definedName>
    <definedName name="INSAD_2Q16">Tags_ols!$CJ$113</definedName>
    <definedName name="INSAD_2Q17" localSheetId="10">Tags!$CO$113</definedName>
    <definedName name="INSAD_2Q17">Tags_ols!$CO$113</definedName>
    <definedName name="INSAD_2Q18" localSheetId="10">Tags!$CT$113</definedName>
    <definedName name="INSAD_2Q18">Tags_ols!$CT$113</definedName>
    <definedName name="INSAD_2Q19" localSheetId="10">Tags!$CY$113</definedName>
    <definedName name="INSAD_2Q19">Tags_ols!$CY$113</definedName>
    <definedName name="INSAD_2Q20" localSheetId="10">Tags!$DD$113</definedName>
    <definedName name="INSAD_2Q20">Tags_ols!$DD$113</definedName>
    <definedName name="INSAD_2Q21">Tags!$DI$113</definedName>
    <definedName name="INSAD_2Q22">Tags!$DN$113</definedName>
    <definedName name="INSAD_2Q23">Tags!$DS$113</definedName>
    <definedName name="INSAD_2Q24">Tags!$DX$113</definedName>
    <definedName name="INSAD_3Q00" localSheetId="10">Tags!$I$113</definedName>
    <definedName name="INSAD_3Q00">Tags_ols!$I$113</definedName>
    <definedName name="INSAD_3Q01" localSheetId="10">Tags!$N$113</definedName>
    <definedName name="INSAD_3Q01">Tags_ols!$N$113</definedName>
    <definedName name="INSAD_3Q02" localSheetId="10">Tags!$S$113</definedName>
    <definedName name="INSAD_3Q02">Tags_ols!$S$113</definedName>
    <definedName name="INSAD_3Q03" localSheetId="10">Tags!$X$113</definedName>
    <definedName name="INSAD_3Q03">Tags_ols!$X$113</definedName>
    <definedName name="INSAD_3Q04" localSheetId="10">Tags!$AC$113</definedName>
    <definedName name="INSAD_3Q04">Tags_ols!$AC$113</definedName>
    <definedName name="INSAD_3Q05" localSheetId="10">Tags!$AH$113</definedName>
    <definedName name="INSAD_3Q05">Tags_ols!$AH$113</definedName>
    <definedName name="INSAD_3Q06" localSheetId="10">Tags!$AM$113</definedName>
    <definedName name="INSAD_3Q06">Tags_ols!$AM$113</definedName>
    <definedName name="INSAD_3Q07" localSheetId="10">Tags!$AR$113</definedName>
    <definedName name="INSAD_3Q07">Tags_ols!$AR$113</definedName>
    <definedName name="INSAD_3Q08" localSheetId="10">Tags!$AW$113</definedName>
    <definedName name="INSAD_3Q08">Tags_ols!$AW$113</definedName>
    <definedName name="INSAD_3Q09" localSheetId="10">Tags!$BB$113</definedName>
    <definedName name="INSAD_3Q09">Tags_ols!$BB$113</definedName>
    <definedName name="INSAD_3Q10" localSheetId="10">Tags!$BG$113</definedName>
    <definedName name="INSAD_3Q10">Tags_ols!$BG$113</definedName>
    <definedName name="INSAD_3Q11" localSheetId="10">Tags!$BL$113</definedName>
    <definedName name="INSAD_3Q11">Tags_ols!$BL$113</definedName>
    <definedName name="INSAD_3Q12" localSheetId="10">Tags!$BQ$113</definedName>
    <definedName name="INSAD_3Q12">Tags_ols!$BQ$113</definedName>
    <definedName name="INSAD_3Q13" localSheetId="10">Tags!$BV$113</definedName>
    <definedName name="INSAD_3Q13">Tags_ols!$BV$113</definedName>
    <definedName name="INSAD_3Q14" localSheetId="10">Tags!$CA$113</definedName>
    <definedName name="INSAD_3Q14">Tags_ols!$CA$113</definedName>
    <definedName name="INSAD_3Q15" localSheetId="10">Tags!$CF$113</definedName>
    <definedName name="INSAD_3Q15">Tags_ols!$CF$113</definedName>
    <definedName name="INSAD_3Q16" localSheetId="10">Tags!$CK$113</definedName>
    <definedName name="INSAD_3Q16">Tags_ols!$CK$113</definedName>
    <definedName name="INSAD_3Q17" localSheetId="10">Tags!$CP$113</definedName>
    <definedName name="INSAD_3Q17">Tags_ols!$CP$113</definedName>
    <definedName name="INSAD_3Q18" localSheetId="10">Tags!$CU$113</definedName>
    <definedName name="INSAD_3Q18">Tags_ols!$CU$113</definedName>
    <definedName name="INSAD_3Q19" localSheetId="10">Tags!$CZ$113</definedName>
    <definedName name="INSAD_3Q19">Tags_ols!$CZ$113</definedName>
    <definedName name="INSAD_3Q20" localSheetId="10">Tags!$DE$113</definedName>
    <definedName name="INSAD_3Q20">Tags_ols!$DE$113</definedName>
    <definedName name="INSAD_3Q21">Tags!$DJ$113</definedName>
    <definedName name="INSAD_3Q22">Tags!$DO$113</definedName>
    <definedName name="INSAD_3Q23">Tags!$DT$113</definedName>
    <definedName name="INSAD_3Q24">Tags!$DY$113</definedName>
    <definedName name="INSAD_4Q00" localSheetId="10">Tags!$J$113</definedName>
    <definedName name="INSAD_4Q00">Tags_ols!$J$113</definedName>
    <definedName name="INSAD_4Q01" localSheetId="10">Tags!$O$113</definedName>
    <definedName name="INSAD_4Q01">Tags_ols!$O$113</definedName>
    <definedName name="INSAD_4Q02" localSheetId="10">Tags!$T$113</definedName>
    <definedName name="INSAD_4Q02">Tags_ols!$T$113</definedName>
    <definedName name="INSAD_4Q03" localSheetId="10">Tags!$Y$113</definedName>
    <definedName name="INSAD_4Q03">Tags_ols!$Y$113</definedName>
    <definedName name="INSAD_4Q04" localSheetId="10">Tags!$AD$113</definedName>
    <definedName name="INSAD_4Q04">Tags_ols!$AD$113</definedName>
    <definedName name="INSAD_4Q05" localSheetId="10">Tags!$AI$113</definedName>
    <definedName name="INSAD_4Q05">Tags_ols!$AI$113</definedName>
    <definedName name="INSAD_4Q06" localSheetId="10">Tags!$AN$113</definedName>
    <definedName name="INSAD_4Q06">Tags_ols!$AN$113</definedName>
    <definedName name="INSAD_4Q07" localSheetId="10">Tags!$AS$113</definedName>
    <definedName name="INSAD_4Q07">Tags_ols!$AS$113</definedName>
    <definedName name="INSAD_4Q08" localSheetId="10">Tags!$AX$113</definedName>
    <definedName name="INSAD_4Q08">Tags_ols!$AX$113</definedName>
    <definedName name="INSAD_4Q09" localSheetId="10">Tags!$BC$113</definedName>
    <definedName name="INSAD_4Q09">Tags_ols!$BC$113</definedName>
    <definedName name="INSAD_4Q10" localSheetId="10">Tags!$BH$113</definedName>
    <definedName name="INSAD_4Q10">Tags_ols!$BH$113</definedName>
    <definedName name="INSAD_4Q11" localSheetId="10">Tags!$BM$113</definedName>
    <definedName name="INSAD_4Q11">Tags_ols!$BM$113</definedName>
    <definedName name="INSAD_4Q12" localSheetId="10">Tags!$BR$113</definedName>
    <definedName name="INSAD_4Q12">Tags_ols!$BR$113</definedName>
    <definedName name="INSAD_4Q13" localSheetId="10">Tags!$BW$113</definedName>
    <definedName name="INSAD_4Q13">Tags_ols!$BW$113</definedName>
    <definedName name="INSAD_4Q14" localSheetId="10">Tags!$CB$113</definedName>
    <definedName name="INSAD_4Q14">Tags_ols!$CB$113</definedName>
    <definedName name="INSAD_4Q15" localSheetId="10">Tags!$CG$113</definedName>
    <definedName name="INSAD_4Q15">Tags_ols!$CG$113</definedName>
    <definedName name="INSAD_4Q16" localSheetId="10">Tags!$CL$113</definedName>
    <definedName name="INSAD_4Q16">Tags_ols!$CL$113</definedName>
    <definedName name="INSAD_4Q17" localSheetId="10">Tags!$CQ$113</definedName>
    <definedName name="INSAD_4Q17">Tags_ols!$CQ$113</definedName>
    <definedName name="INSAD_4Q18" localSheetId="10">Tags!$CV$113</definedName>
    <definedName name="INSAD_4Q18">Tags_ols!$CV$113</definedName>
    <definedName name="INSAD_4Q19" localSheetId="10">Tags!$DA$113</definedName>
    <definedName name="INSAD_4Q19">Tags_ols!$DA$113</definedName>
    <definedName name="INSAD_4Q20" localSheetId="10">Tags!$DF$113</definedName>
    <definedName name="INSAD_4Q20">Tags_ols!$DF$113</definedName>
    <definedName name="INSAD_4Q21">Tags!$DK$113</definedName>
    <definedName name="INSAD_4Q22">Tags!$DP$113</definedName>
    <definedName name="INSAD_4Q23">Tags!$DU$113</definedName>
    <definedName name="INSAD_4Q24">Tags!$DZ$113</definedName>
    <definedName name="INVAFF_1995">Tags_ols!$B$329</definedName>
    <definedName name="INVAFF_1996">Tags_ols!$C$329</definedName>
    <definedName name="INVAFF_1997">Tags_ols!$D$329</definedName>
    <definedName name="INVAFF_1998">Tags_ols!$E$329</definedName>
    <definedName name="INVAFF_1999">Tags_ols!$F$329</definedName>
    <definedName name="INVAFF_1Q00" localSheetId="10">Tags!$G$329</definedName>
    <definedName name="INVAFF_1Q00">Tags_ols!$G$329</definedName>
    <definedName name="INVAFF_1Q01" localSheetId="10">Tags!$L$329</definedName>
    <definedName name="INVAFF_1Q01">Tags_ols!$L$329</definedName>
    <definedName name="INVAFF_1Q02" localSheetId="10">Tags!$Q$329</definedName>
    <definedName name="INVAFF_1Q02">Tags_ols!$Q$329</definedName>
    <definedName name="INVAFF_1Q03" localSheetId="10">Tags!$V$329</definedName>
    <definedName name="INVAFF_1Q03">Tags_ols!$V$329</definedName>
    <definedName name="INVAFF_1Q04" localSheetId="10">Tags!$AA$329</definedName>
    <definedName name="INVAFF_1Q04">Tags_ols!$AA$329</definedName>
    <definedName name="INVAFF_1Q05" localSheetId="10">Tags!$AF$329</definedName>
    <definedName name="INVAFF_1Q05">Tags_ols!$AF$329</definedName>
    <definedName name="INVAFF_1Q06" localSheetId="10">Tags!$AK$329</definedName>
    <definedName name="INVAFF_1Q06">Tags_ols!$AK$329</definedName>
    <definedName name="INVAFF_1Q07" localSheetId="10">Tags!$AP$329</definedName>
    <definedName name="INVAFF_1Q07">Tags_ols!$AP$329</definedName>
    <definedName name="INVAFF_1Q08" localSheetId="10">Tags!$AU$329</definedName>
    <definedName name="INVAFF_1Q08">Tags_ols!$AU$329</definedName>
    <definedName name="INVAFF_1Q09" localSheetId="10">Tags!$AZ$329</definedName>
    <definedName name="INVAFF_1Q09">Tags_ols!$AZ$329</definedName>
    <definedName name="INVAFF_1Q10" localSheetId="10">Tags!$BE$329</definedName>
    <definedName name="INVAFF_1Q10">Tags_ols!$BE$329</definedName>
    <definedName name="INVAFF_1Q11" localSheetId="10">Tags!$BJ$329</definedName>
    <definedName name="INVAFF_1Q11">Tags_ols!$BJ$329</definedName>
    <definedName name="INVAFF_1Q12" localSheetId="10">Tags!$BO$329</definedName>
    <definedName name="INVAFF_1Q12">Tags_ols!$BO$329</definedName>
    <definedName name="INVAFF_1Q13" localSheetId="10">Tags!$BT$329</definedName>
    <definedName name="INVAFF_1Q13">Tags_ols!$BT$329</definedName>
    <definedName name="INVAFF_1Q14" localSheetId="10">Tags!$BY$329</definedName>
    <definedName name="INVAFF_1Q14">Tags_ols!$BY$329</definedName>
    <definedName name="INVAFF_1Q15" localSheetId="10">Tags!$CD$329</definedName>
    <definedName name="INVAFF_1Q15">Tags_ols!$CD$329</definedName>
    <definedName name="INVAFF_1Q16" localSheetId="10">Tags!$CI$329</definedName>
    <definedName name="INVAFF_1Q16">Tags_ols!$CI$329</definedName>
    <definedName name="INVAFF_1Q17" localSheetId="10">Tags!$CN$329</definedName>
    <definedName name="INVAFF_1Q17">Tags_ols!$CN$329</definedName>
    <definedName name="INVAFF_1Q18" localSheetId="10">Tags!$CS$329</definedName>
    <definedName name="INVAFF_1Q18">Tags_ols!$CS$329</definedName>
    <definedName name="INVAFF_1Q19" localSheetId="10">Tags!$CX$329</definedName>
    <definedName name="INVAFF_1Q19">Tags_ols!$CX$329</definedName>
    <definedName name="INVAFF_1Q20" localSheetId="10">Tags!$DC$329</definedName>
    <definedName name="INVAFF_1Q20">Tags_ols!$DC$329</definedName>
    <definedName name="INVAFF_1Q21">Tags!$DH$329</definedName>
    <definedName name="INVAFF_1Q22">Tags!$DM$329</definedName>
    <definedName name="INVAFF_1Q23">Tags!$DR$329</definedName>
    <definedName name="INVAFF_1Q24">Tags!$DW$329</definedName>
    <definedName name="INVAFF_2000" localSheetId="10">Tags!$K$329</definedName>
    <definedName name="INVAFF_2000">Tags_ols!$K$329</definedName>
    <definedName name="INVAFF_2001" localSheetId="10">Tags!$P$329</definedName>
    <definedName name="INVAFF_2001">Tags_ols!$P$329</definedName>
    <definedName name="INVAFF_2002" localSheetId="10">Tags!$U$329</definedName>
    <definedName name="INVAFF_2002">Tags_ols!$U$329</definedName>
    <definedName name="INVAFF_2003" localSheetId="10">Tags!$Z$329</definedName>
    <definedName name="INVAFF_2003">Tags_ols!$Z$329</definedName>
    <definedName name="INVAFF_2004" localSheetId="10">Tags!$AE$329</definedName>
    <definedName name="INVAFF_2004">Tags_ols!$AE$329</definedName>
    <definedName name="INVAFF_2005" localSheetId="10">Tags!$AJ$329</definedName>
    <definedName name="INVAFF_2005">Tags_ols!$AJ$329</definedName>
    <definedName name="INVAFF_2006" localSheetId="10">Tags!$AO$329</definedName>
    <definedName name="INVAFF_2006">Tags_ols!$AO$329</definedName>
    <definedName name="INVAFF_2007" localSheetId="10">Tags!$AT$329</definedName>
    <definedName name="INVAFF_2007">Tags_ols!$AT$329</definedName>
    <definedName name="INVAFF_2008" localSheetId="10">Tags!$AY$329</definedName>
    <definedName name="INVAFF_2008">Tags_ols!$AY$329</definedName>
    <definedName name="INVAFF_2009" localSheetId="10">Tags!$BD$329</definedName>
    <definedName name="INVAFF_2009">Tags_ols!$BD$329</definedName>
    <definedName name="INVAFF_2010" localSheetId="10">Tags!$BI$329</definedName>
    <definedName name="INVAFF_2010">Tags_ols!$BI$329</definedName>
    <definedName name="INVAFF_2011" localSheetId="10">Tags!$BN$329</definedName>
    <definedName name="INVAFF_2011">Tags_ols!$BN$329</definedName>
    <definedName name="INVAFF_2012" localSheetId="10">Tags!$BS$329</definedName>
    <definedName name="INVAFF_2012">Tags_ols!$BS$329</definedName>
    <definedName name="INVAFF_2013" localSheetId="10">Tags!$BX$329</definedName>
    <definedName name="INVAFF_2013">Tags_ols!$BX$329</definedName>
    <definedName name="INVAFF_2014" localSheetId="10">Tags!$CC$329</definedName>
    <definedName name="INVAFF_2014">Tags_ols!$CC$329</definedName>
    <definedName name="INVAFF_2015" localSheetId="10">Tags!#REF!</definedName>
    <definedName name="INVAFF_2015">Tags!$CH$329</definedName>
    <definedName name="INVAFF_2016" localSheetId="10">Tags!$CM$329</definedName>
    <definedName name="INVAFF_2016">Tags_ols!$CM$329</definedName>
    <definedName name="INVAFF_2017" localSheetId="10">Tags!$CR$329</definedName>
    <definedName name="INVAFF_2017">Tags_ols!$CR$329</definedName>
    <definedName name="INVAFF_2018" localSheetId="10">Tags!$CW$329</definedName>
    <definedName name="INVAFF_2018">Tags_ols!$CW$329</definedName>
    <definedName name="INVAFF_2019" localSheetId="10">Tags!$DB$329</definedName>
    <definedName name="INVAFF_2019">Tags_ols!$DB$329</definedName>
    <definedName name="INVAFF_2020" localSheetId="10">Tags!$DG$329</definedName>
    <definedName name="INVAFF_2020">Tags_ols!$DG$329</definedName>
    <definedName name="INVAFF_2021">Tags!$DL$329</definedName>
    <definedName name="INVAFF_2022">Tags!$DQ$329</definedName>
    <definedName name="INVAFF_2023">Tags!$DV$329</definedName>
    <definedName name="INVAFF_2024">Tags!$EA$329</definedName>
    <definedName name="INVAFF_2Q00" localSheetId="10">Tags!$H$329</definedName>
    <definedName name="INVAFF_2Q00">Tags_ols!$H$329</definedName>
    <definedName name="INVAFF_2Q01" localSheetId="10">Tags!$M$329</definedName>
    <definedName name="INVAFF_2Q01">Tags_ols!$M$329</definedName>
    <definedName name="INVAFF_2Q02" localSheetId="10">Tags!$R$329</definedName>
    <definedName name="INVAFF_2Q02">Tags_ols!$R$329</definedName>
    <definedName name="INVAFF_2Q03" localSheetId="10">Tags!$W$329</definedName>
    <definedName name="INVAFF_2Q03">Tags_ols!$W$329</definedName>
    <definedName name="INVAFF_2Q04" localSheetId="10">Tags!$AB$329</definedName>
    <definedName name="INVAFF_2Q04">Tags_ols!$AB$329</definedName>
    <definedName name="INVAFF_2Q05" localSheetId="10">Tags!$AG$329</definedName>
    <definedName name="INVAFF_2Q05">Tags_ols!$AG$329</definedName>
    <definedName name="INVAFF_2Q06" localSheetId="10">Tags!$AL$329</definedName>
    <definedName name="INVAFF_2Q06">Tags_ols!$AL$329</definedName>
    <definedName name="INVAFF_2Q07" localSheetId="10">Tags!$AQ$329</definedName>
    <definedName name="INVAFF_2Q07">Tags_ols!$AQ$329</definedName>
    <definedName name="INVAFF_2Q08" localSheetId="10">Tags!$AV$329</definedName>
    <definedName name="INVAFF_2Q08">Tags_ols!$AV$329</definedName>
    <definedName name="INVAFF_2Q09" localSheetId="10">Tags!$BA$329</definedName>
    <definedName name="INVAFF_2Q09">Tags_ols!$BA$329</definedName>
    <definedName name="INVAFF_2Q10" localSheetId="10">Tags!$BF$329</definedName>
    <definedName name="INVAFF_2Q10">Tags_ols!$BF$329</definedName>
    <definedName name="INVAFF_2Q11" localSheetId="10">Tags!$BK$329</definedName>
    <definedName name="INVAFF_2Q11">Tags_ols!$BK$329</definedName>
    <definedName name="INVAFF_2Q12" localSheetId="10">Tags!$BP$329</definedName>
    <definedName name="INVAFF_2Q12">Tags_ols!$BP$329</definedName>
    <definedName name="INVAFF_2Q13" localSheetId="10">Tags!$BU$329</definedName>
    <definedName name="INVAFF_2Q13">Tags_ols!$BU$329</definedName>
    <definedName name="INVAFF_2Q14" localSheetId="10">Tags!$BZ$329</definedName>
    <definedName name="INVAFF_2Q14">Tags_ols!$BZ$329</definedName>
    <definedName name="INVAFF_2Q15" localSheetId="10">Tags!$CE$329</definedName>
    <definedName name="INVAFF_2Q15">Tags_ols!$CE$329</definedName>
    <definedName name="INVAFF_2Q16" localSheetId="10">Tags!$CJ$329</definedName>
    <definedName name="INVAFF_2Q16">Tags_ols!$CJ$329</definedName>
    <definedName name="INVAFF_2Q17" localSheetId="10">Tags!$CO$329</definedName>
    <definedName name="INVAFF_2Q17">Tags_ols!$CO$329</definedName>
    <definedName name="INVAFF_2Q18" localSheetId="10">Tags!$CT$329</definedName>
    <definedName name="INVAFF_2Q18">Tags_ols!$CT$329</definedName>
    <definedName name="INVAFF_2Q19" localSheetId="10">Tags!$CY$329</definedName>
    <definedName name="INVAFF_2Q19">Tags_ols!$CY$329</definedName>
    <definedName name="INVAFF_2Q20" localSheetId="10">Tags!$DD$329</definedName>
    <definedName name="INVAFF_2Q20">Tags_ols!$DD$329</definedName>
    <definedName name="INVAFF_2Q21">Tags!$DI$329</definedName>
    <definedName name="INVAFF_2Q22">Tags!$DN$329</definedName>
    <definedName name="INVAFF_2Q23">Tags!$DS$329</definedName>
    <definedName name="INVAFF_2Q24">Tags!$DX$329</definedName>
    <definedName name="INVAFF_3Q00" localSheetId="10">Tags!$I$329</definedName>
    <definedName name="INVAFF_3Q00">Tags_ols!$I$329</definedName>
    <definedName name="INVAFF_3Q01" localSheetId="10">Tags!$N$329</definedName>
    <definedName name="INVAFF_3Q01">Tags_ols!$N$329</definedName>
    <definedName name="INVAFF_3Q02" localSheetId="10">Tags!$S$329</definedName>
    <definedName name="INVAFF_3Q02">Tags_ols!$S$329</definedName>
    <definedName name="INVAFF_3Q03" localSheetId="10">Tags!$X$329</definedName>
    <definedName name="INVAFF_3Q03">Tags_ols!$X$329</definedName>
    <definedName name="INVAFF_3Q04" localSheetId="10">Tags!$AC$329</definedName>
    <definedName name="INVAFF_3Q04">Tags_ols!$AC$329</definedName>
    <definedName name="INVAFF_3Q05" localSheetId="10">Tags!$AH$329</definedName>
    <definedName name="INVAFF_3Q05">Tags_ols!$AH$329</definedName>
    <definedName name="INVAFF_3Q06" localSheetId="10">Tags!$AM$329</definedName>
    <definedName name="INVAFF_3Q06">Tags_ols!$AM$329</definedName>
    <definedName name="INVAFF_3Q07" localSheetId="10">Tags!$AR$329</definedName>
    <definedName name="INVAFF_3Q07">Tags_ols!$AR$329</definedName>
    <definedName name="INVAFF_3Q08" localSheetId="10">Tags!$AW$329</definedName>
    <definedName name="INVAFF_3Q08">Tags_ols!$AW$329</definedName>
    <definedName name="INVAFF_3Q09" localSheetId="10">Tags!$BB$329</definedName>
    <definedName name="INVAFF_3Q09">Tags_ols!$BB$329</definedName>
    <definedName name="INVAFF_3Q10" localSheetId="10">Tags!$BG$329</definedName>
    <definedName name="INVAFF_3Q10">Tags_ols!$BG$329</definedName>
    <definedName name="INVAFF_3Q11" localSheetId="10">Tags!$BL$329</definedName>
    <definedName name="INVAFF_3Q11">Tags_ols!$BL$329</definedName>
    <definedName name="INVAFF_3Q12" localSheetId="10">Tags!$BQ$329</definedName>
    <definedName name="INVAFF_3Q12">Tags_ols!$BQ$329</definedName>
    <definedName name="INVAFF_3Q13" localSheetId="10">Tags!$BV$329</definedName>
    <definedName name="INVAFF_3Q13">Tags_ols!$BV$329</definedName>
    <definedName name="INVAFF_3Q14" localSheetId="10">Tags!$CA$329</definedName>
    <definedName name="INVAFF_3Q14">Tags_ols!$CA$329</definedName>
    <definedName name="INVAFF_3Q15" localSheetId="10">Tags!$CF$329</definedName>
    <definedName name="INVAFF_3Q15">Tags_ols!$CF$329</definedName>
    <definedName name="INVAFF_3Q16" localSheetId="10">Tags!$CK$329</definedName>
    <definedName name="INVAFF_3Q16">Tags_ols!$CK$329</definedName>
    <definedName name="INVAFF_3Q17" localSheetId="10">Tags!$CP$329</definedName>
    <definedName name="INVAFF_3Q17">Tags_ols!$CP$329</definedName>
    <definedName name="INVAFF_3Q18" localSheetId="10">Tags!$CU$329</definedName>
    <definedName name="INVAFF_3Q18">Tags_ols!$CU$329</definedName>
    <definedName name="INVAFF_3Q19" localSheetId="10">Tags!$CZ$329</definedName>
    <definedName name="INVAFF_3Q19">Tags_ols!$CZ$329</definedName>
    <definedName name="INVAFF_3Q20" localSheetId="10">Tags!$DE$329</definedName>
    <definedName name="INVAFF_3Q20">Tags_ols!$DE$329</definedName>
    <definedName name="INVAFF_3Q21">Tags!$DJ$329</definedName>
    <definedName name="INVAFF_3Q22">Tags!$DO$329</definedName>
    <definedName name="INVAFF_3Q23">Tags!$DT$329</definedName>
    <definedName name="INVAFF_3Q24">Tags!$DY$329</definedName>
    <definedName name="INVAFF_4Q00" localSheetId="10">Tags!$J$329</definedName>
    <definedName name="INVAFF_4Q00">Tags_ols!$J$329</definedName>
    <definedName name="INVAFF_4Q01" localSheetId="10">Tags!$O$329</definedName>
    <definedName name="INVAFF_4Q01">Tags_ols!$O$329</definedName>
    <definedName name="INVAFF_4Q02" localSheetId="10">Tags!$T$329</definedName>
    <definedName name="INVAFF_4Q02">Tags_ols!$T$329</definedName>
    <definedName name="INVAFF_4Q03" localSheetId="10">Tags!$Y$329</definedName>
    <definedName name="INVAFF_4Q03">Tags_ols!$Y$329</definedName>
    <definedName name="INVAFF_4Q04" localSheetId="10">Tags!$AD$329</definedName>
    <definedName name="INVAFF_4Q04">Tags_ols!$AD$329</definedName>
    <definedName name="INVAFF_4Q05" localSheetId="10">Tags!$AI$329</definedName>
    <definedName name="INVAFF_4Q05">Tags_ols!$AI$329</definedName>
    <definedName name="INVAFF_4Q06" localSheetId="10">Tags!$AN$329</definedName>
    <definedName name="INVAFF_4Q06">Tags_ols!$AN$329</definedName>
    <definedName name="INVAFF_4Q07" localSheetId="10">Tags!$AS$329</definedName>
    <definedName name="INVAFF_4Q07">Tags_ols!$AS$329</definedName>
    <definedName name="INVAFF_4Q08" localSheetId="10">Tags!$AX$329</definedName>
    <definedName name="INVAFF_4Q08">Tags_ols!$AX$329</definedName>
    <definedName name="INVAFF_4Q09" localSheetId="10">Tags!$BC$329</definedName>
    <definedName name="INVAFF_4Q09">Tags_ols!$BC$329</definedName>
    <definedName name="INVAFF_4Q10" localSheetId="10">Tags!$BH$329</definedName>
    <definedName name="INVAFF_4Q10">Tags_ols!$BH$329</definedName>
    <definedName name="INVAFF_4Q11" localSheetId="10">Tags!$BM$329</definedName>
    <definedName name="INVAFF_4Q11">Tags_ols!$BM$329</definedName>
    <definedName name="INVAFF_4Q12" localSheetId="10">Tags!$BR$329</definedName>
    <definedName name="INVAFF_4Q12">Tags_ols!$BR$329</definedName>
    <definedName name="INVAFF_4Q13" localSheetId="10">Tags!$BW$329</definedName>
    <definedName name="INVAFF_4Q13">Tags_ols!$BW$329</definedName>
    <definedName name="INVAFF_4Q14" localSheetId="10">Tags!$CB$329</definedName>
    <definedName name="INVAFF_4Q14">Tags_ols!$CB$329</definedName>
    <definedName name="INVAFF_4Q15" localSheetId="10">Tags!$CG$329</definedName>
    <definedName name="INVAFF_4Q15">Tags_ols!$CG$329</definedName>
    <definedName name="INVAFF_4Q16" localSheetId="10">Tags!$CL$329</definedName>
    <definedName name="INVAFF_4Q16">Tags_ols!$CL$329</definedName>
    <definedName name="INVAFF_4Q17" localSheetId="10">Tags!$CQ$329</definedName>
    <definedName name="INVAFF_4Q17">Tags_ols!$CQ$329</definedName>
    <definedName name="INVAFF_4Q18" localSheetId="10">Tags!$CV$329</definedName>
    <definedName name="INVAFF_4Q18">Tags_ols!$CV$329</definedName>
    <definedName name="INVAFF_4Q19" localSheetId="10">Tags!$DA$329</definedName>
    <definedName name="INVAFF_4Q19">Tags_ols!$DA$329</definedName>
    <definedName name="INVAFF_4Q20" localSheetId="10">Tags!$DF$329</definedName>
    <definedName name="INVAFF_4Q20">Tags_ols!$DF$329</definedName>
    <definedName name="INVAFF_4Q21">Tags!$DK$329</definedName>
    <definedName name="INVAFF_4Q22">Tags!$DP$329</definedName>
    <definedName name="INVAFF_4Q23">Tags!$DU$329</definedName>
    <definedName name="INVAFF_4Q24">Tags!$DZ$329</definedName>
    <definedName name="INVENT_1995">Tags_ols!$B$146</definedName>
    <definedName name="INVENT_1996">Tags_ols!$C$146</definedName>
    <definedName name="INVENT_1997">Tags_ols!$D$146</definedName>
    <definedName name="INVENT_1998">Tags_ols!$E$146</definedName>
    <definedName name="INVENT_1999">Tags_ols!$F$146</definedName>
    <definedName name="INVENT_1Q00" localSheetId="10">Tags!$G$146</definedName>
    <definedName name="INVENT_1Q00">Tags_ols!$G$146</definedName>
    <definedName name="INVENT_1Q01" localSheetId="10">Tags!$L$146</definedName>
    <definedName name="INVENT_1Q01">Tags_ols!$L$146</definedName>
    <definedName name="INVENT_1Q02" localSheetId="10">Tags!$Q$146</definedName>
    <definedName name="INVENT_1Q02">Tags_ols!$Q$146</definedName>
    <definedName name="INVENT_1Q03" localSheetId="10">Tags!$V$146</definedName>
    <definedName name="INVENT_1Q03">Tags_ols!$V$146</definedName>
    <definedName name="INVENT_1Q04" localSheetId="10">Tags!$AA$146</definedName>
    <definedName name="INVENT_1Q04">Tags_ols!$AA$146</definedName>
    <definedName name="INVENT_1Q05" localSheetId="10">Tags!$AF$146</definedName>
    <definedName name="INVENT_1Q05">Tags_ols!$AF$146</definedName>
    <definedName name="INVENT_1Q06" localSheetId="10">Tags!$AK$146</definedName>
    <definedName name="INVENT_1Q06">Tags_ols!$AK$146</definedName>
    <definedName name="INVENT_1Q07" localSheetId="10">Tags!$AP$146</definedName>
    <definedName name="INVENT_1Q07">Tags_ols!$AP$146</definedName>
    <definedName name="INVENT_1Q08" localSheetId="10">Tags!$AU$146</definedName>
    <definedName name="INVENT_1Q08">Tags_ols!$AU$146</definedName>
    <definedName name="INVENT_1Q09" localSheetId="10">Tags!$AZ$146</definedName>
    <definedName name="INVENT_1Q09">Tags_ols!$AZ$146</definedName>
    <definedName name="INVENT_1Q10" localSheetId="10">Tags!$BE$146</definedName>
    <definedName name="INVENT_1Q10">Tags_ols!$BE$146</definedName>
    <definedName name="INVENT_1Q11" localSheetId="10">Tags!$BJ$146</definedName>
    <definedName name="INVENT_1Q11">Tags_ols!$BJ$146</definedName>
    <definedName name="INVENT_1Q12" localSheetId="10">Tags!$BO$146</definedName>
    <definedName name="INVENT_1Q12">Tags_ols!$BO$146</definedName>
    <definedName name="INVENT_1Q13" localSheetId="10">Tags!$BT$146</definedName>
    <definedName name="INVENT_1Q13">Tags_ols!$BT$146</definedName>
    <definedName name="INVENT_1Q14" localSheetId="10">Tags!$BY$146</definedName>
    <definedName name="INVENT_1Q14">Tags_ols!$BY$146</definedName>
    <definedName name="INVENT_1Q15" localSheetId="10">Tags!$CD$146</definedName>
    <definedName name="INVENT_1Q15">Tags_ols!$CD$146</definedName>
    <definedName name="INVENT_1Q16" localSheetId="10">Tags!$CI$146</definedName>
    <definedName name="INVENT_1Q16">Tags_ols!$CI$146</definedName>
    <definedName name="INVENT_1Q17" localSheetId="10">Tags!$CN$146</definedName>
    <definedName name="INVENT_1Q17">Tags_ols!$CN$146</definedName>
    <definedName name="INVENT_1Q18" localSheetId="10">Tags!$CS$146</definedName>
    <definedName name="INVENT_1Q18">Tags_ols!$CS$146</definedName>
    <definedName name="INVENT_1Q19" localSheetId="10">Tags!$CX$146</definedName>
    <definedName name="INVENT_1Q19">Tags_ols!$CX$146</definedName>
    <definedName name="INVENT_1Q20" localSheetId="10">Tags!$DC$146</definedName>
    <definedName name="INVENT_1Q20">Tags_ols!$DC$146</definedName>
    <definedName name="INVENT_1Q21">Tags!$DH$146</definedName>
    <definedName name="INVENT_1Q22">Tags!$DM$146</definedName>
    <definedName name="INVENT_1Q23">Tags!$DR$146</definedName>
    <definedName name="INVENT_1Q24">Tags!$DW$146</definedName>
    <definedName name="INVENT_2000" localSheetId="10">Tags!$K$146</definedName>
    <definedName name="INVENT_2000">Tags_ols!$K$146</definedName>
    <definedName name="INVENT_2001" localSheetId="10">Tags!$P$146</definedName>
    <definedName name="INVENT_2001">Tags_ols!$P$146</definedName>
    <definedName name="INVENT_2002" localSheetId="10">Tags!$U$146</definedName>
    <definedName name="INVENT_2002">Tags_ols!$U$146</definedName>
    <definedName name="INVENT_2003" localSheetId="10">Tags!$Z$146</definedName>
    <definedName name="INVENT_2003">Tags_ols!$Z$146</definedName>
    <definedName name="INVENT_2004" localSheetId="10">Tags!$AE$146</definedName>
    <definedName name="INVENT_2004">Tags_ols!$AE$146</definedName>
    <definedName name="INVENT_2005" localSheetId="10">Tags!$AJ$146</definedName>
    <definedName name="INVENT_2005">Tags_ols!$AJ$146</definedName>
    <definedName name="INVENT_2006" localSheetId="10">Tags!$AO$146</definedName>
    <definedName name="INVENT_2006">Tags_ols!$AO$146</definedName>
    <definedName name="INVENT_2007" localSheetId="10">Tags!$AT$146</definedName>
    <definedName name="INVENT_2007">Tags_ols!$AT$146</definedName>
    <definedName name="INVENT_2008" localSheetId="10">Tags!$AY$146</definedName>
    <definedName name="INVENT_2008">Tags_ols!$AY$146</definedName>
    <definedName name="INVENT_2009" localSheetId="10">Tags!$BD$146</definedName>
    <definedName name="INVENT_2009">Tags_ols!$BD$146</definedName>
    <definedName name="INVENT_2010" localSheetId="10">Tags!$BI$146</definedName>
    <definedName name="INVENT_2010">Tags_ols!$BI$146</definedName>
    <definedName name="INVENT_2011" localSheetId="10">Tags!$BN$146</definedName>
    <definedName name="INVENT_2011">Tags_ols!$BN$146</definedName>
    <definedName name="INVENT_2012" localSheetId="10">Tags!$BS$146</definedName>
    <definedName name="INVENT_2012">Tags_ols!$BS$146</definedName>
    <definedName name="INVENT_2013" localSheetId="10">Tags!$BX$146</definedName>
    <definedName name="INVENT_2013">Tags_ols!$BX$146</definedName>
    <definedName name="INVENT_2014" localSheetId="10">Tags!$CC$146</definedName>
    <definedName name="INVENT_2014">Tags_ols!$CC$146</definedName>
    <definedName name="INVENT_2015" localSheetId="10">Tags!#REF!</definedName>
    <definedName name="INVENT_2015">Tags!$CH$146</definedName>
    <definedName name="INVENT_2016" localSheetId="10">Tags!$CM$146</definedName>
    <definedName name="INVENT_2016">Tags_ols!$CM$146</definedName>
    <definedName name="INVENT_2017" localSheetId="10">Tags!$CR$146</definedName>
    <definedName name="INVENT_2017">Tags_ols!$CR$146</definedName>
    <definedName name="INVENT_2018" localSheetId="10">Tags!$CW$146</definedName>
    <definedName name="INVENT_2018">Tags_ols!$CW$146</definedName>
    <definedName name="INVENT_2019" localSheetId="10">Tags!$DB$146</definedName>
    <definedName name="INVENT_2019">Tags_ols!$DB$146</definedName>
    <definedName name="INVENT_2020" localSheetId="10">Tags!$DG$146</definedName>
    <definedName name="INVENT_2020">Tags_ols!$DG$146</definedName>
    <definedName name="INVENT_2021">Tags!$DL$146</definedName>
    <definedName name="INVENT_2022">Tags!$DQ$146</definedName>
    <definedName name="INVENT_2023">Tags!$DV$146</definedName>
    <definedName name="INVENT_2024">Tags!$EA$146</definedName>
    <definedName name="INVENT_2Q00" localSheetId="10">Tags!$H$146</definedName>
    <definedName name="INVENT_2Q00">Tags_ols!$H$146</definedName>
    <definedName name="INVENT_2Q01" localSheetId="10">Tags!$M$146</definedName>
    <definedName name="INVENT_2Q01">Tags_ols!$M$146</definedName>
    <definedName name="INVENT_2Q02" localSheetId="10">Tags!$R$146</definedName>
    <definedName name="INVENT_2Q02">Tags_ols!$R$146</definedName>
    <definedName name="INVENT_2Q03" localSheetId="10">Tags!$W$146</definedName>
    <definedName name="INVENT_2Q03">Tags_ols!$W$146</definedName>
    <definedName name="INVENT_2Q04" localSheetId="10">Tags!$AB$146</definedName>
    <definedName name="INVENT_2Q04">Tags_ols!$AB$146</definedName>
    <definedName name="INVENT_2Q05" localSheetId="10">Tags!$AG$146</definedName>
    <definedName name="INVENT_2Q05">Tags_ols!$AG$146</definedName>
    <definedName name="INVENT_2Q06" localSheetId="10">Tags!$AL$146</definedName>
    <definedName name="INVENT_2Q06">Tags_ols!$AL$146</definedName>
    <definedName name="INVENT_2Q07" localSheetId="10">Tags!$AQ$146</definedName>
    <definedName name="INVENT_2Q07">Tags_ols!$AQ$146</definedName>
    <definedName name="INVENT_2Q08" localSheetId="10">Tags!$AV$146</definedName>
    <definedName name="INVENT_2Q08">Tags_ols!$AV$146</definedName>
    <definedName name="INVENT_2Q09" localSheetId="10">Tags!$BA$146</definedName>
    <definedName name="INVENT_2Q09">Tags_ols!$BA$146</definedName>
    <definedName name="INVENT_2Q10" localSheetId="10">Tags!$BF$146</definedName>
    <definedName name="INVENT_2Q10">Tags_ols!$BF$146</definedName>
    <definedName name="INVENT_2Q11" localSheetId="10">Tags!$BK$146</definedName>
    <definedName name="INVENT_2Q11">Tags_ols!$BK$146</definedName>
    <definedName name="INVENT_2Q12" localSheetId="10">Tags!$BP$146</definedName>
    <definedName name="INVENT_2Q12">Tags_ols!$BP$146</definedName>
    <definedName name="INVENT_2Q13" localSheetId="10">Tags!$BU$146</definedName>
    <definedName name="INVENT_2Q13">Tags_ols!$BU$146</definedName>
    <definedName name="INVENT_2Q14" localSheetId="10">Tags!$BZ$146</definedName>
    <definedName name="INVENT_2Q14">Tags_ols!$BZ$146</definedName>
    <definedName name="INVENT_2Q15" localSheetId="10">Tags!$CE$146</definedName>
    <definedName name="INVENT_2Q15">Tags_ols!$CE$146</definedName>
    <definedName name="INVENT_2Q16" localSheetId="10">Tags!$CJ$146</definedName>
    <definedName name="INVENT_2Q16">Tags_ols!$CJ$146</definedName>
    <definedName name="INVENT_2Q17" localSheetId="10">Tags!$CO$146</definedName>
    <definedName name="INVENT_2Q17">Tags_ols!$CO$146</definedName>
    <definedName name="INVENT_2Q18" localSheetId="10">Tags!$CT$146</definedName>
    <definedName name="INVENT_2Q18">Tags_ols!$CT$146</definedName>
    <definedName name="INVENT_2Q19" localSheetId="10">Tags!$CY$146</definedName>
    <definedName name="INVENT_2Q19">Tags_ols!$CY$146</definedName>
    <definedName name="INVENT_2Q20" localSheetId="10">Tags!$DD$146</definedName>
    <definedName name="INVENT_2Q20">Tags_ols!$DD$146</definedName>
    <definedName name="INVENT_2Q21">Tags!$DI$146</definedName>
    <definedName name="INVENT_2Q22">Tags!$DN$146</definedName>
    <definedName name="INVENT_2Q23">Tags!$DS$146</definedName>
    <definedName name="INVENT_2Q24">Tags!$DX$146</definedName>
    <definedName name="INVENT_3Q00" localSheetId="10">Tags!$I$146</definedName>
    <definedName name="INVENT_3Q00">Tags_ols!$I$146</definedName>
    <definedName name="INVENT_3Q01" localSheetId="10">Tags!$N$146</definedName>
    <definedName name="INVENT_3Q01">Tags_ols!$N$146</definedName>
    <definedName name="INVENT_3Q02" localSheetId="10">Tags!$S$146</definedName>
    <definedName name="INVENT_3Q02">Tags_ols!$S$146</definedName>
    <definedName name="INVENT_3Q03" localSheetId="10">Tags!$X$146</definedName>
    <definedName name="INVENT_3Q03">Tags_ols!$X$146</definedName>
    <definedName name="INVENT_3Q04" localSheetId="10">Tags!$AC$146</definedName>
    <definedName name="INVENT_3Q04">Tags_ols!$AC$146</definedName>
    <definedName name="INVENT_3Q05" localSheetId="10">Tags!$AH$146</definedName>
    <definedName name="INVENT_3Q05">Tags_ols!$AH$146</definedName>
    <definedName name="INVENT_3Q06" localSheetId="10">Tags!$AM$146</definedName>
    <definedName name="INVENT_3Q06">Tags_ols!$AM$146</definedName>
    <definedName name="INVENT_3Q07" localSheetId="10">Tags!$AR$146</definedName>
    <definedName name="INVENT_3Q07">Tags_ols!$AR$146</definedName>
    <definedName name="INVENT_3Q08" localSheetId="10">Tags!$AW$146</definedName>
    <definedName name="INVENT_3Q08">Tags_ols!$AW$146</definedName>
    <definedName name="INVENT_3Q09" localSheetId="10">Tags!$BB$146</definedName>
    <definedName name="INVENT_3Q09">Tags_ols!$BB$146</definedName>
    <definedName name="INVENT_3Q10" localSheetId="10">Tags!$BG$146</definedName>
    <definedName name="INVENT_3Q10">Tags_ols!$BG$146</definedName>
    <definedName name="INVENT_3Q11" localSheetId="10">Tags!$BL$146</definedName>
    <definedName name="INVENT_3Q11">Tags_ols!$BL$146</definedName>
    <definedName name="INVENT_3Q12" localSheetId="10">Tags!$BQ$146</definedName>
    <definedName name="INVENT_3Q12">Tags_ols!$BQ$146</definedName>
    <definedName name="INVENT_3Q13" localSheetId="10">Tags!$BV$146</definedName>
    <definedName name="INVENT_3Q13">Tags_ols!$BV$146</definedName>
    <definedName name="INVENT_3Q14" localSheetId="10">Tags!$CA$146</definedName>
    <definedName name="INVENT_3Q14">Tags_ols!$CA$146</definedName>
    <definedName name="INVENT_3Q15" localSheetId="10">Tags!$CF$146</definedName>
    <definedName name="INVENT_3Q15">Tags_ols!$CF$146</definedName>
    <definedName name="INVENT_3Q16" localSheetId="10">Tags!$CK$146</definedName>
    <definedName name="INVENT_3Q16">Tags_ols!$CK$146</definedName>
    <definedName name="INVENT_3Q17" localSheetId="10">Tags!$CP$146</definedName>
    <definedName name="INVENT_3Q17">Tags_ols!$CP$146</definedName>
    <definedName name="INVENT_3Q18" localSheetId="10">Tags!$CU$146</definedName>
    <definedName name="INVENT_3Q18">Tags_ols!$CU$146</definedName>
    <definedName name="INVENT_3Q19" localSheetId="10">Tags!$CZ$146</definedName>
    <definedName name="INVENT_3Q19">Tags_ols!$CZ$146</definedName>
    <definedName name="INVENT_3Q20" localSheetId="10">Tags!$DE$146</definedName>
    <definedName name="INVENT_3Q20">Tags_ols!$DE$146</definedName>
    <definedName name="INVENT_3Q21">Tags!$DJ$146</definedName>
    <definedName name="INVENT_3Q22">Tags!$DO$146</definedName>
    <definedName name="INVENT_3Q23">Tags!$DT$146</definedName>
    <definedName name="INVENT_3Q24">Tags!$DY$146</definedName>
    <definedName name="INVENT_4Q00" localSheetId="10">Tags!$J$146</definedName>
    <definedName name="INVENT_4Q00">Tags_ols!$J$146</definedName>
    <definedName name="INVENT_4Q01" localSheetId="10">Tags!$O$146</definedName>
    <definedName name="INVENT_4Q01">Tags_ols!$O$146</definedName>
    <definedName name="INVENT_4Q02" localSheetId="10">Tags!$T$146</definedName>
    <definedName name="INVENT_4Q02">Tags_ols!$T$146</definedName>
    <definedName name="INVENT_4Q03" localSheetId="10">Tags!$Y$146</definedName>
    <definedName name="INVENT_4Q03">Tags_ols!$Y$146</definedName>
    <definedName name="INVENT_4Q04" localSheetId="10">Tags!$AD$146</definedName>
    <definedName name="INVENT_4Q04">Tags_ols!$AD$146</definedName>
    <definedName name="INVENT_4Q05" localSheetId="10">Tags!$AI$146</definedName>
    <definedName name="INVENT_4Q05">Tags_ols!$AI$146</definedName>
    <definedName name="INVENT_4Q06" localSheetId="10">Tags!$AN$146</definedName>
    <definedName name="INVENT_4Q06">Tags_ols!$AN$146</definedName>
    <definedName name="INVENT_4Q07" localSheetId="10">Tags!$AS$146</definedName>
    <definedName name="INVENT_4Q07">Tags_ols!$AS$146</definedName>
    <definedName name="INVENT_4Q08" localSheetId="10">Tags!$AX$146</definedName>
    <definedName name="INVENT_4Q08">Tags_ols!$AX$146</definedName>
    <definedName name="INVENT_4Q09" localSheetId="10">Tags!$BC$146</definedName>
    <definedName name="INVENT_4Q09">Tags_ols!$BC$146</definedName>
    <definedName name="INVENT_4Q10" localSheetId="10">Tags!$BH$146</definedName>
    <definedName name="INVENT_4Q10">Tags_ols!$BH$146</definedName>
    <definedName name="INVENT_4Q11" localSheetId="10">Tags!$BM$146</definedName>
    <definedName name="INVENT_4Q11">Tags_ols!$BM$146</definedName>
    <definedName name="INVENT_4Q12" localSheetId="10">Tags!$BR$146</definedName>
    <definedName name="INVENT_4Q12">Tags_ols!$BR$146</definedName>
    <definedName name="INVENT_4Q13" localSheetId="10">Tags!$BW$146</definedName>
    <definedName name="INVENT_4Q13">Tags_ols!$BW$146</definedName>
    <definedName name="INVENT_4Q14" localSheetId="10">Tags!$CB$146</definedName>
    <definedName name="INVENT_4Q14">Tags_ols!$CB$146</definedName>
    <definedName name="INVENT_4Q15" localSheetId="10">Tags!$CG$146</definedName>
    <definedName name="INVENT_4Q15">Tags_ols!$CG$146</definedName>
    <definedName name="INVENT_4Q16" localSheetId="10">Tags!$CL$146</definedName>
    <definedName name="INVENT_4Q16">Tags_ols!$CL$146</definedName>
    <definedName name="INVENT_4Q17" localSheetId="10">Tags!$CQ$146</definedName>
    <definedName name="INVENT_4Q17">Tags_ols!$CQ$146</definedName>
    <definedName name="INVENT_4Q18" localSheetId="10">Tags!$CV$146</definedName>
    <definedName name="INVENT_4Q18">Tags_ols!$CV$146</definedName>
    <definedName name="INVENT_4Q19" localSheetId="10">Tags!$DA$146</definedName>
    <definedName name="INVENT_4Q19">Tags_ols!$DA$146</definedName>
    <definedName name="INVENT_4Q20" localSheetId="10">Tags!$DF$146</definedName>
    <definedName name="INVENT_4Q20">Tags_ols!$DF$146</definedName>
    <definedName name="INVENT_4Q21">Tags!$DK$146</definedName>
    <definedName name="INVENT_4Q22">Tags!$DP$146</definedName>
    <definedName name="INVENT_4Q23">Tags!$DU$146</definedName>
    <definedName name="INVENT_4Q24">Tags!$DZ$146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TAXRP_1995">Tags_ols!$B$114</definedName>
    <definedName name="ITAXRP_1996">Tags_ols!$C$114</definedName>
    <definedName name="ITAXRP_1997">Tags_ols!$D$114</definedName>
    <definedName name="ITAXRP_1998">Tags_ols!$E$114</definedName>
    <definedName name="ITAXRP_1999">Tags_ols!$F$114</definedName>
    <definedName name="ITAXRP_1Q00" localSheetId="10">Tags!$G$114</definedName>
    <definedName name="ITAXRP_1Q00">Tags_ols!$G$114</definedName>
    <definedName name="ITAXRP_1Q01" localSheetId="10">Tags!$L$114</definedName>
    <definedName name="ITAXRP_1Q01">Tags_ols!$L$114</definedName>
    <definedName name="ITAXRP_1Q02" localSheetId="10">Tags!$Q$114</definedName>
    <definedName name="ITAXRP_1Q02">Tags_ols!$Q$114</definedName>
    <definedName name="ITAXRP_1Q03" localSheetId="10">Tags!$V$114</definedName>
    <definedName name="ITAXRP_1Q03">Tags_ols!$V$114</definedName>
    <definedName name="ITAXRP_1Q04" localSheetId="10">Tags!$AA$114</definedName>
    <definedName name="ITAXRP_1Q04">Tags_ols!$AA$114</definedName>
    <definedName name="ITAXRP_1Q05" localSheetId="10">Tags!$AF$114</definedName>
    <definedName name="ITAXRP_1Q05">Tags_ols!$AF$114</definedName>
    <definedName name="ITAXRP_1Q06" localSheetId="10">Tags!$AK$114</definedName>
    <definedName name="ITAXRP_1Q06">Tags_ols!$AK$114</definedName>
    <definedName name="ITAXRP_1Q07" localSheetId="10">Tags!$AP$114</definedName>
    <definedName name="ITAXRP_1Q07">Tags_ols!$AP$114</definedName>
    <definedName name="ITAXRP_1Q08" localSheetId="10">Tags!$AU$114</definedName>
    <definedName name="ITAXRP_1Q08">Tags_ols!$AU$114</definedName>
    <definedName name="ITAXRP_1Q09" localSheetId="10">Tags!$AZ$114</definedName>
    <definedName name="ITAXRP_1Q09">Tags_ols!$AZ$114</definedName>
    <definedName name="ITAXRP_1Q10" localSheetId="10">Tags!$BE$114</definedName>
    <definedName name="ITAXRP_1Q10">Tags_ols!$BE$114</definedName>
    <definedName name="ITAXRP_1Q11" localSheetId="10">Tags!$BJ$114</definedName>
    <definedName name="ITAXRP_1Q11">Tags_ols!$BJ$114</definedName>
    <definedName name="ITAXRP_1Q12" localSheetId="10">Tags!$BO$114</definedName>
    <definedName name="ITAXRP_1Q12">Tags_ols!$BO$114</definedName>
    <definedName name="ITAXRP_1Q13" localSheetId="10">Tags!$BT$114</definedName>
    <definedName name="ITAXRP_1Q13">Tags_ols!$BT$114</definedName>
    <definedName name="ITAXRP_1Q14" localSheetId="10">Tags!$BY$114</definedName>
    <definedName name="ITAXRP_1Q14">Tags_ols!$BY$114</definedName>
    <definedName name="ITAXRP_1Q15" localSheetId="10">Tags!$CD$114</definedName>
    <definedName name="ITAXRP_1Q15">Tags_ols!$CD$114</definedName>
    <definedName name="ITAXRP_1Q16" localSheetId="10">Tags!$CI$114</definedName>
    <definedName name="ITAXRP_1Q16">Tags_ols!$CI$114</definedName>
    <definedName name="ITAXRP_1Q17" localSheetId="10">Tags!$CN$114</definedName>
    <definedName name="ITAXRP_1Q17">Tags_ols!$CN$114</definedName>
    <definedName name="ITAXRP_1Q18" localSheetId="10">Tags!$CS$114</definedName>
    <definedName name="ITAXRP_1Q18">Tags_ols!$CS$114</definedName>
    <definedName name="ITAXRP_1Q19" localSheetId="10">Tags!$CX$114</definedName>
    <definedName name="ITAXRP_1Q19">Tags_ols!$CX$114</definedName>
    <definedName name="ITAXRP_1Q20" localSheetId="10">Tags!$DC$114</definedName>
    <definedName name="ITAXRP_1Q20">Tags_ols!$DC$114</definedName>
    <definedName name="ITAXRP_1Q21">Tags!$DH$114</definedName>
    <definedName name="ITAXRP_1Q22">Tags!$DM$114</definedName>
    <definedName name="ITAXRP_1Q23">Tags!$DR$114</definedName>
    <definedName name="ITAXRP_1Q24">Tags!$DW$114</definedName>
    <definedName name="ITAXRP_2000" localSheetId="10">Tags!$K$114</definedName>
    <definedName name="ITAXRP_2000">Tags_ols!$K$114</definedName>
    <definedName name="ITAXRP_2001" localSheetId="10">Tags!$P$114</definedName>
    <definedName name="ITAXRP_2001">Tags_ols!$P$114</definedName>
    <definedName name="ITAXRP_2002" localSheetId="10">Tags!$U$114</definedName>
    <definedName name="ITAXRP_2002">Tags_ols!$U$114</definedName>
    <definedName name="ITAXRP_2003" localSheetId="10">Tags!$Z$114</definedName>
    <definedName name="ITAXRP_2003">Tags_ols!$Z$114</definedName>
    <definedName name="ITAXRP_2004" localSheetId="10">Tags!$AE$114</definedName>
    <definedName name="ITAXRP_2004">Tags_ols!$AE$114</definedName>
    <definedName name="ITAXRP_2005" localSheetId="10">Tags!$AJ$114</definedName>
    <definedName name="ITAXRP_2005">Tags_ols!$AJ$114</definedName>
    <definedName name="ITAXRP_2006" localSheetId="10">Tags!$AO$114</definedName>
    <definedName name="ITAXRP_2006">Tags_ols!$AO$114</definedName>
    <definedName name="ITAXRP_2007" localSheetId="10">Tags!$AT$114</definedName>
    <definedName name="ITAXRP_2007">Tags_ols!$AT$114</definedName>
    <definedName name="ITAXRP_2008" localSheetId="10">Tags!$AY$114</definedName>
    <definedName name="ITAXRP_2008">Tags_ols!$AY$114</definedName>
    <definedName name="ITAXRP_2009" localSheetId="10">Tags!$BD$114</definedName>
    <definedName name="ITAXRP_2009">Tags_ols!$BD$114</definedName>
    <definedName name="ITAXRP_2010" localSheetId="10">Tags!$BI$114</definedName>
    <definedName name="ITAXRP_2010">Tags_ols!$BI$114</definedName>
    <definedName name="ITAXRP_2011" localSheetId="10">Tags!$BN$114</definedName>
    <definedName name="ITAXRP_2011">Tags_ols!$BN$114</definedName>
    <definedName name="ITAXRP_2012" localSheetId="10">Tags!$BS$114</definedName>
    <definedName name="ITAXRP_2012">Tags_ols!$BS$114</definedName>
    <definedName name="ITAXRP_2013" localSheetId="10">Tags!$BX$114</definedName>
    <definedName name="ITAXRP_2013">Tags_ols!$BX$114</definedName>
    <definedName name="ITAXRP_2014" localSheetId="10">Tags!$CC$114</definedName>
    <definedName name="ITAXRP_2014">Tags_ols!$CC$114</definedName>
    <definedName name="ITAXRP_2015" localSheetId="10">Tags!#REF!</definedName>
    <definedName name="ITAXRP_2015">Tags!$CH$114</definedName>
    <definedName name="ITAXRP_2016" localSheetId="10">Tags!$CM$114</definedName>
    <definedName name="ITAXRP_2016">Tags_ols!$CM$114</definedName>
    <definedName name="ITAXRP_2017" localSheetId="10">Tags!$CR$114</definedName>
    <definedName name="ITAXRP_2017">Tags_ols!$CR$114</definedName>
    <definedName name="ITAXRP_2018" localSheetId="10">Tags!$CW$114</definedName>
    <definedName name="ITAXRP_2018">Tags_ols!$CW$114</definedName>
    <definedName name="ITAXRP_2019" localSheetId="10">Tags!$DB$114</definedName>
    <definedName name="ITAXRP_2019">Tags_ols!$DB$114</definedName>
    <definedName name="ITAXRP_2020" localSheetId="10">Tags!$DG$114</definedName>
    <definedName name="ITAXRP_2020">Tags_ols!$DG$114</definedName>
    <definedName name="ITAXRP_2021">Tags!$DL$114</definedName>
    <definedName name="ITAXRP_2022">Tags!$DQ$114</definedName>
    <definedName name="ITAXRP_2023">Tags!$DV$114</definedName>
    <definedName name="ITAXRP_2024">Tags!$EA$114</definedName>
    <definedName name="ITAXRP_2Q00" localSheetId="10">Tags!$H$114</definedName>
    <definedName name="ITAXRP_2Q00">Tags_ols!$H$114</definedName>
    <definedName name="ITAXRP_2Q01" localSheetId="10">Tags!$M$114</definedName>
    <definedName name="ITAXRP_2Q01">Tags_ols!$M$114</definedName>
    <definedName name="ITAXRP_2Q02" localSheetId="10">Tags!$R$114</definedName>
    <definedName name="ITAXRP_2Q02">Tags_ols!$R$114</definedName>
    <definedName name="ITAXRP_2Q03" localSheetId="10">Tags!$W$114</definedName>
    <definedName name="ITAXRP_2Q03">Tags_ols!$W$114</definedName>
    <definedName name="ITAXRP_2Q04" localSheetId="10">Tags!$AB$114</definedName>
    <definedName name="ITAXRP_2Q04">Tags_ols!$AB$114</definedName>
    <definedName name="ITAXRP_2Q05" localSheetId="10">Tags!$AG$114</definedName>
    <definedName name="ITAXRP_2Q05">Tags_ols!$AG$114</definedName>
    <definedName name="ITAXRP_2Q06" localSheetId="10">Tags!$AL$114</definedName>
    <definedName name="ITAXRP_2Q06">Tags_ols!$AL$114</definedName>
    <definedName name="ITAXRP_2Q07" localSheetId="10">Tags!$AQ$114</definedName>
    <definedName name="ITAXRP_2Q07">Tags_ols!$AQ$114</definedName>
    <definedName name="ITAXRP_2Q08" localSheetId="10">Tags!$AV$114</definedName>
    <definedName name="ITAXRP_2Q08">Tags_ols!$AV$114</definedName>
    <definedName name="ITAXRP_2Q09" localSheetId="10">Tags!$BA$114</definedName>
    <definedName name="ITAXRP_2Q09">Tags_ols!$BA$114</definedName>
    <definedName name="ITAXRP_2Q10" localSheetId="10">Tags!$BF$114</definedName>
    <definedName name="ITAXRP_2Q10">Tags_ols!$BF$114</definedName>
    <definedName name="ITAXRP_2Q11" localSheetId="10">Tags!$BK$114</definedName>
    <definedName name="ITAXRP_2Q11">Tags_ols!$BK$114</definedName>
    <definedName name="ITAXRP_2Q12" localSheetId="10">Tags!$BP$114</definedName>
    <definedName name="ITAXRP_2Q12">Tags_ols!$BP$114</definedName>
    <definedName name="ITAXRP_2Q13" localSheetId="10">Tags!$BU$114</definedName>
    <definedName name="ITAXRP_2Q13">Tags_ols!$BU$114</definedName>
    <definedName name="ITAXRP_2Q14" localSheetId="10">Tags!$BZ$114</definedName>
    <definedName name="ITAXRP_2Q14">Tags_ols!$BZ$114</definedName>
    <definedName name="ITAXRP_2Q15" localSheetId="10">Tags!$CE$114</definedName>
    <definedName name="ITAXRP_2Q15">Tags_ols!$CE$114</definedName>
    <definedName name="ITAXRP_2Q16" localSheetId="10">Tags!$CJ$114</definedName>
    <definedName name="ITAXRP_2Q16">Tags_ols!$CJ$114</definedName>
    <definedName name="ITAXRP_2Q17" localSheetId="10">Tags!$CO$114</definedName>
    <definedName name="ITAXRP_2Q17">Tags_ols!$CO$114</definedName>
    <definedName name="ITAXRP_2Q18" localSheetId="10">Tags!$CT$114</definedName>
    <definedName name="ITAXRP_2Q18">Tags_ols!$CT$114</definedName>
    <definedName name="ITAXRP_2Q19" localSheetId="10">Tags!$CY$114</definedName>
    <definedName name="ITAXRP_2Q19">Tags_ols!$CY$114</definedName>
    <definedName name="ITAXRP_2Q20" localSheetId="10">Tags!$DD$114</definedName>
    <definedName name="ITAXRP_2Q20">Tags_ols!$DD$114</definedName>
    <definedName name="ITAXRP_2Q21">Tags!$DI$114</definedName>
    <definedName name="ITAXRP_2Q22">Tags!$DN$114</definedName>
    <definedName name="ITAXRP_2Q23">Tags!$DS$114</definedName>
    <definedName name="ITAXRP_2Q24">Tags!$DX$114</definedName>
    <definedName name="ITAXRP_3Q00" localSheetId="10">Tags!$I$114</definedName>
    <definedName name="ITAXRP_3Q00">Tags_ols!$I$114</definedName>
    <definedName name="ITAXRP_3Q01" localSheetId="10">Tags!$N$114</definedName>
    <definedName name="ITAXRP_3Q01">Tags_ols!$N$114</definedName>
    <definedName name="ITAXRP_3Q02" localSheetId="10">Tags!$S$114</definedName>
    <definedName name="ITAXRP_3Q02">Tags_ols!$S$114</definedName>
    <definedName name="ITAXRP_3Q03" localSheetId="10">Tags!$X$114</definedName>
    <definedName name="ITAXRP_3Q03">Tags_ols!$X$114</definedName>
    <definedName name="ITAXRP_3Q04" localSheetId="10">Tags!$AC$114</definedName>
    <definedName name="ITAXRP_3Q04">Tags_ols!$AC$114</definedName>
    <definedName name="ITAXRP_3Q05" localSheetId="10">Tags!$AH$114</definedName>
    <definedName name="ITAXRP_3Q05">Tags_ols!$AH$114</definedName>
    <definedName name="ITAXRP_3Q06" localSheetId="10">Tags!$AM$114</definedName>
    <definedName name="ITAXRP_3Q06">Tags_ols!$AM$114</definedName>
    <definedName name="ITAXRP_3Q07" localSheetId="10">Tags!$AR$114</definedName>
    <definedName name="ITAXRP_3Q07">Tags_ols!$AR$114</definedName>
    <definedName name="ITAXRP_3Q08" localSheetId="10">Tags!$AW$114</definedName>
    <definedName name="ITAXRP_3Q08">Tags_ols!$AW$114</definedName>
    <definedName name="ITAXRP_3Q09" localSheetId="10">Tags!$BB$114</definedName>
    <definedName name="ITAXRP_3Q09">Tags_ols!$BB$114</definedName>
    <definedName name="ITAXRP_3Q10" localSheetId="10">Tags!$BG$114</definedName>
    <definedName name="ITAXRP_3Q10">Tags_ols!$BG$114</definedName>
    <definedName name="ITAXRP_3Q11" localSheetId="10">Tags!$BL$114</definedName>
    <definedName name="ITAXRP_3Q11">Tags_ols!$BL$114</definedName>
    <definedName name="ITAXRP_3Q12" localSheetId="10">Tags!$BQ$114</definedName>
    <definedName name="ITAXRP_3Q12">Tags_ols!$BQ$114</definedName>
    <definedName name="ITAXRP_3Q13" localSheetId="10">Tags!$BV$114</definedName>
    <definedName name="ITAXRP_3Q13">Tags_ols!$BV$114</definedName>
    <definedName name="ITAXRP_3Q14" localSheetId="10">Tags!$CA$114</definedName>
    <definedName name="ITAXRP_3Q14">Tags_ols!$CA$114</definedName>
    <definedName name="ITAXRP_3Q15" localSheetId="10">Tags!$CF$114</definedName>
    <definedName name="ITAXRP_3Q15">Tags_ols!$CF$114</definedName>
    <definedName name="ITAXRP_3Q16" localSheetId="10">Tags!$CK$114</definedName>
    <definedName name="ITAXRP_3Q16">Tags_ols!$CK$114</definedName>
    <definedName name="ITAXRP_3Q17" localSheetId="10">Tags!$CP$114</definedName>
    <definedName name="ITAXRP_3Q17">Tags_ols!$CP$114</definedName>
    <definedName name="ITAXRP_3Q18" localSheetId="10">Tags!$CU$114</definedName>
    <definedName name="ITAXRP_3Q18">Tags_ols!$CU$114</definedName>
    <definedName name="ITAXRP_3Q19" localSheetId="10">Tags!$CZ$114</definedName>
    <definedName name="ITAXRP_3Q19">Tags_ols!$CZ$114</definedName>
    <definedName name="ITAXRP_3Q20" localSheetId="10">Tags!$DE$114</definedName>
    <definedName name="ITAXRP_3Q20">Tags_ols!$DE$114</definedName>
    <definedName name="ITAXRP_3Q21">Tags!$DJ$114</definedName>
    <definedName name="ITAXRP_3Q22">Tags!$DO$114</definedName>
    <definedName name="ITAXRP_3Q23">Tags!$DT$114</definedName>
    <definedName name="ITAXRP_3Q24">Tags!$DY$114</definedName>
    <definedName name="ITAXRP_4Q00" localSheetId="10">Tags!$J$114</definedName>
    <definedName name="ITAXRP_4Q00">Tags_ols!$J$114</definedName>
    <definedName name="ITAXRP_4Q01" localSheetId="10">Tags!$O$114</definedName>
    <definedName name="ITAXRP_4Q01">Tags_ols!$O$114</definedName>
    <definedName name="ITAXRP_4Q02" localSheetId="10">Tags!$T$114</definedName>
    <definedName name="ITAXRP_4Q02">Tags_ols!$T$114</definedName>
    <definedName name="ITAXRP_4Q03" localSheetId="10">Tags!$Y$114</definedName>
    <definedName name="ITAXRP_4Q03">Tags_ols!$Y$114</definedName>
    <definedName name="ITAXRP_4Q04" localSheetId="10">Tags!$AD$114</definedName>
    <definedName name="ITAXRP_4Q04">Tags_ols!$AD$114</definedName>
    <definedName name="ITAXRP_4Q05" localSheetId="10">Tags!$AI$114</definedName>
    <definedName name="ITAXRP_4Q05">Tags_ols!$AI$114</definedName>
    <definedName name="ITAXRP_4Q06" localSheetId="10">Tags!$AN$114</definedName>
    <definedName name="ITAXRP_4Q06">Tags_ols!$AN$114</definedName>
    <definedName name="ITAXRP_4Q07" localSheetId="10">Tags!$AS$114</definedName>
    <definedName name="ITAXRP_4Q07">Tags_ols!$AS$114</definedName>
    <definedName name="ITAXRP_4Q08" localSheetId="10">Tags!$AX$114</definedName>
    <definedName name="ITAXRP_4Q08">Tags_ols!$AX$114</definedName>
    <definedName name="ITAXRP_4Q09" localSheetId="10">Tags!$BC$114</definedName>
    <definedName name="ITAXRP_4Q09">Tags_ols!$BC$114</definedName>
    <definedName name="ITAXRP_4Q10" localSheetId="10">Tags!$BH$114</definedName>
    <definedName name="ITAXRP_4Q10">Tags_ols!$BH$114</definedName>
    <definedName name="ITAXRP_4Q11" localSheetId="10">Tags!$BM$114</definedName>
    <definedName name="ITAXRP_4Q11">Tags_ols!$BM$114</definedName>
    <definedName name="ITAXRP_4Q12" localSheetId="10">Tags!$BR$114</definedName>
    <definedName name="ITAXRP_4Q12">Tags_ols!$BR$114</definedName>
    <definedName name="ITAXRP_4Q13" localSheetId="10">Tags!$BW$114</definedName>
    <definedName name="ITAXRP_4Q13">Tags_ols!$BW$114</definedName>
    <definedName name="ITAXRP_4Q14" localSheetId="10">Tags!$CB$114</definedName>
    <definedName name="ITAXRP_4Q14">Tags_ols!$CB$114</definedName>
    <definedName name="ITAXRP_4Q15" localSheetId="10">Tags!$CG$114</definedName>
    <definedName name="ITAXRP_4Q15">Tags_ols!$CG$114</definedName>
    <definedName name="ITAXRP_4Q16" localSheetId="10">Tags!$CL$114</definedName>
    <definedName name="ITAXRP_4Q16">Tags_ols!$CL$114</definedName>
    <definedName name="ITAXRP_4Q17" localSheetId="10">Tags!$CQ$114</definedName>
    <definedName name="ITAXRP_4Q17">Tags_ols!$CQ$114</definedName>
    <definedName name="ITAXRP_4Q18" localSheetId="10">Tags!$CV$114</definedName>
    <definedName name="ITAXRP_4Q18">Tags_ols!$CV$114</definedName>
    <definedName name="ITAXRP_4Q19" localSheetId="10">Tags!$DA$114</definedName>
    <definedName name="ITAXRP_4Q19">Tags_ols!$DA$114</definedName>
    <definedName name="ITAXRP_4Q20" localSheetId="10">Tags!$DF$114</definedName>
    <definedName name="ITAXRP_4Q20">Tags_ols!$DF$114</definedName>
    <definedName name="ITAXRP_4Q21">Tags!$DK$114</definedName>
    <definedName name="ITAXRP_4Q22">Tags!$DP$114</definedName>
    <definedName name="ITAXRP_4Q23">Tags!$DU$114</definedName>
    <definedName name="ITAXRP_4Q24">Tags!$DZ$114</definedName>
    <definedName name="Item">#REF!</definedName>
    <definedName name="ITEM1_1995">Tags_ols!$B$574</definedName>
    <definedName name="ITEM1_1996">Tags_ols!$C$574</definedName>
    <definedName name="ITEM1_1997">Tags_ols!$D$574</definedName>
    <definedName name="ITEM1_1998">Tags_ols!$E$574</definedName>
    <definedName name="ITEM1_1999">Tags_ols!$F$574</definedName>
    <definedName name="ITEM1_1Q00" localSheetId="10">Tags!$G$574</definedName>
    <definedName name="ITEM1_1Q00">Tags_ols!$G$574</definedName>
    <definedName name="ITEM1_1Q01" localSheetId="10">Tags!$L$574</definedName>
    <definedName name="ITEM1_1Q01">Tags_ols!$L$574</definedName>
    <definedName name="ITEM1_1Q02" localSheetId="10">Tags!$Q$574</definedName>
    <definedName name="ITEM1_1Q02">Tags_ols!$Q$574</definedName>
    <definedName name="ITEM1_1Q03" localSheetId="10">Tags!$V$574</definedName>
    <definedName name="ITEM1_1Q03">Tags_ols!$V$574</definedName>
    <definedName name="ITEM1_1Q04" localSheetId="10">Tags!$AA$574</definedName>
    <definedName name="ITEM1_1Q04">Tags_ols!$AA$574</definedName>
    <definedName name="ITEM1_1Q05" localSheetId="10">Tags!$AF$574</definedName>
    <definedName name="ITEM1_1Q05">Tags_ols!$AF$574</definedName>
    <definedName name="ITEM1_1Q06" localSheetId="10">Tags!$AK$574</definedName>
    <definedName name="ITEM1_1Q06">Tags_ols!$AK$574</definedName>
    <definedName name="ITEM1_1Q07" localSheetId="10">Tags!$AP$574</definedName>
    <definedName name="ITEM1_1Q07">Tags_ols!$AP$574</definedName>
    <definedName name="ITEM1_1Q08" localSheetId="10">Tags!$AU$574</definedName>
    <definedName name="ITEM1_1Q08">Tags_ols!$AU$574</definedName>
    <definedName name="ITEM1_1Q09" localSheetId="10">Tags!$AZ$574</definedName>
    <definedName name="ITEM1_1Q09">Tags_ols!$AZ$574</definedName>
    <definedName name="ITEM1_1Q10" localSheetId="10">Tags!$BE$574</definedName>
    <definedName name="ITEM1_1Q10">Tags_ols!$BE$574</definedName>
    <definedName name="ITEM1_1Q11" localSheetId="10">Tags!$BJ$574</definedName>
    <definedName name="ITEM1_1Q11">Tags_ols!$BJ$574</definedName>
    <definedName name="ITEM1_1Q12" localSheetId="10">Tags!$BO$574</definedName>
    <definedName name="ITEM1_1Q12">Tags_ols!$BO$574</definedName>
    <definedName name="ITEM1_1Q13" localSheetId="10">Tags!$BT$574</definedName>
    <definedName name="ITEM1_1Q13">Tags_ols!$BT$574</definedName>
    <definedName name="ITEM1_1Q14" localSheetId="10">Tags!$BY$574</definedName>
    <definedName name="ITEM1_1Q14">Tags_ols!$BY$574</definedName>
    <definedName name="ITEM1_1Q15" localSheetId="10">Tags!$CD$574</definedName>
    <definedName name="ITEM1_1Q15">Tags_ols!$CD$574</definedName>
    <definedName name="ITEM1_1Q16" localSheetId="10">Tags!$CI$574</definedName>
    <definedName name="ITEM1_1Q16">Tags_ols!$CI$574</definedName>
    <definedName name="ITEM1_1Q17" localSheetId="10">Tags!$CN$574</definedName>
    <definedName name="ITEM1_1Q17">Tags_ols!$CN$574</definedName>
    <definedName name="ITEM1_1Q18" localSheetId="10">Tags!$CS$574</definedName>
    <definedName name="ITEM1_1Q18">Tags_ols!$CS$574</definedName>
    <definedName name="ITEM1_1Q19" localSheetId="10">Tags!$CX$574</definedName>
    <definedName name="ITEM1_1Q19">Tags_ols!$CX$574</definedName>
    <definedName name="ITEM1_1Q20" localSheetId="10">Tags!$DC$574</definedName>
    <definedName name="ITEM1_1Q20">Tags_ols!$DC$574</definedName>
    <definedName name="ITEM1_1Q21">Tags!$DH$574</definedName>
    <definedName name="ITEM1_1Q22">Tags!$DM$574</definedName>
    <definedName name="ITEM1_1Q23">Tags!$DR$574</definedName>
    <definedName name="ITEM1_1Q24">Tags!$DW$574</definedName>
    <definedName name="ITEM1_2000" localSheetId="10">Tags!$K$574</definedName>
    <definedName name="ITEM1_2000">Tags_ols!$K$574</definedName>
    <definedName name="ITEM1_2001" localSheetId="10">Tags!$P$574</definedName>
    <definedName name="ITEM1_2001">Tags_ols!$P$574</definedName>
    <definedName name="ITEM1_2002" localSheetId="10">Tags!$U$574</definedName>
    <definedName name="ITEM1_2002">Tags_ols!$U$574</definedName>
    <definedName name="ITEM1_2003" localSheetId="10">Tags!$Z$574</definedName>
    <definedName name="ITEM1_2003">Tags_ols!$Z$574</definedName>
    <definedName name="ITEM1_2004" localSheetId="10">Tags!$AE$574</definedName>
    <definedName name="ITEM1_2004">Tags_ols!$AE$574</definedName>
    <definedName name="ITEM1_2005" localSheetId="10">Tags!$AJ$574</definedName>
    <definedName name="ITEM1_2005">Tags_ols!$AJ$574</definedName>
    <definedName name="ITEM1_2006" localSheetId="10">Tags!$AO$574</definedName>
    <definedName name="ITEM1_2006">Tags_ols!$AO$574</definedName>
    <definedName name="ITEM1_2007" localSheetId="10">Tags!$AT$574</definedName>
    <definedName name="ITEM1_2007">Tags_ols!$AT$574</definedName>
    <definedName name="ITEM1_2008" localSheetId="10">Tags!$AY$574</definedName>
    <definedName name="ITEM1_2008">Tags_ols!$AY$574</definedName>
    <definedName name="ITEM1_2009" localSheetId="10">Tags!$BD$574</definedName>
    <definedName name="ITEM1_2009">Tags_ols!$BD$574</definedName>
    <definedName name="ITEM1_2010" localSheetId="10">Tags!$BI$574</definedName>
    <definedName name="ITEM1_2010">Tags_ols!$BI$574</definedName>
    <definedName name="ITEM1_2011" localSheetId="10">Tags!$BN$574</definedName>
    <definedName name="ITEM1_2011">Tags_ols!$BN$574</definedName>
    <definedName name="ITEM1_2012" localSheetId="10">Tags!$BS$574</definedName>
    <definedName name="ITEM1_2012">Tags_ols!$BS$574</definedName>
    <definedName name="ITEM1_2013" localSheetId="10">Tags!$BX$574</definedName>
    <definedName name="ITEM1_2013">Tags_ols!$BX$574</definedName>
    <definedName name="ITEM1_2014" localSheetId="10">Tags!$CC$574</definedName>
    <definedName name="ITEM1_2014">Tags_ols!$CC$574</definedName>
    <definedName name="ITEM1_2015" localSheetId="10">Tags!#REF!</definedName>
    <definedName name="ITEM1_2015">Tags!$CH$574</definedName>
    <definedName name="ITEM1_2016" localSheetId="10">Tags!$CM$574</definedName>
    <definedName name="ITEM1_2016">Tags_ols!$CM$574</definedName>
    <definedName name="ITEM1_2017" localSheetId="10">Tags!$CR$574</definedName>
    <definedName name="ITEM1_2017">Tags_ols!$CR$574</definedName>
    <definedName name="ITEM1_2018" localSheetId="10">Tags!$CW$574</definedName>
    <definedName name="ITEM1_2018">Tags_ols!$CW$574</definedName>
    <definedName name="ITEM1_2019" localSheetId="10">Tags!$DB$574</definedName>
    <definedName name="ITEM1_2019">Tags_ols!$DB$574</definedName>
    <definedName name="ITEM1_2020" localSheetId="10">Tags!$DG$574</definedName>
    <definedName name="ITEM1_2020">Tags_ols!$DG$574</definedName>
    <definedName name="ITEM1_2021">Tags!$DL$574</definedName>
    <definedName name="ITEM1_2022">Tags!$DQ$574</definedName>
    <definedName name="ITEM1_2023">Tags!$DV$574</definedName>
    <definedName name="ITEM1_2024">Tags!$EA$574</definedName>
    <definedName name="ITEM1_2Q00" localSheetId="10">Tags!$H$574</definedName>
    <definedName name="ITEM1_2Q00">Tags_ols!$H$574</definedName>
    <definedName name="ITEM1_2Q01" localSheetId="10">Tags!$M$574</definedName>
    <definedName name="ITEM1_2Q01">Tags_ols!$M$574</definedName>
    <definedName name="ITEM1_2Q02" localSheetId="10">Tags!$R$574</definedName>
    <definedName name="ITEM1_2Q02">Tags_ols!$R$574</definedName>
    <definedName name="ITEM1_2Q03" localSheetId="10">Tags!$W$574</definedName>
    <definedName name="ITEM1_2Q03">Tags_ols!$W$574</definedName>
    <definedName name="ITEM1_2Q04" localSheetId="10">Tags!$AB$574</definedName>
    <definedName name="ITEM1_2Q04">Tags_ols!$AB$574</definedName>
    <definedName name="ITEM1_2Q05" localSheetId="10">Tags!$AG$574</definedName>
    <definedName name="ITEM1_2Q05">Tags_ols!$AG$574</definedName>
    <definedName name="ITEM1_2Q06" localSheetId="10">Tags!$AL$574</definedName>
    <definedName name="ITEM1_2Q06">Tags_ols!$AL$574</definedName>
    <definedName name="ITEM1_2Q07" localSheetId="10">Tags!$AQ$574</definedName>
    <definedName name="ITEM1_2Q07">Tags_ols!$AQ$574</definedName>
    <definedName name="ITEM1_2Q08" localSheetId="10">Tags!$AV$574</definedName>
    <definedName name="ITEM1_2Q08">Tags_ols!$AV$574</definedName>
    <definedName name="ITEM1_2Q09" localSheetId="10">Tags!$BA$574</definedName>
    <definedName name="ITEM1_2Q09">Tags_ols!$BA$574</definedName>
    <definedName name="ITEM1_2Q10" localSheetId="10">Tags!$BF$574</definedName>
    <definedName name="ITEM1_2Q10">Tags_ols!$BF$574</definedName>
    <definedName name="ITEM1_2Q11" localSheetId="10">Tags!$BK$574</definedName>
    <definedName name="ITEM1_2Q11">Tags_ols!$BK$574</definedName>
    <definedName name="ITEM1_2Q12" localSheetId="10">Tags!$BP$574</definedName>
    <definedName name="ITEM1_2Q12">Tags_ols!$BP$574</definedName>
    <definedName name="ITEM1_2Q13" localSheetId="10">Tags!$BU$574</definedName>
    <definedName name="ITEM1_2Q13">Tags_ols!$BU$574</definedName>
    <definedName name="ITEM1_2Q14" localSheetId="10">Tags!$BZ$574</definedName>
    <definedName name="ITEM1_2Q14">Tags_ols!$BZ$574</definedName>
    <definedName name="ITEM1_2Q15" localSheetId="10">Tags!$CE$574</definedName>
    <definedName name="ITEM1_2Q15">Tags_ols!$CE$574</definedName>
    <definedName name="ITEM1_2Q16" localSheetId="10">Tags!$CJ$574</definedName>
    <definedName name="ITEM1_2Q16">Tags_ols!$CJ$574</definedName>
    <definedName name="ITEM1_2Q17" localSheetId="10">Tags!$CO$574</definedName>
    <definedName name="ITEM1_2Q17">Tags_ols!$CO$574</definedName>
    <definedName name="ITEM1_2Q18" localSheetId="10">Tags!$CT$574</definedName>
    <definedName name="ITEM1_2Q18">Tags_ols!$CT$574</definedName>
    <definedName name="ITEM1_2Q19" localSheetId="10">Tags!$CY$574</definedName>
    <definedName name="ITEM1_2Q19">Tags_ols!$CY$574</definedName>
    <definedName name="ITEM1_2Q20" localSheetId="10">Tags!$DD$574</definedName>
    <definedName name="ITEM1_2Q20">Tags_ols!$DD$574</definedName>
    <definedName name="ITEM1_2Q21">Tags!$DI$574</definedName>
    <definedName name="ITEM1_2Q22">Tags!$DN$574</definedName>
    <definedName name="ITEM1_2Q23">Tags!$DS$574</definedName>
    <definedName name="ITEM1_2Q24">Tags!$DX$574</definedName>
    <definedName name="ITEM1_3Q00" localSheetId="10">Tags!$I$574</definedName>
    <definedName name="ITEM1_3Q00">Tags_ols!$I$574</definedName>
    <definedName name="ITEM1_3Q01" localSheetId="10">Tags!$N$574</definedName>
    <definedName name="ITEM1_3Q01">Tags_ols!$N$574</definedName>
    <definedName name="ITEM1_3Q02" localSheetId="10">Tags!$S$574</definedName>
    <definedName name="ITEM1_3Q02">Tags_ols!$S$574</definedName>
    <definedName name="ITEM1_3Q03" localSheetId="10">Tags!$X$574</definedName>
    <definedName name="ITEM1_3Q03">Tags_ols!$X$574</definedName>
    <definedName name="ITEM1_3Q04" localSheetId="10">Tags!$AC$574</definedName>
    <definedName name="ITEM1_3Q04">Tags_ols!$AC$574</definedName>
    <definedName name="ITEM1_3Q05" localSheetId="10">Tags!$AH$574</definedName>
    <definedName name="ITEM1_3Q05">Tags_ols!$AH$574</definedName>
    <definedName name="ITEM1_3Q06" localSheetId="10">Tags!$AM$574</definedName>
    <definedName name="ITEM1_3Q06">Tags_ols!$AM$574</definedName>
    <definedName name="ITEM1_3Q07" localSheetId="10">Tags!$AR$574</definedName>
    <definedName name="ITEM1_3Q07">Tags_ols!$AR$574</definedName>
    <definedName name="ITEM1_3Q08" localSheetId="10">Tags!$AW$574</definedName>
    <definedName name="ITEM1_3Q08">Tags_ols!$AW$574</definedName>
    <definedName name="ITEM1_3Q09" localSheetId="10">Tags!$BB$574</definedName>
    <definedName name="ITEM1_3Q09">Tags_ols!$BB$574</definedName>
    <definedName name="ITEM1_3Q10" localSheetId="10">Tags!$BG$574</definedName>
    <definedName name="ITEM1_3Q10">Tags_ols!$BG$574</definedName>
    <definedName name="ITEM1_3Q11" localSheetId="10">Tags!$BL$574</definedName>
    <definedName name="ITEM1_3Q11">Tags_ols!$BL$574</definedName>
    <definedName name="ITEM1_3Q12" localSheetId="10">Tags!$BQ$574</definedName>
    <definedName name="ITEM1_3Q12">Tags_ols!$BQ$574</definedName>
    <definedName name="ITEM1_3Q13" localSheetId="10">Tags!$BV$574</definedName>
    <definedName name="ITEM1_3Q13">Tags_ols!$BV$574</definedName>
    <definedName name="ITEM1_3Q14" localSheetId="10">Tags!$CA$574</definedName>
    <definedName name="ITEM1_3Q14">Tags_ols!$CA$574</definedName>
    <definedName name="ITEM1_3Q15" localSheetId="10">Tags!$CF$574</definedName>
    <definedName name="ITEM1_3Q15">Tags_ols!$CF$574</definedName>
    <definedName name="ITEM1_3Q16" localSheetId="10">Tags!$CK$574</definedName>
    <definedName name="ITEM1_3Q16">Tags_ols!$CK$574</definedName>
    <definedName name="ITEM1_3Q17" localSheetId="10">Tags!$CP$574</definedName>
    <definedName name="ITEM1_3Q17">Tags_ols!$CP$574</definedName>
    <definedName name="ITEM1_3Q18" localSheetId="10">Tags!$CU$574</definedName>
    <definedName name="ITEM1_3Q18">Tags_ols!$CU$574</definedName>
    <definedName name="ITEM1_3Q19" localSheetId="10">Tags!$CZ$574</definedName>
    <definedName name="ITEM1_3Q19">Tags_ols!$CZ$574</definedName>
    <definedName name="ITEM1_3Q20" localSheetId="10">Tags!$DE$574</definedName>
    <definedName name="ITEM1_3Q20">Tags_ols!$DE$574</definedName>
    <definedName name="ITEM1_3Q21">Tags!$DJ$574</definedName>
    <definedName name="ITEM1_3Q22">Tags!$DO$574</definedName>
    <definedName name="ITEM1_3Q23">Tags!$DT$574</definedName>
    <definedName name="ITEM1_3Q24">Tags!$DY$574</definedName>
    <definedName name="ITEM1_4Q00" localSheetId="10">Tags!$J$574</definedName>
    <definedName name="ITEM1_4Q00">Tags_ols!$J$574</definedName>
    <definedName name="ITEM1_4Q01" localSheetId="10">Tags!$O$574</definedName>
    <definedName name="ITEM1_4Q01">Tags_ols!$O$574</definedName>
    <definedName name="ITEM1_4Q02" localSheetId="10">Tags!$T$574</definedName>
    <definedName name="ITEM1_4Q02">Tags_ols!$T$574</definedName>
    <definedName name="ITEM1_4Q03" localSheetId="10">Tags!$Y$574</definedName>
    <definedName name="ITEM1_4Q03">Tags_ols!$Y$574</definedName>
    <definedName name="ITEM1_4Q04" localSheetId="10">Tags!$AD$574</definedName>
    <definedName name="ITEM1_4Q04">Tags_ols!$AD$574</definedName>
    <definedName name="ITEM1_4Q05" localSheetId="10">Tags!$AI$574</definedName>
    <definedName name="ITEM1_4Q05">Tags_ols!$AI$574</definedName>
    <definedName name="ITEM1_4Q06" localSheetId="10">Tags!$AN$574</definedName>
    <definedName name="ITEM1_4Q06">Tags_ols!$AN$574</definedName>
    <definedName name="ITEM1_4Q07" localSheetId="10">Tags!$AS$574</definedName>
    <definedName name="ITEM1_4Q07">Tags_ols!$AS$574</definedName>
    <definedName name="ITEM1_4Q08" localSheetId="10">Tags!$AX$574</definedName>
    <definedName name="ITEM1_4Q08">Tags_ols!$AX$574</definedName>
    <definedName name="ITEM1_4Q09" localSheetId="10">Tags!$BC$574</definedName>
    <definedName name="ITEM1_4Q09">Tags_ols!$BC$574</definedName>
    <definedName name="ITEM1_4Q10" localSheetId="10">Tags!$BH$574</definedName>
    <definedName name="ITEM1_4Q10">Tags_ols!$BH$574</definedName>
    <definedName name="ITEM1_4Q11" localSheetId="10">Tags!$BM$574</definedName>
    <definedName name="ITEM1_4Q11">Tags_ols!$BM$574</definedName>
    <definedName name="ITEM1_4Q12" localSheetId="10">Tags!$BR$574</definedName>
    <definedName name="ITEM1_4Q12">Tags_ols!$BR$574</definedName>
    <definedName name="ITEM1_4Q13" localSheetId="10">Tags!$BW$574</definedName>
    <definedName name="ITEM1_4Q13">Tags_ols!$BW$574</definedName>
    <definedName name="ITEM1_4Q14" localSheetId="10">Tags!$CB$574</definedName>
    <definedName name="ITEM1_4Q14">Tags_ols!$CB$574</definedName>
    <definedName name="ITEM1_4Q15" localSheetId="10">Tags!$CG$574</definedName>
    <definedName name="ITEM1_4Q15">Tags_ols!$CG$574</definedName>
    <definedName name="ITEM1_4Q16" localSheetId="10">Tags!$CL$574</definedName>
    <definedName name="ITEM1_4Q16">Tags_ols!$CL$574</definedName>
    <definedName name="ITEM1_4Q17" localSheetId="10">Tags!$CQ$574</definedName>
    <definedName name="ITEM1_4Q17">Tags_ols!$CQ$574</definedName>
    <definedName name="ITEM1_4Q18" localSheetId="10">Tags!$CV$574</definedName>
    <definedName name="ITEM1_4Q18">Tags_ols!$CV$574</definedName>
    <definedName name="ITEM1_4Q19" localSheetId="10">Tags!$DA$574</definedName>
    <definedName name="ITEM1_4Q19">Tags_ols!$DA$574</definedName>
    <definedName name="ITEM1_4Q20" localSheetId="10">Tags!$DF$574</definedName>
    <definedName name="ITEM1_4Q20">Tags_ols!$DF$574</definedName>
    <definedName name="ITEM1_4Q21">Tags!$DK$574</definedName>
    <definedName name="ITEM1_4Q22">Tags!$DP$574</definedName>
    <definedName name="ITEM1_4Q23">Tags!$DU$574</definedName>
    <definedName name="ITEM1_4Q24">Tags!$DZ$574</definedName>
    <definedName name="ITEM10_1995">Tags_ols!$B$583</definedName>
    <definedName name="ITEM10_1996">Tags_ols!$C$583</definedName>
    <definedName name="ITEM10_1997">Tags_ols!$D$583</definedName>
    <definedName name="ITEM10_1998">Tags_ols!$E$583</definedName>
    <definedName name="ITEM10_1999">Tags_ols!$F$583</definedName>
    <definedName name="ITEM10_1Q00" localSheetId="10">Tags!$G$583</definedName>
    <definedName name="ITEM10_1Q00">Tags_ols!$G$583</definedName>
    <definedName name="ITEM10_1Q01" localSheetId="10">Tags!$L$583</definedName>
    <definedName name="ITEM10_1Q01">Tags_ols!$L$583</definedName>
    <definedName name="ITEM10_1Q02" localSheetId="10">Tags!$Q$583</definedName>
    <definedName name="ITEM10_1Q02">Tags_ols!$Q$583</definedName>
    <definedName name="ITEM10_1Q03" localSheetId="10">Tags!$V$583</definedName>
    <definedName name="ITEM10_1Q03">Tags_ols!$V$583</definedName>
    <definedName name="ITEM10_1Q04" localSheetId="10">Tags!$AA$583</definedName>
    <definedName name="ITEM10_1Q04">Tags_ols!$AA$583</definedName>
    <definedName name="ITEM10_1Q05" localSheetId="10">Tags!$AF$583</definedName>
    <definedName name="ITEM10_1Q05">Tags_ols!$AF$583</definedName>
    <definedName name="ITEM10_1Q06" localSheetId="10">Tags!$AK$583</definedName>
    <definedName name="ITEM10_1Q06">Tags_ols!$AK$583</definedName>
    <definedName name="ITEM10_1Q07" localSheetId="10">Tags!$AP$583</definedName>
    <definedName name="ITEM10_1Q07">Tags_ols!$AP$583</definedName>
    <definedName name="ITEM10_1Q08" localSheetId="10">Tags!$AU$583</definedName>
    <definedName name="ITEM10_1Q08">Tags_ols!$AU$583</definedName>
    <definedName name="ITEM10_1Q09" localSheetId="10">Tags!$AZ$583</definedName>
    <definedName name="ITEM10_1Q09">Tags_ols!$AZ$583</definedName>
    <definedName name="ITEM10_1Q10" localSheetId="10">Tags!$BE$583</definedName>
    <definedName name="ITEM10_1Q10">Tags_ols!$BE$583</definedName>
    <definedName name="ITEM10_1Q11" localSheetId="10">Tags!$BJ$583</definedName>
    <definedName name="ITEM10_1Q11">Tags_ols!$BJ$583</definedName>
    <definedName name="ITEM10_1Q12" localSheetId="10">Tags!$BO$583</definedName>
    <definedName name="ITEM10_1Q12">Tags_ols!$BO$583</definedName>
    <definedName name="ITEM10_1Q13" localSheetId="10">Tags!$BT$583</definedName>
    <definedName name="ITEM10_1Q13">Tags_ols!$BT$583</definedName>
    <definedName name="ITEM10_1Q14" localSheetId="10">Tags!$BY$583</definedName>
    <definedName name="ITEM10_1Q14">Tags_ols!$BY$583</definedName>
    <definedName name="ITEM10_1Q15" localSheetId="10">Tags!$CD$583</definedName>
    <definedName name="ITEM10_1Q15">Tags_ols!$CD$583</definedName>
    <definedName name="ITEM10_1Q16" localSheetId="10">Tags!$CI$583</definedName>
    <definedName name="ITEM10_1Q16">Tags_ols!$CI$583</definedName>
    <definedName name="ITEM10_1Q17" localSheetId="10">Tags!$CN$583</definedName>
    <definedName name="ITEM10_1Q17">Tags_ols!$CN$583</definedName>
    <definedName name="ITEM10_1Q18" localSheetId="10">Tags!$CS$583</definedName>
    <definedName name="ITEM10_1Q18">Tags_ols!$CS$583</definedName>
    <definedName name="ITEM10_1Q19" localSheetId="10">Tags!$CX$583</definedName>
    <definedName name="ITEM10_1Q19">Tags_ols!$CX$583</definedName>
    <definedName name="ITEM10_1Q20" localSheetId="10">Tags!$DC$583</definedName>
    <definedName name="ITEM10_1Q20">Tags_ols!$DC$583</definedName>
    <definedName name="ITEM10_1Q21">Tags!$DH$583</definedName>
    <definedName name="ITEM10_1Q22">Tags!$DM$583</definedName>
    <definedName name="ITEM10_1Q23">Tags!$DR$583</definedName>
    <definedName name="ITEM10_1Q24">Tags!$DW$583</definedName>
    <definedName name="ITEM10_2000" localSheetId="10">Tags!$K$583</definedName>
    <definedName name="ITEM10_2000">Tags_ols!$K$583</definedName>
    <definedName name="ITEM10_2001" localSheetId="10">Tags!$P$583</definedName>
    <definedName name="ITEM10_2001">Tags_ols!$P$583</definedName>
    <definedName name="ITEM10_2002" localSheetId="10">Tags!$U$583</definedName>
    <definedName name="ITEM10_2002">Tags_ols!$U$583</definedName>
    <definedName name="ITEM10_2003" localSheetId="10">Tags!$Z$583</definedName>
    <definedName name="ITEM10_2003">Tags_ols!$Z$583</definedName>
    <definedName name="ITEM10_2004" localSheetId="10">Tags!$AE$583</definedName>
    <definedName name="ITEM10_2004">Tags_ols!$AE$583</definedName>
    <definedName name="ITEM10_2005" localSheetId="10">Tags!$AJ$583</definedName>
    <definedName name="ITEM10_2005">Tags_ols!$AJ$583</definedName>
    <definedName name="ITEM10_2006" localSheetId="10">Tags!$AO$583</definedName>
    <definedName name="ITEM10_2006">Tags_ols!$AO$583</definedName>
    <definedName name="ITEM10_2007" localSheetId="10">Tags!$AT$583</definedName>
    <definedName name="ITEM10_2007">Tags_ols!$AT$583</definedName>
    <definedName name="ITEM10_2008" localSheetId="10">Tags!$AY$583</definedName>
    <definedName name="ITEM10_2008">Tags_ols!$AY$583</definedName>
    <definedName name="ITEM10_2009" localSheetId="10">Tags!$BD$583</definedName>
    <definedName name="ITEM10_2009">Tags_ols!$BD$583</definedName>
    <definedName name="ITEM10_2010" localSheetId="10">Tags!$BI$583</definedName>
    <definedName name="ITEM10_2010">Tags_ols!$BI$583</definedName>
    <definedName name="ITEM10_2011" localSheetId="10">Tags!$BN$583</definedName>
    <definedName name="ITEM10_2011">Tags_ols!$BN$583</definedName>
    <definedName name="ITEM10_2012" localSheetId="10">Tags!$BS$583</definedName>
    <definedName name="ITEM10_2012">Tags_ols!$BS$583</definedName>
    <definedName name="ITEM10_2013" localSheetId="10">Tags!$BX$583</definedName>
    <definedName name="ITEM10_2013">Tags_ols!$BX$583</definedName>
    <definedName name="ITEM10_2014" localSheetId="10">Tags!$CC$583</definedName>
    <definedName name="ITEM10_2014">Tags_ols!$CC$583</definedName>
    <definedName name="ITEM10_2015" localSheetId="10">Tags!#REF!</definedName>
    <definedName name="ITEM10_2015">Tags!$CH$583</definedName>
    <definedName name="ITEM10_2016" localSheetId="10">Tags!$CM$583</definedName>
    <definedName name="ITEM10_2016">Tags_ols!$CM$583</definedName>
    <definedName name="ITEM10_2017" localSheetId="10">Tags!$CR$583</definedName>
    <definedName name="ITEM10_2017">Tags_ols!$CR$583</definedName>
    <definedName name="ITEM10_2018" localSheetId="10">Tags!$CW$583</definedName>
    <definedName name="ITEM10_2018">Tags_ols!$CW$583</definedName>
    <definedName name="ITEM10_2019" localSheetId="10">Tags!$DB$583</definedName>
    <definedName name="ITEM10_2019">Tags_ols!$DB$583</definedName>
    <definedName name="ITEM10_2020" localSheetId="10">Tags!$DG$583</definedName>
    <definedName name="ITEM10_2020">Tags_ols!$DG$583</definedName>
    <definedName name="ITEM10_2021">Tags!$DL$583</definedName>
    <definedName name="ITEM10_2022">Tags!$DQ$583</definedName>
    <definedName name="ITEM10_2023">Tags!$DV$583</definedName>
    <definedName name="ITEM10_2024">Tags!$EA$583</definedName>
    <definedName name="ITEM10_2Q00" localSheetId="10">Tags!$H$583</definedName>
    <definedName name="ITEM10_2Q00">Tags_ols!$H$583</definedName>
    <definedName name="ITEM10_2Q01" localSheetId="10">Tags!$M$583</definedName>
    <definedName name="ITEM10_2Q01">Tags_ols!$M$583</definedName>
    <definedName name="ITEM10_2Q02" localSheetId="10">Tags!$R$583</definedName>
    <definedName name="ITEM10_2Q02">Tags_ols!$R$583</definedName>
    <definedName name="ITEM10_2Q03" localSheetId="10">Tags!$W$583</definedName>
    <definedName name="ITEM10_2Q03">Tags_ols!$W$583</definedName>
    <definedName name="ITEM10_2Q04" localSheetId="10">Tags!$AB$583</definedName>
    <definedName name="ITEM10_2Q04">Tags_ols!$AB$583</definedName>
    <definedName name="ITEM10_2Q05" localSheetId="10">Tags!$AG$583</definedName>
    <definedName name="ITEM10_2Q05">Tags_ols!$AG$583</definedName>
    <definedName name="ITEM10_2Q06" localSheetId="10">Tags!$AL$583</definedName>
    <definedName name="ITEM10_2Q06">Tags_ols!$AL$583</definedName>
    <definedName name="ITEM10_2Q07" localSheetId="10">Tags!$AQ$583</definedName>
    <definedName name="ITEM10_2Q07">Tags_ols!$AQ$583</definedName>
    <definedName name="ITEM10_2Q08" localSheetId="10">Tags!$AV$583</definedName>
    <definedName name="ITEM10_2Q08">Tags_ols!$AV$583</definedName>
    <definedName name="ITEM10_2Q09" localSheetId="10">Tags!$BA$583</definedName>
    <definedName name="ITEM10_2Q09">Tags_ols!$BA$583</definedName>
    <definedName name="ITEM10_2Q10" localSheetId="10">Tags!$BF$583</definedName>
    <definedName name="ITEM10_2Q10">Tags_ols!$BF$583</definedName>
    <definedName name="ITEM10_2Q11" localSheetId="10">Tags!$BK$583</definedName>
    <definedName name="ITEM10_2Q11">Tags_ols!$BK$583</definedName>
    <definedName name="ITEM10_2Q12" localSheetId="10">Tags!$BP$583</definedName>
    <definedName name="ITEM10_2Q12">Tags_ols!$BP$583</definedName>
    <definedName name="ITEM10_2Q13" localSheetId="10">Tags!$BU$583</definedName>
    <definedName name="ITEM10_2Q13">Tags_ols!$BU$583</definedName>
    <definedName name="ITEM10_2Q14" localSheetId="10">Tags!$BZ$583</definedName>
    <definedName name="ITEM10_2Q14">Tags_ols!$BZ$583</definedName>
    <definedName name="ITEM10_2Q15" localSheetId="10">Tags!$CE$583</definedName>
    <definedName name="ITEM10_2Q15">Tags_ols!$CE$583</definedName>
    <definedName name="ITEM10_2Q16" localSheetId="10">Tags!$CJ$583</definedName>
    <definedName name="ITEM10_2Q16">Tags_ols!$CJ$583</definedName>
    <definedName name="ITEM10_2Q17" localSheetId="10">Tags!$CO$583</definedName>
    <definedName name="ITEM10_2Q17">Tags_ols!$CO$583</definedName>
    <definedName name="ITEM10_2Q18" localSheetId="10">Tags!$CT$583</definedName>
    <definedName name="ITEM10_2Q18">Tags_ols!$CT$583</definedName>
    <definedName name="ITEM10_2Q19" localSheetId="10">Tags!$CY$583</definedName>
    <definedName name="ITEM10_2Q19">Tags_ols!$CY$583</definedName>
    <definedName name="ITEM10_2Q20" localSheetId="10">Tags!$DD$583</definedName>
    <definedName name="ITEM10_2Q20">Tags_ols!$DD$583</definedName>
    <definedName name="ITEM10_2Q21">Tags!$DI$583</definedName>
    <definedName name="ITEM10_2Q22">Tags!$DN$583</definedName>
    <definedName name="ITEM10_2Q23">Tags!$DS$583</definedName>
    <definedName name="ITEM10_2Q24">Tags!$DX$583</definedName>
    <definedName name="ITEM10_3Q00" localSheetId="10">Tags!$I$583</definedName>
    <definedName name="ITEM10_3Q00">Tags_ols!$I$583</definedName>
    <definedName name="ITEM10_3Q01" localSheetId="10">Tags!$N$583</definedName>
    <definedName name="ITEM10_3Q01">Tags_ols!$N$583</definedName>
    <definedName name="ITEM10_3Q02" localSheetId="10">Tags!$S$583</definedName>
    <definedName name="ITEM10_3Q02">Tags_ols!$S$583</definedName>
    <definedName name="ITEM10_3Q03" localSheetId="10">Tags!$X$583</definedName>
    <definedName name="ITEM10_3Q03">Tags_ols!$X$583</definedName>
    <definedName name="ITEM10_3Q04" localSheetId="10">Tags!$AC$583</definedName>
    <definedName name="ITEM10_3Q04">Tags_ols!$AC$583</definedName>
    <definedName name="ITEM10_3Q05" localSheetId="10">Tags!$AH$583</definedName>
    <definedName name="ITEM10_3Q05">Tags_ols!$AH$583</definedName>
    <definedName name="ITEM10_3Q06" localSheetId="10">Tags!$AM$583</definedName>
    <definedName name="ITEM10_3Q06">Tags_ols!$AM$583</definedName>
    <definedName name="ITEM10_3Q07" localSheetId="10">Tags!$AR$583</definedName>
    <definedName name="ITEM10_3Q07">Tags_ols!$AR$583</definedName>
    <definedName name="ITEM10_3Q08" localSheetId="10">Tags!$AW$583</definedName>
    <definedName name="ITEM10_3Q08">Tags_ols!$AW$583</definedName>
    <definedName name="ITEM10_3Q09" localSheetId="10">Tags!$BB$583</definedName>
    <definedName name="ITEM10_3Q09">Tags_ols!$BB$583</definedName>
    <definedName name="ITEM10_3Q10" localSheetId="10">Tags!$BG$583</definedName>
    <definedName name="ITEM10_3Q10">Tags_ols!$BG$583</definedName>
    <definedName name="ITEM10_3Q11" localSheetId="10">Tags!$BL$583</definedName>
    <definedName name="ITEM10_3Q11">Tags_ols!$BL$583</definedName>
    <definedName name="ITEM10_3Q12" localSheetId="10">Tags!$BQ$583</definedName>
    <definedName name="ITEM10_3Q12">Tags_ols!$BQ$583</definedName>
    <definedName name="ITEM10_3Q13" localSheetId="10">Tags!$BV$583</definedName>
    <definedName name="ITEM10_3Q13">Tags_ols!$BV$583</definedName>
    <definedName name="ITEM10_3Q14" localSheetId="10">Tags!$CA$583</definedName>
    <definedName name="ITEM10_3Q14">Tags_ols!$CA$583</definedName>
    <definedName name="ITEM10_3Q15" localSheetId="10">Tags!$CF$583</definedName>
    <definedName name="ITEM10_3Q15">Tags_ols!$CF$583</definedName>
    <definedName name="ITEM10_3Q16" localSheetId="10">Tags!$CK$583</definedName>
    <definedName name="ITEM10_3Q16">Tags_ols!$CK$583</definedName>
    <definedName name="ITEM10_3Q17" localSheetId="10">Tags!$CP$583</definedName>
    <definedName name="ITEM10_3Q17">Tags_ols!$CP$583</definedName>
    <definedName name="ITEM10_3Q18" localSheetId="10">Tags!$CU$583</definedName>
    <definedName name="ITEM10_3Q18">Tags_ols!$CU$583</definedName>
    <definedName name="ITEM10_3Q19" localSheetId="10">Tags!$CZ$583</definedName>
    <definedName name="ITEM10_3Q19">Tags_ols!$CZ$583</definedName>
    <definedName name="ITEM10_3Q20" localSheetId="10">Tags!$DE$583</definedName>
    <definedName name="ITEM10_3Q20">Tags_ols!$DE$583</definedName>
    <definedName name="ITEM10_3Q21">Tags!$DJ$583</definedName>
    <definedName name="ITEM10_3Q22">Tags!$DO$583</definedName>
    <definedName name="ITEM10_3Q23">Tags!$DT$583</definedName>
    <definedName name="ITEM10_3Q24">Tags!$DY$583</definedName>
    <definedName name="ITEM10_4Q00" localSheetId="10">Tags!$J$583</definedName>
    <definedName name="ITEM10_4Q00">Tags_ols!$J$583</definedName>
    <definedName name="ITEM10_4Q01" localSheetId="10">Tags!$O$583</definedName>
    <definedName name="ITEM10_4Q01">Tags_ols!$O$583</definedName>
    <definedName name="ITEM10_4Q02" localSheetId="10">Tags!$T$583</definedName>
    <definedName name="ITEM10_4Q02">Tags_ols!$T$583</definedName>
    <definedName name="ITEM10_4Q03" localSheetId="10">Tags!$Y$583</definedName>
    <definedName name="ITEM10_4Q03">Tags_ols!$Y$583</definedName>
    <definedName name="ITEM10_4Q04" localSheetId="10">Tags!$AD$583</definedName>
    <definedName name="ITEM10_4Q04">Tags_ols!$AD$583</definedName>
    <definedName name="ITEM10_4Q05" localSheetId="10">Tags!$AI$583</definedName>
    <definedName name="ITEM10_4Q05">Tags_ols!$AI$583</definedName>
    <definedName name="ITEM10_4Q06" localSheetId="10">Tags!$AN$583</definedName>
    <definedName name="ITEM10_4Q06">Tags_ols!$AN$583</definedName>
    <definedName name="ITEM10_4Q07" localSheetId="10">Tags!$AS$583</definedName>
    <definedName name="ITEM10_4Q07">Tags_ols!$AS$583</definedName>
    <definedName name="ITEM10_4Q08" localSheetId="10">Tags!$AX$583</definedName>
    <definedName name="ITEM10_4Q08">Tags_ols!$AX$583</definedName>
    <definedName name="ITEM10_4Q09" localSheetId="10">Tags!$BC$583</definedName>
    <definedName name="ITEM10_4Q09">Tags_ols!$BC$583</definedName>
    <definedName name="ITEM10_4Q10" localSheetId="10">Tags!$BH$583</definedName>
    <definedName name="ITEM10_4Q10">Tags_ols!$BH$583</definedName>
    <definedName name="ITEM10_4Q11" localSheetId="10">Tags!$BM$583</definedName>
    <definedName name="ITEM10_4Q11">Tags_ols!$BM$583</definedName>
    <definedName name="ITEM10_4Q12" localSheetId="10">Tags!$BR$583</definedName>
    <definedName name="ITEM10_4Q12">Tags_ols!$BR$583</definedName>
    <definedName name="ITEM10_4Q13" localSheetId="10">Tags!$BW$583</definedName>
    <definedName name="ITEM10_4Q13">Tags_ols!$BW$583</definedName>
    <definedName name="ITEM10_4Q14" localSheetId="10">Tags!$CB$583</definedName>
    <definedName name="ITEM10_4Q14">Tags_ols!$CB$583</definedName>
    <definedName name="ITEM10_4Q15" localSheetId="10">Tags!$CG$583</definedName>
    <definedName name="ITEM10_4Q15">Tags_ols!$CG$583</definedName>
    <definedName name="ITEM10_4Q16" localSheetId="10">Tags!$CL$583</definedName>
    <definedName name="ITEM10_4Q16">Tags_ols!$CL$583</definedName>
    <definedName name="ITEM10_4Q17" localSheetId="10">Tags!$CQ$583</definedName>
    <definedName name="ITEM10_4Q17">Tags_ols!$CQ$583</definedName>
    <definedName name="ITEM10_4Q18" localSheetId="10">Tags!$CV$583</definedName>
    <definedName name="ITEM10_4Q18">Tags_ols!$CV$583</definedName>
    <definedName name="ITEM10_4Q19" localSheetId="10">Tags!$DA$583</definedName>
    <definedName name="ITEM10_4Q19">Tags_ols!$DA$583</definedName>
    <definedName name="ITEM10_4Q20" localSheetId="10">Tags!$DF$583</definedName>
    <definedName name="ITEM10_4Q20">Tags_ols!$DF$583</definedName>
    <definedName name="ITEM10_4Q21">Tags!$DK$583</definedName>
    <definedName name="ITEM10_4Q22">Tags!$DP$583</definedName>
    <definedName name="ITEM10_4Q23">Tags!$DU$583</definedName>
    <definedName name="ITEM10_4Q24">Tags!$DZ$583</definedName>
    <definedName name="ITEM11_1995">Tags_ols!$B$584</definedName>
    <definedName name="ITEM11_1996">Tags_ols!$C$584</definedName>
    <definedName name="ITEM11_1997">Tags_ols!$D$584</definedName>
    <definedName name="ITEM11_1998">Tags_ols!$E$584</definedName>
    <definedName name="ITEM11_1999">Tags_ols!$F$584</definedName>
    <definedName name="ITEM11_1Q00" localSheetId="10">Tags!$G$584</definedName>
    <definedName name="ITEM11_1Q00">Tags_ols!$G$584</definedName>
    <definedName name="ITEM11_1Q01" localSheetId="10">Tags!$L$584</definedName>
    <definedName name="ITEM11_1Q01">Tags_ols!$L$584</definedName>
    <definedName name="ITEM11_1Q02" localSheetId="10">Tags!$Q$584</definedName>
    <definedName name="ITEM11_1Q02">Tags_ols!$Q$584</definedName>
    <definedName name="ITEM11_1Q03" localSheetId="10">Tags!$V$584</definedName>
    <definedName name="ITEM11_1Q03">Tags_ols!$V$584</definedName>
    <definedName name="ITEM11_1Q04" localSheetId="10">Tags!$AA$584</definedName>
    <definedName name="ITEM11_1Q04">Tags_ols!$AA$584</definedName>
    <definedName name="ITEM11_1Q05" localSheetId="10">Tags!$AF$584</definedName>
    <definedName name="ITEM11_1Q05">Tags_ols!$AF$584</definedName>
    <definedName name="ITEM11_1Q06" localSheetId="10">Tags!$AK$584</definedName>
    <definedName name="ITEM11_1Q06">Tags_ols!$AK$584</definedName>
    <definedName name="ITEM11_1Q07" localSheetId="10">Tags!$AP$584</definedName>
    <definedName name="ITEM11_1Q07">Tags_ols!$AP$584</definedName>
    <definedName name="ITEM11_1Q08" localSheetId="10">Tags!$AU$584</definedName>
    <definedName name="ITEM11_1Q08">Tags_ols!$AU$584</definedName>
    <definedName name="ITEM11_1Q09" localSheetId="10">Tags!$AZ$584</definedName>
    <definedName name="ITEM11_1Q09">Tags_ols!$AZ$584</definedName>
    <definedName name="ITEM11_1Q10" localSheetId="10">Tags!$BE$584</definedName>
    <definedName name="ITEM11_1Q10">Tags_ols!$BE$584</definedName>
    <definedName name="ITEM11_1Q11" localSheetId="10">Tags!$BJ$584</definedName>
    <definedName name="ITEM11_1Q11">Tags_ols!$BJ$584</definedName>
    <definedName name="ITEM11_1Q12" localSheetId="10">Tags!$BO$584</definedName>
    <definedName name="ITEM11_1Q12">Tags_ols!$BO$584</definedName>
    <definedName name="ITEM11_1Q13" localSheetId="10">Tags!$BT$584</definedName>
    <definedName name="ITEM11_1Q13">Tags_ols!$BT$584</definedName>
    <definedName name="ITEM11_1Q14" localSheetId="10">Tags!$BY$584</definedName>
    <definedName name="ITEM11_1Q14">Tags_ols!$BY$584</definedName>
    <definedName name="ITEM11_1Q15" localSheetId="10">Tags!$CD$584</definedName>
    <definedName name="ITEM11_1Q15">Tags_ols!$CD$584</definedName>
    <definedName name="ITEM11_1Q16" localSheetId="10">Tags!$CI$584</definedName>
    <definedName name="ITEM11_1Q16">Tags_ols!$CI$584</definedName>
    <definedName name="ITEM11_1Q17" localSheetId="10">Tags!$CN$584</definedName>
    <definedName name="ITEM11_1Q17">Tags_ols!$CN$584</definedName>
    <definedName name="ITEM11_1Q18" localSheetId="10">Tags!$CS$584</definedName>
    <definedName name="ITEM11_1Q18">Tags_ols!$CS$584</definedName>
    <definedName name="ITEM11_1Q19" localSheetId="10">Tags!$CX$584</definedName>
    <definedName name="ITEM11_1Q19">Tags_ols!$CX$584</definedName>
    <definedName name="ITEM11_1Q20" localSheetId="10">Tags!$DC$584</definedName>
    <definedName name="ITEM11_1Q20">Tags_ols!$DC$584</definedName>
    <definedName name="ITEM11_1Q21">Tags!$DH$584</definedName>
    <definedName name="ITEM11_1Q22">Tags!$DM$584</definedName>
    <definedName name="ITEM11_1Q23">Tags!$DR$584</definedName>
    <definedName name="ITEM11_1Q24">Tags!$DW$584</definedName>
    <definedName name="ITEM11_2000" localSheetId="10">Tags!$K$584</definedName>
    <definedName name="ITEM11_2000">Tags_ols!$K$584</definedName>
    <definedName name="ITEM11_2001" localSheetId="10">Tags!$P$584</definedName>
    <definedName name="ITEM11_2001">Tags_ols!$P$584</definedName>
    <definedName name="ITEM11_2002" localSheetId="10">Tags!$U$584</definedName>
    <definedName name="ITEM11_2002">Tags_ols!$U$584</definedName>
    <definedName name="ITEM11_2003" localSheetId="10">Tags!$Z$584</definedName>
    <definedName name="ITEM11_2003">Tags_ols!$Z$584</definedName>
    <definedName name="ITEM11_2004" localSheetId="10">Tags!$AE$584</definedName>
    <definedName name="ITEM11_2004">Tags_ols!$AE$584</definedName>
    <definedName name="ITEM11_2005" localSheetId="10">Tags!$AJ$584</definedName>
    <definedName name="ITEM11_2005">Tags_ols!$AJ$584</definedName>
    <definedName name="ITEM11_2006" localSheetId="10">Tags!$AO$584</definedName>
    <definedName name="ITEM11_2006">Tags_ols!$AO$584</definedName>
    <definedName name="ITEM11_2007" localSheetId="10">Tags!$AT$584</definedName>
    <definedName name="ITEM11_2007">Tags_ols!$AT$584</definedName>
    <definedName name="ITEM11_2008" localSheetId="10">Tags!$AY$584</definedName>
    <definedName name="ITEM11_2008">Tags_ols!$AY$584</definedName>
    <definedName name="ITEM11_2009" localSheetId="10">Tags!$BD$584</definedName>
    <definedName name="ITEM11_2009">Tags_ols!$BD$584</definedName>
    <definedName name="ITEM11_2010" localSheetId="10">Tags!$BI$584</definedName>
    <definedName name="ITEM11_2010">Tags_ols!$BI$584</definedName>
    <definedName name="ITEM11_2011" localSheetId="10">Tags!$BN$584</definedName>
    <definedName name="ITEM11_2011">Tags_ols!$BN$584</definedName>
    <definedName name="ITEM11_2012" localSheetId="10">Tags!$BS$584</definedName>
    <definedName name="ITEM11_2012">Tags_ols!$BS$584</definedName>
    <definedName name="ITEM11_2013" localSheetId="10">Tags!$BX$584</definedName>
    <definedName name="ITEM11_2013">Tags_ols!$BX$584</definedName>
    <definedName name="ITEM11_2014" localSheetId="10">Tags!$CC$584</definedName>
    <definedName name="ITEM11_2014">Tags_ols!$CC$584</definedName>
    <definedName name="ITEM11_2015" localSheetId="10">Tags!#REF!</definedName>
    <definedName name="ITEM11_2015">Tags!$CH$584</definedName>
    <definedName name="ITEM11_2016" localSheetId="10">Tags!$CM$584</definedName>
    <definedName name="ITEM11_2016">Tags_ols!$CM$584</definedName>
    <definedName name="ITEM11_2017" localSheetId="10">Tags!$CR$584</definedName>
    <definedName name="ITEM11_2017">Tags_ols!$CR$584</definedName>
    <definedName name="ITEM11_2018" localSheetId="10">Tags!$CW$584</definedName>
    <definedName name="ITEM11_2018">Tags_ols!$CW$584</definedName>
    <definedName name="ITEM11_2019" localSheetId="10">Tags!$DB$584</definedName>
    <definedName name="ITEM11_2019">Tags_ols!$DB$584</definedName>
    <definedName name="ITEM11_2020" localSheetId="10">Tags!$DG$584</definedName>
    <definedName name="ITEM11_2020">Tags_ols!$DG$584</definedName>
    <definedName name="ITEM11_2021">Tags!$DL$584</definedName>
    <definedName name="ITEM11_2022">Tags!$DQ$584</definedName>
    <definedName name="ITEM11_2023">Tags!$DV$584</definedName>
    <definedName name="ITEM11_2024">Tags!$EA$584</definedName>
    <definedName name="ITEM11_2Q00" localSheetId="10">Tags!$H$584</definedName>
    <definedName name="ITEM11_2Q00">Tags_ols!$H$584</definedName>
    <definedName name="ITEM11_2Q01" localSheetId="10">Tags!$M$584</definedName>
    <definedName name="ITEM11_2Q01">Tags_ols!$M$584</definedName>
    <definedName name="ITEM11_2Q02" localSheetId="10">Tags!$R$584</definedName>
    <definedName name="ITEM11_2Q02">Tags_ols!$R$584</definedName>
    <definedName name="ITEM11_2Q03" localSheetId="10">Tags!$W$584</definedName>
    <definedName name="ITEM11_2Q03">Tags_ols!$W$584</definedName>
    <definedName name="ITEM11_2Q04" localSheetId="10">Tags!$AB$584</definedName>
    <definedName name="ITEM11_2Q04">Tags_ols!$AB$584</definedName>
    <definedName name="ITEM11_2Q05" localSheetId="10">Tags!$AG$584</definedName>
    <definedName name="ITEM11_2Q05">Tags_ols!$AG$584</definedName>
    <definedName name="ITEM11_2Q06" localSheetId="10">Tags!$AL$584</definedName>
    <definedName name="ITEM11_2Q06">Tags_ols!$AL$584</definedName>
    <definedName name="ITEM11_2Q07" localSheetId="10">Tags!$AQ$584</definedName>
    <definedName name="ITEM11_2Q07">Tags_ols!$AQ$584</definedName>
    <definedName name="ITEM11_2Q08" localSheetId="10">Tags!$AV$584</definedName>
    <definedName name="ITEM11_2Q08">Tags_ols!$AV$584</definedName>
    <definedName name="ITEM11_2Q09" localSheetId="10">Tags!$BA$584</definedName>
    <definedName name="ITEM11_2Q09">Tags_ols!$BA$584</definedName>
    <definedName name="ITEM11_2Q10" localSheetId="10">Tags!$BF$584</definedName>
    <definedName name="ITEM11_2Q10">Tags_ols!$BF$584</definedName>
    <definedName name="ITEM11_2Q11" localSheetId="10">Tags!$BK$584</definedName>
    <definedName name="ITEM11_2Q11">Tags_ols!$BK$584</definedName>
    <definedName name="ITEM11_2Q12" localSheetId="10">Tags!$BP$584</definedName>
    <definedName name="ITEM11_2Q12">Tags_ols!$BP$584</definedName>
    <definedName name="ITEM11_2Q13" localSheetId="10">Tags!$BU$584</definedName>
    <definedName name="ITEM11_2Q13">Tags_ols!$BU$584</definedName>
    <definedName name="ITEM11_2Q14" localSheetId="10">Tags!$BZ$584</definedName>
    <definedName name="ITEM11_2Q14">Tags_ols!$BZ$584</definedName>
    <definedName name="ITEM11_2Q15" localSheetId="10">Tags!$CE$584</definedName>
    <definedName name="ITEM11_2Q15">Tags_ols!$CE$584</definedName>
    <definedName name="ITEM11_2Q16" localSheetId="10">Tags!$CJ$584</definedName>
    <definedName name="ITEM11_2Q16">Tags_ols!$CJ$584</definedName>
    <definedName name="ITEM11_2Q17" localSheetId="10">Tags!$CO$584</definedName>
    <definedName name="ITEM11_2Q17">Tags_ols!$CO$584</definedName>
    <definedName name="ITEM11_2Q18" localSheetId="10">Tags!$CT$584</definedName>
    <definedName name="ITEM11_2Q18">Tags_ols!$CT$584</definedName>
    <definedName name="ITEM11_2Q19" localSheetId="10">Tags!$CY$584</definedName>
    <definedName name="ITEM11_2Q19">Tags_ols!$CY$584</definedName>
    <definedName name="ITEM11_2Q20" localSheetId="10">Tags!$DD$584</definedName>
    <definedName name="ITEM11_2Q20">Tags_ols!$DD$584</definedName>
    <definedName name="ITEM11_2Q21">Tags!$DI$584</definedName>
    <definedName name="ITEM11_2Q22">Tags!$DN$584</definedName>
    <definedName name="ITEM11_2Q23">Tags!$DS$584</definedName>
    <definedName name="ITEM11_2Q24">Tags!$DX$584</definedName>
    <definedName name="ITEM11_3Q00" localSheetId="10">Tags!$I$584</definedName>
    <definedName name="ITEM11_3Q00">Tags_ols!$I$584</definedName>
    <definedName name="ITEM11_3Q01" localSheetId="10">Tags!$N$584</definedName>
    <definedName name="ITEM11_3Q01">Tags_ols!$N$584</definedName>
    <definedName name="ITEM11_3Q02" localSheetId="10">Tags!$S$584</definedName>
    <definedName name="ITEM11_3Q02">Tags_ols!$S$584</definedName>
    <definedName name="ITEM11_3Q03" localSheetId="10">Tags!$X$584</definedName>
    <definedName name="ITEM11_3Q03">Tags_ols!$X$584</definedName>
    <definedName name="ITEM11_3Q04" localSheetId="10">Tags!$AC$584</definedName>
    <definedName name="ITEM11_3Q04">Tags_ols!$AC$584</definedName>
    <definedName name="ITEM11_3Q05" localSheetId="10">Tags!$AH$584</definedName>
    <definedName name="ITEM11_3Q05">Tags_ols!$AH$584</definedName>
    <definedName name="ITEM11_3Q06" localSheetId="10">Tags!$AM$584</definedName>
    <definedName name="ITEM11_3Q06">Tags_ols!$AM$584</definedName>
    <definedName name="ITEM11_3Q07" localSheetId="10">Tags!$AR$584</definedName>
    <definedName name="ITEM11_3Q07">Tags_ols!$AR$584</definedName>
    <definedName name="ITEM11_3Q08" localSheetId="10">Tags!$AW$584</definedName>
    <definedName name="ITEM11_3Q08">Tags_ols!$AW$584</definedName>
    <definedName name="ITEM11_3Q09" localSheetId="10">Tags!$BB$584</definedName>
    <definedName name="ITEM11_3Q09">Tags_ols!$BB$584</definedName>
    <definedName name="ITEM11_3Q10" localSheetId="10">Tags!$BG$584</definedName>
    <definedName name="ITEM11_3Q10">Tags_ols!$BG$584</definedName>
    <definedName name="ITEM11_3Q11" localSheetId="10">Tags!$BL$584</definedName>
    <definedName name="ITEM11_3Q11">Tags_ols!$BL$584</definedName>
    <definedName name="ITEM11_3Q12" localSheetId="10">Tags!$BQ$584</definedName>
    <definedName name="ITEM11_3Q12">Tags_ols!$BQ$584</definedName>
    <definedName name="ITEM11_3Q13" localSheetId="10">Tags!$BV$584</definedName>
    <definedName name="ITEM11_3Q13">Tags_ols!$BV$584</definedName>
    <definedName name="ITEM11_3Q14" localSheetId="10">Tags!$CA$584</definedName>
    <definedName name="ITEM11_3Q14">Tags_ols!$CA$584</definedName>
    <definedName name="ITEM11_3Q15" localSheetId="10">Tags!$CF$584</definedName>
    <definedName name="ITEM11_3Q15">Tags_ols!$CF$584</definedName>
    <definedName name="ITEM11_3Q16" localSheetId="10">Tags!$CK$584</definedName>
    <definedName name="ITEM11_3Q16">Tags_ols!$CK$584</definedName>
    <definedName name="ITEM11_3Q17" localSheetId="10">Tags!$CP$584</definedName>
    <definedName name="ITEM11_3Q17">Tags_ols!$CP$584</definedName>
    <definedName name="ITEM11_3Q18" localSheetId="10">Tags!$CU$584</definedName>
    <definedName name="ITEM11_3Q18">Tags_ols!$CU$584</definedName>
    <definedName name="ITEM11_3Q19" localSheetId="10">Tags!$CZ$584</definedName>
    <definedName name="ITEM11_3Q19">Tags_ols!$CZ$584</definedName>
    <definedName name="ITEM11_3Q20" localSheetId="10">Tags!$DE$584</definedName>
    <definedName name="ITEM11_3Q20">Tags_ols!$DE$584</definedName>
    <definedName name="ITEM11_3Q21">Tags!$DJ$584</definedName>
    <definedName name="ITEM11_3Q22">Tags!$DO$584</definedName>
    <definedName name="ITEM11_3Q23">Tags!$DT$584</definedName>
    <definedName name="ITEM11_3Q24">Tags!$DY$584</definedName>
    <definedName name="ITEM11_4Q00" localSheetId="10">Tags!$J$584</definedName>
    <definedName name="ITEM11_4Q00">Tags_ols!$J$584</definedName>
    <definedName name="ITEM11_4Q01" localSheetId="10">Tags!$O$584</definedName>
    <definedName name="ITEM11_4Q01">Tags_ols!$O$584</definedName>
    <definedName name="ITEM11_4Q02" localSheetId="10">Tags!$T$584</definedName>
    <definedName name="ITEM11_4Q02">Tags_ols!$T$584</definedName>
    <definedName name="ITEM11_4Q03" localSheetId="10">Tags!$Y$584</definedName>
    <definedName name="ITEM11_4Q03">Tags_ols!$Y$584</definedName>
    <definedName name="ITEM11_4Q04" localSheetId="10">Tags!$AD$584</definedName>
    <definedName name="ITEM11_4Q04">Tags_ols!$AD$584</definedName>
    <definedName name="ITEM11_4Q05" localSheetId="10">Tags!$AI$584</definedName>
    <definedName name="ITEM11_4Q05">Tags_ols!$AI$584</definedName>
    <definedName name="ITEM11_4Q06" localSheetId="10">Tags!$AN$584</definedName>
    <definedName name="ITEM11_4Q06">Tags_ols!$AN$584</definedName>
    <definedName name="ITEM11_4Q07" localSheetId="10">Tags!$AS$584</definedName>
    <definedName name="ITEM11_4Q07">Tags_ols!$AS$584</definedName>
    <definedName name="ITEM11_4Q08" localSheetId="10">Tags!$AX$584</definedName>
    <definedName name="ITEM11_4Q08">Tags_ols!$AX$584</definedName>
    <definedName name="ITEM11_4Q09" localSheetId="10">Tags!$BC$584</definedName>
    <definedName name="ITEM11_4Q09">Tags_ols!$BC$584</definedName>
    <definedName name="ITEM11_4Q10" localSheetId="10">Tags!$BH$584</definedName>
    <definedName name="ITEM11_4Q10">Tags_ols!$BH$584</definedName>
    <definedName name="ITEM11_4Q11" localSheetId="10">Tags!$BM$584</definedName>
    <definedName name="ITEM11_4Q11">Tags_ols!$BM$584</definedName>
    <definedName name="ITEM11_4Q12" localSheetId="10">Tags!$BR$584</definedName>
    <definedName name="ITEM11_4Q12">Tags_ols!$BR$584</definedName>
    <definedName name="ITEM11_4Q13" localSheetId="10">Tags!$BW$584</definedName>
    <definedName name="ITEM11_4Q13">Tags_ols!$BW$584</definedName>
    <definedName name="ITEM11_4Q14" localSheetId="10">Tags!$CB$584</definedName>
    <definedName name="ITEM11_4Q14">Tags_ols!$CB$584</definedName>
    <definedName name="ITEM11_4Q15" localSheetId="10">Tags!$CG$584</definedName>
    <definedName name="ITEM11_4Q15">Tags_ols!$CG$584</definedName>
    <definedName name="ITEM11_4Q16" localSheetId="10">Tags!$CL$584</definedName>
    <definedName name="ITEM11_4Q16">Tags_ols!$CL$584</definedName>
    <definedName name="ITEM11_4Q17" localSheetId="10">Tags!$CQ$584</definedName>
    <definedName name="ITEM11_4Q17">Tags_ols!$CQ$584</definedName>
    <definedName name="ITEM11_4Q18" localSheetId="10">Tags!$CV$584</definedName>
    <definedName name="ITEM11_4Q18">Tags_ols!$CV$584</definedName>
    <definedName name="ITEM11_4Q19" localSheetId="10">Tags!$DA$584</definedName>
    <definedName name="ITEM11_4Q19">Tags_ols!$DA$584</definedName>
    <definedName name="ITEM11_4Q20" localSheetId="10">Tags!$DF$584</definedName>
    <definedName name="ITEM11_4Q20">Tags_ols!$DF$584</definedName>
    <definedName name="ITEM11_4Q21">Tags!$DK$584</definedName>
    <definedName name="ITEM11_4Q22">Tags!$DP$584</definedName>
    <definedName name="ITEM11_4Q23">Tags!$DU$584</definedName>
    <definedName name="ITEM11_4Q24">Tags!$DZ$584</definedName>
    <definedName name="ITEM12_1995">Tags_ols!$B$585</definedName>
    <definedName name="ITEM12_1996">Tags_ols!$C$585</definedName>
    <definedName name="ITEM12_1997">Tags_ols!$D$585</definedName>
    <definedName name="ITEM12_1998">Tags_ols!$E$585</definedName>
    <definedName name="ITEM12_1999">Tags_ols!$F$585</definedName>
    <definedName name="ITEM12_1Q00" localSheetId="10">Tags!$G$585</definedName>
    <definedName name="ITEM12_1Q00">Tags_ols!$G$585</definedName>
    <definedName name="ITEM12_1Q01" localSheetId="10">Tags!$L$585</definedName>
    <definedName name="ITEM12_1Q01">Tags_ols!$L$585</definedName>
    <definedName name="ITEM12_1Q02" localSheetId="10">Tags!$Q$585</definedName>
    <definedName name="ITEM12_1Q02">Tags_ols!$Q$585</definedName>
    <definedName name="ITEM12_1Q03" localSheetId="10">Tags!$V$585</definedName>
    <definedName name="ITEM12_1Q03">Tags_ols!$V$585</definedName>
    <definedName name="ITEM12_1Q04" localSheetId="10">Tags!$AA$585</definedName>
    <definedName name="ITEM12_1Q04">Tags_ols!$AA$585</definedName>
    <definedName name="ITEM12_1Q05" localSheetId="10">Tags!$AF$585</definedName>
    <definedName name="ITEM12_1Q05">Tags_ols!$AF$585</definedName>
    <definedName name="ITEM12_1Q06" localSheetId="10">Tags!$AK$585</definedName>
    <definedName name="ITEM12_1Q06">Tags_ols!$AK$585</definedName>
    <definedName name="ITEM12_1Q07" localSheetId="10">Tags!$AP$585</definedName>
    <definedName name="ITEM12_1Q07">Tags_ols!$AP$585</definedName>
    <definedName name="ITEM12_1Q08" localSheetId="10">Tags!$AU$585</definedName>
    <definedName name="ITEM12_1Q08">Tags_ols!$AU$585</definedName>
    <definedName name="ITEM12_1Q09" localSheetId="10">Tags!$AZ$585</definedName>
    <definedName name="ITEM12_1Q09">Tags_ols!$AZ$585</definedName>
    <definedName name="ITEM12_1Q10" localSheetId="10">Tags!$BE$585</definedName>
    <definedName name="ITEM12_1Q10">Tags_ols!$BE$585</definedName>
    <definedName name="ITEM12_1Q11" localSheetId="10">Tags!$BJ$585</definedName>
    <definedName name="ITEM12_1Q11">Tags_ols!$BJ$585</definedName>
    <definedName name="ITEM12_1Q12" localSheetId="10">Tags!$BO$585</definedName>
    <definedName name="ITEM12_1Q12">Tags_ols!$BO$585</definedName>
    <definedName name="ITEM12_1Q13" localSheetId="10">Tags!$BT$585</definedName>
    <definedName name="ITEM12_1Q13">Tags_ols!$BT$585</definedName>
    <definedName name="ITEM12_1Q14" localSheetId="10">Tags!$BY$585</definedName>
    <definedName name="ITEM12_1Q14">Tags_ols!$BY$585</definedName>
    <definedName name="ITEM12_1Q15" localSheetId="10">Tags!$CD$585</definedName>
    <definedName name="ITEM12_1Q15">Tags_ols!$CD$585</definedName>
    <definedName name="ITEM12_1Q16" localSheetId="10">Tags!$CI$585</definedName>
    <definedName name="ITEM12_1Q16">Tags_ols!$CI$585</definedName>
    <definedName name="ITEM12_1Q17" localSheetId="10">Tags!$CN$585</definedName>
    <definedName name="ITEM12_1Q17">Tags_ols!$CN$585</definedName>
    <definedName name="ITEM12_1Q18" localSheetId="10">Tags!$CS$585</definedName>
    <definedName name="ITEM12_1Q18">Tags_ols!$CS$585</definedName>
    <definedName name="ITEM12_1Q19" localSheetId="10">Tags!$CX$585</definedName>
    <definedName name="ITEM12_1Q19">Tags_ols!$CX$585</definedName>
    <definedName name="ITEM12_1Q20" localSheetId="10">Tags!$DC$585</definedName>
    <definedName name="ITEM12_1Q20">Tags_ols!$DC$585</definedName>
    <definedName name="ITEM12_1Q21">Tags!$DH$585</definedName>
    <definedName name="ITEM12_1Q22">Tags!$DM$585</definedName>
    <definedName name="ITEM12_1Q23">Tags!$DR$585</definedName>
    <definedName name="ITEM12_1Q24">Tags!$DW$585</definedName>
    <definedName name="ITEM12_2000" localSheetId="10">Tags!$K$585</definedName>
    <definedName name="ITEM12_2000">Tags_ols!$K$585</definedName>
    <definedName name="ITEM12_2001" localSheetId="10">Tags!$P$585</definedName>
    <definedName name="ITEM12_2001">Tags_ols!$P$585</definedName>
    <definedName name="ITEM12_2002" localSheetId="10">Tags!$U$585</definedName>
    <definedName name="ITEM12_2002">Tags_ols!$U$585</definedName>
    <definedName name="ITEM12_2003" localSheetId="10">Tags!$Z$585</definedName>
    <definedName name="ITEM12_2003">Tags_ols!$Z$585</definedName>
    <definedName name="ITEM12_2004" localSheetId="10">Tags!$AE$585</definedName>
    <definedName name="ITEM12_2004">Tags_ols!$AE$585</definedName>
    <definedName name="ITEM12_2005" localSheetId="10">Tags!$AJ$585</definedName>
    <definedName name="ITEM12_2005">Tags_ols!$AJ$585</definedName>
    <definedName name="ITEM12_2006" localSheetId="10">Tags!$AO$585</definedName>
    <definedName name="ITEM12_2006">Tags_ols!$AO$585</definedName>
    <definedName name="ITEM12_2007" localSheetId="10">Tags!$AT$585</definedName>
    <definedName name="ITEM12_2007">Tags_ols!$AT$585</definedName>
    <definedName name="ITEM12_2008" localSheetId="10">Tags!$AY$585</definedName>
    <definedName name="ITEM12_2008">Tags_ols!$AY$585</definedName>
    <definedName name="ITEM12_2009" localSheetId="10">Tags!$BD$585</definedName>
    <definedName name="ITEM12_2009">Tags_ols!$BD$585</definedName>
    <definedName name="ITEM12_2010" localSheetId="10">Tags!$BI$585</definedName>
    <definedName name="ITEM12_2010">Tags_ols!$BI$585</definedName>
    <definedName name="ITEM12_2011" localSheetId="10">Tags!$BN$585</definedName>
    <definedName name="ITEM12_2011">Tags_ols!$BN$585</definedName>
    <definedName name="ITEM12_2012" localSheetId="10">Tags!$BS$585</definedName>
    <definedName name="ITEM12_2012">Tags_ols!$BS$585</definedName>
    <definedName name="ITEM12_2013" localSheetId="10">Tags!$BX$585</definedName>
    <definedName name="ITEM12_2013">Tags_ols!$BX$585</definedName>
    <definedName name="ITEM12_2014" localSheetId="10">Tags!$CC$585</definedName>
    <definedName name="ITEM12_2014">Tags_ols!$CC$585</definedName>
    <definedName name="ITEM12_2015" localSheetId="10">Tags!#REF!</definedName>
    <definedName name="ITEM12_2015">Tags!$CH$585</definedName>
    <definedName name="ITEM12_2016" localSheetId="10">Tags!$CM$585</definedName>
    <definedName name="ITEM12_2016">Tags_ols!$CM$585</definedName>
    <definedName name="ITEM12_2017" localSheetId="10">Tags!$CR$585</definedName>
    <definedName name="ITEM12_2017">Tags_ols!$CR$585</definedName>
    <definedName name="ITEM12_2018" localSheetId="10">Tags!$CW$585</definedName>
    <definedName name="ITEM12_2018">Tags_ols!$CW$585</definedName>
    <definedName name="ITEM12_2019" localSheetId="10">Tags!$DB$585</definedName>
    <definedName name="ITEM12_2019">Tags_ols!$DB$585</definedName>
    <definedName name="ITEM12_2020" localSheetId="10">Tags!$DG$585</definedName>
    <definedName name="ITEM12_2020">Tags_ols!$DG$585</definedName>
    <definedName name="ITEM12_2021">Tags!$DL$585</definedName>
    <definedName name="ITEM12_2022">Tags!$DQ$585</definedName>
    <definedName name="ITEM12_2023">Tags!$DV$585</definedName>
    <definedName name="ITEM12_2024">Tags!$EA$585</definedName>
    <definedName name="ITEM12_2Q00" localSheetId="10">Tags!$H$585</definedName>
    <definedName name="ITEM12_2Q00">Tags_ols!$H$585</definedName>
    <definedName name="ITEM12_2Q01" localSheetId="10">Tags!$M$585</definedName>
    <definedName name="ITEM12_2Q01">Tags_ols!$M$585</definedName>
    <definedName name="ITEM12_2Q02" localSheetId="10">Tags!$R$585</definedName>
    <definedName name="ITEM12_2Q02">Tags_ols!$R$585</definedName>
    <definedName name="ITEM12_2Q03" localSheetId="10">Tags!$W$585</definedName>
    <definedName name="ITEM12_2Q03">Tags_ols!$W$585</definedName>
    <definedName name="ITEM12_2Q04" localSheetId="10">Tags!$AB$585</definedName>
    <definedName name="ITEM12_2Q04">Tags_ols!$AB$585</definedName>
    <definedName name="ITEM12_2Q05" localSheetId="10">Tags!$AG$585</definedName>
    <definedName name="ITEM12_2Q05">Tags_ols!$AG$585</definedName>
    <definedName name="ITEM12_2Q06" localSheetId="10">Tags!$AL$585</definedName>
    <definedName name="ITEM12_2Q06">Tags_ols!$AL$585</definedName>
    <definedName name="ITEM12_2Q07" localSheetId="10">Tags!$AQ$585</definedName>
    <definedName name="ITEM12_2Q07">Tags_ols!$AQ$585</definedName>
    <definedName name="ITEM12_2Q08" localSheetId="10">Tags!$AV$585</definedName>
    <definedName name="ITEM12_2Q08">Tags_ols!$AV$585</definedName>
    <definedName name="ITEM12_2Q09" localSheetId="10">Tags!$BA$585</definedName>
    <definedName name="ITEM12_2Q09">Tags_ols!$BA$585</definedName>
    <definedName name="ITEM12_2Q10" localSheetId="10">Tags!$BF$585</definedName>
    <definedName name="ITEM12_2Q10">Tags_ols!$BF$585</definedName>
    <definedName name="ITEM12_2Q11" localSheetId="10">Tags!$BK$585</definedName>
    <definedName name="ITEM12_2Q11">Tags_ols!$BK$585</definedName>
    <definedName name="ITEM12_2Q12" localSheetId="10">Tags!$BP$585</definedName>
    <definedName name="ITEM12_2Q12">Tags_ols!$BP$585</definedName>
    <definedName name="ITEM12_2Q13" localSheetId="10">Tags!$BU$585</definedName>
    <definedName name="ITEM12_2Q13">Tags_ols!$BU$585</definedName>
    <definedName name="ITEM12_2Q14" localSheetId="10">Tags!$BZ$585</definedName>
    <definedName name="ITEM12_2Q14">Tags_ols!$BZ$585</definedName>
    <definedName name="ITEM12_2Q15" localSheetId="10">Tags!$CE$585</definedName>
    <definedName name="ITEM12_2Q15">Tags_ols!$CE$585</definedName>
    <definedName name="ITEM12_2Q16" localSheetId="10">Tags!$CJ$585</definedName>
    <definedName name="ITEM12_2Q16">Tags_ols!$CJ$585</definedName>
    <definedName name="ITEM12_2Q17" localSheetId="10">Tags!$CO$585</definedName>
    <definedName name="ITEM12_2Q17">Tags_ols!$CO$585</definedName>
    <definedName name="ITEM12_2Q18" localSheetId="10">Tags!$CT$585</definedName>
    <definedName name="ITEM12_2Q18">Tags_ols!$CT$585</definedName>
    <definedName name="ITEM12_2Q19" localSheetId="10">Tags!$CY$585</definedName>
    <definedName name="ITEM12_2Q19">Tags_ols!$CY$585</definedName>
    <definedName name="ITEM12_2Q20" localSheetId="10">Tags!$DD$585</definedName>
    <definedName name="ITEM12_2Q20">Tags_ols!$DD$585</definedName>
    <definedName name="ITEM12_2Q21">Tags!$DI$585</definedName>
    <definedName name="ITEM12_2Q22">Tags!$DN$585</definedName>
    <definedName name="ITEM12_2Q23">Tags!$DS$585</definedName>
    <definedName name="ITEM12_2Q24">Tags!$DX$585</definedName>
    <definedName name="ITEM12_3Q00" localSheetId="10">Tags!$I$585</definedName>
    <definedName name="ITEM12_3Q00">Tags_ols!$I$585</definedName>
    <definedName name="ITEM12_3Q01" localSheetId="10">Tags!$N$585</definedName>
    <definedName name="ITEM12_3Q01">Tags_ols!$N$585</definedName>
    <definedName name="ITEM12_3Q02" localSheetId="10">Tags!$S$585</definedName>
    <definedName name="ITEM12_3Q02">Tags_ols!$S$585</definedName>
    <definedName name="ITEM12_3Q03" localSheetId="10">Tags!$X$585</definedName>
    <definedName name="ITEM12_3Q03">Tags_ols!$X$585</definedName>
    <definedName name="ITEM12_3Q04" localSheetId="10">Tags!$AC$585</definedName>
    <definedName name="ITEM12_3Q04">Tags_ols!$AC$585</definedName>
    <definedName name="ITEM12_3Q05" localSheetId="10">Tags!$AH$585</definedName>
    <definedName name="ITEM12_3Q05">Tags_ols!$AH$585</definedName>
    <definedName name="ITEM12_3Q06" localSheetId="10">Tags!$AM$585</definedName>
    <definedName name="ITEM12_3Q06">Tags_ols!$AM$585</definedName>
    <definedName name="ITEM12_3Q07" localSheetId="10">Tags!$AR$585</definedName>
    <definedName name="ITEM12_3Q07">Tags_ols!$AR$585</definedName>
    <definedName name="ITEM12_3Q08" localSheetId="10">Tags!$AW$585</definedName>
    <definedName name="ITEM12_3Q08">Tags_ols!$AW$585</definedName>
    <definedName name="ITEM12_3Q09" localSheetId="10">Tags!$BB$585</definedName>
    <definedName name="ITEM12_3Q09">Tags_ols!$BB$585</definedName>
    <definedName name="ITEM12_3Q10" localSheetId="10">Tags!$BG$585</definedName>
    <definedName name="ITEM12_3Q10">Tags_ols!$BG$585</definedName>
    <definedName name="ITEM12_3Q11" localSheetId="10">Tags!$BL$585</definedName>
    <definedName name="ITEM12_3Q11">Tags_ols!$BL$585</definedName>
    <definedName name="ITEM12_3Q12" localSheetId="10">Tags!$BQ$585</definedName>
    <definedName name="ITEM12_3Q12">Tags_ols!$BQ$585</definedName>
    <definedName name="ITEM12_3Q13" localSheetId="10">Tags!$BV$585</definedName>
    <definedName name="ITEM12_3Q13">Tags_ols!$BV$585</definedName>
    <definedName name="ITEM12_3Q14" localSheetId="10">Tags!$CA$585</definedName>
    <definedName name="ITEM12_3Q14">Tags_ols!$CA$585</definedName>
    <definedName name="ITEM12_3Q15" localSheetId="10">Tags!$CF$585</definedName>
    <definedName name="ITEM12_3Q15">Tags_ols!$CF$585</definedName>
    <definedName name="ITEM12_3Q16" localSheetId="10">Tags!$CK$585</definedName>
    <definedName name="ITEM12_3Q16">Tags_ols!$CK$585</definedName>
    <definedName name="ITEM12_3Q17" localSheetId="10">Tags!$CP$585</definedName>
    <definedName name="ITEM12_3Q17">Tags_ols!$CP$585</definedName>
    <definedName name="ITEM12_3Q18" localSheetId="10">Tags!$CU$585</definedName>
    <definedName name="ITEM12_3Q18">Tags_ols!$CU$585</definedName>
    <definedName name="ITEM12_3Q19" localSheetId="10">Tags!$CZ$585</definedName>
    <definedName name="ITEM12_3Q19">Tags_ols!$CZ$585</definedName>
    <definedName name="ITEM12_3Q20" localSheetId="10">Tags!$DE$585</definedName>
    <definedName name="ITEM12_3Q20">Tags_ols!$DE$585</definedName>
    <definedName name="ITEM12_3Q21">Tags!$DJ$585</definedName>
    <definedName name="ITEM12_3Q22">Tags!$DO$585</definedName>
    <definedName name="ITEM12_3Q23">Tags!$DT$585</definedName>
    <definedName name="ITEM12_3Q24">Tags!$DY$585</definedName>
    <definedName name="ITEM12_4Q00" localSheetId="10">Tags!$J$585</definedName>
    <definedName name="ITEM12_4Q00">Tags_ols!$J$585</definedName>
    <definedName name="ITEM12_4Q01" localSheetId="10">Tags!$O$585</definedName>
    <definedName name="ITEM12_4Q01">Tags_ols!$O$585</definedName>
    <definedName name="ITEM12_4Q02" localSheetId="10">Tags!$T$585</definedName>
    <definedName name="ITEM12_4Q02">Tags_ols!$T$585</definedName>
    <definedName name="ITEM12_4Q03" localSheetId="10">Tags!$Y$585</definedName>
    <definedName name="ITEM12_4Q03">Tags_ols!$Y$585</definedName>
    <definedName name="ITEM12_4Q04" localSheetId="10">Tags!$AD$585</definedName>
    <definedName name="ITEM12_4Q04">Tags_ols!$AD$585</definedName>
    <definedName name="ITEM12_4Q05" localSheetId="10">Tags!$AI$585</definedName>
    <definedName name="ITEM12_4Q05">Tags_ols!$AI$585</definedName>
    <definedName name="ITEM12_4Q06" localSheetId="10">Tags!$AN$585</definedName>
    <definedName name="ITEM12_4Q06">Tags_ols!$AN$585</definedName>
    <definedName name="ITEM12_4Q07" localSheetId="10">Tags!$AS$585</definedName>
    <definedName name="ITEM12_4Q07">Tags_ols!$AS$585</definedName>
    <definedName name="ITEM12_4Q08" localSheetId="10">Tags!$AX$585</definedName>
    <definedName name="ITEM12_4Q08">Tags_ols!$AX$585</definedName>
    <definedName name="ITEM12_4Q09" localSheetId="10">Tags!$BC$585</definedName>
    <definedName name="ITEM12_4Q09">Tags_ols!$BC$585</definedName>
    <definedName name="ITEM12_4Q10" localSheetId="10">Tags!$BH$585</definedName>
    <definedName name="ITEM12_4Q10">Tags_ols!$BH$585</definedName>
    <definedName name="ITEM12_4Q11" localSheetId="10">Tags!$BM$585</definedName>
    <definedName name="ITEM12_4Q11">Tags_ols!$BM$585</definedName>
    <definedName name="ITEM12_4Q12" localSheetId="10">Tags!$BR$585</definedName>
    <definedName name="ITEM12_4Q12">Tags_ols!$BR$585</definedName>
    <definedName name="ITEM12_4Q13" localSheetId="10">Tags!$BW$585</definedName>
    <definedName name="ITEM12_4Q13">Tags_ols!$BW$585</definedName>
    <definedName name="ITEM12_4Q14" localSheetId="10">Tags!$CB$585</definedName>
    <definedName name="ITEM12_4Q14">Tags_ols!$CB$585</definedName>
    <definedName name="ITEM12_4Q15" localSheetId="10">Tags!$CG$585</definedName>
    <definedName name="ITEM12_4Q15">Tags_ols!$CG$585</definedName>
    <definedName name="ITEM12_4Q16" localSheetId="10">Tags!$CL$585</definedName>
    <definedName name="ITEM12_4Q16">Tags_ols!$CL$585</definedName>
    <definedName name="ITEM12_4Q17" localSheetId="10">Tags!$CQ$585</definedName>
    <definedName name="ITEM12_4Q17">Tags_ols!$CQ$585</definedName>
    <definedName name="ITEM12_4Q18" localSheetId="10">Tags!$CV$585</definedName>
    <definedName name="ITEM12_4Q18">Tags_ols!$CV$585</definedName>
    <definedName name="ITEM12_4Q19" localSheetId="10">Tags!$DA$585</definedName>
    <definedName name="ITEM12_4Q19">Tags_ols!$DA$585</definedName>
    <definedName name="ITEM12_4Q20" localSheetId="10">Tags!$DF$585</definedName>
    <definedName name="ITEM12_4Q20">Tags_ols!$DF$585</definedName>
    <definedName name="ITEM12_4Q21">Tags!$DK$585</definedName>
    <definedName name="ITEM12_4Q22">Tags!$DP$585</definedName>
    <definedName name="ITEM12_4Q23">Tags!$DU$585</definedName>
    <definedName name="ITEM12_4Q24">Tags!$DZ$585</definedName>
    <definedName name="ITEM13_1995">Tags_ols!$B$586</definedName>
    <definedName name="ITEM13_1996">Tags_ols!$C$586</definedName>
    <definedName name="ITEM13_1997">Tags_ols!$D$586</definedName>
    <definedName name="ITEM13_1998">Tags_ols!$E$586</definedName>
    <definedName name="ITEM13_1999">Tags_ols!$F$586</definedName>
    <definedName name="ITEM13_1Q00" localSheetId="10">Tags!$G$586</definedName>
    <definedName name="ITEM13_1Q00">Tags_ols!$G$586</definedName>
    <definedName name="ITEM13_1Q01" localSheetId="10">Tags!$L$586</definedName>
    <definedName name="ITEM13_1Q01">Tags_ols!$L$586</definedName>
    <definedName name="ITEM13_1Q02" localSheetId="10">Tags!$Q$586</definedName>
    <definedName name="ITEM13_1Q02">Tags_ols!$Q$586</definedName>
    <definedName name="ITEM13_1Q03" localSheetId="10">Tags!$V$586</definedName>
    <definedName name="ITEM13_1Q03">Tags_ols!$V$586</definedName>
    <definedName name="ITEM13_1Q04" localSheetId="10">Tags!$AA$586</definedName>
    <definedName name="ITEM13_1Q04">Tags_ols!$AA$586</definedName>
    <definedName name="ITEM13_1Q05" localSheetId="10">Tags!$AF$586</definedName>
    <definedName name="ITEM13_1Q05">Tags_ols!$AF$586</definedName>
    <definedName name="ITEM13_1Q06" localSheetId="10">Tags!$AK$586</definedName>
    <definedName name="ITEM13_1Q06">Tags_ols!$AK$586</definedName>
    <definedName name="ITEM13_1Q07" localSheetId="10">Tags!$AP$586</definedName>
    <definedName name="ITEM13_1Q07">Tags_ols!$AP$586</definedName>
    <definedName name="ITEM13_1Q08" localSheetId="10">Tags!$AU$586</definedName>
    <definedName name="ITEM13_1Q08">Tags_ols!$AU$586</definedName>
    <definedName name="ITEM13_1Q09" localSheetId="10">Tags!$AZ$586</definedName>
    <definedName name="ITEM13_1Q09">Tags_ols!$AZ$586</definedName>
    <definedName name="ITEM13_1Q10" localSheetId="10">Tags!$BE$586</definedName>
    <definedName name="ITEM13_1Q10">Tags_ols!$BE$586</definedName>
    <definedName name="ITEM13_1Q11" localSheetId="10">Tags!$BJ$586</definedName>
    <definedName name="ITEM13_1Q11">Tags_ols!$BJ$586</definedName>
    <definedName name="ITEM13_1Q12" localSheetId="10">Tags!$BO$586</definedName>
    <definedName name="ITEM13_1Q12">Tags_ols!$BO$586</definedName>
    <definedName name="ITEM13_1Q13" localSheetId="10">Tags!$BT$586</definedName>
    <definedName name="ITEM13_1Q13">Tags_ols!$BT$586</definedName>
    <definedName name="ITEM13_1Q14" localSheetId="10">Tags!$BY$586</definedName>
    <definedName name="ITEM13_1Q14">Tags_ols!$BY$586</definedName>
    <definedName name="ITEM13_1Q15" localSheetId="10">Tags!$CD$586</definedName>
    <definedName name="ITEM13_1Q15">Tags_ols!$CD$586</definedName>
    <definedName name="ITEM13_1Q16" localSheetId="10">Tags!$CI$586</definedName>
    <definedName name="ITEM13_1Q16">Tags_ols!$CI$586</definedName>
    <definedName name="ITEM13_1Q17" localSheetId="10">Tags!$CN$586</definedName>
    <definedName name="ITEM13_1Q17">Tags_ols!$CN$586</definedName>
    <definedName name="ITEM13_1Q18" localSheetId="10">Tags!$CS$586</definedName>
    <definedName name="ITEM13_1Q18">Tags_ols!$CS$586</definedName>
    <definedName name="ITEM13_1Q19" localSheetId="10">Tags!$CX$586</definedName>
    <definedName name="ITEM13_1Q19">Tags_ols!$CX$586</definedName>
    <definedName name="ITEM13_1Q20" localSheetId="10">Tags!$DC$586</definedName>
    <definedName name="ITEM13_1Q20">Tags_ols!$DC$586</definedName>
    <definedName name="ITEM13_1Q21">Tags!$DH$586</definedName>
    <definedName name="ITEM13_1Q22">Tags!$DM$586</definedName>
    <definedName name="ITEM13_1Q23">Tags!$DR$586</definedName>
    <definedName name="ITEM13_1Q24">Tags!$DW$586</definedName>
    <definedName name="ITEM13_2000" localSheetId="10">Tags!$K$586</definedName>
    <definedName name="ITEM13_2000">Tags_ols!$K$586</definedName>
    <definedName name="ITEM13_2001" localSheetId="10">Tags!$P$586</definedName>
    <definedName name="ITEM13_2001">Tags_ols!$P$586</definedName>
    <definedName name="ITEM13_2002" localSheetId="10">Tags!$U$586</definedName>
    <definedName name="ITEM13_2002">Tags_ols!$U$586</definedName>
    <definedName name="ITEM13_2003" localSheetId="10">Tags!$Z$586</definedName>
    <definedName name="ITEM13_2003">Tags_ols!$Z$586</definedName>
    <definedName name="ITEM13_2004" localSheetId="10">Tags!$AE$586</definedName>
    <definedName name="ITEM13_2004">Tags_ols!$AE$586</definedName>
    <definedName name="ITEM13_2005" localSheetId="10">Tags!$AJ$586</definedName>
    <definedName name="ITEM13_2005">Tags_ols!$AJ$586</definedName>
    <definedName name="ITEM13_2006" localSheetId="10">Tags!$AO$586</definedName>
    <definedName name="ITEM13_2006">Tags_ols!$AO$586</definedName>
    <definedName name="ITEM13_2007" localSheetId="10">Tags!$AT$586</definedName>
    <definedName name="ITEM13_2007">Tags_ols!$AT$586</definedName>
    <definedName name="ITEM13_2008" localSheetId="10">Tags!$AY$586</definedName>
    <definedName name="ITEM13_2008">Tags_ols!$AY$586</definedName>
    <definedName name="ITEM13_2009" localSheetId="10">Tags!$BD$586</definedName>
    <definedName name="ITEM13_2009">Tags_ols!$BD$586</definedName>
    <definedName name="ITEM13_2010" localSheetId="10">Tags!$BI$586</definedName>
    <definedName name="ITEM13_2010">Tags_ols!$BI$586</definedName>
    <definedName name="ITEM13_2011" localSheetId="10">Tags!$BN$586</definedName>
    <definedName name="ITEM13_2011">Tags_ols!$BN$586</definedName>
    <definedName name="ITEM13_2012" localSheetId="10">Tags!$BS$586</definedName>
    <definedName name="ITEM13_2012">Tags_ols!$BS$586</definedName>
    <definedName name="ITEM13_2013" localSheetId="10">Tags!$BX$586</definedName>
    <definedName name="ITEM13_2013">Tags_ols!$BX$586</definedName>
    <definedName name="ITEM13_2014" localSheetId="10">Tags!$CC$586</definedName>
    <definedName name="ITEM13_2014">Tags_ols!$CC$586</definedName>
    <definedName name="ITEM13_2015" localSheetId="10">Tags!#REF!</definedName>
    <definedName name="ITEM13_2015">Tags!$CH$586</definedName>
    <definedName name="ITEM13_2016" localSheetId="10">Tags!$CM$586</definedName>
    <definedName name="ITEM13_2016">Tags_ols!$CM$586</definedName>
    <definedName name="ITEM13_2017" localSheetId="10">Tags!$CR$586</definedName>
    <definedName name="ITEM13_2017">Tags_ols!$CR$586</definedName>
    <definedName name="ITEM13_2018" localSheetId="10">Tags!$CW$586</definedName>
    <definedName name="ITEM13_2018">Tags_ols!$CW$586</definedName>
    <definedName name="ITEM13_2019" localSheetId="10">Tags!$DB$586</definedName>
    <definedName name="ITEM13_2019">Tags_ols!$DB$586</definedName>
    <definedName name="ITEM13_2020" localSheetId="10">Tags!$DG$586</definedName>
    <definedName name="ITEM13_2020">Tags_ols!$DG$586</definedName>
    <definedName name="ITEM13_2021">Tags!$DL$586</definedName>
    <definedName name="ITEM13_2022">Tags!$DQ$586</definedName>
    <definedName name="ITEM13_2023">Tags!$DV$586</definedName>
    <definedName name="ITEM13_2024">Tags!$EA$586</definedName>
    <definedName name="ITEM13_2Q00" localSheetId="10">Tags!$H$586</definedName>
    <definedName name="ITEM13_2Q00">Tags_ols!$H$586</definedName>
    <definedName name="ITEM13_2Q01" localSheetId="10">Tags!$M$586</definedName>
    <definedName name="ITEM13_2Q01">Tags_ols!$M$586</definedName>
    <definedName name="ITEM13_2Q02" localSheetId="10">Tags!$R$586</definedName>
    <definedName name="ITEM13_2Q02">Tags_ols!$R$586</definedName>
    <definedName name="ITEM13_2Q03" localSheetId="10">Tags!$W$586</definedName>
    <definedName name="ITEM13_2Q03">Tags_ols!$W$586</definedName>
    <definedName name="ITEM13_2Q04" localSheetId="10">Tags!$AB$586</definedName>
    <definedName name="ITEM13_2Q04">Tags_ols!$AB$586</definedName>
    <definedName name="ITEM13_2Q05" localSheetId="10">Tags!$AG$586</definedName>
    <definedName name="ITEM13_2Q05">Tags_ols!$AG$586</definedName>
    <definedName name="ITEM13_2Q06" localSheetId="10">Tags!$AL$586</definedName>
    <definedName name="ITEM13_2Q06">Tags_ols!$AL$586</definedName>
    <definedName name="ITEM13_2Q07" localSheetId="10">Tags!$AQ$586</definedName>
    <definedName name="ITEM13_2Q07">Tags_ols!$AQ$586</definedName>
    <definedName name="ITEM13_2Q08" localSheetId="10">Tags!$AV$586</definedName>
    <definedName name="ITEM13_2Q08">Tags_ols!$AV$586</definedName>
    <definedName name="ITEM13_2Q09" localSheetId="10">Tags!$BA$586</definedName>
    <definedName name="ITEM13_2Q09">Tags_ols!$BA$586</definedName>
    <definedName name="ITEM13_2Q10" localSheetId="10">Tags!$BF$586</definedName>
    <definedName name="ITEM13_2Q10">Tags_ols!$BF$586</definedName>
    <definedName name="ITEM13_2Q11" localSheetId="10">Tags!$BK$586</definedName>
    <definedName name="ITEM13_2Q11">Tags_ols!$BK$586</definedName>
    <definedName name="ITEM13_2Q12" localSheetId="10">Tags!$BP$586</definedName>
    <definedName name="ITEM13_2Q12">Tags_ols!$BP$586</definedName>
    <definedName name="ITEM13_2Q13" localSheetId="10">Tags!$BU$586</definedName>
    <definedName name="ITEM13_2Q13">Tags_ols!$BU$586</definedName>
    <definedName name="ITEM13_2Q14" localSheetId="10">Tags!$BZ$586</definedName>
    <definedName name="ITEM13_2Q14">Tags_ols!$BZ$586</definedName>
    <definedName name="ITEM13_2Q15" localSheetId="10">Tags!$CE$586</definedName>
    <definedName name="ITEM13_2Q15">Tags_ols!$CE$586</definedName>
    <definedName name="ITEM13_2Q16" localSheetId="10">Tags!$CJ$586</definedName>
    <definedName name="ITEM13_2Q16">Tags_ols!$CJ$586</definedName>
    <definedName name="ITEM13_2Q17" localSheetId="10">Tags!$CO$586</definedName>
    <definedName name="ITEM13_2Q17">Tags_ols!$CO$586</definedName>
    <definedName name="ITEM13_2Q18" localSheetId="10">Tags!$CT$586</definedName>
    <definedName name="ITEM13_2Q18">Tags_ols!$CT$586</definedName>
    <definedName name="ITEM13_2Q19" localSheetId="10">Tags!$CY$586</definedName>
    <definedName name="ITEM13_2Q19">Tags_ols!$CY$586</definedName>
    <definedName name="ITEM13_2Q20" localSheetId="10">Tags!$DD$586</definedName>
    <definedName name="ITEM13_2Q20">Tags_ols!$DD$586</definedName>
    <definedName name="ITEM13_2Q21">Tags!$DI$586</definedName>
    <definedName name="ITEM13_2Q22">Tags!$DN$586</definedName>
    <definedName name="ITEM13_2Q23">Tags!$DS$586</definedName>
    <definedName name="ITEM13_2Q24">Tags!$DX$586</definedName>
    <definedName name="ITEM13_3Q00" localSheetId="10">Tags!$I$586</definedName>
    <definedName name="ITEM13_3Q00">Tags_ols!$I$586</definedName>
    <definedName name="ITEM13_3Q01" localSheetId="10">Tags!$N$586</definedName>
    <definedName name="ITEM13_3Q01">Tags_ols!$N$586</definedName>
    <definedName name="ITEM13_3Q02" localSheetId="10">Tags!$S$586</definedName>
    <definedName name="ITEM13_3Q02">Tags_ols!$S$586</definedName>
    <definedName name="ITEM13_3Q03" localSheetId="10">Tags!$X$586</definedName>
    <definedName name="ITEM13_3Q03">Tags_ols!$X$586</definedName>
    <definedName name="ITEM13_3Q04" localSheetId="10">Tags!$AC$586</definedName>
    <definedName name="ITEM13_3Q04">Tags_ols!$AC$586</definedName>
    <definedName name="ITEM13_3Q05" localSheetId="10">Tags!$AH$586</definedName>
    <definedName name="ITEM13_3Q05">Tags_ols!$AH$586</definedName>
    <definedName name="ITEM13_3Q06" localSheetId="10">Tags!$AM$586</definedName>
    <definedName name="ITEM13_3Q06">Tags_ols!$AM$586</definedName>
    <definedName name="ITEM13_3Q07" localSheetId="10">Tags!$AR$586</definedName>
    <definedName name="ITEM13_3Q07">Tags_ols!$AR$586</definedName>
    <definedName name="ITEM13_3Q08" localSheetId="10">Tags!$AW$586</definedName>
    <definedName name="ITEM13_3Q08">Tags_ols!$AW$586</definedName>
    <definedName name="ITEM13_3Q09" localSheetId="10">Tags!$BB$586</definedName>
    <definedName name="ITEM13_3Q09">Tags_ols!$BB$586</definedName>
    <definedName name="ITEM13_3Q10" localSheetId="10">Tags!$BG$586</definedName>
    <definedName name="ITEM13_3Q10">Tags_ols!$BG$586</definedName>
    <definedName name="ITEM13_3Q11" localSheetId="10">Tags!$BL$586</definedName>
    <definedName name="ITEM13_3Q11">Tags_ols!$BL$586</definedName>
    <definedName name="ITEM13_3Q12" localSheetId="10">Tags!$BQ$586</definedName>
    <definedName name="ITEM13_3Q12">Tags_ols!$BQ$586</definedName>
    <definedName name="ITEM13_3Q13" localSheetId="10">Tags!$BV$586</definedName>
    <definedName name="ITEM13_3Q13">Tags_ols!$BV$586</definedName>
    <definedName name="ITEM13_3Q14" localSheetId="10">Tags!$CA$586</definedName>
    <definedName name="ITEM13_3Q14">Tags_ols!$CA$586</definedName>
    <definedName name="ITEM13_3Q15" localSheetId="10">Tags!$CF$586</definedName>
    <definedName name="ITEM13_3Q15">Tags_ols!$CF$586</definedName>
    <definedName name="ITEM13_3Q16" localSheetId="10">Tags!$CK$586</definedName>
    <definedName name="ITEM13_3Q16">Tags_ols!$CK$586</definedName>
    <definedName name="ITEM13_3Q17" localSheetId="10">Tags!$CP$586</definedName>
    <definedName name="ITEM13_3Q17">Tags_ols!$CP$586</definedName>
    <definedName name="ITEM13_3Q18" localSheetId="10">Tags!$CU$586</definedName>
    <definedName name="ITEM13_3Q18">Tags_ols!$CU$586</definedName>
    <definedName name="ITEM13_3Q19" localSheetId="10">Tags!$CZ$586</definedName>
    <definedName name="ITEM13_3Q19">Tags_ols!$CZ$586</definedName>
    <definedName name="ITEM13_3Q20" localSheetId="10">Tags!$DE$586</definedName>
    <definedName name="ITEM13_3Q20">Tags_ols!$DE$586</definedName>
    <definedName name="ITEM13_3Q21">Tags!$DJ$586</definedName>
    <definedName name="ITEM13_3Q22">Tags!$DO$586</definedName>
    <definedName name="ITEM13_3Q23">Tags!$DT$586</definedName>
    <definedName name="ITEM13_3Q24">Tags!$DY$586</definedName>
    <definedName name="ITEM13_4Q00" localSheetId="10">Tags!$J$586</definedName>
    <definedName name="ITEM13_4Q00">Tags_ols!$J$586</definedName>
    <definedName name="ITEM13_4Q01" localSheetId="10">Tags!$O$586</definedName>
    <definedName name="ITEM13_4Q01">Tags_ols!$O$586</definedName>
    <definedName name="ITEM13_4Q02" localSheetId="10">Tags!$T$586</definedName>
    <definedName name="ITEM13_4Q02">Tags_ols!$T$586</definedName>
    <definedName name="ITEM13_4Q03" localSheetId="10">Tags!$Y$586</definedName>
    <definedName name="ITEM13_4Q03">Tags_ols!$Y$586</definedName>
    <definedName name="ITEM13_4Q04" localSheetId="10">Tags!$AD$586</definedName>
    <definedName name="ITEM13_4Q04">Tags_ols!$AD$586</definedName>
    <definedName name="ITEM13_4Q05" localSheetId="10">Tags!$AI$586</definedName>
    <definedName name="ITEM13_4Q05">Tags_ols!$AI$586</definedName>
    <definedName name="ITEM13_4Q06" localSheetId="10">Tags!$AN$586</definedName>
    <definedName name="ITEM13_4Q06">Tags_ols!$AN$586</definedName>
    <definedName name="ITEM13_4Q07" localSheetId="10">Tags!$AS$586</definedName>
    <definedName name="ITEM13_4Q07">Tags_ols!$AS$586</definedName>
    <definedName name="ITEM13_4Q08" localSheetId="10">Tags!$AX$586</definedName>
    <definedName name="ITEM13_4Q08">Tags_ols!$AX$586</definedName>
    <definedName name="ITEM13_4Q09" localSheetId="10">Tags!$BC$586</definedName>
    <definedName name="ITEM13_4Q09">Tags_ols!$BC$586</definedName>
    <definedName name="ITEM13_4Q10" localSheetId="10">Tags!$BH$586</definedName>
    <definedName name="ITEM13_4Q10">Tags_ols!$BH$586</definedName>
    <definedName name="ITEM13_4Q11" localSheetId="10">Tags!$BM$586</definedName>
    <definedName name="ITEM13_4Q11">Tags_ols!$BM$586</definedName>
    <definedName name="ITEM13_4Q12" localSheetId="10">Tags!$BR$586</definedName>
    <definedName name="ITEM13_4Q12">Tags_ols!$BR$586</definedName>
    <definedName name="ITEM13_4Q13" localSheetId="10">Tags!$BW$586</definedName>
    <definedName name="ITEM13_4Q13">Tags_ols!$BW$586</definedName>
    <definedName name="ITEM13_4Q14" localSheetId="10">Tags!$CB$586</definedName>
    <definedName name="ITEM13_4Q14">Tags_ols!$CB$586</definedName>
    <definedName name="ITEM13_4Q15" localSheetId="10">Tags!$CG$586</definedName>
    <definedName name="ITEM13_4Q15">Tags_ols!$CG$586</definedName>
    <definedName name="ITEM13_4Q16" localSheetId="10">Tags!$CL$586</definedName>
    <definedName name="ITEM13_4Q16">Tags_ols!$CL$586</definedName>
    <definedName name="ITEM13_4Q17" localSheetId="10">Tags!$CQ$586</definedName>
    <definedName name="ITEM13_4Q17">Tags_ols!$CQ$586</definedName>
    <definedName name="ITEM13_4Q18" localSheetId="10">Tags!$CV$586</definedName>
    <definedName name="ITEM13_4Q18">Tags_ols!$CV$586</definedName>
    <definedName name="ITEM13_4Q19" localSheetId="10">Tags!$DA$586</definedName>
    <definedName name="ITEM13_4Q19">Tags_ols!$DA$586</definedName>
    <definedName name="ITEM13_4Q20" localSheetId="10">Tags!$DF$586</definedName>
    <definedName name="ITEM13_4Q20">Tags_ols!$DF$586</definedName>
    <definedName name="ITEM13_4Q21">Tags!$DK$586</definedName>
    <definedName name="ITEM13_4Q22">Tags!$DP$586</definedName>
    <definedName name="ITEM13_4Q23">Tags!$DU$586</definedName>
    <definedName name="ITEM13_4Q24">Tags!$DZ$586</definedName>
    <definedName name="ITEM14_1995">Tags_ols!$B$587</definedName>
    <definedName name="ITEM14_1996">Tags_ols!$C$587</definedName>
    <definedName name="ITEM14_1997">Tags_ols!$D$587</definedName>
    <definedName name="ITEM14_1998">Tags_ols!$E$587</definedName>
    <definedName name="ITEM14_1999">Tags_ols!$F$587</definedName>
    <definedName name="ITEM14_1Q00" localSheetId="10">Tags!$G$587</definedName>
    <definedName name="ITEM14_1Q00">Tags_ols!$G$587</definedName>
    <definedName name="ITEM14_1Q01" localSheetId="10">Tags!$L$587</definedName>
    <definedName name="ITEM14_1Q01">Tags_ols!$L$587</definedName>
    <definedName name="ITEM14_1Q02" localSheetId="10">Tags!$Q$587</definedName>
    <definedName name="ITEM14_1Q02">Tags_ols!$Q$587</definedName>
    <definedName name="ITEM14_1Q03" localSheetId="10">Tags!$V$587</definedName>
    <definedName name="ITEM14_1Q03">Tags_ols!$V$587</definedName>
    <definedName name="ITEM14_1Q04" localSheetId="10">Tags!$AA$587</definedName>
    <definedName name="ITEM14_1Q04">Tags_ols!$AA$587</definedName>
    <definedName name="ITEM14_1Q05" localSheetId="10">Tags!$AF$587</definedName>
    <definedName name="ITEM14_1Q05">Tags_ols!$AF$587</definedName>
    <definedName name="ITEM14_1Q06" localSheetId="10">Tags!$AK$587</definedName>
    <definedName name="ITEM14_1Q06">Tags_ols!$AK$587</definedName>
    <definedName name="ITEM14_1Q07" localSheetId="10">Tags!$AP$587</definedName>
    <definedName name="ITEM14_1Q07">Tags_ols!$AP$587</definedName>
    <definedName name="ITEM14_1Q08" localSheetId="10">Tags!$AU$587</definedName>
    <definedName name="ITEM14_1Q08">Tags_ols!$AU$587</definedName>
    <definedName name="ITEM14_1Q09" localSheetId="10">Tags!$AZ$587</definedName>
    <definedName name="ITEM14_1Q09">Tags_ols!$AZ$587</definedName>
    <definedName name="ITEM14_1Q10" localSheetId="10">Tags!$BE$587</definedName>
    <definedName name="ITEM14_1Q10">Tags_ols!$BE$587</definedName>
    <definedName name="ITEM14_1Q11" localSheetId="10">Tags!$BJ$587</definedName>
    <definedName name="ITEM14_1Q11">Tags_ols!$BJ$587</definedName>
    <definedName name="ITEM14_1Q12" localSheetId="10">Tags!$BO$587</definedName>
    <definedName name="ITEM14_1Q12">Tags_ols!$BO$587</definedName>
    <definedName name="ITEM14_1Q13" localSheetId="10">Tags!$BT$587</definedName>
    <definedName name="ITEM14_1Q13">Tags_ols!$BT$587</definedName>
    <definedName name="ITEM14_1Q14" localSheetId="10">Tags!$BY$587</definedName>
    <definedName name="ITEM14_1Q14">Tags_ols!$BY$587</definedName>
    <definedName name="ITEM14_1Q15" localSheetId="10">Tags!$CD$587</definedName>
    <definedName name="ITEM14_1Q15">Tags_ols!$CD$587</definedName>
    <definedName name="ITEM14_1Q16" localSheetId="10">Tags!$CI$587</definedName>
    <definedName name="ITEM14_1Q16">Tags_ols!$CI$587</definedName>
    <definedName name="ITEM14_1Q17" localSheetId="10">Tags!$CN$587</definedName>
    <definedName name="ITEM14_1Q17">Tags_ols!$CN$587</definedName>
    <definedName name="ITEM14_1Q18" localSheetId="10">Tags!$CS$587</definedName>
    <definedName name="ITEM14_1Q18">Tags_ols!$CS$587</definedName>
    <definedName name="ITEM14_1Q19" localSheetId="10">Tags!$CX$587</definedName>
    <definedName name="ITEM14_1Q19">Tags_ols!$CX$587</definedName>
    <definedName name="ITEM14_1Q20" localSheetId="10">Tags!$DC$587</definedName>
    <definedName name="ITEM14_1Q20">Tags_ols!$DC$587</definedName>
    <definedName name="ITEM14_1Q21">Tags!$DH$587</definedName>
    <definedName name="ITEM14_1Q22">Tags!$DM$587</definedName>
    <definedName name="ITEM14_1Q23">Tags!$DR$587</definedName>
    <definedName name="ITEM14_1Q24">Tags!$DW$587</definedName>
    <definedName name="ITEM14_2000" localSheetId="10">Tags!$K$587</definedName>
    <definedName name="ITEM14_2000">Tags_ols!$K$587</definedName>
    <definedName name="ITEM14_2001" localSheetId="10">Tags!$P$587</definedName>
    <definedName name="ITEM14_2001">Tags_ols!$P$587</definedName>
    <definedName name="ITEM14_2002" localSheetId="10">Tags!$U$587</definedName>
    <definedName name="ITEM14_2002">Tags_ols!$U$587</definedName>
    <definedName name="ITEM14_2003" localSheetId="10">Tags!$Z$587</definedName>
    <definedName name="ITEM14_2003">Tags_ols!$Z$587</definedName>
    <definedName name="ITEM14_2004" localSheetId="10">Tags!$AE$587</definedName>
    <definedName name="ITEM14_2004">Tags_ols!$AE$587</definedName>
    <definedName name="ITEM14_2005" localSheetId="10">Tags!$AJ$587</definedName>
    <definedName name="ITEM14_2005">Tags_ols!$AJ$587</definedName>
    <definedName name="ITEM14_2006" localSheetId="10">Tags!$AO$587</definedName>
    <definedName name="ITEM14_2006">Tags_ols!$AO$587</definedName>
    <definedName name="ITEM14_2007" localSheetId="10">Tags!$AT$587</definedName>
    <definedName name="ITEM14_2007">Tags_ols!$AT$587</definedName>
    <definedName name="ITEM14_2008" localSheetId="10">Tags!$AY$587</definedName>
    <definedName name="ITEM14_2008">Tags_ols!$AY$587</definedName>
    <definedName name="ITEM14_2009" localSheetId="10">Tags!$BD$587</definedName>
    <definedName name="ITEM14_2009">Tags_ols!$BD$587</definedName>
    <definedName name="ITEM14_2010" localSheetId="10">Tags!$BI$587</definedName>
    <definedName name="ITEM14_2010">Tags_ols!$BI$587</definedName>
    <definedName name="ITEM14_2011" localSheetId="10">Tags!$BN$587</definedName>
    <definedName name="ITEM14_2011">Tags_ols!$BN$587</definedName>
    <definedName name="ITEM14_2012" localSheetId="10">Tags!$BS$587</definedName>
    <definedName name="ITEM14_2012">Tags_ols!$BS$587</definedName>
    <definedName name="ITEM14_2013" localSheetId="10">Tags!$BX$587</definedName>
    <definedName name="ITEM14_2013">Tags_ols!$BX$587</definedName>
    <definedName name="ITEM14_2014" localSheetId="10">Tags!$CC$587</definedName>
    <definedName name="ITEM14_2014">Tags_ols!$CC$587</definedName>
    <definedName name="ITEM14_2015" localSheetId="10">Tags!#REF!</definedName>
    <definedName name="ITEM14_2015">Tags!$CH$587</definedName>
    <definedName name="ITEM14_2016" localSheetId="10">Tags!$CM$587</definedName>
    <definedName name="ITEM14_2016">Tags_ols!$CM$587</definedName>
    <definedName name="ITEM14_2017" localSheetId="10">Tags!$CR$587</definedName>
    <definedName name="ITEM14_2017">Tags_ols!$CR$587</definedName>
    <definedName name="ITEM14_2018" localSheetId="10">Tags!$CW$587</definedName>
    <definedName name="ITEM14_2018">Tags_ols!$CW$587</definedName>
    <definedName name="ITEM14_2019" localSheetId="10">Tags!$DB$587</definedName>
    <definedName name="ITEM14_2019">Tags_ols!$DB$587</definedName>
    <definedName name="ITEM14_2020" localSheetId="10">Tags!$DG$587</definedName>
    <definedName name="ITEM14_2020">Tags_ols!$DG$587</definedName>
    <definedName name="ITEM14_2021">Tags!$DL$587</definedName>
    <definedName name="ITEM14_2022">Tags!$DQ$587</definedName>
    <definedName name="ITEM14_2023">Tags!$DV$587</definedName>
    <definedName name="ITEM14_2024">Tags!$EA$587</definedName>
    <definedName name="ITEM14_2Q00" localSheetId="10">Tags!$H$587</definedName>
    <definedName name="ITEM14_2Q00">Tags_ols!$H$587</definedName>
    <definedName name="ITEM14_2Q01" localSheetId="10">Tags!$M$587</definedName>
    <definedName name="ITEM14_2Q01">Tags_ols!$M$587</definedName>
    <definedName name="ITEM14_2Q02" localSheetId="10">Tags!$R$587</definedName>
    <definedName name="ITEM14_2Q02">Tags_ols!$R$587</definedName>
    <definedName name="ITEM14_2Q03" localSheetId="10">Tags!$W$587</definedName>
    <definedName name="ITEM14_2Q03">Tags_ols!$W$587</definedName>
    <definedName name="ITEM14_2Q04" localSheetId="10">Tags!$AB$587</definedName>
    <definedName name="ITEM14_2Q04">Tags_ols!$AB$587</definedName>
    <definedName name="ITEM14_2Q05" localSheetId="10">Tags!$AG$587</definedName>
    <definedName name="ITEM14_2Q05">Tags_ols!$AG$587</definedName>
    <definedName name="ITEM14_2Q06" localSheetId="10">Tags!$AL$587</definedName>
    <definedName name="ITEM14_2Q06">Tags_ols!$AL$587</definedName>
    <definedName name="ITEM14_2Q07" localSheetId="10">Tags!$AQ$587</definedName>
    <definedName name="ITEM14_2Q07">Tags_ols!$AQ$587</definedName>
    <definedName name="ITEM14_2Q08" localSheetId="10">Tags!$AV$587</definedName>
    <definedName name="ITEM14_2Q08">Tags_ols!$AV$587</definedName>
    <definedName name="ITEM14_2Q09" localSheetId="10">Tags!$BA$587</definedName>
    <definedName name="ITEM14_2Q09">Tags_ols!$BA$587</definedName>
    <definedName name="ITEM14_2Q10" localSheetId="10">Tags!$BF$587</definedName>
    <definedName name="ITEM14_2Q10">Tags_ols!$BF$587</definedName>
    <definedName name="ITEM14_2Q11" localSheetId="10">Tags!$BK$587</definedName>
    <definedName name="ITEM14_2Q11">Tags_ols!$BK$587</definedName>
    <definedName name="ITEM14_2Q12" localSheetId="10">Tags!$BP$587</definedName>
    <definedName name="ITEM14_2Q12">Tags_ols!$BP$587</definedName>
    <definedName name="ITEM14_2Q13" localSheetId="10">Tags!$BU$587</definedName>
    <definedName name="ITEM14_2Q13">Tags_ols!$BU$587</definedName>
    <definedName name="ITEM14_2Q14" localSheetId="10">Tags!$BZ$587</definedName>
    <definedName name="ITEM14_2Q14">Tags_ols!$BZ$587</definedName>
    <definedName name="ITEM14_2Q15" localSheetId="10">Tags!$CE$587</definedName>
    <definedName name="ITEM14_2Q15">Tags_ols!$CE$587</definedName>
    <definedName name="ITEM14_2Q16" localSheetId="10">Tags!$CJ$587</definedName>
    <definedName name="ITEM14_2Q16">Tags_ols!$CJ$587</definedName>
    <definedName name="ITEM14_2Q17" localSheetId="10">Tags!$CO$587</definedName>
    <definedName name="ITEM14_2Q17">Tags_ols!$CO$587</definedName>
    <definedName name="ITEM14_2Q18" localSheetId="10">Tags!$CT$587</definedName>
    <definedName name="ITEM14_2Q18">Tags_ols!$CT$587</definedName>
    <definedName name="ITEM14_2Q19" localSheetId="10">Tags!$CY$587</definedName>
    <definedName name="ITEM14_2Q19">Tags_ols!$CY$587</definedName>
    <definedName name="ITEM14_2Q20" localSheetId="10">Tags!$DD$587</definedName>
    <definedName name="ITEM14_2Q20">Tags_ols!$DD$587</definedName>
    <definedName name="ITEM14_2Q21">Tags!$DI$587</definedName>
    <definedName name="ITEM14_2Q22">Tags!$DN$587</definedName>
    <definedName name="ITEM14_2Q23">Tags!$DS$587</definedName>
    <definedName name="ITEM14_2Q24">Tags!$DX$587</definedName>
    <definedName name="ITEM14_3Q00" localSheetId="10">Tags!$I$587</definedName>
    <definedName name="ITEM14_3Q00">Tags_ols!$I$587</definedName>
    <definedName name="ITEM14_3Q01" localSheetId="10">Tags!$N$587</definedName>
    <definedName name="ITEM14_3Q01">Tags_ols!$N$587</definedName>
    <definedName name="ITEM14_3Q02" localSheetId="10">Tags!$S$587</definedName>
    <definedName name="ITEM14_3Q02">Tags_ols!$S$587</definedName>
    <definedName name="ITEM14_3Q03" localSheetId="10">Tags!$X$587</definedName>
    <definedName name="ITEM14_3Q03">Tags_ols!$X$587</definedName>
    <definedName name="ITEM14_3Q04" localSheetId="10">Tags!$AC$587</definedName>
    <definedName name="ITEM14_3Q04">Tags_ols!$AC$587</definedName>
    <definedName name="ITEM14_3Q05" localSheetId="10">Tags!$AH$587</definedName>
    <definedName name="ITEM14_3Q05">Tags_ols!$AH$587</definedName>
    <definedName name="ITEM14_3Q06" localSheetId="10">Tags!$AM$587</definedName>
    <definedName name="ITEM14_3Q06">Tags_ols!$AM$587</definedName>
    <definedName name="ITEM14_3Q07" localSheetId="10">Tags!$AR$587</definedName>
    <definedName name="ITEM14_3Q07">Tags_ols!$AR$587</definedName>
    <definedName name="ITEM14_3Q08" localSheetId="10">Tags!$AW$587</definedName>
    <definedName name="ITEM14_3Q08">Tags_ols!$AW$587</definedName>
    <definedName name="ITEM14_3Q09" localSheetId="10">Tags!$BB$587</definedName>
    <definedName name="ITEM14_3Q09">Tags_ols!$BB$587</definedName>
    <definedName name="ITEM14_3Q10" localSheetId="10">Tags!$BG$587</definedName>
    <definedName name="ITEM14_3Q10">Tags_ols!$BG$587</definedName>
    <definedName name="ITEM14_3Q11" localSheetId="10">Tags!$BL$587</definedName>
    <definedName name="ITEM14_3Q11">Tags_ols!$BL$587</definedName>
    <definedName name="ITEM14_3Q12" localSheetId="10">Tags!$BQ$587</definedName>
    <definedName name="ITEM14_3Q12">Tags_ols!$BQ$587</definedName>
    <definedName name="ITEM14_3Q13" localSheetId="10">Tags!$BV$587</definedName>
    <definedName name="ITEM14_3Q13">Tags_ols!$BV$587</definedName>
    <definedName name="ITEM14_3Q14" localSheetId="10">Tags!$CA$587</definedName>
    <definedName name="ITEM14_3Q14">Tags_ols!$CA$587</definedName>
    <definedName name="ITEM14_3Q15" localSheetId="10">Tags!$CF$587</definedName>
    <definedName name="ITEM14_3Q15">Tags_ols!$CF$587</definedName>
    <definedName name="ITEM14_3Q16" localSheetId="10">Tags!$CK$587</definedName>
    <definedName name="ITEM14_3Q16">Tags_ols!$CK$587</definedName>
    <definedName name="ITEM14_3Q17" localSheetId="10">Tags!$CP$587</definedName>
    <definedName name="ITEM14_3Q17">Tags_ols!$CP$587</definedName>
    <definedName name="ITEM14_3Q18" localSheetId="10">Tags!$CU$587</definedName>
    <definedName name="ITEM14_3Q18">Tags_ols!$CU$587</definedName>
    <definedName name="ITEM14_3Q19" localSheetId="10">Tags!$CZ$587</definedName>
    <definedName name="ITEM14_3Q19">Tags_ols!$CZ$587</definedName>
    <definedName name="ITEM14_3Q20" localSheetId="10">Tags!$DE$587</definedName>
    <definedName name="ITEM14_3Q20">Tags_ols!$DE$587</definedName>
    <definedName name="ITEM14_3Q21">Tags!$DJ$587</definedName>
    <definedName name="ITEM14_3Q22">Tags!$DO$587</definedName>
    <definedName name="ITEM14_3Q23">Tags!$DT$587</definedName>
    <definedName name="ITEM14_3Q24">Tags!$DY$587</definedName>
    <definedName name="ITEM14_4Q00" localSheetId="10">Tags!$J$587</definedName>
    <definedName name="ITEM14_4Q00">Tags_ols!$J$587</definedName>
    <definedName name="ITEM14_4Q01" localSheetId="10">Tags!$O$587</definedName>
    <definedName name="ITEM14_4Q01">Tags_ols!$O$587</definedName>
    <definedName name="ITEM14_4Q02" localSheetId="10">Tags!$T$587</definedName>
    <definedName name="ITEM14_4Q02">Tags_ols!$T$587</definedName>
    <definedName name="ITEM14_4Q03" localSheetId="10">Tags!$Y$587</definedName>
    <definedName name="ITEM14_4Q03">Tags_ols!$Y$587</definedName>
    <definedName name="ITEM14_4Q04" localSheetId="10">Tags!$AD$587</definedName>
    <definedName name="ITEM14_4Q04">Tags_ols!$AD$587</definedName>
    <definedName name="ITEM14_4Q05" localSheetId="10">Tags!$AI$587</definedName>
    <definedName name="ITEM14_4Q05">Tags_ols!$AI$587</definedName>
    <definedName name="ITEM14_4Q06" localSheetId="10">Tags!$AN$587</definedName>
    <definedName name="ITEM14_4Q06">Tags_ols!$AN$587</definedName>
    <definedName name="ITEM14_4Q07" localSheetId="10">Tags!$AS$587</definedName>
    <definedName name="ITEM14_4Q07">Tags_ols!$AS$587</definedName>
    <definedName name="ITEM14_4Q08" localSheetId="10">Tags!$AX$587</definedName>
    <definedName name="ITEM14_4Q08">Tags_ols!$AX$587</definedName>
    <definedName name="ITEM14_4Q09" localSheetId="10">Tags!$BC$587</definedName>
    <definedName name="ITEM14_4Q09">Tags_ols!$BC$587</definedName>
    <definedName name="ITEM14_4Q10" localSheetId="10">Tags!$BH$587</definedName>
    <definedName name="ITEM14_4Q10">Tags_ols!$BH$587</definedName>
    <definedName name="ITEM14_4Q11" localSheetId="10">Tags!$BM$587</definedName>
    <definedName name="ITEM14_4Q11">Tags_ols!$BM$587</definedName>
    <definedName name="ITEM14_4Q12" localSheetId="10">Tags!$BR$587</definedName>
    <definedName name="ITEM14_4Q12">Tags_ols!$BR$587</definedName>
    <definedName name="ITEM14_4Q13" localSheetId="10">Tags!$BW$587</definedName>
    <definedName name="ITEM14_4Q13">Tags_ols!$BW$587</definedName>
    <definedName name="ITEM14_4Q14" localSheetId="10">Tags!$CB$587</definedName>
    <definedName name="ITEM14_4Q14">Tags_ols!$CB$587</definedName>
    <definedName name="ITEM14_4Q15" localSheetId="10">Tags!$CG$587</definedName>
    <definedName name="ITEM14_4Q15">Tags_ols!$CG$587</definedName>
    <definedName name="ITEM14_4Q16" localSheetId="10">Tags!$CL$587</definedName>
    <definedName name="ITEM14_4Q16">Tags_ols!$CL$587</definedName>
    <definedName name="ITEM14_4Q17" localSheetId="10">Tags!$CQ$587</definedName>
    <definedName name="ITEM14_4Q17">Tags_ols!$CQ$587</definedName>
    <definedName name="ITEM14_4Q18" localSheetId="10">Tags!$CV$587</definedName>
    <definedName name="ITEM14_4Q18">Tags_ols!$CV$587</definedName>
    <definedName name="ITEM14_4Q19" localSheetId="10">Tags!$DA$587</definedName>
    <definedName name="ITEM14_4Q19">Tags_ols!$DA$587</definedName>
    <definedName name="ITEM14_4Q20" localSheetId="10">Tags!$DF$587</definedName>
    <definedName name="ITEM14_4Q20">Tags_ols!$DF$587</definedName>
    <definedName name="ITEM14_4Q21">Tags!$DK$587</definedName>
    <definedName name="ITEM14_4Q22">Tags!$DP$587</definedName>
    <definedName name="ITEM14_4Q23">Tags!$DU$587</definedName>
    <definedName name="ITEM14_4Q24">Tags!$DZ$587</definedName>
    <definedName name="ITEM15_1995">Tags_ols!$B$588</definedName>
    <definedName name="ITEM15_1996">Tags_ols!$C$588</definedName>
    <definedName name="ITEM15_1997">Tags_ols!$D$588</definedName>
    <definedName name="ITEM15_1998">Tags_ols!$E$588</definedName>
    <definedName name="ITEM15_1999">Tags_ols!$F$588</definedName>
    <definedName name="ITEM15_1Q00" localSheetId="10">Tags!$G$588</definedName>
    <definedName name="ITEM15_1Q00">Tags_ols!$G$588</definedName>
    <definedName name="ITEM15_1Q01" localSheetId="10">Tags!$L$588</definedName>
    <definedName name="ITEM15_1Q01">Tags_ols!$L$588</definedName>
    <definedName name="ITEM15_1Q02" localSheetId="10">Tags!$Q$588</definedName>
    <definedName name="ITEM15_1Q02">Tags_ols!$Q$588</definedName>
    <definedName name="ITEM15_1Q03" localSheetId="10">Tags!$V$588</definedName>
    <definedName name="ITEM15_1Q03">Tags_ols!$V$588</definedName>
    <definedName name="ITEM15_1Q04" localSheetId="10">Tags!$AA$588</definedName>
    <definedName name="ITEM15_1Q04">Tags_ols!$AA$588</definedName>
    <definedName name="ITEM15_1Q05" localSheetId="10">Tags!$AF$588</definedName>
    <definedName name="ITEM15_1Q05">Tags_ols!$AF$588</definedName>
    <definedName name="ITEM15_1Q06" localSheetId="10">Tags!$AK$588</definedName>
    <definedName name="ITEM15_1Q06">Tags_ols!$AK$588</definedName>
    <definedName name="ITEM15_1Q07" localSheetId="10">Tags!$AP$588</definedName>
    <definedName name="ITEM15_1Q07">Tags_ols!$AP$588</definedName>
    <definedName name="ITEM15_1Q08" localSheetId="10">Tags!$AU$588</definedName>
    <definedName name="ITEM15_1Q08">Tags_ols!$AU$588</definedName>
    <definedName name="ITEM15_1Q09" localSheetId="10">Tags!$AZ$588</definedName>
    <definedName name="ITEM15_1Q09">Tags_ols!$AZ$588</definedName>
    <definedName name="ITEM15_1Q10" localSheetId="10">Tags!$BE$588</definedName>
    <definedName name="ITEM15_1Q10">Tags_ols!$BE$588</definedName>
    <definedName name="ITEM15_1Q11" localSheetId="10">Tags!$BJ$588</definedName>
    <definedName name="ITEM15_1Q11">Tags_ols!$BJ$588</definedName>
    <definedName name="ITEM15_1Q12" localSheetId="10">Tags!$BO$588</definedName>
    <definedName name="ITEM15_1Q12">Tags_ols!$BO$588</definedName>
    <definedName name="ITEM15_1Q13" localSheetId="10">Tags!$BT$588</definedName>
    <definedName name="ITEM15_1Q13">Tags_ols!$BT$588</definedName>
    <definedName name="ITEM15_1Q14" localSheetId="10">Tags!$BY$588</definedName>
    <definedName name="ITEM15_1Q14">Tags_ols!$BY$588</definedName>
    <definedName name="ITEM15_1Q15" localSheetId="10">Tags!$CD$588</definedName>
    <definedName name="ITEM15_1Q15">Tags_ols!$CD$588</definedName>
    <definedName name="ITEM15_1Q16" localSheetId="10">Tags!$CI$588</definedName>
    <definedName name="ITEM15_1Q16">Tags_ols!$CI$588</definedName>
    <definedName name="ITEM15_1Q17" localSheetId="10">Tags!$CN$588</definedName>
    <definedName name="ITEM15_1Q17">Tags_ols!$CN$588</definedName>
    <definedName name="ITEM15_1Q18" localSheetId="10">Tags!$CS$588</definedName>
    <definedName name="ITEM15_1Q18">Tags_ols!$CS$588</definedName>
    <definedName name="ITEM15_1Q19" localSheetId="10">Tags!$CX$588</definedName>
    <definedName name="ITEM15_1Q19">Tags_ols!$CX$588</definedName>
    <definedName name="ITEM15_1Q20" localSheetId="10">Tags!$DC$588</definedName>
    <definedName name="ITEM15_1Q20">Tags_ols!$DC$588</definedName>
    <definedName name="ITEM15_1Q21">Tags!$DH$588</definedName>
    <definedName name="ITEM15_1Q22">Tags!$DM$588</definedName>
    <definedName name="ITEM15_1Q23">Tags!$DR$588</definedName>
    <definedName name="ITEM15_1Q24">Tags!$DW$588</definedName>
    <definedName name="ITEM15_2000" localSheetId="10">Tags!$K$588</definedName>
    <definedName name="ITEM15_2000">Tags_ols!$K$588</definedName>
    <definedName name="ITEM15_2001" localSheetId="10">Tags!$P$588</definedName>
    <definedName name="ITEM15_2001">Tags_ols!$P$588</definedName>
    <definedName name="ITEM15_2002" localSheetId="10">Tags!$U$588</definedName>
    <definedName name="ITEM15_2002">Tags_ols!$U$588</definedName>
    <definedName name="ITEM15_2003" localSheetId="10">Tags!$Z$588</definedName>
    <definedName name="ITEM15_2003">Tags_ols!$Z$588</definedName>
    <definedName name="ITEM15_2004" localSheetId="10">Tags!$AE$588</definedName>
    <definedName name="ITEM15_2004">Tags_ols!$AE$588</definedName>
    <definedName name="ITEM15_2005" localSheetId="10">Tags!$AJ$588</definedName>
    <definedName name="ITEM15_2005">Tags_ols!$AJ$588</definedName>
    <definedName name="ITEM15_2006" localSheetId="10">Tags!$AO$588</definedName>
    <definedName name="ITEM15_2006">Tags_ols!$AO$588</definedName>
    <definedName name="ITEM15_2007" localSheetId="10">Tags!$AT$588</definedName>
    <definedName name="ITEM15_2007">Tags_ols!$AT$588</definedName>
    <definedName name="ITEM15_2008" localSheetId="10">Tags!$AY$588</definedName>
    <definedName name="ITEM15_2008">Tags_ols!$AY$588</definedName>
    <definedName name="ITEM15_2009" localSheetId="10">Tags!$BD$588</definedName>
    <definedName name="ITEM15_2009">Tags_ols!$BD$588</definedName>
    <definedName name="ITEM15_2010" localSheetId="10">Tags!$BI$588</definedName>
    <definedName name="ITEM15_2010">Tags_ols!$BI$588</definedName>
    <definedName name="ITEM15_2011" localSheetId="10">Tags!$BN$588</definedName>
    <definedName name="ITEM15_2011">Tags_ols!$BN$588</definedName>
    <definedName name="ITEM15_2012" localSheetId="10">Tags!$BS$588</definedName>
    <definedName name="ITEM15_2012">Tags_ols!$BS$588</definedName>
    <definedName name="ITEM15_2013" localSheetId="10">Tags!$BX$588</definedName>
    <definedName name="ITEM15_2013">Tags_ols!$BX$588</definedName>
    <definedName name="ITEM15_2014" localSheetId="10">Tags!$CC$588</definedName>
    <definedName name="ITEM15_2014">Tags_ols!$CC$588</definedName>
    <definedName name="ITEM15_2015" localSheetId="10">Tags!#REF!</definedName>
    <definedName name="ITEM15_2015">Tags!$CH$588</definedName>
    <definedName name="ITEM15_2016" localSheetId="10">Tags!$CM$588</definedName>
    <definedName name="ITEM15_2016">Tags_ols!$CM$588</definedName>
    <definedName name="ITEM15_2017" localSheetId="10">Tags!$CR$588</definedName>
    <definedName name="ITEM15_2017">Tags_ols!$CR$588</definedName>
    <definedName name="ITEM15_2018" localSheetId="10">Tags!$CW$588</definedName>
    <definedName name="ITEM15_2018">Tags_ols!$CW$588</definedName>
    <definedName name="ITEM15_2019" localSheetId="10">Tags!$DB$588</definedName>
    <definedName name="ITEM15_2019">Tags_ols!$DB$588</definedName>
    <definedName name="ITEM15_2020" localSheetId="10">Tags!$DG$588</definedName>
    <definedName name="ITEM15_2020">Tags_ols!$DG$588</definedName>
    <definedName name="ITEM15_2021">Tags!$DL$588</definedName>
    <definedName name="ITEM15_2022">Tags!$DQ$588</definedName>
    <definedName name="ITEM15_2023">Tags!$DV$588</definedName>
    <definedName name="ITEM15_2024">Tags!$EA$588</definedName>
    <definedName name="ITEM15_2Q00" localSheetId="10">Tags!$H$588</definedName>
    <definedName name="ITEM15_2Q00">Tags_ols!$H$588</definedName>
    <definedName name="ITEM15_2Q01" localSheetId="10">Tags!$M$588</definedName>
    <definedName name="ITEM15_2Q01">Tags_ols!$M$588</definedName>
    <definedName name="ITEM15_2Q02" localSheetId="10">Tags!$R$588</definedName>
    <definedName name="ITEM15_2Q02">Tags_ols!$R$588</definedName>
    <definedName name="ITEM15_2Q03" localSheetId="10">Tags!$W$588</definedName>
    <definedName name="ITEM15_2Q03">Tags_ols!$W$588</definedName>
    <definedName name="ITEM15_2Q04" localSheetId="10">Tags!$AB$588</definedName>
    <definedName name="ITEM15_2Q04">Tags_ols!$AB$588</definedName>
    <definedName name="ITEM15_2Q05" localSheetId="10">Tags!$AG$588</definedName>
    <definedName name="ITEM15_2Q05">Tags_ols!$AG$588</definedName>
    <definedName name="ITEM15_2Q06" localSheetId="10">Tags!$AL$588</definedName>
    <definedName name="ITEM15_2Q06">Tags_ols!$AL$588</definedName>
    <definedName name="ITEM15_2Q07" localSheetId="10">Tags!$AQ$588</definedName>
    <definedName name="ITEM15_2Q07">Tags_ols!$AQ$588</definedName>
    <definedName name="ITEM15_2Q08" localSheetId="10">Tags!$AV$588</definedName>
    <definedName name="ITEM15_2Q08">Tags_ols!$AV$588</definedName>
    <definedName name="ITEM15_2Q09" localSheetId="10">Tags!$BA$588</definedName>
    <definedName name="ITEM15_2Q09">Tags_ols!$BA$588</definedName>
    <definedName name="ITEM15_2Q10" localSheetId="10">Tags!$BF$588</definedName>
    <definedName name="ITEM15_2Q10">Tags_ols!$BF$588</definedName>
    <definedName name="ITEM15_2Q11" localSheetId="10">Tags!$BK$588</definedName>
    <definedName name="ITEM15_2Q11">Tags_ols!$BK$588</definedName>
    <definedName name="ITEM15_2Q12" localSheetId="10">Tags!$BP$588</definedName>
    <definedName name="ITEM15_2Q12">Tags_ols!$BP$588</definedName>
    <definedName name="ITEM15_2Q13" localSheetId="10">Tags!$BU$588</definedName>
    <definedName name="ITEM15_2Q13">Tags_ols!$BU$588</definedName>
    <definedName name="ITEM15_2Q14" localSheetId="10">Tags!$BZ$588</definedName>
    <definedName name="ITEM15_2Q14">Tags_ols!$BZ$588</definedName>
    <definedName name="ITEM15_2Q15" localSheetId="10">Tags!$CE$588</definedName>
    <definedName name="ITEM15_2Q15">Tags_ols!$CE$588</definedName>
    <definedName name="ITEM15_2Q16" localSheetId="10">Tags!$CJ$588</definedName>
    <definedName name="ITEM15_2Q16">Tags_ols!$CJ$588</definedName>
    <definedName name="ITEM15_2Q17" localSheetId="10">Tags!$CO$588</definedName>
    <definedName name="ITEM15_2Q17">Tags_ols!$CO$588</definedName>
    <definedName name="ITEM15_2Q18" localSheetId="10">Tags!$CT$588</definedName>
    <definedName name="ITEM15_2Q18">Tags_ols!$CT$588</definedName>
    <definedName name="ITEM15_2Q19" localSheetId="10">Tags!$CY$588</definedName>
    <definedName name="ITEM15_2Q19">Tags_ols!$CY$588</definedName>
    <definedName name="ITEM15_2Q20" localSheetId="10">Tags!$DD$588</definedName>
    <definedName name="ITEM15_2Q20">Tags_ols!$DD$588</definedName>
    <definedName name="ITEM15_2Q21">Tags!$DI$588</definedName>
    <definedName name="ITEM15_2Q22">Tags!$DN$588</definedName>
    <definedName name="ITEM15_2Q23">Tags!$DS$588</definedName>
    <definedName name="ITEM15_2Q24">Tags!$DX$588</definedName>
    <definedName name="ITEM15_3Q00" localSheetId="10">Tags!$I$588</definedName>
    <definedName name="ITEM15_3Q00">Tags_ols!$I$588</definedName>
    <definedName name="ITEM15_3Q01" localSheetId="10">Tags!$N$588</definedName>
    <definedName name="ITEM15_3Q01">Tags_ols!$N$588</definedName>
    <definedName name="ITEM15_3Q02" localSheetId="10">Tags!$S$588</definedName>
    <definedName name="ITEM15_3Q02">Tags_ols!$S$588</definedName>
    <definedName name="ITEM15_3Q03" localSheetId="10">Tags!$X$588</definedName>
    <definedName name="ITEM15_3Q03">Tags_ols!$X$588</definedName>
    <definedName name="ITEM15_3Q04" localSheetId="10">Tags!$AC$588</definedName>
    <definedName name="ITEM15_3Q04">Tags_ols!$AC$588</definedName>
    <definedName name="ITEM15_3Q05" localSheetId="10">Tags!$AH$588</definedName>
    <definedName name="ITEM15_3Q05">Tags_ols!$AH$588</definedName>
    <definedName name="ITEM15_3Q06" localSheetId="10">Tags!$AM$588</definedName>
    <definedName name="ITEM15_3Q06">Tags_ols!$AM$588</definedName>
    <definedName name="ITEM15_3Q07" localSheetId="10">Tags!$AR$588</definedName>
    <definedName name="ITEM15_3Q07">Tags_ols!$AR$588</definedName>
    <definedName name="ITEM15_3Q08" localSheetId="10">Tags!$AW$588</definedName>
    <definedName name="ITEM15_3Q08">Tags_ols!$AW$588</definedName>
    <definedName name="ITEM15_3Q09" localSheetId="10">Tags!$BB$588</definedName>
    <definedName name="ITEM15_3Q09">Tags_ols!$BB$588</definedName>
    <definedName name="ITEM15_3Q10" localSheetId="10">Tags!$BG$588</definedName>
    <definedName name="ITEM15_3Q10">Tags_ols!$BG$588</definedName>
    <definedName name="ITEM15_3Q11" localSheetId="10">Tags!$BL$588</definedName>
    <definedName name="ITEM15_3Q11">Tags_ols!$BL$588</definedName>
    <definedName name="ITEM15_3Q12" localSheetId="10">Tags!$BQ$588</definedName>
    <definedName name="ITEM15_3Q12">Tags_ols!$BQ$588</definedName>
    <definedName name="ITEM15_3Q13" localSheetId="10">Tags!$BV$588</definedName>
    <definedName name="ITEM15_3Q13">Tags_ols!$BV$588</definedName>
    <definedName name="ITEM15_3Q14" localSheetId="10">Tags!$CA$588</definedName>
    <definedName name="ITEM15_3Q14">Tags_ols!$CA$588</definedName>
    <definedName name="ITEM15_3Q15" localSheetId="10">Tags!$CF$588</definedName>
    <definedName name="ITEM15_3Q15">Tags_ols!$CF$588</definedName>
    <definedName name="ITEM15_3Q16" localSheetId="10">Tags!$CK$588</definedName>
    <definedName name="ITEM15_3Q16">Tags_ols!$CK$588</definedName>
    <definedName name="ITEM15_3Q17" localSheetId="10">Tags!$CP$588</definedName>
    <definedName name="ITEM15_3Q17">Tags_ols!$CP$588</definedName>
    <definedName name="ITEM15_3Q18" localSheetId="10">Tags!$CU$588</definedName>
    <definedName name="ITEM15_3Q18">Tags_ols!$CU$588</definedName>
    <definedName name="ITEM15_3Q19" localSheetId="10">Tags!$CZ$588</definedName>
    <definedName name="ITEM15_3Q19">Tags_ols!$CZ$588</definedName>
    <definedName name="ITEM15_3Q20" localSheetId="10">Tags!$DE$588</definedName>
    <definedName name="ITEM15_3Q20">Tags_ols!$DE$588</definedName>
    <definedName name="ITEM15_3Q21">Tags!$DJ$588</definedName>
    <definedName name="ITEM15_3Q22">Tags!$DO$588</definedName>
    <definedName name="ITEM15_3Q23">Tags!$DT$588</definedName>
    <definedName name="ITEM15_3Q24">Tags!$DY$588</definedName>
    <definedName name="ITEM15_4Q00" localSheetId="10">Tags!$J$588</definedName>
    <definedName name="ITEM15_4Q00">Tags_ols!$J$588</definedName>
    <definedName name="ITEM15_4Q01" localSheetId="10">Tags!$O$588</definedName>
    <definedName name="ITEM15_4Q01">Tags_ols!$O$588</definedName>
    <definedName name="ITEM15_4Q02" localSheetId="10">Tags!$T$588</definedName>
    <definedName name="ITEM15_4Q02">Tags_ols!$T$588</definedName>
    <definedName name="ITEM15_4Q03" localSheetId="10">Tags!$Y$588</definedName>
    <definedName name="ITEM15_4Q03">Tags_ols!$Y$588</definedName>
    <definedName name="ITEM15_4Q04" localSheetId="10">Tags!$AD$588</definedName>
    <definedName name="ITEM15_4Q04">Tags_ols!$AD$588</definedName>
    <definedName name="ITEM15_4Q05" localSheetId="10">Tags!$AI$588</definedName>
    <definedName name="ITEM15_4Q05">Tags_ols!$AI$588</definedName>
    <definedName name="ITEM15_4Q06" localSheetId="10">Tags!$AN$588</definedName>
    <definedName name="ITEM15_4Q06">Tags_ols!$AN$588</definedName>
    <definedName name="ITEM15_4Q07" localSheetId="10">Tags!$AS$588</definedName>
    <definedName name="ITEM15_4Q07">Tags_ols!$AS$588</definedName>
    <definedName name="ITEM15_4Q08" localSheetId="10">Tags!$AX$588</definedName>
    <definedName name="ITEM15_4Q08">Tags_ols!$AX$588</definedName>
    <definedName name="ITEM15_4Q09" localSheetId="10">Tags!$BC$588</definedName>
    <definedName name="ITEM15_4Q09">Tags_ols!$BC$588</definedName>
    <definedName name="ITEM15_4Q10" localSheetId="10">Tags!$BH$588</definedName>
    <definedName name="ITEM15_4Q10">Tags_ols!$BH$588</definedName>
    <definedName name="ITEM15_4Q11" localSheetId="10">Tags!$BM$588</definedName>
    <definedName name="ITEM15_4Q11">Tags_ols!$BM$588</definedName>
    <definedName name="ITEM15_4Q12" localSheetId="10">Tags!$BR$588</definedName>
    <definedName name="ITEM15_4Q12">Tags_ols!$BR$588</definedName>
    <definedName name="ITEM15_4Q13" localSheetId="10">Tags!$BW$588</definedName>
    <definedName name="ITEM15_4Q13">Tags_ols!$BW$588</definedName>
    <definedName name="ITEM15_4Q14" localSheetId="10">Tags!$CB$588</definedName>
    <definedName name="ITEM15_4Q14">Tags_ols!$CB$588</definedName>
    <definedName name="ITEM15_4Q15" localSheetId="10">Tags!$CG$588</definedName>
    <definedName name="ITEM15_4Q15">Tags_ols!$CG$588</definedName>
    <definedName name="ITEM15_4Q16" localSheetId="10">Tags!$CL$588</definedName>
    <definedName name="ITEM15_4Q16">Tags_ols!$CL$588</definedName>
    <definedName name="ITEM15_4Q17" localSheetId="10">Tags!$CQ$588</definedName>
    <definedName name="ITEM15_4Q17">Tags_ols!$CQ$588</definedName>
    <definedName name="ITEM15_4Q18" localSheetId="10">Tags!$CV$588</definedName>
    <definedName name="ITEM15_4Q18">Tags_ols!$CV$588</definedName>
    <definedName name="ITEM15_4Q19" localSheetId="10">Tags!$DA$588</definedName>
    <definedName name="ITEM15_4Q19">Tags_ols!$DA$588</definedName>
    <definedName name="ITEM15_4Q20" localSheetId="10">Tags!$DF$588</definedName>
    <definedName name="ITEM15_4Q20">Tags_ols!$DF$588</definedName>
    <definedName name="ITEM15_4Q21">Tags!$DK$588</definedName>
    <definedName name="ITEM15_4Q22">Tags!$DP$588</definedName>
    <definedName name="ITEM15_4Q23">Tags!$DU$588</definedName>
    <definedName name="ITEM15_4Q24">Tags!$DZ$588</definedName>
    <definedName name="ITEM16_1995">Tags_ols!$B$589</definedName>
    <definedName name="ITEM16_1996">Tags_ols!$C$589</definedName>
    <definedName name="ITEM16_1997">Tags_ols!$D$589</definedName>
    <definedName name="ITEM16_1998">Tags_ols!$E$589</definedName>
    <definedName name="ITEM16_1999">Tags_ols!$F$589</definedName>
    <definedName name="ITEM16_1Q00" localSheetId="10">Tags!$G$589</definedName>
    <definedName name="ITEM16_1Q00">Tags_ols!$G$589</definedName>
    <definedName name="ITEM16_1Q01" localSheetId="10">Tags!$L$589</definedName>
    <definedName name="ITEM16_1Q01">Tags_ols!$L$589</definedName>
    <definedName name="ITEM16_1Q02" localSheetId="10">Tags!$Q$589</definedName>
    <definedName name="ITEM16_1Q02">Tags_ols!$Q$589</definedName>
    <definedName name="ITEM16_1Q03" localSheetId="10">Tags!$V$589</definedName>
    <definedName name="ITEM16_1Q03">Tags_ols!$V$589</definedName>
    <definedName name="ITEM16_1Q04" localSheetId="10">Tags!$AA$589</definedName>
    <definedName name="ITEM16_1Q04">Tags_ols!$AA$589</definedName>
    <definedName name="ITEM16_1Q05" localSheetId="10">Tags!$AF$589</definedName>
    <definedName name="ITEM16_1Q05">Tags_ols!$AF$589</definedName>
    <definedName name="ITEM16_1Q06" localSheetId="10">Tags!$AK$589</definedName>
    <definedName name="ITEM16_1Q06">Tags_ols!$AK$589</definedName>
    <definedName name="ITEM16_1Q07" localSheetId="10">Tags!$AP$589</definedName>
    <definedName name="ITEM16_1Q07">Tags_ols!$AP$589</definedName>
    <definedName name="ITEM16_1Q08" localSheetId="10">Tags!$AU$589</definedName>
    <definedName name="ITEM16_1Q08">Tags_ols!$AU$589</definedName>
    <definedName name="ITEM16_1Q09" localSheetId="10">Tags!$AZ$589</definedName>
    <definedName name="ITEM16_1Q09">Tags_ols!$AZ$589</definedName>
    <definedName name="ITEM16_1Q10" localSheetId="10">Tags!$BE$589</definedName>
    <definedName name="ITEM16_1Q10">Tags_ols!$BE$589</definedName>
    <definedName name="ITEM16_1Q11" localSheetId="10">Tags!$BJ$589</definedName>
    <definedName name="ITEM16_1Q11">Tags_ols!$BJ$589</definedName>
    <definedName name="ITEM16_1Q12" localSheetId="10">Tags!$BO$589</definedName>
    <definedName name="ITEM16_1Q12">Tags_ols!$BO$589</definedName>
    <definedName name="ITEM16_1Q13" localSheetId="10">Tags!$BT$589</definedName>
    <definedName name="ITEM16_1Q13">Tags_ols!$BT$589</definedName>
    <definedName name="ITEM16_1Q14" localSheetId="10">Tags!$BY$589</definedName>
    <definedName name="ITEM16_1Q14">Tags_ols!$BY$589</definedName>
    <definedName name="ITEM16_1Q15" localSheetId="10">Tags!$CD$589</definedName>
    <definedName name="ITEM16_1Q15">Tags_ols!$CD$589</definedName>
    <definedName name="ITEM16_1Q16" localSheetId="10">Tags!$CI$589</definedName>
    <definedName name="ITEM16_1Q16">Tags_ols!$CI$589</definedName>
    <definedName name="ITEM16_1Q17" localSheetId="10">Tags!$CN$589</definedName>
    <definedName name="ITEM16_1Q17">Tags_ols!$CN$589</definedName>
    <definedName name="ITEM16_1Q18" localSheetId="10">Tags!$CS$589</definedName>
    <definedName name="ITEM16_1Q18">Tags_ols!$CS$589</definedName>
    <definedName name="ITEM16_1Q19" localSheetId="10">Tags!$CX$589</definedName>
    <definedName name="ITEM16_1Q19">Tags_ols!$CX$589</definedName>
    <definedName name="ITEM16_1Q20" localSheetId="10">Tags!$DC$589</definedName>
    <definedName name="ITEM16_1Q20">Tags_ols!$DC$589</definedName>
    <definedName name="ITEM16_1Q21">Tags!$DH$589</definedName>
    <definedName name="ITEM16_1Q22">Tags!$DM$589</definedName>
    <definedName name="ITEM16_1Q23">Tags!$DR$589</definedName>
    <definedName name="ITEM16_1Q24">Tags!$DW$589</definedName>
    <definedName name="ITEM16_2000" localSheetId="10">Tags!$K$589</definedName>
    <definedName name="ITEM16_2000">Tags_ols!$K$589</definedName>
    <definedName name="ITEM16_2001" localSheetId="10">Tags!$P$589</definedName>
    <definedName name="ITEM16_2001">Tags_ols!$P$589</definedName>
    <definedName name="ITEM16_2002" localSheetId="10">Tags!$U$589</definedName>
    <definedName name="ITEM16_2002">Tags_ols!$U$589</definedName>
    <definedName name="ITEM16_2003" localSheetId="10">Tags!$Z$589</definedName>
    <definedName name="ITEM16_2003">Tags_ols!$Z$589</definedName>
    <definedName name="ITEM16_2004" localSheetId="10">Tags!$AE$589</definedName>
    <definedName name="ITEM16_2004">Tags_ols!$AE$589</definedName>
    <definedName name="ITEM16_2005" localSheetId="10">Tags!$AJ$589</definedName>
    <definedName name="ITEM16_2005">Tags_ols!$AJ$589</definedName>
    <definedName name="ITEM16_2006" localSheetId="10">Tags!$AO$589</definedName>
    <definedName name="ITEM16_2006">Tags_ols!$AO$589</definedName>
    <definedName name="ITEM16_2007" localSheetId="10">Tags!$AT$589</definedName>
    <definedName name="ITEM16_2007">Tags_ols!$AT$589</definedName>
    <definedName name="ITEM16_2008" localSheetId="10">Tags!$AY$589</definedName>
    <definedName name="ITEM16_2008">Tags_ols!$AY$589</definedName>
    <definedName name="ITEM16_2009" localSheetId="10">Tags!$BD$589</definedName>
    <definedName name="ITEM16_2009">Tags_ols!$BD$589</definedName>
    <definedName name="ITEM16_2010" localSheetId="10">Tags!$BI$589</definedName>
    <definedName name="ITEM16_2010">Tags_ols!$BI$589</definedName>
    <definedName name="ITEM16_2011" localSheetId="10">Tags!$BN$589</definedName>
    <definedName name="ITEM16_2011">Tags_ols!$BN$589</definedName>
    <definedName name="ITEM16_2012" localSheetId="10">Tags!$BS$589</definedName>
    <definedName name="ITEM16_2012">Tags_ols!$BS$589</definedName>
    <definedName name="ITEM16_2013" localSheetId="10">Tags!$BX$589</definedName>
    <definedName name="ITEM16_2013">Tags_ols!$BX$589</definedName>
    <definedName name="ITEM16_2014" localSheetId="10">Tags!$CC$589</definedName>
    <definedName name="ITEM16_2014">Tags_ols!$CC$589</definedName>
    <definedName name="ITEM16_2015" localSheetId="10">Tags!#REF!</definedName>
    <definedName name="ITEM16_2015">Tags!$CH$589</definedName>
    <definedName name="ITEM16_2016" localSheetId="10">Tags!$CM$589</definedName>
    <definedName name="ITEM16_2016">Tags_ols!$CM$589</definedName>
    <definedName name="ITEM16_2017" localSheetId="10">Tags!$CR$589</definedName>
    <definedName name="ITEM16_2017">Tags_ols!$CR$589</definedName>
    <definedName name="ITEM16_2018" localSheetId="10">Tags!$CW$589</definedName>
    <definedName name="ITEM16_2018">Tags_ols!$CW$589</definedName>
    <definedName name="ITEM16_2019" localSheetId="10">Tags!$DB$589</definedName>
    <definedName name="ITEM16_2019">Tags_ols!$DB$589</definedName>
    <definedName name="ITEM16_2020" localSheetId="10">Tags!$DG$589</definedName>
    <definedName name="ITEM16_2020">Tags_ols!$DG$589</definedName>
    <definedName name="ITEM16_2021">Tags!$DL$589</definedName>
    <definedName name="ITEM16_2022">Tags!$DQ$589</definedName>
    <definedName name="ITEM16_2023">Tags!$DV$589</definedName>
    <definedName name="ITEM16_2024">Tags!$EA$589</definedName>
    <definedName name="ITEM16_2Q00" localSheetId="10">Tags!$H$589</definedName>
    <definedName name="ITEM16_2Q00">Tags_ols!$H$589</definedName>
    <definedName name="ITEM16_2Q01" localSheetId="10">Tags!$M$589</definedName>
    <definedName name="ITEM16_2Q01">Tags_ols!$M$589</definedName>
    <definedName name="ITEM16_2Q02" localSheetId="10">Tags!$R$589</definedName>
    <definedName name="ITEM16_2Q02">Tags_ols!$R$589</definedName>
    <definedName name="ITEM16_2Q03" localSheetId="10">Tags!$W$589</definedName>
    <definedName name="ITEM16_2Q03">Tags_ols!$W$589</definedName>
    <definedName name="ITEM16_2Q04" localSheetId="10">Tags!$AB$589</definedName>
    <definedName name="ITEM16_2Q04">Tags_ols!$AB$589</definedName>
    <definedName name="ITEM16_2Q05" localSheetId="10">Tags!$AG$589</definedName>
    <definedName name="ITEM16_2Q05">Tags_ols!$AG$589</definedName>
    <definedName name="ITEM16_2Q06" localSheetId="10">Tags!$AL$589</definedName>
    <definedName name="ITEM16_2Q06">Tags_ols!$AL$589</definedName>
    <definedName name="ITEM16_2Q07" localSheetId="10">Tags!$AQ$589</definedName>
    <definedName name="ITEM16_2Q07">Tags_ols!$AQ$589</definedName>
    <definedName name="ITEM16_2Q08" localSheetId="10">Tags!$AV$589</definedName>
    <definedName name="ITEM16_2Q08">Tags_ols!$AV$589</definedName>
    <definedName name="ITEM16_2Q09" localSheetId="10">Tags!$BA$589</definedName>
    <definedName name="ITEM16_2Q09">Tags_ols!$BA$589</definedName>
    <definedName name="ITEM16_2Q10" localSheetId="10">Tags!$BF$589</definedName>
    <definedName name="ITEM16_2Q10">Tags_ols!$BF$589</definedName>
    <definedName name="ITEM16_2Q11" localSheetId="10">Tags!$BK$589</definedName>
    <definedName name="ITEM16_2Q11">Tags_ols!$BK$589</definedName>
    <definedName name="ITEM16_2Q12" localSheetId="10">Tags!$BP$589</definedName>
    <definedName name="ITEM16_2Q12">Tags_ols!$BP$589</definedName>
    <definedName name="ITEM16_2Q13" localSheetId="10">Tags!$BU$589</definedName>
    <definedName name="ITEM16_2Q13">Tags_ols!$BU$589</definedName>
    <definedName name="ITEM16_2Q14" localSheetId="10">Tags!$BZ$589</definedName>
    <definedName name="ITEM16_2Q14">Tags_ols!$BZ$589</definedName>
    <definedName name="ITEM16_2Q15" localSheetId="10">Tags!$CE$589</definedName>
    <definedName name="ITEM16_2Q15">Tags_ols!$CE$589</definedName>
    <definedName name="ITEM16_2Q16" localSheetId="10">Tags!$CJ$589</definedName>
    <definedName name="ITEM16_2Q16">Tags_ols!$CJ$589</definedName>
    <definedName name="ITEM16_2Q17" localSheetId="10">Tags!$CO$589</definedName>
    <definedName name="ITEM16_2Q17">Tags_ols!$CO$589</definedName>
    <definedName name="ITEM16_2Q18" localSheetId="10">Tags!$CT$589</definedName>
    <definedName name="ITEM16_2Q18">Tags_ols!$CT$589</definedName>
    <definedName name="ITEM16_2Q19" localSheetId="10">Tags!$CY$589</definedName>
    <definedName name="ITEM16_2Q19">Tags_ols!$CY$589</definedName>
    <definedName name="ITEM16_2Q20" localSheetId="10">Tags!$DD$589</definedName>
    <definedName name="ITEM16_2Q20">Tags_ols!$DD$589</definedName>
    <definedName name="ITEM16_2Q21">Tags!$DI$589</definedName>
    <definedName name="ITEM16_2Q22">Tags!$DN$589</definedName>
    <definedName name="ITEM16_2Q23">Tags!$DS$589</definedName>
    <definedName name="ITEM16_2Q24">Tags!$DX$589</definedName>
    <definedName name="ITEM16_3Q00" localSheetId="10">Tags!$I$589</definedName>
    <definedName name="ITEM16_3Q00">Tags_ols!$I$589</definedName>
    <definedName name="ITEM16_3Q01" localSheetId="10">Tags!$N$589</definedName>
    <definedName name="ITEM16_3Q01">Tags_ols!$N$589</definedName>
    <definedName name="ITEM16_3Q02" localSheetId="10">Tags!$S$589</definedName>
    <definedName name="ITEM16_3Q02">Tags_ols!$S$589</definedName>
    <definedName name="ITEM16_3Q03" localSheetId="10">Tags!$X$589</definedName>
    <definedName name="ITEM16_3Q03">Tags_ols!$X$589</definedName>
    <definedName name="ITEM16_3Q04" localSheetId="10">Tags!$AC$589</definedName>
    <definedName name="ITEM16_3Q04">Tags_ols!$AC$589</definedName>
    <definedName name="ITEM16_3Q05" localSheetId="10">Tags!$AH$589</definedName>
    <definedName name="ITEM16_3Q05">Tags_ols!$AH$589</definedName>
    <definedName name="ITEM16_3Q06" localSheetId="10">Tags!$AM$589</definedName>
    <definedName name="ITEM16_3Q06">Tags_ols!$AM$589</definedName>
    <definedName name="ITEM16_3Q07" localSheetId="10">Tags!$AR$589</definedName>
    <definedName name="ITEM16_3Q07">Tags_ols!$AR$589</definedName>
    <definedName name="ITEM16_3Q08" localSheetId="10">Tags!$AW$589</definedName>
    <definedName name="ITEM16_3Q08">Tags_ols!$AW$589</definedName>
    <definedName name="ITEM16_3Q09" localSheetId="10">Tags!$BB$589</definedName>
    <definedName name="ITEM16_3Q09">Tags_ols!$BB$589</definedName>
    <definedName name="ITEM16_3Q10" localSheetId="10">Tags!$BG$589</definedName>
    <definedName name="ITEM16_3Q10">Tags_ols!$BG$589</definedName>
    <definedName name="ITEM16_3Q11" localSheetId="10">Tags!$BL$589</definedName>
    <definedName name="ITEM16_3Q11">Tags_ols!$BL$589</definedName>
    <definedName name="ITEM16_3Q12" localSheetId="10">Tags!$BQ$589</definedName>
    <definedName name="ITEM16_3Q12">Tags_ols!$BQ$589</definedName>
    <definedName name="ITEM16_3Q13" localSheetId="10">Tags!$BV$589</definedName>
    <definedName name="ITEM16_3Q13">Tags_ols!$BV$589</definedName>
    <definedName name="ITEM16_3Q14" localSheetId="10">Tags!$CA$589</definedName>
    <definedName name="ITEM16_3Q14">Tags_ols!$CA$589</definedName>
    <definedName name="ITEM16_3Q15" localSheetId="10">Tags!$CF$589</definedName>
    <definedName name="ITEM16_3Q15">Tags_ols!$CF$589</definedName>
    <definedName name="ITEM16_3Q16" localSheetId="10">Tags!$CK$589</definedName>
    <definedName name="ITEM16_3Q16">Tags_ols!$CK$589</definedName>
    <definedName name="ITEM16_3Q17" localSheetId="10">Tags!$CP$589</definedName>
    <definedName name="ITEM16_3Q17">Tags_ols!$CP$589</definedName>
    <definedName name="ITEM16_3Q18" localSheetId="10">Tags!$CU$589</definedName>
    <definedName name="ITEM16_3Q18">Tags_ols!$CU$589</definedName>
    <definedName name="ITEM16_3Q19" localSheetId="10">Tags!$CZ$589</definedName>
    <definedName name="ITEM16_3Q19">Tags_ols!$CZ$589</definedName>
    <definedName name="ITEM16_3Q20" localSheetId="10">Tags!$DE$589</definedName>
    <definedName name="ITEM16_3Q20">Tags_ols!$DE$589</definedName>
    <definedName name="ITEM16_3Q21">Tags!$DJ$589</definedName>
    <definedName name="ITEM16_3Q22">Tags!$DO$589</definedName>
    <definedName name="ITEM16_3Q23">Tags!$DT$589</definedName>
    <definedName name="ITEM16_3Q24">Tags!$DY$589</definedName>
    <definedName name="ITEM16_4Q00" localSheetId="10">Tags!$J$589</definedName>
    <definedName name="ITEM16_4Q00">Tags_ols!$J$589</definedName>
    <definedName name="ITEM16_4Q01" localSheetId="10">Tags!$O$589</definedName>
    <definedName name="ITEM16_4Q01">Tags_ols!$O$589</definedName>
    <definedName name="ITEM16_4Q02" localSheetId="10">Tags!$T$589</definedName>
    <definedName name="ITEM16_4Q02">Tags_ols!$T$589</definedName>
    <definedName name="ITEM16_4Q03" localSheetId="10">Tags!$Y$589</definedName>
    <definedName name="ITEM16_4Q03">Tags_ols!$Y$589</definedName>
    <definedName name="ITEM16_4Q04" localSheetId="10">Tags!$AD$589</definedName>
    <definedName name="ITEM16_4Q04">Tags_ols!$AD$589</definedName>
    <definedName name="ITEM16_4Q05" localSheetId="10">Tags!$AI$589</definedName>
    <definedName name="ITEM16_4Q05">Tags_ols!$AI$589</definedName>
    <definedName name="ITEM16_4Q06" localSheetId="10">Tags!$AN$589</definedName>
    <definedName name="ITEM16_4Q06">Tags_ols!$AN$589</definedName>
    <definedName name="ITEM16_4Q07" localSheetId="10">Tags!$AS$589</definedName>
    <definedName name="ITEM16_4Q07">Tags_ols!$AS$589</definedName>
    <definedName name="ITEM16_4Q08" localSheetId="10">Tags!$AX$589</definedName>
    <definedName name="ITEM16_4Q08">Tags_ols!$AX$589</definedName>
    <definedName name="ITEM16_4Q09" localSheetId="10">Tags!$BC$589</definedName>
    <definedName name="ITEM16_4Q09">Tags_ols!$BC$589</definedName>
    <definedName name="ITEM16_4Q10" localSheetId="10">Tags!$BH$589</definedName>
    <definedName name="ITEM16_4Q10">Tags_ols!$BH$589</definedName>
    <definedName name="ITEM16_4Q11" localSheetId="10">Tags!$BM$589</definedName>
    <definedName name="ITEM16_4Q11">Tags_ols!$BM$589</definedName>
    <definedName name="ITEM16_4Q12" localSheetId="10">Tags!$BR$589</definedName>
    <definedName name="ITEM16_4Q12">Tags_ols!$BR$589</definedName>
    <definedName name="ITEM16_4Q13" localSheetId="10">Tags!$BW$589</definedName>
    <definedName name="ITEM16_4Q13">Tags_ols!$BW$589</definedName>
    <definedName name="ITEM16_4Q14" localSheetId="10">Tags!$CB$589</definedName>
    <definedName name="ITEM16_4Q14">Tags_ols!$CB$589</definedName>
    <definedName name="ITEM16_4Q15" localSheetId="10">Tags!$CG$589</definedName>
    <definedName name="ITEM16_4Q15">Tags_ols!$CG$589</definedName>
    <definedName name="ITEM16_4Q16" localSheetId="10">Tags!$CL$589</definedName>
    <definedName name="ITEM16_4Q16">Tags_ols!$CL$589</definedName>
    <definedName name="ITEM16_4Q17" localSheetId="10">Tags!$CQ$589</definedName>
    <definedName name="ITEM16_4Q17">Tags_ols!$CQ$589</definedName>
    <definedName name="ITEM16_4Q18" localSheetId="10">Tags!$CV$589</definedName>
    <definedName name="ITEM16_4Q18">Tags_ols!$CV$589</definedName>
    <definedName name="ITEM16_4Q19" localSheetId="10">Tags!$DA$589</definedName>
    <definedName name="ITEM16_4Q19">Tags_ols!$DA$589</definedName>
    <definedName name="ITEM16_4Q20" localSheetId="10">Tags!$DF$589</definedName>
    <definedName name="ITEM16_4Q20">Tags_ols!$DF$589</definedName>
    <definedName name="ITEM16_4Q21">Tags!$DK$589</definedName>
    <definedName name="ITEM16_4Q22">Tags!$DP$589</definedName>
    <definedName name="ITEM16_4Q23">Tags!$DU$589</definedName>
    <definedName name="ITEM16_4Q24">Tags!$DZ$589</definedName>
    <definedName name="ITEM17_1995">Tags_ols!$B$590</definedName>
    <definedName name="ITEM17_1996">Tags_ols!$C$590</definedName>
    <definedName name="ITEM17_1997">Tags_ols!$D$590</definedName>
    <definedName name="ITEM17_1998">Tags_ols!$E$590</definedName>
    <definedName name="ITEM17_1999">Tags_ols!$F$590</definedName>
    <definedName name="ITEM17_1Q00" localSheetId="10">Tags!$G$590</definedName>
    <definedName name="ITEM17_1Q00">Tags_ols!$G$590</definedName>
    <definedName name="ITEM17_1Q01" localSheetId="10">Tags!$L$590</definedName>
    <definedName name="ITEM17_1Q01">Tags_ols!$L$590</definedName>
    <definedName name="ITEM17_1Q02" localSheetId="10">Tags!$Q$590</definedName>
    <definedName name="ITEM17_1Q02">Tags_ols!$Q$590</definedName>
    <definedName name="ITEM17_1Q03" localSheetId="10">Tags!$V$590</definedName>
    <definedName name="ITEM17_1Q03">Tags_ols!$V$590</definedName>
    <definedName name="ITEM17_1Q04" localSheetId="10">Tags!$AA$590</definedName>
    <definedName name="ITEM17_1Q04">Tags_ols!$AA$590</definedName>
    <definedName name="ITEM17_1Q05" localSheetId="10">Tags!$AF$590</definedName>
    <definedName name="ITEM17_1Q05">Tags_ols!$AF$590</definedName>
    <definedName name="ITEM17_1Q06" localSheetId="10">Tags!$AK$590</definedName>
    <definedName name="ITEM17_1Q06">Tags_ols!$AK$590</definedName>
    <definedName name="ITEM17_1Q07" localSheetId="10">Tags!$AP$590</definedName>
    <definedName name="ITEM17_1Q07">Tags_ols!$AP$590</definedName>
    <definedName name="ITEM17_1Q08" localSheetId="10">Tags!$AU$590</definedName>
    <definedName name="ITEM17_1Q08">Tags_ols!$AU$590</definedName>
    <definedName name="ITEM17_1Q09" localSheetId="10">Tags!$AZ$590</definedName>
    <definedName name="ITEM17_1Q09">Tags_ols!$AZ$590</definedName>
    <definedName name="ITEM17_1Q10" localSheetId="10">Tags!$BE$590</definedName>
    <definedName name="ITEM17_1Q10">Tags_ols!#REF!</definedName>
    <definedName name="ITEM17_1Q11" localSheetId="10">Tags!$BJ$590</definedName>
    <definedName name="ITEM17_1Q11">Tags_ols!$BF$590</definedName>
    <definedName name="ITEM17_1Q12" localSheetId="10">Tags!$BO$590</definedName>
    <definedName name="ITEM17_1Q12">Tags_ols!$BK$590</definedName>
    <definedName name="ITEM17_1Q13" localSheetId="10">Tags!$BT$590</definedName>
    <definedName name="ITEM17_1Q13">Tags_ols!$BP$590</definedName>
    <definedName name="ITEM17_1Q14" localSheetId="10">Tags!$BY$590</definedName>
    <definedName name="ITEM17_1Q14">Tags_ols!$BU$590</definedName>
    <definedName name="ITEM17_1Q15" localSheetId="10">Tags!$CD$590</definedName>
    <definedName name="ITEM17_1Q15">Tags_ols!$BZ$590</definedName>
    <definedName name="ITEM17_1Q16" localSheetId="10">Tags!$CI$590</definedName>
    <definedName name="ITEM17_1Q16">Tags_ols!$CE$590</definedName>
    <definedName name="ITEM17_1Q17" localSheetId="10">Tags!$CN$590</definedName>
    <definedName name="ITEM17_1Q17">Tags_ols!$CJ$590</definedName>
    <definedName name="ITEM17_1Q18" localSheetId="10">Tags!$CS$590</definedName>
    <definedName name="ITEM17_1Q18">Tags_ols!$CO$590</definedName>
    <definedName name="ITEM17_1Q19" localSheetId="10">Tags!$CX$590</definedName>
    <definedName name="ITEM17_1Q19">Tags_ols!$CT$590</definedName>
    <definedName name="ITEM17_1Q20" localSheetId="10">Tags!$DC$590</definedName>
    <definedName name="ITEM17_1Q20">Tags_ols!$DC$590</definedName>
    <definedName name="ITEM17_1Q21">Tags!$DH$590</definedName>
    <definedName name="ITEM17_1Q22">Tags!$DM$590</definedName>
    <definedName name="ITEM17_1Q23">Tags!$DR$590</definedName>
    <definedName name="ITEM17_1Q24">Tags!$DW$590</definedName>
    <definedName name="ITEM17_2000" localSheetId="10">Tags!$K$590</definedName>
    <definedName name="ITEM17_2000">Tags_ols!$K$590</definedName>
    <definedName name="ITEM17_2001" localSheetId="10">Tags!$P$590</definedName>
    <definedName name="ITEM17_2001">Tags_ols!$P$590</definedName>
    <definedName name="ITEM17_2002" localSheetId="10">Tags!$U$590</definedName>
    <definedName name="ITEM17_2002">Tags_ols!$U$590</definedName>
    <definedName name="ITEM17_2003" localSheetId="10">Tags!$Z$590</definedName>
    <definedName name="ITEM17_2003">Tags_ols!$Z$590</definedName>
    <definedName name="ITEM17_2004" localSheetId="10">Tags!$AE$590</definedName>
    <definedName name="ITEM17_2004">Tags_ols!$AE$590</definedName>
    <definedName name="ITEM17_2005" localSheetId="10">Tags!$AJ$590</definedName>
    <definedName name="ITEM17_2005">Tags_ols!$AJ$590</definedName>
    <definedName name="ITEM17_2006" localSheetId="10">Tags!$AO$590</definedName>
    <definedName name="ITEM17_2006">Tags_ols!$AO$590</definedName>
    <definedName name="ITEM17_2007" localSheetId="10">Tags!$AT$590</definedName>
    <definedName name="ITEM17_2007">Tags_ols!$AT$590</definedName>
    <definedName name="ITEM17_2008" localSheetId="10">Tags!$AY$590</definedName>
    <definedName name="ITEM17_2008">Tags_ols!$AY$590</definedName>
    <definedName name="ITEM17_2009" localSheetId="10">Tags!$BD$590</definedName>
    <definedName name="ITEM17_2009">Tags_ols!$BD$590</definedName>
    <definedName name="ITEM17_2010" localSheetId="10">Tags!$BI$590</definedName>
    <definedName name="ITEM17_2010">Tags_ols!$BE$590</definedName>
    <definedName name="ITEM17_2011" localSheetId="10">Tags!$BN$590</definedName>
    <definedName name="ITEM17_2011">Tags_ols!$BJ$590</definedName>
    <definedName name="ITEM17_2012" localSheetId="10">Tags!$BS$590</definedName>
    <definedName name="ITEM17_2012">Tags_ols!$BO$590</definedName>
    <definedName name="ITEM17_2013" localSheetId="10">Tags!$BX$590</definedName>
    <definedName name="ITEM17_2013">Tags_ols!$BT$590</definedName>
    <definedName name="ITEM17_2014" localSheetId="10">Tags!$CC$590</definedName>
    <definedName name="ITEM17_2014">Tags_ols!$BY$590</definedName>
    <definedName name="ITEM17_2015" localSheetId="10">Tags!#REF!</definedName>
    <definedName name="ITEM17_2015">Tags_ols!$CD$590</definedName>
    <definedName name="ITEM17_2016" localSheetId="10">Tags!$CM$590</definedName>
    <definedName name="ITEM17_2016">Tags_ols!$CI$590</definedName>
    <definedName name="ITEM17_2017" localSheetId="10">Tags!$CR$590</definedName>
    <definedName name="ITEM17_2017">Tags_ols!$CN$590</definedName>
    <definedName name="ITEM17_2018" localSheetId="10">Tags!$CW$590</definedName>
    <definedName name="ITEM17_2018">Tags_ols!$CS$590</definedName>
    <definedName name="ITEM17_2019" localSheetId="10">Tags!$DB$590</definedName>
    <definedName name="ITEM17_2019">Tags_ols!$CX$590</definedName>
    <definedName name="ITEM17_2020" localSheetId="10">Tags!$DG$590</definedName>
    <definedName name="ITEM17_2020">Tags_ols!$DG$590</definedName>
    <definedName name="ITEM17_2021">Tags!$DL$590</definedName>
    <definedName name="ITEM17_2022">Tags!$DQ$590</definedName>
    <definedName name="ITEM17_2023">Tags!$DV$590</definedName>
    <definedName name="ITEM17_2024">Tags!$EA$590</definedName>
    <definedName name="ITEM17_2Q00" localSheetId="10">Tags!$H$590</definedName>
    <definedName name="ITEM17_2Q00">Tags_ols!$H$590</definedName>
    <definedName name="ITEM17_2Q01" localSheetId="10">Tags!$M$590</definedName>
    <definedName name="ITEM17_2Q01">Tags_ols!$M$590</definedName>
    <definedName name="ITEM17_2Q02" localSheetId="10">Tags!$R$590</definedName>
    <definedName name="ITEM17_2Q02">Tags_ols!$R$590</definedName>
    <definedName name="ITEM17_2Q03" localSheetId="10">Tags!$W$590</definedName>
    <definedName name="ITEM17_2Q03">Tags_ols!$W$590</definedName>
    <definedName name="ITEM17_2Q04" localSheetId="10">Tags!$AB$590</definedName>
    <definedName name="ITEM17_2Q04">Tags_ols!$AB$590</definedName>
    <definedName name="ITEM17_2Q05" localSheetId="10">Tags!$AG$590</definedName>
    <definedName name="ITEM17_2Q05">Tags_ols!$AG$590</definedName>
    <definedName name="ITEM17_2Q06" localSheetId="10">Tags!$AL$590</definedName>
    <definedName name="ITEM17_2Q06">Tags_ols!$AL$590</definedName>
    <definedName name="ITEM17_2Q07" localSheetId="10">Tags!$AQ$590</definedName>
    <definedName name="ITEM17_2Q07">Tags_ols!$AQ$590</definedName>
    <definedName name="ITEM17_2Q08" localSheetId="10">Tags!$AV$590</definedName>
    <definedName name="ITEM17_2Q08">Tags_ols!$AV$590</definedName>
    <definedName name="ITEM17_2Q09" localSheetId="10">Tags!$BA$590</definedName>
    <definedName name="ITEM17_2Q09">Tags_ols!$BA$590</definedName>
    <definedName name="ITEM17_2Q10" localSheetId="10">Tags!$BF$590</definedName>
    <definedName name="ITEM17_2Q10">Tags_ols!#REF!</definedName>
    <definedName name="ITEM17_2Q11" localSheetId="10">Tags!$BK$590</definedName>
    <definedName name="ITEM17_2Q11">Tags_ols!$BG$590</definedName>
    <definedName name="ITEM17_2Q12" localSheetId="10">Tags!$BP$590</definedName>
    <definedName name="ITEM17_2Q12">Tags_ols!$BL$590</definedName>
    <definedName name="ITEM17_2Q13" localSheetId="10">Tags!$BU$590</definedName>
    <definedName name="ITEM17_2Q13">Tags_ols!$BQ$590</definedName>
    <definedName name="ITEM17_2Q14" localSheetId="10">Tags!$BZ$590</definedName>
    <definedName name="ITEM17_2Q14">Tags_ols!$BV$590</definedName>
    <definedName name="ITEM17_2Q15" localSheetId="10">Tags!$CE$590</definedName>
    <definedName name="ITEM17_2Q15">Tags_ols!$CA$590</definedName>
    <definedName name="ITEM17_2Q16" localSheetId="10">Tags!$CJ$590</definedName>
    <definedName name="ITEM17_2Q16">Tags_ols!$CF$590</definedName>
    <definedName name="ITEM17_2Q17" localSheetId="10">Tags!$CO$590</definedName>
    <definedName name="ITEM17_2Q17">Tags_ols!$CK$590</definedName>
    <definedName name="ITEM17_2Q18" localSheetId="10">Tags!$CT$590</definedName>
    <definedName name="ITEM17_2Q18">Tags_ols!$CP$590</definedName>
    <definedName name="ITEM17_2Q19" localSheetId="10">Tags!$CY$590</definedName>
    <definedName name="ITEM17_2Q19">Tags_ols!$CU$590</definedName>
    <definedName name="ITEM17_2Q20" localSheetId="10">Tags!$DD$590</definedName>
    <definedName name="ITEM17_2Q20">Tags_ols!$DD$590</definedName>
    <definedName name="ITEM17_2Q21">Tags!$DI$590</definedName>
    <definedName name="ITEM17_2Q22">Tags!$DN$590</definedName>
    <definedName name="ITEM17_2Q23">Tags!$DS$590</definedName>
    <definedName name="ITEM17_2Q24">Tags!$DX$590</definedName>
    <definedName name="ITEM17_3Q00" localSheetId="10">Tags!$I$590</definedName>
    <definedName name="ITEM17_3Q00">Tags_ols!$I$590</definedName>
    <definedName name="ITEM17_3Q01" localSheetId="10">Tags!$N$590</definedName>
    <definedName name="ITEM17_3Q01">Tags_ols!$N$590</definedName>
    <definedName name="ITEM17_3Q02" localSheetId="10">Tags!$S$590</definedName>
    <definedName name="ITEM17_3Q02">Tags_ols!$S$590</definedName>
    <definedName name="ITEM17_3Q03" localSheetId="10">Tags!$X$590</definedName>
    <definedName name="ITEM17_3Q03">Tags_ols!$X$590</definedName>
    <definedName name="ITEM17_3Q04" localSheetId="10">Tags!$AC$590</definedName>
    <definedName name="ITEM17_3Q04">Tags_ols!$AC$590</definedName>
    <definedName name="ITEM17_3Q05" localSheetId="10">Tags!$AH$590</definedName>
    <definedName name="ITEM17_3Q05">Tags_ols!$AH$590</definedName>
    <definedName name="ITEM17_3Q06" localSheetId="10">Tags!$AM$590</definedName>
    <definedName name="ITEM17_3Q06">Tags_ols!$AM$590</definedName>
    <definedName name="ITEM17_3Q07" localSheetId="10">Tags!$AR$590</definedName>
    <definedName name="ITEM17_3Q07">Tags_ols!$AR$590</definedName>
    <definedName name="ITEM17_3Q08" localSheetId="10">Tags!$AW$590</definedName>
    <definedName name="ITEM17_3Q08">Tags_ols!$AW$590</definedName>
    <definedName name="ITEM17_3Q09" localSheetId="10">Tags!$BB$590</definedName>
    <definedName name="ITEM17_3Q09">Tags_ols!$BB$590</definedName>
    <definedName name="ITEM17_3Q10" localSheetId="10">Tags!$BG$590</definedName>
    <definedName name="ITEM17_3Q10">Tags_ols!#REF!</definedName>
    <definedName name="ITEM17_3Q11" localSheetId="10">Tags!$BL$590</definedName>
    <definedName name="ITEM17_3Q11">Tags_ols!$BH$590</definedName>
    <definedName name="ITEM17_3Q12" localSheetId="10">Tags!$BQ$590</definedName>
    <definedName name="ITEM17_3Q12">Tags_ols!$BM$590</definedName>
    <definedName name="ITEM17_3Q13" localSheetId="10">Tags!$BV$590</definedName>
    <definedName name="ITEM17_3Q13">Tags_ols!$BR$590</definedName>
    <definedName name="ITEM17_3Q14" localSheetId="10">Tags!$CA$590</definedName>
    <definedName name="ITEM17_3Q14">Tags_ols!$BW$590</definedName>
    <definedName name="ITEM17_3Q15" localSheetId="10">Tags!$CF$590</definedName>
    <definedName name="ITEM17_3Q15">Tags_ols!$CB$590</definedName>
    <definedName name="ITEM17_3Q16" localSheetId="10">Tags!$CK$590</definedName>
    <definedName name="ITEM17_3Q16">Tags_ols!$CG$590</definedName>
    <definedName name="ITEM17_3Q17" localSheetId="10">Tags!$CP$590</definedName>
    <definedName name="ITEM17_3Q17">Tags_ols!$CL$590</definedName>
    <definedName name="ITEM17_3Q18" localSheetId="10">Tags!$CU$590</definedName>
    <definedName name="ITEM17_3Q18">Tags_ols!$CQ$590</definedName>
    <definedName name="ITEM17_3Q19" localSheetId="10">Tags!$CZ$590</definedName>
    <definedName name="ITEM17_3Q19">Tags_ols!$CV$590</definedName>
    <definedName name="ITEM17_3Q20" localSheetId="10">Tags!$DE$590</definedName>
    <definedName name="ITEM17_3Q20">Tags_ols!$DE$590</definedName>
    <definedName name="ITEM17_3Q21">Tags!$DJ$590</definedName>
    <definedName name="ITEM17_3Q22">Tags!$DO$590</definedName>
    <definedName name="ITEM17_3Q23">Tags!$DT$590</definedName>
    <definedName name="ITEM17_3Q24">Tags!$DY$590</definedName>
    <definedName name="ITEM17_4Q00" localSheetId="10">Tags!$J$590</definedName>
    <definedName name="ITEM17_4Q00">Tags_ols!$J$590</definedName>
    <definedName name="ITEM17_4Q01" localSheetId="10">Tags!$O$590</definedName>
    <definedName name="ITEM17_4Q01">Tags_ols!$O$590</definedName>
    <definedName name="ITEM17_4Q02" localSheetId="10">Tags!$T$590</definedName>
    <definedName name="ITEM17_4Q02">Tags_ols!$T$590</definedName>
    <definedName name="ITEM17_4Q03" localSheetId="10">Tags!$Y$590</definedName>
    <definedName name="ITEM17_4Q03">Tags_ols!$Y$590</definedName>
    <definedName name="ITEM17_4Q04" localSheetId="10">Tags!$AD$590</definedName>
    <definedName name="ITEM17_4Q04">Tags_ols!$AD$590</definedName>
    <definedName name="ITEM17_4Q05" localSheetId="10">Tags!$AI$590</definedName>
    <definedName name="ITEM17_4Q05">Tags_ols!$AI$590</definedName>
    <definedName name="ITEM17_4Q06" localSheetId="10">Tags!$AN$590</definedName>
    <definedName name="ITEM17_4Q06">Tags_ols!$AN$590</definedName>
    <definedName name="ITEM17_4Q07" localSheetId="10">Tags!$AS$590</definedName>
    <definedName name="ITEM17_4Q07">Tags_ols!$AS$590</definedName>
    <definedName name="ITEM17_4Q08" localSheetId="10">Tags!$AX$590</definedName>
    <definedName name="ITEM17_4Q08">Tags_ols!$AX$590</definedName>
    <definedName name="ITEM17_4Q09" localSheetId="10">Tags!$BC$590</definedName>
    <definedName name="ITEM17_4Q09">Tags_ols!$BC$590</definedName>
    <definedName name="ITEM17_4Q10" localSheetId="10">Tags!$BH$590</definedName>
    <definedName name="ITEM17_4Q10">Tags_ols!#REF!</definedName>
    <definedName name="ITEM17_4Q11" localSheetId="10">Tags!$BM$590</definedName>
    <definedName name="ITEM17_4Q11">Tags_ols!$BI$590</definedName>
    <definedName name="ITEM17_4Q12" localSheetId="10">Tags!$BR$590</definedName>
    <definedName name="ITEM17_4Q12">Tags_ols!$BN$590</definedName>
    <definedName name="ITEM17_4Q13" localSheetId="10">Tags!$BW$590</definedName>
    <definedName name="ITEM17_4Q13">Tags_ols!$BS$590</definedName>
    <definedName name="ITEM17_4Q14" localSheetId="10">Tags!$CB$590</definedName>
    <definedName name="ITEM17_4Q14">Tags_ols!$BX$590</definedName>
    <definedName name="ITEM17_4Q15" localSheetId="10">Tags!$CG$590</definedName>
    <definedName name="ITEM17_4Q15">Tags_ols!$CC$590</definedName>
    <definedName name="ITEM17_4Q16" localSheetId="10">Tags!$CL$590</definedName>
    <definedName name="ITEM17_4Q16">Tags!$CH$590</definedName>
    <definedName name="ITEM17_4Q17" localSheetId="10">Tags!$CQ$590</definedName>
    <definedName name="ITEM17_4Q17">Tags_ols!$CM$590</definedName>
    <definedName name="ITEM17_4Q18" localSheetId="10">Tags!$CV$590</definedName>
    <definedName name="ITEM17_4Q18">Tags_ols!$CR$590</definedName>
    <definedName name="ITEM17_4Q19" localSheetId="10">Tags!$DA$590</definedName>
    <definedName name="ITEM17_4Q19">Tags_ols!$CW$590</definedName>
    <definedName name="ITEM17_4Q20" localSheetId="10">Tags!$DF$590</definedName>
    <definedName name="ITEM17_4Q20">Tags_ols!$DF$590</definedName>
    <definedName name="ITEM17_4Q21">Tags!$DK$590</definedName>
    <definedName name="ITEM17_4Q22">Tags!$DP$590</definedName>
    <definedName name="ITEM17_4Q23">Tags!$DU$590</definedName>
    <definedName name="ITEM17_4Q24">Tags!$DZ$590</definedName>
    <definedName name="ITEM18_1995">Tags_ols!$B$591</definedName>
    <definedName name="ITEM18_1996">Tags_ols!$C$591</definedName>
    <definedName name="ITEM18_1997">Tags_ols!$D$591</definedName>
    <definedName name="ITEM18_1998">Tags_ols!$E$591</definedName>
    <definedName name="ITEM18_1999">Tags_ols!$F$591</definedName>
    <definedName name="ITEM18_1Q00" localSheetId="10">Tags!$G$591</definedName>
    <definedName name="ITEM18_1Q00">Tags_ols!$G$591</definedName>
    <definedName name="ITEM18_1Q01" localSheetId="10">Tags!$L$591</definedName>
    <definedName name="ITEM18_1Q01">Tags_ols!$L$591</definedName>
    <definedName name="ITEM18_1Q02" localSheetId="10">Tags!$Q$591</definedName>
    <definedName name="ITEM18_1Q02">Tags_ols!$Q$591</definedName>
    <definedName name="ITEM18_1Q03" localSheetId="10">Tags!$V$591</definedName>
    <definedName name="ITEM18_1Q03">Tags_ols!$V$591</definedName>
    <definedName name="ITEM18_1Q04" localSheetId="10">Tags!$AA$591</definedName>
    <definedName name="ITEM18_1Q04">Tags_ols!$AA$591</definedName>
    <definedName name="ITEM18_1Q05" localSheetId="10">Tags!$AF$591</definedName>
    <definedName name="ITEM18_1Q05">Tags_ols!$AF$591</definedName>
    <definedName name="ITEM18_1Q06" localSheetId="10">Tags!$AK$591</definedName>
    <definedName name="ITEM18_1Q06">Tags_ols!$AK$591</definedName>
    <definedName name="ITEM18_1Q07" localSheetId="10">Tags!$AP$591</definedName>
    <definedName name="ITEM18_1Q07">Tags_ols!$AP$591</definedName>
    <definedName name="ITEM18_1Q08" localSheetId="10">Tags!$AU$591</definedName>
    <definedName name="ITEM18_1Q08">Tags_ols!$AU$591</definedName>
    <definedName name="ITEM18_1Q09" localSheetId="10">Tags!$AZ$591</definedName>
    <definedName name="ITEM18_1Q09">Tags_ols!$AZ$591</definedName>
    <definedName name="ITEM18_1Q10" localSheetId="10">Tags!$BE$591</definedName>
    <definedName name="ITEM18_1Q10">Tags_ols!$BE$591</definedName>
    <definedName name="ITEM18_1Q11" localSheetId="10">Tags!$BJ$591</definedName>
    <definedName name="ITEM18_1Q11">Tags_ols!$BJ$591</definedName>
    <definedName name="ITEM18_1Q12" localSheetId="10">Tags!$BO$591</definedName>
    <definedName name="ITEM18_1Q12">Tags_ols!$BO$591</definedName>
    <definedName name="ITEM18_1Q13" localSheetId="10">Tags!$BT$591</definedName>
    <definedName name="ITEM18_1Q13">Tags_ols!$BT$591</definedName>
    <definedName name="ITEM18_1Q14" localSheetId="10">Tags!$BY$591</definedName>
    <definedName name="ITEM18_1Q14">Tags_ols!$BY$591</definedName>
    <definedName name="ITEM18_1Q15" localSheetId="10">Tags!$CD$591</definedName>
    <definedName name="ITEM18_1Q15">Tags_ols!$CD$591</definedName>
    <definedName name="ITEM18_1Q16" localSheetId="10">Tags!$CI$591</definedName>
    <definedName name="ITEM18_1Q16">Tags_ols!$CI$591</definedName>
    <definedName name="ITEM18_1Q17" localSheetId="10">Tags!$CN$591</definedName>
    <definedName name="ITEM18_1Q17">Tags_ols!$CN$591</definedName>
    <definedName name="ITEM18_1Q18" localSheetId="10">Tags!$CS$591</definedName>
    <definedName name="ITEM18_1Q18">Tags_ols!$CS$591</definedName>
    <definedName name="ITEM18_1Q19" localSheetId="10">Tags!$CX$591</definedName>
    <definedName name="ITEM18_1Q19">Tags_ols!$CX$591</definedName>
    <definedName name="ITEM18_1Q20" localSheetId="10">Tags!$DC$591</definedName>
    <definedName name="ITEM18_1Q20">Tags_ols!$DC$591</definedName>
    <definedName name="ITEM18_1Q21">Tags!$DH$591</definedName>
    <definedName name="ITEM18_1Q22">Tags!$DM$591</definedName>
    <definedName name="ITEM18_1Q23">Tags!$DR$591</definedName>
    <definedName name="ITEM18_1Q24">Tags!$DW$591</definedName>
    <definedName name="ITEM18_2000" localSheetId="10">Tags!$K$591</definedName>
    <definedName name="ITEM18_2000">Tags_ols!$K$591</definedName>
    <definedName name="ITEM18_2001" localSheetId="10">Tags!$P$591</definedName>
    <definedName name="ITEM18_2001">Tags_ols!$P$591</definedName>
    <definedName name="ITEM18_2002" localSheetId="10">Tags!$U$591</definedName>
    <definedName name="ITEM18_2002">Tags_ols!$U$591</definedName>
    <definedName name="ITEM18_2003" localSheetId="10">Tags!$Z$591</definedName>
    <definedName name="ITEM18_2003">Tags_ols!$Z$591</definedName>
    <definedName name="ITEM18_2004" localSheetId="10">Tags!$AE$591</definedName>
    <definedName name="ITEM18_2004">Tags_ols!$AE$591</definedName>
    <definedName name="ITEM18_2005" localSheetId="10">Tags!$AJ$591</definedName>
    <definedName name="ITEM18_2005">Tags_ols!$AJ$591</definedName>
    <definedName name="ITEM18_2006" localSheetId="10">Tags!$AO$591</definedName>
    <definedName name="ITEM18_2006">Tags_ols!$AO$591</definedName>
    <definedName name="ITEM18_2007" localSheetId="10">Tags!$AT$591</definedName>
    <definedName name="ITEM18_2007">Tags_ols!$AT$591</definedName>
    <definedName name="ITEM18_2008" localSheetId="10">Tags!$AY$591</definedName>
    <definedName name="ITEM18_2008">Tags_ols!$AY$591</definedName>
    <definedName name="ITEM18_2009" localSheetId="10">Tags!$BD$591</definedName>
    <definedName name="ITEM18_2009">Tags_ols!$BD$591</definedName>
    <definedName name="ITEM18_2010" localSheetId="10">Tags!$BI$591</definedName>
    <definedName name="ITEM18_2010">Tags_ols!$BI$591</definedName>
    <definedName name="ITEM18_2011" localSheetId="10">Tags!$BN$591</definedName>
    <definedName name="ITEM18_2011">Tags_ols!$BN$591</definedName>
    <definedName name="ITEM18_2012" localSheetId="10">Tags!$BS$591</definedName>
    <definedName name="ITEM18_2012">Tags_ols!$BS$591</definedName>
    <definedName name="ITEM18_2013" localSheetId="10">Tags!$BX$591</definedName>
    <definedName name="ITEM18_2013">Tags_ols!$BX$591</definedName>
    <definedName name="ITEM18_2014" localSheetId="10">Tags!$CC$591</definedName>
    <definedName name="ITEM18_2014">Tags_ols!$CC$591</definedName>
    <definedName name="ITEM18_2015" localSheetId="10">Tags!#REF!</definedName>
    <definedName name="ITEM18_2015">Tags!$CH$591</definedName>
    <definedName name="ITEM18_2016" localSheetId="10">Tags!$CM$591</definedName>
    <definedName name="ITEM18_2016">Tags_ols!$CM$591</definedName>
    <definedName name="ITEM18_2017" localSheetId="10">Tags!$CR$591</definedName>
    <definedName name="ITEM18_2017">Tags_ols!$CR$591</definedName>
    <definedName name="ITEM18_2018" localSheetId="10">Tags!$CW$591</definedName>
    <definedName name="ITEM18_2018">Tags_ols!$CW$591</definedName>
    <definedName name="ITEM18_2019" localSheetId="10">Tags!$DB$591</definedName>
    <definedName name="ITEM18_2019">Tags_ols!$DB$591</definedName>
    <definedName name="ITEM18_2020" localSheetId="10">Tags!$DG$591</definedName>
    <definedName name="ITEM18_2020">Tags_ols!$DG$591</definedName>
    <definedName name="ITEM18_2021">Tags!$DL$591</definedName>
    <definedName name="ITEM18_2022">Tags!$DQ$591</definedName>
    <definedName name="ITEM18_2023">Tags!$DV$591</definedName>
    <definedName name="ITEM18_2024">Tags!$EA$591</definedName>
    <definedName name="ITEM18_2Q00" localSheetId="10">Tags!$H$591</definedName>
    <definedName name="ITEM18_2Q00">Tags_ols!$H$591</definedName>
    <definedName name="ITEM18_2Q01" localSheetId="10">Tags!$M$591</definedName>
    <definedName name="ITEM18_2Q01">Tags_ols!$M$591</definedName>
    <definedName name="ITEM18_2Q02" localSheetId="10">Tags!$R$591</definedName>
    <definedName name="ITEM18_2Q02">Tags_ols!$R$591</definedName>
    <definedName name="ITEM18_2Q03" localSheetId="10">Tags!$W$591</definedName>
    <definedName name="ITEM18_2Q03">Tags_ols!$W$591</definedName>
    <definedName name="ITEM18_2Q04" localSheetId="10">Tags!$AB$591</definedName>
    <definedName name="ITEM18_2Q04">Tags_ols!$AB$591</definedName>
    <definedName name="ITEM18_2Q05" localSheetId="10">Tags!$AG$591</definedName>
    <definedName name="ITEM18_2Q05">Tags_ols!$AG$591</definedName>
    <definedName name="ITEM18_2Q06" localSheetId="10">Tags!$AL$591</definedName>
    <definedName name="ITEM18_2Q06">Tags_ols!$AL$591</definedName>
    <definedName name="ITEM18_2Q07" localSheetId="10">Tags!$AQ$591</definedName>
    <definedName name="ITEM18_2Q07">Tags_ols!$AQ$591</definedName>
    <definedName name="ITEM18_2Q08" localSheetId="10">Tags!$AV$591</definedName>
    <definedName name="ITEM18_2Q08">Tags_ols!$AV$591</definedName>
    <definedName name="ITEM18_2Q09" localSheetId="10">Tags!$BA$591</definedName>
    <definedName name="ITEM18_2Q09">Tags_ols!$BA$591</definedName>
    <definedName name="ITEM18_2Q10" localSheetId="10">Tags!$BF$591</definedName>
    <definedName name="ITEM18_2Q10">Tags_ols!$BF$591</definedName>
    <definedName name="ITEM18_2Q11" localSheetId="10">Tags!$BK$591</definedName>
    <definedName name="ITEM18_2Q11">Tags_ols!$BK$591</definedName>
    <definedName name="ITEM18_2Q12" localSheetId="10">Tags!$BP$591</definedName>
    <definedName name="ITEM18_2Q12">Tags_ols!$BP$591</definedName>
    <definedName name="ITEM18_2Q13" localSheetId="10">Tags!$BU$591</definedName>
    <definedName name="ITEM18_2Q13">Tags_ols!$BU$591</definedName>
    <definedName name="ITEM18_2Q14" localSheetId="10">Tags!$BZ$591</definedName>
    <definedName name="ITEM18_2Q14">Tags_ols!$BZ$591</definedName>
    <definedName name="ITEM18_2Q15" localSheetId="10">Tags!$CE$591</definedName>
    <definedName name="ITEM18_2Q15">Tags_ols!$CE$591</definedName>
    <definedName name="ITEM18_2Q16" localSheetId="10">Tags!$CJ$591</definedName>
    <definedName name="ITEM18_2Q16">Tags_ols!$CJ$591</definedName>
    <definedName name="ITEM18_2Q17" localSheetId="10">Tags!$CO$591</definedName>
    <definedName name="ITEM18_2Q17">Tags_ols!$CO$591</definedName>
    <definedName name="ITEM18_2Q18" localSheetId="10">Tags!$CT$591</definedName>
    <definedName name="ITEM18_2Q18">Tags_ols!$CT$591</definedName>
    <definedName name="ITEM18_2Q19" localSheetId="10">Tags!$CY$591</definedName>
    <definedName name="ITEM18_2Q19">Tags_ols!$CY$591</definedName>
    <definedName name="ITEM18_2Q20" localSheetId="10">Tags!$DD$591</definedName>
    <definedName name="ITEM18_2Q20">Tags_ols!$DD$591</definedName>
    <definedName name="ITEM18_2Q21">Tags!$DI$591</definedName>
    <definedName name="ITEM18_2Q22">Tags!$DN$591</definedName>
    <definedName name="ITEM18_2Q23">Tags!$DS$591</definedName>
    <definedName name="ITEM18_2Q24">Tags!$DX$591</definedName>
    <definedName name="ITEM18_3Q00" localSheetId="10">Tags!$I$591</definedName>
    <definedName name="ITEM18_3Q00">Tags_ols!$I$591</definedName>
    <definedName name="ITEM18_3Q01" localSheetId="10">Tags!$N$591</definedName>
    <definedName name="ITEM18_3Q01">Tags_ols!$N$591</definedName>
    <definedName name="ITEM18_3Q02" localSheetId="10">Tags!$S$591</definedName>
    <definedName name="ITEM18_3Q02">Tags_ols!$S$591</definedName>
    <definedName name="ITEM18_3Q03" localSheetId="10">Tags!$X$591</definedName>
    <definedName name="ITEM18_3Q03">Tags_ols!$X$591</definedName>
    <definedName name="ITEM18_3Q04" localSheetId="10">Tags!$AC$591</definedName>
    <definedName name="ITEM18_3Q04">Tags_ols!$AC$591</definedName>
    <definedName name="ITEM18_3Q05" localSheetId="10">Tags!$AH$591</definedName>
    <definedName name="ITEM18_3Q05">Tags_ols!$AH$591</definedName>
    <definedName name="ITEM18_3Q06" localSheetId="10">Tags!$AM$591</definedName>
    <definedName name="ITEM18_3Q06">Tags_ols!$AM$591</definedName>
    <definedName name="ITEM18_3Q07" localSheetId="10">Tags!$AR$591</definedName>
    <definedName name="ITEM18_3Q07">Tags_ols!$AR$591</definedName>
    <definedName name="ITEM18_3Q08" localSheetId="10">Tags!$AW$591</definedName>
    <definedName name="ITEM18_3Q08">Tags_ols!$AW$591</definedName>
    <definedName name="ITEM18_3Q09" localSheetId="10">Tags!$BB$591</definedName>
    <definedName name="ITEM18_3Q09">Tags_ols!$BB$591</definedName>
    <definedName name="ITEM18_3Q10" localSheetId="10">Tags!$BG$591</definedName>
    <definedName name="ITEM18_3Q10">Tags_ols!$BG$591</definedName>
    <definedName name="ITEM18_3Q11" localSheetId="10">Tags!$BL$591</definedName>
    <definedName name="ITEM18_3Q11">Tags_ols!$BL$591</definedName>
    <definedName name="ITEM18_3Q12" localSheetId="10">Tags!$BQ$591</definedName>
    <definedName name="ITEM18_3Q12">Tags_ols!$BQ$591</definedName>
    <definedName name="ITEM18_3Q13" localSheetId="10">Tags!$BV$591</definedName>
    <definedName name="ITEM18_3Q13">Tags_ols!$BV$591</definedName>
    <definedName name="ITEM18_3Q14" localSheetId="10">Tags!$CA$591</definedName>
    <definedName name="ITEM18_3Q14">Tags_ols!$CA$591</definedName>
    <definedName name="ITEM18_3Q15" localSheetId="10">Tags!$CF$591</definedName>
    <definedName name="ITEM18_3Q15">Tags_ols!$CF$591</definedName>
    <definedName name="ITEM18_3Q16" localSheetId="10">Tags!$CK$591</definedName>
    <definedName name="ITEM18_3Q16">Tags_ols!$CK$591</definedName>
    <definedName name="ITEM18_3Q17" localSheetId="10">Tags!$CP$591</definedName>
    <definedName name="ITEM18_3Q17">Tags_ols!$CP$591</definedName>
    <definedName name="ITEM18_3Q18" localSheetId="10">Tags!$CU$591</definedName>
    <definedName name="ITEM18_3Q18">Tags_ols!$CU$591</definedName>
    <definedName name="ITEM18_3Q19" localSheetId="10">Tags!$CZ$591</definedName>
    <definedName name="ITEM18_3Q19">Tags_ols!$CZ$591</definedName>
    <definedName name="ITEM18_3Q20" localSheetId="10">Tags!$DE$591</definedName>
    <definedName name="ITEM18_3Q20">Tags_ols!$DE$591</definedName>
    <definedName name="ITEM18_3Q21">Tags!$DJ$591</definedName>
    <definedName name="ITEM18_3Q22">Tags!$DO$591</definedName>
    <definedName name="ITEM18_3Q23">Tags!$DT$591</definedName>
    <definedName name="ITEM18_3Q24">Tags!$DY$591</definedName>
    <definedName name="ITEM18_4Q00" localSheetId="10">Tags!$J$591</definedName>
    <definedName name="ITEM18_4Q00">Tags_ols!$J$591</definedName>
    <definedName name="ITEM18_4Q01" localSheetId="10">Tags!$O$591</definedName>
    <definedName name="ITEM18_4Q01">Tags_ols!$O$591</definedName>
    <definedName name="ITEM18_4Q02" localSheetId="10">Tags!$T$591</definedName>
    <definedName name="ITEM18_4Q02">Tags_ols!$T$591</definedName>
    <definedName name="ITEM18_4Q03" localSheetId="10">Tags!$Y$591</definedName>
    <definedName name="ITEM18_4Q03">Tags_ols!$Y$591</definedName>
    <definedName name="ITEM18_4Q04" localSheetId="10">Tags!$AD$591</definedName>
    <definedName name="ITEM18_4Q04">Tags_ols!$AD$591</definedName>
    <definedName name="ITEM18_4Q05" localSheetId="10">Tags!$AI$591</definedName>
    <definedName name="ITEM18_4Q05">Tags_ols!$AI$591</definedName>
    <definedName name="ITEM18_4Q06" localSheetId="10">Tags!$AN$591</definedName>
    <definedName name="ITEM18_4Q06">Tags_ols!$AN$591</definedName>
    <definedName name="ITEM18_4Q07" localSheetId="10">Tags!$AS$591</definedName>
    <definedName name="ITEM18_4Q07">Tags_ols!$AS$591</definedName>
    <definedName name="ITEM18_4Q08" localSheetId="10">Tags!$AX$591</definedName>
    <definedName name="ITEM18_4Q08">Tags_ols!$AX$591</definedName>
    <definedName name="ITEM18_4Q09" localSheetId="10">Tags!$BC$591</definedName>
    <definedName name="ITEM18_4Q09">Tags_ols!$BC$591</definedName>
    <definedName name="ITEM18_4Q10" localSheetId="10">Tags!$BH$591</definedName>
    <definedName name="ITEM18_4Q10">Tags_ols!$BH$591</definedName>
    <definedName name="ITEM18_4Q11" localSheetId="10">Tags!$BM$591</definedName>
    <definedName name="ITEM18_4Q11">Tags_ols!$BM$591</definedName>
    <definedName name="ITEM18_4Q12" localSheetId="10">Tags!$BR$591</definedName>
    <definedName name="ITEM18_4Q12">Tags_ols!$BR$591</definedName>
    <definedName name="ITEM18_4Q13" localSheetId="10">Tags!$BW$591</definedName>
    <definedName name="ITEM18_4Q13">Tags_ols!$BW$591</definedName>
    <definedName name="ITEM18_4Q14" localSheetId="10">Tags!$CB$591</definedName>
    <definedName name="ITEM18_4Q14">Tags_ols!$CB$591</definedName>
    <definedName name="ITEM18_4Q15" localSheetId="10">Tags!$CG$591</definedName>
    <definedName name="ITEM18_4Q15">Tags_ols!$CG$591</definedName>
    <definedName name="ITEM18_4Q16" localSheetId="10">Tags!$CL$591</definedName>
    <definedName name="ITEM18_4Q16">Tags_ols!$CL$591</definedName>
    <definedName name="ITEM18_4Q17" localSheetId="10">Tags!$CQ$591</definedName>
    <definedName name="ITEM18_4Q17">Tags_ols!$CQ$591</definedName>
    <definedName name="ITEM18_4Q18" localSheetId="10">Tags!$CV$591</definedName>
    <definedName name="ITEM18_4Q18">Tags_ols!$CV$591</definedName>
    <definedName name="ITEM18_4Q19" localSheetId="10">Tags!$DA$591</definedName>
    <definedName name="ITEM18_4Q19">Tags_ols!$DA$591</definedName>
    <definedName name="ITEM18_4Q20" localSheetId="10">Tags!$DF$591</definedName>
    <definedName name="ITEM18_4Q20">Tags_ols!$DF$591</definedName>
    <definedName name="ITEM18_4Q21">Tags!$DK$591</definedName>
    <definedName name="ITEM18_4Q22">Tags!$DP$591</definedName>
    <definedName name="ITEM18_4Q23">Tags!$DU$591</definedName>
    <definedName name="ITEM18_4Q24">Tags!$DZ$591</definedName>
    <definedName name="ITEM19_1995">Tags_ols!$B$592</definedName>
    <definedName name="ITEM19_1996">Tags_ols!$C$592</definedName>
    <definedName name="ITEM19_1997">Tags_ols!$D$592</definedName>
    <definedName name="ITEM19_1998">Tags_ols!$E$592</definedName>
    <definedName name="ITEM19_1999">Tags_ols!$F$592</definedName>
    <definedName name="ITEM19_1Q00" localSheetId="10">Tags!$G$592</definedName>
    <definedName name="ITEM19_1Q00">Tags_ols!$G$592</definedName>
    <definedName name="ITEM19_1Q01" localSheetId="10">Tags!$L$592</definedName>
    <definedName name="ITEM19_1Q01">Tags_ols!$L$592</definedName>
    <definedName name="ITEM19_1Q02" localSheetId="10">Tags!$Q$592</definedName>
    <definedName name="ITEM19_1Q02">Tags_ols!$Q$592</definedName>
    <definedName name="ITEM19_1Q03" localSheetId="10">Tags!$V$592</definedName>
    <definedName name="ITEM19_1Q03">Tags_ols!$V$592</definedName>
    <definedName name="ITEM19_1Q04" localSheetId="10">Tags!$AA$592</definedName>
    <definedName name="ITEM19_1Q04">Tags_ols!$AA$592</definedName>
    <definedName name="ITEM19_1Q05" localSheetId="10">Tags!$AF$592</definedName>
    <definedName name="ITEM19_1Q05">Tags_ols!$AF$592</definedName>
    <definedName name="ITEM19_1Q06" localSheetId="10">Tags!$AK$592</definedName>
    <definedName name="ITEM19_1Q06">Tags_ols!$AK$592</definedName>
    <definedName name="ITEM19_1Q07" localSheetId="10">Tags!$AP$592</definedName>
    <definedName name="ITEM19_1Q07">Tags_ols!$AP$592</definedName>
    <definedName name="ITEM19_1Q08" localSheetId="10">Tags!$AU$592</definedName>
    <definedName name="ITEM19_1Q08">Tags_ols!$AU$592</definedName>
    <definedName name="ITEM19_1Q09" localSheetId="10">Tags!$AZ$592</definedName>
    <definedName name="ITEM19_1Q09">Tags_ols!$AZ$592</definedName>
    <definedName name="ITEM19_1Q10" localSheetId="10">Tags!$BE$592</definedName>
    <definedName name="ITEM19_1Q10">Tags_ols!$BE$592</definedName>
    <definedName name="ITEM19_1Q11" localSheetId="10">Tags!$BJ$592</definedName>
    <definedName name="ITEM19_1Q11">Tags_ols!$BJ$592</definedName>
    <definedName name="ITEM19_1Q12" localSheetId="10">Tags!$BO$592</definedName>
    <definedName name="ITEM19_1Q12">Tags_ols!$BO$592</definedName>
    <definedName name="ITEM19_1Q13" localSheetId="10">Tags!$BT$592</definedName>
    <definedName name="ITEM19_1Q13">Tags_ols!$BT$592</definedName>
    <definedName name="ITEM19_1Q14" localSheetId="10">Tags!$BY$592</definedName>
    <definedName name="ITEM19_1Q14">Tags_ols!$BY$592</definedName>
    <definedName name="ITEM19_1Q15" localSheetId="10">Tags!$CD$592</definedName>
    <definedName name="ITEM19_1Q15">Tags_ols!$CD$592</definedName>
    <definedName name="ITEM19_1Q16" localSheetId="10">Tags!$CI$592</definedName>
    <definedName name="ITEM19_1Q16">Tags_ols!$CI$592</definedName>
    <definedName name="ITEM19_1Q17" localSheetId="10">Tags!$CN$592</definedName>
    <definedName name="ITEM19_1Q17">Tags_ols!$CN$592</definedName>
    <definedName name="ITEM19_1Q18" localSheetId="10">Tags!$CS$592</definedName>
    <definedName name="ITEM19_1Q18">Tags_ols!$CS$592</definedName>
    <definedName name="ITEM19_1Q19" localSheetId="10">Tags!$CX$592</definedName>
    <definedName name="ITEM19_1Q19">Tags_ols!$CX$592</definedName>
    <definedName name="ITEM19_1Q20" localSheetId="10">Tags!$DC$592</definedName>
    <definedName name="ITEM19_1Q20">Tags_ols!$DC$592</definedName>
    <definedName name="ITEM19_1Q21">Tags!$DH$592</definedName>
    <definedName name="ITEM19_1Q22">Tags!$DM$592</definedName>
    <definedName name="ITEM19_1Q23">Tags!$DR$592</definedName>
    <definedName name="ITEM19_1Q24">Tags!$DW$592</definedName>
    <definedName name="ITEM19_2000" localSheetId="10">Tags!$K$592</definedName>
    <definedName name="ITEM19_2000">Tags_ols!$K$592</definedName>
    <definedName name="ITEM19_2001" localSheetId="10">Tags!$P$592</definedName>
    <definedName name="ITEM19_2001">Tags_ols!$P$592</definedName>
    <definedName name="ITEM19_2002" localSheetId="10">Tags!$U$592</definedName>
    <definedName name="ITEM19_2002">Tags_ols!$U$592</definedName>
    <definedName name="ITEM19_2003" localSheetId="10">Tags!$Z$592</definedName>
    <definedName name="ITEM19_2003">Tags_ols!$Z$592</definedName>
    <definedName name="ITEM19_2004" localSheetId="10">Tags!$AE$592</definedName>
    <definedName name="ITEM19_2004">Tags_ols!$AE$592</definedName>
    <definedName name="ITEM19_2005" localSheetId="10">Tags!$AJ$592</definedName>
    <definedName name="ITEM19_2005">Tags_ols!$AJ$592</definedName>
    <definedName name="ITEM19_2006" localSheetId="10">Tags!$AO$592</definedName>
    <definedName name="ITEM19_2006">Tags_ols!$AO$592</definedName>
    <definedName name="ITEM19_2007" localSheetId="10">Tags!$AT$592</definedName>
    <definedName name="ITEM19_2007">Tags_ols!$AT$592</definedName>
    <definedName name="ITEM19_2008" localSheetId="10">Tags!$AY$592</definedName>
    <definedName name="ITEM19_2008">Tags_ols!$AY$592</definedName>
    <definedName name="ITEM19_2009" localSheetId="10">Tags!$BD$592</definedName>
    <definedName name="ITEM19_2009">Tags_ols!$BD$592</definedName>
    <definedName name="ITEM19_2010" localSheetId="10">Tags!$BI$592</definedName>
    <definedName name="ITEM19_2010">Tags_ols!$BI$592</definedName>
    <definedName name="ITEM19_2011" localSheetId="10">Tags!$BN$592</definedName>
    <definedName name="ITEM19_2011">Tags_ols!$BN$592</definedName>
    <definedName name="ITEM19_2012" localSheetId="10">Tags!$BS$592</definedName>
    <definedName name="ITEM19_2012">Tags_ols!$BS$592</definedName>
    <definedName name="ITEM19_2013" localSheetId="10">Tags!$BX$592</definedName>
    <definedName name="ITEM19_2013">Tags_ols!$BX$592</definedName>
    <definedName name="ITEM19_2014" localSheetId="10">Tags!$CC$592</definedName>
    <definedName name="ITEM19_2014">Tags_ols!$CC$592</definedName>
    <definedName name="ITEM19_2015" localSheetId="10">Tags!#REF!</definedName>
    <definedName name="ITEM19_2015">Tags!$CH$592</definedName>
    <definedName name="ITEM19_2016" localSheetId="10">Tags!$CM$592</definedName>
    <definedName name="ITEM19_2016">Tags_ols!$CM$592</definedName>
    <definedName name="ITEM19_2017" localSheetId="10">Tags!$CR$592</definedName>
    <definedName name="ITEM19_2017">Tags_ols!$CR$592</definedName>
    <definedName name="ITEM19_2018" localSheetId="10">Tags!$CW$592</definedName>
    <definedName name="ITEM19_2018">Tags_ols!$CW$592</definedName>
    <definedName name="ITEM19_2019" localSheetId="10">Tags!$DB$592</definedName>
    <definedName name="ITEM19_2019">Tags_ols!$DB$592</definedName>
    <definedName name="ITEM19_2020" localSheetId="10">Tags!$DG$592</definedName>
    <definedName name="ITEM19_2020">Tags_ols!$DG$592</definedName>
    <definedName name="ITEM19_2021">Tags!$DL$592</definedName>
    <definedName name="ITEM19_2022">Tags!$DQ$592</definedName>
    <definedName name="ITEM19_2023">Tags!$DV$592</definedName>
    <definedName name="ITEM19_2024">Tags!$EA$592</definedName>
    <definedName name="ITEM19_2Q00" localSheetId="10">Tags!$H$592</definedName>
    <definedName name="ITEM19_2Q00">Tags_ols!$H$592</definedName>
    <definedName name="ITEM19_2Q01" localSheetId="10">Tags!$M$592</definedName>
    <definedName name="ITEM19_2Q01">Tags_ols!$M$592</definedName>
    <definedName name="ITEM19_2Q02" localSheetId="10">Tags!$R$592</definedName>
    <definedName name="ITEM19_2Q02">Tags_ols!$R$592</definedName>
    <definedName name="ITEM19_2Q03" localSheetId="10">Tags!$W$592</definedName>
    <definedName name="ITEM19_2Q03">Tags_ols!$W$592</definedName>
    <definedName name="ITEM19_2Q04" localSheetId="10">Tags!$AB$592</definedName>
    <definedName name="ITEM19_2Q04">Tags_ols!$AB$592</definedName>
    <definedName name="ITEM19_2Q05" localSheetId="10">Tags!$AG$592</definedName>
    <definedName name="ITEM19_2Q05">Tags_ols!$AG$592</definedName>
    <definedName name="ITEM19_2Q06" localSheetId="10">Tags!$AL$592</definedName>
    <definedName name="ITEM19_2Q06">Tags_ols!$AL$592</definedName>
    <definedName name="ITEM19_2Q07" localSheetId="10">Tags!$AQ$592</definedName>
    <definedName name="ITEM19_2Q07">Tags_ols!$AQ$592</definedName>
    <definedName name="ITEM19_2Q08" localSheetId="10">Tags!$AV$592</definedName>
    <definedName name="ITEM19_2Q08">Tags_ols!$AV$592</definedName>
    <definedName name="ITEM19_2Q09" localSheetId="10">Tags!$BA$592</definedName>
    <definedName name="ITEM19_2Q09">Tags_ols!$BA$592</definedName>
    <definedName name="ITEM19_2Q10" localSheetId="10">Tags!$BF$592</definedName>
    <definedName name="ITEM19_2Q10">Tags_ols!$BF$592</definedName>
    <definedName name="ITEM19_2Q11" localSheetId="10">Tags!$BK$592</definedName>
    <definedName name="ITEM19_2Q11">Tags_ols!$BK$592</definedName>
    <definedName name="ITEM19_2Q12" localSheetId="10">Tags!$BP$592</definedName>
    <definedName name="ITEM19_2Q12">Tags_ols!$BP$592</definedName>
    <definedName name="ITEM19_2Q13" localSheetId="10">Tags!$BU$592</definedName>
    <definedName name="ITEM19_2Q13">Tags_ols!$BU$592</definedName>
    <definedName name="ITEM19_2Q14" localSheetId="10">Tags!$BZ$592</definedName>
    <definedName name="ITEM19_2Q14">Tags_ols!$BZ$592</definedName>
    <definedName name="ITEM19_2Q15" localSheetId="10">Tags!$CE$592</definedName>
    <definedName name="ITEM19_2Q15">Tags_ols!$CE$592</definedName>
    <definedName name="ITEM19_2Q16" localSheetId="10">Tags!$CJ$592</definedName>
    <definedName name="ITEM19_2Q16">Tags_ols!$CJ$592</definedName>
    <definedName name="ITEM19_2Q17" localSheetId="10">Tags!$CO$592</definedName>
    <definedName name="ITEM19_2Q17">Tags_ols!$CO$592</definedName>
    <definedName name="ITEM19_2Q18" localSheetId="10">Tags!$CT$592</definedName>
    <definedName name="ITEM19_2Q18">Tags_ols!$CT$592</definedName>
    <definedName name="ITEM19_2Q19" localSheetId="10">Tags!$CY$592</definedName>
    <definedName name="ITEM19_2Q19">Tags_ols!$CY$592</definedName>
    <definedName name="ITEM19_2Q20" localSheetId="10">Tags!$DD$592</definedName>
    <definedName name="ITEM19_2Q20">Tags_ols!$DD$592</definedName>
    <definedName name="ITEM19_2Q21">Tags!$DI$592</definedName>
    <definedName name="ITEM19_2Q22">Tags!$DN$592</definedName>
    <definedName name="ITEM19_2Q23">Tags!$DS$592</definedName>
    <definedName name="ITEM19_2Q24">Tags!$DX$592</definedName>
    <definedName name="ITEM19_3Q00" localSheetId="10">Tags!$I$592</definedName>
    <definedName name="ITEM19_3Q00">Tags_ols!$I$592</definedName>
    <definedName name="ITEM19_3Q01" localSheetId="10">Tags!$N$592</definedName>
    <definedName name="ITEM19_3Q01">Tags_ols!$N$592</definedName>
    <definedName name="ITEM19_3Q02" localSheetId="10">Tags!$S$592</definedName>
    <definedName name="ITEM19_3Q02">Tags_ols!$S$592</definedName>
    <definedName name="ITEM19_3Q03" localSheetId="10">Tags!$X$592</definedName>
    <definedName name="ITEM19_3Q03">Tags_ols!$X$592</definedName>
    <definedName name="ITEM19_3Q04" localSheetId="10">Tags!$AC$592</definedName>
    <definedName name="ITEM19_3Q04">Tags_ols!$AC$592</definedName>
    <definedName name="ITEM19_3Q05" localSheetId="10">Tags!$AH$592</definedName>
    <definedName name="ITEM19_3Q05">Tags_ols!$AH$592</definedName>
    <definedName name="ITEM19_3Q06" localSheetId="10">Tags!$AM$592</definedName>
    <definedName name="ITEM19_3Q06">Tags_ols!$AM$592</definedName>
    <definedName name="ITEM19_3Q07" localSheetId="10">Tags!$AR$592</definedName>
    <definedName name="ITEM19_3Q07">Tags_ols!$AR$592</definedName>
    <definedName name="ITEM19_3Q08" localSheetId="10">Tags!$AW$592</definedName>
    <definedName name="ITEM19_3Q08">Tags_ols!$AW$592</definedName>
    <definedName name="ITEM19_3Q09" localSheetId="10">Tags!$BB$592</definedName>
    <definedName name="ITEM19_3Q09">Tags_ols!$BB$592</definedName>
    <definedName name="ITEM19_3Q10" localSheetId="10">Tags!$BG$592</definedName>
    <definedName name="ITEM19_3Q10">Tags_ols!$BG$592</definedName>
    <definedName name="ITEM19_3Q11" localSheetId="10">Tags!$BL$592</definedName>
    <definedName name="ITEM19_3Q11">Tags_ols!$BL$592</definedName>
    <definedName name="ITEM19_3Q12" localSheetId="10">Tags!$BQ$592</definedName>
    <definedName name="ITEM19_3Q12">Tags_ols!$BQ$592</definedName>
    <definedName name="ITEM19_3Q13" localSheetId="10">Tags!$BV$592</definedName>
    <definedName name="ITEM19_3Q13">Tags_ols!$BV$592</definedName>
    <definedName name="ITEM19_3Q14" localSheetId="10">Tags!$CA$592</definedName>
    <definedName name="ITEM19_3Q14">Tags_ols!$CA$592</definedName>
    <definedName name="ITEM19_3Q15" localSheetId="10">Tags!$CF$592</definedName>
    <definedName name="ITEM19_3Q15">Tags_ols!$CF$592</definedName>
    <definedName name="ITEM19_3Q16" localSheetId="10">Tags!$CK$592</definedName>
    <definedName name="ITEM19_3Q16">Tags_ols!$CK$592</definedName>
    <definedName name="ITEM19_3Q17" localSheetId="10">Tags!$CP$592</definedName>
    <definedName name="ITEM19_3Q17">Tags_ols!$CP$592</definedName>
    <definedName name="ITEM19_3Q18" localSheetId="10">Tags!$CU$592</definedName>
    <definedName name="ITEM19_3Q18">Tags_ols!$CU$592</definedName>
    <definedName name="ITEM19_3Q19" localSheetId="10">Tags!$CZ$592</definedName>
    <definedName name="ITEM19_3Q19">Tags_ols!$CZ$592</definedName>
    <definedName name="ITEM19_3Q20" localSheetId="10">Tags!$DE$592</definedName>
    <definedName name="ITEM19_3Q20">Tags_ols!$DE$592</definedName>
    <definedName name="ITEM19_3Q21">Tags!$DJ$592</definedName>
    <definedName name="ITEM19_3Q22">Tags!$DO$592</definedName>
    <definedName name="ITEM19_3Q23">Tags!$DT$592</definedName>
    <definedName name="ITEM19_3Q24">Tags!$DY$592</definedName>
    <definedName name="ITEM19_4Q00" localSheetId="10">Tags!$J$592</definedName>
    <definedName name="ITEM19_4Q00">Tags_ols!$J$592</definedName>
    <definedName name="ITEM19_4Q01" localSheetId="10">Tags!$O$592</definedName>
    <definedName name="ITEM19_4Q01">Tags_ols!$O$592</definedName>
    <definedName name="ITEM19_4Q02" localSheetId="10">Tags!$T$592</definedName>
    <definedName name="ITEM19_4Q02">Tags_ols!$T$592</definedName>
    <definedName name="ITEM19_4Q03" localSheetId="10">Tags!$Y$592</definedName>
    <definedName name="ITEM19_4Q03">Tags_ols!$Y$592</definedName>
    <definedName name="ITEM19_4Q04" localSheetId="10">Tags!$AD$592</definedName>
    <definedName name="ITEM19_4Q04">Tags_ols!$AD$592</definedName>
    <definedName name="ITEM19_4Q05" localSheetId="10">Tags!$AI$592</definedName>
    <definedName name="ITEM19_4Q05">Tags_ols!$AI$592</definedName>
    <definedName name="ITEM19_4Q06" localSheetId="10">Tags!$AN$592</definedName>
    <definedName name="ITEM19_4Q06">Tags_ols!$AN$592</definedName>
    <definedName name="ITEM19_4Q07" localSheetId="10">Tags!$AS$592</definedName>
    <definedName name="ITEM19_4Q07">Tags_ols!$AS$592</definedName>
    <definedName name="ITEM19_4Q08" localSheetId="10">Tags!$AX$592</definedName>
    <definedName name="ITEM19_4Q08">Tags_ols!$AX$592</definedName>
    <definedName name="ITEM19_4Q09" localSheetId="10">Tags!$BC$592</definedName>
    <definedName name="ITEM19_4Q09">Tags_ols!$BC$592</definedName>
    <definedName name="ITEM19_4Q10" localSheetId="10">Tags!$BH$592</definedName>
    <definedName name="ITEM19_4Q10">Tags_ols!$BH$592</definedName>
    <definedName name="ITEM19_4Q11" localSheetId="10">Tags!$BM$592</definedName>
    <definedName name="ITEM19_4Q11">Tags_ols!$BM$592</definedName>
    <definedName name="ITEM19_4Q12" localSheetId="10">Tags!$BR$592</definedName>
    <definedName name="ITEM19_4Q12">Tags_ols!$BR$592</definedName>
    <definedName name="ITEM19_4Q13" localSheetId="10">Tags!$BW$592</definedName>
    <definedName name="ITEM19_4Q13">Tags_ols!$BW$592</definedName>
    <definedName name="ITEM19_4Q14" localSheetId="10">Tags!$CB$592</definedName>
    <definedName name="ITEM19_4Q14">Tags_ols!$CB$592</definedName>
    <definedName name="ITEM19_4Q15" localSheetId="10">Tags!$CG$592</definedName>
    <definedName name="ITEM19_4Q15">Tags_ols!$CG$592</definedName>
    <definedName name="ITEM19_4Q16" localSheetId="10">Tags!$CL$592</definedName>
    <definedName name="ITEM19_4Q16">Tags_ols!$CL$592</definedName>
    <definedName name="ITEM19_4Q17" localSheetId="10">Tags!$CQ$592</definedName>
    <definedName name="ITEM19_4Q17">Tags_ols!$CQ$592</definedName>
    <definedName name="ITEM19_4Q18" localSheetId="10">Tags!$CV$592</definedName>
    <definedName name="ITEM19_4Q18">Tags_ols!$CV$592</definedName>
    <definedName name="ITEM19_4Q19" localSheetId="10">Tags!$DA$592</definedName>
    <definedName name="ITEM19_4Q19">Tags_ols!$DA$592</definedName>
    <definedName name="ITEM19_4Q20" localSheetId="10">Tags!$DF$592</definedName>
    <definedName name="ITEM19_4Q20">Tags_ols!$DF$592</definedName>
    <definedName name="ITEM19_4Q21">Tags!$DK$592</definedName>
    <definedName name="ITEM19_4Q22">Tags!$DP$592</definedName>
    <definedName name="ITEM19_4Q23">Tags!$DU$592</definedName>
    <definedName name="ITEM19_4Q24">Tags!$DZ$592</definedName>
    <definedName name="Item2">#REF!</definedName>
    <definedName name="ITEM2_1995">Tags_ols!$B$575</definedName>
    <definedName name="ITEM2_1996">Tags_ols!$C$575</definedName>
    <definedName name="ITEM2_1997">Tags_ols!$D$575</definedName>
    <definedName name="ITEM2_1998">Tags_ols!$E$575</definedName>
    <definedName name="ITEM2_1999">Tags_ols!$F$575</definedName>
    <definedName name="ITEM2_1Q00" localSheetId="10">Tags!$G$575</definedName>
    <definedName name="ITEM2_1Q00">Tags_ols!$G$575</definedName>
    <definedName name="ITEM2_1Q01" localSheetId="10">Tags!$L$575</definedName>
    <definedName name="ITEM2_1Q01">Tags_ols!$L$575</definedName>
    <definedName name="ITEM2_1Q02" localSheetId="10">Tags!$Q$575</definedName>
    <definedName name="ITEM2_1Q02">Tags_ols!$Q$575</definedName>
    <definedName name="ITEM2_1Q03" localSheetId="10">Tags!$V$575</definedName>
    <definedName name="ITEM2_1Q03">Tags_ols!$V$575</definedName>
    <definedName name="ITEM2_1Q04" localSheetId="10">Tags!$AA$575</definedName>
    <definedName name="ITEM2_1Q04">Tags_ols!$AA$575</definedName>
    <definedName name="ITEM2_1Q05" localSheetId="10">Tags!$AF$575</definedName>
    <definedName name="ITEM2_1Q05">Tags_ols!$AF$575</definedName>
    <definedName name="ITEM2_1Q06" localSheetId="10">Tags!$AK$575</definedName>
    <definedName name="ITEM2_1Q06">Tags_ols!$AK$575</definedName>
    <definedName name="ITEM2_1Q07" localSheetId="10">Tags!$AP$575</definedName>
    <definedName name="ITEM2_1Q07">Tags_ols!$AP$575</definedName>
    <definedName name="ITEM2_1Q08" localSheetId="10">Tags!$AU$575</definedName>
    <definedName name="ITEM2_1Q08">Tags_ols!$AU$575</definedName>
    <definedName name="ITEM2_1Q09" localSheetId="10">Tags!$AZ$575</definedName>
    <definedName name="ITEM2_1Q09">Tags_ols!$AZ$575</definedName>
    <definedName name="ITEM2_1Q10" localSheetId="10">Tags!$BE$575</definedName>
    <definedName name="ITEM2_1Q10">Tags_ols!$BE$575</definedName>
    <definedName name="ITEM2_1Q11" localSheetId="10">Tags!$BJ$575</definedName>
    <definedName name="ITEM2_1Q11">Tags_ols!$BJ$575</definedName>
    <definedName name="ITEM2_1Q12" localSheetId="10">Tags!$BO$575</definedName>
    <definedName name="ITEM2_1Q12">Tags_ols!$BO$575</definedName>
    <definedName name="ITEM2_1Q13" localSheetId="10">Tags!$BT$575</definedName>
    <definedName name="ITEM2_1Q13">Tags_ols!$BT$575</definedName>
    <definedName name="ITEM2_1Q14" localSheetId="10">Tags!$BY$575</definedName>
    <definedName name="ITEM2_1Q14">Tags_ols!$BY$575</definedName>
    <definedName name="ITEM2_1Q15" localSheetId="10">Tags!$CD$575</definedName>
    <definedName name="ITEM2_1Q15">Tags_ols!$CD$575</definedName>
    <definedName name="ITEM2_1Q16" localSheetId="10">Tags!$CI$575</definedName>
    <definedName name="ITEM2_1Q16">Tags_ols!$CI$575</definedName>
    <definedName name="ITEM2_1Q17" localSheetId="10">Tags!$CN$575</definedName>
    <definedName name="ITEM2_1Q17">Tags_ols!$CN$575</definedName>
    <definedName name="ITEM2_1Q18" localSheetId="10">Tags!$CS$575</definedName>
    <definedName name="ITEM2_1Q18">Tags_ols!$CS$575</definedName>
    <definedName name="ITEM2_1Q19" localSheetId="10">Tags!$CX$575</definedName>
    <definedName name="ITEM2_1Q19">Tags_ols!$CX$575</definedName>
    <definedName name="ITEM2_1Q20" localSheetId="10">Tags!$DC$575</definedName>
    <definedName name="ITEM2_1Q20">Tags_ols!$DC$575</definedName>
    <definedName name="ITEM2_1Q21">Tags!$DH$575</definedName>
    <definedName name="ITEM2_1Q22">Tags!$DM$575</definedName>
    <definedName name="ITEM2_1Q23">Tags!$DR$575</definedName>
    <definedName name="ITEM2_1Q24">Tags!$DW$575</definedName>
    <definedName name="ITEM2_2000" localSheetId="10">Tags!$K$575</definedName>
    <definedName name="ITEM2_2000">Tags_ols!$K$575</definedName>
    <definedName name="ITEM2_2001" localSheetId="10">Tags!$P$575</definedName>
    <definedName name="ITEM2_2001">Tags_ols!$P$575</definedName>
    <definedName name="ITEM2_2002" localSheetId="10">Tags!$U$575</definedName>
    <definedName name="ITEM2_2002">Tags_ols!$U$575</definedName>
    <definedName name="ITEM2_2003" localSheetId="10">Tags!$Z$575</definedName>
    <definedName name="ITEM2_2003">Tags_ols!$Z$575</definedName>
    <definedName name="ITEM2_2004" localSheetId="10">Tags!$AE$575</definedName>
    <definedName name="ITEM2_2004">Tags_ols!$AE$575</definedName>
    <definedName name="ITEM2_2005" localSheetId="10">Tags!$AJ$575</definedName>
    <definedName name="ITEM2_2005">Tags_ols!$AJ$575</definedName>
    <definedName name="ITEM2_2006" localSheetId="10">Tags!$AO$575</definedName>
    <definedName name="ITEM2_2006">Tags_ols!$AO$575</definedName>
    <definedName name="ITEM2_2007" localSheetId="10">Tags!$AT$575</definedName>
    <definedName name="ITEM2_2007">Tags_ols!$AT$575</definedName>
    <definedName name="ITEM2_2008" localSheetId="10">Tags!$AY$575</definedName>
    <definedName name="ITEM2_2008">Tags_ols!$AY$575</definedName>
    <definedName name="ITEM2_2009" localSheetId="10">Tags!$BD$575</definedName>
    <definedName name="ITEM2_2009">Tags_ols!$BD$575</definedName>
    <definedName name="ITEM2_2010" localSheetId="10">Tags!$BI$575</definedName>
    <definedName name="ITEM2_2010">Tags_ols!$BI$575</definedName>
    <definedName name="ITEM2_2011" localSheetId="10">Tags!$BN$575</definedName>
    <definedName name="ITEM2_2011">Tags_ols!$BN$575</definedName>
    <definedName name="ITEM2_2012" localSheetId="10">Tags!$BS$575</definedName>
    <definedName name="ITEM2_2012">Tags_ols!$BS$575</definedName>
    <definedName name="ITEM2_2013" localSheetId="10">Tags!$BX$575</definedName>
    <definedName name="ITEM2_2013">Tags_ols!$BX$575</definedName>
    <definedName name="ITEM2_2014" localSheetId="10">Tags!$CC$575</definedName>
    <definedName name="ITEM2_2014">Tags_ols!$CC$575</definedName>
    <definedName name="ITEM2_2015" localSheetId="10">Tags!#REF!</definedName>
    <definedName name="ITEM2_2015">Tags!$CH$575</definedName>
    <definedName name="ITEM2_2016" localSheetId="10">Tags!$CM$575</definedName>
    <definedName name="ITEM2_2016">Tags_ols!$CM$575</definedName>
    <definedName name="ITEM2_2017" localSheetId="10">Tags!$CR$575</definedName>
    <definedName name="ITEM2_2017">Tags_ols!$CR$575</definedName>
    <definedName name="ITEM2_2018" localSheetId="10">Tags!$CW$575</definedName>
    <definedName name="ITEM2_2018">Tags_ols!$CW$575</definedName>
    <definedName name="ITEM2_2019" localSheetId="10">Tags!$DB$575</definedName>
    <definedName name="ITEM2_2019">Tags_ols!$DB$575</definedName>
    <definedName name="ITEM2_2020" localSheetId="10">Tags!$DG$575</definedName>
    <definedName name="ITEM2_2020">Tags_ols!$DG$575</definedName>
    <definedName name="ITEM2_2021">Tags!$DL$575</definedName>
    <definedName name="ITEM2_2022">Tags!$DQ$575</definedName>
    <definedName name="ITEM2_2023">Tags!$DV$575</definedName>
    <definedName name="ITEM2_2024">Tags!$EA$575</definedName>
    <definedName name="ITEM2_2Q00" localSheetId="10">Tags!$H$575</definedName>
    <definedName name="ITEM2_2Q00">Tags_ols!$H$575</definedName>
    <definedName name="ITEM2_2Q01" localSheetId="10">Tags!$M$575</definedName>
    <definedName name="ITEM2_2Q01">Tags_ols!$M$575</definedName>
    <definedName name="ITEM2_2Q02" localSheetId="10">Tags!$R$575</definedName>
    <definedName name="ITEM2_2Q02">Tags_ols!$R$575</definedName>
    <definedName name="ITEM2_2Q03" localSheetId="10">Tags!$W$575</definedName>
    <definedName name="ITEM2_2Q03">Tags_ols!$W$575</definedName>
    <definedName name="ITEM2_2Q04" localSheetId="10">Tags!$AB$575</definedName>
    <definedName name="ITEM2_2Q04">Tags_ols!$AB$575</definedName>
    <definedName name="ITEM2_2Q05" localSheetId="10">Tags!$AG$575</definedName>
    <definedName name="ITEM2_2Q05">Tags_ols!$AG$575</definedName>
    <definedName name="ITEM2_2Q06" localSheetId="10">Tags!$AL$575</definedName>
    <definedName name="ITEM2_2Q06">Tags_ols!$AL$575</definedName>
    <definedName name="ITEM2_2Q07" localSheetId="10">Tags!$AQ$575</definedName>
    <definedName name="ITEM2_2Q07">Tags_ols!$AQ$575</definedName>
    <definedName name="ITEM2_2Q08" localSheetId="10">Tags!$AV$575</definedName>
    <definedName name="ITEM2_2Q08">Tags_ols!$AV$575</definedName>
    <definedName name="ITEM2_2Q09" localSheetId="10">Tags!$BA$575</definedName>
    <definedName name="ITEM2_2Q09">Tags_ols!$BA$575</definedName>
    <definedName name="ITEM2_2Q10" localSheetId="10">Tags!$BF$575</definedName>
    <definedName name="ITEM2_2Q10">Tags_ols!$BF$575</definedName>
    <definedName name="ITEM2_2Q11" localSheetId="10">Tags!$BK$575</definedName>
    <definedName name="ITEM2_2Q11">Tags_ols!$BK$575</definedName>
    <definedName name="ITEM2_2Q12" localSheetId="10">Tags!$BP$575</definedName>
    <definedName name="ITEM2_2Q12">Tags_ols!$BP$575</definedName>
    <definedName name="ITEM2_2Q13" localSheetId="10">Tags!$BU$575</definedName>
    <definedName name="ITEM2_2Q13">Tags_ols!$BU$575</definedName>
    <definedName name="ITEM2_2Q14" localSheetId="10">Tags!$BZ$575</definedName>
    <definedName name="ITEM2_2Q14">Tags_ols!$BZ$575</definedName>
    <definedName name="ITEM2_2Q15" localSheetId="10">Tags!$CE$575</definedName>
    <definedName name="ITEM2_2Q15">Tags_ols!$CE$575</definedName>
    <definedName name="ITEM2_2Q16" localSheetId="10">Tags!$CJ$575</definedName>
    <definedName name="ITEM2_2Q16">Tags_ols!$CJ$575</definedName>
    <definedName name="ITEM2_2Q17" localSheetId="10">Tags!$CO$575</definedName>
    <definedName name="ITEM2_2Q17">Tags_ols!$CO$575</definedName>
    <definedName name="ITEM2_2Q18" localSheetId="10">Tags!$CT$575</definedName>
    <definedName name="ITEM2_2Q18">Tags_ols!$CT$575</definedName>
    <definedName name="ITEM2_2Q19" localSheetId="10">Tags!$CY$575</definedName>
    <definedName name="ITEM2_2Q19">Tags_ols!$CY$575</definedName>
    <definedName name="ITEM2_2Q20" localSheetId="10">Tags!$DD$575</definedName>
    <definedName name="ITEM2_2Q20">Tags_ols!$DD$575</definedName>
    <definedName name="ITEM2_2Q21">Tags!$DI$575</definedName>
    <definedName name="ITEM2_2Q22">Tags!$DN$575</definedName>
    <definedName name="ITEM2_2Q23">Tags!$DS$575</definedName>
    <definedName name="ITEM2_2Q24">Tags!$DX$575</definedName>
    <definedName name="ITEM2_3Q00" localSheetId="10">Tags!$I$575</definedName>
    <definedName name="ITEM2_3Q00">Tags_ols!$I$575</definedName>
    <definedName name="ITEM2_3Q01" localSheetId="10">Tags!$N$575</definedName>
    <definedName name="ITEM2_3Q01">Tags_ols!$N$575</definedName>
    <definedName name="ITEM2_3Q02" localSheetId="10">Tags!$S$575</definedName>
    <definedName name="ITEM2_3Q02">Tags_ols!$S$575</definedName>
    <definedName name="ITEM2_3Q03" localSheetId="10">Tags!$X$575</definedName>
    <definedName name="ITEM2_3Q03">Tags_ols!$X$575</definedName>
    <definedName name="ITEM2_3Q04" localSheetId="10">Tags!$AC$575</definedName>
    <definedName name="ITEM2_3Q04">Tags_ols!$AC$575</definedName>
    <definedName name="ITEM2_3Q05" localSheetId="10">Tags!$AH$575</definedName>
    <definedName name="ITEM2_3Q05">Tags_ols!$AH$575</definedName>
    <definedName name="ITEM2_3Q06" localSheetId="10">Tags!$AM$575</definedName>
    <definedName name="ITEM2_3Q06">Tags_ols!$AM$575</definedName>
    <definedName name="ITEM2_3Q07" localSheetId="10">Tags!$AR$575</definedName>
    <definedName name="ITEM2_3Q07">Tags_ols!$AR$575</definedName>
    <definedName name="ITEM2_3Q08" localSheetId="10">Tags!$AW$575</definedName>
    <definedName name="ITEM2_3Q08">Tags_ols!$AW$575</definedName>
    <definedName name="ITEM2_3Q09" localSheetId="10">Tags!$BB$575</definedName>
    <definedName name="ITEM2_3Q09">Tags_ols!$BB$575</definedName>
    <definedName name="ITEM2_3Q10" localSheetId="10">Tags!$BG$575</definedName>
    <definedName name="ITEM2_3Q10">Tags_ols!$BG$575</definedName>
    <definedName name="ITEM2_3Q11" localSheetId="10">Tags!$BL$575</definedName>
    <definedName name="ITEM2_3Q11">Tags_ols!$BL$575</definedName>
    <definedName name="ITEM2_3Q12" localSheetId="10">Tags!$BQ$575</definedName>
    <definedName name="ITEM2_3Q12">Tags_ols!$BQ$575</definedName>
    <definedName name="ITEM2_3Q13" localSheetId="10">Tags!$BV$575</definedName>
    <definedName name="ITEM2_3Q13">Tags_ols!$BV$575</definedName>
    <definedName name="ITEM2_3Q14" localSheetId="10">Tags!$CA$575</definedName>
    <definedName name="ITEM2_3Q14">Tags_ols!$CA$575</definedName>
    <definedName name="ITEM2_3Q15" localSheetId="10">Tags!$CF$575</definedName>
    <definedName name="ITEM2_3Q15">Tags_ols!$CF$575</definedName>
    <definedName name="ITEM2_3Q16" localSheetId="10">Tags!$CK$575</definedName>
    <definedName name="ITEM2_3Q16">Tags_ols!$CK$575</definedName>
    <definedName name="ITEM2_3Q17" localSheetId="10">Tags!$CP$575</definedName>
    <definedName name="ITEM2_3Q17">Tags_ols!$CP$575</definedName>
    <definedName name="ITEM2_3Q18" localSheetId="10">Tags!$CU$575</definedName>
    <definedName name="ITEM2_3Q18">Tags_ols!$CU$575</definedName>
    <definedName name="ITEM2_3Q19" localSheetId="10">Tags!$CZ$575</definedName>
    <definedName name="ITEM2_3Q19">Tags_ols!$CZ$575</definedName>
    <definedName name="ITEM2_3Q20" localSheetId="10">Tags!$DE$575</definedName>
    <definedName name="ITEM2_3Q20">Tags_ols!$DE$575</definedName>
    <definedName name="ITEM2_3Q21">Tags!$DJ$575</definedName>
    <definedName name="ITEM2_3Q22">Tags!$DO$575</definedName>
    <definedName name="ITEM2_3Q23">Tags!$DT$575</definedName>
    <definedName name="ITEM2_3Q24">Tags!$DY$575</definedName>
    <definedName name="ITEM2_4Q00" localSheetId="10">Tags!$J$575</definedName>
    <definedName name="ITEM2_4Q00">Tags_ols!$J$575</definedName>
    <definedName name="ITEM2_4Q01" localSheetId="10">Tags!$O$575</definedName>
    <definedName name="ITEM2_4Q01">Tags_ols!$O$575</definedName>
    <definedName name="ITEM2_4Q02" localSheetId="10">Tags!$T$575</definedName>
    <definedName name="ITEM2_4Q02">Tags_ols!$T$575</definedName>
    <definedName name="ITEM2_4Q03" localSheetId="10">Tags!$Y$575</definedName>
    <definedName name="ITEM2_4Q03">Tags_ols!$Y$575</definedName>
    <definedName name="ITEM2_4Q04" localSheetId="10">Tags!$AD$575</definedName>
    <definedName name="ITEM2_4Q04">Tags_ols!$AD$575</definedName>
    <definedName name="ITEM2_4Q05" localSheetId="10">Tags!$AI$575</definedName>
    <definedName name="ITEM2_4Q05">Tags_ols!$AI$575</definedName>
    <definedName name="ITEM2_4Q06" localSheetId="10">Tags!$AN$575</definedName>
    <definedName name="ITEM2_4Q06">Tags_ols!$AN$575</definedName>
    <definedName name="ITEM2_4Q07" localSheetId="10">Tags!$AS$575</definedName>
    <definedName name="ITEM2_4Q07">Tags_ols!$AS$575</definedName>
    <definedName name="ITEM2_4Q08" localSheetId="10">Tags!$AX$575</definedName>
    <definedName name="ITEM2_4Q08">Tags_ols!$AX$575</definedName>
    <definedName name="ITEM2_4Q09" localSheetId="10">Tags!$BC$575</definedName>
    <definedName name="ITEM2_4Q09">Tags_ols!$BC$575</definedName>
    <definedName name="ITEM2_4Q10" localSheetId="10">Tags!$BH$575</definedName>
    <definedName name="ITEM2_4Q10">Tags_ols!$BH$575</definedName>
    <definedName name="ITEM2_4Q11" localSheetId="10">Tags!$BM$575</definedName>
    <definedName name="ITEM2_4Q11">Tags_ols!$BM$575</definedName>
    <definedName name="ITEM2_4Q12" localSheetId="10">Tags!$BR$575</definedName>
    <definedName name="ITEM2_4Q12">Tags_ols!$BR$575</definedName>
    <definedName name="ITEM2_4Q13" localSheetId="10">Tags!$BW$575</definedName>
    <definedName name="ITEM2_4Q13">Tags_ols!$BW$575</definedName>
    <definedName name="ITEM2_4Q14" localSheetId="10">Tags!$CB$575</definedName>
    <definedName name="ITEM2_4Q14">Tags_ols!$CB$575</definedName>
    <definedName name="ITEM2_4Q15" localSheetId="10">Tags!$CG$575</definedName>
    <definedName name="ITEM2_4Q15">Tags_ols!$CG$575</definedName>
    <definedName name="ITEM2_4Q16" localSheetId="10">Tags!$CL$575</definedName>
    <definedName name="ITEM2_4Q16">Tags_ols!$CL$575</definedName>
    <definedName name="ITEM2_4Q17" localSheetId="10">Tags!$CQ$575</definedName>
    <definedName name="ITEM2_4Q17">Tags_ols!$CQ$575</definedName>
    <definedName name="ITEM2_4Q18" localSheetId="10">Tags!$CV$575</definedName>
    <definedName name="ITEM2_4Q18">Tags_ols!$CV$575</definedName>
    <definedName name="ITEM2_4Q19" localSheetId="10">Tags!$DA$575</definedName>
    <definedName name="ITEM2_4Q19">Tags_ols!$DA$575</definedName>
    <definedName name="ITEM2_4Q20" localSheetId="10">Tags!$DF$575</definedName>
    <definedName name="ITEM2_4Q20">Tags_ols!$DF$575</definedName>
    <definedName name="ITEM2_4Q21">Tags!$DK$575</definedName>
    <definedName name="ITEM2_4Q22">Tags!$DP$575</definedName>
    <definedName name="ITEM2_4Q23">Tags!$DU$575</definedName>
    <definedName name="ITEM2_4Q24">Tags!$DZ$575</definedName>
    <definedName name="ITEM20_1995">Tags_ols!$B$593</definedName>
    <definedName name="ITEM20_1996">Tags_ols!$C$593</definedName>
    <definedName name="ITEM20_1997">Tags_ols!$D$593</definedName>
    <definedName name="ITEM20_1998">Tags_ols!$E$593</definedName>
    <definedName name="ITEM20_1999">Tags_ols!$F$593</definedName>
    <definedName name="ITEM20_1Q00" localSheetId="10">Tags!$G$593</definedName>
    <definedName name="ITEM20_1Q00">Tags_ols!$G$593</definedName>
    <definedName name="ITEM20_1Q01" localSheetId="10">Tags!$L$593</definedName>
    <definedName name="ITEM20_1Q01">Tags_ols!$L$593</definedName>
    <definedName name="ITEM20_1Q02" localSheetId="10">Tags!$Q$593</definedName>
    <definedName name="ITEM20_1Q02">Tags_ols!$Q$593</definedName>
    <definedName name="ITEM20_1Q03" localSheetId="10">Tags!$V$593</definedName>
    <definedName name="ITEM20_1Q03">Tags_ols!$V$593</definedName>
    <definedName name="ITEM20_1Q04" localSheetId="10">Tags!$AA$593</definedName>
    <definedName name="ITEM20_1Q04">Tags_ols!$AA$593</definedName>
    <definedName name="ITEM20_1Q05" localSheetId="10">Tags!$AF$593</definedName>
    <definedName name="ITEM20_1Q05">Tags_ols!$AF$593</definedName>
    <definedName name="ITEM20_1Q06" localSheetId="10">Tags!$AK$593</definedName>
    <definedName name="ITEM20_1Q06">Tags_ols!$AK$593</definedName>
    <definedName name="ITEM20_1Q07" localSheetId="10">Tags!$AP$593</definedName>
    <definedName name="ITEM20_1Q07">Tags_ols!$AP$593</definedName>
    <definedName name="ITEM20_1Q08" localSheetId="10">Tags!$AU$593</definedName>
    <definedName name="ITEM20_1Q08">Tags_ols!$AU$593</definedName>
    <definedName name="ITEM20_1Q09" localSheetId="10">Tags!$AZ$593</definedName>
    <definedName name="ITEM20_1Q09">Tags_ols!$AZ$593</definedName>
    <definedName name="ITEM20_1Q10" localSheetId="10">Tags!$BE$593</definedName>
    <definedName name="ITEM20_1Q10">Tags_ols!$BE$593</definedName>
    <definedName name="ITEM20_1Q11" localSheetId="10">Tags!$BJ$593</definedName>
    <definedName name="ITEM20_1Q11">Tags_ols!$BJ$593</definedName>
    <definedName name="ITEM20_1Q12" localSheetId="10">Tags!$BO$593</definedName>
    <definedName name="ITEM20_1Q12">Tags_ols!$BO$593</definedName>
    <definedName name="ITEM20_1Q13" localSheetId="10">Tags!$BT$593</definedName>
    <definedName name="ITEM20_1Q13">Tags_ols!$BT$593</definedName>
    <definedName name="ITEM20_1Q14" localSheetId="10">Tags!$BY$593</definedName>
    <definedName name="ITEM20_1Q14">Tags_ols!$BY$593</definedName>
    <definedName name="ITEM20_1Q15" localSheetId="10">Tags!$CD$593</definedName>
    <definedName name="ITEM20_1Q15">Tags_ols!$CD$593</definedName>
    <definedName name="ITEM20_1Q16" localSheetId="10">Tags!$CI$593</definedName>
    <definedName name="ITEM20_1Q16">Tags_ols!$CI$593</definedName>
    <definedName name="ITEM20_1Q17" localSheetId="10">Tags!$CN$593</definedName>
    <definedName name="ITEM20_1Q17">Tags_ols!$CN$593</definedName>
    <definedName name="ITEM20_1Q18" localSheetId="10">Tags!$CS$593</definedName>
    <definedName name="ITEM20_1Q18">Tags_ols!$CS$593</definedName>
    <definedName name="ITEM20_1Q19" localSheetId="10">Tags!$CX$593</definedName>
    <definedName name="ITEM20_1Q19">Tags_ols!$CX$593</definedName>
    <definedName name="ITEM20_1Q20" localSheetId="10">Tags!$DC$593</definedName>
    <definedName name="ITEM20_1Q20">Tags_ols!$DC$593</definedName>
    <definedName name="ITEM20_1Q21">Tags!$DH$593</definedName>
    <definedName name="ITEM20_1Q22">Tags!$DM$593</definedName>
    <definedName name="ITEM20_1Q23">Tags!$DR$593</definedName>
    <definedName name="ITEM20_1Q24">Tags!$DW$593</definedName>
    <definedName name="ITEM20_2000" localSheetId="10">Tags!$K$593</definedName>
    <definedName name="ITEM20_2000">Tags_ols!$K$593</definedName>
    <definedName name="ITEM20_2001" localSheetId="10">Tags!$P$593</definedName>
    <definedName name="ITEM20_2001">Tags_ols!$P$593</definedName>
    <definedName name="ITEM20_2002" localSheetId="10">Tags!$U$593</definedName>
    <definedName name="ITEM20_2002">Tags_ols!$U$593</definedName>
    <definedName name="ITEM20_2003" localSheetId="10">Tags!$Z$593</definedName>
    <definedName name="ITEM20_2003">Tags_ols!$Z$593</definedName>
    <definedName name="ITEM20_2004" localSheetId="10">Tags!$AE$593</definedName>
    <definedName name="ITEM20_2004">Tags_ols!$AE$593</definedName>
    <definedName name="ITEM20_2005" localSheetId="10">Tags!$AJ$593</definedName>
    <definedName name="ITEM20_2005">Tags_ols!$AJ$593</definedName>
    <definedName name="ITEM20_2006" localSheetId="10">Tags!$AO$593</definedName>
    <definedName name="ITEM20_2006">Tags_ols!$AO$593</definedName>
    <definedName name="ITEM20_2007" localSheetId="10">Tags!$AT$593</definedName>
    <definedName name="ITEM20_2007">Tags_ols!$AT$593</definedName>
    <definedName name="ITEM20_2008" localSheetId="10">Tags!$AY$593</definedName>
    <definedName name="ITEM20_2008">Tags_ols!$AY$593</definedName>
    <definedName name="ITEM20_2009" localSheetId="10">Tags!$BD$593</definedName>
    <definedName name="ITEM20_2009">Tags_ols!$BD$593</definedName>
    <definedName name="ITEM20_2010" localSheetId="10">Tags!$BI$593</definedName>
    <definedName name="ITEM20_2010">Tags_ols!$BI$593</definedName>
    <definedName name="ITEM20_2011" localSheetId="10">Tags!$BN$593</definedName>
    <definedName name="ITEM20_2011">Tags_ols!$BN$593</definedName>
    <definedName name="ITEM20_2012" localSheetId="10">Tags!$BS$593</definedName>
    <definedName name="ITEM20_2012">Tags_ols!$BS$593</definedName>
    <definedName name="ITEM20_2013" localSheetId="10">Tags!$BX$593</definedName>
    <definedName name="ITEM20_2013">Tags_ols!$BX$593</definedName>
    <definedName name="ITEM20_2014" localSheetId="10">Tags!$CC$593</definedName>
    <definedName name="ITEM20_2014">Tags_ols!$CC$593</definedName>
    <definedName name="ITEM20_2015" localSheetId="10">Tags!#REF!</definedName>
    <definedName name="ITEM20_2015">Tags!$CH$593</definedName>
    <definedName name="ITEM20_2016" localSheetId="10">Tags!$CM$593</definedName>
    <definedName name="ITEM20_2016">Tags_ols!$CM$593</definedName>
    <definedName name="ITEM20_2017" localSheetId="10">Tags!$CR$593</definedName>
    <definedName name="ITEM20_2017">Tags_ols!$CR$593</definedName>
    <definedName name="ITEM20_2018" localSheetId="10">Tags!$CW$593</definedName>
    <definedName name="ITEM20_2018">Tags_ols!$CW$593</definedName>
    <definedName name="ITEM20_2019" localSheetId="10">Tags!$DB$593</definedName>
    <definedName name="ITEM20_2019">Tags_ols!$DB$593</definedName>
    <definedName name="ITEM20_2020" localSheetId="10">Tags!$DG$593</definedName>
    <definedName name="ITEM20_2020">Tags_ols!$DG$593</definedName>
    <definedName name="ITEM20_2021">Tags!$DL$593</definedName>
    <definedName name="ITEM20_2022">Tags!$DQ$593</definedName>
    <definedName name="ITEM20_2023">Tags!$DV$593</definedName>
    <definedName name="ITEM20_2024">Tags!$EA$593</definedName>
    <definedName name="ITEM20_2Q00" localSheetId="10">Tags!$H$593</definedName>
    <definedName name="ITEM20_2Q00">Tags_ols!$H$593</definedName>
    <definedName name="ITEM20_2Q01" localSheetId="10">Tags!$M$593</definedName>
    <definedName name="ITEM20_2Q01">Tags_ols!$M$593</definedName>
    <definedName name="ITEM20_2Q02" localSheetId="10">Tags!$R$593</definedName>
    <definedName name="ITEM20_2Q02">Tags_ols!$R$593</definedName>
    <definedName name="ITEM20_2Q03" localSheetId="10">Tags!$W$593</definedName>
    <definedName name="ITEM20_2Q03">Tags_ols!$W$593</definedName>
    <definedName name="ITEM20_2Q04" localSheetId="10">Tags!$AB$593</definedName>
    <definedName name="ITEM20_2Q04">Tags_ols!$AB$593</definedName>
    <definedName name="ITEM20_2Q05" localSheetId="10">Tags!$AG$593</definedName>
    <definedName name="ITEM20_2Q05">Tags_ols!$AG$593</definedName>
    <definedName name="ITEM20_2Q06" localSheetId="10">Tags!$AL$593</definedName>
    <definedName name="ITEM20_2Q06">Tags_ols!$AL$593</definedName>
    <definedName name="ITEM20_2Q07" localSheetId="10">Tags!$AQ$593</definedName>
    <definedName name="ITEM20_2Q07">Tags_ols!$AQ$593</definedName>
    <definedName name="ITEM20_2Q08" localSheetId="10">Tags!$AV$593</definedName>
    <definedName name="ITEM20_2Q08">Tags_ols!$AV$593</definedName>
    <definedName name="ITEM20_2Q09" localSheetId="10">Tags!$BA$593</definedName>
    <definedName name="ITEM20_2Q09">Tags_ols!$BA$593</definedName>
    <definedName name="ITEM20_2Q10" localSheetId="10">Tags!$BF$593</definedName>
    <definedName name="ITEM20_2Q10">Tags_ols!$BF$593</definedName>
    <definedName name="ITEM20_2Q11" localSheetId="10">Tags!$BK$593</definedName>
    <definedName name="ITEM20_2Q11">Tags_ols!$BK$593</definedName>
    <definedName name="ITEM20_2Q12" localSheetId="10">Tags!$BP$593</definedName>
    <definedName name="ITEM20_2Q12">Tags_ols!$BP$593</definedName>
    <definedName name="ITEM20_2Q13" localSheetId="10">Tags!$BU$593</definedName>
    <definedName name="ITEM20_2Q13">Tags_ols!$BU$593</definedName>
    <definedName name="ITEM20_2Q14" localSheetId="10">Tags!$BZ$593</definedName>
    <definedName name="ITEM20_2Q14">Tags_ols!$BZ$593</definedName>
    <definedName name="ITEM20_2Q15" localSheetId="10">Tags!$CE$593</definedName>
    <definedName name="ITEM20_2Q15">Tags_ols!$CE$593</definedName>
    <definedName name="ITEM20_2Q16" localSheetId="10">Tags!$CJ$593</definedName>
    <definedName name="ITEM20_2Q16">Tags_ols!$CJ$593</definedName>
    <definedName name="ITEM20_2Q17" localSheetId="10">Tags!$CO$593</definedName>
    <definedName name="ITEM20_2Q17">Tags_ols!$CO$593</definedName>
    <definedName name="ITEM20_2Q18" localSheetId="10">Tags!$CT$593</definedName>
    <definedName name="ITEM20_2Q18">Tags_ols!$CT$593</definedName>
    <definedName name="ITEM20_2Q19" localSheetId="10">Tags!$CY$593</definedName>
    <definedName name="ITEM20_2Q19">Tags_ols!$CY$593</definedName>
    <definedName name="ITEM20_2Q20" localSheetId="10">Tags!$DD$593</definedName>
    <definedName name="ITEM20_2Q20">Tags_ols!$DD$593</definedName>
    <definedName name="ITEM20_2Q21">Tags!$DI$593</definedName>
    <definedName name="ITEM20_2Q22">Tags!$DN$593</definedName>
    <definedName name="ITEM20_2Q23">Tags!$DS$593</definedName>
    <definedName name="ITEM20_2Q24">Tags!$DX$593</definedName>
    <definedName name="ITEM20_3Q00" localSheetId="10">Tags!$I$593</definedName>
    <definedName name="ITEM20_3Q00">Tags_ols!$I$593</definedName>
    <definedName name="ITEM20_3Q01" localSheetId="10">Tags!$N$593</definedName>
    <definedName name="ITEM20_3Q01">Tags_ols!$N$593</definedName>
    <definedName name="ITEM20_3Q02" localSheetId="10">Tags!$S$593</definedName>
    <definedName name="ITEM20_3Q02">Tags_ols!$S$593</definedName>
    <definedName name="ITEM20_3Q03" localSheetId="10">Tags!$X$593</definedName>
    <definedName name="ITEM20_3Q03">Tags_ols!$X$593</definedName>
    <definedName name="ITEM20_3Q04" localSheetId="10">Tags!$AC$593</definedName>
    <definedName name="ITEM20_3Q04">Tags_ols!$AC$593</definedName>
    <definedName name="ITEM20_3Q05" localSheetId="10">Tags!$AH$593</definedName>
    <definedName name="ITEM20_3Q05">Tags_ols!$AH$593</definedName>
    <definedName name="ITEM20_3Q06" localSheetId="10">Tags!$AM$593</definedName>
    <definedName name="ITEM20_3Q06">Tags_ols!$AM$593</definedName>
    <definedName name="ITEM20_3Q07" localSheetId="10">Tags!$AR$593</definedName>
    <definedName name="ITEM20_3Q07">Tags_ols!$AR$593</definedName>
    <definedName name="ITEM20_3Q08" localSheetId="10">Tags!$AW$593</definedName>
    <definedName name="ITEM20_3Q08">Tags_ols!$AW$593</definedName>
    <definedName name="ITEM20_3Q09" localSheetId="10">Tags!$BB$593</definedName>
    <definedName name="ITEM20_3Q09">Tags_ols!$BB$593</definedName>
    <definedName name="ITEM20_3Q10" localSheetId="10">Tags!$BG$593</definedName>
    <definedName name="ITEM20_3Q10">Tags_ols!$BG$593</definedName>
    <definedName name="ITEM20_3Q11" localSheetId="10">Tags!$BL$593</definedName>
    <definedName name="ITEM20_3Q11">Tags_ols!$BL$593</definedName>
    <definedName name="ITEM20_3Q12" localSheetId="10">Tags!$BQ$593</definedName>
    <definedName name="ITEM20_3Q12">Tags_ols!$BQ$593</definedName>
    <definedName name="ITEM20_3Q13" localSheetId="10">Tags!$BV$593</definedName>
    <definedName name="ITEM20_3Q13">Tags_ols!$BV$593</definedName>
    <definedName name="ITEM20_3Q14" localSheetId="10">Tags!$CA$593</definedName>
    <definedName name="ITEM20_3Q14">Tags_ols!$CA$593</definedName>
    <definedName name="ITEM20_3Q15" localSheetId="10">Tags!$CF$593</definedName>
    <definedName name="ITEM20_3Q15">Tags_ols!$CF$593</definedName>
    <definedName name="ITEM20_3Q16" localSheetId="10">Tags!$CK$593</definedName>
    <definedName name="ITEM20_3Q16">Tags_ols!$CK$593</definedName>
    <definedName name="ITEM20_3Q17" localSheetId="10">Tags!$CP$593</definedName>
    <definedName name="ITEM20_3Q17">Tags_ols!$CP$593</definedName>
    <definedName name="ITEM20_3Q18" localSheetId="10">Tags!$CU$593</definedName>
    <definedName name="ITEM20_3Q18">Tags_ols!$CU$593</definedName>
    <definedName name="ITEM20_3Q19" localSheetId="10">Tags!$CZ$593</definedName>
    <definedName name="ITEM20_3Q19">Tags_ols!$CZ$593</definedName>
    <definedName name="ITEM20_3Q20" localSheetId="10">Tags!$DE$593</definedName>
    <definedName name="ITEM20_3Q20">Tags_ols!$DE$593</definedName>
    <definedName name="ITEM20_3Q21">Tags!$DJ$593</definedName>
    <definedName name="ITEM20_3Q22">Tags!$DO$593</definedName>
    <definedName name="ITEM20_3Q23">Tags!$DT$593</definedName>
    <definedName name="ITEM20_3Q24">Tags!$DY$593</definedName>
    <definedName name="ITEM20_4Q00" localSheetId="10">Tags!$J$593</definedName>
    <definedName name="ITEM20_4Q00">Tags_ols!$J$593</definedName>
    <definedName name="ITEM20_4Q01" localSheetId="10">Tags!$O$593</definedName>
    <definedName name="ITEM20_4Q01">Tags_ols!$O$593</definedName>
    <definedName name="ITEM20_4Q02" localSheetId="10">Tags!$T$593</definedName>
    <definedName name="ITEM20_4Q02">Tags_ols!$T$593</definedName>
    <definedName name="ITEM20_4Q03" localSheetId="10">Tags!$Y$593</definedName>
    <definedName name="ITEM20_4Q03">Tags_ols!$Y$593</definedName>
    <definedName name="ITEM20_4Q04" localSheetId="10">Tags!$AD$593</definedName>
    <definedName name="ITEM20_4Q04">Tags_ols!$AD$593</definedName>
    <definedName name="ITEM20_4Q05" localSheetId="10">Tags!$AI$593</definedName>
    <definedName name="ITEM20_4Q05">Tags_ols!$AI$593</definedName>
    <definedName name="ITEM20_4Q06" localSheetId="10">Tags!$AN$593</definedName>
    <definedName name="ITEM20_4Q06">Tags_ols!$AN$593</definedName>
    <definedName name="ITEM20_4Q07" localSheetId="10">Tags!$AS$593</definedName>
    <definedName name="ITEM20_4Q07">Tags_ols!$AS$593</definedName>
    <definedName name="ITEM20_4Q08" localSheetId="10">Tags!$AX$593</definedName>
    <definedName name="ITEM20_4Q08">Tags_ols!$AX$593</definedName>
    <definedName name="ITEM20_4Q09" localSheetId="10">Tags!$BC$593</definedName>
    <definedName name="ITEM20_4Q09">Tags_ols!$BC$593</definedName>
    <definedName name="ITEM20_4Q10" localSheetId="10">Tags!$BH$593</definedName>
    <definedName name="ITEM20_4Q10">Tags_ols!$BH$593</definedName>
    <definedName name="ITEM20_4Q11" localSheetId="10">Tags!$BM$593</definedName>
    <definedName name="ITEM20_4Q11">Tags_ols!$BM$593</definedName>
    <definedName name="ITEM20_4Q12" localSheetId="10">Tags!$BR$593</definedName>
    <definedName name="ITEM20_4Q12">Tags_ols!$BR$593</definedName>
    <definedName name="ITEM20_4Q13" localSheetId="10">Tags!$BW$593</definedName>
    <definedName name="ITEM20_4Q13">Tags_ols!$BW$593</definedName>
    <definedName name="ITEM20_4Q14" localSheetId="10">Tags!$CB$593</definedName>
    <definedName name="ITEM20_4Q14">Tags_ols!$CB$593</definedName>
    <definedName name="ITEM20_4Q15" localSheetId="10">Tags!$CG$593</definedName>
    <definedName name="ITEM20_4Q15">Tags_ols!$CG$593</definedName>
    <definedName name="ITEM20_4Q16" localSheetId="10">Tags!$CL$593</definedName>
    <definedName name="ITEM20_4Q16">Tags_ols!$CL$593</definedName>
    <definedName name="ITEM20_4Q17" localSheetId="10">Tags!$CQ$593</definedName>
    <definedName name="ITEM20_4Q17">Tags_ols!$CQ$593</definedName>
    <definedName name="ITEM20_4Q18" localSheetId="10">Tags!$CV$593</definedName>
    <definedName name="ITEM20_4Q18">Tags_ols!$CV$593</definedName>
    <definedName name="ITEM20_4Q19" localSheetId="10">Tags!$DA$593</definedName>
    <definedName name="ITEM20_4Q19">Tags_ols!$DA$593</definedName>
    <definedName name="ITEM20_4Q20" localSheetId="10">Tags!$DF$593</definedName>
    <definedName name="ITEM20_4Q20">Tags_ols!$DF$593</definedName>
    <definedName name="ITEM20_4Q21">Tags!$DK$593</definedName>
    <definedName name="ITEM20_4Q22">Tags!$DP$593</definedName>
    <definedName name="ITEM20_4Q23">Tags!$DU$593</definedName>
    <definedName name="ITEM20_4Q24">Tags!$DZ$593</definedName>
    <definedName name="ITEM21_1995">Tags_ols!$B$594</definedName>
    <definedName name="ITEM21_1996">Tags_ols!$C$594</definedName>
    <definedName name="ITEM21_1997">Tags_ols!$D$594</definedName>
    <definedName name="ITEM21_1998">Tags_ols!$E$594</definedName>
    <definedName name="ITEM21_1999">Tags_ols!$F$594</definedName>
    <definedName name="ITEM21_1Q00" localSheetId="10">Tags!$G$594</definedName>
    <definedName name="ITEM21_1Q00">Tags_ols!$G$594</definedName>
    <definedName name="ITEM21_1Q01" localSheetId="10">Tags!$L$594</definedName>
    <definedName name="ITEM21_1Q01">Tags_ols!$L$594</definedName>
    <definedName name="ITEM21_1Q02" localSheetId="10">Tags!$Q$594</definedName>
    <definedName name="ITEM21_1Q02">Tags_ols!$Q$594</definedName>
    <definedName name="ITEM21_1Q03" localSheetId="10">Tags!$V$594</definedName>
    <definedName name="ITEM21_1Q03">Tags_ols!$V$594</definedName>
    <definedName name="ITEM21_1Q04" localSheetId="10">Tags!$AA$594</definedName>
    <definedName name="ITEM21_1Q04">Tags_ols!$AA$594</definedName>
    <definedName name="ITEM21_1Q05" localSheetId="10">Tags!$AF$594</definedName>
    <definedName name="ITEM21_1Q05">Tags_ols!$AF$594</definedName>
    <definedName name="ITEM21_1Q06" localSheetId="10">Tags!$AK$594</definedName>
    <definedName name="ITEM21_1Q06">Tags_ols!$AK$594</definedName>
    <definedName name="ITEM21_1Q07" localSheetId="10">Tags!$AP$594</definedName>
    <definedName name="ITEM21_1Q07">Tags_ols!$AP$594</definedName>
    <definedName name="ITEM21_1Q08" localSheetId="10">Tags!$AU$594</definedName>
    <definedName name="ITEM21_1Q08">Tags_ols!$AU$594</definedName>
    <definedName name="ITEM21_1Q09" localSheetId="10">Tags!$AZ$594</definedName>
    <definedName name="ITEM21_1Q09">Tags_ols!$AZ$594</definedName>
    <definedName name="ITEM21_1Q10" localSheetId="10">Tags!$BE$594</definedName>
    <definedName name="ITEM21_1Q10">Tags_ols!$BE$594</definedName>
    <definedName name="ITEM21_1Q11" localSheetId="10">Tags!$BJ$594</definedName>
    <definedName name="ITEM21_1Q11">Tags_ols!$BJ$594</definedName>
    <definedName name="ITEM21_1Q12" localSheetId="10">Tags!$BO$594</definedName>
    <definedName name="ITEM21_1Q12">Tags_ols!$BO$594</definedName>
    <definedName name="ITEM21_1Q13" localSheetId="10">Tags!$BT$594</definedName>
    <definedName name="ITEM21_1Q13">Tags_ols!$BT$594</definedName>
    <definedName name="ITEM21_1Q14" localSheetId="10">Tags!$BY$594</definedName>
    <definedName name="ITEM21_1Q14">Tags_ols!$BY$594</definedName>
    <definedName name="ITEM21_1Q15" localSheetId="10">Tags!$CD$594</definedName>
    <definedName name="ITEM21_1Q15">Tags_ols!$CD$594</definedName>
    <definedName name="ITEM21_1Q16" localSheetId="10">Tags!$CI$594</definedName>
    <definedName name="ITEM21_1Q16">Tags_ols!$CI$594</definedName>
    <definedName name="ITEM21_1Q17" localSheetId="10">Tags!$CN$594</definedName>
    <definedName name="ITEM21_1Q17">Tags_ols!$CN$594</definedName>
    <definedName name="ITEM21_1Q18" localSheetId="10">Tags!$CS$594</definedName>
    <definedName name="ITEM21_1Q18">Tags_ols!$CS$594</definedName>
    <definedName name="ITEM21_1Q19" localSheetId="10">Tags!$CX$594</definedName>
    <definedName name="ITEM21_1Q19">Tags_ols!$CX$594</definedName>
    <definedName name="ITEM21_1Q20" localSheetId="10">Tags!$DC$594</definedName>
    <definedName name="ITEM21_1Q20">Tags_ols!$DC$594</definedName>
    <definedName name="ITEM21_1Q21">Tags!$DH$594</definedName>
    <definedName name="ITEM21_1Q22">Tags!$DM$594</definedName>
    <definedName name="ITEM21_1Q23">Tags!$DR$594</definedName>
    <definedName name="ITEM21_1Q24">Tags!$DW$594</definedName>
    <definedName name="ITEM21_2000" localSheetId="10">Tags!$K$594</definedName>
    <definedName name="ITEM21_2000">Tags_ols!$K$594</definedName>
    <definedName name="ITEM21_2001" localSheetId="10">Tags!$P$594</definedName>
    <definedName name="ITEM21_2001">Tags_ols!$P$594</definedName>
    <definedName name="ITEM21_2002" localSheetId="10">Tags!$U$594</definedName>
    <definedName name="ITEM21_2002">Tags_ols!$U$594</definedName>
    <definedName name="ITEM21_2003" localSheetId="10">Tags!$Z$594</definedName>
    <definedName name="ITEM21_2003">Tags_ols!$Z$594</definedName>
    <definedName name="ITEM21_2004" localSheetId="10">Tags!$AE$594</definedName>
    <definedName name="ITEM21_2004">Tags_ols!$AE$594</definedName>
    <definedName name="ITEM21_2005" localSheetId="10">Tags!$AJ$594</definedName>
    <definedName name="ITEM21_2005">Tags_ols!$AJ$594</definedName>
    <definedName name="ITEM21_2006" localSheetId="10">Tags!$AO$594</definedName>
    <definedName name="ITEM21_2006">Tags_ols!$AO$594</definedName>
    <definedName name="ITEM21_2007" localSheetId="10">Tags!$AT$594</definedName>
    <definedName name="ITEM21_2007">Tags_ols!$AT$594</definedName>
    <definedName name="ITEM21_2008" localSheetId="10">Tags!$AY$594</definedName>
    <definedName name="ITEM21_2008">Tags_ols!$AY$594</definedName>
    <definedName name="ITEM21_2009" localSheetId="10">Tags!$BD$594</definedName>
    <definedName name="ITEM21_2009">Tags_ols!$BD$594</definedName>
    <definedName name="ITEM21_2010" localSheetId="10">Tags!$BI$594</definedName>
    <definedName name="ITEM21_2010">Tags_ols!$BI$594</definedName>
    <definedName name="ITEM21_2011" localSheetId="10">Tags!$BN$594</definedName>
    <definedName name="ITEM21_2011">Tags_ols!$BN$594</definedName>
    <definedName name="ITEM21_2012" localSheetId="10">Tags!$BS$594</definedName>
    <definedName name="ITEM21_2012">Tags_ols!$BS$594</definedName>
    <definedName name="ITEM21_2013" localSheetId="10">Tags!$BX$594</definedName>
    <definedName name="ITEM21_2013">Tags_ols!$BX$594</definedName>
    <definedName name="ITEM21_2014" localSheetId="10">Tags!$CC$594</definedName>
    <definedName name="ITEM21_2014">Tags_ols!$CC$594</definedName>
    <definedName name="ITEM21_2015" localSheetId="10">Tags!#REF!</definedName>
    <definedName name="ITEM21_2015">Tags!$CH$594</definedName>
    <definedName name="ITEM21_2016" localSheetId="10">Tags!$CM$594</definedName>
    <definedName name="ITEM21_2016">Tags_ols!$CM$594</definedName>
    <definedName name="ITEM21_2017" localSheetId="10">Tags!$CR$594</definedName>
    <definedName name="ITEM21_2017">Tags_ols!$CR$594</definedName>
    <definedName name="ITEM21_2018" localSheetId="10">Tags!$CW$594</definedName>
    <definedName name="ITEM21_2018">Tags_ols!$CW$594</definedName>
    <definedName name="ITEM21_2019" localSheetId="10">Tags!$DB$594</definedName>
    <definedName name="ITEM21_2019">Tags_ols!$DB$594</definedName>
    <definedName name="ITEM21_2020" localSheetId="10">Tags!$DG$594</definedName>
    <definedName name="ITEM21_2020">Tags_ols!$DG$594</definedName>
    <definedName name="ITEM21_2021">Tags!$DL$594</definedName>
    <definedName name="ITEM21_2022">Tags!$DQ$594</definedName>
    <definedName name="ITEM21_2023">Tags!$DV$594</definedName>
    <definedName name="ITEM21_2024">Tags!$EA$594</definedName>
    <definedName name="ITEM21_2Q00" localSheetId="10">Tags!$H$594</definedName>
    <definedName name="ITEM21_2Q00">Tags_ols!$H$594</definedName>
    <definedName name="ITEM21_2Q01" localSheetId="10">Tags!$M$594</definedName>
    <definedName name="ITEM21_2Q01">Tags_ols!$M$594</definedName>
    <definedName name="ITEM21_2Q02" localSheetId="10">Tags!$R$594</definedName>
    <definedName name="ITEM21_2Q02">Tags_ols!$R$594</definedName>
    <definedName name="ITEM21_2Q03" localSheetId="10">Tags!$W$594</definedName>
    <definedName name="ITEM21_2Q03">Tags_ols!$W$594</definedName>
    <definedName name="ITEM21_2Q04" localSheetId="10">Tags!$AB$594</definedName>
    <definedName name="ITEM21_2Q04">Tags_ols!$AB$594</definedName>
    <definedName name="ITEM21_2Q05" localSheetId="10">Tags!$AG$594</definedName>
    <definedName name="ITEM21_2Q05">Tags_ols!$AG$594</definedName>
    <definedName name="ITEM21_2Q06" localSheetId="10">Tags!$AL$594</definedName>
    <definedName name="ITEM21_2Q06">Tags_ols!$AL$594</definedName>
    <definedName name="ITEM21_2Q07" localSheetId="10">Tags!$AQ$594</definedName>
    <definedName name="ITEM21_2Q07">Tags_ols!$AQ$594</definedName>
    <definedName name="ITEM21_2Q08" localSheetId="10">Tags!$AV$594</definedName>
    <definedName name="ITEM21_2Q08">Tags_ols!$AV$594</definedName>
    <definedName name="ITEM21_2Q09" localSheetId="10">Tags!$BA$594</definedName>
    <definedName name="ITEM21_2Q09">Tags_ols!$BA$594</definedName>
    <definedName name="ITEM21_2Q10" localSheetId="10">Tags!$BF$594</definedName>
    <definedName name="ITEM21_2Q10">Tags_ols!$BF$594</definedName>
    <definedName name="ITEM21_2Q11" localSheetId="10">Tags!$BK$594</definedName>
    <definedName name="ITEM21_2Q11">Tags_ols!$BK$594</definedName>
    <definedName name="ITEM21_2Q12" localSheetId="10">Tags!$BP$594</definedName>
    <definedName name="ITEM21_2Q12">Tags_ols!$BP$594</definedName>
    <definedName name="ITEM21_2Q13" localSheetId="10">Tags!$BU$594</definedName>
    <definedName name="ITEM21_2Q13">Tags_ols!$BU$594</definedName>
    <definedName name="ITEM21_2Q14" localSheetId="10">Tags!$BZ$594</definedName>
    <definedName name="ITEM21_2Q14">Tags_ols!$BZ$594</definedName>
    <definedName name="ITEM21_2Q15" localSheetId="10">Tags!$CE$594</definedName>
    <definedName name="ITEM21_2Q15">Tags_ols!$CE$594</definedName>
    <definedName name="ITEM21_2Q16" localSheetId="10">Tags!$CJ$594</definedName>
    <definedName name="ITEM21_2Q16">Tags_ols!$CJ$594</definedName>
    <definedName name="ITEM21_2Q17" localSheetId="10">Tags!$CO$594</definedName>
    <definedName name="ITEM21_2Q17">Tags_ols!$CO$594</definedName>
    <definedName name="ITEM21_2Q18" localSheetId="10">Tags!$CT$594</definedName>
    <definedName name="ITEM21_2Q18">Tags_ols!$CT$594</definedName>
    <definedName name="ITEM21_2Q19" localSheetId="10">Tags!$CY$594</definedName>
    <definedName name="ITEM21_2Q19">Tags_ols!$CY$594</definedName>
    <definedName name="ITEM21_2Q20" localSheetId="10">Tags!$DD$594</definedName>
    <definedName name="ITEM21_2Q20">Tags_ols!$DD$594</definedName>
    <definedName name="ITEM21_2Q21">Tags!$DI$594</definedName>
    <definedName name="ITEM21_2Q22">Tags!$DN$594</definedName>
    <definedName name="ITEM21_2Q23">Tags!$DS$594</definedName>
    <definedName name="ITEM21_2Q24">Tags!$DX$594</definedName>
    <definedName name="ITEM21_3Q00" localSheetId="10">Tags!$I$594</definedName>
    <definedName name="ITEM21_3Q00">Tags_ols!$I$594</definedName>
    <definedName name="ITEM21_3Q01" localSheetId="10">Tags!$N$594</definedName>
    <definedName name="ITEM21_3Q01">Tags_ols!$N$594</definedName>
    <definedName name="ITEM21_3Q02" localSheetId="10">Tags!$S$594</definedName>
    <definedName name="ITEM21_3Q02">Tags_ols!$S$594</definedName>
    <definedName name="ITEM21_3Q03" localSheetId="10">Tags!$X$594</definedName>
    <definedName name="ITEM21_3Q03">Tags_ols!$X$594</definedName>
    <definedName name="ITEM21_3Q04" localSheetId="10">Tags!$AC$594</definedName>
    <definedName name="ITEM21_3Q04">Tags_ols!$AC$594</definedName>
    <definedName name="ITEM21_3Q05" localSheetId="10">Tags!$AH$594</definedName>
    <definedName name="ITEM21_3Q05">Tags_ols!$AH$594</definedName>
    <definedName name="ITEM21_3Q06" localSheetId="10">Tags!$AM$594</definedName>
    <definedName name="ITEM21_3Q06">Tags_ols!$AM$594</definedName>
    <definedName name="ITEM21_3Q07" localSheetId="10">Tags!$AR$594</definedName>
    <definedName name="ITEM21_3Q07">Tags_ols!$AR$594</definedName>
    <definedName name="ITEM21_3Q08" localSheetId="10">Tags!$AW$594</definedName>
    <definedName name="ITEM21_3Q08">Tags_ols!$AW$594</definedName>
    <definedName name="ITEM21_3Q09" localSheetId="10">Tags!$BB$594</definedName>
    <definedName name="ITEM21_3Q09">Tags_ols!$BB$594</definedName>
    <definedName name="ITEM21_3Q10" localSheetId="10">Tags!$BG$594</definedName>
    <definedName name="ITEM21_3Q10">Tags_ols!$BG$594</definedName>
    <definedName name="ITEM21_3Q11" localSheetId="10">Tags!$BL$594</definedName>
    <definedName name="ITEM21_3Q11">Tags_ols!$BL$594</definedName>
    <definedName name="ITEM21_3Q12" localSheetId="10">Tags!$BQ$594</definedName>
    <definedName name="ITEM21_3Q12">Tags_ols!$BQ$594</definedName>
    <definedName name="ITEM21_3Q13" localSheetId="10">Tags!$BV$594</definedName>
    <definedName name="ITEM21_3Q13">Tags_ols!$BV$594</definedName>
    <definedName name="ITEM21_3Q14" localSheetId="10">Tags!$CA$594</definedName>
    <definedName name="ITEM21_3Q14">Tags_ols!$CA$594</definedName>
    <definedName name="ITEM21_3Q15" localSheetId="10">Tags!$CF$594</definedName>
    <definedName name="ITEM21_3Q15">Tags_ols!$CF$594</definedName>
    <definedName name="ITEM21_3Q16" localSheetId="10">Tags!$CK$594</definedName>
    <definedName name="ITEM21_3Q16">Tags_ols!$CK$594</definedName>
    <definedName name="ITEM21_3Q17" localSheetId="10">Tags!$CP$594</definedName>
    <definedName name="ITEM21_3Q17">Tags_ols!$CP$594</definedName>
    <definedName name="ITEM21_3Q18" localSheetId="10">Tags!$CU$594</definedName>
    <definedName name="ITEM21_3Q18">Tags_ols!$CU$594</definedName>
    <definedName name="ITEM21_3Q19" localSheetId="10">Tags!$CZ$594</definedName>
    <definedName name="ITEM21_3Q19">Tags_ols!$CZ$594</definedName>
    <definedName name="ITEM21_3Q20" localSheetId="10">Tags!$DE$594</definedName>
    <definedName name="ITEM21_3Q20">Tags_ols!$DE$594</definedName>
    <definedName name="ITEM21_3Q21">Tags!$DJ$594</definedName>
    <definedName name="ITEM21_3Q22">Tags!$DO$594</definedName>
    <definedName name="ITEM21_3Q23">Tags!$DT$594</definedName>
    <definedName name="ITEM21_3Q24">Tags!$DY$594</definedName>
    <definedName name="ITEM21_4Q00" localSheetId="10">Tags!$J$594</definedName>
    <definedName name="ITEM21_4Q00">Tags_ols!$J$594</definedName>
    <definedName name="ITEM21_4Q01" localSheetId="10">Tags!$O$594</definedName>
    <definedName name="ITEM21_4Q01">Tags_ols!$O$594</definedName>
    <definedName name="ITEM21_4Q02" localSheetId="10">Tags!$T$594</definedName>
    <definedName name="ITEM21_4Q02">Tags_ols!$T$594</definedName>
    <definedName name="ITEM21_4Q03" localSheetId="10">Tags!$Y$594</definedName>
    <definedName name="ITEM21_4Q03">Tags_ols!$Y$594</definedName>
    <definedName name="ITEM21_4Q04" localSheetId="10">Tags!$AD$594</definedName>
    <definedName name="ITEM21_4Q04">Tags_ols!$AD$594</definedName>
    <definedName name="ITEM21_4Q05" localSheetId="10">Tags!$AI$594</definedName>
    <definedName name="ITEM21_4Q05">Tags_ols!$AI$594</definedName>
    <definedName name="ITEM21_4Q06" localSheetId="10">Tags!$AN$594</definedName>
    <definedName name="ITEM21_4Q06">Tags_ols!$AN$594</definedName>
    <definedName name="ITEM21_4Q07" localSheetId="10">Tags!$AS$594</definedName>
    <definedName name="ITEM21_4Q07">Tags_ols!$AS$594</definedName>
    <definedName name="ITEM21_4Q08" localSheetId="10">Tags!$AX$594</definedName>
    <definedName name="ITEM21_4Q08">Tags_ols!$AX$594</definedName>
    <definedName name="ITEM21_4Q09" localSheetId="10">Tags!$BC$594</definedName>
    <definedName name="ITEM21_4Q09">Tags_ols!$BC$594</definedName>
    <definedName name="ITEM21_4Q10" localSheetId="10">Tags!$BH$594</definedName>
    <definedName name="ITEM21_4Q10">Tags_ols!$BH$594</definedName>
    <definedName name="ITEM21_4Q11" localSheetId="10">Tags!$BM$594</definedName>
    <definedName name="ITEM21_4Q11">Tags_ols!$BM$594</definedName>
    <definedName name="ITEM21_4Q12" localSheetId="10">Tags!$BR$594</definedName>
    <definedName name="ITEM21_4Q12">Tags_ols!$BR$594</definedName>
    <definedName name="ITEM21_4Q13" localSheetId="10">Tags!$BW$594</definedName>
    <definedName name="ITEM21_4Q13">Tags_ols!$BW$594</definedName>
    <definedName name="ITEM21_4Q14" localSheetId="10">Tags!$CB$594</definedName>
    <definedName name="ITEM21_4Q14">Tags_ols!$CB$594</definedName>
    <definedName name="ITEM21_4Q15" localSheetId="10">Tags!$CG$594</definedName>
    <definedName name="ITEM21_4Q15">Tags_ols!$CG$594</definedName>
    <definedName name="ITEM21_4Q16" localSheetId="10">Tags!$CL$594</definedName>
    <definedName name="ITEM21_4Q16">Tags_ols!$CL$594</definedName>
    <definedName name="ITEM21_4Q17" localSheetId="10">Tags!$CQ$594</definedName>
    <definedName name="ITEM21_4Q17">Tags_ols!$CQ$594</definedName>
    <definedName name="ITEM21_4Q18" localSheetId="10">Tags!$CV$594</definedName>
    <definedName name="ITEM21_4Q18">Tags_ols!$CV$594</definedName>
    <definedName name="ITEM21_4Q19" localSheetId="10">Tags!$DA$594</definedName>
    <definedName name="ITEM21_4Q19">Tags_ols!$DA$594</definedName>
    <definedName name="ITEM21_4Q20" localSheetId="10">Tags!$DF$594</definedName>
    <definedName name="ITEM21_4Q20">Tags_ols!$DF$594</definedName>
    <definedName name="ITEM21_4Q21">Tags!$DK$594</definedName>
    <definedName name="ITEM21_4Q22">Tags!$DP$594</definedName>
    <definedName name="ITEM21_4Q23">Tags!$DU$594</definedName>
    <definedName name="ITEM21_4Q24">Tags!$DZ$594</definedName>
    <definedName name="ITEM22_1995">Tags_ols!$B$595</definedName>
    <definedName name="ITEM22_1996">Tags_ols!$C$595</definedName>
    <definedName name="ITEM22_1997">Tags_ols!$D$595</definedName>
    <definedName name="ITEM22_1998">Tags_ols!$E$595</definedName>
    <definedName name="ITEM22_1999">Tags_ols!$F$595</definedName>
    <definedName name="ITEM22_1Q00" localSheetId="10">Tags!$G$595</definedName>
    <definedName name="ITEM22_1Q00">Tags_ols!$G$595</definedName>
    <definedName name="ITEM22_1Q01" localSheetId="10">Tags!$L$595</definedName>
    <definedName name="ITEM22_1Q01">Tags_ols!$L$595</definedName>
    <definedName name="ITEM22_1Q02" localSheetId="10">Tags!$Q$595</definedName>
    <definedName name="ITEM22_1Q02">Tags_ols!$Q$595</definedName>
    <definedName name="ITEM22_1Q03" localSheetId="10">Tags!$V$595</definedName>
    <definedName name="ITEM22_1Q03">Tags_ols!$V$595</definedName>
    <definedName name="ITEM22_1Q04" localSheetId="10">Tags!$AA$595</definedName>
    <definedName name="ITEM22_1Q04">Tags_ols!$AA$595</definedName>
    <definedName name="ITEM22_1Q05" localSheetId="10">Tags!$AF$595</definedName>
    <definedName name="ITEM22_1Q05">Tags_ols!$AF$595</definedName>
    <definedName name="ITEM22_1Q06" localSheetId="10">Tags!$AK$595</definedName>
    <definedName name="ITEM22_1Q06">Tags_ols!$AK$595</definedName>
    <definedName name="ITEM22_1Q07" localSheetId="10">Tags!$AP$595</definedName>
    <definedName name="ITEM22_1Q07">Tags_ols!$AP$595</definedName>
    <definedName name="ITEM22_1Q08" localSheetId="10">Tags!$AU$595</definedName>
    <definedName name="ITEM22_1Q08">Tags_ols!$AU$595</definedName>
    <definedName name="ITEM22_1Q09" localSheetId="10">Tags!$AZ$595</definedName>
    <definedName name="ITEM22_1Q09">Tags_ols!$AZ$595</definedName>
    <definedName name="ITEM22_1Q10" localSheetId="10">Tags!$BE$595</definedName>
    <definedName name="ITEM22_1Q10">Tags_ols!$BE$595</definedName>
    <definedName name="ITEM22_1Q11" localSheetId="10">Tags!$BJ$595</definedName>
    <definedName name="ITEM22_1Q11">Tags_ols!$BJ$595</definedName>
    <definedName name="ITEM22_1Q12" localSheetId="10">Tags!$BO$595</definedName>
    <definedName name="ITEM22_1Q12">Tags_ols!$BO$595</definedName>
    <definedName name="ITEM22_1Q13" localSheetId="10">Tags!$BT$595</definedName>
    <definedName name="ITEM22_1Q13">Tags_ols!$BT$595</definedName>
    <definedName name="ITEM22_1Q14" localSheetId="10">Tags!$BY$595</definedName>
    <definedName name="ITEM22_1Q14">Tags_ols!$BY$595</definedName>
    <definedName name="ITEM22_1Q15" localSheetId="10">Tags!$CD$595</definedName>
    <definedName name="ITEM22_1Q15">Tags_ols!$CD$595</definedName>
    <definedName name="ITEM22_1Q16" localSheetId="10">Tags!$CI$595</definedName>
    <definedName name="ITEM22_1Q16">Tags_ols!$CI$595</definedName>
    <definedName name="ITEM22_1Q17" localSheetId="10">Tags!$CN$595</definedName>
    <definedName name="ITEM22_1Q17">Tags_ols!$CN$595</definedName>
    <definedName name="ITEM22_1Q18" localSheetId="10">Tags!$CS$595</definedName>
    <definedName name="ITEM22_1Q18">Tags_ols!$CS$595</definedName>
    <definedName name="ITEM22_1Q19" localSheetId="10">Tags!$CX$595</definedName>
    <definedName name="ITEM22_1Q19">Tags_ols!$CX$595</definedName>
    <definedName name="ITEM22_1Q20" localSheetId="10">Tags!$DC$595</definedName>
    <definedName name="ITEM22_1Q20">Tags_ols!$DC$595</definedName>
    <definedName name="ITEM22_1Q21">Tags!$DH$595</definedName>
    <definedName name="ITEM22_1Q22">Tags!$DM$595</definedName>
    <definedName name="ITEM22_1Q23">Tags!$DR$595</definedName>
    <definedName name="ITEM22_1Q24">Tags!$DW$595</definedName>
    <definedName name="ITEM22_2000" localSheetId="10">Tags!$K$595</definedName>
    <definedName name="ITEM22_2000">Tags_ols!$K$595</definedName>
    <definedName name="ITEM22_2001" localSheetId="10">Tags!$P$595</definedName>
    <definedName name="ITEM22_2001">Tags_ols!$P$595</definedName>
    <definedName name="ITEM22_2002" localSheetId="10">Tags!$U$595</definedName>
    <definedName name="ITEM22_2002">Tags_ols!$U$595</definedName>
    <definedName name="ITEM22_2003" localSheetId="10">Tags!$Z$595</definedName>
    <definedName name="ITEM22_2003">Tags_ols!$Z$595</definedName>
    <definedName name="ITEM22_2004" localSheetId="10">Tags!$AE$595</definedName>
    <definedName name="ITEM22_2004">Tags_ols!$AE$595</definedName>
    <definedName name="ITEM22_2005" localSheetId="10">Tags!$AJ$595</definedName>
    <definedName name="ITEM22_2005">Tags_ols!$AJ$595</definedName>
    <definedName name="ITEM22_2006" localSheetId="10">Tags!$AO$595</definedName>
    <definedName name="ITEM22_2006">Tags_ols!$AO$595</definedName>
    <definedName name="ITEM22_2007" localSheetId="10">Tags!$AT$595</definedName>
    <definedName name="ITEM22_2007">Tags_ols!$AT$595</definedName>
    <definedName name="ITEM22_2008" localSheetId="10">Tags!$AY$595</definedName>
    <definedName name="ITEM22_2008">Tags_ols!$AY$595</definedName>
    <definedName name="ITEM22_2009" localSheetId="10">Tags!$BD$595</definedName>
    <definedName name="ITEM22_2009">Tags_ols!$BD$595</definedName>
    <definedName name="ITEM22_2010" localSheetId="10">Tags!$BI$595</definedName>
    <definedName name="ITEM22_2010">Tags_ols!$BI$595</definedName>
    <definedName name="ITEM22_2011" localSheetId="10">Tags!$BN$595</definedName>
    <definedName name="ITEM22_2011">Tags_ols!$BN$595</definedName>
    <definedName name="ITEM22_2012" localSheetId="10">Tags!$BS$595</definedName>
    <definedName name="ITEM22_2012">Tags_ols!$BS$595</definedName>
    <definedName name="ITEM22_2013" localSheetId="10">Tags!$BX$595</definedName>
    <definedName name="ITEM22_2013">Tags_ols!$BX$595</definedName>
    <definedName name="ITEM22_2014" localSheetId="10">Tags!$CC$595</definedName>
    <definedName name="ITEM22_2014">Tags_ols!$CC$595</definedName>
    <definedName name="ITEM22_2015" localSheetId="10">Tags!#REF!</definedName>
    <definedName name="ITEM22_2015">Tags!$CH$595</definedName>
    <definedName name="ITEM22_2016" localSheetId="10">Tags!$CM$595</definedName>
    <definedName name="ITEM22_2016">Tags_ols!$CM$595</definedName>
    <definedName name="ITEM22_2017" localSheetId="10">Tags!$CR$595</definedName>
    <definedName name="ITEM22_2017">Tags_ols!$CR$595</definedName>
    <definedName name="ITEM22_2018" localSheetId="10">Tags!$CW$595</definedName>
    <definedName name="ITEM22_2018">Tags_ols!$CW$595</definedName>
    <definedName name="ITEM22_2019" localSheetId="10">Tags!$DB$595</definedName>
    <definedName name="ITEM22_2019">Tags_ols!$DB$595</definedName>
    <definedName name="ITEM22_2020" localSheetId="10">Tags!$DG$595</definedName>
    <definedName name="ITEM22_2020">Tags_ols!$DG$595</definedName>
    <definedName name="ITEM22_2021">Tags!$DL$595</definedName>
    <definedName name="ITEM22_2022">Tags!$DQ$595</definedName>
    <definedName name="ITEM22_2023">Tags!$DV$595</definedName>
    <definedName name="ITEM22_2024">Tags!$EA$595</definedName>
    <definedName name="ITEM22_2Q00" localSheetId="10">Tags!$H$595</definedName>
    <definedName name="ITEM22_2Q00">Tags_ols!$H$595</definedName>
    <definedName name="ITEM22_2Q01" localSheetId="10">Tags!$M$595</definedName>
    <definedName name="ITEM22_2Q01">Tags_ols!$M$595</definedName>
    <definedName name="ITEM22_2Q02" localSheetId="10">Tags!$R$595</definedName>
    <definedName name="ITEM22_2Q02">Tags_ols!$R$595</definedName>
    <definedName name="ITEM22_2Q03" localSheetId="10">Tags!$W$595</definedName>
    <definedName name="ITEM22_2Q03">Tags_ols!$W$595</definedName>
    <definedName name="ITEM22_2Q04" localSheetId="10">Tags!$AB$595</definedName>
    <definedName name="ITEM22_2Q04">Tags_ols!$AB$595</definedName>
    <definedName name="ITEM22_2Q05" localSheetId="10">Tags!$AG$595</definedName>
    <definedName name="ITEM22_2Q05">Tags_ols!$AG$595</definedName>
    <definedName name="ITEM22_2Q06" localSheetId="10">Tags!$AL$595</definedName>
    <definedName name="ITEM22_2Q06">Tags_ols!$AL$595</definedName>
    <definedName name="ITEM22_2Q07" localSheetId="10">Tags!$AQ$595</definedName>
    <definedName name="ITEM22_2Q07">Tags_ols!$AQ$595</definedName>
    <definedName name="ITEM22_2Q08" localSheetId="10">Tags!$AV$595</definedName>
    <definedName name="ITEM22_2Q08">Tags_ols!$AV$595</definedName>
    <definedName name="ITEM22_2Q09" localSheetId="10">Tags!$BA$595</definedName>
    <definedName name="ITEM22_2Q09">Tags_ols!$BA$595</definedName>
    <definedName name="ITEM22_2Q10" localSheetId="10">Tags!$BF$595</definedName>
    <definedName name="ITEM22_2Q10">Tags_ols!$BF$595</definedName>
    <definedName name="ITEM22_2Q11" localSheetId="10">Tags!$BK$595</definedName>
    <definedName name="ITEM22_2Q11">Tags_ols!$BK$595</definedName>
    <definedName name="ITEM22_2Q12" localSheetId="10">Tags!$BP$595</definedName>
    <definedName name="ITEM22_2Q12">Tags_ols!$BP$595</definedName>
    <definedName name="ITEM22_2Q13" localSheetId="10">Tags!$BU$595</definedName>
    <definedName name="ITEM22_2Q13">Tags_ols!$BU$595</definedName>
    <definedName name="ITEM22_2Q14" localSheetId="10">Tags!$BZ$595</definedName>
    <definedName name="ITEM22_2Q14">Tags_ols!$BZ$595</definedName>
    <definedName name="ITEM22_2Q15" localSheetId="10">Tags!$CE$595</definedName>
    <definedName name="ITEM22_2Q15">Tags_ols!$CE$595</definedName>
    <definedName name="ITEM22_2Q16" localSheetId="10">Tags!$CJ$595</definedName>
    <definedName name="ITEM22_2Q16">Tags_ols!$CJ$595</definedName>
    <definedName name="ITEM22_2Q17" localSheetId="10">Tags!$CO$595</definedName>
    <definedName name="ITEM22_2Q17">Tags_ols!$CO$595</definedName>
    <definedName name="ITEM22_2Q18" localSheetId="10">Tags!$CT$595</definedName>
    <definedName name="ITEM22_2Q18">Tags_ols!$CT$595</definedName>
    <definedName name="ITEM22_2Q19" localSheetId="10">Tags!$CY$595</definedName>
    <definedName name="ITEM22_2Q19">Tags_ols!$CY$595</definedName>
    <definedName name="ITEM22_2Q20" localSheetId="10">Tags!$DD$595</definedName>
    <definedName name="ITEM22_2Q20">Tags_ols!$DD$595</definedName>
    <definedName name="ITEM22_2Q21">Tags!$DI$595</definedName>
    <definedName name="ITEM22_2Q22">Tags!$DN$595</definedName>
    <definedName name="ITEM22_2Q23">Tags!$DS$595</definedName>
    <definedName name="ITEM22_2Q24">Tags!$DX$595</definedName>
    <definedName name="ITEM22_3Q00" localSheetId="10">Tags!$I$595</definedName>
    <definedName name="ITEM22_3Q00">Tags_ols!$I$595</definedName>
    <definedName name="ITEM22_3Q01" localSheetId="10">Tags!$N$595</definedName>
    <definedName name="ITEM22_3Q01">Tags_ols!$N$595</definedName>
    <definedName name="ITEM22_3Q02" localSheetId="10">Tags!$S$595</definedName>
    <definedName name="ITEM22_3Q02">Tags_ols!$S$595</definedName>
    <definedName name="ITEM22_3Q03" localSheetId="10">Tags!$X$595</definedName>
    <definedName name="ITEM22_3Q03">Tags_ols!$X$595</definedName>
    <definedName name="ITEM22_3Q04" localSheetId="10">Tags!$AC$595</definedName>
    <definedName name="ITEM22_3Q04">Tags_ols!$AC$595</definedName>
    <definedName name="ITEM22_3Q05" localSheetId="10">Tags!$AH$595</definedName>
    <definedName name="ITEM22_3Q05">Tags_ols!$AH$595</definedName>
    <definedName name="ITEM22_3Q06" localSheetId="10">Tags!$AM$595</definedName>
    <definedName name="ITEM22_3Q06">Tags_ols!$AM$595</definedName>
    <definedName name="ITEM22_3Q07" localSheetId="10">Tags!$AR$595</definedName>
    <definedName name="ITEM22_3Q07">Tags_ols!$AR$595</definedName>
    <definedName name="ITEM22_3Q08" localSheetId="10">Tags!$AW$595</definedName>
    <definedName name="ITEM22_3Q08">Tags_ols!$AW$595</definedName>
    <definedName name="ITEM22_3Q09" localSheetId="10">Tags!$BB$595</definedName>
    <definedName name="ITEM22_3Q09">Tags_ols!$BB$595</definedName>
    <definedName name="ITEM22_3Q10" localSheetId="10">Tags!$BG$595</definedName>
    <definedName name="ITEM22_3Q10">Tags_ols!$BG$595</definedName>
    <definedName name="ITEM22_3Q11" localSheetId="10">Tags!$BL$595</definedName>
    <definedName name="ITEM22_3Q11">Tags_ols!$BL$595</definedName>
    <definedName name="ITEM22_3Q12" localSheetId="10">Tags!$BQ$595</definedName>
    <definedName name="ITEM22_3Q12">Tags_ols!$BQ$595</definedName>
    <definedName name="ITEM22_3Q13" localSheetId="10">Tags!$BV$595</definedName>
    <definedName name="ITEM22_3Q13">Tags_ols!$BV$595</definedName>
    <definedName name="ITEM22_3Q14" localSheetId="10">Tags!$CA$595</definedName>
    <definedName name="ITEM22_3Q14">Tags_ols!$CA$595</definedName>
    <definedName name="ITEM22_3Q15" localSheetId="10">Tags!$CF$595</definedName>
    <definedName name="ITEM22_3Q15">Tags_ols!$CF$595</definedName>
    <definedName name="ITEM22_3Q16" localSheetId="10">Tags!$CK$595</definedName>
    <definedName name="ITEM22_3Q16">Tags_ols!$CK$595</definedName>
    <definedName name="ITEM22_3Q17" localSheetId="10">Tags!$CP$595</definedName>
    <definedName name="ITEM22_3Q17">Tags_ols!$CP$595</definedName>
    <definedName name="ITEM22_3Q18" localSheetId="10">Tags!$CU$595</definedName>
    <definedName name="ITEM22_3Q18">Tags_ols!$CU$595</definedName>
    <definedName name="ITEM22_3Q19" localSheetId="10">Tags!$CZ$595</definedName>
    <definedName name="ITEM22_3Q19">Tags_ols!$CZ$595</definedName>
    <definedName name="ITEM22_3Q20" localSheetId="10">Tags!$DE$595</definedName>
    <definedName name="ITEM22_3Q20">Tags_ols!$DE$595</definedName>
    <definedName name="ITEM22_3Q21">Tags!$DJ$595</definedName>
    <definedName name="ITEM22_3Q22">Tags!$DO$595</definedName>
    <definedName name="ITEM22_3Q23">Tags!$DT$595</definedName>
    <definedName name="ITEM22_3Q24">Tags!$DY$595</definedName>
    <definedName name="ITEM22_4Q00" localSheetId="10">Tags!$J$595</definedName>
    <definedName name="ITEM22_4Q00">Tags_ols!$J$595</definedName>
    <definedName name="ITEM22_4Q01" localSheetId="10">Tags!$O$595</definedName>
    <definedName name="ITEM22_4Q01">Tags_ols!$O$595</definedName>
    <definedName name="ITEM22_4Q02" localSheetId="10">Tags!$T$595</definedName>
    <definedName name="ITEM22_4Q02">Tags_ols!$T$595</definedName>
    <definedName name="ITEM22_4Q03" localSheetId="10">Tags!$Y$595</definedName>
    <definedName name="ITEM22_4Q03">Tags_ols!$Y$595</definedName>
    <definedName name="ITEM22_4Q04" localSheetId="10">Tags!$AD$595</definedName>
    <definedName name="ITEM22_4Q04">Tags_ols!$AD$595</definedName>
    <definedName name="ITEM22_4Q05" localSheetId="10">Tags!$AI$595</definedName>
    <definedName name="ITEM22_4Q05">Tags_ols!$AI$595</definedName>
    <definedName name="ITEM22_4Q06" localSheetId="10">Tags!$AN$595</definedName>
    <definedName name="ITEM22_4Q06">Tags_ols!$AN$595</definedName>
    <definedName name="ITEM22_4Q07" localSheetId="10">Tags!$AS$595</definedName>
    <definedName name="ITEM22_4Q07">Tags_ols!$AS$595</definedName>
    <definedName name="ITEM22_4Q08" localSheetId="10">Tags!$AX$595</definedName>
    <definedName name="ITEM22_4Q08">Tags_ols!$AX$595</definedName>
    <definedName name="ITEM22_4Q09" localSheetId="10">Tags!$BC$595</definedName>
    <definedName name="ITEM22_4Q09">Tags_ols!$BC$595</definedName>
    <definedName name="ITEM22_4Q10" localSheetId="10">Tags!$BH$595</definedName>
    <definedName name="ITEM22_4Q10">Tags_ols!$BH$595</definedName>
    <definedName name="ITEM22_4Q11" localSheetId="10">Tags!$BM$595</definedName>
    <definedName name="ITEM22_4Q11">Tags_ols!$BM$595</definedName>
    <definedName name="ITEM22_4Q12" localSheetId="10">Tags!$BR$595</definedName>
    <definedName name="ITEM22_4Q12">Tags_ols!$BR$595</definedName>
    <definedName name="ITEM22_4Q13" localSheetId="10">Tags!$BW$595</definedName>
    <definedName name="ITEM22_4Q13">Tags_ols!$BW$595</definedName>
    <definedName name="ITEM22_4Q14" localSheetId="10">Tags!$CB$595</definedName>
    <definedName name="ITEM22_4Q14">Tags_ols!$CB$595</definedName>
    <definedName name="ITEM22_4Q15" localSheetId="10">Tags!$CG$595</definedName>
    <definedName name="ITEM22_4Q15">Tags_ols!$CG$595</definedName>
    <definedName name="ITEM22_4Q16" localSheetId="10">Tags!$CL$595</definedName>
    <definedName name="ITEM22_4Q16">Tags_ols!$CL$595</definedName>
    <definedName name="ITEM22_4Q17" localSheetId="10">Tags!$CQ$595</definedName>
    <definedName name="ITEM22_4Q17">Tags_ols!$CQ$595</definedName>
    <definedName name="ITEM22_4Q18" localSheetId="10">Tags!$CV$595</definedName>
    <definedName name="ITEM22_4Q18">Tags_ols!$CV$595</definedName>
    <definedName name="ITEM22_4Q19" localSheetId="10">Tags!$DA$595</definedName>
    <definedName name="ITEM22_4Q19">Tags_ols!$DA$595</definedName>
    <definedName name="ITEM22_4Q20" localSheetId="10">Tags!$DF$595</definedName>
    <definedName name="ITEM22_4Q20">Tags_ols!$DF$595</definedName>
    <definedName name="ITEM22_4Q21">Tags!$DK$595</definedName>
    <definedName name="ITEM22_4Q22">Tags!$DP$595</definedName>
    <definedName name="ITEM22_4Q23">Tags!$DU$595</definedName>
    <definedName name="ITEM22_4Q24">Tags!$DZ$595</definedName>
    <definedName name="ITEM23_1995">Tags_ols!$B$596</definedName>
    <definedName name="ITEM23_1996">Tags_ols!$C$596</definedName>
    <definedName name="ITEM23_1997">Tags_ols!$D$596</definedName>
    <definedName name="ITEM23_1998">Tags_ols!$E$596</definedName>
    <definedName name="ITEM23_1999">Tags_ols!$F$596</definedName>
    <definedName name="ITEM23_1Q00" localSheetId="10">Tags!$G$596</definedName>
    <definedName name="ITEM23_1Q00">Tags_ols!$G$596</definedName>
    <definedName name="ITEM23_1Q01" localSheetId="10">Tags!$L$596</definedName>
    <definedName name="ITEM23_1Q01">Tags_ols!$L$596</definedName>
    <definedName name="ITEM23_1Q02" localSheetId="10">Tags!$Q$596</definedName>
    <definedName name="ITEM23_1Q02">Tags_ols!$Q$596</definedName>
    <definedName name="ITEM23_1Q03" localSheetId="10">Tags!$V$596</definedName>
    <definedName name="ITEM23_1Q03">Tags_ols!$V$596</definedName>
    <definedName name="ITEM23_1Q04" localSheetId="10">Tags!$AA$596</definedName>
    <definedName name="ITEM23_1Q04">Tags_ols!$AA$596</definedName>
    <definedName name="ITEM23_1Q05" localSheetId="10">Tags!$AF$596</definedName>
    <definedName name="ITEM23_1Q05">Tags_ols!$AF$596</definedName>
    <definedName name="ITEM23_1Q06" localSheetId="10">Tags!$AK$596</definedName>
    <definedName name="ITEM23_1Q06">Tags_ols!$AK$596</definedName>
    <definedName name="ITEM23_1Q07" localSheetId="10">Tags!$AP$596</definedName>
    <definedName name="ITEM23_1Q07">Tags_ols!$AP$596</definedName>
    <definedName name="ITEM23_1Q08" localSheetId="10">Tags!$AU$596</definedName>
    <definedName name="ITEM23_1Q08">Tags_ols!$AU$596</definedName>
    <definedName name="ITEM23_1Q09" localSheetId="10">Tags!$AZ$596</definedName>
    <definedName name="ITEM23_1Q09">Tags_ols!$AZ$596</definedName>
    <definedName name="ITEM23_1Q10" localSheetId="10">Tags!$BE$596</definedName>
    <definedName name="ITEM23_1Q10">Tags_ols!$BE$596</definedName>
    <definedName name="ITEM23_1Q11" localSheetId="10">Tags!$BJ$596</definedName>
    <definedName name="ITEM23_1Q11">Tags_ols!$BJ$596</definedName>
    <definedName name="ITEM23_1Q12" localSheetId="10">Tags!$BO$596</definedName>
    <definedName name="ITEM23_1Q12">Tags_ols!$BO$596</definedName>
    <definedName name="ITEM23_1Q13" localSheetId="10">Tags!$BT$596</definedName>
    <definedName name="ITEM23_1Q13">Tags_ols!$BT$596</definedName>
    <definedName name="ITEM23_1Q14" localSheetId="10">Tags!$BY$596</definedName>
    <definedName name="ITEM23_1Q14">Tags_ols!$BY$596</definedName>
    <definedName name="ITEM23_1Q15" localSheetId="10">Tags!$CD$596</definedName>
    <definedName name="ITEM23_1Q15">Tags_ols!$CD$596</definedName>
    <definedName name="ITEM23_1Q16" localSheetId="10">Tags!$CI$596</definedName>
    <definedName name="ITEM23_1Q16">Tags_ols!$CI$596</definedName>
    <definedName name="ITEM23_1Q17" localSheetId="10">Tags!$CN$596</definedName>
    <definedName name="ITEM23_1Q17">Tags_ols!$CN$596</definedName>
    <definedName name="ITEM23_1Q18" localSheetId="10">Tags!$CS$596</definedName>
    <definedName name="ITEM23_1Q18">Tags_ols!$CS$596</definedName>
    <definedName name="ITEM23_1Q19" localSheetId="10">Tags!$CX$596</definedName>
    <definedName name="ITEM23_1Q19">Tags_ols!$CX$596</definedName>
    <definedName name="ITEM23_1Q20" localSheetId="10">Tags!$DC$596</definedName>
    <definedName name="ITEM23_1Q20">Tags_ols!$DC$596</definedName>
    <definedName name="ITEM23_1Q21">Tags!$DH$596</definedName>
    <definedName name="ITEM23_1Q22">Tags!$DM$596</definedName>
    <definedName name="ITEM23_1Q23">Tags!$DR$596</definedName>
    <definedName name="ITEM23_1Q24">Tags!$DW$596</definedName>
    <definedName name="ITEM23_2000" localSheetId="10">Tags!$K$596</definedName>
    <definedName name="ITEM23_2000">Tags_ols!$K$596</definedName>
    <definedName name="ITEM23_2001" localSheetId="10">Tags!$P$596</definedName>
    <definedName name="ITEM23_2001">Tags_ols!$P$596</definedName>
    <definedName name="ITEM23_2002" localSheetId="10">Tags!$U$596</definedName>
    <definedName name="ITEM23_2002">Tags_ols!$U$596</definedName>
    <definedName name="ITEM23_2003" localSheetId="10">Tags!$Z$596</definedName>
    <definedName name="ITEM23_2003">Tags_ols!$Z$596</definedName>
    <definedName name="ITEM23_2004" localSheetId="10">Tags!$AE$596</definedName>
    <definedName name="ITEM23_2004">Tags_ols!$AE$596</definedName>
    <definedName name="ITEM23_2005" localSheetId="10">Tags!$AJ$596</definedName>
    <definedName name="ITEM23_2005">Tags_ols!$AJ$596</definedName>
    <definedName name="ITEM23_2006" localSheetId="10">Tags!$AO$596</definedName>
    <definedName name="ITEM23_2006">Tags_ols!$AO$596</definedName>
    <definedName name="ITEM23_2007" localSheetId="10">Tags!$AT$596</definedName>
    <definedName name="ITEM23_2007">Tags_ols!$AT$596</definedName>
    <definedName name="ITEM23_2008" localSheetId="10">Tags!$AY$596</definedName>
    <definedName name="ITEM23_2008">Tags_ols!$AY$596</definedName>
    <definedName name="ITEM23_2009" localSheetId="10">Tags!$BD$596</definedName>
    <definedName name="ITEM23_2009">Tags_ols!$BD$596</definedName>
    <definedName name="ITEM23_2010" localSheetId="10">Tags!$BI$596</definedName>
    <definedName name="ITEM23_2010">Tags_ols!$BI$596</definedName>
    <definedName name="ITEM23_2011" localSheetId="10">Tags!$BN$596</definedName>
    <definedName name="ITEM23_2011">Tags_ols!$BN$596</definedName>
    <definedName name="ITEM23_2012" localSheetId="10">Tags!$BS$596</definedName>
    <definedName name="ITEM23_2012">Tags_ols!$BS$596</definedName>
    <definedName name="ITEM23_2013" localSheetId="10">Tags!$BX$596</definedName>
    <definedName name="ITEM23_2013">Tags_ols!$BX$596</definedName>
    <definedName name="ITEM23_2014" localSheetId="10">Tags!$CC$596</definedName>
    <definedName name="ITEM23_2014">Tags_ols!$CC$596</definedName>
    <definedName name="ITEM23_2015" localSheetId="10">Tags!#REF!</definedName>
    <definedName name="ITEM23_2015">Tags!$CH$596</definedName>
    <definedName name="ITEM23_2016" localSheetId="10">Tags!$CM$596</definedName>
    <definedName name="ITEM23_2016">Tags_ols!$CM$596</definedName>
    <definedName name="ITEM23_2017" localSheetId="10">Tags!$CR$596</definedName>
    <definedName name="ITEM23_2017">Tags_ols!$CR$596</definedName>
    <definedName name="ITEM23_2018" localSheetId="10">Tags!$CW$596</definedName>
    <definedName name="ITEM23_2018">Tags_ols!$CW$596</definedName>
    <definedName name="ITEM23_2019" localSheetId="10">Tags!$DB$596</definedName>
    <definedName name="ITEM23_2019">Tags_ols!$DB$596</definedName>
    <definedName name="ITEM23_2020" localSheetId="10">Tags!$DG$596</definedName>
    <definedName name="ITEM23_2020">Tags_ols!$DG$596</definedName>
    <definedName name="ITEM23_2021">Tags!$DL$596</definedName>
    <definedName name="ITEM23_2022">Tags!$DQ$596</definedName>
    <definedName name="ITEM23_2023">Tags!$DV$596</definedName>
    <definedName name="ITEM23_2024">Tags!$EA$596</definedName>
    <definedName name="ITEM23_2Q00" localSheetId="10">Tags!$H$596</definedName>
    <definedName name="ITEM23_2Q00">Tags_ols!$H$596</definedName>
    <definedName name="ITEM23_2Q01" localSheetId="10">Tags!$M$596</definedName>
    <definedName name="ITEM23_2Q01">Tags_ols!$M$596</definedName>
    <definedName name="ITEM23_2Q02" localSheetId="10">Tags!$R$596</definedName>
    <definedName name="ITEM23_2Q02">Tags_ols!$R$596</definedName>
    <definedName name="ITEM23_2Q03" localSheetId="10">Tags!$W$596</definedName>
    <definedName name="ITEM23_2Q03">Tags_ols!$W$596</definedName>
    <definedName name="ITEM23_2Q04" localSheetId="10">Tags!$AB$596</definedName>
    <definedName name="ITEM23_2Q04">Tags_ols!$AB$596</definedName>
    <definedName name="ITEM23_2Q05" localSheetId="10">Tags!$AG$596</definedName>
    <definedName name="ITEM23_2Q05">Tags_ols!$AG$596</definedName>
    <definedName name="ITEM23_2Q06" localSheetId="10">Tags!$AL$596</definedName>
    <definedName name="ITEM23_2Q06">Tags_ols!$AL$596</definedName>
    <definedName name="ITEM23_2Q07" localSheetId="10">Tags!$AQ$596</definedName>
    <definedName name="ITEM23_2Q07">Tags_ols!$AQ$596</definedName>
    <definedName name="ITEM23_2Q08" localSheetId="10">Tags!$AV$596</definedName>
    <definedName name="ITEM23_2Q08">Tags_ols!$AV$596</definedName>
    <definedName name="ITEM23_2Q09" localSheetId="10">Tags!$BA$596</definedName>
    <definedName name="ITEM23_2Q09">Tags_ols!$BA$596</definedName>
    <definedName name="ITEM23_2Q10" localSheetId="10">Tags!$BF$596</definedName>
    <definedName name="ITEM23_2Q10">Tags_ols!$BF$596</definedName>
    <definedName name="ITEM23_2Q11" localSheetId="10">Tags!$BK$596</definedName>
    <definedName name="ITEM23_2Q11">Tags_ols!$BK$596</definedName>
    <definedName name="ITEM23_2Q12" localSheetId="10">Tags!$BP$596</definedName>
    <definedName name="ITEM23_2Q12">Tags_ols!$BP$596</definedName>
    <definedName name="ITEM23_2Q13" localSheetId="10">Tags!$BU$596</definedName>
    <definedName name="ITEM23_2Q13">Tags_ols!$BU$596</definedName>
    <definedName name="ITEM23_2Q14" localSheetId="10">Tags!$BZ$596</definedName>
    <definedName name="ITEM23_2Q14">Tags_ols!$BZ$596</definedName>
    <definedName name="ITEM23_2Q15" localSheetId="10">Tags!$CE$596</definedName>
    <definedName name="ITEM23_2Q15">Tags_ols!$CE$596</definedName>
    <definedName name="ITEM23_2Q16" localSheetId="10">Tags!$CJ$596</definedName>
    <definedName name="ITEM23_2Q16">Tags_ols!$CJ$596</definedName>
    <definedName name="ITEM23_2Q17" localSheetId="10">Tags!$CO$596</definedName>
    <definedName name="ITEM23_2Q17">Tags_ols!$CO$596</definedName>
    <definedName name="ITEM23_2Q18" localSheetId="10">Tags!$CT$596</definedName>
    <definedName name="ITEM23_2Q18">Tags_ols!$CT$596</definedName>
    <definedName name="ITEM23_2Q19" localSheetId="10">Tags!$CY$596</definedName>
    <definedName name="ITEM23_2Q19">Tags_ols!$CY$596</definedName>
    <definedName name="ITEM23_2Q20" localSheetId="10">Tags!$DD$596</definedName>
    <definedName name="ITEM23_2Q20">Tags_ols!$DD$596</definedName>
    <definedName name="ITEM23_2Q21">Tags!$DI$596</definedName>
    <definedName name="ITEM23_2Q22">Tags!$DN$596</definedName>
    <definedName name="ITEM23_2Q23">Tags!$DS$596</definedName>
    <definedName name="ITEM23_2Q24">Tags!$DX$596</definedName>
    <definedName name="ITEM23_3Q00" localSheetId="10">Tags!$I$596</definedName>
    <definedName name="ITEM23_3Q00">Tags_ols!$I$596</definedName>
    <definedName name="ITEM23_3Q01" localSheetId="10">Tags!$N$596</definedName>
    <definedName name="ITEM23_3Q01">Tags_ols!$N$596</definedName>
    <definedName name="ITEM23_3Q02" localSheetId="10">Tags!$S$596</definedName>
    <definedName name="ITEM23_3Q02">Tags_ols!$S$596</definedName>
    <definedName name="ITEM23_3Q03" localSheetId="10">Tags!$X$596</definedName>
    <definedName name="ITEM23_3Q03">Tags_ols!$X$596</definedName>
    <definedName name="ITEM23_3Q04" localSheetId="10">Tags!$AC$596</definedName>
    <definedName name="ITEM23_3Q04">Tags_ols!$AC$596</definedName>
    <definedName name="ITEM23_3Q05" localSheetId="10">Tags!$AH$596</definedName>
    <definedName name="ITEM23_3Q05">Tags_ols!$AH$596</definedName>
    <definedName name="ITEM23_3Q06" localSheetId="10">Tags!$AM$596</definedName>
    <definedName name="ITEM23_3Q06">Tags_ols!$AM$596</definedName>
    <definedName name="ITEM23_3Q07" localSheetId="10">Tags!$AR$596</definedName>
    <definedName name="ITEM23_3Q07">Tags_ols!$AR$596</definedName>
    <definedName name="ITEM23_3Q08" localSheetId="10">Tags!$AW$596</definedName>
    <definedName name="ITEM23_3Q08">Tags_ols!$AW$596</definedName>
    <definedName name="ITEM23_3Q09" localSheetId="10">Tags!$BB$596</definedName>
    <definedName name="ITEM23_3Q09">Tags_ols!$BB$596</definedName>
    <definedName name="ITEM23_3Q10" localSheetId="10">Tags!$BG$596</definedName>
    <definedName name="ITEM23_3Q10">Tags_ols!$BG$596</definedName>
    <definedName name="ITEM23_3Q11" localSheetId="10">Tags!$BL$596</definedName>
    <definedName name="ITEM23_3Q11">Tags_ols!$BL$596</definedName>
    <definedName name="ITEM23_3Q12" localSheetId="10">Tags!$BQ$596</definedName>
    <definedName name="ITEM23_3Q12">Tags_ols!$BQ$596</definedName>
    <definedName name="ITEM23_3Q13" localSheetId="10">Tags!$BV$596</definedName>
    <definedName name="ITEM23_3Q13">Tags_ols!$BV$596</definedName>
    <definedName name="ITEM23_3Q14" localSheetId="10">Tags!$CA$596</definedName>
    <definedName name="ITEM23_3Q14">Tags_ols!$CA$596</definedName>
    <definedName name="ITEM23_3Q15" localSheetId="10">Tags!$CF$596</definedName>
    <definedName name="ITEM23_3Q15">Tags_ols!$CF$596</definedName>
    <definedName name="ITEM23_3Q16" localSheetId="10">Tags!$CK$596</definedName>
    <definedName name="ITEM23_3Q16">Tags_ols!$CK$596</definedName>
    <definedName name="ITEM23_3Q17" localSheetId="10">Tags!$CP$596</definedName>
    <definedName name="ITEM23_3Q17">Tags_ols!$CP$596</definedName>
    <definedName name="ITEM23_3Q18" localSheetId="10">Tags!$CU$596</definedName>
    <definedName name="ITEM23_3Q18">Tags_ols!$CU$596</definedName>
    <definedName name="ITEM23_3Q19" localSheetId="10">Tags!$CZ$596</definedName>
    <definedName name="ITEM23_3Q19">Tags_ols!$CZ$596</definedName>
    <definedName name="ITEM23_3Q20" localSheetId="10">Tags!$DE$596</definedName>
    <definedName name="ITEM23_3Q20">Tags_ols!$DE$596</definedName>
    <definedName name="ITEM23_3Q21">Tags!$DJ$596</definedName>
    <definedName name="ITEM23_3Q22">Tags!$DO$596</definedName>
    <definedName name="ITEM23_3Q23">Tags!$DT$596</definedName>
    <definedName name="ITEM23_3Q24">Tags!$DY$596</definedName>
    <definedName name="ITEM23_4Q00" localSheetId="10">Tags!$J$596</definedName>
    <definedName name="ITEM23_4Q00">Tags_ols!$J$596</definedName>
    <definedName name="ITEM23_4Q01" localSheetId="10">Tags!$O$596</definedName>
    <definedName name="ITEM23_4Q01">Tags_ols!$O$596</definedName>
    <definedName name="ITEM23_4Q02" localSheetId="10">Tags!$T$596</definedName>
    <definedName name="ITEM23_4Q02">Tags_ols!$T$596</definedName>
    <definedName name="ITEM23_4Q03" localSheetId="10">Tags!$Y$596</definedName>
    <definedName name="ITEM23_4Q03">Tags_ols!$Y$596</definedName>
    <definedName name="ITEM23_4Q04" localSheetId="10">Tags!$AD$596</definedName>
    <definedName name="ITEM23_4Q04">Tags_ols!$AD$596</definedName>
    <definedName name="ITEM23_4Q05" localSheetId="10">Tags!$AI$596</definedName>
    <definedName name="ITEM23_4Q05">Tags_ols!$AI$596</definedName>
    <definedName name="ITEM23_4Q06" localSheetId="10">Tags!$AN$596</definedName>
    <definedName name="ITEM23_4Q06">Tags_ols!$AN$596</definedName>
    <definedName name="ITEM23_4Q07" localSheetId="10">Tags!$AS$596</definedName>
    <definedName name="ITEM23_4Q07">Tags_ols!$AS$596</definedName>
    <definedName name="ITEM23_4Q08" localSheetId="10">Tags!$AX$596</definedName>
    <definedName name="ITEM23_4Q08">Tags_ols!$AX$596</definedName>
    <definedName name="ITEM23_4Q09" localSheetId="10">Tags!$BC$596</definedName>
    <definedName name="ITEM23_4Q09">Tags_ols!$BC$596</definedName>
    <definedName name="ITEM23_4Q10" localSheetId="10">Tags!$BH$596</definedName>
    <definedName name="ITEM23_4Q10">Tags_ols!$BH$596</definedName>
    <definedName name="ITEM23_4Q11" localSheetId="10">Tags!$BM$596</definedName>
    <definedName name="ITEM23_4Q11">Tags_ols!$BM$596</definedName>
    <definedName name="ITEM23_4Q12" localSheetId="10">Tags!$BR$596</definedName>
    <definedName name="ITEM23_4Q12">Tags_ols!$BR$596</definedName>
    <definedName name="ITEM23_4Q13" localSheetId="10">Tags!$BW$596</definedName>
    <definedName name="ITEM23_4Q13">Tags_ols!$BW$596</definedName>
    <definedName name="ITEM23_4Q14" localSheetId="10">Tags!$CB$596</definedName>
    <definedName name="ITEM23_4Q14">Tags_ols!$CB$596</definedName>
    <definedName name="ITEM23_4Q15" localSheetId="10">Tags!$CG$596</definedName>
    <definedName name="ITEM23_4Q15">Tags_ols!$CG$596</definedName>
    <definedName name="ITEM23_4Q16" localSheetId="10">Tags!$CL$596</definedName>
    <definedName name="ITEM23_4Q16">Tags_ols!$CL$596</definedName>
    <definedName name="ITEM23_4Q17" localSheetId="10">Tags!$CQ$596</definedName>
    <definedName name="ITEM23_4Q17">Tags_ols!$CQ$596</definedName>
    <definedName name="ITEM23_4Q18" localSheetId="10">Tags!$CV$596</definedName>
    <definedName name="ITEM23_4Q18">Tags_ols!$CV$596</definedName>
    <definedName name="ITEM23_4Q19" localSheetId="10">Tags!$DA$596</definedName>
    <definedName name="ITEM23_4Q19">Tags_ols!$DA$596</definedName>
    <definedName name="ITEM23_4Q20" localSheetId="10">Tags!$DF$596</definedName>
    <definedName name="ITEM23_4Q20">Tags_ols!$DF$596</definedName>
    <definedName name="ITEM23_4Q21">Tags!$DK$596</definedName>
    <definedName name="ITEM23_4Q22">Tags!$DP$596</definedName>
    <definedName name="ITEM23_4Q23">Tags!$DU$596</definedName>
    <definedName name="ITEM23_4Q24">Tags!$DZ$596</definedName>
    <definedName name="ITEM24_1995">Tags_ols!$B$597</definedName>
    <definedName name="ITEM24_1996">Tags_ols!$C$597</definedName>
    <definedName name="ITEM24_1997">Tags_ols!$D$597</definedName>
    <definedName name="ITEM24_1998">Tags_ols!$E$597</definedName>
    <definedName name="ITEM24_1999">Tags_ols!$F$597</definedName>
    <definedName name="ITEM24_1Q00" localSheetId="10">Tags!$G$597</definedName>
    <definedName name="ITEM24_1Q00">Tags_ols!$G$597</definedName>
    <definedName name="ITEM24_1Q01" localSheetId="10">Tags!$L$597</definedName>
    <definedName name="ITEM24_1Q01">Tags_ols!$L$597</definedName>
    <definedName name="ITEM24_1Q02" localSheetId="10">Tags!$Q$597</definedName>
    <definedName name="ITEM24_1Q02">Tags_ols!$Q$597</definedName>
    <definedName name="ITEM24_1Q03" localSheetId="10">Tags!$V$597</definedName>
    <definedName name="ITEM24_1Q03">Tags_ols!$V$597</definedName>
    <definedName name="ITEM24_1Q04" localSheetId="10">Tags!$AA$597</definedName>
    <definedName name="ITEM24_1Q04">Tags_ols!$AA$597</definedName>
    <definedName name="ITEM24_1Q05" localSheetId="10">Tags!$AF$597</definedName>
    <definedName name="ITEM24_1Q05">Tags_ols!$AF$597</definedName>
    <definedName name="ITEM24_1Q06" localSheetId="10">Tags!$AK$597</definedName>
    <definedName name="ITEM24_1Q06">Tags_ols!$AK$597</definedName>
    <definedName name="ITEM24_1Q07" localSheetId="10">Tags!$AP$597</definedName>
    <definedName name="ITEM24_1Q07">Tags_ols!$AP$597</definedName>
    <definedName name="ITEM24_1Q08" localSheetId="10">Tags!$AU$597</definedName>
    <definedName name="ITEM24_1Q08">Tags_ols!$AU$597</definedName>
    <definedName name="ITEM24_1Q09" localSheetId="10">Tags!$AZ$597</definedName>
    <definedName name="ITEM24_1Q09">Tags_ols!$AZ$597</definedName>
    <definedName name="ITEM24_1Q10" localSheetId="10">Tags!$BE$597</definedName>
    <definedName name="ITEM24_1Q10">Tags_ols!$BE$597</definedName>
    <definedName name="ITEM24_1Q11" localSheetId="10">Tags!$BJ$597</definedName>
    <definedName name="ITEM24_1Q11">Tags_ols!$BJ$597</definedName>
    <definedName name="ITEM24_1Q12" localSheetId="10">Tags!$BO$597</definedName>
    <definedName name="ITEM24_1Q12">Tags_ols!$BO$597</definedName>
    <definedName name="ITEM24_1Q13" localSheetId="10">Tags!$BT$597</definedName>
    <definedName name="ITEM24_1Q13">Tags_ols!$BT$597</definedName>
    <definedName name="ITEM24_1Q14" localSheetId="10">Tags!$BY$597</definedName>
    <definedName name="ITEM24_1Q14">Tags_ols!$BY$597</definedName>
    <definedName name="ITEM24_1Q15" localSheetId="10">Tags!$CD$597</definedName>
    <definedName name="ITEM24_1Q15">Tags_ols!$CD$597</definedName>
    <definedName name="ITEM24_1Q16" localSheetId="10">Tags!$CI$597</definedName>
    <definedName name="ITEM24_1Q16">Tags_ols!$CI$597</definedName>
    <definedName name="ITEM24_1Q17" localSheetId="10">Tags!$CN$597</definedName>
    <definedName name="ITEM24_1Q17">Tags_ols!$CN$597</definedName>
    <definedName name="ITEM24_1Q18" localSheetId="10">Tags!$CS$597</definedName>
    <definedName name="ITEM24_1Q18">Tags_ols!$CS$597</definedName>
    <definedName name="ITEM24_1Q19" localSheetId="10">Tags!$CX$597</definedName>
    <definedName name="ITEM24_1Q19">Tags_ols!$CX$597</definedName>
    <definedName name="ITEM24_1Q20" localSheetId="10">Tags!$DC$597</definedName>
    <definedName name="ITEM24_1Q20">Tags_ols!$DC$597</definedName>
    <definedName name="ITEM24_1Q21">Tags!$DH$597</definedName>
    <definedName name="ITEM24_1Q22">Tags!$DM$597</definedName>
    <definedName name="ITEM24_1Q23">Tags!$DR$597</definedName>
    <definedName name="ITEM24_1Q24">Tags!$DW$597</definedName>
    <definedName name="ITEM24_2000" localSheetId="10">Tags!$K$597</definedName>
    <definedName name="ITEM24_2000">Tags_ols!$K$597</definedName>
    <definedName name="ITEM24_2001" localSheetId="10">Tags!$P$597</definedName>
    <definedName name="ITEM24_2001">Tags_ols!$P$597</definedName>
    <definedName name="ITEM24_2002" localSheetId="10">Tags!$U$597</definedName>
    <definedName name="ITEM24_2002">Tags_ols!$U$597</definedName>
    <definedName name="ITEM24_2003" localSheetId="10">Tags!$Z$597</definedName>
    <definedName name="ITEM24_2003">Tags_ols!$Z$597</definedName>
    <definedName name="ITEM24_2004" localSheetId="10">Tags!$AE$597</definedName>
    <definedName name="ITEM24_2004">Tags_ols!$AE$597</definedName>
    <definedName name="ITEM24_2005" localSheetId="10">Tags!$AJ$597</definedName>
    <definedName name="ITEM24_2005">Tags_ols!$AJ$597</definedName>
    <definedName name="ITEM24_2006" localSheetId="10">Tags!$AO$597</definedName>
    <definedName name="ITEM24_2006">Tags_ols!$AO$597</definedName>
    <definedName name="ITEM24_2007" localSheetId="10">Tags!$AT$597</definedName>
    <definedName name="ITEM24_2007">Tags_ols!$AT$597</definedName>
    <definedName name="ITEM24_2008" localSheetId="10">Tags!$AY$597</definedName>
    <definedName name="ITEM24_2008">Tags_ols!$AY$597</definedName>
    <definedName name="ITEM24_2009" localSheetId="10">Tags!$BD$597</definedName>
    <definedName name="ITEM24_2009">Tags_ols!$BD$597</definedName>
    <definedName name="ITEM24_2010" localSheetId="10">Tags!$BI$597</definedName>
    <definedName name="ITEM24_2010">Tags_ols!$BI$597</definedName>
    <definedName name="ITEM24_2011" localSheetId="10">Tags!$BN$597</definedName>
    <definedName name="ITEM24_2011">Tags_ols!$BN$597</definedName>
    <definedName name="ITEM24_2012" localSheetId="10">Tags!$BS$597</definedName>
    <definedName name="ITEM24_2012">Tags_ols!$BS$597</definedName>
    <definedName name="ITEM24_2013" localSheetId="10">Tags!$BX$597</definedName>
    <definedName name="ITEM24_2013">Tags_ols!$BX$597</definedName>
    <definedName name="ITEM24_2014" localSheetId="10">Tags!$CC$597</definedName>
    <definedName name="ITEM24_2014">Tags_ols!$CC$597</definedName>
    <definedName name="ITEM24_2015" localSheetId="10">Tags!#REF!</definedName>
    <definedName name="ITEM24_2015">Tags!$CH$597</definedName>
    <definedName name="ITEM24_2016" localSheetId="10">Tags!$CM$597</definedName>
    <definedName name="ITEM24_2016">Tags_ols!$CM$597</definedName>
    <definedName name="ITEM24_2017" localSheetId="10">Tags!$CR$597</definedName>
    <definedName name="ITEM24_2017">Tags_ols!$CR$597</definedName>
    <definedName name="ITEM24_2018" localSheetId="10">Tags!$CW$597</definedName>
    <definedName name="ITEM24_2018">Tags_ols!$CW$597</definedName>
    <definedName name="ITEM24_2019" localSheetId="10">Tags!$DB$597</definedName>
    <definedName name="ITEM24_2019">Tags_ols!$DB$597</definedName>
    <definedName name="ITEM24_2020" localSheetId="10">Tags!$DG$597</definedName>
    <definedName name="ITEM24_2020">Tags_ols!$DG$597</definedName>
    <definedName name="ITEM24_2021">Tags!$DL$597</definedName>
    <definedName name="ITEM24_2022">Tags!$DQ$597</definedName>
    <definedName name="ITEM24_2023">Tags!$DV$597</definedName>
    <definedName name="ITEM24_2024">Tags!$EA$597</definedName>
    <definedName name="ITEM24_2Q00" localSheetId="10">Tags!$H$597</definedName>
    <definedName name="ITEM24_2Q00">Tags_ols!$H$597</definedName>
    <definedName name="ITEM24_2Q01" localSheetId="10">Tags!$M$597</definedName>
    <definedName name="ITEM24_2Q01">Tags_ols!$M$597</definedName>
    <definedName name="ITEM24_2Q02" localSheetId="10">Tags!$R$597</definedName>
    <definedName name="ITEM24_2Q02">Tags_ols!$R$597</definedName>
    <definedName name="ITEM24_2Q03" localSheetId="10">Tags!$W$597</definedName>
    <definedName name="ITEM24_2Q03">Tags_ols!$W$597</definedName>
    <definedName name="ITEM24_2Q04" localSheetId="10">Tags!$AB$597</definedName>
    <definedName name="ITEM24_2Q04">Tags_ols!$AB$597</definedName>
    <definedName name="ITEM24_2Q05" localSheetId="10">Tags!$AG$597</definedName>
    <definedName name="ITEM24_2Q05">Tags_ols!$AG$597</definedName>
    <definedName name="ITEM24_2Q06" localSheetId="10">Tags!$AL$597</definedName>
    <definedName name="ITEM24_2Q06">Tags_ols!$AL$597</definedName>
    <definedName name="ITEM24_2Q07" localSheetId="10">Tags!$AQ$597</definedName>
    <definedName name="ITEM24_2Q07">Tags_ols!$AQ$597</definedName>
    <definedName name="ITEM24_2Q08" localSheetId="10">Tags!$AV$597</definedName>
    <definedName name="ITEM24_2Q08">Tags_ols!$AV$597</definedName>
    <definedName name="ITEM24_2Q09" localSheetId="10">Tags!$BA$597</definedName>
    <definedName name="ITEM24_2Q09">Tags_ols!$BA$597</definedName>
    <definedName name="ITEM24_2Q10" localSheetId="10">Tags!$BF$597</definedName>
    <definedName name="ITEM24_2Q10">Tags_ols!$BF$597</definedName>
    <definedName name="ITEM24_2Q11" localSheetId="10">Tags!$BK$597</definedName>
    <definedName name="ITEM24_2Q11">Tags_ols!$BK$597</definedName>
    <definedName name="ITEM24_2Q12" localSheetId="10">Tags!$BP$597</definedName>
    <definedName name="ITEM24_2Q12">Tags_ols!$BP$597</definedName>
    <definedName name="ITEM24_2Q13" localSheetId="10">Tags!$BU$597</definedName>
    <definedName name="ITEM24_2Q13">Tags_ols!$BU$597</definedName>
    <definedName name="ITEM24_2Q14" localSheetId="10">Tags!$BZ$597</definedName>
    <definedName name="ITEM24_2Q14">Tags_ols!$BZ$597</definedName>
    <definedName name="ITEM24_2Q15" localSheetId="10">Tags!$CE$597</definedName>
    <definedName name="ITEM24_2Q15">Tags_ols!$CE$597</definedName>
    <definedName name="ITEM24_2Q16" localSheetId="10">Tags!$CJ$597</definedName>
    <definedName name="ITEM24_2Q16">Tags_ols!$CJ$597</definedName>
    <definedName name="ITEM24_2Q17" localSheetId="10">Tags!$CO$597</definedName>
    <definedName name="ITEM24_2Q17">Tags_ols!$CO$597</definedName>
    <definedName name="ITEM24_2Q18" localSheetId="10">Tags!$CT$597</definedName>
    <definedName name="ITEM24_2Q18">Tags_ols!$CT$597</definedName>
    <definedName name="ITEM24_2Q19" localSheetId="10">Tags!$CY$597</definedName>
    <definedName name="ITEM24_2Q19">Tags_ols!$CY$597</definedName>
    <definedName name="ITEM24_2Q20" localSheetId="10">Tags!$DD$597</definedName>
    <definedName name="ITEM24_2Q20">Tags_ols!$DD$597</definedName>
    <definedName name="ITEM24_2Q21">Tags!$DI$597</definedName>
    <definedName name="ITEM24_2Q22">Tags!$DN$597</definedName>
    <definedName name="ITEM24_2Q23">Tags!$DS$597</definedName>
    <definedName name="ITEM24_2Q24">Tags!$DX$597</definedName>
    <definedName name="ITEM24_3Q00" localSheetId="10">Tags!$I$597</definedName>
    <definedName name="ITEM24_3Q00">Tags_ols!$I$597</definedName>
    <definedName name="ITEM24_3Q01" localSheetId="10">Tags!$N$597</definedName>
    <definedName name="ITEM24_3Q01">Tags_ols!$N$597</definedName>
    <definedName name="ITEM24_3Q02" localSheetId="10">Tags!$S$597</definedName>
    <definedName name="ITEM24_3Q02">Tags_ols!$S$597</definedName>
    <definedName name="ITEM24_3Q03" localSheetId="10">Tags!$X$597</definedName>
    <definedName name="ITEM24_3Q03">Tags_ols!$X$597</definedName>
    <definedName name="ITEM24_3Q04" localSheetId="10">Tags!$AC$597</definedName>
    <definedName name="ITEM24_3Q04">Tags_ols!$AC$597</definedName>
    <definedName name="ITEM24_3Q05" localSheetId="10">Tags!$AH$597</definedName>
    <definedName name="ITEM24_3Q05">Tags_ols!$AH$597</definedName>
    <definedName name="ITEM24_3Q06" localSheetId="10">Tags!$AM$597</definedName>
    <definedName name="ITEM24_3Q06">Tags_ols!$AM$597</definedName>
    <definedName name="ITEM24_3Q07" localSheetId="10">Tags!$AR$597</definedName>
    <definedName name="ITEM24_3Q07">Tags_ols!$AR$597</definedName>
    <definedName name="ITEM24_3Q08" localSheetId="10">Tags!$AW$597</definedName>
    <definedName name="ITEM24_3Q08">Tags_ols!$AW$597</definedName>
    <definedName name="ITEM24_3Q09" localSheetId="10">Tags!$BB$597</definedName>
    <definedName name="ITEM24_3Q09">Tags_ols!$BB$597</definedName>
    <definedName name="ITEM24_3Q10" localSheetId="10">Tags!$BG$597</definedName>
    <definedName name="ITEM24_3Q10">Tags_ols!$BG$597</definedName>
    <definedName name="ITEM24_3Q11" localSheetId="10">Tags!$BL$597</definedName>
    <definedName name="ITEM24_3Q11">Tags_ols!$BL$597</definedName>
    <definedName name="ITEM24_3Q12" localSheetId="10">Tags!$BQ$597</definedName>
    <definedName name="ITEM24_3Q12">Tags_ols!$BQ$597</definedName>
    <definedName name="ITEM24_3Q13" localSheetId="10">Tags!$BV$597</definedName>
    <definedName name="ITEM24_3Q13">Tags_ols!$BV$597</definedName>
    <definedName name="ITEM24_3Q14" localSheetId="10">Tags!$CA$597</definedName>
    <definedName name="ITEM24_3Q14">Tags_ols!$CA$597</definedName>
    <definedName name="ITEM24_3Q15" localSheetId="10">Tags!$CF$597</definedName>
    <definedName name="ITEM24_3Q15">Tags_ols!$CF$597</definedName>
    <definedName name="ITEM24_3Q16" localSheetId="10">Tags!$CK$597</definedName>
    <definedName name="ITEM24_3Q16">Tags_ols!$CK$597</definedName>
    <definedName name="ITEM24_3Q17" localSheetId="10">Tags!$CP$597</definedName>
    <definedName name="ITEM24_3Q17">Tags_ols!$CP$597</definedName>
    <definedName name="ITEM24_3Q18" localSheetId="10">Tags!$CU$597</definedName>
    <definedName name="ITEM24_3Q18">Tags_ols!$CU$597</definedName>
    <definedName name="ITEM24_3Q19" localSheetId="10">Tags!$CZ$597</definedName>
    <definedName name="ITEM24_3Q19">Tags_ols!$CZ$597</definedName>
    <definedName name="ITEM24_3Q20" localSheetId="10">Tags!$DE$597</definedName>
    <definedName name="ITEM24_3Q20">Tags_ols!$DE$597</definedName>
    <definedName name="ITEM24_3Q21">Tags!$DJ$597</definedName>
    <definedName name="ITEM24_3Q22">Tags!$DO$597</definedName>
    <definedName name="ITEM24_3Q23">Tags!$DT$597</definedName>
    <definedName name="ITEM24_3Q24">Tags!$DY$597</definedName>
    <definedName name="ITEM24_4Q00" localSheetId="10">Tags!$J$597</definedName>
    <definedName name="ITEM24_4Q00">Tags_ols!$J$597</definedName>
    <definedName name="ITEM24_4Q01" localSheetId="10">Tags!$O$597</definedName>
    <definedName name="ITEM24_4Q01">Tags_ols!$O$597</definedName>
    <definedName name="ITEM24_4Q02" localSheetId="10">Tags!$T$597</definedName>
    <definedName name="ITEM24_4Q02">Tags_ols!$T$597</definedName>
    <definedName name="ITEM24_4Q03" localSheetId="10">Tags!$Y$597</definedName>
    <definedName name="ITEM24_4Q03">Tags_ols!$Y$597</definedName>
    <definedName name="ITEM24_4Q04" localSheetId="10">Tags!$AD$597</definedName>
    <definedName name="ITEM24_4Q04">Tags_ols!$AD$597</definedName>
    <definedName name="ITEM24_4Q05" localSheetId="10">Tags!$AI$597</definedName>
    <definedName name="ITEM24_4Q05">Tags_ols!$AI$597</definedName>
    <definedName name="ITEM24_4Q06" localSheetId="10">Tags!$AN$597</definedName>
    <definedName name="ITEM24_4Q06">Tags_ols!$AN$597</definedName>
    <definedName name="ITEM24_4Q07" localSheetId="10">Tags!$AS$597</definedName>
    <definedName name="ITEM24_4Q07">Tags_ols!$AS$597</definedName>
    <definedName name="ITEM24_4Q08" localSheetId="10">Tags!$AX$597</definedName>
    <definedName name="ITEM24_4Q08">Tags_ols!$AX$597</definedName>
    <definedName name="ITEM24_4Q09" localSheetId="10">Tags!$BC$597</definedName>
    <definedName name="ITEM24_4Q09">Tags_ols!$BC$597</definedName>
    <definedName name="ITEM24_4Q10" localSheetId="10">Tags!$BH$597</definedName>
    <definedName name="ITEM24_4Q10">Tags_ols!$BH$597</definedName>
    <definedName name="ITEM24_4Q11" localSheetId="10">Tags!$BM$597</definedName>
    <definedName name="ITEM24_4Q11">Tags_ols!$BM$597</definedName>
    <definedName name="ITEM24_4Q12" localSheetId="10">Tags!$BR$597</definedName>
    <definedName name="ITEM24_4Q12">Tags_ols!$BR$597</definedName>
    <definedName name="ITEM24_4Q13" localSheetId="10">Tags!$BW$597</definedName>
    <definedName name="ITEM24_4Q13">Tags_ols!$BW$597</definedName>
    <definedName name="ITEM24_4Q14" localSheetId="10">Tags!$CB$597</definedName>
    <definedName name="ITEM24_4Q14">Tags_ols!$CB$597</definedName>
    <definedName name="ITEM24_4Q15" localSheetId="10">Tags!$CG$597</definedName>
    <definedName name="ITEM24_4Q15">Tags_ols!$CG$597</definedName>
    <definedName name="ITEM24_4Q16" localSheetId="10">Tags!$CL$597</definedName>
    <definedName name="ITEM24_4Q16">Tags_ols!$CL$597</definedName>
    <definedName name="ITEM24_4Q17" localSheetId="10">Tags!$CQ$597</definedName>
    <definedName name="ITEM24_4Q17">Tags_ols!$CQ$597</definedName>
    <definedName name="ITEM24_4Q18" localSheetId="10">Tags!$CV$597</definedName>
    <definedName name="ITEM24_4Q18">Tags_ols!$CV$597</definedName>
    <definedName name="ITEM24_4Q19" localSheetId="10">Tags!$DA$597</definedName>
    <definedName name="ITEM24_4Q19">Tags_ols!$DA$597</definedName>
    <definedName name="ITEM24_4Q20" localSheetId="10">Tags!$DF$597</definedName>
    <definedName name="ITEM24_4Q20">Tags_ols!$DF$597</definedName>
    <definedName name="ITEM24_4Q21">Tags!$DK$597</definedName>
    <definedName name="ITEM24_4Q22">Tags!$DP$597</definedName>
    <definedName name="ITEM24_4Q23">Tags!$DU$597</definedName>
    <definedName name="ITEM24_4Q24">Tags!$DZ$597</definedName>
    <definedName name="ITEM25_1995">Tags_ols!$B$598</definedName>
    <definedName name="ITEM25_1996">Tags_ols!$C$598</definedName>
    <definedName name="ITEM25_1997">Tags_ols!$D$598</definedName>
    <definedName name="ITEM25_1998">Tags_ols!$E$598</definedName>
    <definedName name="ITEM25_1999">Tags_ols!$F$598</definedName>
    <definedName name="ITEM25_1Q00" localSheetId="10">Tags!$G$598</definedName>
    <definedName name="ITEM25_1Q00">Tags_ols!$G$598</definedName>
    <definedName name="ITEM25_1Q01" localSheetId="10">Tags!$L$598</definedName>
    <definedName name="ITEM25_1Q01">Tags_ols!$L$598</definedName>
    <definedName name="ITEM25_1Q02" localSheetId="10">Tags!$Q$598</definedName>
    <definedName name="ITEM25_1Q02">Tags_ols!$Q$598</definedName>
    <definedName name="ITEM25_1Q03" localSheetId="10">Tags!$V$598</definedName>
    <definedName name="ITEM25_1Q03">Tags_ols!$V$598</definedName>
    <definedName name="ITEM25_1Q04" localSheetId="10">Tags!$AA$598</definedName>
    <definedName name="ITEM25_1Q04">Tags_ols!$AA$598</definedName>
    <definedName name="ITEM25_1Q05" localSheetId="10">Tags!$AF$598</definedName>
    <definedName name="ITEM25_1Q05">Tags_ols!$AF$598</definedName>
    <definedName name="ITEM25_1Q06" localSheetId="10">Tags!$AK$598</definedName>
    <definedName name="ITEM25_1Q06">Tags_ols!$AK$598</definedName>
    <definedName name="ITEM25_1Q07" localSheetId="10">Tags!$AP$598</definedName>
    <definedName name="ITEM25_1Q07">Tags_ols!$AP$598</definedName>
    <definedName name="ITEM25_1Q08" localSheetId="10">Tags!$AU$598</definedName>
    <definedName name="ITEM25_1Q08">Tags_ols!$AU$598</definedName>
    <definedName name="ITEM25_1Q09" localSheetId="10">Tags!$AZ$598</definedName>
    <definedName name="ITEM25_1Q09">Tags_ols!$AZ$598</definedName>
    <definedName name="ITEM25_1Q10" localSheetId="10">Tags!$BE$598</definedName>
    <definedName name="ITEM25_1Q10">Tags_ols!$BE$598</definedName>
    <definedName name="ITEM25_1Q11" localSheetId="10">Tags!$BJ$598</definedName>
    <definedName name="ITEM25_1Q11">Tags_ols!$BJ$598</definedName>
    <definedName name="ITEM25_1Q12" localSheetId="10">Tags!$BO$598</definedName>
    <definedName name="ITEM25_1Q12">Tags_ols!$BO$598</definedName>
    <definedName name="ITEM25_1Q13" localSheetId="10">Tags!$BT$598</definedName>
    <definedName name="ITEM25_1Q13">Tags_ols!$BT$598</definedName>
    <definedName name="ITEM25_1Q14" localSheetId="10">Tags!$BY$598</definedName>
    <definedName name="ITEM25_1Q14">Tags_ols!$BY$598</definedName>
    <definedName name="ITEM25_1Q15" localSheetId="10">Tags!$CD$598</definedName>
    <definedName name="ITEM25_1Q15">Tags_ols!$CD$598</definedName>
    <definedName name="ITEM25_1Q16" localSheetId="10">Tags!$CI$598</definedName>
    <definedName name="ITEM25_1Q16">Tags_ols!$CI$598</definedName>
    <definedName name="ITEM25_1Q17" localSheetId="10">Tags!$CN$598</definedName>
    <definedName name="ITEM25_1Q17">Tags_ols!$CN$598</definedName>
    <definedName name="ITEM25_1Q18" localSheetId="10">Tags!$CS$598</definedName>
    <definedName name="ITEM25_1Q18">Tags_ols!$CS$598</definedName>
    <definedName name="ITEM25_1Q19" localSheetId="10">Tags!$CX$598</definedName>
    <definedName name="ITEM25_1Q19">Tags_ols!$CX$598</definedName>
    <definedName name="ITEM25_1Q20" localSheetId="10">Tags!$DC$598</definedName>
    <definedName name="ITEM25_1Q20">Tags_ols!$DC$598</definedName>
    <definedName name="ITEM25_1Q21">Tags!$DH$598</definedName>
    <definedName name="ITEM25_1Q22">Tags!$DM$598</definedName>
    <definedName name="ITEM25_1Q23">Tags!$DR$598</definedName>
    <definedName name="ITEM25_1Q24">Tags!$DW$598</definedName>
    <definedName name="ITEM25_2000" localSheetId="10">Tags!$K$598</definedName>
    <definedName name="ITEM25_2000">Tags_ols!$K$598</definedName>
    <definedName name="ITEM25_2001" localSheetId="10">Tags!$P$598</definedName>
    <definedName name="ITEM25_2001">Tags_ols!$P$598</definedName>
    <definedName name="ITEM25_2002" localSheetId="10">Tags!$U$598</definedName>
    <definedName name="ITEM25_2002">Tags_ols!$U$598</definedName>
    <definedName name="ITEM25_2003" localSheetId="10">Tags!$Z$598</definedName>
    <definedName name="ITEM25_2003">Tags_ols!$Z$598</definedName>
    <definedName name="ITEM25_2004" localSheetId="10">Tags!$AE$598</definedName>
    <definedName name="ITEM25_2004">Tags_ols!$AE$598</definedName>
    <definedName name="ITEM25_2005" localSheetId="10">Tags!$AJ$598</definedName>
    <definedName name="ITEM25_2005">Tags_ols!$AJ$598</definedName>
    <definedName name="ITEM25_2006" localSheetId="10">Tags!$AO$598</definedName>
    <definedName name="ITEM25_2006">Tags_ols!$AO$598</definedName>
    <definedName name="ITEM25_2007" localSheetId="10">Tags!$AT$598</definedName>
    <definedName name="ITEM25_2007">Tags_ols!$AT$598</definedName>
    <definedName name="ITEM25_2008" localSheetId="10">Tags!$AY$598</definedName>
    <definedName name="ITEM25_2008">Tags_ols!$AY$598</definedName>
    <definedName name="ITEM25_2009" localSheetId="10">Tags!$BD$598</definedName>
    <definedName name="ITEM25_2009">Tags_ols!$BD$598</definedName>
    <definedName name="ITEM25_2010" localSheetId="10">Tags!$BI$598</definedName>
    <definedName name="ITEM25_2010">Tags_ols!$BI$598</definedName>
    <definedName name="ITEM25_2011" localSheetId="10">Tags!$BN$598</definedName>
    <definedName name="ITEM25_2011">Tags_ols!$BN$598</definedName>
    <definedName name="ITEM25_2012" localSheetId="10">Tags!$BS$598</definedName>
    <definedName name="ITEM25_2012">Tags_ols!$BS$598</definedName>
    <definedName name="ITEM25_2013" localSheetId="10">Tags!$BX$598</definedName>
    <definedName name="ITEM25_2013">Tags_ols!$BX$598</definedName>
    <definedName name="ITEM25_2014" localSheetId="10">Tags!$CC$598</definedName>
    <definedName name="ITEM25_2014">Tags_ols!$CC$598</definedName>
    <definedName name="ITEM25_2015" localSheetId="10">Tags!#REF!</definedName>
    <definedName name="ITEM25_2015">Tags!$CH$598</definedName>
    <definedName name="ITEM25_2016" localSheetId="10">Tags!$CM$598</definedName>
    <definedName name="ITEM25_2016">Tags_ols!$CM$598</definedName>
    <definedName name="ITEM25_2017" localSheetId="10">Tags!$CR$598</definedName>
    <definedName name="ITEM25_2017">Tags_ols!$CR$598</definedName>
    <definedName name="ITEM25_2018" localSheetId="10">Tags!$CW$598</definedName>
    <definedName name="ITEM25_2018">Tags_ols!$CW$598</definedName>
    <definedName name="ITEM25_2019" localSheetId="10">Tags!$DB$598</definedName>
    <definedName name="ITEM25_2019">Tags_ols!$DB$598</definedName>
    <definedName name="ITEM25_2020" localSheetId="10">Tags!$DG$598</definedName>
    <definedName name="ITEM25_2020">Tags_ols!$DG$598</definedName>
    <definedName name="ITEM25_2021">Tags!$DL$598</definedName>
    <definedName name="ITEM25_2022">Tags!$DQ$598</definedName>
    <definedName name="ITEM25_2023">Tags!$DV$598</definedName>
    <definedName name="ITEM25_2024">Tags!$EA$598</definedName>
    <definedName name="ITEM25_2Q00" localSheetId="10">Tags!$H$598</definedName>
    <definedName name="ITEM25_2Q00">Tags_ols!$H$598</definedName>
    <definedName name="ITEM25_2Q01" localSheetId="10">Tags!$M$598</definedName>
    <definedName name="ITEM25_2Q01">Tags_ols!$M$598</definedName>
    <definedName name="ITEM25_2Q02" localSheetId="10">Tags!$R$598</definedName>
    <definedName name="ITEM25_2Q02">Tags_ols!$R$598</definedName>
    <definedName name="ITEM25_2Q03" localSheetId="10">Tags!$W$598</definedName>
    <definedName name="ITEM25_2Q03">Tags_ols!$W$598</definedName>
    <definedName name="ITEM25_2Q04" localSheetId="10">Tags!$AB$598</definedName>
    <definedName name="ITEM25_2Q04">Tags_ols!$AB$598</definedName>
    <definedName name="ITEM25_2Q05" localSheetId="10">Tags!$AG$598</definedName>
    <definedName name="ITEM25_2Q05">Tags_ols!$AG$598</definedName>
    <definedName name="ITEM25_2Q06" localSheetId="10">Tags!$AL$598</definedName>
    <definedName name="ITEM25_2Q06">Tags_ols!$AL$598</definedName>
    <definedName name="ITEM25_2Q07" localSheetId="10">Tags!$AQ$598</definedName>
    <definedName name="ITEM25_2Q07">Tags_ols!$AQ$598</definedName>
    <definedName name="ITEM25_2Q08" localSheetId="10">Tags!$AV$598</definedName>
    <definedName name="ITEM25_2Q08">Tags_ols!$AV$598</definedName>
    <definedName name="ITEM25_2Q09" localSheetId="10">Tags!$BA$598</definedName>
    <definedName name="ITEM25_2Q09">Tags_ols!$BA$598</definedName>
    <definedName name="ITEM25_2Q10" localSheetId="10">Tags!$BF$598</definedName>
    <definedName name="ITEM25_2Q10">Tags_ols!$BF$598</definedName>
    <definedName name="ITEM25_2Q11" localSheetId="10">Tags!$BK$598</definedName>
    <definedName name="ITEM25_2Q11">Tags_ols!$BK$598</definedName>
    <definedName name="ITEM25_2Q12" localSheetId="10">Tags!$BP$598</definedName>
    <definedName name="ITEM25_2Q12">Tags_ols!$BP$598</definedName>
    <definedName name="ITEM25_2Q13" localSheetId="10">Tags!$BU$598</definedName>
    <definedName name="ITEM25_2Q13">Tags_ols!$BU$598</definedName>
    <definedName name="ITEM25_2Q14" localSheetId="10">Tags!$BZ$598</definedName>
    <definedName name="ITEM25_2Q14">Tags_ols!$BZ$598</definedName>
    <definedName name="ITEM25_2Q15" localSheetId="10">Tags!$CE$598</definedName>
    <definedName name="ITEM25_2Q15">Tags_ols!$CE$598</definedName>
    <definedName name="ITEM25_2Q16" localSheetId="10">Tags!$CJ$598</definedName>
    <definedName name="ITEM25_2Q16">Tags_ols!$CJ$598</definedName>
    <definedName name="ITEM25_2Q17" localSheetId="10">Tags!$CO$598</definedName>
    <definedName name="ITEM25_2Q17">Tags_ols!$CO$598</definedName>
    <definedName name="ITEM25_2Q18" localSheetId="10">Tags!$CT$598</definedName>
    <definedName name="ITEM25_2Q18">Tags_ols!$CT$598</definedName>
    <definedName name="ITEM25_2Q19" localSheetId="10">Tags!$CY$598</definedName>
    <definedName name="ITEM25_2Q19">Tags_ols!$CY$598</definedName>
    <definedName name="ITEM25_2Q20" localSheetId="10">Tags!$DD$598</definedName>
    <definedName name="ITEM25_2Q20">Tags_ols!$DD$598</definedName>
    <definedName name="ITEM25_2Q21">Tags!$DI$598</definedName>
    <definedName name="ITEM25_2Q22">Tags!$DN$598</definedName>
    <definedName name="ITEM25_2Q23">Tags!$DS$598</definedName>
    <definedName name="ITEM25_2Q24">Tags!$DX$598</definedName>
    <definedName name="ITEM25_3Q00" localSheetId="10">Tags!$I$598</definedName>
    <definedName name="ITEM25_3Q00">Tags_ols!$I$598</definedName>
    <definedName name="ITEM25_3Q01" localSheetId="10">Tags!$N$598</definedName>
    <definedName name="ITEM25_3Q01">Tags_ols!$N$598</definedName>
    <definedName name="ITEM25_3Q02" localSheetId="10">Tags!$S$598</definedName>
    <definedName name="ITEM25_3Q02">Tags_ols!$S$598</definedName>
    <definedName name="ITEM25_3Q03" localSheetId="10">Tags!$X$598</definedName>
    <definedName name="ITEM25_3Q03">Tags_ols!$X$598</definedName>
    <definedName name="ITEM25_3Q04" localSheetId="10">Tags!$AC$598</definedName>
    <definedName name="ITEM25_3Q04">Tags_ols!$AC$598</definedName>
    <definedName name="ITEM25_3Q05" localSheetId="10">Tags!$AH$598</definedName>
    <definedName name="ITEM25_3Q05">Tags_ols!$AH$598</definedName>
    <definedName name="ITEM25_3Q06" localSheetId="10">Tags!$AM$598</definedName>
    <definedName name="ITEM25_3Q06">Tags_ols!$AM$598</definedName>
    <definedName name="ITEM25_3Q07" localSheetId="10">Tags!$AR$598</definedName>
    <definedName name="ITEM25_3Q07">Tags_ols!$AR$598</definedName>
    <definedName name="ITEM25_3Q08" localSheetId="10">Tags!$AW$598</definedName>
    <definedName name="ITEM25_3Q08">Tags_ols!$AW$598</definedName>
    <definedName name="ITEM25_3Q09" localSheetId="10">Tags!$BB$598</definedName>
    <definedName name="ITEM25_3Q09">Tags_ols!$BB$598</definedName>
    <definedName name="ITEM25_3Q10" localSheetId="10">Tags!$BG$598</definedName>
    <definedName name="ITEM25_3Q10">Tags_ols!$BG$598</definedName>
    <definedName name="ITEM25_3Q11" localSheetId="10">Tags!$BL$598</definedName>
    <definedName name="ITEM25_3Q11">Tags_ols!$BL$598</definedName>
    <definedName name="ITEM25_3Q12" localSheetId="10">Tags!$BQ$598</definedName>
    <definedName name="ITEM25_3Q12">Tags_ols!$BQ$598</definedName>
    <definedName name="ITEM25_3Q13" localSheetId="10">Tags!$BV$598</definedName>
    <definedName name="ITEM25_3Q13">Tags_ols!$BV$598</definedName>
    <definedName name="ITEM25_3Q14" localSheetId="10">Tags!$CA$598</definedName>
    <definedName name="ITEM25_3Q14">Tags_ols!$CA$598</definedName>
    <definedName name="ITEM25_3Q15" localSheetId="10">Tags!$CF$598</definedName>
    <definedName name="ITEM25_3Q15">Tags_ols!$CF$598</definedName>
    <definedName name="ITEM25_3Q16" localSheetId="10">Tags!$CK$598</definedName>
    <definedName name="ITEM25_3Q16">Tags_ols!$CK$598</definedName>
    <definedName name="ITEM25_3Q17" localSheetId="10">Tags!$CP$598</definedName>
    <definedName name="ITEM25_3Q17">Tags_ols!$CP$598</definedName>
    <definedName name="ITEM25_3Q18" localSheetId="10">Tags!$CU$598</definedName>
    <definedName name="ITEM25_3Q18">Tags_ols!$CU$598</definedName>
    <definedName name="ITEM25_3Q19" localSheetId="10">Tags!$CZ$598</definedName>
    <definedName name="ITEM25_3Q19">Tags_ols!$CZ$598</definedName>
    <definedName name="ITEM25_3Q20" localSheetId="10">Tags!$DE$598</definedName>
    <definedName name="ITEM25_3Q20">Tags_ols!$DE$598</definedName>
    <definedName name="ITEM25_3Q21">Tags!$DJ$598</definedName>
    <definedName name="ITEM25_3Q22">Tags!$DO$598</definedName>
    <definedName name="ITEM25_3Q23">Tags!$DT$598</definedName>
    <definedName name="ITEM25_3Q24">Tags!$DY$598</definedName>
    <definedName name="ITEM25_4Q00" localSheetId="10">Tags!$J$598</definedName>
    <definedName name="ITEM25_4Q00">Tags_ols!$J$598</definedName>
    <definedName name="ITEM25_4Q01" localSheetId="10">Tags!$O$598</definedName>
    <definedName name="ITEM25_4Q01">Tags_ols!$O$598</definedName>
    <definedName name="ITEM25_4Q02" localSheetId="10">Tags!$T$598</definedName>
    <definedName name="ITEM25_4Q02">Tags_ols!$T$598</definedName>
    <definedName name="ITEM25_4Q03" localSheetId="10">Tags!$Y$598</definedName>
    <definedName name="ITEM25_4Q03">Tags_ols!$Y$598</definedName>
    <definedName name="ITEM25_4Q04" localSheetId="10">Tags!$AD$598</definedName>
    <definedName name="ITEM25_4Q04">Tags_ols!$AD$598</definedName>
    <definedName name="ITEM25_4Q05" localSheetId="10">Tags!$AI$598</definedName>
    <definedName name="ITEM25_4Q05">Tags_ols!$AI$598</definedName>
    <definedName name="ITEM25_4Q06" localSheetId="10">Tags!$AN$598</definedName>
    <definedName name="ITEM25_4Q06">Tags_ols!$AN$598</definedName>
    <definedName name="ITEM25_4Q07" localSheetId="10">Tags!$AS$598</definedName>
    <definedName name="ITEM25_4Q07">Tags_ols!$AS$598</definedName>
    <definedName name="ITEM25_4Q08" localSheetId="10">Tags!$AX$598</definedName>
    <definedName name="ITEM25_4Q08">Tags_ols!$AX$598</definedName>
    <definedName name="ITEM25_4Q09" localSheetId="10">Tags!$BC$598</definedName>
    <definedName name="ITEM25_4Q09">Tags_ols!$BC$598</definedName>
    <definedName name="ITEM25_4Q10" localSheetId="10">Tags!$BH$598</definedName>
    <definedName name="ITEM25_4Q10">Tags_ols!$BH$598</definedName>
    <definedName name="ITEM25_4Q11" localSheetId="10">Tags!$BM$598</definedName>
    <definedName name="ITEM25_4Q11">Tags_ols!$BM$598</definedName>
    <definedName name="ITEM25_4Q12" localSheetId="10">Tags!$BR$598</definedName>
    <definedName name="ITEM25_4Q12">Tags_ols!$BR$598</definedName>
    <definedName name="ITEM25_4Q13" localSheetId="10">Tags!$BW$598</definedName>
    <definedName name="ITEM25_4Q13">Tags_ols!$BW$598</definedName>
    <definedName name="ITEM25_4Q14" localSheetId="10">Tags!$CB$598</definedName>
    <definedName name="ITEM25_4Q14">Tags_ols!$CB$598</definedName>
    <definedName name="ITEM25_4Q15" localSheetId="10">Tags!$CG$598</definedName>
    <definedName name="ITEM25_4Q15">Tags_ols!$CG$598</definedName>
    <definedName name="ITEM25_4Q16" localSheetId="10">Tags!$CL$598</definedName>
    <definedName name="ITEM25_4Q16">Tags_ols!$CL$598</definedName>
    <definedName name="ITEM25_4Q17" localSheetId="10">Tags!$CQ$598</definedName>
    <definedName name="ITEM25_4Q17">Tags_ols!$CQ$598</definedName>
    <definedName name="ITEM25_4Q18" localSheetId="10">Tags!$CV$598</definedName>
    <definedName name="ITEM25_4Q18">Tags_ols!$CV$598</definedName>
    <definedName name="ITEM25_4Q19" localSheetId="10">Tags!$DA$598</definedName>
    <definedName name="ITEM25_4Q19">Tags_ols!$DA$598</definedName>
    <definedName name="ITEM25_4Q20" localSheetId="10">Tags!$DF$598</definedName>
    <definedName name="ITEM25_4Q20">Tags_ols!$DF$598</definedName>
    <definedName name="ITEM25_4Q21">Tags!$DK$598</definedName>
    <definedName name="ITEM25_4Q22">Tags!$DP$598</definedName>
    <definedName name="ITEM25_4Q23">Tags!$DU$598</definedName>
    <definedName name="ITEM25_4Q24">Tags!$DZ$598</definedName>
    <definedName name="ITEM26_1995">Tags_ols!$B$599</definedName>
    <definedName name="ITEM26_1996">Tags_ols!$C$599</definedName>
    <definedName name="ITEM26_1997">Tags_ols!$D$599</definedName>
    <definedName name="ITEM26_1998">Tags_ols!$E$599</definedName>
    <definedName name="ITEM26_1999">Tags_ols!$F$599</definedName>
    <definedName name="ITEM26_1Q00" localSheetId="10">Tags!$G$599</definedName>
    <definedName name="ITEM26_1Q00">Tags_ols!$G$599</definedName>
    <definedName name="ITEM26_1Q01" localSheetId="10">Tags!$L$599</definedName>
    <definedName name="ITEM26_1Q01">Tags_ols!$L$599</definedName>
    <definedName name="ITEM26_1Q02" localSheetId="10">Tags!$Q$599</definedName>
    <definedName name="ITEM26_1Q02">Tags_ols!$Q$599</definedName>
    <definedName name="ITEM26_1Q03" localSheetId="10">Tags!$V$599</definedName>
    <definedName name="ITEM26_1Q03">Tags_ols!$V$599</definedName>
    <definedName name="ITEM26_1Q04" localSheetId="10">Tags!$AA$599</definedName>
    <definedName name="ITEM26_1Q04">Tags_ols!$AA$599</definedName>
    <definedName name="ITEM26_1Q05" localSheetId="10">Tags!$AF$599</definedName>
    <definedName name="ITEM26_1Q05">Tags_ols!$AF$599</definedName>
    <definedName name="ITEM26_1Q06" localSheetId="10">Tags!$AK$599</definedName>
    <definedName name="ITEM26_1Q06">Tags_ols!$AK$599</definedName>
    <definedName name="ITEM26_1Q07" localSheetId="10">Tags!$AP$599</definedName>
    <definedName name="ITEM26_1Q07">Tags_ols!$AP$599</definedName>
    <definedName name="ITEM26_1Q08" localSheetId="10">Tags!$AU$599</definedName>
    <definedName name="ITEM26_1Q08">Tags_ols!$AU$599</definedName>
    <definedName name="ITEM26_1Q09" localSheetId="10">Tags!$AZ$599</definedName>
    <definedName name="ITEM26_1Q09">Tags_ols!$AZ$599</definedName>
    <definedName name="ITEM26_1Q10" localSheetId="10">Tags!$BE$599</definedName>
    <definedName name="ITEM26_1Q10">Tags_ols!$BE$599</definedName>
    <definedName name="ITEM26_1Q11" localSheetId="10">Tags!$BJ$599</definedName>
    <definedName name="ITEM26_1Q11">Tags_ols!$BJ$599</definedName>
    <definedName name="ITEM26_1Q12" localSheetId="10">Tags!$BO$599</definedName>
    <definedName name="ITEM26_1Q12">Tags_ols!$BO$599</definedName>
    <definedName name="ITEM26_1Q13" localSheetId="10">Tags!$BT$599</definedName>
    <definedName name="ITEM26_1Q13">Tags_ols!$BT$599</definedName>
    <definedName name="ITEM26_1Q14" localSheetId="10">Tags!$BY$599</definedName>
    <definedName name="ITEM26_1Q14">Tags_ols!$BY$599</definedName>
    <definedName name="ITEM26_1Q15" localSheetId="10">Tags!$CD$599</definedName>
    <definedName name="ITEM26_1Q15">Tags_ols!$CD$599</definedName>
    <definedName name="ITEM26_1Q16" localSheetId="10">Tags!$CI$599</definedName>
    <definedName name="ITEM26_1Q16">Tags_ols!$CI$599</definedName>
    <definedName name="ITEM26_1Q17" localSheetId="10">Tags!$CN$599</definedName>
    <definedName name="ITEM26_1Q17">Tags_ols!$CN$599</definedName>
    <definedName name="ITEM26_1Q18" localSheetId="10">Tags!$CS$599</definedName>
    <definedName name="ITEM26_1Q18">Tags_ols!$CS$599</definedName>
    <definedName name="ITEM26_1Q19" localSheetId="10">Tags!$CX$599</definedName>
    <definedName name="ITEM26_1Q19">Tags_ols!$CX$599</definedName>
    <definedName name="ITEM26_1Q20" localSheetId="10">Tags!$DC$599</definedName>
    <definedName name="ITEM26_1Q20">Tags_ols!$DC$599</definedName>
    <definedName name="ITEM26_1Q21">Tags!$DH$599</definedName>
    <definedName name="ITEM26_1Q22">Tags!$DM$599</definedName>
    <definedName name="ITEM26_1Q23">Tags!$DR$599</definedName>
    <definedName name="ITEM26_1Q24">Tags!$DW$599</definedName>
    <definedName name="ITEM26_2000" localSheetId="10">Tags!$K$599</definedName>
    <definedName name="ITEM26_2000">Tags_ols!$K$599</definedName>
    <definedName name="ITEM26_2001" localSheetId="10">Tags!$P$599</definedName>
    <definedName name="ITEM26_2001">Tags_ols!$P$599</definedName>
    <definedName name="ITEM26_2002" localSheetId="10">Tags!$U$599</definedName>
    <definedName name="ITEM26_2002">Tags_ols!$U$599</definedName>
    <definedName name="ITEM26_2003" localSheetId="10">Tags!$Z$599</definedName>
    <definedName name="ITEM26_2003">Tags_ols!$Z$599</definedName>
    <definedName name="ITEM26_2004" localSheetId="10">Tags!$AE$599</definedName>
    <definedName name="ITEM26_2004">Tags_ols!$AE$599</definedName>
    <definedName name="ITEM26_2005" localSheetId="10">Tags!$AJ$599</definedName>
    <definedName name="ITEM26_2005">Tags_ols!$AJ$599</definedName>
    <definedName name="ITEM26_2006" localSheetId="10">Tags!$AO$599</definedName>
    <definedName name="ITEM26_2006">Tags_ols!$AO$599</definedName>
    <definedName name="ITEM26_2007" localSheetId="10">Tags!$AT$599</definedName>
    <definedName name="ITEM26_2007">Tags_ols!$AT$599</definedName>
    <definedName name="ITEM26_2008" localSheetId="10">Tags!$AY$599</definedName>
    <definedName name="ITEM26_2008">Tags_ols!$AY$599</definedName>
    <definedName name="ITEM26_2009" localSheetId="10">Tags!$BD$599</definedName>
    <definedName name="ITEM26_2009">Tags_ols!$BD$599</definedName>
    <definedName name="ITEM26_2010" localSheetId="10">Tags!$BI$599</definedName>
    <definedName name="ITEM26_2010">Tags_ols!$BI$599</definedName>
    <definedName name="ITEM26_2011" localSheetId="10">Tags!$BN$599</definedName>
    <definedName name="ITEM26_2011">Tags_ols!$BN$599</definedName>
    <definedName name="ITEM26_2012" localSheetId="10">Tags!$BS$599</definedName>
    <definedName name="ITEM26_2012">Tags_ols!$BS$599</definedName>
    <definedName name="ITEM26_2013" localSheetId="10">Tags!$BX$599</definedName>
    <definedName name="ITEM26_2013">Tags_ols!$BX$599</definedName>
    <definedName name="ITEM26_2014" localSheetId="10">Tags!$CC$599</definedName>
    <definedName name="ITEM26_2014">Tags_ols!$CC$599</definedName>
    <definedName name="ITEM26_2015" localSheetId="10">Tags!#REF!</definedName>
    <definedName name="ITEM26_2015">Tags!$CH$599</definedName>
    <definedName name="ITEM26_2016" localSheetId="10">Tags!$CM$599</definedName>
    <definedName name="ITEM26_2016">Tags_ols!$CM$599</definedName>
    <definedName name="ITEM26_2017" localSheetId="10">Tags!$CR$599</definedName>
    <definedName name="ITEM26_2017">Tags_ols!$CR$599</definedName>
    <definedName name="ITEM26_2018" localSheetId="10">Tags!$CW$599</definedName>
    <definedName name="ITEM26_2018">Tags_ols!$CW$599</definedName>
    <definedName name="ITEM26_2019" localSheetId="10">Tags!$DB$599</definedName>
    <definedName name="ITEM26_2019">Tags_ols!$DB$599</definedName>
    <definedName name="ITEM26_2020" localSheetId="10">Tags!$DG$599</definedName>
    <definedName name="ITEM26_2020">Tags_ols!$DG$599</definedName>
    <definedName name="ITEM26_2021">Tags!$DL$599</definedName>
    <definedName name="ITEM26_2022">Tags!$DQ$599</definedName>
    <definedName name="ITEM26_2023">Tags!$DV$599</definedName>
    <definedName name="ITEM26_2024">Tags!$EA$599</definedName>
    <definedName name="ITEM26_2Q00" localSheetId="10">Tags!$H$599</definedName>
    <definedName name="ITEM26_2Q00">Tags_ols!$H$599</definedName>
    <definedName name="ITEM26_2Q01" localSheetId="10">Tags!$M$599</definedName>
    <definedName name="ITEM26_2Q01">Tags_ols!$M$599</definedName>
    <definedName name="ITEM26_2Q02" localSheetId="10">Tags!$R$599</definedName>
    <definedName name="ITEM26_2Q02">Tags_ols!$R$599</definedName>
    <definedName name="ITEM26_2Q03" localSheetId="10">Tags!$W$599</definedName>
    <definedName name="ITEM26_2Q03">Tags_ols!$W$599</definedName>
    <definedName name="ITEM26_2Q04" localSheetId="10">Tags!$AB$599</definedName>
    <definedName name="ITEM26_2Q04">Tags_ols!$AB$599</definedName>
    <definedName name="ITEM26_2Q05" localSheetId="10">Tags!$AG$599</definedName>
    <definedName name="ITEM26_2Q05">Tags_ols!$AG$599</definedName>
    <definedName name="ITEM26_2Q06" localSheetId="10">Tags!$AL$599</definedName>
    <definedName name="ITEM26_2Q06">Tags_ols!$AL$599</definedName>
    <definedName name="ITEM26_2Q07" localSheetId="10">Tags!$AQ$599</definedName>
    <definedName name="ITEM26_2Q07">Tags_ols!$AQ$599</definedName>
    <definedName name="ITEM26_2Q08" localSheetId="10">Tags!$AV$599</definedName>
    <definedName name="ITEM26_2Q08">Tags_ols!$AV$599</definedName>
    <definedName name="ITEM26_2Q09" localSheetId="10">Tags!$BA$599</definedName>
    <definedName name="ITEM26_2Q09">Tags_ols!$BA$599</definedName>
    <definedName name="ITEM26_2Q10" localSheetId="10">Tags!$BF$599</definedName>
    <definedName name="ITEM26_2Q10">Tags_ols!$BF$599</definedName>
    <definedName name="ITEM26_2Q11" localSheetId="10">Tags!$BK$599</definedName>
    <definedName name="ITEM26_2Q11">Tags_ols!$BK$599</definedName>
    <definedName name="ITEM26_2Q12" localSheetId="10">Tags!$BP$599</definedName>
    <definedName name="ITEM26_2Q12">Tags_ols!$BP$599</definedName>
    <definedName name="ITEM26_2Q13" localSheetId="10">Tags!$BU$599</definedName>
    <definedName name="ITEM26_2Q13">Tags_ols!$BU$599</definedName>
    <definedName name="ITEM26_2Q14" localSheetId="10">Tags!$BZ$599</definedName>
    <definedName name="ITEM26_2Q14">Tags_ols!$BZ$599</definedName>
    <definedName name="ITEM26_2Q15" localSheetId="10">Tags!$CE$599</definedName>
    <definedName name="ITEM26_2Q15">Tags_ols!$CE$599</definedName>
    <definedName name="ITEM26_2Q16" localSheetId="10">Tags!$CJ$599</definedName>
    <definedName name="ITEM26_2Q16">Tags_ols!$CJ$599</definedName>
    <definedName name="ITEM26_2Q17" localSheetId="10">Tags!$CO$599</definedName>
    <definedName name="ITEM26_2Q17">Tags_ols!$CO$599</definedName>
    <definedName name="ITEM26_2Q18" localSheetId="10">Tags!$CT$599</definedName>
    <definedName name="ITEM26_2Q18">Tags_ols!$CT$599</definedName>
    <definedName name="ITEM26_2Q19" localSheetId="10">Tags!$CY$599</definedName>
    <definedName name="ITEM26_2Q19">Tags_ols!$CY$599</definedName>
    <definedName name="ITEM26_2Q20" localSheetId="10">Tags!$DD$599</definedName>
    <definedName name="ITEM26_2Q20">Tags_ols!$DD$599</definedName>
    <definedName name="ITEM26_2Q21">Tags!$DI$599</definedName>
    <definedName name="ITEM26_2Q22">Tags!$DN$599</definedName>
    <definedName name="ITEM26_2Q23">Tags!$DS$599</definedName>
    <definedName name="ITEM26_2Q24">Tags!$DX$599</definedName>
    <definedName name="ITEM26_3Q00" localSheetId="10">Tags!$I$599</definedName>
    <definedName name="ITEM26_3Q00">Tags_ols!$I$599</definedName>
    <definedName name="ITEM26_3Q01" localSheetId="10">Tags!$N$599</definedName>
    <definedName name="ITEM26_3Q01">Tags_ols!$N$599</definedName>
    <definedName name="ITEM26_3Q02" localSheetId="10">Tags!$S$599</definedName>
    <definedName name="ITEM26_3Q02">Tags_ols!$S$599</definedName>
    <definedName name="ITEM26_3Q03" localSheetId="10">Tags!$X$599</definedName>
    <definedName name="ITEM26_3Q03">Tags_ols!$X$599</definedName>
    <definedName name="ITEM26_3Q04" localSheetId="10">Tags!$AC$599</definedName>
    <definedName name="ITEM26_3Q04">Tags_ols!$AC$599</definedName>
    <definedName name="ITEM26_3Q05" localSheetId="10">Tags!$AH$599</definedName>
    <definedName name="ITEM26_3Q05">Tags_ols!$AH$599</definedName>
    <definedName name="ITEM26_3Q06" localSheetId="10">Tags!$AM$599</definedName>
    <definedName name="ITEM26_3Q06">Tags_ols!$AM$599</definedName>
    <definedName name="ITEM26_3Q07" localSheetId="10">Tags!$AR$599</definedName>
    <definedName name="ITEM26_3Q07">Tags_ols!$AR$599</definedName>
    <definedName name="ITEM26_3Q08" localSheetId="10">Tags!$AW$599</definedName>
    <definedName name="ITEM26_3Q08">Tags_ols!$AW$599</definedName>
    <definedName name="ITEM26_3Q09" localSheetId="10">Tags!$BB$599</definedName>
    <definedName name="ITEM26_3Q09">Tags_ols!$BB$599</definedName>
    <definedName name="ITEM26_3Q10" localSheetId="10">Tags!$BG$599</definedName>
    <definedName name="ITEM26_3Q10">Tags_ols!$BG$599</definedName>
    <definedName name="ITEM26_3Q11" localSheetId="10">Tags!$BL$599</definedName>
    <definedName name="ITEM26_3Q11">Tags_ols!$BL$599</definedName>
    <definedName name="ITEM26_3Q12" localSheetId="10">Tags!$BQ$599</definedName>
    <definedName name="ITEM26_3Q12">Tags_ols!$BQ$599</definedName>
    <definedName name="ITEM26_3Q13" localSheetId="10">Tags!$BV$599</definedName>
    <definedName name="ITEM26_3Q13">Tags_ols!$BV$599</definedName>
    <definedName name="ITEM26_3Q14" localSheetId="10">Tags!$CA$599</definedName>
    <definedName name="ITEM26_3Q14">Tags_ols!$CA$599</definedName>
    <definedName name="ITEM26_3Q15" localSheetId="10">Tags!$CF$599</definedName>
    <definedName name="ITEM26_3Q15">Tags_ols!$CF$599</definedName>
    <definedName name="ITEM26_3Q16" localSheetId="10">Tags!$CK$599</definedName>
    <definedName name="ITEM26_3Q16">Tags_ols!$CK$599</definedName>
    <definedName name="ITEM26_3Q17" localSheetId="10">Tags!$CP$599</definedName>
    <definedName name="ITEM26_3Q17">Tags_ols!$CP$599</definedName>
    <definedName name="ITEM26_3Q18" localSheetId="10">Tags!$CU$599</definedName>
    <definedName name="ITEM26_3Q18">Tags_ols!$CU$599</definedName>
    <definedName name="ITEM26_3Q19" localSheetId="10">Tags!$CZ$599</definedName>
    <definedName name="ITEM26_3Q19">Tags_ols!$CZ$599</definedName>
    <definedName name="ITEM26_3Q20" localSheetId="10">Tags!$DE$599</definedName>
    <definedName name="ITEM26_3Q20">Tags_ols!$DE$599</definedName>
    <definedName name="ITEM26_3Q21">Tags!$DJ$599</definedName>
    <definedName name="ITEM26_3Q22">Tags!$DO$599</definedName>
    <definedName name="ITEM26_3Q23">Tags!$DT$599</definedName>
    <definedName name="ITEM26_3Q24">Tags!$DY$599</definedName>
    <definedName name="ITEM26_4Q00" localSheetId="10">Tags!$J$599</definedName>
    <definedName name="ITEM26_4Q00">Tags_ols!$J$599</definedName>
    <definedName name="ITEM26_4Q01" localSheetId="10">Tags!$O$599</definedName>
    <definedName name="ITEM26_4Q01">Tags_ols!$O$599</definedName>
    <definedName name="ITEM26_4Q02" localSheetId="10">Tags!$T$599</definedName>
    <definedName name="ITEM26_4Q02">Tags_ols!$T$599</definedName>
    <definedName name="ITEM26_4Q03" localSheetId="10">Tags!$Y$599</definedName>
    <definedName name="ITEM26_4Q03">Tags_ols!$Y$599</definedName>
    <definedName name="ITEM26_4Q04" localSheetId="10">Tags!$AD$599</definedName>
    <definedName name="ITEM26_4Q04">Tags_ols!$AD$599</definedName>
    <definedName name="ITEM26_4Q05" localSheetId="10">Tags!$AI$599</definedName>
    <definedName name="ITEM26_4Q05">Tags_ols!$AI$599</definedName>
    <definedName name="ITEM26_4Q06" localSheetId="10">Tags!$AN$599</definedName>
    <definedName name="ITEM26_4Q06">Tags_ols!$AN$599</definedName>
    <definedName name="ITEM26_4Q07" localSheetId="10">Tags!$AS$599</definedName>
    <definedName name="ITEM26_4Q07">Tags_ols!$AS$599</definedName>
    <definedName name="ITEM26_4Q08" localSheetId="10">Tags!$AX$599</definedName>
    <definedName name="ITEM26_4Q08">Tags_ols!$AX$599</definedName>
    <definedName name="ITEM26_4Q09" localSheetId="10">Tags!$BC$599</definedName>
    <definedName name="ITEM26_4Q09">Tags_ols!$BC$599</definedName>
    <definedName name="ITEM26_4Q10" localSheetId="10">Tags!$BH$599</definedName>
    <definedName name="ITEM26_4Q10">Tags_ols!$BH$599</definedName>
    <definedName name="ITEM26_4Q11" localSheetId="10">Tags!$BM$599</definedName>
    <definedName name="ITEM26_4Q11">Tags_ols!$BM$599</definedName>
    <definedName name="ITEM26_4Q12" localSheetId="10">Tags!$BR$599</definedName>
    <definedName name="ITEM26_4Q12">Tags_ols!$BR$599</definedName>
    <definedName name="ITEM26_4Q13" localSheetId="10">Tags!$BW$599</definedName>
    <definedName name="ITEM26_4Q13">Tags_ols!$BW$599</definedName>
    <definedName name="ITEM26_4Q14" localSheetId="10">Tags!$CB$599</definedName>
    <definedName name="ITEM26_4Q14">Tags_ols!$CB$599</definedName>
    <definedName name="ITEM26_4Q15" localSheetId="10">Tags!$CG$599</definedName>
    <definedName name="ITEM26_4Q15">Tags_ols!$CG$599</definedName>
    <definedName name="ITEM26_4Q16" localSheetId="10">Tags!$CL$599</definedName>
    <definedName name="ITEM26_4Q16">Tags_ols!$CL$599</definedName>
    <definedName name="ITEM26_4Q17" localSheetId="10">Tags!$CQ$599</definedName>
    <definedName name="ITEM26_4Q17">Tags_ols!$CQ$599</definedName>
    <definedName name="ITEM26_4Q18" localSheetId="10">Tags!$CV$599</definedName>
    <definedName name="ITEM26_4Q18">Tags_ols!$CV$599</definedName>
    <definedName name="ITEM26_4Q19" localSheetId="10">Tags!$DA$599</definedName>
    <definedName name="ITEM26_4Q19">Tags_ols!$DA$599</definedName>
    <definedName name="ITEM26_4Q20" localSheetId="10">Tags!$DF$599</definedName>
    <definedName name="ITEM26_4Q20">Tags_ols!$DF$599</definedName>
    <definedName name="ITEM26_4Q21">Tags!$DK$599</definedName>
    <definedName name="ITEM26_4Q22">Tags!$DP$599</definedName>
    <definedName name="ITEM26_4Q23">Tags!$DU$599</definedName>
    <definedName name="ITEM26_4Q24">Tags!$DZ$599</definedName>
    <definedName name="ITEM27_1995">Tags_ols!$B$600</definedName>
    <definedName name="ITEM27_1996">Tags_ols!$C$600</definedName>
    <definedName name="ITEM27_1997">Tags_ols!$D$600</definedName>
    <definedName name="ITEM27_1998">Tags_ols!$E$600</definedName>
    <definedName name="ITEM27_1999">Tags_ols!$F$600</definedName>
    <definedName name="ITEM27_1Q00" localSheetId="10">Tags!$G$600</definedName>
    <definedName name="ITEM27_1Q00">Tags_ols!$G$600</definedName>
    <definedName name="ITEM27_1Q01" localSheetId="10">Tags!$L$600</definedName>
    <definedName name="ITEM27_1Q01">Tags_ols!$L$600</definedName>
    <definedName name="ITEM27_1Q02" localSheetId="10">Tags!$Q$600</definedName>
    <definedName name="ITEM27_1Q02">Tags_ols!$Q$600</definedName>
    <definedName name="ITEM27_1Q03" localSheetId="10">Tags!$V$600</definedName>
    <definedName name="ITEM27_1Q03">Tags_ols!$V$600</definedName>
    <definedName name="ITEM27_1Q04" localSheetId="10">Tags!$AA$600</definedName>
    <definedName name="ITEM27_1Q04">Tags_ols!$AA$600</definedName>
    <definedName name="ITEM27_1Q05" localSheetId="10">Tags!$AF$600</definedName>
    <definedName name="ITEM27_1Q05">Tags_ols!$AF$600</definedName>
    <definedName name="ITEM27_1Q06" localSheetId="10">Tags!$AK$600</definedName>
    <definedName name="ITEM27_1Q06">Tags_ols!$AK$600</definedName>
    <definedName name="ITEM27_1Q07" localSheetId="10">Tags!$AP$600</definedName>
    <definedName name="ITEM27_1Q07">Tags_ols!$AP$600</definedName>
    <definedName name="ITEM27_1Q08" localSheetId="10">Tags!$AU$600</definedName>
    <definedName name="ITEM27_1Q08">Tags_ols!$AU$600</definedName>
    <definedName name="ITEM27_1Q09" localSheetId="10">Tags!$AZ$600</definedName>
    <definedName name="ITEM27_1Q09">Tags_ols!$AZ$600</definedName>
    <definedName name="ITEM27_1Q10" localSheetId="10">Tags!$BE$600</definedName>
    <definedName name="ITEM27_1Q10">Tags_ols!$BE$600</definedName>
    <definedName name="ITEM27_1Q11" localSheetId="10">Tags!$BJ$600</definedName>
    <definedName name="ITEM27_1Q11">Tags_ols!$BJ$600</definedName>
    <definedName name="ITEM27_1Q12" localSheetId="10">Tags!$BO$600</definedName>
    <definedName name="ITEM27_1Q12">Tags_ols!$BO$600</definedName>
    <definedName name="ITEM27_1Q13" localSheetId="10">Tags!$BT$600</definedName>
    <definedName name="ITEM27_1Q13">Tags_ols!$BT$600</definedName>
    <definedName name="ITEM27_1Q14" localSheetId="10">Tags!$BY$600</definedName>
    <definedName name="ITEM27_1Q14">Tags_ols!$BY$600</definedName>
    <definedName name="ITEM27_1Q15" localSheetId="10">Tags!$CD$600</definedName>
    <definedName name="ITEM27_1Q15">Tags_ols!$CD$600</definedName>
    <definedName name="ITEM27_1Q16" localSheetId="10">Tags!$CI$600</definedName>
    <definedName name="ITEM27_1Q16">Tags_ols!$CI$600</definedName>
    <definedName name="ITEM27_1Q17" localSheetId="10">Tags!$CN$600</definedName>
    <definedName name="ITEM27_1Q17">Tags_ols!$CN$600</definedName>
    <definedName name="ITEM27_1Q18" localSheetId="10">Tags!$CS$600</definedName>
    <definedName name="ITEM27_1Q18">Tags_ols!$CS$600</definedName>
    <definedName name="ITEM27_1Q19" localSheetId="10">Tags!$CX$600</definedName>
    <definedName name="ITEM27_1Q19">Tags_ols!$CX$600</definedName>
    <definedName name="ITEM27_1Q20" localSheetId="10">Tags!$DC$600</definedName>
    <definedName name="ITEM27_1Q20">Tags_ols!$DC$600</definedName>
    <definedName name="ITEM27_1Q21">Tags!$DH$600</definedName>
    <definedName name="ITEM27_1Q22">Tags!$DM$600</definedName>
    <definedName name="ITEM27_1Q23">Tags!$DR$600</definedName>
    <definedName name="ITEM27_1Q24">Tags!$DW$600</definedName>
    <definedName name="ITEM27_2000" localSheetId="10">Tags!$K$600</definedName>
    <definedName name="ITEM27_2000">Tags_ols!$K$600</definedName>
    <definedName name="ITEM27_2001" localSheetId="10">Tags!$P$600</definedName>
    <definedName name="ITEM27_2001">Tags_ols!$P$600</definedName>
    <definedName name="ITEM27_2002" localSheetId="10">Tags!$U$600</definedName>
    <definedName name="ITEM27_2002">Tags_ols!$U$600</definedName>
    <definedName name="ITEM27_2003" localSheetId="10">Tags!$Z$600</definedName>
    <definedName name="ITEM27_2003">Tags_ols!$Z$600</definedName>
    <definedName name="ITEM27_2004" localSheetId="10">Tags!$AE$600</definedName>
    <definedName name="ITEM27_2004">Tags_ols!$AE$600</definedName>
    <definedName name="ITEM27_2005" localSheetId="10">Tags!$AJ$600</definedName>
    <definedName name="ITEM27_2005">Tags_ols!$AJ$600</definedName>
    <definedName name="ITEM27_2006" localSheetId="10">Tags!$AO$600</definedName>
    <definedName name="ITEM27_2006">Tags_ols!$AO$600</definedName>
    <definedName name="ITEM27_2007" localSheetId="10">Tags!$AT$600</definedName>
    <definedName name="ITEM27_2007">Tags_ols!$AT$600</definedName>
    <definedName name="ITEM27_2008" localSheetId="10">Tags!$AY$600</definedName>
    <definedName name="ITEM27_2008">Tags_ols!$AY$600</definedName>
    <definedName name="ITEM27_2009" localSheetId="10">Tags!$BD$600</definedName>
    <definedName name="ITEM27_2009">Tags_ols!$BD$600</definedName>
    <definedName name="ITEM27_2010" localSheetId="10">Tags!$BI$600</definedName>
    <definedName name="ITEM27_2010">Tags_ols!$BI$600</definedName>
    <definedName name="ITEM27_2011" localSheetId="10">Tags!$BN$600</definedName>
    <definedName name="ITEM27_2011">Tags_ols!$BN$600</definedName>
    <definedName name="ITEM27_2012" localSheetId="10">Tags!$BS$600</definedName>
    <definedName name="ITEM27_2012">Tags_ols!$BS$600</definedName>
    <definedName name="ITEM27_2013" localSheetId="10">Tags!$BX$600</definedName>
    <definedName name="ITEM27_2013">Tags_ols!$BX$600</definedName>
    <definedName name="ITEM27_2014" localSheetId="10">Tags!$CC$600</definedName>
    <definedName name="ITEM27_2014">Tags_ols!$CC$600</definedName>
    <definedName name="ITEM27_2015" localSheetId="10">Tags!#REF!</definedName>
    <definedName name="ITEM27_2015">Tags!$CH$600</definedName>
    <definedName name="ITEM27_2016" localSheetId="10">Tags!$CM$600</definedName>
    <definedName name="ITEM27_2016">Tags_ols!$CM$600</definedName>
    <definedName name="ITEM27_2017" localSheetId="10">Tags!$CR$600</definedName>
    <definedName name="ITEM27_2017">Tags_ols!$CR$600</definedName>
    <definedName name="ITEM27_2018" localSheetId="10">Tags!$CW$600</definedName>
    <definedName name="ITEM27_2018">Tags_ols!$CW$600</definedName>
    <definedName name="ITEM27_2019" localSheetId="10">Tags!$DB$600</definedName>
    <definedName name="ITEM27_2019">Tags_ols!$DB$600</definedName>
    <definedName name="ITEM27_2020" localSheetId="10">Tags!$DG$600</definedName>
    <definedName name="ITEM27_2020">Tags_ols!$DG$600</definedName>
    <definedName name="ITEM27_2021">Tags!$DL$600</definedName>
    <definedName name="ITEM27_2022">Tags!$DQ$600</definedName>
    <definedName name="ITEM27_2023">Tags!$DV$600</definedName>
    <definedName name="ITEM27_2024">Tags!$EA$600</definedName>
    <definedName name="ITEM27_2Q00" localSheetId="10">Tags!$H$600</definedName>
    <definedName name="ITEM27_2Q00">Tags_ols!$H$600</definedName>
    <definedName name="ITEM27_2Q01" localSheetId="10">Tags!$M$600</definedName>
    <definedName name="ITEM27_2Q01">Tags_ols!$M$600</definedName>
    <definedName name="ITEM27_2Q02" localSheetId="10">Tags!$R$600</definedName>
    <definedName name="ITEM27_2Q02">Tags_ols!$R$600</definedName>
    <definedName name="ITEM27_2Q03" localSheetId="10">Tags!$W$600</definedName>
    <definedName name="ITEM27_2Q03">Tags_ols!$W$600</definedName>
    <definedName name="ITEM27_2Q04" localSheetId="10">Tags!$AB$600</definedName>
    <definedName name="ITEM27_2Q04">Tags_ols!$AB$600</definedName>
    <definedName name="ITEM27_2Q05" localSheetId="10">Tags!$AG$600</definedName>
    <definedName name="ITEM27_2Q05">Tags_ols!$AG$600</definedName>
    <definedName name="ITEM27_2Q06" localSheetId="10">Tags!$AL$600</definedName>
    <definedName name="ITEM27_2Q06">Tags_ols!$AL$600</definedName>
    <definedName name="ITEM27_2Q07" localSheetId="10">Tags!$AQ$600</definedName>
    <definedName name="ITEM27_2Q07">Tags_ols!$AQ$600</definedName>
    <definedName name="ITEM27_2Q08" localSheetId="10">Tags!$AV$600</definedName>
    <definedName name="ITEM27_2Q08">Tags_ols!$AV$600</definedName>
    <definedName name="ITEM27_2Q09" localSheetId="10">Tags!$BA$600</definedName>
    <definedName name="ITEM27_2Q09">Tags_ols!$BA$600</definedName>
    <definedName name="ITEM27_2Q10" localSheetId="10">Tags!$BF$600</definedName>
    <definedName name="ITEM27_2Q10">Tags_ols!$BF$600</definedName>
    <definedName name="ITEM27_2Q11" localSheetId="10">Tags!$BK$600</definedName>
    <definedName name="ITEM27_2Q11">Tags_ols!$BK$600</definedName>
    <definedName name="ITEM27_2Q12" localSheetId="10">Tags!$BP$600</definedName>
    <definedName name="ITEM27_2Q12">Tags_ols!$BP$600</definedName>
    <definedName name="ITEM27_2Q13" localSheetId="10">Tags!$BU$600</definedName>
    <definedName name="ITEM27_2Q13">Tags_ols!$BU$600</definedName>
    <definedName name="ITEM27_2Q14" localSheetId="10">Tags!$BZ$600</definedName>
    <definedName name="ITEM27_2Q14">Tags_ols!$BZ$600</definedName>
    <definedName name="ITEM27_2Q15" localSheetId="10">Tags!$CE$600</definedName>
    <definedName name="ITEM27_2Q15">Tags_ols!$CE$600</definedName>
    <definedName name="ITEM27_2Q16" localSheetId="10">Tags!$CJ$600</definedName>
    <definedName name="ITEM27_2Q16">Tags_ols!$CJ$600</definedName>
    <definedName name="ITEM27_2Q17" localSheetId="10">Tags!$CO$600</definedName>
    <definedName name="ITEM27_2Q17">Tags_ols!$CO$600</definedName>
    <definedName name="ITEM27_2Q18" localSheetId="10">Tags!$CT$600</definedName>
    <definedName name="ITEM27_2Q18">Tags_ols!$CT$600</definedName>
    <definedName name="ITEM27_2Q19" localSheetId="10">Tags!$CY$600</definedName>
    <definedName name="ITEM27_2Q19">Tags_ols!$CY$600</definedName>
    <definedName name="ITEM27_2Q20" localSheetId="10">Tags!$DD$600</definedName>
    <definedName name="ITEM27_2Q20">Tags_ols!$DD$600</definedName>
    <definedName name="ITEM27_2Q21">Tags!$DI$600</definedName>
    <definedName name="ITEM27_2Q22">Tags!$DN$600</definedName>
    <definedName name="ITEM27_2Q23">Tags!$DS$600</definedName>
    <definedName name="ITEM27_2Q24">Tags!$DX$600</definedName>
    <definedName name="ITEM27_3Q00" localSheetId="10">Tags!$I$600</definedName>
    <definedName name="ITEM27_3Q00">Tags_ols!$I$600</definedName>
    <definedName name="ITEM27_3Q01" localSheetId="10">Tags!$N$600</definedName>
    <definedName name="ITEM27_3Q01">Tags_ols!$N$600</definedName>
    <definedName name="ITEM27_3Q02" localSheetId="10">Tags!$S$600</definedName>
    <definedName name="ITEM27_3Q02">Tags_ols!$S$600</definedName>
    <definedName name="ITEM27_3Q03" localSheetId="10">Tags!$X$600</definedName>
    <definedName name="ITEM27_3Q03">Tags_ols!$X$600</definedName>
    <definedName name="ITEM27_3Q04" localSheetId="10">Tags!$AC$600</definedName>
    <definedName name="ITEM27_3Q04">Tags_ols!$AC$600</definedName>
    <definedName name="ITEM27_3Q05" localSheetId="10">Tags!$AH$600</definedName>
    <definedName name="ITEM27_3Q05">Tags_ols!$AH$600</definedName>
    <definedName name="ITEM27_3Q06" localSheetId="10">Tags!$AM$600</definedName>
    <definedName name="ITEM27_3Q06">Tags_ols!$AM$600</definedName>
    <definedName name="ITEM27_3Q07" localSheetId="10">Tags!$AR$600</definedName>
    <definedName name="ITEM27_3Q07">Tags_ols!$AR$600</definedName>
    <definedName name="ITEM27_3Q08" localSheetId="10">Tags!$AW$600</definedName>
    <definedName name="ITEM27_3Q08">Tags_ols!$AW$600</definedName>
    <definedName name="ITEM27_3Q09" localSheetId="10">Tags!$BB$600</definedName>
    <definedName name="ITEM27_3Q09">Tags_ols!$BB$600</definedName>
    <definedName name="ITEM27_3Q10" localSheetId="10">Tags!$BG$600</definedName>
    <definedName name="ITEM27_3Q10">Tags_ols!$BG$600</definedName>
    <definedName name="ITEM27_3Q11" localSheetId="10">Tags!$BL$600</definedName>
    <definedName name="ITEM27_3Q11">Tags_ols!$BL$600</definedName>
    <definedName name="ITEM27_3Q12" localSheetId="10">Tags!$BQ$600</definedName>
    <definedName name="ITEM27_3Q12">Tags_ols!$BQ$600</definedName>
    <definedName name="ITEM27_3Q13" localSheetId="10">Tags!$BV$600</definedName>
    <definedName name="ITEM27_3Q13">Tags_ols!$BV$600</definedName>
    <definedName name="ITEM27_3Q14" localSheetId="10">Tags!$CA$600</definedName>
    <definedName name="ITEM27_3Q14">Tags_ols!$CA$600</definedName>
    <definedName name="ITEM27_3Q15" localSheetId="10">Tags!$CF$600</definedName>
    <definedName name="ITEM27_3Q15">Tags_ols!$CF$600</definedName>
    <definedName name="ITEM27_3Q16" localSheetId="10">Tags!$CK$600</definedName>
    <definedName name="ITEM27_3Q16">Tags_ols!$CK$600</definedName>
    <definedName name="ITEM27_3Q17" localSheetId="10">Tags!$CP$600</definedName>
    <definedName name="ITEM27_3Q17">Tags_ols!$CP$600</definedName>
    <definedName name="ITEM27_3Q18" localSheetId="10">Tags!$CU$600</definedName>
    <definedName name="ITEM27_3Q18">Tags_ols!$CU$600</definedName>
    <definedName name="ITEM27_3Q19" localSheetId="10">Tags!$CZ$600</definedName>
    <definedName name="ITEM27_3Q19">Tags_ols!$CZ$600</definedName>
    <definedName name="ITEM27_3Q20" localSheetId="10">Tags!$DE$600</definedName>
    <definedName name="ITEM27_3Q20">Tags_ols!$DE$600</definedName>
    <definedName name="ITEM27_3Q21">Tags!$DJ$600</definedName>
    <definedName name="ITEM27_3Q22">Tags!$DO$600</definedName>
    <definedName name="ITEM27_3Q23">Tags!$DT$600</definedName>
    <definedName name="ITEM27_3Q24">Tags!$DY$600</definedName>
    <definedName name="ITEM27_4Q00" localSheetId="10">Tags!$J$600</definedName>
    <definedName name="ITEM27_4Q00">Tags_ols!$J$600</definedName>
    <definedName name="ITEM27_4Q01" localSheetId="10">Tags!$O$600</definedName>
    <definedName name="ITEM27_4Q01">Tags_ols!$O$600</definedName>
    <definedName name="ITEM27_4Q02" localSheetId="10">Tags!$T$600</definedName>
    <definedName name="ITEM27_4Q02">Tags_ols!$T$600</definedName>
    <definedName name="ITEM27_4Q03" localSheetId="10">Tags!$Y$600</definedName>
    <definedName name="ITEM27_4Q03">Tags_ols!$Y$600</definedName>
    <definedName name="ITEM27_4Q04" localSheetId="10">Tags!$AD$600</definedName>
    <definedName name="ITEM27_4Q04">Tags_ols!$AD$600</definedName>
    <definedName name="ITEM27_4Q05" localSheetId="10">Tags!$AI$600</definedName>
    <definedName name="ITEM27_4Q05">Tags_ols!$AI$600</definedName>
    <definedName name="ITEM27_4Q06" localSheetId="10">Tags!$AN$600</definedName>
    <definedName name="ITEM27_4Q06">Tags_ols!$AN$600</definedName>
    <definedName name="ITEM27_4Q07" localSheetId="10">Tags!$AS$600</definedName>
    <definedName name="ITEM27_4Q07">Tags_ols!$AS$600</definedName>
    <definedName name="ITEM27_4Q08" localSheetId="10">Tags!$AX$600</definedName>
    <definedName name="ITEM27_4Q08">Tags_ols!$AX$600</definedName>
    <definedName name="ITEM27_4Q09" localSheetId="10">Tags!$BC$600</definedName>
    <definedName name="ITEM27_4Q09">Tags_ols!$BC$600</definedName>
    <definedName name="ITEM27_4Q10" localSheetId="10">Tags!$BH$600</definedName>
    <definedName name="ITEM27_4Q10">Tags_ols!$BH$600</definedName>
    <definedName name="ITEM27_4Q11" localSheetId="10">Tags!$BM$600</definedName>
    <definedName name="ITEM27_4Q11">Tags_ols!$BM$600</definedName>
    <definedName name="ITEM27_4Q12" localSheetId="10">Tags!$BR$600</definedName>
    <definedName name="ITEM27_4Q12">Tags_ols!$BR$600</definedName>
    <definedName name="ITEM27_4Q13" localSheetId="10">Tags!$BW$600</definedName>
    <definedName name="ITEM27_4Q13">Tags_ols!$BW$600</definedName>
    <definedName name="ITEM27_4Q14" localSheetId="10">Tags!$CB$600</definedName>
    <definedName name="ITEM27_4Q14">Tags_ols!$CB$600</definedName>
    <definedName name="ITEM27_4Q15" localSheetId="10">Tags!$CG$600</definedName>
    <definedName name="ITEM27_4Q15">Tags_ols!$CG$600</definedName>
    <definedName name="ITEM27_4Q16" localSheetId="10">Tags!$CL$600</definedName>
    <definedName name="ITEM27_4Q16">Tags_ols!$CL$600</definedName>
    <definedName name="ITEM27_4Q17" localSheetId="10">Tags!$CQ$600</definedName>
    <definedName name="ITEM27_4Q17">Tags_ols!$CQ$600</definedName>
    <definedName name="ITEM27_4Q18" localSheetId="10">Tags!$CV$600</definedName>
    <definedName name="ITEM27_4Q18">Tags_ols!$CV$600</definedName>
    <definedName name="ITEM27_4Q19" localSheetId="10">Tags!$DA$600</definedName>
    <definedName name="ITEM27_4Q19">Tags_ols!$DA$600</definedName>
    <definedName name="ITEM27_4Q20" localSheetId="10">Tags!$DF$600</definedName>
    <definedName name="ITEM27_4Q20">Tags_ols!$DF$600</definedName>
    <definedName name="ITEM27_4Q21">Tags!$DK$600</definedName>
    <definedName name="ITEM27_4Q22">Tags!$DP$600</definedName>
    <definedName name="ITEM27_4Q23">Tags!$DU$600</definedName>
    <definedName name="ITEM27_4Q24">Tags!$DZ$600</definedName>
    <definedName name="ITEM28_1995">Tags_ols!$B$601</definedName>
    <definedName name="ITEM28_1996">Tags_ols!$C$601</definedName>
    <definedName name="ITEM28_1997">Tags_ols!$D$601</definedName>
    <definedName name="ITEM28_1998">Tags_ols!$E$601</definedName>
    <definedName name="ITEM28_1999">Tags_ols!$F$601</definedName>
    <definedName name="ITEM28_1Q00" localSheetId="10">Tags!$G$601</definedName>
    <definedName name="ITEM28_1Q00">Tags_ols!$G$601</definedName>
    <definedName name="ITEM28_1Q01" localSheetId="10">Tags!$L$601</definedName>
    <definedName name="ITEM28_1Q01">Tags_ols!$L$601</definedName>
    <definedName name="ITEM28_1Q02" localSheetId="10">Tags!$Q$601</definedName>
    <definedName name="ITEM28_1Q02">Tags_ols!$Q$601</definedName>
    <definedName name="ITEM28_1Q03" localSheetId="10">Tags!$V$601</definedName>
    <definedName name="ITEM28_1Q03">Tags_ols!$V$601</definedName>
    <definedName name="ITEM28_1Q04" localSheetId="10">Tags!$AA$601</definedName>
    <definedName name="ITEM28_1Q04">Tags_ols!$AA$601</definedName>
    <definedName name="ITEM28_1Q05" localSheetId="10">Tags!$AF$601</definedName>
    <definedName name="ITEM28_1Q05">Tags_ols!$AF$601</definedName>
    <definedName name="ITEM28_1Q06" localSheetId="10">Tags!$AK$601</definedName>
    <definedName name="ITEM28_1Q06">Tags_ols!$AK$601</definedName>
    <definedName name="ITEM28_1Q07" localSheetId="10">Tags!$AP$601</definedName>
    <definedName name="ITEM28_1Q07">Tags_ols!$AP$601</definedName>
    <definedName name="ITEM28_1Q08" localSheetId="10">Tags!$AU$601</definedName>
    <definedName name="ITEM28_1Q08">Tags_ols!$AU$601</definedName>
    <definedName name="ITEM28_1Q09" localSheetId="10">Tags!$AZ$601</definedName>
    <definedName name="ITEM28_1Q09">Tags_ols!$AZ$601</definedName>
    <definedName name="ITEM28_1Q10" localSheetId="10">Tags!$BE$601</definedName>
    <definedName name="ITEM28_1Q10">Tags_ols!$BE$601</definedName>
    <definedName name="ITEM28_1Q11" localSheetId="10">Tags!$BJ$601</definedName>
    <definedName name="ITEM28_1Q11">Tags_ols!$BJ$601</definedName>
    <definedName name="ITEM28_1Q12" localSheetId="10">Tags!$BO$601</definedName>
    <definedName name="ITEM28_1Q12">Tags_ols!$BO$601</definedName>
    <definedName name="ITEM28_1Q13" localSheetId="10">Tags!$BT$601</definedName>
    <definedName name="ITEM28_1Q13">Tags_ols!$BT$601</definedName>
    <definedName name="ITEM28_1Q14" localSheetId="10">Tags!$BY$601</definedName>
    <definedName name="ITEM28_1Q14">Tags_ols!$BY$601</definedName>
    <definedName name="ITEM28_1Q15" localSheetId="10">Tags!$CD$601</definedName>
    <definedName name="ITEM28_1Q15">Tags_ols!$CD$601</definedName>
    <definedName name="ITEM28_1Q16" localSheetId="10">Tags!$CI$601</definedName>
    <definedName name="ITEM28_1Q16">Tags_ols!$CI$601</definedName>
    <definedName name="ITEM28_1Q17" localSheetId="10">Tags!$CN$601</definedName>
    <definedName name="ITEM28_1Q17">Tags_ols!$CN$601</definedName>
    <definedName name="ITEM28_1Q18" localSheetId="10">Tags!$CS$601</definedName>
    <definedName name="ITEM28_1Q18">Tags_ols!$CS$601</definedName>
    <definedName name="ITEM28_1Q19" localSheetId="10">Tags!$CX$601</definedName>
    <definedName name="ITEM28_1Q19">Tags_ols!$CX$601</definedName>
    <definedName name="ITEM28_1Q20" localSheetId="10">Tags!$DC$601</definedName>
    <definedName name="ITEM28_1Q20">Tags_ols!$DC$601</definedName>
    <definedName name="ITEM28_1Q21">Tags!$DH$601</definedName>
    <definedName name="ITEM28_1Q22">Tags!$DM$601</definedName>
    <definedName name="ITEM28_1Q23">Tags!$DR$601</definedName>
    <definedName name="ITEM28_1Q24">Tags!$DW$601</definedName>
    <definedName name="ITEM28_2000" localSheetId="10">Tags!$K$601</definedName>
    <definedName name="ITEM28_2000">Tags_ols!$K$601</definedName>
    <definedName name="ITEM28_2001" localSheetId="10">Tags!$P$601</definedName>
    <definedName name="ITEM28_2001">Tags_ols!$P$601</definedName>
    <definedName name="ITEM28_2002" localSheetId="10">Tags!$U$601</definedName>
    <definedName name="ITEM28_2002">Tags_ols!$U$601</definedName>
    <definedName name="ITEM28_2003" localSheetId="10">Tags!$Z$601</definedName>
    <definedName name="ITEM28_2003">Tags_ols!$Z$601</definedName>
    <definedName name="ITEM28_2004" localSheetId="10">Tags!$AE$601</definedName>
    <definedName name="ITEM28_2004">Tags_ols!$AE$601</definedName>
    <definedName name="ITEM28_2005" localSheetId="10">Tags!$AJ$601</definedName>
    <definedName name="ITEM28_2005">Tags_ols!$AJ$601</definedName>
    <definedName name="ITEM28_2006" localSheetId="10">Tags!$AO$601</definedName>
    <definedName name="ITEM28_2006">Tags_ols!$AO$601</definedName>
    <definedName name="ITEM28_2007" localSheetId="10">Tags!$AT$601</definedName>
    <definedName name="ITEM28_2007">Tags_ols!$AT$601</definedName>
    <definedName name="ITEM28_2008" localSheetId="10">Tags!$AY$601</definedName>
    <definedName name="ITEM28_2008">Tags_ols!$AY$601</definedName>
    <definedName name="ITEM28_2009" localSheetId="10">Tags!$BD$601</definedName>
    <definedName name="ITEM28_2009">Tags_ols!$BD$601</definedName>
    <definedName name="ITEM28_2010" localSheetId="10">Tags!$BI$601</definedName>
    <definedName name="ITEM28_2010">Tags_ols!$BI$601</definedName>
    <definedName name="ITEM28_2011" localSheetId="10">Tags!$BN$601</definedName>
    <definedName name="ITEM28_2011">Tags_ols!$BN$601</definedName>
    <definedName name="ITEM28_2012" localSheetId="10">Tags!$BS$601</definedName>
    <definedName name="ITEM28_2012">Tags_ols!$BS$601</definedName>
    <definedName name="ITEM28_2013" localSheetId="10">Tags!$BX$601</definedName>
    <definedName name="ITEM28_2013">Tags_ols!$BX$601</definedName>
    <definedName name="ITEM28_2014" localSheetId="10">Tags!$CC$601</definedName>
    <definedName name="ITEM28_2014">Tags_ols!$CC$601</definedName>
    <definedName name="ITEM28_2015" localSheetId="10">Tags!#REF!</definedName>
    <definedName name="ITEM28_2015">Tags!$CH$601</definedName>
    <definedName name="ITEM28_2016" localSheetId="10">Tags!$CM$601</definedName>
    <definedName name="ITEM28_2016">Tags_ols!$CM$601</definedName>
    <definedName name="ITEM28_2017" localSheetId="10">Tags!$CR$601</definedName>
    <definedName name="ITEM28_2017">Tags_ols!$CR$601</definedName>
    <definedName name="ITEM28_2018" localSheetId="10">Tags!$CW$601</definedName>
    <definedName name="ITEM28_2018">Tags_ols!$CW$601</definedName>
    <definedName name="ITEM28_2019" localSheetId="10">Tags!$DB$601</definedName>
    <definedName name="ITEM28_2019">Tags_ols!$DB$601</definedName>
    <definedName name="ITEM28_2020" localSheetId="10">Tags!$DG$601</definedName>
    <definedName name="ITEM28_2020">Tags_ols!$DG$601</definedName>
    <definedName name="ITEM28_2021">Tags!$DL$601</definedName>
    <definedName name="ITEM28_2022">Tags!$DQ$601</definedName>
    <definedName name="ITEM28_2023">Tags!$DV$601</definedName>
    <definedName name="ITEM28_2024">Tags!$EA$601</definedName>
    <definedName name="ITEM28_2Q00" localSheetId="10">Tags!$H$601</definedName>
    <definedName name="ITEM28_2Q00">Tags_ols!$H$601</definedName>
    <definedName name="ITEM28_2Q01" localSheetId="10">Tags!$M$601</definedName>
    <definedName name="ITEM28_2Q01">Tags_ols!$M$601</definedName>
    <definedName name="ITEM28_2Q02" localSheetId="10">Tags!$R$601</definedName>
    <definedName name="ITEM28_2Q02">Tags_ols!$R$601</definedName>
    <definedName name="ITEM28_2Q03" localSheetId="10">Tags!$W$601</definedName>
    <definedName name="ITEM28_2Q03">Tags_ols!$W$601</definedName>
    <definedName name="ITEM28_2Q04" localSheetId="10">Tags!$AB$601</definedName>
    <definedName name="ITEM28_2Q04">Tags_ols!$AB$601</definedName>
    <definedName name="ITEM28_2Q05" localSheetId="10">Tags!$AG$601</definedName>
    <definedName name="ITEM28_2Q05">Tags_ols!$AG$601</definedName>
    <definedName name="ITEM28_2Q06" localSheetId="10">Tags!$AL$601</definedName>
    <definedName name="ITEM28_2Q06">Tags_ols!$AL$601</definedName>
    <definedName name="ITEM28_2Q07" localSheetId="10">Tags!$AQ$601</definedName>
    <definedName name="ITEM28_2Q07">Tags_ols!$AQ$601</definedName>
    <definedName name="ITEM28_2Q08" localSheetId="10">Tags!$AV$601</definedName>
    <definedName name="ITEM28_2Q08">Tags_ols!$AV$601</definedName>
    <definedName name="ITEM28_2Q09" localSheetId="10">Tags!$BA$601</definedName>
    <definedName name="ITEM28_2Q09">Tags_ols!$BA$601</definedName>
    <definedName name="ITEM28_2Q10" localSheetId="10">Tags!$BF$601</definedName>
    <definedName name="ITEM28_2Q10">Tags_ols!$BF$601</definedName>
    <definedName name="ITEM28_2Q11" localSheetId="10">Tags!$BK$601</definedName>
    <definedName name="ITEM28_2Q11">Tags_ols!$BK$601</definedName>
    <definedName name="ITEM28_2Q12" localSheetId="10">Tags!$BP$601</definedName>
    <definedName name="ITEM28_2Q12">Tags_ols!$BP$601</definedName>
    <definedName name="ITEM28_2Q13" localSheetId="10">Tags!$BU$601</definedName>
    <definedName name="ITEM28_2Q13">Tags_ols!$BU$601</definedName>
    <definedName name="ITEM28_2Q14" localSheetId="10">Tags!$BZ$601</definedName>
    <definedName name="ITEM28_2Q14">Tags_ols!$BZ$601</definedName>
    <definedName name="ITEM28_2Q15" localSheetId="10">Tags!$CE$601</definedName>
    <definedName name="ITEM28_2Q15">Tags_ols!$CE$601</definedName>
    <definedName name="ITEM28_2Q16" localSheetId="10">Tags!$CJ$601</definedName>
    <definedName name="ITEM28_2Q16">Tags_ols!$CJ$601</definedName>
    <definedName name="ITEM28_2Q17" localSheetId="10">Tags!$CO$601</definedName>
    <definedName name="ITEM28_2Q17">Tags_ols!$CO$601</definedName>
    <definedName name="ITEM28_2Q18" localSheetId="10">Tags!$CT$601</definedName>
    <definedName name="ITEM28_2Q18">Tags_ols!$CT$601</definedName>
    <definedName name="ITEM28_2Q19" localSheetId="10">Tags!$CY$601</definedName>
    <definedName name="ITEM28_2Q19">Tags_ols!$CY$601</definedName>
    <definedName name="ITEM28_2Q20" localSheetId="10">Tags!$DD$601</definedName>
    <definedName name="ITEM28_2Q20">Tags_ols!$DD$601</definedName>
    <definedName name="ITEM28_2Q21">Tags!$DI$601</definedName>
    <definedName name="ITEM28_2Q22">Tags!$DN$601</definedName>
    <definedName name="ITEM28_2Q23">Tags!$DS$601</definedName>
    <definedName name="ITEM28_2Q24">Tags!$DX$601</definedName>
    <definedName name="ITEM28_3Q00" localSheetId="10">Tags!$I$601</definedName>
    <definedName name="ITEM28_3Q00">Tags_ols!$I$601</definedName>
    <definedName name="ITEM28_3Q01" localSheetId="10">Tags!$N$601</definedName>
    <definedName name="ITEM28_3Q01">Tags_ols!$N$601</definedName>
    <definedName name="ITEM28_3Q02" localSheetId="10">Tags!$S$601</definedName>
    <definedName name="ITEM28_3Q02">Tags_ols!$S$601</definedName>
    <definedName name="ITEM28_3Q03" localSheetId="10">Tags!$X$601</definedName>
    <definedName name="ITEM28_3Q03">Tags_ols!$X$601</definedName>
    <definedName name="ITEM28_3Q04" localSheetId="10">Tags!$AC$601</definedName>
    <definedName name="ITEM28_3Q04">Tags_ols!$AC$601</definedName>
    <definedName name="ITEM28_3Q05" localSheetId="10">Tags!$AH$601</definedName>
    <definedName name="ITEM28_3Q05">Tags_ols!$AH$601</definedName>
    <definedName name="ITEM28_3Q06" localSheetId="10">Tags!$AM$601</definedName>
    <definedName name="ITEM28_3Q06">Tags_ols!$AM$601</definedName>
    <definedName name="ITEM28_3Q07" localSheetId="10">Tags!$AR$601</definedName>
    <definedName name="ITEM28_3Q07">Tags_ols!$AR$601</definedName>
    <definedName name="ITEM28_3Q08" localSheetId="10">Tags!$AW$601</definedName>
    <definedName name="ITEM28_3Q08">Tags_ols!$AW$601</definedName>
    <definedName name="ITEM28_3Q09" localSheetId="10">Tags!$BB$601</definedName>
    <definedName name="ITEM28_3Q09">Tags_ols!$BB$601</definedName>
    <definedName name="ITEM28_3Q10" localSheetId="10">Tags!$BG$601</definedName>
    <definedName name="ITEM28_3Q10">Tags_ols!$BG$601</definedName>
    <definedName name="ITEM28_3Q11" localSheetId="10">Tags!$BL$601</definedName>
    <definedName name="ITEM28_3Q11">Tags_ols!$BL$601</definedName>
    <definedName name="ITEM28_3Q12" localSheetId="10">Tags!$BQ$601</definedName>
    <definedName name="ITEM28_3Q12">Tags_ols!$BQ$601</definedName>
    <definedName name="ITEM28_3Q13" localSheetId="10">Tags!$BV$601</definedName>
    <definedName name="ITEM28_3Q13">Tags_ols!$BV$601</definedName>
    <definedName name="ITEM28_3Q14" localSheetId="10">Tags!$CA$601</definedName>
    <definedName name="ITEM28_3Q14">Tags_ols!$CA$601</definedName>
    <definedName name="ITEM28_3Q15" localSheetId="10">Tags!$CF$601</definedName>
    <definedName name="ITEM28_3Q15">Tags_ols!$CF$601</definedName>
    <definedName name="ITEM28_3Q16" localSheetId="10">Tags!$CK$601</definedName>
    <definedName name="ITEM28_3Q16">Tags_ols!$CK$601</definedName>
    <definedName name="ITEM28_3Q17" localSheetId="10">Tags!$CP$601</definedName>
    <definedName name="ITEM28_3Q17">Tags_ols!$CP$601</definedName>
    <definedName name="ITEM28_3Q18" localSheetId="10">Tags!$CU$601</definedName>
    <definedName name="ITEM28_3Q18">Tags_ols!$CU$601</definedName>
    <definedName name="ITEM28_3Q19" localSheetId="10">Tags!$CZ$601</definedName>
    <definedName name="ITEM28_3Q19">Tags_ols!$CZ$601</definedName>
    <definedName name="ITEM28_3Q20" localSheetId="10">Tags!$DE$601</definedName>
    <definedName name="ITEM28_3Q20">Tags_ols!$DE$601</definedName>
    <definedName name="ITEM28_3Q21">Tags!$DJ$601</definedName>
    <definedName name="ITEM28_3Q22">Tags!$DO$601</definedName>
    <definedName name="ITEM28_3Q23">Tags!$DT$601</definedName>
    <definedName name="ITEM28_3Q24">Tags!$DY$601</definedName>
    <definedName name="ITEM28_4Q00" localSheetId="10">Tags!$J$601</definedName>
    <definedName name="ITEM28_4Q00">Tags_ols!$J$601</definedName>
    <definedName name="ITEM28_4Q01" localSheetId="10">Tags!$O$601</definedName>
    <definedName name="ITEM28_4Q01">Tags_ols!$O$601</definedName>
    <definedName name="ITEM28_4Q02" localSheetId="10">Tags!$T$601</definedName>
    <definedName name="ITEM28_4Q02">Tags_ols!$T$601</definedName>
    <definedName name="ITEM28_4Q03" localSheetId="10">Tags!$Y$601</definedName>
    <definedName name="ITEM28_4Q03">Tags_ols!$Y$601</definedName>
    <definedName name="ITEM28_4Q04" localSheetId="10">Tags!$AD$601</definedName>
    <definedName name="ITEM28_4Q04">Tags_ols!$AD$601</definedName>
    <definedName name="ITEM28_4Q05" localSheetId="10">Tags!$AI$601</definedName>
    <definedName name="ITEM28_4Q05">Tags_ols!$AI$601</definedName>
    <definedName name="ITEM28_4Q06" localSheetId="10">Tags!$AN$601</definedName>
    <definedName name="ITEM28_4Q06">Tags_ols!$AN$601</definedName>
    <definedName name="ITEM28_4Q07" localSheetId="10">Tags!$AS$601</definedName>
    <definedName name="ITEM28_4Q07">Tags_ols!$AS$601</definedName>
    <definedName name="ITEM28_4Q08" localSheetId="10">Tags!$AX$601</definedName>
    <definedName name="ITEM28_4Q08">Tags_ols!$AX$601</definedName>
    <definedName name="ITEM28_4Q09" localSheetId="10">Tags!$BC$601</definedName>
    <definedName name="ITEM28_4Q09">Tags_ols!$BC$601</definedName>
    <definedName name="ITEM28_4Q10" localSheetId="10">Tags!$BH$601</definedName>
    <definedName name="ITEM28_4Q10">Tags_ols!$BH$601</definedName>
    <definedName name="ITEM28_4Q11" localSheetId="10">Tags!$BM$601</definedName>
    <definedName name="ITEM28_4Q11">Tags_ols!$BM$601</definedName>
    <definedName name="ITEM28_4Q12" localSheetId="10">Tags!$BR$601</definedName>
    <definedName name="ITEM28_4Q12">Tags_ols!$BR$601</definedName>
    <definedName name="ITEM28_4Q13" localSheetId="10">Tags!$BW$601</definedName>
    <definedName name="ITEM28_4Q13">Tags_ols!$BW$601</definedName>
    <definedName name="ITEM28_4Q14" localSheetId="10">Tags!$CB$601</definedName>
    <definedName name="ITEM28_4Q14">Tags_ols!$CB$601</definedName>
    <definedName name="ITEM28_4Q15" localSheetId="10">Tags!$CG$601</definedName>
    <definedName name="ITEM28_4Q15">Tags_ols!$CG$601</definedName>
    <definedName name="ITEM28_4Q16" localSheetId="10">Tags!$CL$601</definedName>
    <definedName name="ITEM28_4Q16">Tags_ols!$CL$601</definedName>
    <definedName name="ITEM28_4Q17" localSheetId="10">Tags!$CQ$601</definedName>
    <definedName name="ITEM28_4Q17">Tags_ols!$CQ$601</definedName>
    <definedName name="ITEM28_4Q18" localSheetId="10">Tags!$CV$601</definedName>
    <definedName name="ITEM28_4Q18">Tags_ols!$CV$601</definedName>
    <definedName name="ITEM28_4Q19" localSheetId="10">Tags!$DA$601</definedName>
    <definedName name="ITEM28_4Q19">Tags_ols!$DA$601</definedName>
    <definedName name="ITEM28_4Q20" localSheetId="10">Tags!$DF$601</definedName>
    <definedName name="ITEM28_4Q20">Tags_ols!$DF$601</definedName>
    <definedName name="ITEM28_4Q21">Tags!$DK$601</definedName>
    <definedName name="ITEM28_4Q22">Tags!$DP$601</definedName>
    <definedName name="ITEM28_4Q23">Tags!$DU$601</definedName>
    <definedName name="ITEM28_4Q24">Tags!$DZ$601</definedName>
    <definedName name="ITEM29_1995">Tags_ols!$B$602</definedName>
    <definedName name="ITEM29_1996">Tags_ols!$C$602</definedName>
    <definedName name="ITEM29_1997">Tags_ols!$D$602</definedName>
    <definedName name="ITEM29_1998">Tags_ols!$E$602</definedName>
    <definedName name="ITEM29_1999">Tags_ols!$F$602</definedName>
    <definedName name="ITEM29_1Q00" localSheetId="10">Tags!$G$602</definedName>
    <definedName name="ITEM29_1Q00">Tags_ols!$G$602</definedName>
    <definedName name="ITEM29_1Q01" localSheetId="10">Tags!$L$602</definedName>
    <definedName name="ITEM29_1Q01">Tags_ols!$L$602</definedName>
    <definedName name="ITEM29_1Q02" localSheetId="10">Tags!$Q$602</definedName>
    <definedName name="ITEM29_1Q02">Tags_ols!$Q$602</definedName>
    <definedName name="ITEM29_1Q03" localSheetId="10">Tags!$V$602</definedName>
    <definedName name="ITEM29_1Q03">Tags_ols!$V$602</definedName>
    <definedName name="ITEM29_1Q04" localSheetId="10">Tags!$AA$602</definedName>
    <definedName name="ITEM29_1Q04">Tags_ols!$AA$602</definedName>
    <definedName name="ITEM29_1Q05" localSheetId="10">Tags!$AF$602</definedName>
    <definedName name="ITEM29_1Q05">Tags_ols!$AF$602</definedName>
    <definedName name="ITEM29_1Q06" localSheetId="10">Tags!$AK$602</definedName>
    <definedName name="ITEM29_1Q06">Tags_ols!$AK$602</definedName>
    <definedName name="ITEM29_1Q07" localSheetId="10">Tags!$AP$602</definedName>
    <definedName name="ITEM29_1Q07">Tags_ols!$AP$602</definedName>
    <definedName name="ITEM29_1Q08" localSheetId="10">Tags!$AU$602</definedName>
    <definedName name="ITEM29_1Q08">Tags_ols!$AU$602</definedName>
    <definedName name="ITEM29_1Q09" localSheetId="10">Tags!$AZ$602</definedName>
    <definedName name="ITEM29_1Q09">Tags_ols!$AZ$602</definedName>
    <definedName name="ITEM29_1Q10" localSheetId="10">Tags!$BE$602</definedName>
    <definedName name="ITEM29_1Q10">Tags_ols!$BE$602</definedName>
    <definedName name="ITEM29_1Q11" localSheetId="10">Tags!$BJ$602</definedName>
    <definedName name="ITEM29_1Q11">Tags_ols!$BJ$602</definedName>
    <definedName name="ITEM29_1Q12" localSheetId="10">Tags!$BO$602</definedName>
    <definedName name="ITEM29_1Q12">Tags_ols!$BO$602</definedName>
    <definedName name="ITEM29_1Q13" localSheetId="10">Tags!$BT$602</definedName>
    <definedName name="ITEM29_1Q13">Tags_ols!$BT$602</definedName>
    <definedName name="ITEM29_1Q14" localSheetId="10">Tags!$BY$602</definedName>
    <definedName name="ITEM29_1Q14">Tags_ols!$BY$602</definedName>
    <definedName name="ITEM29_1Q15" localSheetId="10">Tags!$CD$602</definedName>
    <definedName name="ITEM29_1Q15">Tags_ols!$CD$602</definedName>
    <definedName name="ITEM29_1Q16" localSheetId="10">Tags!$CI$602</definedName>
    <definedName name="ITEM29_1Q16">Tags_ols!$CI$602</definedName>
    <definedName name="ITEM29_1Q17" localSheetId="10">Tags!$CN$602</definedName>
    <definedName name="ITEM29_1Q17">Tags_ols!$CN$602</definedName>
    <definedName name="ITEM29_1Q18" localSheetId="10">Tags!$CS$602</definedName>
    <definedName name="ITEM29_1Q18">Tags_ols!$CS$602</definedName>
    <definedName name="ITEM29_1Q19" localSheetId="10">Tags!$CX$602</definedName>
    <definedName name="ITEM29_1Q19">Tags_ols!$CX$602</definedName>
    <definedName name="ITEM29_1Q20" localSheetId="10">Tags!$DC$602</definedName>
    <definedName name="ITEM29_1Q20">Tags_ols!$DC$602</definedName>
    <definedName name="ITEM29_1Q21">Tags!$DH$602</definedName>
    <definedName name="ITEM29_1Q22">Tags!$DM$602</definedName>
    <definedName name="ITEM29_1Q23">Tags!$DR$602</definedName>
    <definedName name="ITEM29_1Q24">Tags!$DW$602</definedName>
    <definedName name="ITEM29_2000" localSheetId="10">Tags!$K$602</definedName>
    <definedName name="ITEM29_2000">Tags_ols!$K$602</definedName>
    <definedName name="ITEM29_2001" localSheetId="10">Tags!$P$602</definedName>
    <definedName name="ITEM29_2001">Tags_ols!$P$602</definedName>
    <definedName name="ITEM29_2002" localSheetId="10">Tags!$U$602</definedName>
    <definedName name="ITEM29_2002">Tags_ols!$U$602</definedName>
    <definedName name="ITEM29_2003" localSheetId="10">Tags!$Z$602</definedName>
    <definedName name="ITEM29_2003">Tags_ols!$Z$602</definedName>
    <definedName name="ITEM29_2004" localSheetId="10">Tags!$AE$602</definedName>
    <definedName name="ITEM29_2004">Tags_ols!$AE$602</definedName>
    <definedName name="ITEM29_2005" localSheetId="10">Tags!$AJ$602</definedName>
    <definedName name="ITEM29_2005">Tags_ols!$AJ$602</definedName>
    <definedName name="ITEM29_2006" localSheetId="10">Tags!$AO$602</definedName>
    <definedName name="ITEM29_2006">Tags_ols!$AO$602</definedName>
    <definedName name="ITEM29_2007" localSheetId="10">Tags!$AT$602</definedName>
    <definedName name="ITEM29_2007">Tags_ols!$AT$602</definedName>
    <definedName name="ITEM29_2008" localSheetId="10">Tags!$AY$602</definedName>
    <definedName name="ITEM29_2008">Tags_ols!$AY$602</definedName>
    <definedName name="ITEM29_2009" localSheetId="10">Tags!$BD$602</definedName>
    <definedName name="ITEM29_2009">Tags_ols!$BD$602</definedName>
    <definedName name="ITEM29_2010" localSheetId="10">Tags!$BI$602</definedName>
    <definedName name="ITEM29_2010">Tags_ols!$BI$602</definedName>
    <definedName name="ITEM29_2011" localSheetId="10">Tags!$BN$602</definedName>
    <definedName name="ITEM29_2011">Tags_ols!$BN$602</definedName>
    <definedName name="ITEM29_2012" localSheetId="10">Tags!$BS$602</definedName>
    <definedName name="ITEM29_2012">Tags_ols!$BS$602</definedName>
    <definedName name="ITEM29_2013" localSheetId="10">Tags!$BX$602</definedName>
    <definedName name="ITEM29_2013">Tags_ols!$BX$602</definedName>
    <definedName name="ITEM29_2014" localSheetId="10">Tags!$CC$602</definedName>
    <definedName name="ITEM29_2014">Tags_ols!$CC$602</definedName>
    <definedName name="ITEM29_2015" localSheetId="10">Tags!#REF!</definedName>
    <definedName name="ITEM29_2015">Tags!$CH$602</definedName>
    <definedName name="ITEM29_2016" localSheetId="10">Tags!$CM$602</definedName>
    <definedName name="ITEM29_2016">Tags_ols!$CM$602</definedName>
    <definedName name="ITEM29_2017" localSheetId="10">Tags!$CR$602</definedName>
    <definedName name="ITEM29_2017">Tags_ols!$CR$602</definedName>
    <definedName name="ITEM29_2018" localSheetId="10">Tags!$CW$602</definedName>
    <definedName name="ITEM29_2018">Tags_ols!$CW$602</definedName>
    <definedName name="ITEM29_2019" localSheetId="10">Tags!$DB$602</definedName>
    <definedName name="ITEM29_2019">Tags_ols!$DB$602</definedName>
    <definedName name="ITEM29_2020" localSheetId="10">Tags!$DG$602</definedName>
    <definedName name="ITEM29_2020">Tags_ols!$DG$602</definedName>
    <definedName name="ITEM29_2021">Tags!$DL$602</definedName>
    <definedName name="ITEM29_2022">Tags!$DQ$602</definedName>
    <definedName name="ITEM29_2023">Tags!$DV$602</definedName>
    <definedName name="ITEM29_2024">Tags!$EA$602</definedName>
    <definedName name="ITEM29_2Q00" localSheetId="10">Tags!$H$602</definedName>
    <definedName name="ITEM29_2Q00">Tags_ols!$H$602</definedName>
    <definedName name="ITEM29_2Q01" localSheetId="10">Tags!$M$602</definedName>
    <definedName name="ITEM29_2Q01">Tags_ols!$M$602</definedName>
    <definedName name="ITEM29_2Q02" localSheetId="10">Tags!$R$602</definedName>
    <definedName name="ITEM29_2Q02">Tags_ols!$R$602</definedName>
    <definedName name="ITEM29_2Q03" localSheetId="10">Tags!$W$602</definedName>
    <definedName name="ITEM29_2Q03">Tags_ols!$W$602</definedName>
    <definedName name="ITEM29_2Q04" localSheetId="10">Tags!$AB$602</definedName>
    <definedName name="ITEM29_2Q04">Tags_ols!$AB$602</definedName>
    <definedName name="ITEM29_2Q05" localSheetId="10">Tags!$AG$602</definedName>
    <definedName name="ITEM29_2Q05">Tags_ols!$AG$602</definedName>
    <definedName name="ITEM29_2Q06" localSheetId="10">Tags!$AL$602</definedName>
    <definedName name="ITEM29_2Q06">Tags_ols!$AL$602</definedName>
    <definedName name="ITEM29_2Q07" localSheetId="10">Tags!$AQ$602</definedName>
    <definedName name="ITEM29_2Q07">Tags_ols!$AQ$602</definedName>
    <definedName name="ITEM29_2Q08" localSheetId="10">Tags!$AV$602</definedName>
    <definedName name="ITEM29_2Q08">Tags_ols!$AV$602</definedName>
    <definedName name="ITEM29_2Q09" localSheetId="10">Tags!$BA$602</definedName>
    <definedName name="ITEM29_2Q09">Tags_ols!$BA$602</definedName>
    <definedName name="ITEM29_2Q10" localSheetId="10">Tags!$BF$602</definedName>
    <definedName name="ITEM29_2Q10">Tags_ols!$BF$602</definedName>
    <definedName name="ITEM29_2Q11" localSheetId="10">Tags!$BK$602</definedName>
    <definedName name="ITEM29_2Q11">Tags_ols!$BK$602</definedName>
    <definedName name="ITEM29_2Q12" localSheetId="10">Tags!$BP$602</definedName>
    <definedName name="ITEM29_2Q12">Tags_ols!$BP$602</definedName>
    <definedName name="ITEM29_2Q13" localSheetId="10">Tags!$BU$602</definedName>
    <definedName name="ITEM29_2Q13">Tags_ols!$BU$602</definedName>
    <definedName name="ITEM29_2Q14" localSheetId="10">Tags!$BZ$602</definedName>
    <definedName name="ITEM29_2Q14">Tags_ols!$BZ$602</definedName>
    <definedName name="ITEM29_2Q15" localSheetId="10">Tags!$CE$602</definedName>
    <definedName name="ITEM29_2Q15">Tags_ols!$CE$602</definedName>
    <definedName name="ITEM29_2Q16" localSheetId="10">Tags!$CJ$602</definedName>
    <definedName name="ITEM29_2Q16">Tags_ols!$CJ$602</definedName>
    <definedName name="ITEM29_2Q17" localSheetId="10">Tags!$CO$602</definedName>
    <definedName name="ITEM29_2Q17">Tags_ols!$CO$602</definedName>
    <definedName name="ITEM29_2Q18" localSheetId="10">Tags!$CT$602</definedName>
    <definedName name="ITEM29_2Q18">Tags_ols!$CT$602</definedName>
    <definedName name="ITEM29_2Q19" localSheetId="10">Tags!$CY$602</definedName>
    <definedName name="ITEM29_2Q19">Tags_ols!$CY$602</definedName>
    <definedName name="ITEM29_2Q20" localSheetId="10">Tags!$DD$602</definedName>
    <definedName name="ITEM29_2Q20">Tags_ols!$DD$602</definedName>
    <definedName name="ITEM29_2Q21">Tags!$DI$602</definedName>
    <definedName name="ITEM29_2Q22">Tags!$DN$602</definedName>
    <definedName name="ITEM29_2Q23">Tags!$DS$602</definedName>
    <definedName name="ITEM29_2Q24">Tags!$DX$602</definedName>
    <definedName name="ITEM29_3Q00" localSheetId="10">Tags!$I$602</definedName>
    <definedName name="ITEM29_3Q00">Tags_ols!$I$602</definedName>
    <definedName name="ITEM29_3Q01" localSheetId="10">Tags!$N$602</definedName>
    <definedName name="ITEM29_3Q01">Tags_ols!$N$602</definedName>
    <definedName name="ITEM29_3Q02" localSheetId="10">Tags!$S$602</definedName>
    <definedName name="ITEM29_3Q02">Tags_ols!$S$602</definedName>
    <definedName name="ITEM29_3Q03" localSheetId="10">Tags!$X$602</definedName>
    <definedName name="ITEM29_3Q03">Tags_ols!$X$602</definedName>
    <definedName name="ITEM29_3Q04" localSheetId="10">Tags!$AC$602</definedName>
    <definedName name="ITEM29_3Q04">Tags_ols!$AC$602</definedName>
    <definedName name="ITEM29_3Q05" localSheetId="10">Tags!$AH$602</definedName>
    <definedName name="ITEM29_3Q05">Tags_ols!$AH$602</definedName>
    <definedName name="ITEM29_3Q06" localSheetId="10">Tags!$AM$602</definedName>
    <definedName name="ITEM29_3Q06">Tags_ols!$AM$602</definedName>
    <definedName name="ITEM29_3Q07" localSheetId="10">Tags!$AR$602</definedName>
    <definedName name="ITEM29_3Q07">Tags_ols!$AR$602</definedName>
    <definedName name="ITEM29_3Q08" localSheetId="10">Tags!$AW$602</definedName>
    <definedName name="ITEM29_3Q08">Tags_ols!$AW$602</definedName>
    <definedName name="ITEM29_3Q09" localSheetId="10">Tags!$BB$602</definedName>
    <definedName name="ITEM29_3Q09">Tags_ols!$BB$602</definedName>
    <definedName name="ITEM29_3Q10" localSheetId="10">Tags!$BG$602</definedName>
    <definedName name="ITEM29_3Q10">Tags_ols!$BG$602</definedName>
    <definedName name="ITEM29_3Q11" localSheetId="10">Tags!$BL$602</definedName>
    <definedName name="ITEM29_3Q11">Tags_ols!$BL$602</definedName>
    <definedName name="ITEM29_3Q12" localSheetId="10">Tags!$BQ$602</definedName>
    <definedName name="ITEM29_3Q12">Tags_ols!$BQ$602</definedName>
    <definedName name="ITEM29_3Q13" localSheetId="10">Tags!$BV$602</definedName>
    <definedName name="ITEM29_3Q13">Tags_ols!$BV$602</definedName>
    <definedName name="ITEM29_3Q14" localSheetId="10">Tags!$CA$602</definedName>
    <definedName name="ITEM29_3Q14">Tags_ols!$CA$602</definedName>
    <definedName name="ITEM29_3Q15" localSheetId="10">Tags!$CF$602</definedName>
    <definedName name="ITEM29_3Q15">Tags_ols!$CF$602</definedName>
    <definedName name="ITEM29_3Q16" localSheetId="10">Tags!$CK$602</definedName>
    <definedName name="ITEM29_3Q16">Tags_ols!$CK$602</definedName>
    <definedName name="ITEM29_3Q17" localSheetId="10">Tags!$CP$602</definedName>
    <definedName name="ITEM29_3Q17">Tags_ols!$CP$602</definedName>
    <definedName name="ITEM29_3Q18" localSheetId="10">Tags!$CU$602</definedName>
    <definedName name="ITEM29_3Q18">Tags_ols!$CU$602</definedName>
    <definedName name="ITEM29_3Q19" localSheetId="10">Tags!$CZ$602</definedName>
    <definedName name="ITEM29_3Q19">Tags_ols!$CZ$602</definedName>
    <definedName name="ITEM29_3Q20" localSheetId="10">Tags!$DE$602</definedName>
    <definedName name="ITEM29_3Q20">Tags_ols!$DE$602</definedName>
    <definedName name="ITEM29_3Q21">Tags!$DJ$602</definedName>
    <definedName name="ITEM29_3Q22">Tags!$DO$602</definedName>
    <definedName name="ITEM29_3Q23">Tags!$DT$602</definedName>
    <definedName name="ITEM29_3Q24">Tags!$DY$602</definedName>
    <definedName name="ITEM29_4Q00" localSheetId="10">Tags!$J$602</definedName>
    <definedName name="ITEM29_4Q00">Tags_ols!$J$602</definedName>
    <definedName name="ITEM29_4Q01" localSheetId="10">Tags!$O$602</definedName>
    <definedName name="ITEM29_4Q01">Tags_ols!$O$602</definedName>
    <definedName name="ITEM29_4Q02" localSheetId="10">Tags!$T$602</definedName>
    <definedName name="ITEM29_4Q02">Tags_ols!$T$602</definedName>
    <definedName name="ITEM29_4Q03" localSheetId="10">Tags!$Y$602</definedName>
    <definedName name="ITEM29_4Q03">Tags_ols!$Y$602</definedName>
    <definedName name="ITEM29_4Q04" localSheetId="10">Tags!$AD$602</definedName>
    <definedName name="ITEM29_4Q04">Tags_ols!$AD$602</definedName>
    <definedName name="ITEM29_4Q05" localSheetId="10">Tags!$AI$602</definedName>
    <definedName name="ITEM29_4Q05">Tags_ols!$AI$602</definedName>
    <definedName name="ITEM29_4Q06" localSheetId="10">Tags!$AN$602</definedName>
    <definedName name="ITEM29_4Q06">Tags_ols!$AN$602</definedName>
    <definedName name="ITEM29_4Q07" localSheetId="10">Tags!$AS$602</definedName>
    <definedName name="ITEM29_4Q07">Tags_ols!$AS$602</definedName>
    <definedName name="ITEM29_4Q08" localSheetId="10">Tags!$AX$602</definedName>
    <definedName name="ITEM29_4Q08">Tags_ols!$AX$602</definedName>
    <definedName name="ITEM29_4Q09" localSheetId="10">Tags!$BC$602</definedName>
    <definedName name="ITEM29_4Q09">Tags_ols!$BC$602</definedName>
    <definedName name="ITEM29_4Q10" localSheetId="10">Tags!$BH$602</definedName>
    <definedName name="ITEM29_4Q10">Tags_ols!$BH$602</definedName>
    <definedName name="ITEM29_4Q11" localSheetId="10">Tags!$BM$602</definedName>
    <definedName name="ITEM29_4Q11">Tags_ols!$BM$602</definedName>
    <definedName name="ITEM29_4Q12" localSheetId="10">Tags!$BR$602</definedName>
    <definedName name="ITEM29_4Q12">Tags_ols!$BR$602</definedName>
    <definedName name="ITEM29_4Q13" localSheetId="10">Tags!$BW$602</definedName>
    <definedName name="ITEM29_4Q13">Tags_ols!$BW$602</definedName>
    <definedName name="ITEM29_4Q14" localSheetId="10">Tags!$CB$602</definedName>
    <definedName name="ITEM29_4Q14">Tags_ols!$CB$602</definedName>
    <definedName name="ITEM29_4Q15" localSheetId="10">Tags!$CG$602</definedName>
    <definedName name="ITEM29_4Q15">Tags_ols!$CG$602</definedName>
    <definedName name="ITEM29_4Q16" localSheetId="10">Tags!$CL$602</definedName>
    <definedName name="ITEM29_4Q16">Tags_ols!$CL$602</definedName>
    <definedName name="ITEM29_4Q17" localSheetId="10">Tags!$CQ$602</definedName>
    <definedName name="ITEM29_4Q17">Tags_ols!$CQ$602</definedName>
    <definedName name="ITEM29_4Q18" localSheetId="10">Tags!$CV$602</definedName>
    <definedName name="ITEM29_4Q18">Tags_ols!$CV$602</definedName>
    <definedName name="ITEM29_4Q19" localSheetId="10">Tags!$DA$602</definedName>
    <definedName name="ITEM29_4Q19">Tags_ols!$DA$602</definedName>
    <definedName name="ITEM29_4Q20" localSheetId="10">Tags!$DF$602</definedName>
    <definedName name="ITEM29_4Q20">Tags_ols!$DF$602</definedName>
    <definedName name="ITEM29_4Q21">Tags!$DK$602</definedName>
    <definedName name="ITEM29_4Q22">Tags!$DP$602</definedName>
    <definedName name="ITEM29_4Q23">Tags!$DU$602</definedName>
    <definedName name="ITEM29_4Q24">Tags!$DZ$602</definedName>
    <definedName name="ITEM3_1995">Tags_ols!$B$576</definedName>
    <definedName name="ITEM3_1996">Tags_ols!$C$576</definedName>
    <definedName name="ITEM3_1997">Tags_ols!$D$576</definedName>
    <definedName name="ITEM3_1998">Tags_ols!$E$576</definedName>
    <definedName name="ITEM3_1999">Tags_ols!$F$576</definedName>
    <definedName name="ITEM3_1Q00" localSheetId="10">Tags!$G$576</definedName>
    <definedName name="ITEM3_1Q00">Tags_ols!$G$576</definedName>
    <definedName name="ITEM3_1Q01" localSheetId="10">Tags!$L$576</definedName>
    <definedName name="ITEM3_1Q01">Tags_ols!$L$576</definedName>
    <definedName name="ITEM3_1Q02" localSheetId="10">Tags!$Q$576</definedName>
    <definedName name="ITEM3_1Q02">Tags_ols!$Q$576</definedName>
    <definedName name="ITEM3_1Q03" localSheetId="10">Tags!$V$576</definedName>
    <definedName name="ITEM3_1Q03">Tags_ols!$V$576</definedName>
    <definedName name="ITEM3_1Q04" localSheetId="10">Tags!$AA$576</definedName>
    <definedName name="ITEM3_1Q04">Tags_ols!$AA$576</definedName>
    <definedName name="ITEM3_1Q05" localSheetId="10">Tags!$AF$576</definedName>
    <definedName name="ITEM3_1Q05">Tags_ols!$AF$576</definedName>
    <definedName name="ITEM3_1Q06" localSheetId="10">Tags!$AK$576</definedName>
    <definedName name="ITEM3_1Q06">Tags_ols!$AK$576</definedName>
    <definedName name="ITEM3_1Q07" localSheetId="10">Tags!$AP$576</definedName>
    <definedName name="ITEM3_1Q07">Tags_ols!$AP$576</definedName>
    <definedName name="ITEM3_1Q08" localSheetId="10">Tags!$AU$576</definedName>
    <definedName name="ITEM3_1Q08">Tags_ols!$AU$576</definedName>
    <definedName name="ITEM3_1Q09" localSheetId="10">Tags!$AZ$576</definedName>
    <definedName name="ITEM3_1Q09">Tags_ols!$AZ$576</definedName>
    <definedName name="ITEM3_1Q10" localSheetId="10">Tags!$BE$576</definedName>
    <definedName name="ITEM3_1Q10">Tags_ols!$BE$576</definedName>
    <definedName name="ITEM3_1Q11" localSheetId="10">Tags!$BJ$576</definedName>
    <definedName name="ITEM3_1Q11">Tags_ols!$BJ$576</definedName>
    <definedName name="ITEM3_1Q12" localSheetId="10">Tags!$BO$576</definedName>
    <definedName name="ITEM3_1Q12">Tags_ols!$BO$576</definedName>
    <definedName name="ITEM3_1Q13" localSheetId="10">Tags!$BT$576</definedName>
    <definedName name="ITEM3_1Q13">Tags_ols!$BT$576</definedName>
    <definedName name="ITEM3_1Q14" localSheetId="10">Tags!$BY$576</definedName>
    <definedName name="ITEM3_1Q14">Tags_ols!$BY$576</definedName>
    <definedName name="ITEM3_1Q15" localSheetId="10">Tags!$CD$576</definedName>
    <definedName name="ITEM3_1Q15">Tags_ols!$CD$576</definedName>
    <definedName name="ITEM3_1Q16" localSheetId="10">Tags!$CI$576</definedName>
    <definedName name="ITEM3_1Q16">Tags_ols!$CI$576</definedName>
    <definedName name="ITEM3_1Q17" localSheetId="10">Tags!$CN$576</definedName>
    <definedName name="ITEM3_1Q17">Tags_ols!$CN$576</definedName>
    <definedName name="ITEM3_1Q18" localSheetId="10">Tags!$CS$576</definedName>
    <definedName name="ITEM3_1Q18">Tags_ols!$CS$576</definedName>
    <definedName name="ITEM3_1Q19" localSheetId="10">Tags!$CX$576</definedName>
    <definedName name="ITEM3_1Q19">Tags_ols!$CX$576</definedName>
    <definedName name="ITEM3_1Q20" localSheetId="10">Tags!$DC$576</definedName>
    <definedName name="ITEM3_1Q20">Tags_ols!$DC$576</definedName>
    <definedName name="ITEM3_1Q21">Tags!$DH$576</definedName>
    <definedName name="ITEM3_1Q22">Tags!$DM$576</definedName>
    <definedName name="ITEM3_1Q23">Tags!$DR$576</definedName>
    <definedName name="ITEM3_1Q24">Tags!$DW$576</definedName>
    <definedName name="ITEM3_2000" localSheetId="10">Tags!$K$576</definedName>
    <definedName name="ITEM3_2000">Tags_ols!$K$576</definedName>
    <definedName name="ITEM3_2001" localSheetId="10">Tags!$P$576</definedName>
    <definedName name="ITEM3_2001">Tags_ols!$P$576</definedName>
    <definedName name="ITEM3_2002" localSheetId="10">Tags!$U$576</definedName>
    <definedName name="ITEM3_2002">Tags_ols!$U$576</definedName>
    <definedName name="ITEM3_2003" localSheetId="10">Tags!$Z$576</definedName>
    <definedName name="ITEM3_2003">Tags_ols!$Z$576</definedName>
    <definedName name="ITEM3_2004" localSheetId="10">Tags!$AE$576</definedName>
    <definedName name="ITEM3_2004">Tags_ols!$AE$576</definedName>
    <definedName name="ITEM3_2005" localSheetId="10">Tags!$AJ$576</definedName>
    <definedName name="ITEM3_2005">Tags_ols!$AJ$576</definedName>
    <definedName name="ITEM3_2006" localSheetId="10">Tags!$AO$576</definedName>
    <definedName name="ITEM3_2006">Tags_ols!$AO$576</definedName>
    <definedName name="ITEM3_2007" localSheetId="10">Tags!$AT$576</definedName>
    <definedName name="ITEM3_2007">Tags_ols!$AT$576</definedName>
    <definedName name="ITEM3_2008" localSheetId="10">Tags!$AY$576</definedName>
    <definedName name="ITEM3_2008">Tags_ols!$AY$576</definedName>
    <definedName name="ITEM3_2009" localSheetId="10">Tags!$BD$576</definedName>
    <definedName name="ITEM3_2009">Tags_ols!$BD$576</definedName>
    <definedName name="ITEM3_2010" localSheetId="10">Tags!$BI$576</definedName>
    <definedName name="ITEM3_2010">Tags_ols!$BI$576</definedName>
    <definedName name="ITEM3_2011" localSheetId="10">Tags!$BN$576</definedName>
    <definedName name="ITEM3_2011">Tags_ols!$BN$576</definedName>
    <definedName name="ITEM3_2012" localSheetId="10">Tags!$BS$576</definedName>
    <definedName name="ITEM3_2012">Tags_ols!$BS$576</definedName>
    <definedName name="ITEM3_2013" localSheetId="10">Tags!$BX$576</definedName>
    <definedName name="ITEM3_2013">Tags_ols!$BX$576</definedName>
    <definedName name="ITEM3_2014" localSheetId="10">Tags!$CC$576</definedName>
    <definedName name="ITEM3_2014">Tags_ols!$CC$576</definedName>
    <definedName name="ITEM3_2015" localSheetId="10">Tags!#REF!</definedName>
    <definedName name="ITEM3_2015">Tags!$CH$576</definedName>
    <definedName name="ITEM3_2016" localSheetId="10">Tags!$CM$576</definedName>
    <definedName name="ITEM3_2016">Tags_ols!$CM$576</definedName>
    <definedName name="ITEM3_2017" localSheetId="10">Tags!$CR$576</definedName>
    <definedName name="ITEM3_2017">Tags_ols!$CR$576</definedName>
    <definedName name="ITEM3_2018" localSheetId="10">Tags!$CW$576</definedName>
    <definedName name="ITEM3_2018">Tags_ols!$CW$576</definedName>
    <definedName name="ITEM3_2019" localSheetId="10">Tags!$DB$576</definedName>
    <definedName name="ITEM3_2019">Tags_ols!$DB$576</definedName>
    <definedName name="ITEM3_2020" localSheetId="10">Tags!$DG$576</definedName>
    <definedName name="ITEM3_2020">Tags_ols!$DG$576</definedName>
    <definedName name="ITEM3_2021">Tags!$DL$576</definedName>
    <definedName name="ITEM3_2022">Tags!$DQ$576</definedName>
    <definedName name="ITEM3_2023">Tags!$DV$576</definedName>
    <definedName name="ITEM3_2024">Tags!$EA$576</definedName>
    <definedName name="ITEM3_2Q00" localSheetId="10">Tags!$H$576</definedName>
    <definedName name="ITEM3_2Q00">Tags_ols!$H$576</definedName>
    <definedName name="ITEM3_2Q01" localSheetId="10">Tags!$M$576</definedName>
    <definedName name="ITEM3_2Q01">Tags_ols!$M$576</definedName>
    <definedName name="ITEM3_2Q02" localSheetId="10">Tags!$R$576</definedName>
    <definedName name="ITEM3_2Q02">Tags_ols!$R$576</definedName>
    <definedName name="ITEM3_2Q03" localSheetId="10">Tags!$W$576</definedName>
    <definedName name="ITEM3_2Q03">Tags_ols!$W$576</definedName>
    <definedName name="ITEM3_2Q04" localSheetId="10">Tags!$AB$576</definedName>
    <definedName name="ITEM3_2Q04">Tags_ols!$AB$576</definedName>
    <definedName name="ITEM3_2Q05" localSheetId="10">Tags!$AG$576</definedName>
    <definedName name="ITEM3_2Q05">Tags_ols!$AG$576</definedName>
    <definedName name="ITEM3_2Q06" localSheetId="10">Tags!$AL$576</definedName>
    <definedName name="ITEM3_2Q06">Tags_ols!$AL$576</definedName>
    <definedName name="ITEM3_2Q07" localSheetId="10">Tags!$AQ$576</definedName>
    <definedName name="ITEM3_2Q07">Tags_ols!$AQ$576</definedName>
    <definedName name="ITEM3_2Q08" localSheetId="10">Tags!$AV$576</definedName>
    <definedName name="ITEM3_2Q08">Tags_ols!$AV$576</definedName>
    <definedName name="ITEM3_2Q09" localSheetId="10">Tags!$BA$576</definedName>
    <definedName name="ITEM3_2Q09">Tags_ols!$BA$576</definedName>
    <definedName name="ITEM3_2Q10" localSheetId="10">Tags!$BF$576</definedName>
    <definedName name="ITEM3_2Q10">Tags_ols!$BF$576</definedName>
    <definedName name="ITEM3_2Q11" localSheetId="10">Tags!$BK$576</definedName>
    <definedName name="ITEM3_2Q11">Tags_ols!$BK$576</definedName>
    <definedName name="ITEM3_2Q12" localSheetId="10">Tags!$BP$576</definedName>
    <definedName name="ITEM3_2Q12">Tags_ols!$BP$576</definedName>
    <definedName name="ITEM3_2Q13" localSheetId="10">Tags!$BU$576</definedName>
    <definedName name="ITEM3_2Q13">Tags_ols!$BU$576</definedName>
    <definedName name="ITEM3_2Q14" localSheetId="10">Tags!$BZ$576</definedName>
    <definedName name="ITEM3_2Q14">Tags_ols!$BZ$576</definedName>
    <definedName name="ITEM3_2Q15" localSheetId="10">Tags!$CE$576</definedName>
    <definedName name="ITEM3_2Q15">Tags_ols!$CE$576</definedName>
    <definedName name="ITEM3_2Q16" localSheetId="10">Tags!$CJ$576</definedName>
    <definedName name="ITEM3_2Q16">Tags_ols!$CJ$576</definedName>
    <definedName name="ITEM3_2Q17" localSheetId="10">Tags!$CO$576</definedName>
    <definedName name="ITEM3_2Q17">Tags_ols!$CO$576</definedName>
    <definedName name="ITEM3_2Q18" localSheetId="10">Tags!$CT$576</definedName>
    <definedName name="ITEM3_2Q18">Tags_ols!$CT$576</definedName>
    <definedName name="ITEM3_2Q19" localSheetId="10">Tags!$CY$576</definedName>
    <definedName name="ITEM3_2Q19">Tags_ols!$CY$576</definedName>
    <definedName name="ITEM3_2Q20" localSheetId="10">Tags!$DD$576</definedName>
    <definedName name="ITEM3_2Q20">Tags_ols!$DD$576</definedName>
    <definedName name="ITEM3_2Q21">Tags!$DI$576</definedName>
    <definedName name="ITEM3_2Q22">Tags!$DN$576</definedName>
    <definedName name="ITEM3_2Q23">Tags!$DS$576</definedName>
    <definedName name="ITEM3_2Q24">Tags!$DX$576</definedName>
    <definedName name="ITEM3_3Q00" localSheetId="10">Tags!$I$576</definedName>
    <definedName name="ITEM3_3Q00">Tags_ols!$I$576</definedName>
    <definedName name="ITEM3_3Q01" localSheetId="10">Tags!$N$576</definedName>
    <definedName name="ITEM3_3Q01">Tags_ols!$N$576</definedName>
    <definedName name="ITEM3_3Q02" localSheetId="10">Tags!$S$576</definedName>
    <definedName name="ITEM3_3Q02">Tags_ols!$S$576</definedName>
    <definedName name="ITEM3_3Q03" localSheetId="10">Tags!$X$576</definedName>
    <definedName name="ITEM3_3Q03">Tags_ols!$X$576</definedName>
    <definedName name="ITEM3_3Q04" localSheetId="10">Tags!$AC$576</definedName>
    <definedName name="ITEM3_3Q04">Tags_ols!$AC$576</definedName>
    <definedName name="ITEM3_3Q05" localSheetId="10">Tags!$AH$576</definedName>
    <definedName name="ITEM3_3Q05">Tags_ols!$AH$576</definedName>
    <definedName name="ITEM3_3Q06" localSheetId="10">Tags!$AM$576</definedName>
    <definedName name="ITEM3_3Q06">Tags_ols!$AM$576</definedName>
    <definedName name="ITEM3_3Q07" localSheetId="10">Tags!$AR$576</definedName>
    <definedName name="ITEM3_3Q07">Tags_ols!$AR$576</definedName>
    <definedName name="ITEM3_3Q08" localSheetId="10">Tags!$AW$576</definedName>
    <definedName name="ITEM3_3Q08">Tags_ols!$AW$576</definedName>
    <definedName name="ITEM3_3Q09" localSheetId="10">Tags!$BB$576</definedName>
    <definedName name="ITEM3_3Q09">Tags_ols!$BB$576</definedName>
    <definedName name="ITEM3_3Q10" localSheetId="10">Tags!$BG$576</definedName>
    <definedName name="ITEM3_3Q10">Tags_ols!$BG$576</definedName>
    <definedName name="ITEM3_3Q11" localSheetId="10">Tags!$BL$576</definedName>
    <definedName name="ITEM3_3Q11">Tags_ols!$BL$576</definedName>
    <definedName name="ITEM3_3Q12" localSheetId="10">Tags!$BQ$576</definedName>
    <definedName name="ITEM3_3Q12">Tags_ols!$BQ$576</definedName>
    <definedName name="ITEM3_3Q13" localSheetId="10">Tags!$BV$576</definedName>
    <definedName name="ITEM3_3Q13">Tags_ols!$BV$576</definedName>
    <definedName name="ITEM3_3Q14" localSheetId="10">Tags!$CA$576</definedName>
    <definedName name="ITEM3_3Q14">Tags_ols!$CA$576</definedName>
    <definedName name="ITEM3_3Q15" localSheetId="10">Tags!$CF$576</definedName>
    <definedName name="ITEM3_3Q15">Tags_ols!$CF$576</definedName>
    <definedName name="ITEM3_3Q16" localSheetId="10">Tags!$CK$576</definedName>
    <definedName name="ITEM3_3Q16">Tags_ols!$CK$576</definedName>
    <definedName name="ITEM3_3Q17" localSheetId="10">Tags!$CP$576</definedName>
    <definedName name="ITEM3_3Q17">Tags_ols!$CP$576</definedName>
    <definedName name="ITEM3_3Q18" localSheetId="10">Tags!$CU$576</definedName>
    <definedName name="ITEM3_3Q18">Tags_ols!$CU$576</definedName>
    <definedName name="ITEM3_3Q19" localSheetId="10">Tags!$CZ$576</definedName>
    <definedName name="ITEM3_3Q19">Tags_ols!$CZ$576</definedName>
    <definedName name="ITEM3_3Q20" localSheetId="10">Tags!$DE$576</definedName>
    <definedName name="ITEM3_3Q20">Tags_ols!$DE$576</definedName>
    <definedName name="ITEM3_3Q21">Tags!$DJ$576</definedName>
    <definedName name="ITEM3_3Q22">Tags!$DO$576</definedName>
    <definedName name="ITEM3_3Q23">Tags!$DT$576</definedName>
    <definedName name="ITEM3_3Q24">Tags!$DY$576</definedName>
    <definedName name="ITEM3_4Q00" localSheetId="10">Tags!$J$576</definedName>
    <definedName name="ITEM3_4Q00">Tags_ols!$J$576</definedName>
    <definedName name="ITEM3_4Q01" localSheetId="10">Tags!$O$576</definedName>
    <definedName name="ITEM3_4Q01">Tags_ols!$O$576</definedName>
    <definedName name="ITEM3_4Q02" localSheetId="10">Tags!$T$576</definedName>
    <definedName name="ITEM3_4Q02">Tags_ols!$T$576</definedName>
    <definedName name="ITEM3_4Q03" localSheetId="10">Tags!$Y$576</definedName>
    <definedName name="ITEM3_4Q03">Tags_ols!$Y$576</definedName>
    <definedName name="ITEM3_4Q04" localSheetId="10">Tags!$AD$576</definedName>
    <definedName name="ITEM3_4Q04">Tags_ols!$AD$576</definedName>
    <definedName name="ITEM3_4Q05" localSheetId="10">Tags!$AI$576</definedName>
    <definedName name="ITEM3_4Q05">Tags_ols!$AI$576</definedName>
    <definedName name="ITEM3_4Q06" localSheetId="10">Tags!$AN$576</definedName>
    <definedName name="ITEM3_4Q06">Tags_ols!$AN$576</definedName>
    <definedName name="ITEM3_4Q07" localSheetId="10">Tags!$AS$576</definedName>
    <definedName name="ITEM3_4Q07">Tags_ols!$AS$576</definedName>
    <definedName name="ITEM3_4Q08" localSheetId="10">Tags!$AX$576</definedName>
    <definedName name="ITEM3_4Q08">Tags_ols!$AX$576</definedName>
    <definedName name="ITEM3_4Q09" localSheetId="10">Tags!$BC$576</definedName>
    <definedName name="ITEM3_4Q09">Tags_ols!$BC$576</definedName>
    <definedName name="ITEM3_4Q10" localSheetId="10">Tags!$BH$576</definedName>
    <definedName name="ITEM3_4Q10">Tags_ols!$BH$576</definedName>
    <definedName name="ITEM3_4Q11" localSheetId="10">Tags!$BM$576</definedName>
    <definedName name="ITEM3_4Q11">Tags_ols!$BM$576</definedName>
    <definedName name="ITEM3_4Q12" localSheetId="10">Tags!$BR$576</definedName>
    <definedName name="ITEM3_4Q12">Tags_ols!$BR$576</definedName>
    <definedName name="ITEM3_4Q13" localSheetId="10">Tags!$BW$576</definedName>
    <definedName name="ITEM3_4Q13">Tags_ols!$BW$576</definedName>
    <definedName name="ITEM3_4Q14" localSheetId="10">Tags!$CB$576</definedName>
    <definedName name="ITEM3_4Q14">Tags_ols!$CB$576</definedName>
    <definedName name="ITEM3_4Q15" localSheetId="10">Tags!$CG$576</definedName>
    <definedName name="ITEM3_4Q15">Tags_ols!$CG$576</definedName>
    <definedName name="ITEM3_4Q16" localSheetId="10">Tags!$CL$576</definedName>
    <definedName name="ITEM3_4Q16">Tags_ols!$CL$576</definedName>
    <definedName name="ITEM3_4Q17" localSheetId="10">Tags!$CQ$576</definedName>
    <definedName name="ITEM3_4Q17">Tags_ols!$CQ$576</definedName>
    <definedName name="ITEM3_4Q18" localSheetId="10">Tags!$CV$576</definedName>
    <definedName name="ITEM3_4Q18">Tags_ols!$CV$576</definedName>
    <definedName name="ITEM3_4Q19" localSheetId="10">Tags!$DA$576</definedName>
    <definedName name="ITEM3_4Q19">Tags_ols!$DA$576</definedName>
    <definedName name="ITEM3_4Q20" localSheetId="10">Tags!$DF$576</definedName>
    <definedName name="ITEM3_4Q20">Tags_ols!$DF$576</definedName>
    <definedName name="ITEM3_4Q21">Tags!$DK$576</definedName>
    <definedName name="ITEM3_4Q22">Tags!$DP$576</definedName>
    <definedName name="ITEM3_4Q23">Tags!$DU$576</definedName>
    <definedName name="ITEM3_4Q24">Tags!$DZ$576</definedName>
    <definedName name="ITEM30_1995">Tags_ols!$B$603</definedName>
    <definedName name="ITEM30_1996">Tags_ols!$C$603</definedName>
    <definedName name="ITEM30_1997">Tags_ols!$D$603</definedName>
    <definedName name="ITEM30_1998">Tags_ols!$E$603</definedName>
    <definedName name="ITEM30_1999">Tags_ols!$F$603</definedName>
    <definedName name="ITEM30_1Q00" localSheetId="10">Tags!$G$603</definedName>
    <definedName name="ITEM30_1Q00">Tags_ols!$G$603</definedName>
    <definedName name="ITEM30_1Q01" localSheetId="10">Tags!$L$603</definedName>
    <definedName name="ITEM30_1Q01">Tags_ols!$L$603</definedName>
    <definedName name="ITEM30_1Q02" localSheetId="10">Tags!$Q$603</definedName>
    <definedName name="ITEM30_1Q02">Tags_ols!$Q$603</definedName>
    <definedName name="ITEM30_1Q03" localSheetId="10">Tags!$V$603</definedName>
    <definedName name="ITEM30_1Q03">Tags_ols!$V$603</definedName>
    <definedName name="ITEM30_1Q04" localSheetId="10">Tags!$AA$603</definedName>
    <definedName name="ITEM30_1Q04">Tags_ols!$AA$603</definedName>
    <definedName name="ITEM30_1Q05" localSheetId="10">Tags!$AF$603</definedName>
    <definedName name="ITEM30_1Q05">Tags_ols!$AF$603</definedName>
    <definedName name="ITEM30_1Q06" localSheetId="10">Tags!$AK$603</definedName>
    <definedName name="ITEM30_1Q06">Tags_ols!$AK$603</definedName>
    <definedName name="ITEM30_1Q07" localSheetId="10">Tags!$AP$603</definedName>
    <definedName name="ITEM30_1Q07">Tags_ols!$AP$603</definedName>
    <definedName name="ITEM30_1Q08" localSheetId="10">Tags!$AU$603</definedName>
    <definedName name="ITEM30_1Q08">Tags_ols!$AU$603</definedName>
    <definedName name="ITEM30_1Q09" localSheetId="10">Tags!$AZ$603</definedName>
    <definedName name="ITEM30_1Q09">Tags_ols!$AZ$603</definedName>
    <definedName name="ITEM30_1Q10" localSheetId="10">Tags!$BE$603</definedName>
    <definedName name="ITEM30_1Q10">Tags_ols!$BE$603</definedName>
    <definedName name="ITEM30_1Q11" localSheetId="10">Tags!$BJ$603</definedName>
    <definedName name="ITEM30_1Q11">Tags_ols!$BJ$603</definedName>
    <definedName name="ITEM30_1Q12" localSheetId="10">Tags!$BO$603</definedName>
    <definedName name="ITEM30_1Q12">Tags_ols!$BO$603</definedName>
    <definedName name="ITEM30_1Q13" localSheetId="10">Tags!$BT$603</definedName>
    <definedName name="ITEM30_1Q13">Tags_ols!$BT$603</definedName>
    <definedName name="ITEM30_1Q14" localSheetId="10">Tags!$BY$603</definedName>
    <definedName name="ITEM30_1Q14">Tags_ols!$BY$603</definedName>
    <definedName name="ITEM30_1Q15" localSheetId="10">Tags!$CD$603</definedName>
    <definedName name="ITEM30_1Q15">Tags_ols!$CD$603</definedName>
    <definedName name="ITEM30_1Q16" localSheetId="10">Tags!$CI$603</definedName>
    <definedName name="ITEM30_1Q16">Tags_ols!$CI$603</definedName>
    <definedName name="ITEM30_1Q17" localSheetId="10">Tags!$CN$603</definedName>
    <definedName name="ITEM30_1Q17">Tags_ols!$CN$603</definedName>
    <definedName name="ITEM30_1Q18" localSheetId="10">Tags!$CS$603</definedName>
    <definedName name="ITEM30_1Q18">Tags_ols!$CS$603</definedName>
    <definedName name="ITEM30_1Q19" localSheetId="10">Tags!$CX$603</definedName>
    <definedName name="ITEM30_1Q19">Tags_ols!$CX$603</definedName>
    <definedName name="ITEM30_1Q20" localSheetId="10">Tags!$DC$603</definedName>
    <definedName name="ITEM30_1Q20">Tags_ols!$DC$603</definedName>
    <definedName name="ITEM30_1Q21">Tags!$DH$603</definedName>
    <definedName name="ITEM30_1Q22">Tags!$DM$603</definedName>
    <definedName name="ITEM30_1Q23">Tags!$DR$603</definedName>
    <definedName name="ITEM30_1Q24">Tags!$DW$603</definedName>
    <definedName name="ITEM30_2000" localSheetId="10">Tags!$K$603</definedName>
    <definedName name="ITEM30_2000">Tags_ols!$K$603</definedName>
    <definedName name="ITEM30_2001" localSheetId="10">Tags!$P$603</definedName>
    <definedName name="ITEM30_2001">Tags_ols!$P$603</definedName>
    <definedName name="ITEM30_2002" localSheetId="10">Tags!$U$603</definedName>
    <definedName name="ITEM30_2002">Tags_ols!$U$603</definedName>
    <definedName name="ITEM30_2003" localSheetId="10">Tags!$Z$603</definedName>
    <definedName name="ITEM30_2003">Tags_ols!$Z$603</definedName>
    <definedName name="ITEM30_2004" localSheetId="10">Tags!$AE$603</definedName>
    <definedName name="ITEM30_2004">Tags_ols!$AE$603</definedName>
    <definedName name="ITEM30_2005" localSheetId="10">Tags!$AJ$603</definedName>
    <definedName name="ITEM30_2005">Tags_ols!$AJ$603</definedName>
    <definedName name="ITEM30_2006" localSheetId="10">Tags!$AO$603</definedName>
    <definedName name="ITEM30_2006">Tags_ols!$AO$603</definedName>
    <definedName name="ITEM30_2007" localSheetId="10">Tags!$AT$603</definedName>
    <definedName name="ITEM30_2007">Tags_ols!$AT$603</definedName>
    <definedName name="ITEM30_2008" localSheetId="10">Tags!$AY$603</definedName>
    <definedName name="ITEM30_2008">Tags_ols!$AY$603</definedName>
    <definedName name="ITEM30_2009" localSheetId="10">Tags!$BD$603</definedName>
    <definedName name="ITEM30_2009">Tags_ols!$BD$603</definedName>
    <definedName name="ITEM30_2010" localSheetId="10">Tags!$BI$603</definedName>
    <definedName name="ITEM30_2010">Tags_ols!$BI$603</definedName>
    <definedName name="ITEM30_2011" localSheetId="10">Tags!$BN$603</definedName>
    <definedName name="ITEM30_2011">Tags_ols!$BN$603</definedName>
    <definedName name="ITEM30_2012" localSheetId="10">Tags!$BS$603</definedName>
    <definedName name="ITEM30_2012">Tags_ols!$BS$603</definedName>
    <definedName name="ITEM30_2013" localSheetId="10">Tags!$BX$603</definedName>
    <definedName name="ITEM30_2013">Tags_ols!$BX$603</definedName>
    <definedName name="ITEM30_2014" localSheetId="10">Tags!$CC$603</definedName>
    <definedName name="ITEM30_2014">Tags_ols!$CC$603</definedName>
    <definedName name="ITEM30_2015" localSheetId="10">Tags!#REF!</definedName>
    <definedName name="ITEM30_2015">Tags!$CH$603</definedName>
    <definedName name="ITEM30_2016" localSheetId="10">Tags!$CM$603</definedName>
    <definedName name="ITEM30_2016">Tags_ols!$CM$603</definedName>
    <definedName name="ITEM30_2017" localSheetId="10">Tags!$CR$603</definedName>
    <definedName name="ITEM30_2017">Tags_ols!$CR$603</definedName>
    <definedName name="ITEM30_2018" localSheetId="10">Tags!$CW$603</definedName>
    <definedName name="ITEM30_2018">Tags_ols!$CW$603</definedName>
    <definedName name="ITEM30_2019" localSheetId="10">Tags!$DB$603</definedName>
    <definedName name="ITEM30_2019">Tags_ols!$DB$603</definedName>
    <definedName name="ITEM30_2020" localSheetId="10">Tags!$DG$603</definedName>
    <definedName name="ITEM30_2020">Tags_ols!$DG$603</definedName>
    <definedName name="ITEM30_2021">Tags!$DL$603</definedName>
    <definedName name="ITEM30_2022">Tags!$DQ$603</definedName>
    <definedName name="ITEM30_2023">Tags!$DV$603</definedName>
    <definedName name="ITEM30_2024">Tags!$EA$603</definedName>
    <definedName name="ITEM30_2Q00" localSheetId="10">Tags!$H$603</definedName>
    <definedName name="ITEM30_2Q00">Tags_ols!$H$603</definedName>
    <definedName name="ITEM30_2Q01" localSheetId="10">Tags!$M$603</definedName>
    <definedName name="ITEM30_2Q01">Tags_ols!$M$603</definedName>
    <definedName name="ITEM30_2Q02" localSheetId="10">Tags!$R$603</definedName>
    <definedName name="ITEM30_2Q02">Tags_ols!$R$603</definedName>
    <definedName name="ITEM30_2Q03" localSheetId="10">Tags!$W$603</definedName>
    <definedName name="ITEM30_2Q03">Tags_ols!$W$603</definedName>
    <definedName name="ITEM30_2Q04" localSheetId="10">Tags!$AB$603</definedName>
    <definedName name="ITEM30_2Q04">Tags_ols!$AB$603</definedName>
    <definedName name="ITEM30_2Q05" localSheetId="10">Tags!$AG$603</definedName>
    <definedName name="ITEM30_2Q05">Tags_ols!$AG$603</definedName>
    <definedName name="ITEM30_2Q06" localSheetId="10">Tags!$AL$603</definedName>
    <definedName name="ITEM30_2Q06">Tags_ols!$AL$603</definedName>
    <definedName name="ITEM30_2Q07" localSheetId="10">Tags!$AQ$603</definedName>
    <definedName name="ITEM30_2Q07">Tags_ols!$AQ$603</definedName>
    <definedName name="ITEM30_2Q08" localSheetId="10">Tags!$AV$603</definedName>
    <definedName name="ITEM30_2Q08">Tags_ols!$AV$603</definedName>
    <definedName name="ITEM30_2Q09" localSheetId="10">Tags!$BA$603</definedName>
    <definedName name="ITEM30_2Q09">Tags_ols!$BA$603</definedName>
    <definedName name="ITEM30_2Q10" localSheetId="10">Tags!$BF$603</definedName>
    <definedName name="ITEM30_2Q10">Tags_ols!$BF$603</definedName>
    <definedName name="ITEM30_2Q11" localSheetId="10">Tags!$BK$603</definedName>
    <definedName name="ITEM30_2Q11">Tags_ols!$BK$603</definedName>
    <definedName name="ITEM30_2Q12" localSheetId="10">Tags!$BP$603</definedName>
    <definedName name="ITEM30_2Q12">Tags_ols!$BP$603</definedName>
    <definedName name="ITEM30_2Q13" localSheetId="10">Tags!$BU$603</definedName>
    <definedName name="ITEM30_2Q13">Tags_ols!$BU$603</definedName>
    <definedName name="ITEM30_2Q14" localSheetId="10">Tags!$BZ$603</definedName>
    <definedName name="ITEM30_2Q14">Tags_ols!$BZ$603</definedName>
    <definedName name="ITEM30_2Q15" localSheetId="10">Tags!$CE$603</definedName>
    <definedName name="ITEM30_2Q15">Tags_ols!$CE$603</definedName>
    <definedName name="ITEM30_2Q16" localSheetId="10">Tags!$CJ$603</definedName>
    <definedName name="ITEM30_2Q16">Tags_ols!$CJ$603</definedName>
    <definedName name="ITEM30_2Q17" localSheetId="10">Tags!$CO$603</definedName>
    <definedName name="ITEM30_2Q17">Tags_ols!$CO$603</definedName>
    <definedName name="ITEM30_2Q18" localSheetId="10">Tags!$CT$603</definedName>
    <definedName name="ITEM30_2Q18">Tags_ols!$CT$603</definedName>
    <definedName name="ITEM30_2Q19" localSheetId="10">Tags!$CY$603</definedName>
    <definedName name="ITEM30_2Q19">Tags_ols!$CY$603</definedName>
    <definedName name="ITEM30_2Q20" localSheetId="10">Tags!$DD$603</definedName>
    <definedName name="ITEM30_2Q20">Tags_ols!$DD$603</definedName>
    <definedName name="ITEM30_2Q21">Tags!$DI$603</definedName>
    <definedName name="ITEM30_2Q22">Tags!$DN$603</definedName>
    <definedName name="ITEM30_2Q23">Tags!$DS$603</definedName>
    <definedName name="ITEM30_2Q24">Tags!$DX$603</definedName>
    <definedName name="ITEM30_3Q00" localSheetId="10">Tags!$I$603</definedName>
    <definedName name="ITEM30_3Q00">Tags_ols!$I$603</definedName>
    <definedName name="ITEM30_3Q01" localSheetId="10">Tags!$N$603</definedName>
    <definedName name="ITEM30_3Q01">Tags_ols!$N$603</definedName>
    <definedName name="ITEM30_3Q02" localSheetId="10">Tags!$S$603</definedName>
    <definedName name="ITEM30_3Q02">Tags_ols!$S$603</definedName>
    <definedName name="ITEM30_3Q03" localSheetId="10">Tags!$X$603</definedName>
    <definedName name="ITEM30_3Q03">Tags_ols!$X$603</definedName>
    <definedName name="ITEM30_3Q04" localSheetId="10">Tags!$AC$603</definedName>
    <definedName name="ITEM30_3Q04">Tags_ols!$AC$603</definedName>
    <definedName name="ITEM30_3Q05" localSheetId="10">Tags!$AH$603</definedName>
    <definedName name="ITEM30_3Q05">Tags_ols!$AH$603</definedName>
    <definedName name="ITEM30_3Q06" localSheetId="10">Tags!$AM$603</definedName>
    <definedName name="ITEM30_3Q06">Tags_ols!$AM$603</definedName>
    <definedName name="ITEM30_3Q07" localSheetId="10">Tags!$AR$603</definedName>
    <definedName name="ITEM30_3Q07">Tags_ols!$AR$603</definedName>
    <definedName name="ITEM30_3Q08" localSheetId="10">Tags!$AW$603</definedName>
    <definedName name="ITEM30_3Q08">Tags_ols!$AW$603</definedName>
    <definedName name="ITEM30_3Q09" localSheetId="10">Tags!$BB$603</definedName>
    <definedName name="ITEM30_3Q09">Tags_ols!$BB$603</definedName>
    <definedName name="ITEM30_3Q10" localSheetId="10">Tags!$BG$603</definedName>
    <definedName name="ITEM30_3Q10">Tags_ols!$BG$603</definedName>
    <definedName name="ITEM30_3Q11" localSheetId="10">Tags!$BL$603</definedName>
    <definedName name="ITEM30_3Q11">Tags_ols!$BL$603</definedName>
    <definedName name="ITEM30_3Q12" localSheetId="10">Tags!$BQ$603</definedName>
    <definedName name="ITEM30_3Q12">Tags_ols!$BQ$603</definedName>
    <definedName name="ITEM30_3Q13" localSheetId="10">Tags!$BV$603</definedName>
    <definedName name="ITEM30_3Q13">Tags_ols!$BV$603</definedName>
    <definedName name="ITEM30_3Q14" localSheetId="10">Tags!$CA$603</definedName>
    <definedName name="ITEM30_3Q14">Tags_ols!$CA$603</definedName>
    <definedName name="ITEM30_3Q15" localSheetId="10">Tags!$CF$603</definedName>
    <definedName name="ITEM30_3Q15">Tags_ols!$CF$603</definedName>
    <definedName name="ITEM30_3Q16" localSheetId="10">Tags!$CK$603</definedName>
    <definedName name="ITEM30_3Q16">Tags_ols!$CK$603</definedName>
    <definedName name="ITEM30_3Q17" localSheetId="10">Tags!$CP$603</definedName>
    <definedName name="ITEM30_3Q17">Tags_ols!$CP$603</definedName>
    <definedName name="ITEM30_3Q18" localSheetId="10">Tags!$CU$603</definedName>
    <definedName name="ITEM30_3Q18">Tags_ols!$CU$603</definedName>
    <definedName name="ITEM30_3Q19" localSheetId="10">Tags!$CZ$603</definedName>
    <definedName name="ITEM30_3Q19">Tags_ols!$CZ$603</definedName>
    <definedName name="ITEM30_3Q20" localSheetId="10">Tags!$DE$603</definedName>
    <definedName name="ITEM30_3Q20">Tags_ols!$DE$603</definedName>
    <definedName name="ITEM30_3Q21">Tags!$DJ$603</definedName>
    <definedName name="ITEM30_3Q22">Tags!$DO$603</definedName>
    <definedName name="ITEM30_3Q23">Tags!$DT$603</definedName>
    <definedName name="ITEM30_3Q24">Tags!$DY$603</definedName>
    <definedName name="ITEM30_4Q00" localSheetId="10">Tags!$J$603</definedName>
    <definedName name="ITEM30_4Q00">Tags_ols!$J$603</definedName>
    <definedName name="ITEM30_4Q01" localSheetId="10">Tags!$O$603</definedName>
    <definedName name="ITEM30_4Q01">Tags_ols!$O$603</definedName>
    <definedName name="ITEM30_4Q02" localSheetId="10">Tags!$T$603</definedName>
    <definedName name="ITEM30_4Q02">Tags_ols!$T$603</definedName>
    <definedName name="ITEM30_4Q03" localSheetId="10">Tags!$Y$603</definedName>
    <definedName name="ITEM30_4Q03">Tags_ols!$Y$603</definedName>
    <definedName name="ITEM30_4Q04" localSheetId="10">Tags!$AD$603</definedName>
    <definedName name="ITEM30_4Q04">Tags_ols!$AD$603</definedName>
    <definedName name="ITEM30_4Q05" localSheetId="10">Tags!$AI$603</definedName>
    <definedName name="ITEM30_4Q05">Tags_ols!$AI$603</definedName>
    <definedName name="ITEM30_4Q06" localSheetId="10">Tags!$AN$603</definedName>
    <definedName name="ITEM30_4Q06">Tags_ols!$AN$603</definedName>
    <definedName name="ITEM30_4Q07" localSheetId="10">Tags!$AS$603</definedName>
    <definedName name="ITEM30_4Q07">Tags_ols!$AS$603</definedName>
    <definedName name="ITEM30_4Q08" localSheetId="10">Tags!$AX$603</definedName>
    <definedName name="ITEM30_4Q08">Tags_ols!$AX$603</definedName>
    <definedName name="ITEM30_4Q09" localSheetId="10">Tags!$BC$603</definedName>
    <definedName name="ITEM30_4Q09">Tags_ols!$BC$603</definedName>
    <definedName name="ITEM30_4Q10" localSheetId="10">Tags!$BH$603</definedName>
    <definedName name="ITEM30_4Q10">Tags_ols!$BH$603</definedName>
    <definedName name="ITEM30_4Q11" localSheetId="10">Tags!$BM$603</definedName>
    <definedName name="ITEM30_4Q11">Tags_ols!$BM$603</definedName>
    <definedName name="ITEM30_4Q12" localSheetId="10">Tags!$BR$603</definedName>
    <definedName name="ITEM30_4Q12">Tags_ols!$BR$603</definedName>
    <definedName name="ITEM30_4Q13" localSheetId="10">Tags!$BW$603</definedName>
    <definedName name="ITEM30_4Q13">Tags_ols!$BW$603</definedName>
    <definedName name="ITEM30_4Q14" localSheetId="10">Tags!$CB$603</definedName>
    <definedName name="ITEM30_4Q14">Tags_ols!$CB$603</definedName>
    <definedName name="ITEM30_4Q15" localSheetId="10">Tags!$CG$603</definedName>
    <definedName name="ITEM30_4Q15">Tags_ols!$CG$603</definedName>
    <definedName name="ITEM30_4Q16" localSheetId="10">Tags!$CL$603</definedName>
    <definedName name="ITEM30_4Q16">Tags_ols!$CL$603</definedName>
    <definedName name="ITEM30_4Q17" localSheetId="10">Tags!$CQ$603</definedName>
    <definedName name="ITEM30_4Q17">Tags_ols!$CQ$603</definedName>
    <definedName name="ITEM30_4Q18" localSheetId="10">Tags!$CV$603</definedName>
    <definedName name="ITEM30_4Q18">Tags_ols!$CV$603</definedName>
    <definedName name="ITEM30_4Q19" localSheetId="10">Tags!$DA$603</definedName>
    <definedName name="ITEM30_4Q19">Tags_ols!$DA$603</definedName>
    <definedName name="ITEM30_4Q20" localSheetId="10">Tags!$DF$603</definedName>
    <definedName name="ITEM30_4Q20">Tags_ols!$DF$603</definedName>
    <definedName name="ITEM30_4Q21">Tags!$DK$603</definedName>
    <definedName name="ITEM30_4Q22">Tags!$DP$603</definedName>
    <definedName name="ITEM30_4Q23">Tags!$DU$603</definedName>
    <definedName name="ITEM30_4Q24">Tags!$DZ$603</definedName>
    <definedName name="ITEM31_1995">Tags_ols!$B$604</definedName>
    <definedName name="ITEM31_1996">Tags_ols!$C$604</definedName>
    <definedName name="ITEM31_1997">Tags_ols!$D$604</definedName>
    <definedName name="ITEM31_1998">Tags_ols!$E$604</definedName>
    <definedName name="ITEM31_1999">Tags_ols!$F$604</definedName>
    <definedName name="ITEM31_1Q00" localSheetId="10">Tags!$G$604</definedName>
    <definedName name="ITEM31_1Q00">Tags_ols!$G$604</definedName>
    <definedName name="ITEM31_1Q01" localSheetId="10">Tags!$L$604</definedName>
    <definedName name="ITEM31_1Q01">Tags_ols!$L$604</definedName>
    <definedName name="ITEM31_1Q02" localSheetId="10">Tags!$Q$604</definedName>
    <definedName name="ITEM31_1Q02">Tags_ols!$Q$604</definedName>
    <definedName name="ITEM31_1Q03" localSheetId="10">Tags!$V$604</definedName>
    <definedName name="ITEM31_1Q03">Tags_ols!$V$604</definedName>
    <definedName name="ITEM31_1Q04" localSheetId="10">Tags!$AA$604</definedName>
    <definedName name="ITEM31_1Q04">Tags_ols!$AA$604</definedName>
    <definedName name="ITEM31_1Q05" localSheetId="10">Tags!$AF$604</definedName>
    <definedName name="ITEM31_1Q05">Tags_ols!$AF$604</definedName>
    <definedName name="ITEM31_1Q06" localSheetId="10">Tags!$AK$604</definedName>
    <definedName name="ITEM31_1Q06">Tags_ols!$AK$604</definedName>
    <definedName name="ITEM31_1Q07" localSheetId="10">Tags!$AP$604</definedName>
    <definedName name="ITEM31_1Q07">Tags_ols!$AP$604</definedName>
    <definedName name="ITEM31_1Q08" localSheetId="10">Tags!$AU$604</definedName>
    <definedName name="ITEM31_1Q08">Tags_ols!$AU$604</definedName>
    <definedName name="ITEM31_1Q09" localSheetId="10">Tags!$AZ$604</definedName>
    <definedName name="ITEM31_1Q09">Tags_ols!$AZ$604</definedName>
    <definedName name="ITEM31_1Q10" localSheetId="10">Tags!$BE$604</definedName>
    <definedName name="ITEM31_1Q10">Tags_ols!$BE$604</definedName>
    <definedName name="ITEM31_1Q11" localSheetId="10">Tags!$BJ$604</definedName>
    <definedName name="ITEM31_1Q11">Tags_ols!$BJ$604</definedName>
    <definedName name="ITEM31_1Q12" localSheetId="10">Tags!$BO$604</definedName>
    <definedName name="ITEM31_1Q12">Tags_ols!$BO$604</definedName>
    <definedName name="ITEM31_1Q13" localSheetId="10">Tags!$BT$604</definedName>
    <definedName name="ITEM31_1Q13">Tags_ols!$BT$604</definedName>
    <definedName name="ITEM31_1Q14" localSheetId="10">Tags!$BY$604</definedName>
    <definedName name="ITEM31_1Q14">Tags_ols!$BY$604</definedName>
    <definedName name="ITEM31_1Q15" localSheetId="10">Tags!$CD$604</definedName>
    <definedName name="ITEM31_1Q15">Tags_ols!$CD$604</definedName>
    <definedName name="ITEM31_1Q16" localSheetId="10">Tags!$CI$604</definedName>
    <definedName name="ITEM31_1Q16">Tags_ols!$CI$604</definedName>
    <definedName name="ITEM31_1Q17" localSheetId="10">Tags!$CN$604</definedName>
    <definedName name="ITEM31_1Q17">Tags_ols!$CN$604</definedName>
    <definedName name="ITEM31_1Q18" localSheetId="10">Tags!$CS$604</definedName>
    <definedName name="ITEM31_1Q18">Tags_ols!$CS$604</definedName>
    <definedName name="ITEM31_1Q19" localSheetId="10">Tags!$CX$604</definedName>
    <definedName name="ITEM31_1Q19">Tags_ols!$CX$604</definedName>
    <definedName name="ITEM31_1Q20" localSheetId="10">Tags!$DC$604</definedName>
    <definedName name="ITEM31_1Q20">Tags_ols!$DC$604</definedName>
    <definedName name="ITEM31_1Q21">Tags!$DH$604</definedName>
    <definedName name="ITEM31_1Q22">Tags!$DM$604</definedName>
    <definedName name="ITEM31_1Q23">Tags!$DR$604</definedName>
    <definedName name="ITEM31_1Q24">Tags!$DW$604</definedName>
    <definedName name="ITEM31_2000" localSheetId="10">Tags!$K$604</definedName>
    <definedName name="ITEM31_2000">Tags_ols!$K$604</definedName>
    <definedName name="ITEM31_2001" localSheetId="10">Tags!$P$604</definedName>
    <definedName name="ITEM31_2001">Tags_ols!$P$604</definedName>
    <definedName name="ITEM31_2002" localSheetId="10">Tags!$U$604</definedName>
    <definedName name="ITEM31_2002">Tags_ols!$U$604</definedName>
    <definedName name="ITEM31_2003" localSheetId="10">Tags!$Z$604</definedName>
    <definedName name="ITEM31_2003">Tags_ols!$Z$604</definedName>
    <definedName name="ITEM31_2004" localSheetId="10">Tags!$AE$604</definedName>
    <definedName name="ITEM31_2004">Tags_ols!$AE$604</definedName>
    <definedName name="ITEM31_2005" localSheetId="10">Tags!$AJ$604</definedName>
    <definedName name="ITEM31_2005">Tags_ols!$AJ$604</definedName>
    <definedName name="ITEM31_2006" localSheetId="10">Tags!$AO$604</definedName>
    <definedName name="ITEM31_2006">Tags_ols!$AO$604</definedName>
    <definedName name="ITEM31_2007" localSheetId="10">Tags!$AT$604</definedName>
    <definedName name="ITEM31_2007">Tags_ols!$AT$604</definedName>
    <definedName name="ITEM31_2008" localSheetId="10">Tags!$AY$604</definedName>
    <definedName name="ITEM31_2008">Tags_ols!$AY$604</definedName>
    <definedName name="ITEM31_2009" localSheetId="10">Tags!$BD$604</definedName>
    <definedName name="ITEM31_2009">Tags_ols!$BD$604</definedName>
    <definedName name="ITEM31_2010" localSheetId="10">Tags!$BI$604</definedName>
    <definedName name="ITEM31_2010">Tags_ols!$BI$604</definedName>
    <definedName name="ITEM31_2011" localSheetId="10">Tags!$BN$604</definedName>
    <definedName name="ITEM31_2011">Tags_ols!$BN$604</definedName>
    <definedName name="ITEM31_2012" localSheetId="10">Tags!$BS$604</definedName>
    <definedName name="ITEM31_2012">Tags_ols!$BS$604</definedName>
    <definedName name="ITEM31_2013" localSheetId="10">Tags!$BX$604</definedName>
    <definedName name="ITEM31_2013">Tags_ols!$BX$604</definedName>
    <definedName name="ITEM31_2014" localSheetId="10">Tags!$CC$604</definedName>
    <definedName name="ITEM31_2014">Tags_ols!$CC$604</definedName>
    <definedName name="ITEM31_2015" localSheetId="10">Tags!#REF!</definedName>
    <definedName name="ITEM31_2015">Tags!$CH$604</definedName>
    <definedName name="ITEM31_2016" localSheetId="10">Tags!$CM$604</definedName>
    <definedName name="ITEM31_2016">Tags_ols!$CM$604</definedName>
    <definedName name="ITEM31_2017" localSheetId="10">Tags!$CR$604</definedName>
    <definedName name="ITEM31_2017">Tags_ols!$CR$604</definedName>
    <definedName name="ITEM31_2018" localSheetId="10">Tags!$CW$604</definedName>
    <definedName name="ITEM31_2018">Tags_ols!$CW$604</definedName>
    <definedName name="ITEM31_2019" localSheetId="10">Tags!$DB$604</definedName>
    <definedName name="ITEM31_2019">Tags_ols!$DB$604</definedName>
    <definedName name="ITEM31_2020" localSheetId="10">Tags!$DG$604</definedName>
    <definedName name="ITEM31_2020">Tags_ols!$DG$604</definedName>
    <definedName name="ITEM31_2021">Tags!$DL$604</definedName>
    <definedName name="ITEM31_2022">Tags!$DQ$604</definedName>
    <definedName name="ITEM31_2023">Tags!$DV$604</definedName>
    <definedName name="ITEM31_2024">Tags!$EA$604</definedName>
    <definedName name="ITEM31_2Q00" localSheetId="10">Tags!$H$604</definedName>
    <definedName name="ITEM31_2Q00">Tags_ols!$H$604</definedName>
    <definedName name="ITEM31_2Q01" localSheetId="10">Tags!$M$604</definedName>
    <definedName name="ITEM31_2Q01">Tags_ols!$M$604</definedName>
    <definedName name="ITEM31_2Q02" localSheetId="10">Tags!$R$604</definedName>
    <definedName name="ITEM31_2Q02">Tags_ols!$R$604</definedName>
    <definedName name="ITEM31_2Q03" localSheetId="10">Tags!$W$604</definedName>
    <definedName name="ITEM31_2Q03">Tags_ols!$W$604</definedName>
    <definedName name="ITEM31_2Q04" localSheetId="10">Tags!$AB$604</definedName>
    <definedName name="ITEM31_2Q04">Tags_ols!$AB$604</definedName>
    <definedName name="ITEM31_2Q05" localSheetId="10">Tags!$AG$604</definedName>
    <definedName name="ITEM31_2Q05">Tags_ols!$AG$604</definedName>
    <definedName name="ITEM31_2Q06" localSheetId="10">Tags!$AL$604</definedName>
    <definedName name="ITEM31_2Q06">Tags_ols!$AL$604</definedName>
    <definedName name="ITEM31_2Q07" localSheetId="10">Tags!$AQ$604</definedName>
    <definedName name="ITEM31_2Q07">Tags_ols!$AQ$604</definedName>
    <definedName name="ITEM31_2Q08" localSheetId="10">Tags!$AV$604</definedName>
    <definedName name="ITEM31_2Q08">Tags_ols!$AV$604</definedName>
    <definedName name="ITEM31_2Q09" localSheetId="10">Tags!$BA$604</definedName>
    <definedName name="ITEM31_2Q09">Tags_ols!$BA$604</definedName>
    <definedName name="ITEM31_2Q10" localSheetId="10">Tags!$BF$604</definedName>
    <definedName name="ITEM31_2Q10">Tags_ols!$BF$604</definedName>
    <definedName name="ITEM31_2Q11" localSheetId="10">Tags!$BK$604</definedName>
    <definedName name="ITEM31_2Q11">Tags_ols!$BK$604</definedName>
    <definedName name="ITEM31_2Q12" localSheetId="10">Tags!$BP$604</definedName>
    <definedName name="ITEM31_2Q12">Tags_ols!$BP$604</definedName>
    <definedName name="ITEM31_2Q13" localSheetId="10">Tags!$BU$604</definedName>
    <definedName name="ITEM31_2Q13">Tags_ols!$BU$604</definedName>
    <definedName name="ITEM31_2Q14" localSheetId="10">Tags!$BZ$604</definedName>
    <definedName name="ITEM31_2Q14">Tags_ols!$BZ$604</definedName>
    <definedName name="ITEM31_2Q15" localSheetId="10">Tags!$CE$604</definedName>
    <definedName name="ITEM31_2Q15">Tags_ols!$CE$604</definedName>
    <definedName name="ITEM31_2Q16" localSheetId="10">Tags!$CJ$604</definedName>
    <definedName name="ITEM31_2Q16">Tags_ols!$CJ$604</definedName>
    <definedName name="ITEM31_2Q17" localSheetId="10">Tags!$CO$604</definedName>
    <definedName name="ITEM31_2Q17">Tags_ols!$CO$604</definedName>
    <definedName name="ITEM31_2Q18" localSheetId="10">Tags!$CT$604</definedName>
    <definedName name="ITEM31_2Q18">Tags_ols!$CT$604</definedName>
    <definedName name="ITEM31_2Q19" localSheetId="10">Tags!$CY$604</definedName>
    <definedName name="ITEM31_2Q19">Tags_ols!$CY$604</definedName>
    <definedName name="ITEM31_2Q20" localSheetId="10">Tags!$DD$604</definedName>
    <definedName name="ITEM31_2Q20">Tags_ols!$DD$604</definedName>
    <definedName name="ITEM31_2Q21">Tags!$DI$604</definedName>
    <definedName name="ITEM31_2Q22">Tags!$DN$604</definedName>
    <definedName name="ITEM31_2Q23">Tags!$DS$604</definedName>
    <definedName name="ITEM31_2Q24">Tags!$DX$604</definedName>
    <definedName name="ITEM31_3Q00" localSheetId="10">Tags!$I$604</definedName>
    <definedName name="ITEM31_3Q00">Tags_ols!$I$604</definedName>
    <definedName name="ITEM31_3Q01" localSheetId="10">Tags!$N$604</definedName>
    <definedName name="ITEM31_3Q01">Tags_ols!$N$604</definedName>
    <definedName name="ITEM31_3Q02" localSheetId="10">Tags!$S$604</definedName>
    <definedName name="ITEM31_3Q02">Tags_ols!$S$604</definedName>
    <definedName name="ITEM31_3Q03" localSheetId="10">Tags!$X$604</definedName>
    <definedName name="ITEM31_3Q03">Tags_ols!$X$604</definedName>
    <definedName name="ITEM31_3Q04" localSheetId="10">Tags!$AC$604</definedName>
    <definedName name="ITEM31_3Q04">Tags_ols!$AC$604</definedName>
    <definedName name="ITEM31_3Q05" localSheetId="10">Tags!$AH$604</definedName>
    <definedName name="ITEM31_3Q05">Tags_ols!$AH$604</definedName>
    <definedName name="ITEM31_3Q06" localSheetId="10">Tags!$AM$604</definedName>
    <definedName name="ITEM31_3Q06">Tags_ols!$AM$604</definedName>
    <definedName name="ITEM31_3Q07" localSheetId="10">Tags!$AR$604</definedName>
    <definedName name="ITEM31_3Q07">Tags_ols!$AR$604</definedName>
    <definedName name="ITEM31_3Q08" localSheetId="10">Tags!$AW$604</definedName>
    <definedName name="ITEM31_3Q08">Tags_ols!$AW$604</definedName>
    <definedName name="ITEM31_3Q09" localSheetId="10">Tags!$BB$604</definedName>
    <definedName name="ITEM31_3Q09">Tags_ols!$BB$604</definedName>
    <definedName name="ITEM31_3Q10" localSheetId="10">Tags!$BG$604</definedName>
    <definedName name="ITEM31_3Q10">Tags_ols!$BG$604</definedName>
    <definedName name="ITEM31_3Q11" localSheetId="10">Tags!$BL$604</definedName>
    <definedName name="ITEM31_3Q11">Tags_ols!$BL$604</definedName>
    <definedName name="ITEM31_3Q12" localSheetId="10">Tags!$BQ$604</definedName>
    <definedName name="ITEM31_3Q12">Tags_ols!$BQ$604</definedName>
    <definedName name="ITEM31_3Q13" localSheetId="10">Tags!$BV$604</definedName>
    <definedName name="ITEM31_3Q13">Tags_ols!$BV$604</definedName>
    <definedName name="ITEM31_3Q14" localSheetId="10">Tags!$CA$604</definedName>
    <definedName name="ITEM31_3Q14">Tags_ols!$CA$604</definedName>
    <definedName name="ITEM31_3Q15" localSheetId="10">Tags!$CF$604</definedName>
    <definedName name="ITEM31_3Q15">Tags_ols!$CF$604</definedName>
    <definedName name="ITEM31_3Q16" localSheetId="10">Tags!$CK$604</definedName>
    <definedName name="ITEM31_3Q16">Tags_ols!$CK$604</definedName>
    <definedName name="ITEM31_3Q17" localSheetId="10">Tags!$CP$604</definedName>
    <definedName name="ITEM31_3Q17">Tags_ols!$CP$604</definedName>
    <definedName name="ITEM31_3Q18" localSheetId="10">Tags!$CU$604</definedName>
    <definedName name="ITEM31_3Q18">Tags_ols!$CU$604</definedName>
    <definedName name="ITEM31_3Q19" localSheetId="10">Tags!$CZ$604</definedName>
    <definedName name="ITEM31_3Q19">Tags_ols!$CZ$604</definedName>
    <definedName name="ITEM31_3Q20" localSheetId="10">Tags!$DE$604</definedName>
    <definedName name="ITEM31_3Q20">Tags_ols!$DE$604</definedName>
    <definedName name="ITEM31_3Q21">Tags!$DJ$604</definedName>
    <definedName name="ITEM31_3Q22">Tags!$DO$604</definedName>
    <definedName name="ITEM31_3Q23">Tags!$DT$604</definedName>
    <definedName name="ITEM31_3Q24">Tags!$DY$604</definedName>
    <definedName name="ITEM31_4Q00" localSheetId="10">Tags!$J$604</definedName>
    <definedName name="ITEM31_4Q00">Tags_ols!$J$604</definedName>
    <definedName name="ITEM31_4Q01" localSheetId="10">Tags!$O$604</definedName>
    <definedName name="ITEM31_4Q01">Tags_ols!$O$604</definedName>
    <definedName name="ITEM31_4Q02" localSheetId="10">Tags!$T$604</definedName>
    <definedName name="ITEM31_4Q02">Tags_ols!$T$604</definedName>
    <definedName name="ITEM31_4Q03" localSheetId="10">Tags!$Y$604</definedName>
    <definedName name="ITEM31_4Q03">Tags_ols!$Y$604</definedName>
    <definedName name="ITEM31_4Q04" localSheetId="10">Tags!$AD$604</definedName>
    <definedName name="ITEM31_4Q04">Tags_ols!$AD$604</definedName>
    <definedName name="ITEM31_4Q05" localSheetId="10">Tags!$AI$604</definedName>
    <definedName name="ITEM31_4Q05">Tags_ols!$AI$604</definedName>
    <definedName name="ITEM31_4Q06" localSheetId="10">Tags!$AN$604</definedName>
    <definedName name="ITEM31_4Q06">Tags_ols!$AN$604</definedName>
    <definedName name="ITEM31_4Q07" localSheetId="10">Tags!$AS$604</definedName>
    <definedName name="ITEM31_4Q07">Tags_ols!$AS$604</definedName>
    <definedName name="ITEM31_4Q08" localSheetId="10">Tags!$AX$604</definedName>
    <definedName name="ITEM31_4Q08">Tags_ols!$AX$604</definedName>
    <definedName name="ITEM31_4Q09" localSheetId="10">Tags!$BC$604</definedName>
    <definedName name="ITEM31_4Q09">Tags_ols!$BC$604</definedName>
    <definedName name="ITEM31_4Q10" localSheetId="10">Tags!$BH$604</definedName>
    <definedName name="ITEM31_4Q10">Tags_ols!$BH$604</definedName>
    <definedName name="ITEM31_4Q11" localSheetId="10">Tags!$BM$604</definedName>
    <definedName name="ITEM31_4Q11">Tags_ols!$BM$604</definedName>
    <definedName name="ITEM31_4Q12" localSheetId="10">Tags!$BR$604</definedName>
    <definedName name="ITEM31_4Q12">Tags_ols!$BR$604</definedName>
    <definedName name="ITEM31_4Q13" localSheetId="10">Tags!$BW$604</definedName>
    <definedName name="ITEM31_4Q13">Tags_ols!$BW$604</definedName>
    <definedName name="ITEM31_4Q14" localSheetId="10">Tags!$CB$604</definedName>
    <definedName name="ITEM31_4Q14">Tags_ols!$CB$604</definedName>
    <definedName name="ITEM31_4Q15" localSheetId="10">Tags!$CG$604</definedName>
    <definedName name="ITEM31_4Q15">Tags_ols!$CG$604</definedName>
    <definedName name="ITEM31_4Q16" localSheetId="10">Tags!$CL$604</definedName>
    <definedName name="ITEM31_4Q16">Tags_ols!$CL$604</definedName>
    <definedName name="ITEM31_4Q17" localSheetId="10">Tags!$CQ$604</definedName>
    <definedName name="ITEM31_4Q17">Tags_ols!$CQ$604</definedName>
    <definedName name="ITEM31_4Q18" localSheetId="10">Tags!$CV$604</definedName>
    <definedName name="ITEM31_4Q18">Tags_ols!$CV$604</definedName>
    <definedName name="ITEM31_4Q19" localSheetId="10">Tags!$DA$604</definedName>
    <definedName name="ITEM31_4Q19">Tags_ols!$DA$604</definedName>
    <definedName name="ITEM31_4Q20" localSheetId="10">Tags!$DF$604</definedName>
    <definedName name="ITEM31_4Q20">Tags_ols!$DF$604</definedName>
    <definedName name="ITEM31_4Q21">Tags!$DK$604</definedName>
    <definedName name="ITEM31_4Q22">Tags!$DP$604</definedName>
    <definedName name="ITEM31_4Q23">Tags!$DU$604</definedName>
    <definedName name="ITEM31_4Q24">Tags!$DZ$604</definedName>
    <definedName name="ITEM32_1995">Tags_ols!$B$605</definedName>
    <definedName name="ITEM32_1996">Tags_ols!$C$605</definedName>
    <definedName name="ITEM32_1997">Tags_ols!$D$605</definedName>
    <definedName name="ITEM32_1998">Tags_ols!$E$605</definedName>
    <definedName name="ITEM32_1999">Tags_ols!$F$605</definedName>
    <definedName name="ITEM32_1Q00" localSheetId="10">Tags!$G$605</definedName>
    <definedName name="ITEM32_1Q00">Tags_ols!$G$605</definedName>
    <definedName name="ITEM32_1Q01" localSheetId="10">Tags!$L$605</definedName>
    <definedName name="ITEM32_1Q01">Tags_ols!$L$605</definedName>
    <definedName name="ITEM32_1Q02" localSheetId="10">Tags!$Q$605</definedName>
    <definedName name="ITEM32_1Q02">Tags_ols!$Q$605</definedName>
    <definedName name="ITEM32_1Q03" localSheetId="10">Tags!$V$605</definedName>
    <definedName name="ITEM32_1Q03">Tags_ols!$V$605</definedName>
    <definedName name="ITEM32_1Q04" localSheetId="10">Tags!$AA$605</definedName>
    <definedName name="ITEM32_1Q04">Tags_ols!$AA$605</definedName>
    <definedName name="ITEM32_1Q05" localSheetId="10">Tags!$AF$605</definedName>
    <definedName name="ITEM32_1Q05">Tags_ols!$AF$605</definedName>
    <definedName name="ITEM32_1Q06" localSheetId="10">Tags!$AK$605</definedName>
    <definedName name="ITEM32_1Q06">Tags_ols!$AK$605</definedName>
    <definedName name="ITEM32_1Q07" localSheetId="10">Tags!$AP$605</definedName>
    <definedName name="ITEM32_1Q07">Tags_ols!$AP$605</definedName>
    <definedName name="ITEM32_1Q08" localSheetId="10">Tags!$AU$605</definedName>
    <definedName name="ITEM32_1Q08">Tags_ols!$AU$605</definedName>
    <definedName name="ITEM32_1Q09" localSheetId="10">Tags!$AZ$605</definedName>
    <definedName name="ITEM32_1Q09">Tags_ols!$AZ$605</definedName>
    <definedName name="ITEM32_1Q10" localSheetId="10">Tags!$BE$605</definedName>
    <definedName name="ITEM32_1Q10">Tags_ols!$BE$605</definedName>
    <definedName name="ITEM32_1Q11" localSheetId="10">Tags!$BJ$605</definedName>
    <definedName name="ITEM32_1Q11">Tags_ols!$BJ$605</definedName>
    <definedName name="ITEM32_1Q12" localSheetId="10">Tags!$BO$605</definedName>
    <definedName name="ITEM32_1Q12">Tags_ols!$BO$605</definedName>
    <definedName name="ITEM32_1Q13" localSheetId="10">Tags!$BT$605</definedName>
    <definedName name="ITEM32_1Q13">Tags_ols!$BT$605</definedName>
    <definedName name="ITEM32_1Q14" localSheetId="10">Tags!$BY$605</definedName>
    <definedName name="ITEM32_1Q14">Tags_ols!$BY$605</definedName>
    <definedName name="ITEM32_1Q15" localSheetId="10">Tags!$CD$605</definedName>
    <definedName name="ITEM32_1Q15">Tags_ols!$CD$605</definedName>
    <definedName name="ITEM32_1Q16" localSheetId="10">Tags!$CI$605</definedName>
    <definedName name="ITEM32_1Q16">Tags_ols!$CI$605</definedName>
    <definedName name="ITEM32_1Q17" localSheetId="10">Tags!$CN$605</definedName>
    <definedName name="ITEM32_1Q17">Tags_ols!$CN$605</definedName>
    <definedName name="ITEM32_1Q18" localSheetId="10">Tags!$CS$605</definedName>
    <definedName name="ITEM32_1Q18">Tags_ols!$CS$605</definedName>
    <definedName name="ITEM32_1Q19" localSheetId="10">Tags!$CX$605</definedName>
    <definedName name="ITEM32_1Q19">Tags_ols!$CX$605</definedName>
    <definedName name="ITEM32_1Q20" localSheetId="10">Tags!$DC$605</definedName>
    <definedName name="ITEM32_1Q20">Tags_ols!$DC$605</definedName>
    <definedName name="ITEM32_1Q21">Tags!$DH$605</definedName>
    <definedName name="ITEM32_1Q22">Tags!$DM$605</definedName>
    <definedName name="ITEM32_1Q23">Tags!$DR$605</definedName>
    <definedName name="ITEM32_1Q24">Tags!$DW$605</definedName>
    <definedName name="ITEM32_2000" localSheetId="10">Tags!$K$605</definedName>
    <definedName name="ITEM32_2000">Tags_ols!$K$605</definedName>
    <definedName name="ITEM32_2001" localSheetId="10">Tags!$P$605</definedName>
    <definedName name="ITEM32_2001">Tags_ols!$P$605</definedName>
    <definedName name="ITEM32_2002" localSheetId="10">Tags!$U$605</definedName>
    <definedName name="ITEM32_2002">Tags_ols!$U$605</definedName>
    <definedName name="ITEM32_2003" localSheetId="10">Tags!$Z$605</definedName>
    <definedName name="ITEM32_2003">Tags_ols!$Z$605</definedName>
    <definedName name="ITEM32_2004" localSheetId="10">Tags!$AE$605</definedName>
    <definedName name="ITEM32_2004">Tags_ols!$AE$605</definedName>
    <definedName name="ITEM32_2005" localSheetId="10">Tags!$AJ$605</definedName>
    <definedName name="ITEM32_2005">Tags_ols!$AJ$605</definedName>
    <definedName name="ITEM32_2006" localSheetId="10">Tags!$AO$605</definedName>
    <definedName name="ITEM32_2006">Tags_ols!$AO$605</definedName>
    <definedName name="ITEM32_2007" localSheetId="10">Tags!$AT$605</definedName>
    <definedName name="ITEM32_2007">Tags_ols!$AT$605</definedName>
    <definedName name="ITEM32_2008" localSheetId="10">Tags!$AY$605</definedName>
    <definedName name="ITEM32_2008">Tags_ols!$AY$605</definedName>
    <definedName name="ITEM32_2009" localSheetId="10">Tags!$BD$605</definedName>
    <definedName name="ITEM32_2009">Tags_ols!$BD$605</definedName>
    <definedName name="ITEM32_2010" localSheetId="10">Tags!$BI$605</definedName>
    <definedName name="ITEM32_2010">Tags_ols!$BI$605</definedName>
    <definedName name="ITEM32_2011" localSheetId="10">Tags!$BN$605</definedName>
    <definedName name="ITEM32_2011">Tags_ols!$BN$605</definedName>
    <definedName name="ITEM32_2012" localSheetId="10">Tags!$BS$605</definedName>
    <definedName name="ITEM32_2012">Tags_ols!$BS$605</definedName>
    <definedName name="ITEM32_2013" localSheetId="10">Tags!$BX$605</definedName>
    <definedName name="ITEM32_2013">Tags_ols!$BX$605</definedName>
    <definedName name="ITEM32_2014" localSheetId="10">Tags!$CC$605</definedName>
    <definedName name="ITEM32_2014">Tags_ols!$CC$605</definedName>
    <definedName name="ITEM32_2015" localSheetId="10">Tags!#REF!</definedName>
    <definedName name="ITEM32_2015">Tags!$CH$605</definedName>
    <definedName name="ITEM32_2016" localSheetId="10">Tags!$CM$605</definedName>
    <definedName name="ITEM32_2016">Tags_ols!$CM$605</definedName>
    <definedName name="ITEM32_2017" localSheetId="10">Tags!$CR$605</definedName>
    <definedName name="ITEM32_2017">Tags_ols!$CR$605</definedName>
    <definedName name="ITEM32_2018" localSheetId="10">Tags!$CW$605</definedName>
    <definedName name="ITEM32_2018">Tags_ols!$CW$605</definedName>
    <definedName name="ITEM32_2019" localSheetId="10">Tags!$DB$605</definedName>
    <definedName name="ITEM32_2019">Tags_ols!$DB$605</definedName>
    <definedName name="ITEM32_2020" localSheetId="10">Tags!$DG$605</definedName>
    <definedName name="ITEM32_2020">Tags_ols!$DG$605</definedName>
    <definedName name="ITEM32_2021">Tags!$DL$605</definedName>
    <definedName name="ITEM32_2022">Tags!$DQ$605</definedName>
    <definedName name="ITEM32_2023">Tags!$DV$605</definedName>
    <definedName name="ITEM32_2024">Tags!$EA$605</definedName>
    <definedName name="ITEM32_2Q00" localSheetId="10">Tags!$H$605</definedName>
    <definedName name="ITEM32_2Q00">Tags_ols!$H$605</definedName>
    <definedName name="ITEM32_2Q01" localSheetId="10">Tags!$M$605</definedName>
    <definedName name="ITEM32_2Q01">Tags_ols!$M$605</definedName>
    <definedName name="ITEM32_2Q02" localSheetId="10">Tags!$R$605</definedName>
    <definedName name="ITEM32_2Q02">Tags_ols!$R$605</definedName>
    <definedName name="ITEM32_2Q03" localSheetId="10">Tags!$W$605</definedName>
    <definedName name="ITEM32_2Q03">Tags_ols!$W$605</definedName>
    <definedName name="ITEM32_2Q04" localSheetId="10">Tags!$AB$605</definedName>
    <definedName name="ITEM32_2Q04">Tags_ols!$AB$605</definedName>
    <definedName name="ITEM32_2Q05" localSheetId="10">Tags!$AG$605</definedName>
    <definedName name="ITEM32_2Q05">Tags_ols!$AG$605</definedName>
    <definedName name="ITEM32_2Q06" localSheetId="10">Tags!$AL$605</definedName>
    <definedName name="ITEM32_2Q06">Tags_ols!$AL$605</definedName>
    <definedName name="ITEM32_2Q07" localSheetId="10">Tags!$AQ$605</definedName>
    <definedName name="ITEM32_2Q07">Tags_ols!$AQ$605</definedName>
    <definedName name="ITEM32_2Q08" localSheetId="10">Tags!$AV$605</definedName>
    <definedName name="ITEM32_2Q08">Tags_ols!$AV$605</definedName>
    <definedName name="ITEM32_2Q09" localSheetId="10">Tags!$BA$605</definedName>
    <definedName name="ITEM32_2Q09">Tags_ols!$BA$605</definedName>
    <definedName name="ITEM32_2Q10" localSheetId="10">Tags!$BF$605</definedName>
    <definedName name="ITEM32_2Q10">Tags_ols!$BF$605</definedName>
    <definedName name="ITEM32_2Q11" localSheetId="10">Tags!$BK$605</definedName>
    <definedName name="ITEM32_2Q11">Tags_ols!$BK$605</definedName>
    <definedName name="ITEM32_2Q12" localSheetId="10">Tags!$BP$605</definedName>
    <definedName name="ITEM32_2Q12">Tags_ols!$BP$605</definedName>
    <definedName name="ITEM32_2Q13" localSheetId="10">Tags!$BU$605</definedName>
    <definedName name="ITEM32_2Q13">Tags_ols!$BU$605</definedName>
    <definedName name="ITEM32_2Q14" localSheetId="10">Tags!$BZ$605</definedName>
    <definedName name="ITEM32_2Q14">Tags_ols!$BZ$605</definedName>
    <definedName name="ITEM32_2Q15" localSheetId="10">Tags!$CE$605</definedName>
    <definedName name="ITEM32_2Q15">Tags_ols!$CE$605</definedName>
    <definedName name="ITEM32_2Q16" localSheetId="10">Tags!$CJ$605</definedName>
    <definedName name="ITEM32_2Q16">Tags_ols!$CJ$605</definedName>
    <definedName name="ITEM32_2Q17" localSheetId="10">Tags!$CO$605</definedName>
    <definedName name="ITEM32_2Q17">Tags_ols!$CO$605</definedName>
    <definedName name="ITEM32_2Q18" localSheetId="10">Tags!$CT$605</definedName>
    <definedName name="ITEM32_2Q18">Tags_ols!$CT$605</definedName>
    <definedName name="ITEM32_2Q19" localSheetId="10">Tags!$CY$605</definedName>
    <definedName name="ITEM32_2Q19">Tags_ols!$CY$605</definedName>
    <definedName name="ITEM32_2Q20" localSheetId="10">Tags!$DD$605</definedName>
    <definedName name="ITEM32_2Q20">Tags_ols!$DD$605</definedName>
    <definedName name="ITEM32_2Q21">Tags!$DI$605</definedName>
    <definedName name="ITEM32_2Q22">Tags!$DN$605</definedName>
    <definedName name="ITEM32_2Q23">Tags!$DS$605</definedName>
    <definedName name="ITEM32_2Q24">Tags!$DX$605</definedName>
    <definedName name="ITEM32_3Q00" localSheetId="10">Tags!$I$605</definedName>
    <definedName name="ITEM32_3Q00">Tags_ols!$I$605</definedName>
    <definedName name="ITEM32_3Q01" localSheetId="10">Tags!$N$605</definedName>
    <definedName name="ITEM32_3Q01">Tags_ols!$N$605</definedName>
    <definedName name="ITEM32_3Q02" localSheetId="10">Tags!$S$605</definedName>
    <definedName name="ITEM32_3Q02">Tags_ols!$S$605</definedName>
    <definedName name="ITEM32_3Q03" localSheetId="10">Tags!$X$605</definedName>
    <definedName name="ITEM32_3Q03">Tags_ols!$X$605</definedName>
    <definedName name="ITEM32_3Q04" localSheetId="10">Tags!$AC$605</definedName>
    <definedName name="ITEM32_3Q04">Tags_ols!$AC$605</definedName>
    <definedName name="ITEM32_3Q05" localSheetId="10">Tags!$AH$605</definedName>
    <definedName name="ITEM32_3Q05">Tags_ols!$AH$605</definedName>
    <definedName name="ITEM32_3Q06" localSheetId="10">Tags!$AM$605</definedName>
    <definedName name="ITEM32_3Q06">Tags_ols!$AM$605</definedName>
    <definedName name="ITEM32_3Q07" localSheetId="10">Tags!$AR$605</definedName>
    <definedName name="ITEM32_3Q07">Tags_ols!$AR$605</definedName>
    <definedName name="ITEM32_3Q08" localSheetId="10">Tags!$AW$605</definedName>
    <definedName name="ITEM32_3Q08">Tags_ols!$AW$605</definedName>
    <definedName name="ITEM32_3Q09" localSheetId="10">Tags!$BB$605</definedName>
    <definedName name="ITEM32_3Q09">Tags_ols!$BB$605</definedName>
    <definedName name="ITEM32_3Q10" localSheetId="10">Tags!$BG$605</definedName>
    <definedName name="ITEM32_3Q10">Tags_ols!$BG$605</definedName>
    <definedName name="ITEM32_3Q11" localSheetId="10">Tags!$BL$605</definedName>
    <definedName name="ITEM32_3Q11">Tags_ols!$BL$605</definedName>
    <definedName name="ITEM32_3Q12" localSheetId="10">Tags!$BQ$605</definedName>
    <definedName name="ITEM32_3Q12">Tags_ols!$BQ$605</definedName>
    <definedName name="ITEM32_3Q13" localSheetId="10">Tags!$BV$605</definedName>
    <definedName name="ITEM32_3Q13">Tags_ols!$BV$605</definedName>
    <definedName name="ITEM32_3Q14" localSheetId="10">Tags!$CA$605</definedName>
    <definedName name="ITEM32_3Q14">Tags_ols!$CA$605</definedName>
    <definedName name="ITEM32_3Q15" localSheetId="10">Tags!$CF$605</definedName>
    <definedName name="ITEM32_3Q15">Tags_ols!$CF$605</definedName>
    <definedName name="ITEM32_3Q16" localSheetId="10">Tags!$CK$605</definedName>
    <definedName name="ITEM32_3Q16">Tags_ols!$CK$605</definedName>
    <definedName name="ITEM32_3Q17" localSheetId="10">Tags!$CP$605</definedName>
    <definedName name="ITEM32_3Q17">Tags_ols!$CP$605</definedName>
    <definedName name="ITEM32_3Q18" localSheetId="10">Tags!$CU$605</definedName>
    <definedName name="ITEM32_3Q18">Tags_ols!$CU$605</definedName>
    <definedName name="ITEM32_3Q19" localSheetId="10">Tags!$CZ$605</definedName>
    <definedName name="ITEM32_3Q19">Tags_ols!$CZ$605</definedName>
    <definedName name="ITEM32_3Q20" localSheetId="10">Tags!$DE$605</definedName>
    <definedName name="ITEM32_3Q20">Tags_ols!$DE$605</definedName>
    <definedName name="ITEM32_3Q21">Tags!$DJ$605</definedName>
    <definedName name="ITEM32_3Q22">Tags!$DO$605</definedName>
    <definedName name="ITEM32_3Q23">Tags!$DT$605</definedName>
    <definedName name="ITEM32_3Q24">Tags!$DY$605</definedName>
    <definedName name="ITEM32_4Q00" localSheetId="10">Tags!$J$605</definedName>
    <definedName name="ITEM32_4Q00">Tags_ols!$J$605</definedName>
    <definedName name="ITEM32_4Q01" localSheetId="10">Tags!$O$605</definedName>
    <definedName name="ITEM32_4Q01">Tags_ols!$O$605</definedName>
    <definedName name="ITEM32_4Q02" localSheetId="10">Tags!$T$605</definedName>
    <definedName name="ITEM32_4Q02">Tags_ols!$T$605</definedName>
    <definedName name="ITEM32_4Q03" localSheetId="10">Tags!$Y$605</definedName>
    <definedName name="ITEM32_4Q03">Tags_ols!$Y$605</definedName>
    <definedName name="ITEM32_4Q04" localSheetId="10">Tags!$AD$605</definedName>
    <definedName name="ITEM32_4Q04">Tags_ols!$AD$605</definedName>
    <definedName name="ITEM32_4Q05" localSheetId="10">Tags!$AI$605</definedName>
    <definedName name="ITEM32_4Q05">Tags_ols!$AI$605</definedName>
    <definedName name="ITEM32_4Q06" localSheetId="10">Tags!$AN$605</definedName>
    <definedName name="ITEM32_4Q06">Tags_ols!$AN$605</definedName>
    <definedName name="ITEM32_4Q07" localSheetId="10">Tags!$AS$605</definedName>
    <definedName name="ITEM32_4Q07">Tags_ols!$AS$605</definedName>
    <definedName name="ITEM32_4Q08" localSheetId="10">Tags!$AX$605</definedName>
    <definedName name="ITEM32_4Q08">Tags_ols!$AX$605</definedName>
    <definedName name="ITEM32_4Q09" localSheetId="10">Tags!$BC$605</definedName>
    <definedName name="ITEM32_4Q09">Tags_ols!$BC$605</definedName>
    <definedName name="ITEM32_4Q10" localSheetId="10">Tags!$BH$605</definedName>
    <definedName name="ITEM32_4Q10">Tags_ols!$BH$605</definedName>
    <definedName name="ITEM32_4Q11" localSheetId="10">Tags!$BM$605</definedName>
    <definedName name="ITEM32_4Q11">Tags_ols!$BM$605</definedName>
    <definedName name="ITEM32_4Q12" localSheetId="10">Tags!$BR$605</definedName>
    <definedName name="ITEM32_4Q12">Tags_ols!$BR$605</definedName>
    <definedName name="ITEM32_4Q13" localSheetId="10">Tags!$BW$605</definedName>
    <definedName name="ITEM32_4Q13">Tags_ols!$BW$605</definedName>
    <definedName name="ITEM32_4Q14" localSheetId="10">Tags!$CB$605</definedName>
    <definedName name="ITEM32_4Q14">Tags_ols!$CB$605</definedName>
    <definedName name="ITEM32_4Q15" localSheetId="10">Tags!$CG$605</definedName>
    <definedName name="ITEM32_4Q15">Tags_ols!$CG$605</definedName>
    <definedName name="ITEM32_4Q16" localSheetId="10">Tags!$CL$605</definedName>
    <definedName name="ITEM32_4Q16">Tags_ols!$CL$605</definedName>
    <definedName name="ITEM32_4Q17" localSheetId="10">Tags!$CQ$605</definedName>
    <definedName name="ITEM32_4Q17">Tags_ols!$CQ$605</definedName>
    <definedName name="ITEM32_4Q18" localSheetId="10">Tags!$CV$605</definedName>
    <definedName name="ITEM32_4Q18">Tags_ols!$CV$605</definedName>
    <definedName name="ITEM32_4Q19" localSheetId="10">Tags!$DA$605</definedName>
    <definedName name="ITEM32_4Q19">Tags_ols!$DA$605</definedName>
    <definedName name="ITEM32_4Q20" localSheetId="10">Tags!$DF$605</definedName>
    <definedName name="ITEM32_4Q20">Tags_ols!$DF$605</definedName>
    <definedName name="ITEM32_4Q21">Tags!$DK$605</definedName>
    <definedName name="ITEM32_4Q22">Tags!$DP$605</definedName>
    <definedName name="ITEM32_4Q23">Tags!$DU$605</definedName>
    <definedName name="ITEM32_4Q24">Tags!$DZ$605</definedName>
    <definedName name="ITEM33_1995">Tags_ols!$B$606</definedName>
    <definedName name="ITEM33_1996">Tags_ols!$C$606</definedName>
    <definedName name="ITEM33_1997">Tags_ols!$D$606</definedName>
    <definedName name="ITEM33_1998">Tags_ols!$E$606</definedName>
    <definedName name="ITEM33_1999">Tags_ols!$F$606</definedName>
    <definedName name="ITEM33_1Q00" localSheetId="10">Tags!$G$606</definedName>
    <definedName name="ITEM33_1Q00">Tags_ols!$G$606</definedName>
    <definedName name="ITEM33_1Q01" localSheetId="10">Tags!$L$606</definedName>
    <definedName name="ITEM33_1Q01">Tags_ols!$L$606</definedName>
    <definedName name="ITEM33_1Q02" localSheetId="10">Tags!$Q$606</definedName>
    <definedName name="ITEM33_1Q02">Tags_ols!$Q$606</definedName>
    <definedName name="ITEM33_1Q03" localSheetId="10">Tags!$V$606</definedName>
    <definedName name="ITEM33_1Q03">Tags_ols!$V$606</definedName>
    <definedName name="ITEM33_1Q04" localSheetId="10">Tags!$AA$606</definedName>
    <definedName name="ITEM33_1Q04">Tags_ols!$AA$606</definedName>
    <definedName name="ITEM33_1Q05" localSheetId="10">Tags!$AF$606</definedName>
    <definedName name="ITEM33_1Q05">Tags_ols!$AF$606</definedName>
    <definedName name="ITEM33_1Q06" localSheetId="10">Tags!$AK$606</definedName>
    <definedName name="ITEM33_1Q06">Tags_ols!$AK$606</definedName>
    <definedName name="ITEM33_1Q07" localSheetId="10">Tags!$AP$606</definedName>
    <definedName name="ITEM33_1Q07">Tags_ols!$AP$606</definedName>
    <definedName name="ITEM33_1Q08" localSheetId="10">Tags!$AU$606</definedName>
    <definedName name="ITEM33_1Q08">Tags_ols!$AU$606</definedName>
    <definedName name="ITEM33_1Q09" localSheetId="10">Tags!$AZ$606</definedName>
    <definedName name="ITEM33_1Q09">Tags_ols!$AZ$606</definedName>
    <definedName name="ITEM33_1Q10" localSheetId="10">Tags!$BE$606</definedName>
    <definedName name="ITEM33_1Q10">Tags_ols!$BE$606</definedName>
    <definedName name="ITEM33_1Q11" localSheetId="10">Tags!$BJ$606</definedName>
    <definedName name="ITEM33_1Q11">Tags_ols!$BJ$606</definedName>
    <definedName name="ITEM33_1Q12" localSheetId="10">Tags!$BO$606</definedName>
    <definedName name="ITEM33_1Q12">Tags_ols!$BO$606</definedName>
    <definedName name="ITEM33_1Q13" localSheetId="10">Tags!$BT$606</definedName>
    <definedName name="ITEM33_1Q13">Tags_ols!$BT$606</definedName>
    <definedName name="ITEM33_1Q14" localSheetId="10">Tags!$BY$606</definedName>
    <definedName name="ITEM33_1Q14">Tags_ols!$BY$606</definedName>
    <definedName name="ITEM33_1Q15" localSheetId="10">Tags!$CD$606</definedName>
    <definedName name="ITEM33_1Q15">Tags_ols!$CD$606</definedName>
    <definedName name="ITEM33_1Q16" localSheetId="10">Tags!$CI$606</definedName>
    <definedName name="ITEM33_1Q16">Tags_ols!$CI$606</definedName>
    <definedName name="ITEM33_1Q17" localSheetId="10">Tags!$CN$606</definedName>
    <definedName name="ITEM33_1Q17">Tags_ols!$CN$606</definedName>
    <definedName name="ITEM33_1Q18" localSheetId="10">Tags!$CS$606</definedName>
    <definedName name="ITEM33_1Q18">Tags_ols!$CS$606</definedName>
    <definedName name="ITEM33_1Q19" localSheetId="10">Tags!$CX$606</definedName>
    <definedName name="ITEM33_1Q19">Tags_ols!$CX$606</definedName>
    <definedName name="ITEM33_1Q20" localSheetId="10">Tags!$DC$606</definedName>
    <definedName name="ITEM33_1Q20">Tags_ols!$DC$606</definedName>
    <definedName name="ITEM33_1Q21">Tags!$DH$606</definedName>
    <definedName name="ITEM33_1Q22">Tags!$DM$606</definedName>
    <definedName name="ITEM33_1Q23">Tags!$DR$606</definedName>
    <definedName name="ITEM33_1Q24">Tags!$DW$606</definedName>
    <definedName name="ITEM33_2000" localSheetId="10">Tags!$K$606</definedName>
    <definedName name="ITEM33_2000">Tags_ols!$K$606</definedName>
    <definedName name="ITEM33_2001" localSheetId="10">Tags!$P$606</definedName>
    <definedName name="ITEM33_2001">Tags_ols!$P$606</definedName>
    <definedName name="ITEM33_2002" localSheetId="10">Tags!$U$606</definedName>
    <definedName name="ITEM33_2002">Tags_ols!$U$606</definedName>
    <definedName name="ITEM33_2003" localSheetId="10">Tags!$Z$606</definedName>
    <definedName name="ITEM33_2003">Tags_ols!$Z$606</definedName>
    <definedName name="ITEM33_2004" localSheetId="10">Tags!$AE$606</definedName>
    <definedName name="ITEM33_2004">Tags_ols!$AE$606</definedName>
    <definedName name="ITEM33_2005" localSheetId="10">Tags!$AJ$606</definedName>
    <definedName name="ITEM33_2005">Tags_ols!$AJ$606</definedName>
    <definedName name="ITEM33_2006" localSheetId="10">Tags!$AO$606</definedName>
    <definedName name="ITEM33_2006">Tags_ols!$AO$606</definedName>
    <definedName name="ITEM33_2007" localSheetId="10">Tags!$AT$606</definedName>
    <definedName name="ITEM33_2007">Tags_ols!$AT$606</definedName>
    <definedName name="ITEM33_2008" localSheetId="10">Tags!$AY$606</definedName>
    <definedName name="ITEM33_2008">Tags_ols!$AY$606</definedName>
    <definedName name="ITEM33_2009" localSheetId="10">Tags!$BD$606</definedName>
    <definedName name="ITEM33_2009">Tags_ols!$BD$606</definedName>
    <definedName name="ITEM33_2010" localSheetId="10">Tags!$BI$606</definedName>
    <definedName name="ITEM33_2010">Tags_ols!$BI$606</definedName>
    <definedName name="ITEM33_2011" localSheetId="10">Tags!$BN$606</definedName>
    <definedName name="ITEM33_2011">Tags_ols!$BN$606</definedName>
    <definedName name="ITEM33_2012" localSheetId="10">Tags!$BS$606</definedName>
    <definedName name="ITEM33_2012">Tags_ols!$BS$606</definedName>
    <definedName name="ITEM33_2013" localSheetId="10">Tags!$BX$606</definedName>
    <definedName name="ITEM33_2013">Tags_ols!$BX$606</definedName>
    <definedName name="ITEM33_2014" localSheetId="10">Tags!$CC$606</definedName>
    <definedName name="ITEM33_2014">Tags_ols!$CC$606</definedName>
    <definedName name="ITEM33_2015" localSheetId="10">Tags!#REF!</definedName>
    <definedName name="ITEM33_2015">Tags!$CH$606</definedName>
    <definedName name="ITEM33_2016" localSheetId="10">Tags!$CM$606</definedName>
    <definedName name="ITEM33_2016">Tags_ols!$CM$606</definedName>
    <definedName name="ITEM33_2017" localSheetId="10">Tags!$CR$606</definedName>
    <definedName name="ITEM33_2017">Tags_ols!$CR$606</definedName>
    <definedName name="ITEM33_2018" localSheetId="10">Tags!$CW$606</definedName>
    <definedName name="ITEM33_2018">Tags_ols!$CW$606</definedName>
    <definedName name="ITEM33_2019" localSheetId="10">Tags!$DB$606</definedName>
    <definedName name="ITEM33_2019">Tags_ols!$DB$606</definedName>
    <definedName name="ITEM33_2020" localSheetId="10">Tags!$DG$606</definedName>
    <definedName name="ITEM33_2020">Tags_ols!$DG$606</definedName>
    <definedName name="ITEM33_2021">Tags!$DL$606</definedName>
    <definedName name="ITEM33_2022">Tags!$DQ$606</definedName>
    <definedName name="ITEM33_2023">Tags!$DV$606</definedName>
    <definedName name="ITEM33_2024">Tags!$EA$606</definedName>
    <definedName name="ITEM33_2Q00" localSheetId="10">Tags!$H$606</definedName>
    <definedName name="ITEM33_2Q00">Tags_ols!$H$606</definedName>
    <definedName name="ITEM33_2Q01" localSheetId="10">Tags!$M$606</definedName>
    <definedName name="ITEM33_2Q01">Tags_ols!$M$606</definedName>
    <definedName name="ITEM33_2Q02" localSheetId="10">Tags!$R$606</definedName>
    <definedName name="ITEM33_2Q02">Tags_ols!$R$606</definedName>
    <definedName name="ITEM33_2Q03" localSheetId="10">Tags!$W$606</definedName>
    <definedName name="ITEM33_2Q03">Tags_ols!$W$606</definedName>
    <definedName name="ITEM33_2Q04" localSheetId="10">Tags!$AB$606</definedName>
    <definedName name="ITEM33_2Q04">Tags_ols!$AB$606</definedName>
    <definedName name="ITEM33_2Q05" localSheetId="10">Tags!$AG$606</definedName>
    <definedName name="ITEM33_2Q05">Tags_ols!$AG$606</definedName>
    <definedName name="ITEM33_2Q06" localSheetId="10">Tags!$AL$606</definedName>
    <definedName name="ITEM33_2Q06">Tags_ols!$AL$606</definedName>
    <definedName name="ITEM33_2Q07" localSheetId="10">Tags!$AQ$606</definedName>
    <definedName name="ITEM33_2Q07">Tags_ols!$AQ$606</definedName>
    <definedName name="ITEM33_2Q08" localSheetId="10">Tags!$AV$606</definedName>
    <definedName name="ITEM33_2Q08">Tags_ols!$AV$606</definedName>
    <definedName name="ITEM33_2Q09" localSheetId="10">Tags!$BA$606</definedName>
    <definedName name="ITEM33_2Q09">Tags_ols!$BA$606</definedName>
    <definedName name="ITEM33_2Q10" localSheetId="10">Tags!$BF$606</definedName>
    <definedName name="ITEM33_2Q10">Tags_ols!$BF$606</definedName>
    <definedName name="ITEM33_2Q11" localSheetId="10">Tags!$BK$606</definedName>
    <definedName name="ITEM33_2Q11">Tags_ols!$BK$606</definedName>
    <definedName name="ITEM33_2Q12" localSheetId="10">Tags!$BP$606</definedName>
    <definedName name="ITEM33_2Q12">Tags_ols!$BP$606</definedName>
    <definedName name="ITEM33_2Q13" localSheetId="10">Tags!$BU$606</definedName>
    <definedName name="ITEM33_2Q13">Tags_ols!$BU$606</definedName>
    <definedName name="ITEM33_2Q14" localSheetId="10">Tags!$BZ$606</definedName>
    <definedName name="ITEM33_2Q14">Tags_ols!$BZ$606</definedName>
    <definedName name="ITEM33_2Q15" localSheetId="10">Tags!$CE$606</definedName>
    <definedName name="ITEM33_2Q15">Tags_ols!$CE$606</definedName>
    <definedName name="ITEM33_2Q16" localSheetId="10">Tags!$CJ$606</definedName>
    <definedName name="ITEM33_2Q16">Tags_ols!$CJ$606</definedName>
    <definedName name="ITEM33_2Q17" localSheetId="10">Tags!$CO$606</definedName>
    <definedName name="ITEM33_2Q17">Tags_ols!$CO$606</definedName>
    <definedName name="ITEM33_2Q18" localSheetId="10">Tags!$CT$606</definedName>
    <definedName name="ITEM33_2Q18">Tags_ols!$CT$606</definedName>
    <definedName name="ITEM33_2Q19" localSheetId="10">Tags!$CY$606</definedName>
    <definedName name="ITEM33_2Q19">Tags_ols!$CY$606</definedName>
    <definedName name="ITEM33_2Q20" localSheetId="10">Tags!$DD$606</definedName>
    <definedName name="ITEM33_2Q20">Tags_ols!$DD$606</definedName>
    <definedName name="ITEM33_2Q21">Tags!$DI$606</definedName>
    <definedName name="ITEM33_2Q22">Tags!$DN$606</definedName>
    <definedName name="ITEM33_2Q23">Tags!$DS$606</definedName>
    <definedName name="ITEM33_2Q24">Tags!$DX$606</definedName>
    <definedName name="ITEM33_3Q00" localSheetId="10">Tags!$I$606</definedName>
    <definedName name="ITEM33_3Q00">Tags_ols!$I$606</definedName>
    <definedName name="ITEM33_3Q01" localSheetId="10">Tags!$N$606</definedName>
    <definedName name="ITEM33_3Q01">Tags_ols!$N$606</definedName>
    <definedName name="ITEM33_3Q02" localSheetId="10">Tags!$S$606</definedName>
    <definedName name="ITEM33_3Q02">Tags_ols!$S$606</definedName>
    <definedName name="ITEM33_3Q03" localSheetId="10">Tags!$X$606</definedName>
    <definedName name="ITEM33_3Q03">Tags_ols!$X$606</definedName>
    <definedName name="ITEM33_3Q04" localSheetId="10">Tags!$AC$606</definedName>
    <definedName name="ITEM33_3Q04">Tags_ols!$AC$606</definedName>
    <definedName name="ITEM33_3Q05" localSheetId="10">Tags!$AH$606</definedName>
    <definedName name="ITEM33_3Q05">Tags_ols!$AH$606</definedName>
    <definedName name="ITEM33_3Q06" localSheetId="10">Tags!$AM$606</definedName>
    <definedName name="ITEM33_3Q06">Tags_ols!$AM$606</definedName>
    <definedName name="ITEM33_3Q07" localSheetId="10">Tags!$AR$606</definedName>
    <definedName name="ITEM33_3Q07">Tags_ols!$AR$606</definedName>
    <definedName name="ITEM33_3Q08" localSheetId="10">Tags!$AW$606</definedName>
    <definedName name="ITEM33_3Q08">Tags_ols!$AW$606</definedName>
    <definedName name="ITEM33_3Q09" localSheetId="10">Tags!$BB$606</definedName>
    <definedName name="ITEM33_3Q09">Tags_ols!$BB$606</definedName>
    <definedName name="ITEM33_3Q10" localSheetId="10">Tags!$BG$606</definedName>
    <definedName name="ITEM33_3Q10">Tags_ols!$BG$606</definedName>
    <definedName name="ITEM33_3Q11" localSheetId="10">Tags!$BL$606</definedName>
    <definedName name="ITEM33_3Q11">Tags_ols!$BL$606</definedName>
    <definedName name="ITEM33_3Q12" localSheetId="10">Tags!$BQ$606</definedName>
    <definedName name="ITEM33_3Q12">Tags_ols!$BQ$606</definedName>
    <definedName name="ITEM33_3Q13" localSheetId="10">Tags!$BV$606</definedName>
    <definedName name="ITEM33_3Q13">Tags_ols!$BV$606</definedName>
    <definedName name="ITEM33_3Q14" localSheetId="10">Tags!$CA$606</definedName>
    <definedName name="ITEM33_3Q14">Tags_ols!$CA$606</definedName>
    <definedName name="ITEM33_3Q15" localSheetId="10">Tags!$CF$606</definedName>
    <definedName name="ITEM33_3Q15">Tags_ols!$CF$606</definedName>
    <definedName name="ITEM33_3Q16" localSheetId="10">Tags!$CK$606</definedName>
    <definedName name="ITEM33_3Q16">Tags_ols!$CK$606</definedName>
    <definedName name="ITEM33_3Q17" localSheetId="10">Tags!$CP$606</definedName>
    <definedName name="ITEM33_3Q17">Tags_ols!$CP$606</definedName>
    <definedName name="ITEM33_3Q18" localSheetId="10">Tags!$CU$606</definedName>
    <definedName name="ITEM33_3Q18">Tags_ols!$CU$606</definedName>
    <definedName name="ITEM33_3Q19" localSheetId="10">Tags!$CZ$606</definedName>
    <definedName name="ITEM33_3Q19">Tags_ols!$CZ$606</definedName>
    <definedName name="ITEM33_3Q20" localSheetId="10">Tags!$DE$606</definedName>
    <definedName name="ITEM33_3Q20">Tags_ols!$DE$606</definedName>
    <definedName name="ITEM33_3Q21">Tags!$DJ$606</definedName>
    <definedName name="ITEM33_3Q22">Tags!$DO$606</definedName>
    <definedName name="ITEM33_3Q23">Tags!$DT$606</definedName>
    <definedName name="ITEM33_3Q24">Tags!$DY$606</definedName>
    <definedName name="ITEM33_4Q00" localSheetId="10">Tags!$J$606</definedName>
    <definedName name="ITEM33_4Q00">Tags_ols!$J$606</definedName>
    <definedName name="ITEM33_4Q01" localSheetId="10">Tags!$O$606</definedName>
    <definedName name="ITEM33_4Q01">Tags_ols!$O$606</definedName>
    <definedName name="ITEM33_4Q02" localSheetId="10">Tags!$T$606</definedName>
    <definedName name="ITEM33_4Q02">Tags_ols!$T$606</definedName>
    <definedName name="ITEM33_4Q03" localSheetId="10">Tags!$Y$606</definedName>
    <definedName name="ITEM33_4Q03">Tags_ols!$Y$606</definedName>
    <definedName name="ITEM33_4Q04" localSheetId="10">Tags!$AD$606</definedName>
    <definedName name="ITEM33_4Q04">Tags_ols!$AD$606</definedName>
    <definedName name="ITEM33_4Q05" localSheetId="10">Tags!$AI$606</definedName>
    <definedName name="ITEM33_4Q05">Tags_ols!$AI$606</definedName>
    <definedName name="ITEM33_4Q06" localSheetId="10">Tags!$AN$606</definedName>
    <definedName name="ITEM33_4Q06">Tags_ols!$AN$606</definedName>
    <definedName name="ITEM33_4Q07" localSheetId="10">Tags!$AS$606</definedName>
    <definedName name="ITEM33_4Q07">Tags_ols!$AS$606</definedName>
    <definedName name="ITEM33_4Q08" localSheetId="10">Tags!$AX$606</definedName>
    <definedName name="ITEM33_4Q08">Tags_ols!$AX$606</definedName>
    <definedName name="ITEM33_4Q09" localSheetId="10">Tags!$BC$606</definedName>
    <definedName name="ITEM33_4Q09">Tags_ols!$BC$606</definedName>
    <definedName name="ITEM33_4Q10" localSheetId="10">Tags!$BH$606</definedName>
    <definedName name="ITEM33_4Q10">Tags_ols!$BH$606</definedName>
    <definedName name="ITEM33_4Q11" localSheetId="10">Tags!$BM$606</definedName>
    <definedName name="ITEM33_4Q11">Tags_ols!$BM$606</definedName>
    <definedName name="ITEM33_4Q12" localSheetId="10">Tags!$BR$606</definedName>
    <definedName name="ITEM33_4Q12">Tags_ols!$BR$606</definedName>
    <definedName name="ITEM33_4Q13" localSheetId="10">Tags!$BW$606</definedName>
    <definedName name="ITEM33_4Q13">Tags_ols!$BW$606</definedName>
    <definedName name="ITEM33_4Q14" localSheetId="10">Tags!$CB$606</definedName>
    <definedName name="ITEM33_4Q14">Tags_ols!$CB$606</definedName>
    <definedName name="ITEM33_4Q15" localSheetId="10">Tags!$CG$606</definedName>
    <definedName name="ITEM33_4Q15">Tags_ols!$CG$606</definedName>
    <definedName name="ITEM33_4Q16" localSheetId="10">Tags!$CL$606</definedName>
    <definedName name="ITEM33_4Q16">Tags_ols!$CL$606</definedName>
    <definedName name="ITEM33_4Q17" localSheetId="10">Tags!$CQ$606</definedName>
    <definedName name="ITEM33_4Q17">Tags_ols!$CQ$606</definedName>
    <definedName name="ITEM33_4Q18" localSheetId="10">Tags!$CV$606</definedName>
    <definedName name="ITEM33_4Q18">Tags_ols!$CV$606</definedName>
    <definedName name="ITEM33_4Q19" localSheetId="10">Tags!$DA$606</definedName>
    <definedName name="ITEM33_4Q19">Tags_ols!$DA$606</definedName>
    <definedName name="ITEM33_4Q20" localSheetId="10">Tags!$DF$606</definedName>
    <definedName name="ITEM33_4Q20">Tags_ols!$DF$606</definedName>
    <definedName name="ITEM33_4Q21">Tags!$DK$606</definedName>
    <definedName name="ITEM33_4Q22">Tags!$DP$606</definedName>
    <definedName name="ITEM33_4Q23">Tags!$DU$606</definedName>
    <definedName name="ITEM33_4Q24">Tags!$DZ$606</definedName>
    <definedName name="ITEM34_1995">Tags_ols!$B$607</definedName>
    <definedName name="ITEM34_1996">Tags_ols!$C$607</definedName>
    <definedName name="ITEM34_1997">Tags_ols!$D$607</definedName>
    <definedName name="ITEM34_1998">Tags_ols!$E$607</definedName>
    <definedName name="ITEM34_1999">Tags_ols!$F$607</definedName>
    <definedName name="ITEM34_1Q00" localSheetId="10">Tags!$G$607</definedName>
    <definedName name="ITEM34_1Q00">Tags_ols!$G$607</definedName>
    <definedName name="ITEM34_1Q01" localSheetId="10">Tags!$L$607</definedName>
    <definedName name="ITEM34_1Q01">Tags_ols!$L$607</definedName>
    <definedName name="ITEM34_1Q02" localSheetId="10">Tags!$Q$607</definedName>
    <definedName name="ITEM34_1Q02">Tags_ols!$Q$607</definedName>
    <definedName name="ITEM34_1Q03" localSheetId="10">Tags!$V$607</definedName>
    <definedName name="ITEM34_1Q03">Tags_ols!$V$607</definedName>
    <definedName name="ITEM34_1Q04" localSheetId="10">Tags!$AA$607</definedName>
    <definedName name="ITEM34_1Q04">Tags_ols!$AA$607</definedName>
    <definedName name="ITEM34_1Q05" localSheetId="10">Tags!$AF$607</definedName>
    <definedName name="ITEM34_1Q05">Tags_ols!$AF$607</definedName>
    <definedName name="ITEM34_1Q06" localSheetId="10">Tags!$AK$607</definedName>
    <definedName name="ITEM34_1Q06">Tags_ols!$AK$607</definedName>
    <definedName name="ITEM34_1Q07" localSheetId="10">Tags!$AP$607</definedName>
    <definedName name="ITEM34_1Q07">Tags_ols!$AP$607</definedName>
    <definedName name="ITEM34_1Q08" localSheetId="10">Tags!$AU$607</definedName>
    <definedName name="ITEM34_1Q08">Tags_ols!$AU$607</definedName>
    <definedName name="ITEM34_1Q09" localSheetId="10">Tags!$AZ$607</definedName>
    <definedName name="ITEM34_1Q09">Tags_ols!$AZ$607</definedName>
    <definedName name="ITEM34_1Q10" localSheetId="10">Tags!$BE$607</definedName>
    <definedName name="ITEM34_1Q10">Tags_ols!$BE$607</definedName>
    <definedName name="ITEM34_1Q11" localSheetId="10">Tags!$BJ$607</definedName>
    <definedName name="ITEM34_1Q11">Tags_ols!$BJ$607</definedName>
    <definedName name="ITEM34_1Q12" localSheetId="10">Tags!$BO$607</definedName>
    <definedName name="ITEM34_1Q12">Tags_ols!$BO$607</definedName>
    <definedName name="ITEM34_1Q13" localSheetId="10">Tags!$BT$607</definedName>
    <definedName name="ITEM34_1Q13">Tags_ols!$BT$607</definedName>
    <definedName name="ITEM34_1Q14" localSheetId="10">Tags!$BY$607</definedName>
    <definedName name="ITEM34_1Q14">Tags_ols!$BY$607</definedName>
    <definedName name="ITEM34_1Q15" localSheetId="10">Tags!$CD$607</definedName>
    <definedName name="ITEM34_1Q15">Tags_ols!$CD$607</definedName>
    <definedName name="ITEM34_1Q16" localSheetId="10">Tags!$CI$607</definedName>
    <definedName name="ITEM34_1Q16">Tags_ols!$CI$607</definedName>
    <definedName name="ITEM34_1Q17" localSheetId="10">Tags!$CN$607</definedName>
    <definedName name="ITEM34_1Q17">Tags_ols!$CN$607</definedName>
    <definedName name="ITEM34_1Q18" localSheetId="10">Tags!$CS$607</definedName>
    <definedName name="ITEM34_1Q18">Tags_ols!$CS$607</definedName>
    <definedName name="ITEM34_1Q19" localSheetId="10">Tags!$CX$607</definedName>
    <definedName name="ITEM34_1Q19">Tags_ols!$CX$607</definedName>
    <definedName name="ITEM34_1Q20" localSheetId="10">Tags!$DC$607</definedName>
    <definedName name="ITEM34_1Q20">Tags_ols!$DC$607</definedName>
    <definedName name="ITEM34_1Q21">Tags!$DH$607</definedName>
    <definedName name="ITEM34_1Q22">Tags!$DM$607</definedName>
    <definedName name="ITEM34_1Q23">Tags!$DR$607</definedName>
    <definedName name="ITEM34_1Q24">Tags!$DW$607</definedName>
    <definedName name="ITEM34_2000" localSheetId="10">Tags!$K$607</definedName>
    <definedName name="ITEM34_2000">Tags_ols!$K$607</definedName>
    <definedName name="ITEM34_2001" localSheetId="10">Tags!$P$607</definedName>
    <definedName name="ITEM34_2001">Tags_ols!$P$607</definedName>
    <definedName name="ITEM34_2002" localSheetId="10">Tags!$U$607</definedName>
    <definedName name="ITEM34_2002">Tags_ols!$U$607</definedName>
    <definedName name="ITEM34_2003" localSheetId="10">Tags!$Z$607</definedName>
    <definedName name="ITEM34_2003">Tags_ols!$Z$607</definedName>
    <definedName name="ITEM34_2004" localSheetId="10">Tags!$AE$607</definedName>
    <definedName name="ITEM34_2004">Tags_ols!$AE$607</definedName>
    <definedName name="ITEM34_2005" localSheetId="10">Tags!$AJ$607</definedName>
    <definedName name="ITEM34_2005">Tags_ols!$AJ$607</definedName>
    <definedName name="ITEM34_2006" localSheetId="10">Tags!$AO$607</definedName>
    <definedName name="ITEM34_2006">Tags_ols!$AO$607</definedName>
    <definedName name="ITEM34_2007" localSheetId="10">Tags!$AT$607</definedName>
    <definedName name="ITEM34_2007">Tags_ols!$AT$607</definedName>
    <definedName name="ITEM34_2008" localSheetId="10">Tags!$AY$607</definedName>
    <definedName name="ITEM34_2008">Tags_ols!$AY$607</definedName>
    <definedName name="ITEM34_2009" localSheetId="10">Tags!$BD$607</definedName>
    <definedName name="ITEM34_2009">Tags_ols!$BD$607</definedName>
    <definedName name="ITEM34_2010" localSheetId="10">Tags!$BI$607</definedName>
    <definedName name="ITEM34_2010">Tags_ols!$BI$607</definedName>
    <definedName name="ITEM34_2011" localSheetId="10">Tags!$BN$607</definedName>
    <definedName name="ITEM34_2011">Tags_ols!$BN$607</definedName>
    <definedName name="ITEM34_2012" localSheetId="10">Tags!$BS$607</definedName>
    <definedName name="ITEM34_2012">Tags_ols!$BS$607</definedName>
    <definedName name="ITEM34_2013" localSheetId="10">Tags!$BX$607</definedName>
    <definedName name="ITEM34_2013">Tags_ols!$BX$607</definedName>
    <definedName name="ITEM34_2014" localSheetId="10">Tags!$CC$607</definedName>
    <definedName name="ITEM34_2014">Tags_ols!$CC$607</definedName>
    <definedName name="ITEM34_2015" localSheetId="10">Tags!#REF!</definedName>
    <definedName name="ITEM34_2015">Tags!$CH$607</definedName>
    <definedName name="ITEM34_2016" localSheetId="10">Tags!$CM$607</definedName>
    <definedName name="ITEM34_2016">Tags_ols!$CM$607</definedName>
    <definedName name="ITEM34_2017" localSheetId="10">Tags!$CR$607</definedName>
    <definedName name="ITEM34_2017">Tags_ols!$CR$607</definedName>
    <definedName name="ITEM34_2018" localSheetId="10">Tags!$CW$607</definedName>
    <definedName name="ITEM34_2018">Tags_ols!$CW$607</definedName>
    <definedName name="ITEM34_2019" localSheetId="10">Tags!$DB$607</definedName>
    <definedName name="ITEM34_2019">Tags_ols!$DB$607</definedName>
    <definedName name="ITEM34_2020" localSheetId="10">Tags!$DG$607</definedName>
    <definedName name="ITEM34_2020">Tags_ols!$DG$607</definedName>
    <definedName name="ITEM34_2021">Tags!$DL$607</definedName>
    <definedName name="ITEM34_2022">Tags!$DQ$607</definedName>
    <definedName name="ITEM34_2023">Tags!$DV$607</definedName>
    <definedName name="ITEM34_2024">Tags!$EA$607</definedName>
    <definedName name="ITEM34_2Q00" localSheetId="10">Tags!$H$607</definedName>
    <definedName name="ITEM34_2Q00">Tags_ols!$H$607</definedName>
    <definedName name="ITEM34_2Q01" localSheetId="10">Tags!$M$607</definedName>
    <definedName name="ITEM34_2Q01">Tags_ols!$M$607</definedName>
    <definedName name="ITEM34_2Q02" localSheetId="10">Tags!$R$607</definedName>
    <definedName name="ITEM34_2Q02">Tags_ols!$R$607</definedName>
    <definedName name="ITEM34_2Q03" localSheetId="10">Tags!$W$607</definedName>
    <definedName name="ITEM34_2Q03">Tags_ols!$W$607</definedName>
    <definedName name="ITEM34_2Q04" localSheetId="10">Tags!$AB$607</definedName>
    <definedName name="ITEM34_2Q04">Tags_ols!$AB$607</definedName>
    <definedName name="ITEM34_2Q05" localSheetId="10">Tags!$AG$607</definedName>
    <definedName name="ITEM34_2Q05">Tags_ols!$AG$607</definedName>
    <definedName name="ITEM34_2Q06" localSheetId="10">Tags!$AL$607</definedName>
    <definedName name="ITEM34_2Q06">Tags_ols!$AL$607</definedName>
    <definedName name="ITEM34_2Q07" localSheetId="10">Tags!$AQ$607</definedName>
    <definedName name="ITEM34_2Q07">Tags_ols!$AQ$607</definedName>
    <definedName name="ITEM34_2Q08" localSheetId="10">Tags!$AV$607</definedName>
    <definedName name="ITEM34_2Q08">Tags_ols!$AV$607</definedName>
    <definedName name="ITEM34_2Q09" localSheetId="10">Tags!$BA$607</definedName>
    <definedName name="ITEM34_2Q09">Tags_ols!$BA$607</definedName>
    <definedName name="ITEM34_2Q10" localSheetId="10">Tags!$BF$607</definedName>
    <definedName name="ITEM34_2Q10">Tags_ols!$BF$607</definedName>
    <definedName name="ITEM34_2Q11" localSheetId="10">Tags!$BK$607</definedName>
    <definedName name="ITEM34_2Q11">Tags_ols!$BK$607</definedName>
    <definedName name="ITEM34_2Q12" localSheetId="10">Tags!$BP$607</definedName>
    <definedName name="ITEM34_2Q12">Tags_ols!$BP$607</definedName>
    <definedName name="ITEM34_2Q13" localSheetId="10">Tags!$BU$607</definedName>
    <definedName name="ITEM34_2Q13">Tags_ols!$BU$607</definedName>
    <definedName name="ITEM34_2Q14" localSheetId="10">Tags!$BZ$607</definedName>
    <definedName name="ITEM34_2Q14">Tags_ols!$BZ$607</definedName>
    <definedName name="ITEM34_2Q15" localSheetId="10">Tags!$CE$607</definedName>
    <definedName name="ITEM34_2Q15">Tags_ols!$CE$607</definedName>
    <definedName name="ITEM34_2Q16" localSheetId="10">Tags!$CJ$607</definedName>
    <definedName name="ITEM34_2Q16">Tags_ols!$CJ$607</definedName>
    <definedName name="ITEM34_2Q17" localSheetId="10">Tags!$CO$607</definedName>
    <definedName name="ITEM34_2Q17">Tags_ols!$CO$607</definedName>
    <definedName name="ITEM34_2Q18" localSheetId="10">Tags!$CT$607</definedName>
    <definedName name="ITEM34_2Q18">Tags_ols!$CT$607</definedName>
    <definedName name="ITEM34_2Q19" localSheetId="10">Tags!$CY$607</definedName>
    <definedName name="ITEM34_2Q19">Tags_ols!$CY$607</definedName>
    <definedName name="ITEM34_2Q20" localSheetId="10">Tags!$DD$607</definedName>
    <definedName name="ITEM34_2Q20">Tags_ols!$DD$607</definedName>
    <definedName name="ITEM34_2Q21">Tags!$DI$607</definedName>
    <definedName name="ITEM34_2Q22">Tags!$DN$607</definedName>
    <definedName name="ITEM34_2Q23">Tags!$DS$607</definedName>
    <definedName name="ITEM34_2Q24">Tags!$DX$607</definedName>
    <definedName name="ITEM34_3Q00" localSheetId="10">Tags!$I$607</definedName>
    <definedName name="ITEM34_3Q00">Tags_ols!$I$607</definedName>
    <definedName name="ITEM34_3Q01" localSheetId="10">Tags!$N$607</definedName>
    <definedName name="ITEM34_3Q01">Tags_ols!$N$607</definedName>
    <definedName name="ITEM34_3Q02" localSheetId="10">Tags!$S$607</definedName>
    <definedName name="ITEM34_3Q02">Tags_ols!$S$607</definedName>
    <definedName name="ITEM34_3Q03" localSheetId="10">Tags!$X$607</definedName>
    <definedName name="ITEM34_3Q03">Tags_ols!$X$607</definedName>
    <definedName name="ITEM34_3Q04" localSheetId="10">Tags!$AC$607</definedName>
    <definedName name="ITEM34_3Q04">Tags_ols!$AC$607</definedName>
    <definedName name="ITEM34_3Q05" localSheetId="10">Tags!$AH$607</definedName>
    <definedName name="ITEM34_3Q05">Tags_ols!$AH$607</definedName>
    <definedName name="ITEM34_3Q06" localSheetId="10">Tags!$AM$607</definedName>
    <definedName name="ITEM34_3Q06">Tags_ols!$AM$607</definedName>
    <definedName name="ITEM34_3Q07" localSheetId="10">Tags!$AR$607</definedName>
    <definedName name="ITEM34_3Q07">Tags_ols!$AR$607</definedName>
    <definedName name="ITEM34_3Q08" localSheetId="10">Tags!$AW$607</definedName>
    <definedName name="ITEM34_3Q08">Tags_ols!$AW$607</definedName>
    <definedName name="ITEM34_3Q09" localSheetId="10">Tags!$BB$607</definedName>
    <definedName name="ITEM34_3Q09">Tags_ols!$BB$607</definedName>
    <definedName name="ITEM34_3Q10" localSheetId="10">Tags!$BG$607</definedName>
    <definedName name="ITEM34_3Q10">Tags_ols!$BG$607</definedName>
    <definedName name="ITEM34_3Q11" localSheetId="10">Tags!$BL$607</definedName>
    <definedName name="ITEM34_3Q11">Tags_ols!$BL$607</definedName>
    <definedName name="ITEM34_3Q12" localSheetId="10">Tags!$BQ$607</definedName>
    <definedName name="ITEM34_3Q12">Tags_ols!$BQ$607</definedName>
    <definedName name="ITEM34_3Q13" localSheetId="10">Tags!$BV$607</definedName>
    <definedName name="ITEM34_3Q13">Tags_ols!$BV$607</definedName>
    <definedName name="ITEM34_3Q14" localSheetId="10">Tags!$CA$607</definedName>
    <definedName name="ITEM34_3Q14">Tags_ols!$CA$607</definedName>
    <definedName name="ITEM34_3Q15" localSheetId="10">Tags!$CF$607</definedName>
    <definedName name="ITEM34_3Q15">Tags_ols!$CF$607</definedName>
    <definedName name="ITEM34_3Q16" localSheetId="10">Tags!$CK$607</definedName>
    <definedName name="ITEM34_3Q16">Tags_ols!$CK$607</definedName>
    <definedName name="ITEM34_3Q17" localSheetId="10">Tags!$CP$607</definedName>
    <definedName name="ITEM34_3Q17">Tags_ols!$CP$607</definedName>
    <definedName name="ITEM34_3Q18" localSheetId="10">Tags!$CU$607</definedName>
    <definedName name="ITEM34_3Q18">Tags_ols!$CU$607</definedName>
    <definedName name="ITEM34_3Q19" localSheetId="10">Tags!$CZ$607</definedName>
    <definedName name="ITEM34_3Q19">Tags_ols!$CZ$607</definedName>
    <definedName name="ITEM34_3Q20" localSheetId="10">Tags!$DE$607</definedName>
    <definedName name="ITEM34_3Q20">Tags_ols!$DE$607</definedName>
    <definedName name="ITEM34_3Q21">Tags!$DJ$607</definedName>
    <definedName name="ITEM34_3Q22">Tags!$DO$607</definedName>
    <definedName name="ITEM34_3Q23">Tags!$DT$607</definedName>
    <definedName name="ITEM34_3Q24">Tags!$DY$607</definedName>
    <definedName name="ITEM34_4Q00" localSheetId="10">Tags!$J$607</definedName>
    <definedName name="ITEM34_4Q00">Tags_ols!$J$607</definedName>
    <definedName name="ITEM34_4Q01" localSheetId="10">Tags!$O$607</definedName>
    <definedName name="ITEM34_4Q01">Tags_ols!$O$607</definedName>
    <definedName name="ITEM34_4Q02" localSheetId="10">Tags!$T$607</definedName>
    <definedName name="ITEM34_4Q02">Tags_ols!$T$607</definedName>
    <definedName name="ITEM34_4Q03" localSheetId="10">Tags!$Y$607</definedName>
    <definedName name="ITEM34_4Q03">Tags_ols!$Y$607</definedName>
    <definedName name="ITEM34_4Q04" localSheetId="10">Tags!$AD$607</definedName>
    <definedName name="ITEM34_4Q04">Tags_ols!$AD$607</definedName>
    <definedName name="ITEM34_4Q05" localSheetId="10">Tags!$AI$607</definedName>
    <definedName name="ITEM34_4Q05">Tags_ols!$AI$607</definedName>
    <definedName name="ITEM34_4Q06" localSheetId="10">Tags!$AN$607</definedName>
    <definedName name="ITEM34_4Q06">Tags_ols!$AN$607</definedName>
    <definedName name="ITEM34_4Q07" localSheetId="10">Tags!$AS$607</definedName>
    <definedName name="ITEM34_4Q07">Tags_ols!$AS$607</definedName>
    <definedName name="ITEM34_4Q08" localSheetId="10">Tags!$AX$607</definedName>
    <definedName name="ITEM34_4Q08">Tags_ols!$AX$607</definedName>
    <definedName name="ITEM34_4Q09" localSheetId="10">Tags!$BC$607</definedName>
    <definedName name="ITEM34_4Q09">Tags_ols!$BC$607</definedName>
    <definedName name="ITEM34_4Q10" localSheetId="10">Tags!$BH$607</definedName>
    <definedName name="ITEM34_4Q10">Tags_ols!$BH$607</definedName>
    <definedName name="ITEM34_4Q11" localSheetId="10">Tags!$BM$607</definedName>
    <definedName name="ITEM34_4Q11">Tags_ols!$BM$607</definedName>
    <definedName name="ITEM34_4Q12" localSheetId="10">Tags!$BR$607</definedName>
    <definedName name="ITEM34_4Q12">Tags_ols!$BR$607</definedName>
    <definedName name="ITEM34_4Q13" localSheetId="10">Tags!$BW$607</definedName>
    <definedName name="ITEM34_4Q13">Tags_ols!$BW$607</definedName>
    <definedName name="ITEM34_4Q14" localSheetId="10">Tags!$CB$607</definedName>
    <definedName name="ITEM34_4Q14">Tags_ols!$CB$607</definedName>
    <definedName name="ITEM34_4Q15" localSheetId="10">Tags!$CG$607</definedName>
    <definedName name="ITEM34_4Q15">Tags_ols!$CG$607</definedName>
    <definedName name="ITEM34_4Q16" localSheetId="10">Tags!$CL$607</definedName>
    <definedName name="ITEM34_4Q16">Tags_ols!$CL$607</definedName>
    <definedName name="ITEM34_4Q17" localSheetId="10">Tags!$CQ$607</definedName>
    <definedName name="ITEM34_4Q17">Tags_ols!$CQ$607</definedName>
    <definedName name="ITEM34_4Q18" localSheetId="10">Tags!$CV$607</definedName>
    <definedName name="ITEM34_4Q18">Tags_ols!$CV$607</definedName>
    <definedName name="ITEM34_4Q19" localSheetId="10">Tags!$DA$607</definedName>
    <definedName name="ITEM34_4Q19">Tags_ols!$DA$607</definedName>
    <definedName name="ITEM34_4Q20" localSheetId="10">Tags!$DF$607</definedName>
    <definedName name="ITEM34_4Q20">Tags_ols!$DF$607</definedName>
    <definedName name="ITEM34_4Q21">Tags!$DK$607</definedName>
    <definedName name="ITEM34_4Q22">Tags!$DP$607</definedName>
    <definedName name="ITEM34_4Q23">Tags!$DU$607</definedName>
    <definedName name="ITEM34_4Q24">Tags!$DZ$607</definedName>
    <definedName name="ITEM35_1995">Tags_ols!$B$608</definedName>
    <definedName name="ITEM35_1996">Tags_ols!$C$608</definedName>
    <definedName name="ITEM35_1997">Tags_ols!$D$608</definedName>
    <definedName name="ITEM35_1998">Tags_ols!$E$608</definedName>
    <definedName name="ITEM35_1999">Tags_ols!$F$608</definedName>
    <definedName name="ITEM35_1Q00" localSheetId="10">Tags!$G$608</definedName>
    <definedName name="ITEM35_1Q00">Tags_ols!$G$608</definedName>
    <definedName name="ITEM35_1Q01" localSheetId="10">Tags!$L$608</definedName>
    <definedName name="ITEM35_1Q01">Tags_ols!$L$608</definedName>
    <definedName name="ITEM35_1Q02" localSheetId="10">Tags!$Q$608</definedName>
    <definedName name="ITEM35_1Q02">Tags_ols!$Q$608</definedName>
    <definedName name="ITEM35_1Q03" localSheetId="10">Tags!$V$608</definedName>
    <definedName name="ITEM35_1Q03">Tags_ols!$V$608</definedName>
    <definedName name="ITEM35_1Q04" localSheetId="10">Tags!$AA$608</definedName>
    <definedName name="ITEM35_1Q04">Tags_ols!$AA$608</definedName>
    <definedName name="ITEM35_1Q05" localSheetId="10">Tags!$AF$608</definedName>
    <definedName name="ITEM35_1Q05">Tags_ols!$AF$608</definedName>
    <definedName name="ITEM35_1Q06" localSheetId="10">Tags!$AK$608</definedName>
    <definedName name="ITEM35_1Q06">Tags_ols!$AK$608</definedName>
    <definedName name="ITEM35_1Q07" localSheetId="10">Tags!$AP$608</definedName>
    <definedName name="ITEM35_1Q07">Tags_ols!$AP$608</definedName>
    <definedName name="ITEM35_1Q08" localSheetId="10">Tags!$AU$608</definedName>
    <definedName name="ITEM35_1Q08">Tags_ols!$AU$608</definedName>
    <definedName name="ITEM35_1Q09" localSheetId="10">Tags!$AZ$608</definedName>
    <definedName name="ITEM35_1Q09">Tags_ols!$AZ$608</definedName>
    <definedName name="ITEM35_1Q10" localSheetId="10">Tags!$BE$608</definedName>
    <definedName name="ITEM35_1Q10">Tags_ols!$BE$608</definedName>
    <definedName name="ITEM35_1Q11" localSheetId="10">Tags!$BJ$608</definedName>
    <definedName name="ITEM35_1Q11">Tags_ols!$BJ$608</definedName>
    <definedName name="ITEM35_1Q12" localSheetId="10">Tags!$BO$608</definedName>
    <definedName name="ITEM35_1Q12">Tags_ols!$BO$608</definedName>
    <definedName name="ITEM35_1Q13" localSheetId="10">Tags!$BT$608</definedName>
    <definedName name="ITEM35_1Q13">Tags_ols!$BT$608</definedName>
    <definedName name="ITEM35_1Q14" localSheetId="10">Tags!$BY$608</definedName>
    <definedName name="ITEM35_1Q14">Tags_ols!$BY$608</definedName>
    <definedName name="ITEM35_1Q15" localSheetId="10">Tags!$CD$608</definedName>
    <definedName name="ITEM35_1Q15">Tags_ols!$CD$608</definedName>
    <definedName name="ITEM35_1Q16" localSheetId="10">Tags!$CI$608</definedName>
    <definedName name="ITEM35_1Q16">Tags_ols!$CI$608</definedName>
    <definedName name="ITEM35_1Q17" localSheetId="10">Tags!$CN$608</definedName>
    <definedName name="ITEM35_1Q17">Tags_ols!$CN$608</definedName>
    <definedName name="ITEM35_1Q18" localSheetId="10">Tags!$CS$608</definedName>
    <definedName name="ITEM35_1Q18">Tags_ols!$CS$608</definedName>
    <definedName name="ITEM35_1Q19" localSheetId="10">Tags!$CX$608</definedName>
    <definedName name="ITEM35_1Q19">Tags_ols!$CX$608</definedName>
    <definedName name="ITEM35_1Q20" localSheetId="10">Tags!$DC$608</definedName>
    <definedName name="ITEM35_1Q20">Tags_ols!$DC$608</definedName>
    <definedName name="ITEM35_1Q21">Tags!$DH$608</definedName>
    <definedName name="ITEM35_1Q22">Tags!$DM$608</definedName>
    <definedName name="ITEM35_1Q23">Tags!$DR$608</definedName>
    <definedName name="ITEM35_1Q24">Tags!$DW$608</definedName>
    <definedName name="ITEM35_2000" localSheetId="10">Tags!$K$608</definedName>
    <definedName name="ITEM35_2000">Tags_ols!$K$608</definedName>
    <definedName name="ITEM35_2001" localSheetId="10">Tags!$P$608</definedName>
    <definedName name="ITEM35_2001">Tags_ols!$P$608</definedName>
    <definedName name="ITEM35_2002" localSheetId="10">Tags!$U$608</definedName>
    <definedName name="ITEM35_2002">Tags_ols!$U$608</definedName>
    <definedName name="ITEM35_2003" localSheetId="10">Tags!$Z$608</definedName>
    <definedName name="ITEM35_2003">Tags_ols!$Z$608</definedName>
    <definedName name="ITEM35_2004" localSheetId="10">Tags!$AE$608</definedName>
    <definedName name="ITEM35_2004">Tags_ols!$AE$608</definedName>
    <definedName name="ITEM35_2005" localSheetId="10">Tags!$AJ$608</definedName>
    <definedName name="ITEM35_2005">Tags_ols!$AJ$608</definedName>
    <definedName name="ITEM35_2006" localSheetId="10">Tags!$AO$608</definedName>
    <definedName name="ITEM35_2006">Tags_ols!$AO$608</definedName>
    <definedName name="ITEM35_2007" localSheetId="10">Tags!$AT$608</definedName>
    <definedName name="ITEM35_2007">Tags_ols!$AT$608</definedName>
    <definedName name="ITEM35_2008" localSheetId="10">Tags!$AY$608</definedName>
    <definedName name="ITEM35_2008">Tags_ols!$AY$608</definedName>
    <definedName name="ITEM35_2009" localSheetId="10">Tags!$BD$608</definedName>
    <definedName name="ITEM35_2009">Tags_ols!$BD$608</definedName>
    <definedName name="ITEM35_2010" localSheetId="10">Tags!$BI$608</definedName>
    <definedName name="ITEM35_2010">Tags_ols!$BI$608</definedName>
    <definedName name="ITEM35_2011" localSheetId="10">Tags!$BN$608</definedName>
    <definedName name="ITEM35_2011">Tags_ols!$BN$608</definedName>
    <definedName name="ITEM35_2012" localSheetId="10">Tags!$BS$608</definedName>
    <definedName name="ITEM35_2012">Tags_ols!$BS$608</definedName>
    <definedName name="ITEM35_2013" localSheetId="10">Tags!$BX$608</definedName>
    <definedName name="ITEM35_2013">Tags_ols!$BX$608</definedName>
    <definedName name="ITEM35_2014" localSheetId="10">Tags!$CC$608</definedName>
    <definedName name="ITEM35_2014">Tags_ols!$CC$608</definedName>
    <definedName name="ITEM35_2015" localSheetId="10">Tags!#REF!</definedName>
    <definedName name="ITEM35_2015">Tags!$CH$608</definedName>
    <definedName name="ITEM35_2016" localSheetId="10">Tags!$CM$608</definedName>
    <definedName name="ITEM35_2016">Tags_ols!$CM$608</definedName>
    <definedName name="ITEM35_2017" localSheetId="10">Tags!$CR$608</definedName>
    <definedName name="ITEM35_2017">Tags_ols!$CR$608</definedName>
    <definedName name="ITEM35_2018" localSheetId="10">Tags!$CW$608</definedName>
    <definedName name="ITEM35_2018">Tags_ols!$CW$608</definedName>
    <definedName name="ITEM35_2019" localSheetId="10">Tags!$DB$608</definedName>
    <definedName name="ITEM35_2019">Tags_ols!$DB$608</definedName>
    <definedName name="ITEM35_2020" localSheetId="10">Tags!$DG$608</definedName>
    <definedName name="ITEM35_2020">Tags_ols!$DG$608</definedName>
    <definedName name="ITEM35_2021">Tags!$DL$608</definedName>
    <definedName name="ITEM35_2022">Tags!$DQ$608</definedName>
    <definedName name="ITEM35_2023">Tags!$DV$608</definedName>
    <definedName name="ITEM35_2024">Tags!$EA$608</definedName>
    <definedName name="ITEM35_2Q00" localSheetId="10">Tags!$H$608</definedName>
    <definedName name="ITEM35_2Q00">Tags_ols!$H$608</definedName>
    <definedName name="ITEM35_2Q01" localSheetId="10">Tags!$M$608</definedName>
    <definedName name="ITEM35_2Q01">Tags_ols!$M$608</definedName>
    <definedName name="ITEM35_2Q02" localSheetId="10">Tags!$R$608</definedName>
    <definedName name="ITEM35_2Q02">Tags_ols!$R$608</definedName>
    <definedName name="ITEM35_2Q03" localSheetId="10">Tags!$W$608</definedName>
    <definedName name="ITEM35_2Q03">Tags_ols!$W$608</definedName>
    <definedName name="ITEM35_2Q04" localSheetId="10">Tags!$AB$608</definedName>
    <definedName name="ITEM35_2Q04">Tags_ols!$AB$608</definedName>
    <definedName name="ITEM35_2Q05" localSheetId="10">Tags!$AG$608</definedName>
    <definedName name="ITEM35_2Q05">Tags_ols!$AG$608</definedName>
    <definedName name="ITEM35_2Q06" localSheetId="10">Tags!$AL$608</definedName>
    <definedName name="ITEM35_2Q06">Tags_ols!$AL$608</definedName>
    <definedName name="ITEM35_2Q07" localSheetId="10">Tags!$AQ$608</definedName>
    <definedName name="ITEM35_2Q07">Tags_ols!$AQ$608</definedName>
    <definedName name="ITEM35_2Q08" localSheetId="10">Tags!$AV$608</definedName>
    <definedName name="ITEM35_2Q08">Tags_ols!$AV$608</definedName>
    <definedName name="ITEM35_2Q09" localSheetId="10">Tags!$BA$608</definedName>
    <definedName name="ITEM35_2Q09">Tags_ols!$BA$608</definedName>
    <definedName name="ITEM35_2Q10" localSheetId="10">Tags!$BF$608</definedName>
    <definedName name="ITEM35_2Q10">Tags_ols!$BF$608</definedName>
    <definedName name="ITEM35_2Q11" localSheetId="10">Tags!$BK$608</definedName>
    <definedName name="ITEM35_2Q11">Tags_ols!$BK$608</definedName>
    <definedName name="ITEM35_2Q12" localSheetId="10">Tags!$BP$608</definedName>
    <definedName name="ITEM35_2Q12">Tags_ols!$BP$608</definedName>
    <definedName name="ITEM35_2Q13" localSheetId="10">Tags!$BU$608</definedName>
    <definedName name="ITEM35_2Q13">Tags_ols!$BU$608</definedName>
    <definedName name="ITEM35_2Q14" localSheetId="10">Tags!$BZ$608</definedName>
    <definedName name="ITEM35_2Q14">Tags_ols!$BZ$608</definedName>
    <definedName name="ITEM35_2Q15" localSheetId="10">Tags!$CE$608</definedName>
    <definedName name="ITEM35_2Q15">Tags_ols!$CE$608</definedName>
    <definedName name="ITEM35_2Q16" localSheetId="10">Tags!$CJ$608</definedName>
    <definedName name="ITEM35_2Q16">Tags_ols!$CJ$608</definedName>
    <definedName name="ITEM35_2Q17" localSheetId="10">Tags!$CO$608</definedName>
    <definedName name="ITEM35_2Q17">Tags_ols!$CO$608</definedName>
    <definedName name="ITEM35_2Q18" localSheetId="10">Tags!$CT$608</definedName>
    <definedName name="ITEM35_2Q18">Tags_ols!$CT$608</definedName>
    <definedName name="ITEM35_2Q19" localSheetId="10">Tags!$CY$608</definedName>
    <definedName name="ITEM35_2Q19">Tags_ols!$CY$608</definedName>
    <definedName name="ITEM35_2Q20" localSheetId="10">Tags!$DD$608</definedName>
    <definedName name="ITEM35_2Q20">Tags_ols!$DD$608</definedName>
    <definedName name="ITEM35_2Q21">Tags!$DI$608</definedName>
    <definedName name="ITEM35_2Q22">Tags!$DN$608</definedName>
    <definedName name="ITEM35_2Q23">Tags!$DS$608</definedName>
    <definedName name="ITEM35_2Q24">Tags!$DX$608</definedName>
    <definedName name="ITEM35_3Q00" localSheetId="10">Tags!$I$608</definedName>
    <definedName name="ITEM35_3Q00">Tags_ols!$I$608</definedName>
    <definedName name="ITEM35_3Q01" localSheetId="10">Tags!$N$608</definedName>
    <definedName name="ITEM35_3Q01">Tags_ols!$N$608</definedName>
    <definedName name="ITEM35_3Q02" localSheetId="10">Tags!$S$608</definedName>
    <definedName name="ITEM35_3Q02">Tags_ols!$S$608</definedName>
    <definedName name="ITEM35_3Q03" localSheetId="10">Tags!$X$608</definedName>
    <definedName name="ITEM35_3Q03">Tags_ols!$X$608</definedName>
    <definedName name="ITEM35_3Q04" localSheetId="10">Tags!$AC$608</definedName>
    <definedName name="ITEM35_3Q04">Tags_ols!$AC$608</definedName>
    <definedName name="ITEM35_3Q05" localSheetId="10">Tags!$AH$608</definedName>
    <definedName name="ITEM35_3Q05">Tags_ols!$AH$608</definedName>
    <definedName name="ITEM35_3Q06" localSheetId="10">Tags!$AM$608</definedName>
    <definedName name="ITEM35_3Q06">Tags_ols!$AM$608</definedName>
    <definedName name="ITEM35_3Q07" localSheetId="10">Tags!$AR$608</definedName>
    <definedName name="ITEM35_3Q07">Tags_ols!$AR$608</definedName>
    <definedName name="ITEM35_3Q08" localSheetId="10">Tags!$AW$608</definedName>
    <definedName name="ITEM35_3Q08">Tags_ols!$AW$608</definedName>
    <definedName name="ITEM35_3Q09" localSheetId="10">Tags!$BB$608</definedName>
    <definedName name="ITEM35_3Q09">Tags_ols!$BB$608</definedName>
    <definedName name="ITEM35_3Q10" localSheetId="10">Tags!$BG$608</definedName>
    <definedName name="ITEM35_3Q10">Tags_ols!$BG$608</definedName>
    <definedName name="ITEM35_3Q11" localSheetId="10">Tags!$BL$608</definedName>
    <definedName name="ITEM35_3Q11">Tags_ols!$BL$608</definedName>
    <definedName name="ITEM35_3Q12" localSheetId="10">Tags!$BQ$608</definedName>
    <definedName name="ITEM35_3Q12">Tags_ols!$BQ$608</definedName>
    <definedName name="ITEM35_3Q13" localSheetId="10">Tags!$BV$608</definedName>
    <definedName name="ITEM35_3Q13">Tags_ols!$BV$608</definedName>
    <definedName name="ITEM35_3Q14" localSheetId="10">Tags!$CA$608</definedName>
    <definedName name="ITEM35_3Q14">Tags_ols!$CA$608</definedName>
    <definedName name="ITEM35_3Q15" localSheetId="10">Tags!$CF$608</definedName>
    <definedName name="ITEM35_3Q15">Tags_ols!$CF$608</definedName>
    <definedName name="ITEM35_3Q16" localSheetId="10">Tags!$CK$608</definedName>
    <definedName name="ITEM35_3Q16">Tags_ols!$CK$608</definedName>
    <definedName name="ITEM35_3Q17" localSheetId="10">Tags!$CP$608</definedName>
    <definedName name="ITEM35_3Q17">Tags_ols!$CP$608</definedName>
    <definedName name="ITEM35_3Q18" localSheetId="10">Tags!$CU$608</definedName>
    <definedName name="ITEM35_3Q18">Tags_ols!$CU$608</definedName>
    <definedName name="ITEM35_3Q19" localSheetId="10">Tags!$CZ$608</definedName>
    <definedName name="ITEM35_3Q19">Tags_ols!$CZ$608</definedName>
    <definedName name="ITEM35_3Q20" localSheetId="10">Tags!$DE$608</definedName>
    <definedName name="ITEM35_3Q20">Tags_ols!$DE$608</definedName>
    <definedName name="ITEM35_3Q21">Tags!$DJ$608</definedName>
    <definedName name="ITEM35_3Q22">Tags!$DO$608</definedName>
    <definedName name="ITEM35_3Q23">Tags!$DT$608</definedName>
    <definedName name="ITEM35_3Q24">Tags!$DY$608</definedName>
    <definedName name="ITEM35_4Q00" localSheetId="10">Tags!$J$608</definedName>
    <definedName name="ITEM35_4Q00">Tags_ols!$J$608</definedName>
    <definedName name="ITEM35_4Q01" localSheetId="10">Tags!$O$608</definedName>
    <definedName name="ITEM35_4Q01">Tags_ols!$O$608</definedName>
    <definedName name="ITEM35_4Q02" localSheetId="10">Tags!$T$608</definedName>
    <definedName name="ITEM35_4Q02">Tags_ols!$T$608</definedName>
    <definedName name="ITEM35_4Q03" localSheetId="10">Tags!$Y$608</definedName>
    <definedName name="ITEM35_4Q03">Tags_ols!$Y$608</definedName>
    <definedName name="ITEM35_4Q04" localSheetId="10">Tags!$AD$608</definedName>
    <definedName name="ITEM35_4Q04">Tags_ols!$AD$608</definedName>
    <definedName name="ITEM35_4Q05" localSheetId="10">Tags!$AI$608</definedName>
    <definedName name="ITEM35_4Q05">Tags_ols!$AI$608</definedName>
    <definedName name="ITEM35_4Q06" localSheetId="10">Tags!$AN$608</definedName>
    <definedName name="ITEM35_4Q06">Tags_ols!$AN$608</definedName>
    <definedName name="ITEM35_4Q07" localSheetId="10">Tags!$AS$608</definedName>
    <definedName name="ITEM35_4Q07">Tags_ols!$AS$608</definedName>
    <definedName name="ITEM35_4Q08" localSheetId="10">Tags!$AX$608</definedName>
    <definedName name="ITEM35_4Q08">Tags_ols!$AX$608</definedName>
    <definedName name="ITEM35_4Q09" localSheetId="10">Tags!$BC$608</definedName>
    <definedName name="ITEM35_4Q09">Tags_ols!$BC$608</definedName>
    <definedName name="ITEM35_4Q10" localSheetId="10">Tags!$BH$608</definedName>
    <definedName name="ITEM35_4Q10">Tags_ols!$BH$608</definedName>
    <definedName name="ITEM35_4Q11" localSheetId="10">Tags!$BM$608</definedName>
    <definedName name="ITEM35_4Q11">Tags_ols!$BM$608</definedName>
    <definedName name="ITEM35_4Q12" localSheetId="10">Tags!$BR$608</definedName>
    <definedName name="ITEM35_4Q12">Tags_ols!$BR$608</definedName>
    <definedName name="ITEM35_4Q13" localSheetId="10">Tags!$BW$608</definedName>
    <definedName name="ITEM35_4Q13">Tags_ols!$BW$608</definedName>
    <definedName name="ITEM35_4Q14" localSheetId="10">Tags!$CB$608</definedName>
    <definedName name="ITEM35_4Q14">Tags_ols!$CB$608</definedName>
    <definedName name="ITEM35_4Q15" localSheetId="10">Tags!$CG$608</definedName>
    <definedName name="ITEM35_4Q15">Tags_ols!$CG$608</definedName>
    <definedName name="ITEM35_4Q16" localSheetId="10">Tags!$CL$608</definedName>
    <definedName name="ITEM35_4Q16">Tags_ols!$CL$608</definedName>
    <definedName name="ITEM35_4Q17" localSheetId="10">Tags!$CQ$608</definedName>
    <definedName name="ITEM35_4Q17">Tags_ols!$CQ$608</definedName>
    <definedName name="ITEM35_4Q18" localSheetId="10">Tags!$CV$608</definedName>
    <definedName name="ITEM35_4Q18">Tags_ols!$CV$608</definedName>
    <definedName name="ITEM35_4Q19" localSheetId="10">Tags!$DA$608</definedName>
    <definedName name="ITEM35_4Q19">Tags_ols!$DA$608</definedName>
    <definedName name="ITEM35_4Q20" localSheetId="10">Tags!$DF$608</definedName>
    <definedName name="ITEM35_4Q20">Tags_ols!$DF$608</definedName>
    <definedName name="ITEM35_4Q21">Tags!$DK$608</definedName>
    <definedName name="ITEM35_4Q22">Tags!$DP$608</definedName>
    <definedName name="ITEM35_4Q23">Tags!$DU$608</definedName>
    <definedName name="ITEM35_4Q24">Tags!$DZ$608</definedName>
    <definedName name="ITEM36_1995">Tags_ols!$B$609</definedName>
    <definedName name="ITEM36_1996">Tags_ols!$C$609</definedName>
    <definedName name="ITEM36_1997">Tags_ols!$D$609</definedName>
    <definedName name="ITEM36_1998">Tags_ols!$E$609</definedName>
    <definedName name="ITEM36_1999">Tags_ols!$F$609</definedName>
    <definedName name="ITEM36_1Q00" localSheetId="10">Tags!$G$609</definedName>
    <definedName name="ITEM36_1Q00">Tags_ols!$G$609</definedName>
    <definedName name="ITEM36_1Q01" localSheetId="10">Tags!$L$609</definedName>
    <definedName name="ITEM36_1Q01">Tags_ols!$L$609</definedName>
    <definedName name="ITEM36_1Q02" localSheetId="10">Tags!$Q$609</definedName>
    <definedName name="ITEM36_1Q02">Tags_ols!$Q$609</definedName>
    <definedName name="ITEM36_1Q03" localSheetId="10">Tags!$V$609</definedName>
    <definedName name="ITEM36_1Q03">Tags_ols!$V$609</definedName>
    <definedName name="ITEM36_1Q04" localSheetId="10">Tags!$AA$609</definedName>
    <definedName name="ITEM36_1Q04">Tags_ols!$AA$609</definedName>
    <definedName name="ITEM36_1Q05" localSheetId="10">Tags!$AF$609</definedName>
    <definedName name="ITEM36_1Q05">Tags_ols!$AF$609</definedName>
    <definedName name="ITEM36_1Q06" localSheetId="10">Tags!$AK$609</definedName>
    <definedName name="ITEM36_1Q06">Tags_ols!$AK$609</definedName>
    <definedName name="ITEM36_1Q07" localSheetId="10">Tags!$AP$609</definedName>
    <definedName name="ITEM36_1Q07">Tags_ols!$AP$609</definedName>
    <definedName name="ITEM36_1Q08" localSheetId="10">Tags!$AU$609</definedName>
    <definedName name="ITEM36_1Q08">Tags_ols!$AU$609</definedName>
    <definedName name="ITEM36_1Q09" localSheetId="10">Tags!$AZ$609</definedName>
    <definedName name="ITEM36_1Q09">Tags_ols!$AZ$609</definedName>
    <definedName name="ITEM36_1Q10" localSheetId="10">Tags!$BE$609</definedName>
    <definedName name="ITEM36_1Q10">Tags_ols!$BE$609</definedName>
    <definedName name="ITEM36_1Q11" localSheetId="10">Tags!$BJ$609</definedName>
    <definedName name="ITEM36_1Q11">Tags_ols!$BJ$609</definedName>
    <definedName name="ITEM36_1Q12" localSheetId="10">Tags!$BO$609</definedName>
    <definedName name="ITEM36_1Q12">Tags_ols!$BO$609</definedName>
    <definedName name="ITEM36_1Q13" localSheetId="10">Tags!$BT$609</definedName>
    <definedName name="ITEM36_1Q13">Tags_ols!$BT$609</definedName>
    <definedName name="ITEM36_1Q14" localSheetId="10">Tags!$BY$609</definedName>
    <definedName name="ITEM36_1Q14">Tags_ols!$BY$609</definedName>
    <definedName name="ITEM36_1Q15" localSheetId="10">Tags!$CD$609</definedName>
    <definedName name="ITEM36_1Q15">Tags_ols!$CD$609</definedName>
    <definedName name="ITEM36_1Q16" localSheetId="10">Tags!$CI$609</definedName>
    <definedName name="ITEM36_1Q16">Tags_ols!$CI$609</definedName>
    <definedName name="ITEM36_1Q17" localSheetId="10">Tags!$CN$609</definedName>
    <definedName name="ITEM36_1Q17">Tags_ols!$CN$609</definedName>
    <definedName name="ITEM36_1Q18" localSheetId="10">Tags!$CS$609</definedName>
    <definedName name="ITEM36_1Q18">Tags_ols!$CS$609</definedName>
    <definedName name="ITEM36_1Q19" localSheetId="10">Tags!$CX$609</definedName>
    <definedName name="ITEM36_1Q19">Tags_ols!$CX$609</definedName>
    <definedName name="ITEM36_1Q20" localSheetId="10">Tags!$DC$609</definedName>
    <definedName name="ITEM36_1Q20">Tags_ols!$DC$609</definedName>
    <definedName name="ITEM36_1Q21">Tags!$DH$609</definedName>
    <definedName name="ITEM36_1Q22">Tags!$DM$609</definedName>
    <definedName name="ITEM36_1Q23">Tags!$DR$609</definedName>
    <definedName name="ITEM36_1Q24">Tags!$DW$609</definedName>
    <definedName name="ITEM36_2000" localSheetId="10">Tags!$K$609</definedName>
    <definedName name="ITEM36_2000">Tags_ols!$K$609</definedName>
    <definedName name="ITEM36_2001" localSheetId="10">Tags!$P$609</definedName>
    <definedName name="ITEM36_2001">Tags_ols!$P$609</definedName>
    <definedName name="ITEM36_2002" localSheetId="10">Tags!$U$609</definedName>
    <definedName name="ITEM36_2002">Tags_ols!$U$609</definedName>
    <definedName name="ITEM36_2003" localSheetId="10">Tags!$Z$609</definedName>
    <definedName name="ITEM36_2003">Tags_ols!$Z$609</definedName>
    <definedName name="ITEM36_2004" localSheetId="10">Tags!$AE$609</definedName>
    <definedName name="ITEM36_2004">Tags_ols!$AE$609</definedName>
    <definedName name="ITEM36_2005" localSheetId="10">Tags!$AJ$609</definedName>
    <definedName name="ITEM36_2005">Tags_ols!$AJ$609</definedName>
    <definedName name="ITEM36_2006" localSheetId="10">Tags!$AO$609</definedName>
    <definedName name="ITEM36_2006">Tags_ols!$AO$609</definedName>
    <definedName name="ITEM36_2007" localSheetId="10">Tags!$AT$609</definedName>
    <definedName name="ITEM36_2007">Tags_ols!$AT$609</definedName>
    <definedName name="ITEM36_2008" localSheetId="10">Tags!$AY$609</definedName>
    <definedName name="ITEM36_2008">Tags_ols!$AY$609</definedName>
    <definedName name="ITEM36_2009" localSheetId="10">Tags!$BD$609</definedName>
    <definedName name="ITEM36_2009">Tags_ols!$BD$609</definedName>
    <definedName name="ITEM36_2010" localSheetId="10">Tags!$BI$609</definedName>
    <definedName name="ITEM36_2010">Tags_ols!$BI$609</definedName>
    <definedName name="ITEM36_2011" localSheetId="10">Tags!$BN$609</definedName>
    <definedName name="ITEM36_2011">Tags_ols!$BN$609</definedName>
    <definedName name="ITEM36_2012" localSheetId="10">Tags!$BS$609</definedName>
    <definedName name="ITEM36_2012">Tags_ols!$BS$609</definedName>
    <definedName name="ITEM36_2013" localSheetId="10">Tags!$BX$609</definedName>
    <definedName name="ITEM36_2013">Tags_ols!$BX$609</definedName>
    <definedName name="ITEM36_2014" localSheetId="10">Tags!$CC$609</definedName>
    <definedName name="ITEM36_2014">Tags_ols!$CC$609</definedName>
    <definedName name="ITEM36_2015" localSheetId="10">Tags!#REF!</definedName>
    <definedName name="ITEM36_2015">Tags!$CH$609</definedName>
    <definedName name="ITEM36_2016" localSheetId="10">Tags!$CM$609</definedName>
    <definedName name="ITEM36_2016">Tags_ols!$CM$609</definedName>
    <definedName name="ITEM36_2017" localSheetId="10">Tags!$CR$609</definedName>
    <definedName name="ITEM36_2017">Tags_ols!$CR$609</definedName>
    <definedName name="ITEM36_2018" localSheetId="10">Tags!$CW$609</definedName>
    <definedName name="ITEM36_2018">Tags_ols!$CW$609</definedName>
    <definedName name="ITEM36_2019" localSheetId="10">Tags!$DB$609</definedName>
    <definedName name="ITEM36_2019">Tags_ols!$DB$609</definedName>
    <definedName name="ITEM36_2020" localSheetId="10">Tags!$DG$609</definedName>
    <definedName name="ITEM36_2020">Tags_ols!$DG$609</definedName>
    <definedName name="ITEM36_2021">Tags!$DL$609</definedName>
    <definedName name="ITEM36_2022">Tags!$DQ$609</definedName>
    <definedName name="ITEM36_2023">Tags!$DV$609</definedName>
    <definedName name="ITEM36_2024">Tags!$EA$609</definedName>
    <definedName name="ITEM36_2Q00" localSheetId="10">Tags!$H$609</definedName>
    <definedName name="ITEM36_2Q00">Tags_ols!$H$609</definedName>
    <definedName name="ITEM36_2Q01" localSheetId="10">Tags!$M$609</definedName>
    <definedName name="ITEM36_2Q01">Tags_ols!$M$609</definedName>
    <definedName name="ITEM36_2Q02" localSheetId="10">Tags!$R$609</definedName>
    <definedName name="ITEM36_2Q02">Tags_ols!$R$609</definedName>
    <definedName name="ITEM36_2Q03" localSheetId="10">Tags!$W$609</definedName>
    <definedName name="ITEM36_2Q03">Tags_ols!$W$609</definedName>
    <definedName name="ITEM36_2Q04" localSheetId="10">Tags!$AB$609</definedName>
    <definedName name="ITEM36_2Q04">Tags_ols!$AB$609</definedName>
    <definedName name="ITEM36_2Q05" localSheetId="10">Tags!$AG$609</definedName>
    <definedName name="ITEM36_2Q05">Tags_ols!$AG$609</definedName>
    <definedName name="ITEM36_2Q06" localSheetId="10">Tags!$AL$609</definedName>
    <definedName name="ITEM36_2Q06">Tags_ols!$AL$609</definedName>
    <definedName name="ITEM36_2Q07" localSheetId="10">Tags!$AQ$609</definedName>
    <definedName name="ITEM36_2Q07">Tags_ols!$AQ$609</definedName>
    <definedName name="ITEM36_2Q08" localSheetId="10">Tags!$AV$609</definedName>
    <definedName name="ITEM36_2Q08">Tags_ols!$AV$609</definedName>
    <definedName name="ITEM36_2Q09" localSheetId="10">Tags!$BA$609</definedName>
    <definedName name="ITEM36_2Q09">Tags_ols!$BA$609</definedName>
    <definedName name="ITEM36_2Q10" localSheetId="10">Tags!$BF$609</definedName>
    <definedName name="ITEM36_2Q10">Tags_ols!$BF$609</definedName>
    <definedName name="ITEM36_2Q11" localSheetId="10">Tags!$BK$609</definedName>
    <definedName name="ITEM36_2Q11">Tags_ols!$BK$609</definedName>
    <definedName name="ITEM36_2Q12" localSheetId="10">Tags!$BP$609</definedName>
    <definedName name="ITEM36_2Q12">Tags_ols!$BP$609</definedName>
    <definedName name="ITEM36_2Q13" localSheetId="10">Tags!$BU$609</definedName>
    <definedName name="ITEM36_2Q13">Tags_ols!$BU$609</definedName>
    <definedName name="ITEM36_2Q14" localSheetId="10">Tags!$BZ$609</definedName>
    <definedName name="ITEM36_2Q14">Tags_ols!$BZ$609</definedName>
    <definedName name="ITEM36_2Q15" localSheetId="10">Tags!$CE$609</definedName>
    <definedName name="ITEM36_2Q15">Tags_ols!$CE$609</definedName>
    <definedName name="ITEM36_2Q16" localSheetId="10">Tags!$CJ$609</definedName>
    <definedName name="ITEM36_2Q16">Tags_ols!$CJ$609</definedName>
    <definedName name="ITEM36_2Q17" localSheetId="10">Tags!$CO$609</definedName>
    <definedName name="ITEM36_2Q17">Tags_ols!$CO$609</definedName>
    <definedName name="ITEM36_2Q18" localSheetId="10">Tags!$CT$609</definedName>
    <definedName name="ITEM36_2Q18">Tags_ols!$CT$609</definedName>
    <definedName name="ITEM36_2Q19" localSheetId="10">Tags!$CY$609</definedName>
    <definedName name="ITEM36_2Q19">Tags_ols!$CY$609</definedName>
    <definedName name="ITEM36_2Q20" localSheetId="10">Tags!$DD$609</definedName>
    <definedName name="ITEM36_2Q20">Tags_ols!$DD$609</definedName>
    <definedName name="ITEM36_2Q21">Tags!$DI$609</definedName>
    <definedName name="ITEM36_2Q22">Tags!$DN$609</definedName>
    <definedName name="ITEM36_2Q23">Tags!$DS$609</definedName>
    <definedName name="ITEM36_2Q24">Tags!$DX$609</definedName>
    <definedName name="ITEM36_3Q00" localSheetId="10">Tags!$I$609</definedName>
    <definedName name="ITEM36_3Q00">Tags_ols!$I$609</definedName>
    <definedName name="ITEM36_3Q01" localSheetId="10">Tags!$N$609</definedName>
    <definedName name="ITEM36_3Q01">Tags_ols!$N$609</definedName>
    <definedName name="ITEM36_3Q02" localSheetId="10">Tags!$S$609</definedName>
    <definedName name="ITEM36_3Q02">Tags_ols!$S$609</definedName>
    <definedName name="ITEM36_3Q03" localSheetId="10">Tags!$X$609</definedName>
    <definedName name="ITEM36_3Q03">Tags_ols!$X$609</definedName>
    <definedName name="ITEM36_3Q04" localSheetId="10">Tags!$AC$609</definedName>
    <definedName name="ITEM36_3Q04">Tags_ols!$AC$609</definedName>
    <definedName name="ITEM36_3Q05" localSheetId="10">Tags!$AH$609</definedName>
    <definedName name="ITEM36_3Q05">Tags_ols!$AH$609</definedName>
    <definedName name="ITEM36_3Q06" localSheetId="10">Tags!$AM$609</definedName>
    <definedName name="ITEM36_3Q06">Tags_ols!$AM$609</definedName>
    <definedName name="ITEM36_3Q07" localSheetId="10">Tags!$AR$609</definedName>
    <definedName name="ITEM36_3Q07">Tags_ols!$AR$609</definedName>
    <definedName name="ITEM36_3Q08" localSheetId="10">Tags!$AW$609</definedName>
    <definedName name="ITEM36_3Q08">Tags_ols!$AW$609</definedName>
    <definedName name="ITEM36_3Q09" localSheetId="10">Tags!$BB$609</definedName>
    <definedName name="ITEM36_3Q09">Tags_ols!$BB$609</definedName>
    <definedName name="ITEM36_3Q10" localSheetId="10">Tags!$BG$609</definedName>
    <definedName name="ITEM36_3Q10">Tags_ols!$BG$609</definedName>
    <definedName name="ITEM36_3Q11" localSheetId="10">Tags!$BL$609</definedName>
    <definedName name="ITEM36_3Q11">Tags_ols!$BL$609</definedName>
    <definedName name="ITEM36_3Q12" localSheetId="10">Tags!$BQ$609</definedName>
    <definedName name="ITEM36_3Q12">Tags_ols!$BQ$609</definedName>
    <definedName name="ITEM36_3Q13" localSheetId="10">Tags!$BV$609</definedName>
    <definedName name="ITEM36_3Q13">Tags_ols!$BV$609</definedName>
    <definedName name="ITEM36_3Q14" localSheetId="10">Tags!$CA$609</definedName>
    <definedName name="ITEM36_3Q14">Tags_ols!$CA$609</definedName>
    <definedName name="ITEM36_3Q15" localSheetId="10">Tags!$CF$609</definedName>
    <definedName name="ITEM36_3Q15">Tags_ols!$CF$609</definedName>
    <definedName name="ITEM36_3Q16" localSheetId="10">Tags!$CK$609</definedName>
    <definedName name="ITEM36_3Q16">Tags_ols!$CK$609</definedName>
    <definedName name="ITEM36_3Q17" localSheetId="10">Tags!$CP$609</definedName>
    <definedName name="ITEM36_3Q17">Tags_ols!$CP$609</definedName>
    <definedName name="ITEM36_3Q18" localSheetId="10">Tags!$CU$609</definedName>
    <definedName name="ITEM36_3Q18">Tags_ols!$CU$609</definedName>
    <definedName name="ITEM36_3Q19" localSheetId="10">Tags!$CZ$609</definedName>
    <definedName name="ITEM36_3Q19">Tags_ols!$CZ$609</definedName>
    <definedName name="ITEM36_3Q20" localSheetId="10">Tags!$DE$609</definedName>
    <definedName name="ITEM36_3Q20">Tags_ols!$DE$609</definedName>
    <definedName name="ITEM36_3Q21">Tags!$DJ$609</definedName>
    <definedName name="ITEM36_3Q22">Tags!$DO$609</definedName>
    <definedName name="ITEM36_3Q23">Tags!$DT$609</definedName>
    <definedName name="ITEM36_3Q24">Tags!$DY$609</definedName>
    <definedName name="ITEM36_4Q00" localSheetId="10">Tags!$J$609</definedName>
    <definedName name="ITEM36_4Q00">Tags_ols!$J$609</definedName>
    <definedName name="ITEM36_4Q01" localSheetId="10">Tags!$O$609</definedName>
    <definedName name="ITEM36_4Q01">Tags_ols!$O$609</definedName>
    <definedName name="ITEM36_4Q02" localSheetId="10">Tags!$T$609</definedName>
    <definedName name="ITEM36_4Q02">Tags_ols!$T$609</definedName>
    <definedName name="ITEM36_4Q03" localSheetId="10">Tags!$Y$609</definedName>
    <definedName name="ITEM36_4Q03">Tags_ols!$Y$609</definedName>
    <definedName name="ITEM36_4Q04" localSheetId="10">Tags!$AD$609</definedName>
    <definedName name="ITEM36_4Q04">Tags_ols!$AD$609</definedName>
    <definedName name="ITEM36_4Q05" localSheetId="10">Tags!$AI$609</definedName>
    <definedName name="ITEM36_4Q05">Tags_ols!$AI$609</definedName>
    <definedName name="ITEM36_4Q06" localSheetId="10">Tags!$AN$609</definedName>
    <definedName name="ITEM36_4Q06">Tags_ols!$AN$609</definedName>
    <definedName name="ITEM36_4Q07" localSheetId="10">Tags!$AS$609</definedName>
    <definedName name="ITEM36_4Q07">Tags_ols!$AS$609</definedName>
    <definedName name="ITEM36_4Q08" localSheetId="10">Tags!$AX$609</definedName>
    <definedName name="ITEM36_4Q08">Tags_ols!$AX$609</definedName>
    <definedName name="ITEM36_4Q09" localSheetId="10">Tags!$BC$609</definedName>
    <definedName name="ITEM36_4Q09">Tags_ols!$BC$609</definedName>
    <definedName name="ITEM36_4Q10" localSheetId="10">Tags!$BH$609</definedName>
    <definedName name="ITEM36_4Q10">Tags_ols!$BH$609</definedName>
    <definedName name="ITEM36_4Q11" localSheetId="10">Tags!$BM$609</definedName>
    <definedName name="ITEM36_4Q11">Tags_ols!$BM$609</definedName>
    <definedName name="ITEM36_4Q12" localSheetId="10">Tags!$BR$609</definedName>
    <definedName name="ITEM36_4Q12">Tags_ols!$BR$609</definedName>
    <definedName name="ITEM36_4Q13" localSheetId="10">Tags!$BW$609</definedName>
    <definedName name="ITEM36_4Q13">Tags_ols!$BW$609</definedName>
    <definedName name="ITEM36_4Q14" localSheetId="10">Tags!$CB$609</definedName>
    <definedName name="ITEM36_4Q14">Tags_ols!$CB$609</definedName>
    <definedName name="ITEM36_4Q15" localSheetId="10">Tags!$CG$609</definedName>
    <definedName name="ITEM36_4Q15">Tags_ols!$CG$609</definedName>
    <definedName name="ITEM36_4Q16" localSheetId="10">Tags!$CL$609</definedName>
    <definedName name="ITEM36_4Q16">Tags_ols!$CL$609</definedName>
    <definedName name="ITEM36_4Q17" localSheetId="10">Tags!$CQ$609</definedName>
    <definedName name="ITEM36_4Q17">Tags_ols!$CQ$609</definedName>
    <definedName name="ITEM36_4Q18" localSheetId="10">Tags!$CV$609</definedName>
    <definedName name="ITEM36_4Q18">Tags_ols!$CV$609</definedName>
    <definedName name="ITEM36_4Q19" localSheetId="10">Tags!$DA$609</definedName>
    <definedName name="ITEM36_4Q19">Tags_ols!$DA$609</definedName>
    <definedName name="ITEM36_4Q20" localSheetId="10">Tags!$DF$609</definedName>
    <definedName name="ITEM36_4Q20">Tags_ols!$DF$609</definedName>
    <definedName name="ITEM36_4Q21">Tags!$DK$609</definedName>
    <definedName name="ITEM36_4Q22">Tags!$DP$609</definedName>
    <definedName name="ITEM36_4Q23">Tags!$DU$609</definedName>
    <definedName name="ITEM36_4Q24">Tags!$DZ$609</definedName>
    <definedName name="ITEM37_1995">Tags_ols!$B$610</definedName>
    <definedName name="ITEM37_1996">Tags_ols!$C$610</definedName>
    <definedName name="ITEM37_1997">Tags_ols!$D$610</definedName>
    <definedName name="ITEM37_1998">Tags_ols!$E$610</definedName>
    <definedName name="ITEM37_1999">Tags_ols!$F$610</definedName>
    <definedName name="ITEM37_1Q00" localSheetId="10">Tags!$G$610</definedName>
    <definedName name="ITEM37_1Q00">Tags_ols!$G$610</definedName>
    <definedName name="ITEM37_1Q01" localSheetId="10">Tags!$L$610</definedName>
    <definedName name="ITEM37_1Q01">Tags_ols!$L$610</definedName>
    <definedName name="ITEM37_1Q02" localSheetId="10">Tags!$Q$610</definedName>
    <definedName name="ITEM37_1Q02">Tags_ols!$Q$610</definedName>
    <definedName name="ITEM37_1Q03" localSheetId="10">Tags!$V$610</definedName>
    <definedName name="ITEM37_1Q03">Tags_ols!$V$610</definedName>
    <definedName name="ITEM37_1Q04" localSheetId="10">Tags!$AA$610</definedName>
    <definedName name="ITEM37_1Q04">Tags_ols!$AA$610</definedName>
    <definedName name="ITEM37_1Q05" localSheetId="10">Tags!$AF$610</definedName>
    <definedName name="ITEM37_1Q05">Tags_ols!$AF$610</definedName>
    <definedName name="ITEM37_1Q06" localSheetId="10">Tags!$AK$610</definedName>
    <definedName name="ITEM37_1Q06">Tags_ols!$AK$610</definedName>
    <definedName name="ITEM37_1Q07" localSheetId="10">Tags!$AP$610</definedName>
    <definedName name="ITEM37_1Q07">Tags_ols!$AP$610</definedName>
    <definedName name="ITEM37_1Q08" localSheetId="10">Tags!$AU$610</definedName>
    <definedName name="ITEM37_1Q08">Tags_ols!$AU$610</definedName>
    <definedName name="ITEM37_1Q09" localSheetId="10">Tags!$AZ$610</definedName>
    <definedName name="ITEM37_1Q09">Tags_ols!$AZ$610</definedName>
    <definedName name="ITEM37_1Q10" localSheetId="10">Tags!$BE$610</definedName>
    <definedName name="ITEM37_1Q10">Tags_ols!$BE$610</definedName>
    <definedName name="ITEM37_1Q11" localSheetId="10">Tags!$BJ$610</definedName>
    <definedName name="ITEM37_1Q11">Tags_ols!$BJ$610</definedName>
    <definedName name="ITEM37_1Q12" localSheetId="10">Tags!$BO$610</definedName>
    <definedName name="ITEM37_1Q12">Tags_ols!$BO$610</definedName>
    <definedName name="ITEM37_1Q13" localSheetId="10">Tags!$BT$610</definedName>
    <definedName name="ITEM37_1Q13">Tags_ols!$BT$610</definedName>
    <definedName name="ITEM37_1Q14" localSheetId="10">Tags!$BY$610</definedName>
    <definedName name="ITEM37_1Q14">Tags_ols!$BY$610</definedName>
    <definedName name="ITEM37_1Q15" localSheetId="10">Tags!$CD$610</definedName>
    <definedName name="ITEM37_1Q15">Tags_ols!$CD$610</definedName>
    <definedName name="ITEM37_1Q16" localSheetId="10">Tags!$CI$610</definedName>
    <definedName name="ITEM37_1Q16">Tags_ols!$CI$610</definedName>
    <definedName name="ITEM37_1Q17" localSheetId="10">Tags!$CN$610</definedName>
    <definedName name="ITEM37_1Q17">Tags_ols!$CN$610</definedName>
    <definedName name="ITEM37_1Q18" localSheetId="10">Tags!$CS$610</definedName>
    <definedName name="ITEM37_1Q18">Tags_ols!$CS$610</definedName>
    <definedName name="ITEM37_1Q19" localSheetId="10">Tags!$CX$610</definedName>
    <definedName name="ITEM37_1Q19">Tags_ols!$CX$610</definedName>
    <definedName name="ITEM37_1Q20" localSheetId="10">Tags!$DC$610</definedName>
    <definedName name="ITEM37_1Q20">Tags_ols!$DC$610</definedName>
    <definedName name="ITEM37_1Q21">Tags!$DH$610</definedName>
    <definedName name="ITEM37_1Q22">Tags!$DM$610</definedName>
    <definedName name="ITEM37_1Q23">Tags!$DR$610</definedName>
    <definedName name="ITEM37_1Q24">Tags!$DW$610</definedName>
    <definedName name="ITEM37_2000" localSheetId="10">Tags!$K$610</definedName>
    <definedName name="ITEM37_2000">Tags_ols!$K$610</definedName>
    <definedName name="ITEM37_2001" localSheetId="10">Tags!$P$610</definedName>
    <definedName name="ITEM37_2001">Tags_ols!$P$610</definedName>
    <definedName name="ITEM37_2002" localSheetId="10">Tags!$U$610</definedName>
    <definedName name="ITEM37_2002">Tags_ols!$U$610</definedName>
    <definedName name="ITEM37_2003" localSheetId="10">Tags!$Z$610</definedName>
    <definedName name="ITEM37_2003">Tags_ols!$Z$610</definedName>
    <definedName name="ITEM37_2004" localSheetId="10">Tags!$AE$610</definedName>
    <definedName name="ITEM37_2004">Tags_ols!$AE$610</definedName>
    <definedName name="ITEM37_2005" localSheetId="10">Tags!$AJ$610</definedName>
    <definedName name="ITEM37_2005">Tags_ols!$AJ$610</definedName>
    <definedName name="ITEM37_2006" localSheetId="10">Tags!$AO$610</definedName>
    <definedName name="ITEM37_2006">Tags_ols!$AO$610</definedName>
    <definedName name="ITEM37_2007" localSheetId="10">Tags!$AT$610</definedName>
    <definedName name="ITEM37_2007">Tags_ols!$AT$610</definedName>
    <definedName name="ITEM37_2008" localSheetId="10">Tags!$AY$610</definedName>
    <definedName name="ITEM37_2008">Tags_ols!$AY$610</definedName>
    <definedName name="ITEM37_2009" localSheetId="10">Tags!$BD$610</definedName>
    <definedName name="ITEM37_2009">Tags_ols!$BD$610</definedName>
    <definedName name="ITEM37_2010" localSheetId="10">Tags!$BI$610</definedName>
    <definedName name="ITEM37_2010">Tags_ols!$BI$610</definedName>
    <definedName name="ITEM37_2011" localSheetId="10">Tags!$BN$610</definedName>
    <definedName name="ITEM37_2011">Tags_ols!$BN$610</definedName>
    <definedName name="ITEM37_2012" localSheetId="10">Tags!$BS$610</definedName>
    <definedName name="ITEM37_2012">Tags_ols!$BS$610</definedName>
    <definedName name="ITEM37_2013" localSheetId="10">Tags!$BX$610</definedName>
    <definedName name="ITEM37_2013">Tags_ols!$BX$610</definedName>
    <definedName name="ITEM37_2014" localSheetId="10">Tags!$CC$610</definedName>
    <definedName name="ITEM37_2014">Tags_ols!$CC$610</definedName>
    <definedName name="ITEM37_2015" localSheetId="10">Tags!#REF!</definedName>
    <definedName name="ITEM37_2015">Tags!$CH$610</definedName>
    <definedName name="ITEM37_2016" localSheetId="10">Tags!$CM$610</definedName>
    <definedName name="ITEM37_2016">Tags_ols!$CM$610</definedName>
    <definedName name="ITEM37_2017" localSheetId="10">Tags!$CR$610</definedName>
    <definedName name="ITEM37_2017">Tags_ols!$CR$610</definedName>
    <definedName name="ITEM37_2018" localSheetId="10">Tags!$CW$610</definedName>
    <definedName name="ITEM37_2018">Tags_ols!$CW$610</definedName>
    <definedName name="ITEM37_2019" localSheetId="10">Tags!$DB$610</definedName>
    <definedName name="ITEM37_2019">Tags_ols!$DB$610</definedName>
    <definedName name="ITEM37_2020" localSheetId="10">Tags!$DG$610</definedName>
    <definedName name="ITEM37_2020">Tags_ols!$DG$610</definedName>
    <definedName name="ITEM37_2021">Tags!$DL$610</definedName>
    <definedName name="ITEM37_2022">Tags!$DQ$610</definedName>
    <definedName name="ITEM37_2023">Tags!$DV$610</definedName>
    <definedName name="ITEM37_2024">Tags!$EA$610</definedName>
    <definedName name="ITEM37_2Q00" localSheetId="10">Tags!$H$610</definedName>
    <definedName name="ITEM37_2Q00">Tags_ols!$H$610</definedName>
    <definedName name="ITEM37_2Q01" localSheetId="10">Tags!$M$610</definedName>
    <definedName name="ITEM37_2Q01">Tags_ols!$M$610</definedName>
    <definedName name="ITEM37_2Q02" localSheetId="10">Tags!$R$610</definedName>
    <definedName name="ITEM37_2Q02">Tags_ols!$R$610</definedName>
    <definedName name="ITEM37_2Q03" localSheetId="10">Tags!$W$610</definedName>
    <definedName name="ITEM37_2Q03">Tags_ols!$W$610</definedName>
    <definedName name="ITEM37_2Q04" localSheetId="10">Tags!$AB$610</definedName>
    <definedName name="ITEM37_2Q04">Tags_ols!$AB$610</definedName>
    <definedName name="ITEM37_2Q05" localSheetId="10">Tags!$AG$610</definedName>
    <definedName name="ITEM37_2Q05">Tags_ols!$AG$610</definedName>
    <definedName name="ITEM37_2Q06" localSheetId="10">Tags!$AL$610</definedName>
    <definedName name="ITEM37_2Q06">Tags_ols!$AL$610</definedName>
    <definedName name="ITEM37_2Q07" localSheetId="10">Tags!$AQ$610</definedName>
    <definedName name="ITEM37_2Q07">Tags_ols!$AQ$610</definedName>
    <definedName name="ITEM37_2Q08" localSheetId="10">Tags!$AV$610</definedName>
    <definedName name="ITEM37_2Q08">Tags_ols!$AV$610</definedName>
    <definedName name="ITEM37_2Q09" localSheetId="10">Tags!$BA$610</definedName>
    <definedName name="ITEM37_2Q09">Tags_ols!$BA$610</definedName>
    <definedName name="ITEM37_2Q10" localSheetId="10">Tags!$BF$610</definedName>
    <definedName name="ITEM37_2Q10">Tags_ols!$BF$610</definedName>
    <definedName name="ITEM37_2Q11" localSheetId="10">Tags!$BK$610</definedName>
    <definedName name="ITEM37_2Q11">Tags_ols!$BK$610</definedName>
    <definedName name="ITEM37_2Q12" localSheetId="10">Tags!$BP$610</definedName>
    <definedName name="ITEM37_2Q12">Tags_ols!$BP$610</definedName>
    <definedName name="ITEM37_2Q13" localSheetId="10">Tags!$BU$610</definedName>
    <definedName name="ITEM37_2Q13">Tags_ols!$BU$610</definedName>
    <definedName name="ITEM37_2Q14" localSheetId="10">Tags!$BZ$610</definedName>
    <definedName name="ITEM37_2Q14">Tags_ols!$BZ$610</definedName>
    <definedName name="ITEM37_2Q15" localSheetId="10">Tags!$CE$610</definedName>
    <definedName name="ITEM37_2Q15">Tags_ols!$CE$610</definedName>
    <definedName name="ITEM37_2Q16" localSheetId="10">Tags!$CJ$610</definedName>
    <definedName name="ITEM37_2Q16">Tags_ols!$CJ$610</definedName>
    <definedName name="ITEM37_2Q17" localSheetId="10">Tags!$CO$610</definedName>
    <definedName name="ITEM37_2Q17">Tags_ols!$CO$610</definedName>
    <definedName name="ITEM37_2Q18" localSheetId="10">Tags!$CT$610</definedName>
    <definedName name="ITEM37_2Q18">Tags_ols!$CT$610</definedName>
    <definedName name="ITEM37_2Q19" localSheetId="10">Tags!$CY$610</definedName>
    <definedName name="ITEM37_2Q19">Tags_ols!$CY$610</definedName>
    <definedName name="ITEM37_2Q20" localSheetId="10">Tags!$DD$610</definedName>
    <definedName name="ITEM37_2Q20">Tags_ols!$DD$610</definedName>
    <definedName name="ITEM37_2Q21">Tags!$DI$610</definedName>
    <definedName name="ITEM37_2Q22">Tags!$DN$610</definedName>
    <definedName name="ITEM37_2Q23">Tags!$DS$610</definedName>
    <definedName name="ITEM37_2Q24">Tags!$DX$610</definedName>
    <definedName name="ITEM37_3Q00" localSheetId="10">Tags!$I$610</definedName>
    <definedName name="ITEM37_3Q00">Tags_ols!$I$610</definedName>
    <definedName name="ITEM37_3Q01" localSheetId="10">Tags!$N$610</definedName>
    <definedName name="ITEM37_3Q01">Tags_ols!$N$610</definedName>
    <definedName name="ITEM37_3Q02" localSheetId="10">Tags!$S$610</definedName>
    <definedName name="ITEM37_3Q02">Tags_ols!$S$610</definedName>
    <definedName name="ITEM37_3Q03" localSheetId="10">Tags!$X$610</definedName>
    <definedName name="ITEM37_3Q03">Tags_ols!$X$610</definedName>
    <definedName name="ITEM37_3Q04" localSheetId="10">Tags!$AC$610</definedName>
    <definedName name="ITEM37_3Q04">Tags_ols!$AC$610</definedName>
    <definedName name="ITEM37_3Q05" localSheetId="10">Tags!$AH$610</definedName>
    <definedName name="ITEM37_3Q05">Tags_ols!$AH$610</definedName>
    <definedName name="ITEM37_3Q06" localSheetId="10">Tags!$AM$610</definedName>
    <definedName name="ITEM37_3Q06">Tags_ols!$AM$610</definedName>
    <definedName name="ITEM37_3Q07" localSheetId="10">Tags!$AR$610</definedName>
    <definedName name="ITEM37_3Q07">Tags_ols!$AR$610</definedName>
    <definedName name="ITEM37_3Q08" localSheetId="10">Tags!$AW$610</definedName>
    <definedName name="ITEM37_3Q08">Tags_ols!$AW$610</definedName>
    <definedName name="ITEM37_3Q09" localSheetId="10">Tags!$BB$610</definedName>
    <definedName name="ITEM37_3Q09">Tags_ols!$BB$610</definedName>
    <definedName name="ITEM37_3Q10" localSheetId="10">Tags!$BG$610</definedName>
    <definedName name="ITEM37_3Q10">Tags_ols!$BG$610</definedName>
    <definedName name="ITEM37_3Q11" localSheetId="10">Tags!$BL$610</definedName>
    <definedName name="ITEM37_3Q11">Tags_ols!$BL$610</definedName>
    <definedName name="ITEM37_3Q12" localSheetId="10">Tags!$BQ$610</definedName>
    <definedName name="ITEM37_3Q12">Tags_ols!$BQ$610</definedName>
    <definedName name="ITEM37_3Q13" localSheetId="10">Tags!$BV$610</definedName>
    <definedName name="ITEM37_3Q13">Tags_ols!$BV$610</definedName>
    <definedName name="ITEM37_3Q14" localSheetId="10">Tags!$CA$610</definedName>
    <definedName name="ITEM37_3Q14">Tags_ols!$CA$610</definedName>
    <definedName name="ITEM37_3Q15" localSheetId="10">Tags!$CF$610</definedName>
    <definedName name="ITEM37_3Q15">Tags_ols!$CF$610</definedName>
    <definedName name="ITEM37_3Q16" localSheetId="10">Tags!$CK$610</definedName>
    <definedName name="ITEM37_3Q16">Tags_ols!$CK$610</definedName>
    <definedName name="ITEM37_3Q17" localSheetId="10">Tags!$CP$610</definedName>
    <definedName name="ITEM37_3Q17">Tags_ols!$CP$610</definedName>
    <definedName name="ITEM37_3Q18" localSheetId="10">Tags!$CU$610</definedName>
    <definedName name="ITEM37_3Q18">Tags_ols!$CU$610</definedName>
    <definedName name="ITEM37_3Q19" localSheetId="10">Tags!$CZ$610</definedName>
    <definedName name="ITEM37_3Q19">Tags_ols!$CZ$610</definedName>
    <definedName name="ITEM37_3Q20" localSheetId="10">Tags!$DE$610</definedName>
    <definedName name="ITEM37_3Q20">Tags_ols!$DE$610</definedName>
    <definedName name="ITEM37_3Q21">Tags!$DJ$610</definedName>
    <definedName name="ITEM37_3Q22">Tags!$DO$610</definedName>
    <definedName name="ITEM37_3Q23">Tags!$DT$610</definedName>
    <definedName name="ITEM37_3Q24">Tags!$DY$610</definedName>
    <definedName name="ITEM37_4Q00" localSheetId="10">Tags!$J$610</definedName>
    <definedName name="ITEM37_4Q00">Tags_ols!$J$610</definedName>
    <definedName name="ITEM37_4Q01" localSheetId="10">Tags!$O$610</definedName>
    <definedName name="ITEM37_4Q01">Tags_ols!$O$610</definedName>
    <definedName name="ITEM37_4Q02" localSheetId="10">Tags!$T$610</definedName>
    <definedName name="ITEM37_4Q02">Tags_ols!$T$610</definedName>
    <definedName name="ITEM37_4Q03" localSheetId="10">Tags!$Y$610</definedName>
    <definedName name="ITEM37_4Q03">Tags_ols!$Y$610</definedName>
    <definedName name="ITEM37_4Q04" localSheetId="10">Tags!$AD$610</definedName>
    <definedName name="ITEM37_4Q04">Tags_ols!$AD$610</definedName>
    <definedName name="ITEM37_4Q05" localSheetId="10">Tags!$AI$610</definedName>
    <definedName name="ITEM37_4Q05">Tags_ols!$AI$610</definedName>
    <definedName name="ITEM37_4Q06" localSheetId="10">Tags!$AN$610</definedName>
    <definedName name="ITEM37_4Q06">Tags_ols!$AN$610</definedName>
    <definedName name="ITEM37_4Q07" localSheetId="10">Tags!$AS$610</definedName>
    <definedName name="ITEM37_4Q07">Tags_ols!$AS$610</definedName>
    <definedName name="ITEM37_4Q08" localSheetId="10">Tags!$AX$610</definedName>
    <definedName name="ITEM37_4Q08">Tags_ols!$AX$610</definedName>
    <definedName name="ITEM37_4Q09" localSheetId="10">Tags!$BC$610</definedName>
    <definedName name="ITEM37_4Q09">Tags_ols!$BC$610</definedName>
    <definedName name="ITEM37_4Q10" localSheetId="10">Tags!$BH$610</definedName>
    <definedName name="ITEM37_4Q10">Tags_ols!$BH$610</definedName>
    <definedName name="ITEM37_4Q11" localSheetId="10">Tags!$BM$610</definedName>
    <definedName name="ITEM37_4Q11">Tags_ols!$BM$610</definedName>
    <definedName name="ITEM37_4Q12" localSheetId="10">Tags!$BR$610</definedName>
    <definedName name="ITEM37_4Q12">Tags_ols!$BR$610</definedName>
    <definedName name="ITEM37_4Q13" localSheetId="10">Tags!$BW$610</definedName>
    <definedName name="ITEM37_4Q13">Tags_ols!$BW$610</definedName>
    <definedName name="ITEM37_4Q14" localSheetId="10">Tags!$CB$610</definedName>
    <definedName name="ITEM37_4Q14">Tags_ols!$CB$610</definedName>
    <definedName name="ITEM37_4Q15" localSheetId="10">Tags!$CG$610</definedName>
    <definedName name="ITEM37_4Q15">Tags_ols!$CG$610</definedName>
    <definedName name="ITEM37_4Q16" localSheetId="10">Tags!$CL$610</definedName>
    <definedName name="ITEM37_4Q16">Tags_ols!$CL$610</definedName>
    <definedName name="ITEM37_4Q17" localSheetId="10">Tags!$CQ$610</definedName>
    <definedName name="ITEM37_4Q17">Tags_ols!$CQ$610</definedName>
    <definedName name="ITEM37_4Q18" localSheetId="10">Tags!$CV$610</definedName>
    <definedName name="ITEM37_4Q18">Tags_ols!$CV$610</definedName>
    <definedName name="ITEM37_4Q19" localSheetId="10">Tags!$DA$610</definedName>
    <definedName name="ITEM37_4Q19">Tags_ols!$DA$610</definedName>
    <definedName name="ITEM37_4Q20" localSheetId="10">Tags!$DF$610</definedName>
    <definedName name="ITEM37_4Q20">Tags_ols!$DF$610</definedName>
    <definedName name="ITEM37_4Q21">Tags!$DK$610</definedName>
    <definedName name="ITEM37_4Q22">Tags!$DP$610</definedName>
    <definedName name="ITEM37_4Q23">Tags!$DU$610</definedName>
    <definedName name="ITEM37_4Q24">Tags!$DZ$610</definedName>
    <definedName name="ITEM38_1995">Tags_ols!$B$611</definedName>
    <definedName name="ITEM38_1996">Tags_ols!$C$611</definedName>
    <definedName name="ITEM38_1997">Tags_ols!$D$611</definedName>
    <definedName name="ITEM38_1998">Tags_ols!$E$611</definedName>
    <definedName name="ITEM38_1999">Tags_ols!$F$611</definedName>
    <definedName name="ITEM38_1Q00" localSheetId="10">Tags!$G$611</definedName>
    <definedName name="ITEM38_1Q00">Tags_ols!$G$611</definedName>
    <definedName name="ITEM38_1Q01" localSheetId="10">Tags!$L$611</definedName>
    <definedName name="ITEM38_1Q01">Tags_ols!$L$611</definedName>
    <definedName name="ITEM38_1Q02" localSheetId="10">Tags!$Q$611</definedName>
    <definedName name="ITEM38_1Q02">Tags_ols!$Q$611</definedName>
    <definedName name="ITEM38_1Q03" localSheetId="10">Tags!$V$611</definedName>
    <definedName name="ITEM38_1Q03">Tags_ols!$V$611</definedName>
    <definedName name="ITEM38_1Q04" localSheetId="10">Tags!$AA$611</definedName>
    <definedName name="ITEM38_1Q04">Tags_ols!$AA$611</definedName>
    <definedName name="ITEM38_1Q05" localSheetId="10">Tags!$AF$611</definedName>
    <definedName name="ITEM38_1Q05">Tags_ols!$AF$611</definedName>
    <definedName name="ITEM38_1Q06" localSheetId="10">Tags!$AK$611</definedName>
    <definedName name="ITEM38_1Q06">Tags_ols!$AK$611</definedName>
    <definedName name="ITEM38_1Q07" localSheetId="10">Tags!$AP$611</definedName>
    <definedName name="ITEM38_1Q07">Tags_ols!$AP$611</definedName>
    <definedName name="ITEM38_1Q08" localSheetId="10">Tags!$AU$611</definedName>
    <definedName name="ITEM38_1Q08">Tags_ols!$AU$611</definedName>
    <definedName name="ITEM38_1Q09" localSheetId="10">Tags!$AZ$611</definedName>
    <definedName name="ITEM38_1Q09">Tags_ols!$AZ$611</definedName>
    <definedName name="ITEM38_1Q10" localSheetId="10">Tags!$BE$611</definedName>
    <definedName name="ITEM38_1Q10">Tags_ols!$BE$611</definedName>
    <definedName name="ITEM38_1Q11" localSheetId="10">Tags!$BJ$611</definedName>
    <definedName name="ITEM38_1Q11">Tags_ols!$BJ$611</definedName>
    <definedName name="ITEM38_1Q12" localSheetId="10">Tags!$BO$611</definedName>
    <definedName name="ITEM38_1Q12">Tags_ols!$BO$611</definedName>
    <definedName name="ITEM38_1Q13" localSheetId="10">Tags!$BT$611</definedName>
    <definedName name="ITEM38_1Q13">Tags_ols!$BT$611</definedName>
    <definedName name="ITEM38_1Q14" localSheetId="10">Tags!$BY$611</definedName>
    <definedName name="ITEM38_1Q14">Tags_ols!$BY$611</definedName>
    <definedName name="ITEM38_1Q15" localSheetId="10">Tags!$CD$611</definedName>
    <definedName name="ITEM38_1Q15">Tags_ols!$CD$611</definedName>
    <definedName name="ITEM38_1Q16" localSheetId="10">Tags!$CI$611</definedName>
    <definedName name="ITEM38_1Q16">Tags_ols!$CI$611</definedName>
    <definedName name="ITEM38_1Q17" localSheetId="10">Tags!$CN$611</definedName>
    <definedName name="ITEM38_1Q17">Tags_ols!$CN$611</definedName>
    <definedName name="ITEM38_1Q18" localSheetId="10">Tags!$CS$611</definedName>
    <definedName name="ITEM38_1Q18">Tags_ols!$CS$611</definedName>
    <definedName name="ITEM38_1Q19" localSheetId="10">Tags!$CX$611</definedName>
    <definedName name="ITEM38_1Q19">Tags_ols!$CX$611</definedName>
    <definedName name="ITEM38_1Q20" localSheetId="10">Tags!$DC$611</definedName>
    <definedName name="ITEM38_1Q20">Tags_ols!$DC$611</definedName>
    <definedName name="ITEM38_1Q21">Tags!$DH$611</definedName>
    <definedName name="ITEM38_1Q22">Tags!$DM$611</definedName>
    <definedName name="ITEM38_1Q23">Tags!$DR$611</definedName>
    <definedName name="ITEM38_1Q24">Tags!$DW$611</definedName>
    <definedName name="ITEM38_2000" localSheetId="10">Tags!$K$611</definedName>
    <definedName name="ITEM38_2000">Tags_ols!$K$611</definedName>
    <definedName name="ITEM38_2001" localSheetId="10">Tags!$P$611</definedName>
    <definedName name="ITEM38_2001">Tags_ols!$P$611</definedName>
    <definedName name="ITEM38_2002" localSheetId="10">Tags!$U$611</definedName>
    <definedName name="ITEM38_2002">Tags_ols!$U$611</definedName>
    <definedName name="ITEM38_2003" localSheetId="10">Tags!$Z$611</definedName>
    <definedName name="ITEM38_2003">Tags_ols!$Z$611</definedName>
    <definedName name="ITEM38_2004" localSheetId="10">Tags!$AE$611</definedName>
    <definedName name="ITEM38_2004">Tags_ols!$AE$611</definedName>
    <definedName name="ITEM38_2005" localSheetId="10">Tags!$AJ$611</definedName>
    <definedName name="ITEM38_2005">Tags_ols!$AJ$611</definedName>
    <definedName name="ITEM38_2006" localSheetId="10">Tags!$AO$611</definedName>
    <definedName name="ITEM38_2006">Tags_ols!$AO$611</definedName>
    <definedName name="ITEM38_2007" localSheetId="10">Tags!$AT$611</definedName>
    <definedName name="ITEM38_2007">Tags_ols!$AT$611</definedName>
    <definedName name="ITEM38_2008" localSheetId="10">Tags!$AY$611</definedName>
    <definedName name="ITEM38_2008">Tags_ols!$AY$611</definedName>
    <definedName name="ITEM38_2009" localSheetId="10">Tags!$BD$611</definedName>
    <definedName name="ITEM38_2009">Tags_ols!$BD$611</definedName>
    <definedName name="ITEM38_2010" localSheetId="10">Tags!$BI$611</definedName>
    <definedName name="ITEM38_2010">Tags_ols!$BI$611</definedName>
    <definedName name="ITEM38_2011" localSheetId="10">Tags!$BN$611</definedName>
    <definedName name="ITEM38_2011">Tags_ols!$BN$611</definedName>
    <definedName name="ITEM38_2012" localSheetId="10">Tags!$BS$611</definedName>
    <definedName name="ITEM38_2012">Tags_ols!$BS$611</definedName>
    <definedName name="ITEM38_2013" localSheetId="10">Tags!$BX$611</definedName>
    <definedName name="ITEM38_2013">Tags_ols!$BX$611</definedName>
    <definedName name="ITEM38_2014" localSheetId="10">Tags!$CC$611</definedName>
    <definedName name="ITEM38_2014">Tags_ols!$CC$611</definedName>
    <definedName name="ITEM38_2015" localSheetId="10">Tags!#REF!</definedName>
    <definedName name="ITEM38_2015">Tags!$CH$611</definedName>
    <definedName name="ITEM38_2016" localSheetId="10">Tags!$CM$611</definedName>
    <definedName name="ITEM38_2016">Tags_ols!$CM$611</definedName>
    <definedName name="ITEM38_2017" localSheetId="10">Tags!$CR$611</definedName>
    <definedName name="ITEM38_2017">Tags_ols!$CR$611</definedName>
    <definedName name="ITEM38_2018" localSheetId="10">Tags!$CW$611</definedName>
    <definedName name="ITEM38_2018">Tags_ols!$CW$611</definedName>
    <definedName name="ITEM38_2019" localSheetId="10">Tags!$DB$611</definedName>
    <definedName name="ITEM38_2019">Tags_ols!$DB$611</definedName>
    <definedName name="ITEM38_2020" localSheetId="10">Tags!$DG$611</definedName>
    <definedName name="ITEM38_2020">Tags_ols!$DG$611</definedName>
    <definedName name="ITEM38_2021">Tags!$DL$611</definedName>
    <definedName name="ITEM38_2022">Tags!$DQ$611</definedName>
    <definedName name="ITEM38_2023">Tags!$DV$611</definedName>
    <definedName name="ITEM38_2024">Tags!$EA$611</definedName>
    <definedName name="ITEM38_2Q00" localSheetId="10">Tags!$H$611</definedName>
    <definedName name="ITEM38_2Q00">Tags_ols!$H$611</definedName>
    <definedName name="ITEM38_2Q01" localSheetId="10">Tags!$M$611</definedName>
    <definedName name="ITEM38_2Q01">Tags_ols!$M$611</definedName>
    <definedName name="ITEM38_2Q02" localSheetId="10">Tags!$R$611</definedName>
    <definedName name="ITEM38_2Q02">Tags_ols!$R$611</definedName>
    <definedName name="ITEM38_2Q03" localSheetId="10">Tags!$W$611</definedName>
    <definedName name="ITEM38_2Q03">Tags_ols!$W$611</definedName>
    <definedName name="ITEM38_2Q04" localSheetId="10">Tags!$AB$611</definedName>
    <definedName name="ITEM38_2Q04">Tags_ols!$AB$611</definedName>
    <definedName name="ITEM38_2Q05" localSheetId="10">Tags!$AG$611</definedName>
    <definedName name="ITEM38_2Q05">Tags_ols!$AG$611</definedName>
    <definedName name="ITEM38_2Q06" localSheetId="10">Tags!$AL$611</definedName>
    <definedName name="ITEM38_2Q06">Tags_ols!$AL$611</definedName>
    <definedName name="ITEM38_2Q07" localSheetId="10">Tags!$AQ$611</definedName>
    <definedName name="ITEM38_2Q07">Tags_ols!$AQ$611</definedName>
    <definedName name="ITEM38_2Q08" localSheetId="10">Tags!$AV$611</definedName>
    <definedName name="ITEM38_2Q08">Tags_ols!$AV$611</definedName>
    <definedName name="ITEM38_2Q09" localSheetId="10">Tags!$BA$611</definedName>
    <definedName name="ITEM38_2Q09">Tags_ols!$BA$611</definedName>
    <definedName name="ITEM38_2Q10" localSheetId="10">Tags!$BF$611</definedName>
    <definedName name="ITEM38_2Q10">Tags_ols!$BF$611</definedName>
    <definedName name="ITEM38_2Q11" localSheetId="10">Tags!$BK$611</definedName>
    <definedName name="ITEM38_2Q11">Tags_ols!$BK$611</definedName>
    <definedName name="ITEM38_2Q12" localSheetId="10">Tags!$BP$611</definedName>
    <definedName name="ITEM38_2Q12">Tags_ols!$BP$611</definedName>
    <definedName name="ITEM38_2Q13" localSheetId="10">Tags!$BU$611</definedName>
    <definedName name="ITEM38_2Q13">Tags_ols!$BU$611</definedName>
    <definedName name="ITEM38_2Q14" localSheetId="10">Tags!$BZ$611</definedName>
    <definedName name="ITEM38_2Q14">Tags_ols!$BZ$611</definedName>
    <definedName name="ITEM38_2Q15" localSheetId="10">Tags!$CE$611</definedName>
    <definedName name="ITEM38_2Q15">Tags_ols!$CE$611</definedName>
    <definedName name="ITEM38_2Q16" localSheetId="10">Tags!$CJ$611</definedName>
    <definedName name="ITEM38_2Q16">Tags_ols!$CJ$611</definedName>
    <definedName name="ITEM38_2Q17" localSheetId="10">Tags!$CO$611</definedName>
    <definedName name="ITEM38_2Q17">Tags_ols!$CO$611</definedName>
    <definedName name="ITEM38_2Q18" localSheetId="10">Tags!$CT$611</definedName>
    <definedName name="ITEM38_2Q18">Tags_ols!$CT$611</definedName>
    <definedName name="ITEM38_2Q19" localSheetId="10">Tags!$CY$611</definedName>
    <definedName name="ITEM38_2Q19">Tags_ols!$CY$611</definedName>
    <definedName name="ITEM38_2Q20" localSheetId="10">Tags!$DD$611</definedName>
    <definedName name="ITEM38_2Q20">Tags_ols!$DD$611</definedName>
    <definedName name="ITEM38_2Q21">Tags!$DI$611</definedName>
    <definedName name="ITEM38_2Q22">Tags!$DN$611</definedName>
    <definedName name="ITEM38_2Q23">Tags!$DS$611</definedName>
    <definedName name="ITEM38_2Q24">Tags!$DX$611</definedName>
    <definedName name="ITEM38_3Q00" localSheetId="10">Tags!$I$611</definedName>
    <definedName name="ITEM38_3Q00">Tags_ols!$I$611</definedName>
    <definedName name="ITEM38_3Q01" localSheetId="10">Tags!$N$611</definedName>
    <definedName name="ITEM38_3Q01">Tags_ols!$N$611</definedName>
    <definedName name="ITEM38_3Q02" localSheetId="10">Tags!$S$611</definedName>
    <definedName name="ITEM38_3Q02">Tags_ols!$S$611</definedName>
    <definedName name="ITEM38_3Q03" localSheetId="10">Tags!$X$611</definedName>
    <definedName name="ITEM38_3Q03">Tags_ols!$X$611</definedName>
    <definedName name="ITEM38_3Q04" localSheetId="10">Tags!$AC$611</definedName>
    <definedName name="ITEM38_3Q04">Tags_ols!$AC$611</definedName>
    <definedName name="ITEM38_3Q05" localSheetId="10">Tags!$AH$611</definedName>
    <definedName name="ITEM38_3Q05">Tags_ols!$AH$611</definedName>
    <definedName name="ITEM38_3Q06" localSheetId="10">Tags!$AM$611</definedName>
    <definedName name="ITEM38_3Q06">Tags_ols!$AM$611</definedName>
    <definedName name="ITEM38_3Q07" localSheetId="10">Tags!$AR$611</definedName>
    <definedName name="ITEM38_3Q07">Tags_ols!$AR$611</definedName>
    <definedName name="ITEM38_3Q08" localSheetId="10">Tags!$AW$611</definedName>
    <definedName name="ITEM38_3Q08">Tags_ols!$AW$611</definedName>
    <definedName name="ITEM38_3Q09" localSheetId="10">Tags!$BB$611</definedName>
    <definedName name="ITEM38_3Q09">Tags_ols!$BB$611</definedName>
    <definedName name="ITEM38_3Q10" localSheetId="10">Tags!$BG$611</definedName>
    <definedName name="ITEM38_3Q10">Tags_ols!$BG$611</definedName>
    <definedName name="ITEM38_3Q11" localSheetId="10">Tags!$BL$611</definedName>
    <definedName name="ITEM38_3Q11">Tags_ols!$BL$611</definedName>
    <definedName name="ITEM38_3Q12" localSheetId="10">Tags!$BQ$611</definedName>
    <definedName name="ITEM38_3Q12">Tags_ols!$BQ$611</definedName>
    <definedName name="ITEM38_3Q13" localSheetId="10">Tags!$BV$611</definedName>
    <definedName name="ITEM38_3Q13">Tags_ols!$BV$611</definedName>
    <definedName name="ITEM38_3Q14" localSheetId="10">Tags!$CA$611</definedName>
    <definedName name="ITEM38_3Q14">Tags_ols!$CA$611</definedName>
    <definedName name="ITEM38_3Q15" localSheetId="10">Tags!$CF$611</definedName>
    <definedName name="ITEM38_3Q15">Tags_ols!$CF$611</definedName>
    <definedName name="ITEM38_3Q16" localSheetId="10">Tags!$CK$611</definedName>
    <definedName name="ITEM38_3Q16">Tags_ols!$CK$611</definedName>
    <definedName name="ITEM38_3Q17" localSheetId="10">Tags!$CP$611</definedName>
    <definedName name="ITEM38_3Q17">Tags_ols!$CP$611</definedName>
    <definedName name="ITEM38_3Q18" localSheetId="10">Tags!$CU$611</definedName>
    <definedName name="ITEM38_3Q18">Tags_ols!$CU$611</definedName>
    <definedName name="ITEM38_3Q19" localSheetId="10">Tags!$CZ$611</definedName>
    <definedName name="ITEM38_3Q19">Tags_ols!$CZ$611</definedName>
    <definedName name="ITEM38_3Q20" localSheetId="10">Tags!$DE$611</definedName>
    <definedName name="ITEM38_3Q20">Tags_ols!$DE$611</definedName>
    <definedName name="ITEM38_3Q21">Tags!$DJ$611</definedName>
    <definedName name="ITEM38_3Q22">Tags!$DO$611</definedName>
    <definedName name="ITEM38_3Q23">Tags!$DT$611</definedName>
    <definedName name="ITEM38_3Q24">Tags!$DY$611</definedName>
    <definedName name="ITEM38_4Q00" localSheetId="10">Tags!$J$611</definedName>
    <definedName name="ITEM38_4Q00">Tags_ols!$J$611</definedName>
    <definedName name="ITEM38_4Q01" localSheetId="10">Tags!$O$611</definedName>
    <definedName name="ITEM38_4Q01">Tags_ols!$O$611</definedName>
    <definedName name="ITEM38_4Q02" localSheetId="10">Tags!$T$611</definedName>
    <definedName name="ITEM38_4Q02">Tags_ols!$T$611</definedName>
    <definedName name="ITEM38_4Q03" localSheetId="10">Tags!$Y$611</definedName>
    <definedName name="ITEM38_4Q03">Tags_ols!$Y$611</definedName>
    <definedName name="ITEM38_4Q04" localSheetId="10">Tags!$AD$611</definedName>
    <definedName name="ITEM38_4Q04">Tags_ols!$AD$611</definedName>
    <definedName name="ITEM38_4Q05" localSheetId="10">Tags!$AI$611</definedName>
    <definedName name="ITEM38_4Q05">Tags_ols!$AI$611</definedName>
    <definedName name="ITEM38_4Q06" localSheetId="10">Tags!$AN$611</definedName>
    <definedName name="ITEM38_4Q06">Tags_ols!$AN$611</definedName>
    <definedName name="ITEM38_4Q07" localSheetId="10">Tags!$AS$611</definedName>
    <definedName name="ITEM38_4Q07">Tags_ols!$AS$611</definedName>
    <definedName name="ITEM38_4Q08" localSheetId="10">Tags!$AX$611</definedName>
    <definedName name="ITEM38_4Q08">Tags_ols!$AX$611</definedName>
    <definedName name="ITEM38_4Q09" localSheetId="10">Tags!$BC$611</definedName>
    <definedName name="ITEM38_4Q09">Tags_ols!$BC$611</definedName>
    <definedName name="ITEM38_4Q10" localSheetId="10">Tags!$BH$611</definedName>
    <definedName name="ITEM38_4Q10">Tags_ols!$BH$611</definedName>
    <definedName name="ITEM38_4Q11" localSheetId="10">Tags!$BM$611</definedName>
    <definedName name="ITEM38_4Q11">Tags_ols!$BM$611</definedName>
    <definedName name="ITEM38_4Q12" localSheetId="10">Tags!$BR$611</definedName>
    <definedName name="ITEM38_4Q12">Tags_ols!$BR$611</definedName>
    <definedName name="ITEM38_4Q13" localSheetId="10">Tags!$BW$611</definedName>
    <definedName name="ITEM38_4Q13">Tags_ols!$BW$611</definedName>
    <definedName name="ITEM38_4Q14" localSheetId="10">Tags!$CB$611</definedName>
    <definedName name="ITEM38_4Q14">Tags_ols!$CB$611</definedName>
    <definedName name="ITEM38_4Q15" localSheetId="10">Tags!$CG$611</definedName>
    <definedName name="ITEM38_4Q15">Tags_ols!$CG$611</definedName>
    <definedName name="ITEM38_4Q16" localSheetId="10">Tags!$CL$611</definedName>
    <definedName name="ITEM38_4Q16">Tags_ols!$CL$611</definedName>
    <definedName name="ITEM38_4Q17" localSheetId="10">Tags!$CQ$611</definedName>
    <definedName name="ITEM38_4Q17">Tags_ols!$CQ$611</definedName>
    <definedName name="ITEM38_4Q18" localSheetId="10">Tags!$CV$611</definedName>
    <definedName name="ITEM38_4Q18">Tags_ols!$CV$611</definedName>
    <definedName name="ITEM38_4Q19" localSheetId="10">Tags!$DA$611</definedName>
    <definedName name="ITEM38_4Q19">Tags_ols!$DA$611</definedName>
    <definedName name="ITEM38_4Q20" localSheetId="10">Tags!$DF$611</definedName>
    <definedName name="ITEM38_4Q20">Tags_ols!$DF$611</definedName>
    <definedName name="ITEM38_4Q21">Tags!$DK$611</definedName>
    <definedName name="ITEM38_4Q22">Tags!$DP$611</definedName>
    <definedName name="ITEM38_4Q23">Tags!$DU$611</definedName>
    <definedName name="ITEM38_4Q24">Tags!$DZ$611</definedName>
    <definedName name="ITEM39_1995">Tags_ols!$B$612</definedName>
    <definedName name="ITEM39_1996">Tags_ols!$C$612</definedName>
    <definedName name="ITEM39_1997">Tags_ols!$D$612</definedName>
    <definedName name="ITEM39_1998">Tags_ols!$E$612</definedName>
    <definedName name="ITEM39_1999">Tags_ols!$F$612</definedName>
    <definedName name="ITEM39_1Q00" localSheetId="10">Tags!$G$612</definedName>
    <definedName name="ITEM39_1Q00">Tags_ols!$G$612</definedName>
    <definedName name="ITEM39_1Q01" localSheetId="10">Tags!$L$612</definedName>
    <definedName name="ITEM39_1Q01">Tags_ols!$L$612</definedName>
    <definedName name="ITEM39_1Q02" localSheetId="10">Tags!$Q$612</definedName>
    <definedName name="ITEM39_1Q02">Tags_ols!$Q$612</definedName>
    <definedName name="ITEM39_1Q03" localSheetId="10">Tags!$V$612</definedName>
    <definedName name="ITEM39_1Q03">Tags_ols!$V$612</definedName>
    <definedName name="ITEM39_1Q04" localSheetId="10">Tags!$AA$612</definedName>
    <definedName name="ITEM39_1Q04">Tags_ols!$AA$612</definedName>
    <definedName name="ITEM39_1Q05" localSheetId="10">Tags!$AF$612</definedName>
    <definedName name="ITEM39_1Q05">Tags_ols!$AF$612</definedName>
    <definedName name="ITEM39_1Q06" localSheetId="10">Tags!$AK$612</definedName>
    <definedName name="ITEM39_1Q06">Tags_ols!$AK$612</definedName>
    <definedName name="ITEM39_1Q07" localSheetId="10">Tags!$AP$612</definedName>
    <definedName name="ITEM39_1Q07">Tags_ols!$AP$612</definedName>
    <definedName name="ITEM39_1Q08" localSheetId="10">Tags!$AU$612</definedName>
    <definedName name="ITEM39_1Q08">Tags_ols!$AU$612</definedName>
    <definedName name="ITEM39_1Q09" localSheetId="10">Tags!$AZ$612</definedName>
    <definedName name="ITEM39_1Q09">Tags_ols!$AZ$612</definedName>
    <definedName name="ITEM39_1Q10" localSheetId="10">Tags!$BE$612</definedName>
    <definedName name="ITEM39_1Q10">Tags_ols!$BE$612</definedName>
    <definedName name="ITEM39_1Q11" localSheetId="10">Tags!$BJ$612</definedName>
    <definedName name="ITEM39_1Q11">Tags_ols!$BJ$612</definedName>
    <definedName name="ITEM39_1Q12" localSheetId="10">Tags!$BO$612</definedName>
    <definedName name="ITEM39_1Q12">Tags_ols!$BO$612</definedName>
    <definedName name="ITEM39_1Q13" localSheetId="10">Tags!$BT$612</definedName>
    <definedName name="ITEM39_1Q13">Tags_ols!$BT$612</definedName>
    <definedName name="ITEM39_1Q14" localSheetId="10">Tags!$BY$612</definedName>
    <definedName name="ITEM39_1Q14">Tags_ols!$BY$612</definedName>
    <definedName name="ITEM39_1Q15" localSheetId="10">Tags!$CD$612</definedName>
    <definedName name="ITEM39_1Q15">Tags_ols!$CD$612</definedName>
    <definedName name="ITEM39_1Q16" localSheetId="10">Tags!$CI$612</definedName>
    <definedName name="ITEM39_1Q16">Tags_ols!$CI$612</definedName>
    <definedName name="ITEM39_1Q17" localSheetId="10">Tags!$CN$612</definedName>
    <definedName name="ITEM39_1Q17">Tags_ols!$CN$612</definedName>
    <definedName name="ITEM39_1Q18" localSheetId="10">Tags!$CS$612</definedName>
    <definedName name="ITEM39_1Q18">Tags_ols!$CS$612</definedName>
    <definedName name="ITEM39_1Q19" localSheetId="10">Tags!$CX$612</definedName>
    <definedName name="ITEM39_1Q19">Tags_ols!$CX$612</definedName>
    <definedName name="ITEM39_1Q20" localSheetId="10">Tags!$DC$612</definedName>
    <definedName name="ITEM39_1Q20">Tags_ols!$DC$612</definedName>
    <definedName name="ITEM39_1Q21">Tags!$DH$612</definedName>
    <definedName name="ITEM39_1Q22">Tags!$DM$612</definedName>
    <definedName name="ITEM39_1Q23">Tags!$DR$612</definedName>
    <definedName name="ITEM39_1Q24">Tags!$DW$612</definedName>
    <definedName name="ITEM39_2000" localSheetId="10">Tags!$K$612</definedName>
    <definedName name="ITEM39_2000">Tags_ols!$K$612</definedName>
    <definedName name="ITEM39_2001" localSheetId="10">Tags!$P$612</definedName>
    <definedName name="ITEM39_2001">Tags_ols!$P$612</definedName>
    <definedName name="ITEM39_2002" localSheetId="10">Tags!$U$612</definedName>
    <definedName name="ITEM39_2002">Tags_ols!$U$612</definedName>
    <definedName name="ITEM39_2003" localSheetId="10">Tags!$Z$612</definedName>
    <definedName name="ITEM39_2003">Tags_ols!$Z$612</definedName>
    <definedName name="ITEM39_2004" localSheetId="10">Tags!$AE$612</definedName>
    <definedName name="ITEM39_2004">Tags_ols!$AE$612</definedName>
    <definedName name="ITEM39_2005" localSheetId="10">Tags!$AJ$612</definedName>
    <definedName name="ITEM39_2005">Tags_ols!$AJ$612</definedName>
    <definedName name="ITEM39_2006" localSheetId="10">Tags!$AO$612</definedName>
    <definedName name="ITEM39_2006">Tags_ols!$AO$612</definedName>
    <definedName name="ITEM39_2007" localSheetId="10">Tags!$AT$612</definedName>
    <definedName name="ITEM39_2007">Tags_ols!$AT$612</definedName>
    <definedName name="ITEM39_2008" localSheetId="10">Tags!$AY$612</definedName>
    <definedName name="ITEM39_2008">Tags_ols!$AY$612</definedName>
    <definedName name="ITEM39_2009" localSheetId="10">Tags!$BD$612</definedName>
    <definedName name="ITEM39_2009">Tags_ols!$BD$612</definedName>
    <definedName name="ITEM39_2010" localSheetId="10">Tags!$BI$612</definedName>
    <definedName name="ITEM39_2010">Tags_ols!$BI$612</definedName>
    <definedName name="ITEM39_2011" localSheetId="10">Tags!$BN$612</definedName>
    <definedName name="ITEM39_2011">Tags_ols!$BN$612</definedName>
    <definedName name="ITEM39_2012" localSheetId="10">Tags!$BS$612</definedName>
    <definedName name="ITEM39_2012">Tags_ols!$BS$612</definedName>
    <definedName name="ITEM39_2013" localSheetId="10">Tags!$BX$612</definedName>
    <definedName name="ITEM39_2013">Tags_ols!$BX$612</definedName>
    <definedName name="ITEM39_2014" localSheetId="10">Tags!$CC$612</definedName>
    <definedName name="ITEM39_2014">Tags_ols!$CC$612</definedName>
    <definedName name="ITEM39_2015" localSheetId="10">Tags!#REF!</definedName>
    <definedName name="ITEM39_2015">Tags!$CH$612</definedName>
    <definedName name="ITEM39_2016" localSheetId="10">Tags!$CM$612</definedName>
    <definedName name="ITEM39_2016">Tags_ols!$CM$612</definedName>
    <definedName name="ITEM39_2017" localSheetId="10">Tags!$CR$612</definedName>
    <definedName name="ITEM39_2017">Tags_ols!$CR$612</definedName>
    <definedName name="ITEM39_2018" localSheetId="10">Tags!$CW$612</definedName>
    <definedName name="ITEM39_2018">Tags_ols!$CW$612</definedName>
    <definedName name="ITEM39_2019" localSheetId="10">Tags!$DB$612</definedName>
    <definedName name="ITEM39_2019">Tags_ols!$DB$612</definedName>
    <definedName name="ITEM39_2020" localSheetId="10">Tags!$DG$612</definedName>
    <definedName name="ITEM39_2020">Tags_ols!$DG$612</definedName>
    <definedName name="ITEM39_2021">Tags!$DL$612</definedName>
    <definedName name="ITEM39_2022">Tags!$DQ$612</definedName>
    <definedName name="ITEM39_2023">Tags!$DV$612</definedName>
    <definedName name="ITEM39_2024">Tags!$EA$612</definedName>
    <definedName name="ITEM39_2Q00" localSheetId="10">Tags!$H$612</definedName>
    <definedName name="ITEM39_2Q00">Tags_ols!$H$612</definedName>
    <definedName name="ITEM39_2Q01" localSheetId="10">Tags!$M$612</definedName>
    <definedName name="ITEM39_2Q01">Tags_ols!$M$612</definedName>
    <definedName name="ITEM39_2Q02" localSheetId="10">Tags!$R$612</definedName>
    <definedName name="ITEM39_2Q02">Tags_ols!$R$612</definedName>
    <definedName name="ITEM39_2Q03" localSheetId="10">Tags!$W$612</definedName>
    <definedName name="ITEM39_2Q03">Tags_ols!$W$612</definedName>
    <definedName name="ITEM39_2Q04" localSheetId="10">Tags!$AB$612</definedName>
    <definedName name="ITEM39_2Q04">Tags_ols!$AB$612</definedName>
    <definedName name="ITEM39_2Q05" localSheetId="10">Tags!$AG$612</definedName>
    <definedName name="ITEM39_2Q05">Tags_ols!$AG$612</definedName>
    <definedName name="ITEM39_2Q06" localSheetId="10">Tags!$AL$612</definedName>
    <definedName name="ITEM39_2Q06">Tags_ols!$AL$612</definedName>
    <definedName name="ITEM39_2Q07" localSheetId="10">Tags!$AQ$612</definedName>
    <definedName name="ITEM39_2Q07">Tags_ols!$AQ$612</definedName>
    <definedName name="ITEM39_2Q08" localSheetId="10">Tags!$AV$612</definedName>
    <definedName name="ITEM39_2Q08">Tags_ols!$AV$612</definedName>
    <definedName name="ITEM39_2Q09" localSheetId="10">Tags!$BA$612</definedName>
    <definedName name="ITEM39_2Q09">Tags_ols!$BA$612</definedName>
    <definedName name="ITEM39_2Q10" localSheetId="10">Tags!$BF$612</definedName>
    <definedName name="ITEM39_2Q10">Tags_ols!$BF$612</definedName>
    <definedName name="ITEM39_2Q11" localSheetId="10">Tags!$BK$612</definedName>
    <definedName name="ITEM39_2Q11">Tags_ols!$BK$612</definedName>
    <definedName name="ITEM39_2Q12" localSheetId="10">Tags!$BP$612</definedName>
    <definedName name="ITEM39_2Q12">Tags_ols!$BP$612</definedName>
    <definedName name="ITEM39_2Q13" localSheetId="10">Tags!$BU$612</definedName>
    <definedName name="ITEM39_2Q13">Tags_ols!$BU$612</definedName>
    <definedName name="ITEM39_2Q14" localSheetId="10">Tags!$BZ$612</definedName>
    <definedName name="ITEM39_2Q14">Tags_ols!$BZ$612</definedName>
    <definedName name="ITEM39_2Q15" localSheetId="10">Tags!$CE$612</definedName>
    <definedName name="ITEM39_2Q15">Tags_ols!$CE$612</definedName>
    <definedName name="ITEM39_2Q16" localSheetId="10">Tags!$CJ$612</definedName>
    <definedName name="ITEM39_2Q16">Tags_ols!$CJ$612</definedName>
    <definedName name="ITEM39_2Q17" localSheetId="10">Tags!$CO$612</definedName>
    <definedName name="ITEM39_2Q17">Tags_ols!$CO$612</definedName>
    <definedName name="ITEM39_2Q18" localSheetId="10">Tags!$CT$612</definedName>
    <definedName name="ITEM39_2Q18">Tags_ols!$CT$612</definedName>
    <definedName name="ITEM39_2Q19" localSheetId="10">Tags!$CY$612</definedName>
    <definedName name="ITEM39_2Q19">Tags_ols!$CY$612</definedName>
    <definedName name="ITEM39_2Q20" localSheetId="10">Tags!$DD$612</definedName>
    <definedName name="ITEM39_2Q20">Tags_ols!$DD$612</definedName>
    <definedName name="ITEM39_2Q21">Tags!$DI$612</definedName>
    <definedName name="ITEM39_2Q22">Tags!$DN$612</definedName>
    <definedName name="ITEM39_2Q23">Tags!$DS$612</definedName>
    <definedName name="ITEM39_2Q24">Tags!$DX$612</definedName>
    <definedName name="ITEM39_3Q00" localSheetId="10">Tags!$I$612</definedName>
    <definedName name="ITEM39_3Q00">Tags_ols!$I$612</definedName>
    <definedName name="ITEM39_3Q01" localSheetId="10">Tags!$N$612</definedName>
    <definedName name="ITEM39_3Q01">Tags_ols!$N$612</definedName>
    <definedName name="ITEM39_3Q02" localSheetId="10">Tags!$S$612</definedName>
    <definedName name="ITEM39_3Q02">Tags_ols!$S$612</definedName>
    <definedName name="ITEM39_3Q03" localSheetId="10">Tags!$X$612</definedName>
    <definedName name="ITEM39_3Q03">Tags_ols!$X$612</definedName>
    <definedName name="ITEM39_3Q04" localSheetId="10">Tags!$AC$612</definedName>
    <definedName name="ITEM39_3Q04">Tags_ols!$AC$612</definedName>
    <definedName name="ITEM39_3Q05" localSheetId="10">Tags!$AH$612</definedName>
    <definedName name="ITEM39_3Q05">Tags_ols!$AH$612</definedName>
    <definedName name="ITEM39_3Q06" localSheetId="10">Tags!$AM$612</definedName>
    <definedName name="ITEM39_3Q06">Tags_ols!$AM$612</definedName>
    <definedName name="ITEM39_3Q07" localSheetId="10">Tags!$AR$612</definedName>
    <definedName name="ITEM39_3Q07">Tags_ols!$AR$612</definedName>
    <definedName name="ITEM39_3Q08" localSheetId="10">Tags!$AW$612</definedName>
    <definedName name="ITEM39_3Q08">Tags_ols!$AW$612</definedName>
    <definedName name="ITEM39_3Q09" localSheetId="10">Tags!$BB$612</definedName>
    <definedName name="ITEM39_3Q09">Tags_ols!$BB$612</definedName>
    <definedName name="ITEM39_3Q10" localSheetId="10">Tags!$BG$612</definedName>
    <definedName name="ITEM39_3Q10">Tags_ols!$BG$612</definedName>
    <definedName name="ITEM39_3Q11" localSheetId="10">Tags!$BL$612</definedName>
    <definedName name="ITEM39_3Q11">Tags_ols!$BL$612</definedName>
    <definedName name="ITEM39_3Q12" localSheetId="10">Tags!$BQ$612</definedName>
    <definedName name="ITEM39_3Q12">Tags_ols!$BQ$612</definedName>
    <definedName name="ITEM39_3Q13" localSheetId="10">Tags!$BV$612</definedName>
    <definedName name="ITEM39_3Q13">Tags_ols!$BV$612</definedName>
    <definedName name="ITEM39_3Q14" localSheetId="10">Tags!$CA$612</definedName>
    <definedName name="ITEM39_3Q14">Tags_ols!$CA$612</definedName>
    <definedName name="ITEM39_3Q15" localSheetId="10">Tags!$CF$612</definedName>
    <definedName name="ITEM39_3Q15">Tags_ols!$CF$612</definedName>
    <definedName name="ITEM39_3Q16" localSheetId="10">Tags!$CK$612</definedName>
    <definedName name="ITEM39_3Q16">Tags_ols!$CK$612</definedName>
    <definedName name="ITEM39_3Q17" localSheetId="10">Tags!$CP$612</definedName>
    <definedName name="ITEM39_3Q17">Tags_ols!$CP$612</definedName>
    <definedName name="ITEM39_3Q18" localSheetId="10">Tags!$CU$612</definedName>
    <definedName name="ITEM39_3Q18">Tags_ols!$CU$612</definedName>
    <definedName name="ITEM39_3Q19" localSheetId="10">Tags!$CZ$612</definedName>
    <definedName name="ITEM39_3Q19">Tags_ols!$CZ$612</definedName>
    <definedName name="ITEM39_3Q20" localSheetId="10">Tags!$DE$612</definedName>
    <definedName name="ITEM39_3Q20">Tags_ols!$DE$612</definedName>
    <definedName name="ITEM39_3Q21">Tags!$DJ$612</definedName>
    <definedName name="ITEM39_3Q22">Tags!$DO$612</definedName>
    <definedName name="ITEM39_3Q23">Tags!$DT$612</definedName>
    <definedName name="ITEM39_3Q24">Tags!$DY$612</definedName>
    <definedName name="ITEM39_4Q00" localSheetId="10">Tags!$J$612</definedName>
    <definedName name="ITEM39_4Q00">Tags_ols!$J$612</definedName>
    <definedName name="ITEM39_4Q01" localSheetId="10">Tags!$O$612</definedName>
    <definedName name="ITEM39_4Q01">Tags_ols!$O$612</definedName>
    <definedName name="ITEM39_4Q02" localSheetId="10">Tags!$T$612</definedName>
    <definedName name="ITEM39_4Q02">Tags_ols!$T$612</definedName>
    <definedName name="ITEM39_4Q03" localSheetId="10">Tags!$Y$612</definedName>
    <definedName name="ITEM39_4Q03">Tags_ols!$Y$612</definedName>
    <definedName name="ITEM39_4Q04" localSheetId="10">Tags!$AD$612</definedName>
    <definedName name="ITEM39_4Q04">Tags_ols!$AD$612</definedName>
    <definedName name="ITEM39_4Q05" localSheetId="10">Tags!$AI$612</definedName>
    <definedName name="ITEM39_4Q05">Tags_ols!$AI$612</definedName>
    <definedName name="ITEM39_4Q06" localSheetId="10">Tags!$AN$612</definedName>
    <definedName name="ITEM39_4Q06">Tags_ols!$AN$612</definedName>
    <definedName name="ITEM39_4Q07" localSheetId="10">Tags!$AS$612</definedName>
    <definedName name="ITEM39_4Q07">Tags_ols!$AS$612</definedName>
    <definedName name="ITEM39_4Q08" localSheetId="10">Tags!$AX$612</definedName>
    <definedName name="ITEM39_4Q08">Tags_ols!$AX$612</definedName>
    <definedName name="ITEM39_4Q09" localSheetId="10">Tags!$BC$612</definedName>
    <definedName name="ITEM39_4Q09">Tags_ols!$BC$612</definedName>
    <definedName name="ITEM39_4Q10" localSheetId="10">Tags!$BH$612</definedName>
    <definedName name="ITEM39_4Q10">Tags_ols!$BH$612</definedName>
    <definedName name="ITEM39_4Q11" localSheetId="10">Tags!$BM$612</definedName>
    <definedName name="ITEM39_4Q11">Tags_ols!$BM$612</definedName>
    <definedName name="ITEM39_4Q12" localSheetId="10">Tags!$BR$612</definedName>
    <definedName name="ITEM39_4Q12">Tags_ols!$BR$612</definedName>
    <definedName name="ITEM39_4Q13" localSheetId="10">Tags!$BW$612</definedName>
    <definedName name="ITEM39_4Q13">Tags_ols!$BW$612</definedName>
    <definedName name="ITEM39_4Q14" localSheetId="10">Tags!$CB$612</definedName>
    <definedName name="ITEM39_4Q14">Tags_ols!$CB$612</definedName>
    <definedName name="ITEM39_4Q15" localSheetId="10">Tags!$CG$612</definedName>
    <definedName name="ITEM39_4Q15">Tags_ols!$CG$612</definedName>
    <definedName name="ITEM39_4Q16" localSheetId="10">Tags!$CL$612</definedName>
    <definedName name="ITEM39_4Q16">Tags_ols!$CL$612</definedName>
    <definedName name="ITEM39_4Q17" localSheetId="10">Tags!$CQ$612</definedName>
    <definedName name="ITEM39_4Q17">Tags_ols!$CQ$612</definedName>
    <definedName name="ITEM39_4Q18" localSheetId="10">Tags!$CV$612</definedName>
    <definedName name="ITEM39_4Q18">Tags_ols!$CV$612</definedName>
    <definedName name="ITEM39_4Q19" localSheetId="10">Tags!$DA$612</definedName>
    <definedName name="ITEM39_4Q19">Tags_ols!$DA$612</definedName>
    <definedName name="ITEM39_4Q20" localSheetId="10">Tags!$DF$612</definedName>
    <definedName name="ITEM39_4Q20">Tags_ols!$DF$612</definedName>
    <definedName name="ITEM39_4Q21">Tags!$DK$612</definedName>
    <definedName name="ITEM39_4Q22">Tags!$DP$612</definedName>
    <definedName name="ITEM39_4Q23">Tags!$DU$612</definedName>
    <definedName name="ITEM39_4Q24">Tags!$DZ$612</definedName>
    <definedName name="ITEM4_1995">Tags_ols!$B$577</definedName>
    <definedName name="ITEM4_1996">Tags_ols!$C$577</definedName>
    <definedName name="ITEM4_1997">Tags_ols!$D$577</definedName>
    <definedName name="ITEM4_1998">Tags_ols!$E$577</definedName>
    <definedName name="ITEM4_1999">Tags_ols!$F$577</definedName>
    <definedName name="ITEM4_1Q00" localSheetId="10">Tags!$G$577</definedName>
    <definedName name="ITEM4_1Q00">Tags_ols!$G$577</definedName>
    <definedName name="ITEM4_1Q01" localSheetId="10">Tags!$L$577</definedName>
    <definedName name="ITEM4_1Q01">Tags_ols!$L$577</definedName>
    <definedName name="ITEM4_1Q02" localSheetId="10">Tags!$Q$577</definedName>
    <definedName name="ITEM4_1Q02">Tags_ols!$Q$577</definedName>
    <definedName name="ITEM4_1Q03" localSheetId="10">Tags!$V$577</definedName>
    <definedName name="ITEM4_1Q03">Tags_ols!$V$577</definedName>
    <definedName name="ITEM4_1Q04" localSheetId="10">Tags!$AA$577</definedName>
    <definedName name="ITEM4_1Q04">Tags_ols!$AA$577</definedName>
    <definedName name="ITEM4_1Q05" localSheetId="10">Tags!$AF$577</definedName>
    <definedName name="ITEM4_1Q05">Tags_ols!$AF$577</definedName>
    <definedName name="ITEM4_1Q06" localSheetId="10">Tags!$AK$577</definedName>
    <definedName name="ITEM4_1Q06">Tags_ols!$AK$577</definedName>
    <definedName name="ITEM4_1Q07" localSheetId="10">Tags!$AP$577</definedName>
    <definedName name="ITEM4_1Q07">Tags_ols!$AP$577</definedName>
    <definedName name="ITEM4_1Q08" localSheetId="10">Tags!$AU$577</definedName>
    <definedName name="ITEM4_1Q08">Tags_ols!$AU$577</definedName>
    <definedName name="ITEM4_1Q09" localSheetId="10">Tags!$AZ$577</definedName>
    <definedName name="ITEM4_1Q09">Tags_ols!$AZ$577</definedName>
    <definedName name="ITEM4_1Q10" localSheetId="10">Tags!$BE$577</definedName>
    <definedName name="ITEM4_1Q10">Tags_ols!$BE$577</definedName>
    <definedName name="ITEM4_1Q11" localSheetId="10">Tags!$BJ$577</definedName>
    <definedName name="ITEM4_1Q11">Tags_ols!$BJ$577</definedName>
    <definedName name="ITEM4_1Q12" localSheetId="10">Tags!$BO$577</definedName>
    <definedName name="ITEM4_1Q12">Tags_ols!$BO$577</definedName>
    <definedName name="ITEM4_1Q13" localSheetId="10">Tags!$BT$577</definedName>
    <definedName name="ITEM4_1Q13">Tags_ols!$BT$577</definedName>
    <definedName name="ITEM4_1Q14" localSheetId="10">Tags!$BY$577</definedName>
    <definedName name="ITEM4_1Q14">Tags_ols!$BY$577</definedName>
    <definedName name="ITEM4_1Q15" localSheetId="10">Tags!$CD$577</definedName>
    <definedName name="ITEM4_1Q15">Tags_ols!$CD$577</definedName>
    <definedName name="ITEM4_1Q16" localSheetId="10">Tags!$CI$577</definedName>
    <definedName name="ITEM4_1Q16">Tags_ols!$CI$577</definedName>
    <definedName name="ITEM4_1Q17" localSheetId="10">Tags!$CN$577</definedName>
    <definedName name="ITEM4_1Q17">Tags_ols!$CN$577</definedName>
    <definedName name="ITEM4_1Q18" localSheetId="10">Tags!$CS$577</definedName>
    <definedName name="ITEM4_1Q18">Tags_ols!$CS$577</definedName>
    <definedName name="ITEM4_1Q19" localSheetId="10">Tags!$CX$577</definedName>
    <definedName name="ITEM4_1Q19">Tags_ols!$CX$577</definedName>
    <definedName name="ITEM4_1Q20" localSheetId="10">Tags!$DC$577</definedName>
    <definedName name="ITEM4_1Q20">Tags_ols!$DC$577</definedName>
    <definedName name="ITEM4_1Q21">Tags!$DH$577</definedName>
    <definedName name="ITEM4_1Q22">Tags!$DM$577</definedName>
    <definedName name="ITEM4_1Q23">Tags!$DR$577</definedName>
    <definedName name="ITEM4_1Q24">Tags!$DW$577</definedName>
    <definedName name="ITEM4_2000" localSheetId="10">Tags!$K$577</definedName>
    <definedName name="ITEM4_2000">Tags_ols!$K$577</definedName>
    <definedName name="ITEM4_2001" localSheetId="10">Tags!$P$577</definedName>
    <definedName name="ITEM4_2001">Tags_ols!$P$577</definedName>
    <definedName name="ITEM4_2002" localSheetId="10">Tags!$U$577</definedName>
    <definedName name="ITEM4_2002">Tags_ols!$U$577</definedName>
    <definedName name="ITEM4_2003" localSheetId="10">Tags!$Z$577</definedName>
    <definedName name="ITEM4_2003">Tags_ols!$Z$577</definedName>
    <definedName name="ITEM4_2004" localSheetId="10">Tags!$AE$577</definedName>
    <definedName name="ITEM4_2004">Tags_ols!$AE$577</definedName>
    <definedName name="ITEM4_2005" localSheetId="10">Tags!$AJ$577</definedName>
    <definedName name="ITEM4_2005">Tags_ols!$AJ$577</definedName>
    <definedName name="ITEM4_2006" localSheetId="10">Tags!$AO$577</definedName>
    <definedName name="ITEM4_2006">Tags_ols!$AO$577</definedName>
    <definedName name="ITEM4_2007" localSheetId="10">Tags!$AT$577</definedName>
    <definedName name="ITEM4_2007">Tags_ols!$AT$577</definedName>
    <definedName name="ITEM4_2008" localSheetId="10">Tags!$AY$577</definedName>
    <definedName name="ITEM4_2008">Tags_ols!$AY$577</definedName>
    <definedName name="ITEM4_2009" localSheetId="10">Tags!$BD$577</definedName>
    <definedName name="ITEM4_2009">Tags_ols!$BD$577</definedName>
    <definedName name="ITEM4_2010" localSheetId="10">Tags!$BI$577</definedName>
    <definedName name="ITEM4_2010">Tags_ols!$BI$577</definedName>
    <definedName name="ITEM4_2011" localSheetId="10">Tags!$BN$577</definedName>
    <definedName name="ITEM4_2011">Tags_ols!$BN$577</definedName>
    <definedName name="ITEM4_2012" localSheetId="10">Tags!$BS$577</definedName>
    <definedName name="ITEM4_2012">Tags_ols!$BS$577</definedName>
    <definedName name="ITEM4_2013" localSheetId="10">Tags!$BX$577</definedName>
    <definedName name="ITEM4_2013">Tags_ols!$BX$577</definedName>
    <definedName name="ITEM4_2014" localSheetId="10">Tags!$CC$577</definedName>
    <definedName name="ITEM4_2014">Tags_ols!$CC$577</definedName>
    <definedName name="ITEM4_2015" localSheetId="10">Tags!#REF!</definedName>
    <definedName name="ITEM4_2015">Tags!$CH$577</definedName>
    <definedName name="ITEM4_2016" localSheetId="10">Tags!$CM$577</definedName>
    <definedName name="ITEM4_2016">Tags_ols!$CM$577</definedName>
    <definedName name="ITEM4_2017" localSheetId="10">Tags!$CR$577</definedName>
    <definedName name="ITEM4_2017">Tags_ols!$CR$577</definedName>
    <definedName name="ITEM4_2018" localSheetId="10">Tags!$CW$577</definedName>
    <definedName name="ITEM4_2018">Tags_ols!$CW$577</definedName>
    <definedName name="ITEM4_2019" localSheetId="10">Tags!$DB$577</definedName>
    <definedName name="ITEM4_2019">Tags_ols!$DB$577</definedName>
    <definedName name="ITEM4_2020" localSheetId="10">Tags!$DG$577</definedName>
    <definedName name="ITEM4_2020">Tags_ols!$DG$577</definedName>
    <definedName name="ITEM4_2021">Tags!$DL$577</definedName>
    <definedName name="ITEM4_2022">Tags!$DQ$577</definedName>
    <definedName name="ITEM4_2023">Tags!$DV$577</definedName>
    <definedName name="ITEM4_2024">Tags!$EA$577</definedName>
    <definedName name="ITEM4_2Q00" localSheetId="10">Tags!$H$577</definedName>
    <definedName name="ITEM4_2Q00">Tags_ols!$H$577</definedName>
    <definedName name="ITEM4_2Q01" localSheetId="10">Tags!$M$577</definedName>
    <definedName name="ITEM4_2Q01">Tags_ols!$M$577</definedName>
    <definedName name="ITEM4_2Q02" localSheetId="10">Tags!$R$577</definedName>
    <definedName name="ITEM4_2Q02">Tags_ols!$R$577</definedName>
    <definedName name="ITEM4_2Q03" localSheetId="10">Tags!$W$577</definedName>
    <definedName name="ITEM4_2Q03">Tags_ols!$W$577</definedName>
    <definedName name="ITEM4_2Q04" localSheetId="10">Tags!$AB$577</definedName>
    <definedName name="ITEM4_2Q04">Tags_ols!$AB$577</definedName>
    <definedName name="ITEM4_2Q05" localSheetId="10">Tags!$AG$577</definedName>
    <definedName name="ITEM4_2Q05">Tags_ols!$AG$577</definedName>
    <definedName name="ITEM4_2Q06" localSheetId="10">Tags!$AL$577</definedName>
    <definedName name="ITEM4_2Q06">Tags_ols!$AL$577</definedName>
    <definedName name="ITEM4_2Q07" localSheetId="10">Tags!$AQ$577</definedName>
    <definedName name="ITEM4_2Q07">Tags_ols!$AQ$577</definedName>
    <definedName name="ITEM4_2Q08" localSheetId="10">Tags!$AV$577</definedName>
    <definedName name="ITEM4_2Q08">Tags_ols!$AV$577</definedName>
    <definedName name="ITEM4_2Q09" localSheetId="10">Tags!$BA$577</definedName>
    <definedName name="ITEM4_2Q09">Tags_ols!$BA$577</definedName>
    <definedName name="ITEM4_2Q10" localSheetId="10">Tags!$BF$577</definedName>
    <definedName name="ITEM4_2Q10">Tags_ols!$BF$577</definedName>
    <definedName name="ITEM4_2Q11" localSheetId="10">Tags!$BK$577</definedName>
    <definedName name="ITEM4_2Q11">Tags_ols!$BK$577</definedName>
    <definedName name="ITEM4_2Q12" localSheetId="10">Tags!$BP$577</definedName>
    <definedName name="ITEM4_2Q12">Tags_ols!$BP$577</definedName>
    <definedName name="ITEM4_2Q13" localSheetId="10">Tags!$BU$577</definedName>
    <definedName name="ITEM4_2Q13">Tags_ols!$BU$577</definedName>
    <definedName name="ITEM4_2Q14" localSheetId="10">Tags!$BZ$577</definedName>
    <definedName name="ITEM4_2Q14">Tags_ols!$BZ$577</definedName>
    <definedName name="ITEM4_2Q15" localSheetId="10">Tags!$CE$577</definedName>
    <definedName name="ITEM4_2Q15">Tags_ols!$CE$577</definedName>
    <definedName name="ITEM4_2Q16" localSheetId="10">Tags!$CJ$577</definedName>
    <definedName name="ITEM4_2Q16">Tags_ols!$CJ$577</definedName>
    <definedName name="ITEM4_2Q17" localSheetId="10">Tags!$CO$577</definedName>
    <definedName name="ITEM4_2Q17">Tags_ols!$CO$577</definedName>
    <definedName name="ITEM4_2Q18" localSheetId="10">Tags!$CT$577</definedName>
    <definedName name="ITEM4_2Q18">Tags_ols!$CT$577</definedName>
    <definedName name="ITEM4_2Q19" localSheetId="10">Tags!$CY$577</definedName>
    <definedName name="ITEM4_2Q19">Tags_ols!$CY$577</definedName>
    <definedName name="ITEM4_2Q20" localSheetId="10">Tags!$DD$577</definedName>
    <definedName name="ITEM4_2Q20">Tags_ols!$DD$577</definedName>
    <definedName name="ITEM4_2Q21">Tags!$DI$577</definedName>
    <definedName name="ITEM4_2Q22">Tags!$DN$577</definedName>
    <definedName name="ITEM4_2Q23">Tags!$DS$577</definedName>
    <definedName name="ITEM4_2Q24">Tags!$DX$577</definedName>
    <definedName name="ITEM4_3Q00" localSheetId="10">Tags!$I$577</definedName>
    <definedName name="ITEM4_3Q00">Tags_ols!$I$577</definedName>
    <definedName name="ITEM4_3Q01" localSheetId="10">Tags!$N$577</definedName>
    <definedName name="ITEM4_3Q01">Tags_ols!$N$577</definedName>
    <definedName name="ITEM4_3Q02" localSheetId="10">Tags!$S$577</definedName>
    <definedName name="ITEM4_3Q02">Tags_ols!$S$577</definedName>
    <definedName name="ITEM4_3Q03" localSheetId="10">Tags!$X$577</definedName>
    <definedName name="ITEM4_3Q03">Tags_ols!$X$577</definedName>
    <definedName name="ITEM4_3Q04" localSheetId="10">Tags!$AC$577</definedName>
    <definedName name="ITEM4_3Q04">Tags_ols!$AC$577</definedName>
    <definedName name="ITEM4_3Q05" localSheetId="10">Tags!$AH$577</definedName>
    <definedName name="ITEM4_3Q05">Tags_ols!$AH$577</definedName>
    <definedName name="ITEM4_3Q06" localSheetId="10">Tags!$AM$577</definedName>
    <definedName name="ITEM4_3Q06">Tags_ols!$AM$577</definedName>
    <definedName name="ITEM4_3Q07" localSheetId="10">Tags!$AR$577</definedName>
    <definedName name="ITEM4_3Q07">Tags_ols!$AR$577</definedName>
    <definedName name="ITEM4_3Q08" localSheetId="10">Tags!$AW$577</definedName>
    <definedName name="ITEM4_3Q08">Tags_ols!$AW$577</definedName>
    <definedName name="ITEM4_3Q09" localSheetId="10">Tags!$BB$577</definedName>
    <definedName name="ITEM4_3Q09">Tags_ols!$BB$577</definedName>
    <definedName name="ITEM4_3Q10" localSheetId="10">Tags!$BG$577</definedName>
    <definedName name="ITEM4_3Q10">Tags_ols!$BG$577</definedName>
    <definedName name="ITEM4_3Q11" localSheetId="10">Tags!$BL$577</definedName>
    <definedName name="ITEM4_3Q11">Tags_ols!$BL$577</definedName>
    <definedName name="ITEM4_3Q12" localSheetId="10">Tags!$BQ$577</definedName>
    <definedName name="ITEM4_3Q12">Tags_ols!$BQ$577</definedName>
    <definedName name="ITEM4_3Q13" localSheetId="10">Tags!$BV$577</definedName>
    <definedName name="ITEM4_3Q13">Tags_ols!$BV$577</definedName>
    <definedName name="ITEM4_3Q14" localSheetId="10">Tags!$CA$577</definedName>
    <definedName name="ITEM4_3Q14">Tags_ols!$CA$577</definedName>
    <definedName name="ITEM4_3Q15" localSheetId="10">Tags!$CF$577</definedName>
    <definedName name="ITEM4_3Q15">Tags_ols!$CF$577</definedName>
    <definedName name="ITEM4_3Q16" localSheetId="10">Tags!$CK$577</definedName>
    <definedName name="ITEM4_3Q16">Tags_ols!$CK$577</definedName>
    <definedName name="ITEM4_3Q17" localSheetId="10">Tags!$CP$577</definedName>
    <definedName name="ITEM4_3Q17">Tags_ols!$CP$577</definedName>
    <definedName name="ITEM4_3Q18" localSheetId="10">Tags!$CU$577</definedName>
    <definedName name="ITEM4_3Q18">Tags_ols!$CU$577</definedName>
    <definedName name="ITEM4_3Q19" localSheetId="10">Tags!$CZ$577</definedName>
    <definedName name="ITEM4_3Q19">Tags_ols!$CZ$577</definedName>
    <definedName name="ITEM4_3Q20" localSheetId="10">Tags!$DE$577</definedName>
    <definedName name="ITEM4_3Q20">Tags_ols!$DE$577</definedName>
    <definedName name="ITEM4_3Q21">Tags!$DJ$577</definedName>
    <definedName name="ITEM4_3Q22">Tags!$DO$577</definedName>
    <definedName name="ITEM4_3Q23">Tags!$DT$577</definedName>
    <definedName name="ITEM4_3Q24">Tags!$DY$577</definedName>
    <definedName name="ITEM4_4Q00" localSheetId="10">Tags!$J$577</definedName>
    <definedName name="ITEM4_4Q00">Tags_ols!$J$577</definedName>
    <definedName name="ITEM4_4Q01" localSheetId="10">Tags!$O$577</definedName>
    <definedName name="ITEM4_4Q01">Tags_ols!$O$577</definedName>
    <definedName name="ITEM4_4Q02" localSheetId="10">Tags!$T$577</definedName>
    <definedName name="ITEM4_4Q02">Tags_ols!$T$577</definedName>
    <definedName name="ITEM4_4Q03" localSheetId="10">Tags!$Y$577</definedName>
    <definedName name="ITEM4_4Q03">Tags_ols!$Y$577</definedName>
    <definedName name="ITEM4_4Q04" localSheetId="10">Tags!$AD$577</definedName>
    <definedName name="ITEM4_4Q04">Tags_ols!$AD$577</definedName>
    <definedName name="ITEM4_4Q05" localSheetId="10">Tags!$AI$577</definedName>
    <definedName name="ITEM4_4Q05">Tags_ols!$AI$577</definedName>
    <definedName name="ITEM4_4Q06" localSheetId="10">Tags!$AN$577</definedName>
    <definedName name="ITEM4_4Q06">Tags_ols!$AN$577</definedName>
    <definedName name="ITEM4_4Q07" localSheetId="10">Tags!$AS$577</definedName>
    <definedName name="ITEM4_4Q07">Tags_ols!$AS$577</definedName>
    <definedName name="ITEM4_4Q08" localSheetId="10">Tags!$AX$577</definedName>
    <definedName name="ITEM4_4Q08">Tags_ols!$AX$577</definedName>
    <definedName name="ITEM4_4Q09" localSheetId="10">Tags!$BC$577</definedName>
    <definedName name="ITEM4_4Q09">Tags_ols!$BC$577</definedName>
    <definedName name="ITEM4_4Q10" localSheetId="10">Tags!$BH$577</definedName>
    <definedName name="ITEM4_4Q10">Tags_ols!$BH$577</definedName>
    <definedName name="ITEM4_4Q11" localSheetId="10">Tags!$BM$577</definedName>
    <definedName name="ITEM4_4Q11">Tags_ols!$BM$577</definedName>
    <definedName name="ITEM4_4Q12" localSheetId="10">Tags!$BR$577</definedName>
    <definedName name="ITEM4_4Q12">Tags_ols!$BR$577</definedName>
    <definedName name="ITEM4_4Q13" localSheetId="10">Tags!$BW$577</definedName>
    <definedName name="ITEM4_4Q13">Tags_ols!$BW$577</definedName>
    <definedName name="ITEM4_4Q14" localSheetId="10">Tags!$CB$577</definedName>
    <definedName name="ITEM4_4Q14">Tags_ols!$CB$577</definedName>
    <definedName name="ITEM4_4Q15" localSheetId="10">Tags!$CG$577</definedName>
    <definedName name="ITEM4_4Q15">Tags_ols!$CG$577</definedName>
    <definedName name="ITEM4_4Q16" localSheetId="10">Tags!$CL$577</definedName>
    <definedName name="ITEM4_4Q16">Tags_ols!$CL$577</definedName>
    <definedName name="ITEM4_4Q17" localSheetId="10">Tags!$CQ$577</definedName>
    <definedName name="ITEM4_4Q17">Tags_ols!$CQ$577</definedName>
    <definedName name="ITEM4_4Q18" localSheetId="10">Tags!$CV$577</definedName>
    <definedName name="ITEM4_4Q18">Tags_ols!$CV$577</definedName>
    <definedName name="ITEM4_4Q19" localSheetId="10">Tags!$DA$577</definedName>
    <definedName name="ITEM4_4Q19">Tags_ols!$DA$577</definedName>
    <definedName name="ITEM4_4Q20" localSheetId="10">Tags!$DF$577</definedName>
    <definedName name="ITEM4_4Q20">Tags_ols!$DF$577</definedName>
    <definedName name="ITEM4_4Q21">Tags!$DK$577</definedName>
    <definedName name="ITEM4_4Q22">Tags!$DP$577</definedName>
    <definedName name="ITEM4_4Q23">Tags!$DU$577</definedName>
    <definedName name="ITEM4_4Q24">Tags!$DZ$577</definedName>
    <definedName name="ITEM40_1995">Tags_ols!$B$613</definedName>
    <definedName name="ITEM40_1996">Tags_ols!$C$613</definedName>
    <definedName name="ITEM40_1997">Tags_ols!$D$613</definedName>
    <definedName name="ITEM40_1998">Tags_ols!$E$613</definedName>
    <definedName name="ITEM40_1999">Tags_ols!$F$613</definedName>
    <definedName name="ITEM40_1Q00" localSheetId="10">Tags!$G$613</definedName>
    <definedName name="ITEM40_1Q00">Tags_ols!$G$613</definedName>
    <definedName name="ITEM40_1Q01" localSheetId="10">Tags!$L$613</definedName>
    <definedName name="ITEM40_1Q01">Tags_ols!$L$613</definedName>
    <definedName name="ITEM40_1Q02" localSheetId="10">Tags!$Q$613</definedName>
    <definedName name="ITEM40_1Q02">Tags_ols!$Q$613</definedName>
    <definedName name="ITEM40_1Q03" localSheetId="10">Tags!$V$613</definedName>
    <definedName name="ITEM40_1Q03">Tags_ols!$V$613</definedName>
    <definedName name="ITEM40_1Q04" localSheetId="10">Tags!$AA$613</definedName>
    <definedName name="ITEM40_1Q04">Tags_ols!$AA$613</definedName>
    <definedName name="ITEM40_1Q05" localSheetId="10">Tags!$AF$613</definedName>
    <definedName name="ITEM40_1Q05">Tags_ols!$AF$613</definedName>
    <definedName name="ITEM40_1Q06" localSheetId="10">Tags!$AK$613</definedName>
    <definedName name="ITEM40_1Q06">Tags_ols!$AK$613</definedName>
    <definedName name="ITEM40_1Q07" localSheetId="10">Tags!$AP$613</definedName>
    <definedName name="ITEM40_1Q07">Tags_ols!$AP$613</definedName>
    <definedName name="ITEM40_1Q08" localSheetId="10">Tags!$AU$613</definedName>
    <definedName name="ITEM40_1Q08">Tags_ols!$AU$613</definedName>
    <definedName name="ITEM40_1Q09" localSheetId="10">Tags!$AZ$613</definedName>
    <definedName name="ITEM40_1Q09">Tags_ols!$AZ$613</definedName>
    <definedName name="ITEM40_1Q10" localSheetId="10">Tags!$BE$613</definedName>
    <definedName name="ITEM40_1Q10">Tags_ols!$BE$613</definedName>
    <definedName name="ITEM40_1Q11" localSheetId="10">Tags!$BJ$613</definedName>
    <definedName name="ITEM40_1Q11">Tags_ols!$BJ$613</definedName>
    <definedName name="ITEM40_1Q12" localSheetId="10">Tags!$BO$613</definedName>
    <definedName name="ITEM40_1Q12">Tags_ols!$BO$613</definedName>
    <definedName name="ITEM40_1Q13" localSheetId="10">Tags!$BT$613</definedName>
    <definedName name="ITEM40_1Q13">Tags_ols!$BT$613</definedName>
    <definedName name="ITEM40_1Q14" localSheetId="10">Tags!$BY$613</definedName>
    <definedName name="ITEM40_1Q14">Tags_ols!$BY$613</definedName>
    <definedName name="ITEM40_1Q15" localSheetId="10">Tags!$CD$613</definedName>
    <definedName name="ITEM40_1Q15">Tags_ols!$CD$613</definedName>
    <definedName name="ITEM40_1Q16" localSheetId="10">Tags!$CI$613</definedName>
    <definedName name="ITEM40_1Q16">Tags_ols!$CI$613</definedName>
    <definedName name="ITEM40_1Q17" localSheetId="10">Tags!$CN$613</definedName>
    <definedName name="ITEM40_1Q17">Tags_ols!$CN$613</definedName>
    <definedName name="ITEM40_1Q18" localSheetId="10">Tags!$CS$613</definedName>
    <definedName name="ITEM40_1Q18">Tags_ols!$CS$613</definedName>
    <definedName name="ITEM40_1Q19" localSheetId="10">Tags!$CX$613</definedName>
    <definedName name="ITEM40_1Q19">Tags_ols!$CX$613</definedName>
    <definedName name="ITEM40_1Q20" localSheetId="10">Tags!$DC$613</definedName>
    <definedName name="ITEM40_1Q20">Tags_ols!$DC$613</definedName>
    <definedName name="ITEM40_1Q21">Tags!$DH$613</definedName>
    <definedName name="ITEM40_1Q22">Tags!$DM$613</definedName>
    <definedName name="ITEM40_1Q23">Tags!$DR$613</definedName>
    <definedName name="ITEM40_1Q24">Tags!$DW$613</definedName>
    <definedName name="ITEM40_2000" localSheetId="10">Tags!$K$613</definedName>
    <definedName name="ITEM40_2000">Tags_ols!$K$613</definedName>
    <definedName name="ITEM40_2001" localSheetId="10">Tags!$P$613</definedName>
    <definedName name="ITEM40_2001">Tags_ols!$P$613</definedName>
    <definedName name="ITEM40_2002" localSheetId="10">Tags!$U$613</definedName>
    <definedName name="ITEM40_2002">Tags_ols!$U$613</definedName>
    <definedName name="ITEM40_2003" localSheetId="10">Tags!$Z$613</definedName>
    <definedName name="ITEM40_2003">Tags_ols!$Z$613</definedName>
    <definedName name="ITEM40_2004" localSheetId="10">Tags!$AE$613</definedName>
    <definedName name="ITEM40_2004">Tags_ols!$AE$613</definedName>
    <definedName name="ITEM40_2005" localSheetId="10">Tags!$AJ$613</definedName>
    <definedName name="ITEM40_2005">Tags_ols!$AJ$613</definedName>
    <definedName name="ITEM40_2006" localSheetId="10">Tags!$AO$613</definedName>
    <definedName name="ITEM40_2006">Tags_ols!$AO$613</definedName>
    <definedName name="ITEM40_2007" localSheetId="10">Tags!$AT$613</definedName>
    <definedName name="ITEM40_2007">Tags_ols!$AT$613</definedName>
    <definedName name="ITEM40_2008" localSheetId="10">Tags!$AY$613</definedName>
    <definedName name="ITEM40_2008">Tags_ols!$AY$613</definedName>
    <definedName name="ITEM40_2009" localSheetId="10">Tags!$BD$613</definedName>
    <definedName name="ITEM40_2009">Tags_ols!$BD$613</definedName>
    <definedName name="ITEM40_2010" localSheetId="10">Tags!$BI$613</definedName>
    <definedName name="ITEM40_2010">Tags_ols!$BI$613</definedName>
    <definedName name="ITEM40_2011" localSheetId="10">Tags!$BN$613</definedName>
    <definedName name="ITEM40_2011">Tags_ols!$BN$613</definedName>
    <definedName name="ITEM40_2012" localSheetId="10">Tags!$BS$613</definedName>
    <definedName name="ITEM40_2012">Tags_ols!$BS$613</definedName>
    <definedName name="ITEM40_2013" localSheetId="10">Tags!$BX$613</definedName>
    <definedName name="ITEM40_2013">Tags_ols!$BX$613</definedName>
    <definedName name="ITEM40_2014" localSheetId="10">Tags!$CC$613</definedName>
    <definedName name="ITEM40_2014">Tags_ols!$CC$613</definedName>
    <definedName name="ITEM40_2015" localSheetId="10">Tags!#REF!</definedName>
    <definedName name="ITEM40_2015">Tags!$CH$613</definedName>
    <definedName name="ITEM40_2016" localSheetId="10">Tags!$CM$613</definedName>
    <definedName name="ITEM40_2016">Tags_ols!$CM$613</definedName>
    <definedName name="ITEM40_2017" localSheetId="10">Tags!$CR$613</definedName>
    <definedName name="ITEM40_2017">Tags_ols!$CR$613</definedName>
    <definedName name="ITEM40_2018" localSheetId="10">Tags!$CW$613</definedName>
    <definedName name="ITEM40_2018">Tags_ols!$CW$613</definedName>
    <definedName name="ITEM40_2019" localSheetId="10">Tags!$DB$613</definedName>
    <definedName name="ITEM40_2019">Tags_ols!$DB$613</definedName>
    <definedName name="ITEM40_2020" localSheetId="10">Tags!$DG$613</definedName>
    <definedName name="ITEM40_2020">Tags_ols!$DG$613</definedName>
    <definedName name="ITEM40_2021">Tags!$DL$613</definedName>
    <definedName name="ITEM40_2022">Tags!$DQ$613</definedName>
    <definedName name="ITEM40_2023">Tags!$DV$613</definedName>
    <definedName name="ITEM40_2024">Tags!$EA$613</definedName>
    <definedName name="ITEM40_2Q00" localSheetId="10">Tags!$H$613</definedName>
    <definedName name="ITEM40_2Q00">Tags_ols!$H$613</definedName>
    <definedName name="ITEM40_2Q01" localSheetId="10">Tags!$M$613</definedName>
    <definedName name="ITEM40_2Q01">Tags_ols!$M$613</definedName>
    <definedName name="ITEM40_2Q02" localSheetId="10">Tags!$R$613</definedName>
    <definedName name="ITEM40_2Q02">Tags_ols!$R$613</definedName>
    <definedName name="ITEM40_2Q03" localSheetId="10">Tags!$W$613</definedName>
    <definedName name="ITEM40_2Q03">Tags_ols!$W$613</definedName>
    <definedName name="ITEM40_2Q04" localSheetId="10">Tags!$AB$613</definedName>
    <definedName name="ITEM40_2Q04">Tags_ols!$AB$613</definedName>
    <definedName name="ITEM40_2Q05" localSheetId="10">Tags!$AG$613</definedName>
    <definedName name="ITEM40_2Q05">Tags_ols!$AG$613</definedName>
    <definedName name="ITEM40_2Q06" localSheetId="10">Tags!$AL$613</definedName>
    <definedName name="ITEM40_2Q06">Tags_ols!$AL$613</definedName>
    <definedName name="ITEM40_2Q07" localSheetId="10">Tags!$AQ$613</definedName>
    <definedName name="ITEM40_2Q07">Tags_ols!$AQ$613</definedName>
    <definedName name="ITEM40_2Q08" localSheetId="10">Tags!$AV$613</definedName>
    <definedName name="ITEM40_2Q08">Tags_ols!$AV$613</definedName>
    <definedName name="ITEM40_2Q09" localSheetId="10">Tags!$BA$613</definedName>
    <definedName name="ITEM40_2Q09">Tags_ols!$BA$613</definedName>
    <definedName name="ITEM40_2Q10" localSheetId="10">Tags!$BF$613</definedName>
    <definedName name="ITEM40_2Q10">Tags_ols!$BF$613</definedName>
    <definedName name="ITEM40_2Q11" localSheetId="10">Tags!$BK$613</definedName>
    <definedName name="ITEM40_2Q11">Tags_ols!$BK$613</definedName>
    <definedName name="ITEM40_2Q12" localSheetId="10">Tags!$BP$613</definedName>
    <definedName name="ITEM40_2Q12">Tags_ols!$BP$613</definedName>
    <definedName name="ITEM40_2Q13" localSheetId="10">Tags!$BU$613</definedName>
    <definedName name="ITEM40_2Q13">Tags_ols!$BU$613</definedName>
    <definedName name="ITEM40_2Q14" localSheetId="10">Tags!$BZ$613</definedName>
    <definedName name="ITEM40_2Q14">Tags_ols!$BZ$613</definedName>
    <definedName name="ITEM40_2Q15" localSheetId="10">Tags!$CE$613</definedName>
    <definedName name="ITEM40_2Q15">Tags_ols!$CE$613</definedName>
    <definedName name="ITEM40_2Q16" localSheetId="10">Tags!$CJ$613</definedName>
    <definedName name="ITEM40_2Q16">Tags_ols!$CJ$613</definedName>
    <definedName name="ITEM40_2Q17" localSheetId="10">Tags!$CO$613</definedName>
    <definedName name="ITEM40_2Q17">Tags_ols!$CO$613</definedName>
    <definedName name="ITEM40_2Q18" localSheetId="10">Tags!$CT$613</definedName>
    <definedName name="ITEM40_2Q18">Tags_ols!$CT$613</definedName>
    <definedName name="ITEM40_2Q19" localSheetId="10">Tags!$CY$613</definedName>
    <definedName name="ITEM40_2Q19">Tags_ols!$CY$613</definedName>
    <definedName name="ITEM40_2Q20" localSheetId="10">Tags!$DD$613</definedName>
    <definedName name="ITEM40_2Q20">Tags_ols!$DD$613</definedName>
    <definedName name="ITEM40_2Q21">Tags!$DI$613</definedName>
    <definedName name="ITEM40_2Q22">Tags!$DN$613</definedName>
    <definedName name="ITEM40_2Q23">Tags!$DS$613</definedName>
    <definedName name="ITEM40_2Q24">Tags!$DX$613</definedName>
    <definedName name="ITEM40_3Q00" localSheetId="10">Tags!$I$613</definedName>
    <definedName name="ITEM40_3Q00">Tags_ols!$I$613</definedName>
    <definedName name="ITEM40_3Q01" localSheetId="10">Tags!$N$613</definedName>
    <definedName name="ITEM40_3Q01">Tags_ols!$N$613</definedName>
    <definedName name="ITEM40_3Q02" localSheetId="10">Tags!$S$613</definedName>
    <definedName name="ITEM40_3Q02">Tags_ols!$S$613</definedName>
    <definedName name="ITEM40_3Q03" localSheetId="10">Tags!$X$613</definedName>
    <definedName name="ITEM40_3Q03">Tags_ols!$X$613</definedName>
    <definedName name="ITEM40_3Q04" localSheetId="10">Tags!$AC$613</definedName>
    <definedName name="ITEM40_3Q04">Tags_ols!$AC$613</definedName>
    <definedName name="ITEM40_3Q05" localSheetId="10">Tags!$AH$613</definedName>
    <definedName name="ITEM40_3Q05">Tags_ols!$AH$613</definedName>
    <definedName name="ITEM40_3Q06" localSheetId="10">Tags!$AM$613</definedName>
    <definedName name="ITEM40_3Q06">Tags_ols!$AM$613</definedName>
    <definedName name="ITEM40_3Q07" localSheetId="10">Tags!$AR$613</definedName>
    <definedName name="ITEM40_3Q07">Tags_ols!$AR$613</definedName>
    <definedName name="ITEM40_3Q08" localSheetId="10">Tags!$AW$613</definedName>
    <definedName name="ITEM40_3Q08">Tags_ols!$AW$613</definedName>
    <definedName name="ITEM40_3Q09" localSheetId="10">Tags!$BB$613</definedName>
    <definedName name="ITEM40_3Q09">Tags_ols!$BB$613</definedName>
    <definedName name="ITEM40_3Q10" localSheetId="10">Tags!$BG$613</definedName>
    <definedName name="ITEM40_3Q10">Tags_ols!$BG$613</definedName>
    <definedName name="ITEM40_3Q11" localSheetId="10">Tags!$BL$613</definedName>
    <definedName name="ITEM40_3Q11">Tags_ols!$BL$613</definedName>
    <definedName name="ITEM40_3Q12" localSheetId="10">Tags!$BQ$613</definedName>
    <definedName name="ITEM40_3Q12">Tags_ols!$BQ$613</definedName>
    <definedName name="ITEM40_3Q13" localSheetId="10">Tags!$BV$613</definedName>
    <definedName name="ITEM40_3Q13">Tags_ols!$BV$613</definedName>
    <definedName name="ITEM40_3Q14" localSheetId="10">Tags!$CA$613</definedName>
    <definedName name="ITEM40_3Q14">Tags_ols!$CA$613</definedName>
    <definedName name="ITEM40_3Q15" localSheetId="10">Tags!$CF$613</definedName>
    <definedName name="ITEM40_3Q15">Tags_ols!$CF$613</definedName>
    <definedName name="ITEM40_3Q16" localSheetId="10">Tags!$CK$613</definedName>
    <definedName name="ITEM40_3Q16">Tags_ols!$CK$613</definedName>
    <definedName name="ITEM40_3Q17" localSheetId="10">Tags!$CP$613</definedName>
    <definedName name="ITEM40_3Q17">Tags_ols!$CP$613</definedName>
    <definedName name="ITEM40_3Q18" localSheetId="10">Tags!$CU$613</definedName>
    <definedName name="ITEM40_3Q18">Tags_ols!$CU$613</definedName>
    <definedName name="ITEM40_3Q19" localSheetId="10">Tags!$CZ$613</definedName>
    <definedName name="ITEM40_3Q19">Tags_ols!$CZ$613</definedName>
    <definedName name="ITEM40_3Q20" localSheetId="10">Tags!$DE$613</definedName>
    <definedName name="ITEM40_3Q20">Tags_ols!$DE$613</definedName>
    <definedName name="ITEM40_3Q21">Tags!$DJ$613</definedName>
    <definedName name="ITEM40_3Q22">Tags!$DO$613</definedName>
    <definedName name="ITEM40_3Q23">Tags!$DT$613</definedName>
    <definedName name="ITEM40_3Q24">Tags!$DY$613</definedName>
    <definedName name="ITEM40_4Q00" localSheetId="10">Tags!$J$613</definedName>
    <definedName name="ITEM40_4Q00">Tags_ols!$J$613</definedName>
    <definedName name="ITEM40_4Q01" localSheetId="10">Tags!$O$613</definedName>
    <definedName name="ITEM40_4Q01">Tags_ols!$O$613</definedName>
    <definedName name="ITEM40_4Q02" localSheetId="10">Tags!$T$613</definedName>
    <definedName name="ITEM40_4Q02">Tags_ols!$T$613</definedName>
    <definedName name="ITEM40_4Q03" localSheetId="10">Tags!$Y$613</definedName>
    <definedName name="ITEM40_4Q03">Tags_ols!$Y$613</definedName>
    <definedName name="ITEM40_4Q04" localSheetId="10">Tags!$AD$613</definedName>
    <definedName name="ITEM40_4Q04">Tags_ols!$AD$613</definedName>
    <definedName name="ITEM40_4Q05" localSheetId="10">Tags!$AI$613</definedName>
    <definedName name="ITEM40_4Q05">Tags_ols!$AI$613</definedName>
    <definedName name="ITEM40_4Q06" localSheetId="10">Tags!$AN$613</definedName>
    <definedName name="ITEM40_4Q06">Tags_ols!$AN$613</definedName>
    <definedName name="ITEM40_4Q07" localSheetId="10">Tags!$AS$613</definedName>
    <definedName name="ITEM40_4Q07">Tags_ols!$AS$613</definedName>
    <definedName name="ITEM40_4Q08" localSheetId="10">Tags!$AX$613</definedName>
    <definedName name="ITEM40_4Q08">Tags_ols!$AX$613</definedName>
    <definedName name="ITEM40_4Q09" localSheetId="10">Tags!$BC$613</definedName>
    <definedName name="ITEM40_4Q09">Tags_ols!$BC$613</definedName>
    <definedName name="ITEM40_4Q10" localSheetId="10">Tags!$BH$613</definedName>
    <definedName name="ITEM40_4Q10">Tags_ols!$BH$613</definedName>
    <definedName name="ITEM40_4Q11" localSheetId="10">Tags!$BM$613</definedName>
    <definedName name="ITEM40_4Q11">Tags_ols!$BM$613</definedName>
    <definedName name="ITEM40_4Q12" localSheetId="10">Tags!$BR$613</definedName>
    <definedName name="ITEM40_4Q12">Tags_ols!$BR$613</definedName>
    <definedName name="ITEM40_4Q13" localSheetId="10">Tags!$BW$613</definedName>
    <definedName name="ITEM40_4Q13">Tags_ols!$BW$613</definedName>
    <definedName name="ITEM40_4Q14" localSheetId="10">Tags!$CB$613</definedName>
    <definedName name="ITEM40_4Q14">Tags_ols!$CB$613</definedName>
    <definedName name="ITEM40_4Q15" localSheetId="10">Tags!$CG$613</definedName>
    <definedName name="ITEM40_4Q15">Tags_ols!$CG$613</definedName>
    <definedName name="ITEM40_4Q16" localSheetId="10">Tags!$CL$613</definedName>
    <definedName name="ITEM40_4Q16">Tags_ols!$CL$613</definedName>
    <definedName name="ITEM40_4Q17" localSheetId="10">Tags!$CQ$613</definedName>
    <definedName name="ITEM40_4Q17">Tags_ols!$CQ$613</definedName>
    <definedName name="ITEM40_4Q18" localSheetId="10">Tags!$CV$613</definedName>
    <definedName name="ITEM40_4Q18">Tags_ols!$CV$613</definedName>
    <definedName name="ITEM40_4Q19" localSheetId="10">Tags!$DA$613</definedName>
    <definedName name="ITEM40_4Q19">Tags_ols!$DA$613</definedName>
    <definedName name="ITEM40_4Q20" localSheetId="10">Tags!$DF$613</definedName>
    <definedName name="ITEM40_4Q20">Tags_ols!$DF$613</definedName>
    <definedName name="ITEM40_4Q21">Tags!$DK$613</definedName>
    <definedName name="ITEM40_4Q22">Tags!$DP$613</definedName>
    <definedName name="ITEM40_4Q23">Tags!$DU$613</definedName>
    <definedName name="ITEM40_4Q24">Tags!$DZ$613</definedName>
    <definedName name="ITEM41_1995">Tags_ols!$B$614</definedName>
    <definedName name="ITEM41_1996">Tags_ols!$C$614</definedName>
    <definedName name="ITEM41_1997">Tags_ols!$D$614</definedName>
    <definedName name="ITEM41_1998">Tags_ols!$E$614</definedName>
    <definedName name="ITEM41_1999">Tags_ols!$F$614</definedName>
    <definedName name="ITEM41_1Q00" localSheetId="10">Tags!$G$614</definedName>
    <definedName name="ITEM41_1Q00">Tags_ols!$G$614</definedName>
    <definedName name="ITEM41_1Q01" localSheetId="10">Tags!$L$614</definedName>
    <definedName name="ITEM41_1Q01">Tags_ols!$L$614</definedName>
    <definedName name="ITEM41_1Q02" localSheetId="10">Tags!$Q$614</definedName>
    <definedName name="ITEM41_1Q02">Tags_ols!$Q$614</definedName>
    <definedName name="ITEM41_1Q03" localSheetId="10">Tags!$V$614</definedName>
    <definedName name="ITEM41_1Q03">Tags_ols!$V$614</definedName>
    <definedName name="ITEM41_1Q04" localSheetId="10">Tags!$AA$614</definedName>
    <definedName name="ITEM41_1Q04">Tags_ols!$AA$614</definedName>
    <definedName name="ITEM41_1Q05" localSheetId="10">Tags!$AF$614</definedName>
    <definedName name="ITEM41_1Q05">Tags_ols!$AF$614</definedName>
    <definedName name="ITEM41_1Q06" localSheetId="10">Tags!$AK$614</definedName>
    <definedName name="ITEM41_1Q06">Tags_ols!$AK$614</definedName>
    <definedName name="ITEM41_1Q07" localSheetId="10">Tags!$AP$614</definedName>
    <definedName name="ITEM41_1Q07">Tags_ols!$AP$614</definedName>
    <definedName name="ITEM41_1Q08" localSheetId="10">Tags!$AU$614</definedName>
    <definedName name="ITEM41_1Q08">Tags_ols!$AU$614</definedName>
    <definedName name="ITEM41_1Q09" localSheetId="10">Tags!$AZ$614</definedName>
    <definedName name="ITEM41_1Q09">Tags_ols!$AZ$614</definedName>
    <definedName name="ITEM41_1Q10" localSheetId="10">Tags!$BE$614</definedName>
    <definedName name="ITEM41_1Q10">Tags_ols!$BE$614</definedName>
    <definedName name="ITEM41_1Q11" localSheetId="10">Tags!$BJ$614</definedName>
    <definedName name="ITEM41_1Q11">Tags_ols!$BJ$614</definedName>
    <definedName name="ITEM41_1Q12" localSheetId="10">Tags!$BO$614</definedName>
    <definedName name="ITEM41_1Q12">Tags_ols!$BO$614</definedName>
    <definedName name="ITEM41_1Q13" localSheetId="10">Tags!$BT$614</definedName>
    <definedName name="ITEM41_1Q13">Tags_ols!$BT$614</definedName>
    <definedName name="ITEM41_1Q14" localSheetId="10">Tags!$BY$614</definedName>
    <definedName name="ITEM41_1Q14">Tags_ols!$BY$614</definedName>
    <definedName name="ITEM41_1Q15" localSheetId="10">Tags!$CD$614</definedName>
    <definedName name="ITEM41_1Q15">Tags_ols!$CD$614</definedName>
    <definedName name="ITEM41_1Q16" localSheetId="10">Tags!$CI$614</definedName>
    <definedName name="ITEM41_1Q16">Tags_ols!$CI$614</definedName>
    <definedName name="ITEM41_1Q17" localSheetId="10">Tags!$CN$614</definedName>
    <definedName name="ITEM41_1Q17">Tags_ols!$CN$614</definedName>
    <definedName name="ITEM41_1Q18" localSheetId="10">Tags!$CS$614</definedName>
    <definedName name="ITEM41_1Q18">Tags_ols!$CS$614</definedName>
    <definedName name="ITEM41_1Q19" localSheetId="10">Tags!$CX$614</definedName>
    <definedName name="ITEM41_1Q19">Tags_ols!$CX$614</definedName>
    <definedName name="ITEM41_1Q20" localSheetId="10">Tags!$DC$614</definedName>
    <definedName name="ITEM41_1Q20">Tags_ols!$DC$614</definedName>
    <definedName name="ITEM41_1Q21">Tags!$DH$614</definedName>
    <definedName name="ITEM41_1Q22">Tags!$DM$614</definedName>
    <definedName name="ITEM41_1Q23">Tags!$DR$614</definedName>
    <definedName name="ITEM41_1Q24">Tags!$DW$614</definedName>
    <definedName name="ITEM41_2000" localSheetId="10">Tags!$K$614</definedName>
    <definedName name="ITEM41_2000">Tags_ols!$K$614</definedName>
    <definedName name="ITEM41_2001" localSheetId="10">Tags!$P$614</definedName>
    <definedName name="ITEM41_2001">Tags_ols!$P$614</definedName>
    <definedName name="ITEM41_2002" localSheetId="10">Tags!$U$614</definedName>
    <definedName name="ITEM41_2002">Tags_ols!$U$614</definedName>
    <definedName name="ITEM41_2003" localSheetId="10">Tags!$Z$614</definedName>
    <definedName name="ITEM41_2003">Tags_ols!$Z$614</definedName>
    <definedName name="ITEM41_2004" localSheetId="10">Tags!$AE$614</definedName>
    <definedName name="ITEM41_2004">Tags_ols!$AE$614</definedName>
    <definedName name="ITEM41_2005" localSheetId="10">Tags!$AJ$614</definedName>
    <definedName name="ITEM41_2005">Tags_ols!$AJ$614</definedName>
    <definedName name="ITEM41_2006" localSheetId="10">Tags!$AO$614</definedName>
    <definedName name="ITEM41_2006">Tags_ols!$AO$614</definedName>
    <definedName name="ITEM41_2007" localSheetId="10">Tags!$AT$614</definedName>
    <definedName name="ITEM41_2007">Tags_ols!$AT$614</definedName>
    <definedName name="ITEM41_2008" localSheetId="10">Tags!$AY$614</definedName>
    <definedName name="ITEM41_2008">Tags_ols!$AY$614</definedName>
    <definedName name="ITEM41_2009" localSheetId="10">Tags!$BD$614</definedName>
    <definedName name="ITEM41_2009">Tags_ols!$BD$614</definedName>
    <definedName name="ITEM41_2010" localSheetId="10">Tags!$BI$614</definedName>
    <definedName name="ITEM41_2010">Tags_ols!$BI$614</definedName>
    <definedName name="ITEM41_2011" localSheetId="10">Tags!$BN$614</definedName>
    <definedName name="ITEM41_2011">Tags_ols!$BN$614</definedName>
    <definedName name="ITEM41_2012" localSheetId="10">Tags!$BS$614</definedName>
    <definedName name="ITEM41_2012">Tags_ols!$BS$614</definedName>
    <definedName name="ITEM41_2013" localSheetId="10">Tags!$BX$614</definedName>
    <definedName name="ITEM41_2013">Tags_ols!$BX$614</definedName>
    <definedName name="ITEM41_2014" localSheetId="10">Tags!$CC$614</definedName>
    <definedName name="ITEM41_2014">Tags_ols!$CC$614</definedName>
    <definedName name="ITEM41_2015" localSheetId="10">Tags!#REF!</definedName>
    <definedName name="ITEM41_2015">Tags!$CH$614</definedName>
    <definedName name="ITEM41_2016" localSheetId="10">Tags!$CM$614</definedName>
    <definedName name="ITEM41_2016">Tags_ols!$CM$614</definedName>
    <definedName name="ITEM41_2017" localSheetId="10">Tags!$CR$614</definedName>
    <definedName name="ITEM41_2017">Tags_ols!$CR$614</definedName>
    <definedName name="ITEM41_2018" localSheetId="10">Tags!$CW$614</definedName>
    <definedName name="ITEM41_2018">Tags_ols!$CW$614</definedName>
    <definedName name="ITEM41_2019" localSheetId="10">Tags!$DB$614</definedName>
    <definedName name="ITEM41_2019">Tags_ols!$DB$614</definedName>
    <definedName name="ITEM41_2020" localSheetId="10">Tags!$DG$614</definedName>
    <definedName name="ITEM41_2020">Tags_ols!$DG$614</definedName>
    <definedName name="ITEM41_2021">Tags!$DL$614</definedName>
    <definedName name="ITEM41_2022">Tags!$DQ$614</definedName>
    <definedName name="ITEM41_2023">Tags!$DV$614</definedName>
    <definedName name="ITEM41_2024">Tags!$EA$614</definedName>
    <definedName name="ITEM41_2Q00" localSheetId="10">Tags!$H$614</definedName>
    <definedName name="ITEM41_2Q00">Tags_ols!$H$614</definedName>
    <definedName name="ITEM41_2Q01" localSheetId="10">Tags!$M$614</definedName>
    <definedName name="ITEM41_2Q01">Tags_ols!$M$614</definedName>
    <definedName name="ITEM41_2Q02" localSheetId="10">Tags!$R$614</definedName>
    <definedName name="ITEM41_2Q02">Tags_ols!$R$614</definedName>
    <definedName name="ITEM41_2Q03" localSheetId="10">Tags!$W$614</definedName>
    <definedName name="ITEM41_2Q03">Tags_ols!$W$614</definedName>
    <definedName name="ITEM41_2Q04" localSheetId="10">Tags!$AB$614</definedName>
    <definedName name="ITEM41_2Q04">Tags_ols!$AB$614</definedName>
    <definedName name="ITEM41_2Q05" localSheetId="10">Tags!$AG$614</definedName>
    <definedName name="ITEM41_2Q05">Tags_ols!$AG$614</definedName>
    <definedName name="ITEM41_2Q06" localSheetId="10">Tags!$AL$614</definedName>
    <definedName name="ITEM41_2Q06">Tags_ols!$AL$614</definedName>
    <definedName name="ITEM41_2Q07" localSheetId="10">Tags!$AQ$614</definedName>
    <definedName name="ITEM41_2Q07">Tags_ols!$AQ$614</definedName>
    <definedName name="ITEM41_2Q08" localSheetId="10">Tags!$AV$614</definedName>
    <definedName name="ITEM41_2Q08">Tags_ols!$AV$614</definedName>
    <definedName name="ITEM41_2Q09" localSheetId="10">Tags!$BA$614</definedName>
    <definedName name="ITEM41_2Q09">Tags_ols!$BA$614</definedName>
    <definedName name="ITEM41_2Q10" localSheetId="10">Tags!$BF$614</definedName>
    <definedName name="ITEM41_2Q10">Tags_ols!$BF$614</definedName>
    <definedName name="ITEM41_2Q11" localSheetId="10">Tags!$BK$614</definedName>
    <definedName name="ITEM41_2Q11">Tags_ols!$BK$614</definedName>
    <definedName name="ITEM41_2Q12" localSheetId="10">Tags!$BP$614</definedName>
    <definedName name="ITEM41_2Q12">Tags_ols!$BP$614</definedName>
    <definedName name="ITEM41_2Q13" localSheetId="10">Tags!$BU$614</definedName>
    <definedName name="ITEM41_2Q13">Tags_ols!$BU$614</definedName>
    <definedName name="ITEM41_2Q14" localSheetId="10">Tags!$BZ$614</definedName>
    <definedName name="ITEM41_2Q14">Tags_ols!$BZ$614</definedName>
    <definedName name="ITEM41_2Q15" localSheetId="10">Tags!$CE$614</definedName>
    <definedName name="ITEM41_2Q15">Tags_ols!$CE$614</definedName>
    <definedName name="ITEM41_2Q16" localSheetId="10">Tags!$CJ$614</definedName>
    <definedName name="ITEM41_2Q16">Tags_ols!$CJ$614</definedName>
    <definedName name="ITEM41_2Q17" localSheetId="10">Tags!$CO$614</definedName>
    <definedName name="ITEM41_2Q17">Tags_ols!$CO$614</definedName>
    <definedName name="ITEM41_2Q18" localSheetId="10">Tags!$CT$614</definedName>
    <definedName name="ITEM41_2Q18">Tags_ols!$CT$614</definedName>
    <definedName name="ITEM41_2Q19" localSheetId="10">Tags!$CY$614</definedName>
    <definedName name="ITEM41_2Q19">Tags_ols!$CY$614</definedName>
    <definedName name="ITEM41_2Q20" localSheetId="10">Tags!$DD$614</definedName>
    <definedName name="ITEM41_2Q20">Tags_ols!$DD$614</definedName>
    <definedName name="ITEM41_2Q21">Tags!$DI$614</definedName>
    <definedName name="ITEM41_2Q22">Tags!$DN$614</definedName>
    <definedName name="ITEM41_2Q23">Tags!$DS$614</definedName>
    <definedName name="ITEM41_2Q24">Tags!$DX$614</definedName>
    <definedName name="ITEM41_3Q00" localSheetId="10">Tags!$I$614</definedName>
    <definedName name="ITEM41_3Q00">Tags_ols!$I$614</definedName>
    <definedName name="ITEM41_3Q01" localSheetId="10">Tags!$N$614</definedName>
    <definedName name="ITEM41_3Q01">Tags_ols!$N$614</definedName>
    <definedName name="ITEM41_3Q02" localSheetId="10">Tags!$S$614</definedName>
    <definedName name="ITEM41_3Q02">Tags_ols!$S$614</definedName>
    <definedName name="ITEM41_3Q03" localSheetId="10">Tags!$X$614</definedName>
    <definedName name="ITEM41_3Q03">Tags_ols!$X$614</definedName>
    <definedName name="ITEM41_3Q04" localSheetId="10">Tags!$AC$614</definedName>
    <definedName name="ITEM41_3Q04">Tags_ols!$AC$614</definedName>
    <definedName name="ITEM41_3Q05" localSheetId="10">Tags!$AH$614</definedName>
    <definedName name="ITEM41_3Q05">Tags_ols!$AH$614</definedName>
    <definedName name="ITEM41_3Q06" localSheetId="10">Tags!$AM$614</definedName>
    <definedName name="ITEM41_3Q06">Tags_ols!$AM$614</definedName>
    <definedName name="ITEM41_3Q07" localSheetId="10">Tags!$AR$614</definedName>
    <definedName name="ITEM41_3Q07">Tags_ols!$AR$614</definedName>
    <definedName name="ITEM41_3Q08" localSheetId="10">Tags!$AW$614</definedName>
    <definedName name="ITEM41_3Q08">Tags_ols!$AW$614</definedName>
    <definedName name="ITEM41_3Q09" localSheetId="10">Tags!$BB$614</definedName>
    <definedName name="ITEM41_3Q09">Tags_ols!$BB$614</definedName>
    <definedName name="ITEM41_3Q10" localSheetId="10">Tags!$BG$614</definedName>
    <definedName name="ITEM41_3Q10">Tags_ols!$BG$614</definedName>
    <definedName name="ITEM41_3Q11" localSheetId="10">Tags!$BL$614</definedName>
    <definedName name="ITEM41_3Q11">Tags_ols!$BL$614</definedName>
    <definedName name="ITEM41_3Q12" localSheetId="10">Tags!$BQ$614</definedName>
    <definedName name="ITEM41_3Q12">Tags_ols!$BQ$614</definedName>
    <definedName name="ITEM41_3Q13" localSheetId="10">Tags!$BV$614</definedName>
    <definedName name="ITEM41_3Q13">Tags_ols!$BV$614</definedName>
    <definedName name="ITEM41_3Q14" localSheetId="10">Tags!$CA$614</definedName>
    <definedName name="ITEM41_3Q14">Tags_ols!$CA$614</definedName>
    <definedName name="ITEM41_3Q15" localSheetId="10">Tags!$CF$614</definedName>
    <definedName name="ITEM41_3Q15">Tags_ols!$CF$614</definedName>
    <definedName name="ITEM41_3Q16" localSheetId="10">Tags!$CK$614</definedName>
    <definedName name="ITEM41_3Q16">Tags_ols!$CK$614</definedName>
    <definedName name="ITEM41_3Q17" localSheetId="10">Tags!$CP$614</definedName>
    <definedName name="ITEM41_3Q17">Tags_ols!$CP$614</definedName>
    <definedName name="ITEM41_3Q18" localSheetId="10">Tags!$CU$614</definedName>
    <definedName name="ITEM41_3Q18">Tags_ols!$CU$614</definedName>
    <definedName name="ITEM41_3Q19" localSheetId="10">Tags!$CZ$614</definedName>
    <definedName name="ITEM41_3Q19">Tags_ols!$CZ$614</definedName>
    <definedName name="ITEM41_3Q20" localSheetId="10">Tags!$DE$614</definedName>
    <definedName name="ITEM41_3Q20">Tags_ols!$DE$614</definedName>
    <definedName name="ITEM41_3Q21">Tags!$DJ$614</definedName>
    <definedName name="ITEM41_3Q22">Tags!$DO$614</definedName>
    <definedName name="ITEM41_3Q23">Tags!$DT$614</definedName>
    <definedName name="ITEM41_3Q24">Tags!$DY$614</definedName>
    <definedName name="ITEM41_4Q00" localSheetId="10">Tags!$J$614</definedName>
    <definedName name="ITEM41_4Q00">Tags_ols!$J$614</definedName>
    <definedName name="ITEM41_4Q01" localSheetId="10">Tags!$O$614</definedName>
    <definedName name="ITEM41_4Q01">Tags_ols!$O$614</definedName>
    <definedName name="ITEM41_4Q02" localSheetId="10">Tags!$T$614</definedName>
    <definedName name="ITEM41_4Q02">Tags_ols!$T$614</definedName>
    <definedName name="ITEM41_4Q03" localSheetId="10">Tags!$Y$614</definedName>
    <definedName name="ITEM41_4Q03">Tags_ols!$Y$614</definedName>
    <definedName name="ITEM41_4Q04" localSheetId="10">Tags!$AD$614</definedName>
    <definedName name="ITEM41_4Q04">Tags_ols!$AD$614</definedName>
    <definedName name="ITEM41_4Q05" localSheetId="10">Tags!$AI$614</definedName>
    <definedName name="ITEM41_4Q05">Tags_ols!$AI$614</definedName>
    <definedName name="ITEM41_4Q06" localSheetId="10">Tags!$AN$614</definedName>
    <definedName name="ITEM41_4Q06">Tags_ols!$AN$614</definedName>
    <definedName name="ITEM41_4Q07" localSheetId="10">Tags!$AS$614</definedName>
    <definedName name="ITEM41_4Q07">Tags_ols!$AS$614</definedName>
    <definedName name="ITEM41_4Q08" localSheetId="10">Tags!$AX$614</definedName>
    <definedName name="ITEM41_4Q08">Tags_ols!$AX$614</definedName>
    <definedName name="ITEM41_4Q09" localSheetId="10">Tags!$BC$614</definedName>
    <definedName name="ITEM41_4Q09">Tags_ols!$BC$614</definedName>
    <definedName name="ITEM41_4Q10" localSheetId="10">Tags!$BH$614</definedName>
    <definedName name="ITEM41_4Q10">Tags_ols!$BH$614</definedName>
    <definedName name="ITEM41_4Q11" localSheetId="10">Tags!$BM$614</definedName>
    <definedName name="ITEM41_4Q11">Tags_ols!$BM$614</definedName>
    <definedName name="ITEM41_4Q12" localSheetId="10">Tags!$BR$614</definedName>
    <definedName name="ITEM41_4Q12">Tags_ols!$BR$614</definedName>
    <definedName name="ITEM41_4Q13" localSheetId="10">Tags!$BW$614</definedName>
    <definedName name="ITEM41_4Q13">Tags_ols!$BW$614</definedName>
    <definedName name="ITEM41_4Q14" localSheetId="10">Tags!$CB$614</definedName>
    <definedName name="ITEM41_4Q14">Tags_ols!$CB$614</definedName>
    <definedName name="ITEM41_4Q15" localSheetId="10">Tags!$CG$614</definedName>
    <definedName name="ITEM41_4Q15">Tags_ols!$CG$614</definedName>
    <definedName name="ITEM41_4Q16" localSheetId="10">Tags!$CL$614</definedName>
    <definedName name="ITEM41_4Q16">Tags_ols!$CL$614</definedName>
    <definedName name="ITEM41_4Q17" localSheetId="10">Tags!$CQ$614</definedName>
    <definedName name="ITEM41_4Q17">Tags_ols!$CQ$614</definedName>
    <definedName name="ITEM41_4Q18" localSheetId="10">Tags!$CV$614</definedName>
    <definedName name="ITEM41_4Q18">Tags_ols!$CV$614</definedName>
    <definedName name="ITEM41_4Q19" localSheetId="10">Tags!$DA$614</definedName>
    <definedName name="ITEM41_4Q19">Tags_ols!$DA$614</definedName>
    <definedName name="ITEM41_4Q20" localSheetId="10">Tags!$DF$614</definedName>
    <definedName name="ITEM41_4Q20">Tags_ols!$DF$614</definedName>
    <definedName name="ITEM41_4Q21">Tags!$DK$614</definedName>
    <definedName name="ITEM41_4Q22">Tags!$DP$614</definedName>
    <definedName name="ITEM41_4Q23">Tags!$DU$614</definedName>
    <definedName name="ITEM41_4Q24">Tags!$DZ$614</definedName>
    <definedName name="ITEM42_1995">Tags_ols!$B$615</definedName>
    <definedName name="ITEM42_1996">Tags_ols!$C$615</definedName>
    <definedName name="ITEM42_1997">Tags_ols!$D$615</definedName>
    <definedName name="ITEM42_1998">Tags_ols!$E$615</definedName>
    <definedName name="ITEM42_1999">Tags_ols!$F$615</definedName>
    <definedName name="ITEM42_1Q00" localSheetId="10">Tags!$G$615</definedName>
    <definedName name="ITEM42_1Q00">Tags_ols!$G$615</definedName>
    <definedName name="ITEM42_1Q01" localSheetId="10">Tags!$L$615</definedName>
    <definedName name="ITEM42_1Q01">Tags_ols!$L$615</definedName>
    <definedName name="ITEM42_1Q02" localSheetId="10">Tags!$Q$615</definedName>
    <definedName name="ITEM42_1Q02">Tags_ols!$Q$615</definedName>
    <definedName name="ITEM42_1Q03" localSheetId="10">Tags!$V$615</definedName>
    <definedName name="ITEM42_1Q03">Tags_ols!$V$615</definedName>
    <definedName name="ITEM42_1Q04" localSheetId="10">Tags!$AA$615</definedName>
    <definedName name="ITEM42_1Q04">Tags_ols!$AA$615</definedName>
    <definedName name="ITEM42_1Q05" localSheetId="10">Tags!$AF$615</definedName>
    <definedName name="ITEM42_1Q05">Tags_ols!$AF$615</definedName>
    <definedName name="ITEM42_1Q06" localSheetId="10">Tags!$AK$615</definedName>
    <definedName name="ITEM42_1Q06">Tags_ols!$AK$615</definedName>
    <definedName name="ITEM42_1Q07" localSheetId="10">Tags!$AP$615</definedName>
    <definedName name="ITEM42_1Q07">Tags_ols!$AP$615</definedName>
    <definedName name="ITEM42_1Q08" localSheetId="10">Tags!$AU$615</definedName>
    <definedName name="ITEM42_1Q08">Tags_ols!$AU$615</definedName>
    <definedName name="ITEM42_1Q09" localSheetId="10">Tags!$AZ$615</definedName>
    <definedName name="ITEM42_1Q09">Tags_ols!$AZ$615</definedName>
    <definedName name="ITEM42_1Q10" localSheetId="10">Tags!$BE$615</definedName>
    <definedName name="ITEM42_1Q10">Tags_ols!$BE$615</definedName>
    <definedName name="ITEM42_1Q11" localSheetId="10">Tags!$BJ$615</definedName>
    <definedName name="ITEM42_1Q11">Tags_ols!$BJ$615</definedName>
    <definedName name="ITEM42_1Q12" localSheetId="10">Tags!$BO$615</definedName>
    <definedName name="ITEM42_1Q12">Tags_ols!$BO$615</definedName>
    <definedName name="ITEM42_1Q13" localSheetId="10">Tags!$BT$615</definedName>
    <definedName name="ITEM42_1Q13">Tags_ols!$BT$615</definedName>
    <definedName name="ITEM42_1Q14" localSheetId="10">Tags!$BY$615</definedName>
    <definedName name="ITEM42_1Q14">Tags_ols!$BY$615</definedName>
    <definedName name="ITEM42_1Q15" localSheetId="10">Tags!$CD$615</definedName>
    <definedName name="ITEM42_1Q15">Tags_ols!$CD$615</definedName>
    <definedName name="ITEM42_1Q16" localSheetId="10">Tags!$CI$615</definedName>
    <definedName name="ITEM42_1Q16">Tags_ols!$CI$615</definedName>
    <definedName name="ITEM42_1Q17" localSheetId="10">Tags!$CN$615</definedName>
    <definedName name="ITEM42_1Q17">Tags_ols!$CN$615</definedName>
    <definedName name="ITEM42_1Q18" localSheetId="10">Tags!$CS$615</definedName>
    <definedName name="ITEM42_1Q18">Tags_ols!$CS$615</definedName>
    <definedName name="ITEM42_1Q19" localSheetId="10">Tags!$CX$615</definedName>
    <definedName name="ITEM42_1Q19">Tags_ols!$CX$615</definedName>
    <definedName name="ITEM42_1Q20" localSheetId="10">Tags!$DC$615</definedName>
    <definedName name="ITEM42_1Q20">Tags_ols!$DC$615</definedName>
    <definedName name="ITEM42_1Q21">Tags!$DH$615</definedName>
    <definedName name="ITEM42_1Q22">Tags!$DM$615</definedName>
    <definedName name="ITEM42_1Q23">Tags!$DR$615</definedName>
    <definedName name="ITEM42_1Q24">Tags!$DW$615</definedName>
    <definedName name="ITEM42_2000" localSheetId="10">Tags!$K$615</definedName>
    <definedName name="ITEM42_2000">Tags_ols!$K$615</definedName>
    <definedName name="ITEM42_2001" localSheetId="10">Tags!$P$615</definedName>
    <definedName name="ITEM42_2001">Tags_ols!$P$615</definedName>
    <definedName name="ITEM42_2002" localSheetId="10">Tags!$U$615</definedName>
    <definedName name="ITEM42_2002">Tags_ols!$U$615</definedName>
    <definedName name="ITEM42_2003" localSheetId="10">Tags!$Z$615</definedName>
    <definedName name="ITEM42_2003">Tags_ols!$Z$615</definedName>
    <definedName name="ITEM42_2004" localSheetId="10">Tags!$AE$615</definedName>
    <definedName name="ITEM42_2004">Tags_ols!$AE$615</definedName>
    <definedName name="ITEM42_2005" localSheetId="10">Tags!$AJ$615</definedName>
    <definedName name="ITEM42_2005">Tags_ols!$AJ$615</definedName>
    <definedName name="ITEM42_2006" localSheetId="10">Tags!$AO$615</definedName>
    <definedName name="ITEM42_2006">Tags_ols!$AO$615</definedName>
    <definedName name="ITEM42_2007" localSheetId="10">Tags!$AT$615</definedName>
    <definedName name="ITEM42_2007">Tags_ols!$AT$615</definedName>
    <definedName name="ITEM42_2008" localSheetId="10">Tags!$AY$615</definedName>
    <definedName name="ITEM42_2008">Tags_ols!$AY$615</definedName>
    <definedName name="ITEM42_2009" localSheetId="10">Tags!$BD$615</definedName>
    <definedName name="ITEM42_2009">Tags_ols!$BD$615</definedName>
    <definedName name="ITEM42_2010" localSheetId="10">Tags!$BI$615</definedName>
    <definedName name="ITEM42_2010">Tags_ols!$BI$615</definedName>
    <definedName name="ITEM42_2011" localSheetId="10">Tags!$BN$615</definedName>
    <definedName name="ITEM42_2011">Tags_ols!$BN$615</definedName>
    <definedName name="ITEM42_2012" localSheetId="10">Tags!$BS$615</definedName>
    <definedName name="ITEM42_2012">Tags_ols!$BS$615</definedName>
    <definedName name="ITEM42_2013" localSheetId="10">Tags!$BX$615</definedName>
    <definedName name="ITEM42_2013">Tags_ols!$BX$615</definedName>
    <definedName name="ITEM42_2014" localSheetId="10">Tags!$CC$615</definedName>
    <definedName name="ITEM42_2014">Tags_ols!$CC$615</definedName>
    <definedName name="ITEM42_2015" localSheetId="10">Tags!#REF!</definedName>
    <definedName name="ITEM42_2015">Tags!$CH$615</definedName>
    <definedName name="ITEM42_2016" localSheetId="10">Tags!$CM$615</definedName>
    <definedName name="ITEM42_2016">Tags_ols!$CM$615</definedName>
    <definedName name="ITEM42_2017" localSheetId="10">Tags!$CR$615</definedName>
    <definedName name="ITEM42_2017">Tags_ols!$CR$615</definedName>
    <definedName name="ITEM42_2018" localSheetId="10">Tags!$CW$615</definedName>
    <definedName name="ITEM42_2018">Tags_ols!$CW$615</definedName>
    <definedName name="ITEM42_2019" localSheetId="10">Tags!$DB$615</definedName>
    <definedName name="ITEM42_2019">Tags_ols!$DB$615</definedName>
    <definedName name="ITEM42_2020" localSheetId="10">Tags!$DG$615</definedName>
    <definedName name="ITEM42_2020">Tags_ols!$DG$615</definedName>
    <definedName name="ITEM42_2021">Tags!$DL$615</definedName>
    <definedName name="ITEM42_2022">Tags!$DQ$615</definedName>
    <definedName name="ITEM42_2023">Tags!$DV$615</definedName>
    <definedName name="ITEM42_2024">Tags!$EA$615</definedName>
    <definedName name="ITEM42_2Q00" localSheetId="10">Tags!$H$615</definedName>
    <definedName name="ITEM42_2Q00">Tags_ols!$H$615</definedName>
    <definedName name="ITEM42_2Q01" localSheetId="10">Tags!$M$615</definedName>
    <definedName name="ITEM42_2Q01">Tags_ols!$M$615</definedName>
    <definedName name="ITEM42_2Q02" localSheetId="10">Tags!$R$615</definedName>
    <definedName name="ITEM42_2Q02">Tags_ols!$R$615</definedName>
    <definedName name="ITEM42_2Q03" localSheetId="10">Tags!$W$615</definedName>
    <definedName name="ITEM42_2Q03">Tags_ols!$W$615</definedName>
    <definedName name="ITEM42_2Q04" localSheetId="10">Tags!$AB$615</definedName>
    <definedName name="ITEM42_2Q04">Tags_ols!$AB$615</definedName>
    <definedName name="ITEM42_2Q05" localSheetId="10">Tags!$AG$615</definedName>
    <definedName name="ITEM42_2Q05">Tags_ols!$AG$615</definedName>
    <definedName name="ITEM42_2Q06" localSheetId="10">Tags!$AL$615</definedName>
    <definedName name="ITEM42_2Q06">Tags_ols!$AL$615</definedName>
    <definedName name="ITEM42_2Q07" localSheetId="10">Tags!$AQ$615</definedName>
    <definedName name="ITEM42_2Q07">Tags_ols!$AQ$615</definedName>
    <definedName name="ITEM42_2Q08" localSheetId="10">Tags!$AV$615</definedName>
    <definedName name="ITEM42_2Q08">Tags_ols!$AV$615</definedName>
    <definedName name="ITEM42_2Q09" localSheetId="10">Tags!$BA$615</definedName>
    <definedName name="ITEM42_2Q09">Tags_ols!$BA$615</definedName>
    <definedName name="ITEM42_2Q10" localSheetId="10">Tags!$BF$615</definedName>
    <definedName name="ITEM42_2Q10">Tags_ols!$BF$615</definedName>
    <definedName name="ITEM42_2Q11" localSheetId="10">Tags!$BK$615</definedName>
    <definedName name="ITEM42_2Q11">Tags_ols!$BK$615</definedName>
    <definedName name="ITEM42_2Q12" localSheetId="10">Tags!$BP$615</definedName>
    <definedName name="ITEM42_2Q12">Tags_ols!$BP$615</definedName>
    <definedName name="ITEM42_2Q13" localSheetId="10">Tags!$BU$615</definedName>
    <definedName name="ITEM42_2Q13">Tags_ols!$BU$615</definedName>
    <definedName name="ITEM42_2Q14" localSheetId="10">Tags!$BZ$615</definedName>
    <definedName name="ITEM42_2Q14">Tags_ols!$BZ$615</definedName>
    <definedName name="ITEM42_2Q15" localSheetId="10">Tags!$CE$615</definedName>
    <definedName name="ITEM42_2Q15">Tags_ols!$CE$615</definedName>
    <definedName name="ITEM42_2Q16" localSheetId="10">Tags!$CJ$615</definedName>
    <definedName name="ITEM42_2Q16">Tags_ols!$CJ$615</definedName>
    <definedName name="ITEM42_2Q17" localSheetId="10">Tags!$CO$615</definedName>
    <definedName name="ITEM42_2Q17">Tags_ols!$CO$615</definedName>
    <definedName name="ITEM42_2Q18" localSheetId="10">Tags!$CT$615</definedName>
    <definedName name="ITEM42_2Q18">Tags_ols!$CT$615</definedName>
    <definedName name="ITEM42_2Q19" localSheetId="10">Tags!$CY$615</definedName>
    <definedName name="ITEM42_2Q19">Tags_ols!$CY$615</definedName>
    <definedName name="ITEM42_2Q20" localSheetId="10">Tags!$DD$615</definedName>
    <definedName name="ITEM42_2Q20">Tags_ols!$DD$615</definedName>
    <definedName name="ITEM42_2Q21">Tags!$DI$615</definedName>
    <definedName name="ITEM42_2Q22">Tags!$DN$615</definedName>
    <definedName name="ITEM42_2Q23">Tags!$DS$615</definedName>
    <definedName name="ITEM42_2Q24">Tags!$DX$615</definedName>
    <definedName name="ITEM42_3Q00" localSheetId="10">Tags!$I$615</definedName>
    <definedName name="ITEM42_3Q00">Tags_ols!$I$615</definedName>
    <definedName name="ITEM42_3Q01" localSheetId="10">Tags!$N$615</definedName>
    <definedName name="ITEM42_3Q01">Tags_ols!$N$615</definedName>
    <definedName name="ITEM42_3Q02" localSheetId="10">Tags!$S$615</definedName>
    <definedName name="ITEM42_3Q02">Tags_ols!$S$615</definedName>
    <definedName name="ITEM42_3Q03" localSheetId="10">Tags!$X$615</definedName>
    <definedName name="ITEM42_3Q03">Tags_ols!$X$615</definedName>
    <definedName name="ITEM42_3Q04" localSheetId="10">Tags!$AC$615</definedName>
    <definedName name="ITEM42_3Q04">Tags_ols!$AC$615</definedName>
    <definedName name="ITEM42_3Q05" localSheetId="10">Tags!$AH$615</definedName>
    <definedName name="ITEM42_3Q05">Tags_ols!$AH$615</definedName>
    <definedName name="ITEM42_3Q06" localSheetId="10">Tags!$AM$615</definedName>
    <definedName name="ITEM42_3Q06">Tags_ols!$AM$615</definedName>
    <definedName name="ITEM42_3Q07" localSheetId="10">Tags!$AR$615</definedName>
    <definedName name="ITEM42_3Q07">Tags_ols!$AR$615</definedName>
    <definedName name="ITEM42_3Q08" localSheetId="10">Tags!$AW$615</definedName>
    <definedName name="ITEM42_3Q08">Tags_ols!$AW$615</definedName>
    <definedName name="ITEM42_3Q09" localSheetId="10">Tags!$BB$615</definedName>
    <definedName name="ITEM42_3Q09">Tags_ols!$BB$615</definedName>
    <definedName name="ITEM42_3Q10" localSheetId="10">Tags!$BG$615</definedName>
    <definedName name="ITEM42_3Q10">Tags_ols!$BG$615</definedName>
    <definedName name="ITEM42_3Q11" localSheetId="10">Tags!$BL$615</definedName>
    <definedName name="ITEM42_3Q11">Tags_ols!$BL$615</definedName>
    <definedName name="ITEM42_3Q12" localSheetId="10">Tags!$BQ$615</definedName>
    <definedName name="ITEM42_3Q12">Tags_ols!$BQ$615</definedName>
    <definedName name="ITEM42_3Q13" localSheetId="10">Tags!$BV$615</definedName>
    <definedName name="ITEM42_3Q13">Tags_ols!$BV$615</definedName>
    <definedName name="ITEM42_3Q14" localSheetId="10">Tags!$CA$615</definedName>
    <definedName name="ITEM42_3Q14">Tags_ols!$CA$615</definedName>
    <definedName name="ITEM42_3Q15" localSheetId="10">Tags!$CF$615</definedName>
    <definedName name="ITEM42_3Q15">Tags_ols!$CF$615</definedName>
    <definedName name="ITEM42_3Q16" localSheetId="10">Tags!$CK$615</definedName>
    <definedName name="ITEM42_3Q16">Tags_ols!$CK$615</definedName>
    <definedName name="ITEM42_3Q17" localSheetId="10">Tags!$CP$615</definedName>
    <definedName name="ITEM42_3Q17">Tags_ols!$CP$615</definedName>
    <definedName name="ITEM42_3Q18" localSheetId="10">Tags!$CU$615</definedName>
    <definedName name="ITEM42_3Q18">Tags_ols!$CU$615</definedName>
    <definedName name="ITEM42_3Q19" localSheetId="10">Tags!$CZ$615</definedName>
    <definedName name="ITEM42_3Q19">Tags_ols!$CZ$615</definedName>
    <definedName name="ITEM42_3Q20" localSheetId="10">Tags!$DE$615</definedName>
    <definedName name="ITEM42_3Q20">Tags_ols!$DE$615</definedName>
    <definedName name="ITEM42_3Q21">Tags!$DJ$615</definedName>
    <definedName name="ITEM42_3Q22">Tags!$DO$615</definedName>
    <definedName name="ITEM42_3Q23">Tags!$DT$615</definedName>
    <definedName name="ITEM42_3Q24">Tags!$DY$615</definedName>
    <definedName name="ITEM42_4Q00" localSheetId="10">Tags!$J$615</definedName>
    <definedName name="ITEM42_4Q00">Tags_ols!$J$615</definedName>
    <definedName name="ITEM42_4Q01" localSheetId="10">Tags!$O$615</definedName>
    <definedName name="ITEM42_4Q01">Tags_ols!$O$615</definedName>
    <definedName name="ITEM42_4Q02" localSheetId="10">Tags!$T$615</definedName>
    <definedName name="ITEM42_4Q02">Tags_ols!$T$615</definedName>
    <definedName name="ITEM42_4Q03" localSheetId="10">Tags!$Y$615</definedName>
    <definedName name="ITEM42_4Q03">Tags_ols!$Y$615</definedName>
    <definedName name="ITEM42_4Q04" localSheetId="10">Tags!$AD$615</definedName>
    <definedName name="ITEM42_4Q04">Tags_ols!$AD$615</definedName>
    <definedName name="ITEM42_4Q05" localSheetId="10">Tags!$AI$615</definedName>
    <definedName name="ITEM42_4Q05">Tags_ols!$AI$615</definedName>
    <definedName name="ITEM42_4Q06" localSheetId="10">Tags!$AN$615</definedName>
    <definedName name="ITEM42_4Q06">Tags_ols!$AN$615</definedName>
    <definedName name="ITEM42_4Q07" localSheetId="10">Tags!$AS$615</definedName>
    <definedName name="ITEM42_4Q07">Tags_ols!$AS$615</definedName>
    <definedName name="ITEM42_4Q08" localSheetId="10">Tags!$AX$615</definedName>
    <definedName name="ITEM42_4Q08">Tags_ols!$AX$615</definedName>
    <definedName name="ITEM42_4Q09" localSheetId="10">Tags!$BC$615</definedName>
    <definedName name="ITEM42_4Q09">Tags_ols!$BC$615</definedName>
    <definedName name="ITEM42_4Q10" localSheetId="10">Tags!$BH$615</definedName>
    <definedName name="ITEM42_4Q10">Tags_ols!$BH$615</definedName>
    <definedName name="ITEM42_4Q11" localSheetId="10">Tags!$BM$615</definedName>
    <definedName name="ITEM42_4Q11">Tags_ols!$BM$615</definedName>
    <definedName name="ITEM42_4Q12" localSheetId="10">Tags!$BR$615</definedName>
    <definedName name="ITEM42_4Q12">Tags_ols!$BR$615</definedName>
    <definedName name="ITEM42_4Q13" localSheetId="10">Tags!$BW$615</definedName>
    <definedName name="ITEM42_4Q13">Tags_ols!$BW$615</definedName>
    <definedName name="ITEM42_4Q14" localSheetId="10">Tags!$CB$615</definedName>
    <definedName name="ITEM42_4Q14">Tags_ols!$CB$615</definedName>
    <definedName name="ITEM42_4Q15" localSheetId="10">Tags!$CG$615</definedName>
    <definedName name="ITEM42_4Q15">Tags_ols!$CG$615</definedName>
    <definedName name="ITEM42_4Q16" localSheetId="10">Tags!$CL$615</definedName>
    <definedName name="ITEM42_4Q16">Tags_ols!$CL$615</definedName>
    <definedName name="ITEM42_4Q17" localSheetId="10">Tags!$CQ$615</definedName>
    <definedName name="ITEM42_4Q17">Tags_ols!$CQ$615</definedName>
    <definedName name="ITEM42_4Q18" localSheetId="10">Tags!$CV$615</definedName>
    <definedName name="ITEM42_4Q18">Tags_ols!$CV$615</definedName>
    <definedName name="ITEM42_4Q19" localSheetId="10">Tags!$DA$615</definedName>
    <definedName name="ITEM42_4Q19">Tags_ols!$DA$615</definedName>
    <definedName name="ITEM42_4Q20" localSheetId="10">Tags!$DF$615</definedName>
    <definedName name="ITEM42_4Q20">Tags_ols!$DF$615</definedName>
    <definedName name="ITEM42_4Q21">Tags!$DK$615</definedName>
    <definedName name="ITEM42_4Q22">Tags!$DP$615</definedName>
    <definedName name="ITEM42_4Q23">Tags!$DU$615</definedName>
    <definedName name="ITEM42_4Q24">Tags!$DZ$615</definedName>
    <definedName name="ITEM43_1995">Tags_ols!$B$616</definedName>
    <definedName name="ITEM43_1996">Tags_ols!$C$616</definedName>
    <definedName name="ITEM43_1997">Tags_ols!$D$616</definedName>
    <definedName name="ITEM43_1998">Tags_ols!$E$616</definedName>
    <definedName name="ITEM43_1999">Tags_ols!$F$616</definedName>
    <definedName name="ITEM43_1Q00" localSheetId="10">Tags!$G$616</definedName>
    <definedName name="ITEM43_1Q00">Tags_ols!$G$616</definedName>
    <definedName name="ITEM43_1Q01" localSheetId="10">Tags!$L$616</definedName>
    <definedName name="ITEM43_1Q01">Tags_ols!$L$616</definedName>
    <definedName name="ITEM43_1Q02" localSheetId="10">Tags!$Q$616</definedName>
    <definedName name="ITEM43_1Q02">Tags_ols!$Q$616</definedName>
    <definedName name="ITEM43_1Q03" localSheetId="10">Tags!$V$616</definedName>
    <definedName name="ITEM43_1Q03">Tags_ols!$V$616</definedName>
    <definedName name="ITEM43_1Q04" localSheetId="10">Tags!$AA$616</definedName>
    <definedName name="ITEM43_1Q04">Tags_ols!$AA$616</definedName>
    <definedName name="ITEM43_1Q05" localSheetId="10">Tags!$AF$616</definedName>
    <definedName name="ITEM43_1Q05">Tags_ols!$AF$616</definedName>
    <definedName name="ITEM43_1Q06" localSheetId="10">Tags!$AK$616</definedName>
    <definedName name="ITEM43_1Q06">Tags_ols!$AK$616</definedName>
    <definedName name="ITEM43_1Q07" localSheetId="10">Tags!$AP$616</definedName>
    <definedName name="ITEM43_1Q07">Tags_ols!$AP$616</definedName>
    <definedName name="ITEM43_1Q08" localSheetId="10">Tags!$AU$616</definedName>
    <definedName name="ITEM43_1Q08">Tags_ols!$AU$616</definedName>
    <definedName name="ITEM43_1Q09" localSheetId="10">Tags!$AZ$616</definedName>
    <definedName name="ITEM43_1Q09">Tags_ols!$AZ$616</definedName>
    <definedName name="ITEM43_1Q10" localSheetId="10">Tags!$BE$616</definedName>
    <definedName name="ITEM43_1Q10">Tags_ols!$BE$616</definedName>
    <definedName name="ITEM43_1Q11" localSheetId="10">Tags!$BJ$616</definedName>
    <definedName name="ITEM43_1Q11">Tags_ols!$BJ$616</definedName>
    <definedName name="ITEM43_1Q12" localSheetId="10">Tags!$BO$616</definedName>
    <definedName name="ITEM43_1Q12">Tags_ols!$BO$616</definedName>
    <definedName name="ITEM43_1Q13" localSheetId="10">Tags!$BT$616</definedName>
    <definedName name="ITEM43_1Q13">Tags_ols!$BT$616</definedName>
    <definedName name="ITEM43_1Q14" localSheetId="10">Tags!$BY$616</definedName>
    <definedName name="ITEM43_1Q14">Tags_ols!$BY$616</definedName>
    <definedName name="ITEM43_1Q15" localSheetId="10">Tags!$CD$616</definedName>
    <definedName name="ITEM43_1Q15">Tags_ols!$CD$616</definedName>
    <definedName name="ITEM43_1Q16" localSheetId="10">Tags!$CI$616</definedName>
    <definedName name="ITEM43_1Q16">Tags_ols!$CI$616</definedName>
    <definedName name="ITEM43_1Q17" localSheetId="10">Tags!$CN$616</definedName>
    <definedName name="ITEM43_1Q17">Tags_ols!$CN$616</definedName>
    <definedName name="ITEM43_1Q18" localSheetId="10">Tags!$CS$616</definedName>
    <definedName name="ITEM43_1Q18">Tags_ols!$CS$616</definedName>
    <definedName name="ITEM43_1Q19" localSheetId="10">Tags!$CX$616</definedName>
    <definedName name="ITEM43_1Q19">Tags_ols!$CX$616</definedName>
    <definedName name="ITEM43_1Q20" localSheetId="10">Tags!$DC$616</definedName>
    <definedName name="ITEM43_1Q20">Tags_ols!$DC$616</definedName>
    <definedName name="ITEM43_1Q21">Tags!$DH$616</definedName>
    <definedName name="ITEM43_1Q22">Tags!$DM$616</definedName>
    <definedName name="ITEM43_1Q23">Tags!$DR$616</definedName>
    <definedName name="ITEM43_1Q24">Tags!$DW$616</definedName>
    <definedName name="ITEM43_2000" localSheetId="10">Tags!$K$616</definedName>
    <definedName name="ITEM43_2000">Tags_ols!$K$616</definedName>
    <definedName name="ITEM43_2001" localSheetId="10">Tags!$P$616</definedName>
    <definedName name="ITEM43_2001">Tags_ols!$P$616</definedName>
    <definedName name="ITEM43_2002" localSheetId="10">Tags!$U$616</definedName>
    <definedName name="ITEM43_2002">Tags_ols!$U$616</definedName>
    <definedName name="ITEM43_2003" localSheetId="10">Tags!$Z$616</definedName>
    <definedName name="ITEM43_2003">Tags_ols!$Z$616</definedName>
    <definedName name="ITEM43_2004" localSheetId="10">Tags!$AE$616</definedName>
    <definedName name="ITEM43_2004">Tags_ols!$AE$616</definedName>
    <definedName name="ITEM43_2005" localSheetId="10">Tags!$AJ$616</definedName>
    <definedName name="ITEM43_2005">Tags_ols!$AJ$616</definedName>
    <definedName name="ITEM43_2006" localSheetId="10">Tags!$AO$616</definedName>
    <definedName name="ITEM43_2006">Tags_ols!$AO$616</definedName>
    <definedName name="ITEM43_2007" localSheetId="10">Tags!$AT$616</definedName>
    <definedName name="ITEM43_2007">Tags_ols!$AT$616</definedName>
    <definedName name="ITEM43_2008" localSheetId="10">Tags!$AY$616</definedName>
    <definedName name="ITEM43_2008">Tags_ols!$AY$616</definedName>
    <definedName name="ITEM43_2009" localSheetId="10">Tags!$BD$616</definedName>
    <definedName name="ITEM43_2009">Tags_ols!$BD$616</definedName>
    <definedName name="ITEM43_2010" localSheetId="10">Tags!$BI$616</definedName>
    <definedName name="ITEM43_2010">Tags_ols!$BI$616</definedName>
    <definedName name="ITEM43_2011" localSheetId="10">Tags!$BN$616</definedName>
    <definedName name="ITEM43_2011">Tags_ols!$BN$616</definedName>
    <definedName name="ITEM43_2012" localSheetId="10">Tags!$BS$616</definedName>
    <definedName name="ITEM43_2012">Tags_ols!$BS$616</definedName>
    <definedName name="ITEM43_2013" localSheetId="10">Tags!$BX$616</definedName>
    <definedName name="ITEM43_2013">Tags_ols!$BX$616</definedName>
    <definedName name="ITEM43_2014" localSheetId="10">Tags!$CC$616</definedName>
    <definedName name="ITEM43_2014">Tags_ols!$CC$616</definedName>
    <definedName name="ITEM43_2015" localSheetId="10">Tags!#REF!</definedName>
    <definedName name="ITEM43_2015">Tags!$CH$616</definedName>
    <definedName name="ITEM43_2016" localSheetId="10">Tags!$CM$616</definedName>
    <definedName name="ITEM43_2016">Tags_ols!$CM$616</definedName>
    <definedName name="ITEM43_2017" localSheetId="10">Tags!$CR$616</definedName>
    <definedName name="ITEM43_2017">Tags_ols!$CR$616</definedName>
    <definedName name="ITEM43_2018" localSheetId="10">Tags!$CW$616</definedName>
    <definedName name="ITEM43_2018">Tags_ols!$CW$616</definedName>
    <definedName name="ITEM43_2019" localSheetId="10">Tags!$DB$616</definedName>
    <definedName name="ITEM43_2019">Tags_ols!$DB$616</definedName>
    <definedName name="ITEM43_2020" localSheetId="10">Tags!$DG$616</definedName>
    <definedName name="ITEM43_2020">Tags_ols!$DG$616</definedName>
    <definedName name="ITEM43_2021">Tags!$DL$616</definedName>
    <definedName name="ITEM43_2022">Tags!$DQ$616</definedName>
    <definedName name="ITEM43_2023">Tags!$DV$616</definedName>
    <definedName name="ITEM43_2024">Tags!$EA$616</definedName>
    <definedName name="ITEM43_2Q00" localSheetId="10">Tags!$H$616</definedName>
    <definedName name="ITEM43_2Q00">Tags_ols!$H$616</definedName>
    <definedName name="ITEM43_2Q01" localSheetId="10">Tags!$M$616</definedName>
    <definedName name="ITEM43_2Q01">Tags_ols!$M$616</definedName>
    <definedName name="ITEM43_2Q02" localSheetId="10">Tags!$R$616</definedName>
    <definedName name="ITEM43_2Q02">Tags_ols!$R$616</definedName>
    <definedName name="ITEM43_2Q03" localSheetId="10">Tags!$W$616</definedName>
    <definedName name="ITEM43_2Q03">Tags_ols!$W$616</definedName>
    <definedName name="ITEM43_2Q04" localSheetId="10">Tags!$AB$616</definedName>
    <definedName name="ITEM43_2Q04">Tags_ols!$AB$616</definedName>
    <definedName name="ITEM43_2Q05" localSheetId="10">Tags!$AG$616</definedName>
    <definedName name="ITEM43_2Q05">Tags_ols!$AG$616</definedName>
    <definedName name="ITEM43_2Q06" localSheetId="10">Tags!$AL$616</definedName>
    <definedName name="ITEM43_2Q06">Tags_ols!$AL$616</definedName>
    <definedName name="ITEM43_2Q07" localSheetId="10">Tags!$AQ$616</definedName>
    <definedName name="ITEM43_2Q07">Tags_ols!$AQ$616</definedName>
    <definedName name="ITEM43_2Q08" localSheetId="10">Tags!$AV$616</definedName>
    <definedName name="ITEM43_2Q08">Tags_ols!$AV$616</definedName>
    <definedName name="ITEM43_2Q09" localSheetId="10">Tags!$BA$616</definedName>
    <definedName name="ITEM43_2Q09">Tags_ols!$BA$616</definedName>
    <definedName name="ITEM43_2Q10" localSheetId="10">Tags!$BF$616</definedName>
    <definedName name="ITEM43_2Q10">Tags_ols!$BF$616</definedName>
    <definedName name="ITEM43_2Q11" localSheetId="10">Tags!$BK$616</definedName>
    <definedName name="ITEM43_2Q11">Tags_ols!$BK$616</definedName>
    <definedName name="ITEM43_2Q12" localSheetId="10">Tags!$BP$616</definedName>
    <definedName name="ITEM43_2Q12">Tags_ols!$BP$616</definedName>
    <definedName name="ITEM43_2Q13" localSheetId="10">Tags!$BU$616</definedName>
    <definedName name="ITEM43_2Q13">Tags_ols!$BU$616</definedName>
    <definedName name="ITEM43_2Q14" localSheetId="10">Tags!$BZ$616</definedName>
    <definedName name="ITEM43_2Q14">Tags_ols!$BZ$616</definedName>
    <definedName name="ITEM43_2Q15" localSheetId="10">Tags!$CE$616</definedName>
    <definedName name="ITEM43_2Q15">Tags_ols!$CE$616</definedName>
    <definedName name="ITEM43_2Q16" localSheetId="10">Tags!$CJ$616</definedName>
    <definedName name="ITEM43_2Q16">Tags_ols!$CJ$616</definedName>
    <definedName name="ITEM43_2Q17" localSheetId="10">Tags!$CO$616</definedName>
    <definedName name="ITEM43_2Q17">Tags_ols!$CO$616</definedName>
    <definedName name="ITEM43_2Q18" localSheetId="10">Tags!$CT$616</definedName>
    <definedName name="ITEM43_2Q18">Tags_ols!$CT$616</definedName>
    <definedName name="ITEM43_2Q19" localSheetId="10">Tags!$CY$616</definedName>
    <definedName name="ITEM43_2Q19">Tags_ols!$CY$616</definedName>
    <definedName name="ITEM43_2Q20" localSheetId="10">Tags!$DD$616</definedName>
    <definedName name="ITEM43_2Q20">Tags_ols!$DD$616</definedName>
    <definedName name="ITEM43_2Q21">Tags!$DI$616</definedName>
    <definedName name="ITEM43_2Q22">Tags!$DN$616</definedName>
    <definedName name="ITEM43_2Q23">Tags!$DS$616</definedName>
    <definedName name="ITEM43_2Q24">Tags!$DX$616</definedName>
    <definedName name="ITEM43_3Q00" localSheetId="10">Tags!$I$616</definedName>
    <definedName name="ITEM43_3Q00">Tags_ols!$I$616</definedName>
    <definedName name="ITEM43_3Q01" localSheetId="10">Tags!$N$616</definedName>
    <definedName name="ITEM43_3Q01">Tags_ols!$N$616</definedName>
    <definedName name="ITEM43_3Q02" localSheetId="10">Tags!$S$616</definedName>
    <definedName name="ITEM43_3Q02">Tags_ols!$S$616</definedName>
    <definedName name="ITEM43_3Q03" localSheetId="10">Tags!$X$616</definedName>
    <definedName name="ITEM43_3Q03">Tags_ols!$X$616</definedName>
    <definedName name="ITEM43_3Q04" localSheetId="10">Tags!$AC$616</definedName>
    <definedName name="ITEM43_3Q04">Tags_ols!$AC$616</definedName>
    <definedName name="ITEM43_3Q05" localSheetId="10">Tags!$AH$616</definedName>
    <definedName name="ITEM43_3Q05">Tags_ols!$AH$616</definedName>
    <definedName name="ITEM43_3Q06" localSheetId="10">Tags!$AM$616</definedName>
    <definedName name="ITEM43_3Q06">Tags_ols!$AM$616</definedName>
    <definedName name="ITEM43_3Q07" localSheetId="10">Tags!$AR$616</definedName>
    <definedName name="ITEM43_3Q07">Tags_ols!$AR$616</definedName>
    <definedName name="ITEM43_3Q08" localSheetId="10">Tags!$AW$616</definedName>
    <definedName name="ITEM43_3Q08">Tags_ols!$AW$616</definedName>
    <definedName name="ITEM43_3Q09" localSheetId="10">Tags!$BB$616</definedName>
    <definedName name="ITEM43_3Q09">Tags_ols!$BB$616</definedName>
    <definedName name="ITEM43_3Q10" localSheetId="10">Tags!$BG$616</definedName>
    <definedName name="ITEM43_3Q10">Tags_ols!$BG$616</definedName>
    <definedName name="ITEM43_3Q11" localSheetId="10">Tags!$BL$616</definedName>
    <definedName name="ITEM43_3Q11">Tags_ols!$BL$616</definedName>
    <definedName name="ITEM43_3Q12" localSheetId="10">Tags!$BQ$616</definedName>
    <definedName name="ITEM43_3Q12">Tags_ols!$BQ$616</definedName>
    <definedName name="ITEM43_3Q13" localSheetId="10">Tags!$BV$616</definedName>
    <definedName name="ITEM43_3Q13">Tags_ols!$BV$616</definedName>
    <definedName name="ITEM43_3Q14" localSheetId="10">Tags!$CA$616</definedName>
    <definedName name="ITEM43_3Q14">Tags_ols!$CA$616</definedName>
    <definedName name="ITEM43_3Q15" localSheetId="10">Tags!$CF$616</definedName>
    <definedName name="ITEM43_3Q15">Tags_ols!$CF$616</definedName>
    <definedName name="ITEM43_3Q16" localSheetId="10">Tags!$CK$616</definedName>
    <definedName name="ITEM43_3Q16">Tags_ols!$CK$616</definedName>
    <definedName name="ITEM43_3Q17" localSheetId="10">Tags!$CP$616</definedName>
    <definedName name="ITEM43_3Q17">Tags_ols!$CP$616</definedName>
    <definedName name="ITEM43_3Q18" localSheetId="10">Tags!$CU$616</definedName>
    <definedName name="ITEM43_3Q18">Tags_ols!$CU$616</definedName>
    <definedName name="ITEM43_3Q19" localSheetId="10">Tags!$CZ$616</definedName>
    <definedName name="ITEM43_3Q19">Tags_ols!$CZ$616</definedName>
    <definedName name="ITEM43_3Q20" localSheetId="10">Tags!$DE$616</definedName>
    <definedName name="ITEM43_3Q20">Tags_ols!$DE$616</definedName>
    <definedName name="ITEM43_3Q21">Tags!$DJ$616</definedName>
    <definedName name="ITEM43_3Q22">Tags!$DO$616</definedName>
    <definedName name="ITEM43_3Q23">Tags!$DT$616</definedName>
    <definedName name="ITEM43_3Q24">Tags!$DY$616</definedName>
    <definedName name="ITEM43_4Q00" localSheetId="10">Tags!$J$616</definedName>
    <definedName name="ITEM43_4Q00">Tags_ols!$J$616</definedName>
    <definedName name="ITEM43_4Q01" localSheetId="10">Tags!$O$616</definedName>
    <definedName name="ITEM43_4Q01">Tags_ols!$O$616</definedName>
    <definedName name="ITEM43_4Q02" localSheetId="10">Tags!$T$616</definedName>
    <definedName name="ITEM43_4Q02">Tags_ols!$T$616</definedName>
    <definedName name="ITEM43_4Q03" localSheetId="10">Tags!$Y$616</definedName>
    <definedName name="ITEM43_4Q03">Tags_ols!$Y$616</definedName>
    <definedName name="ITEM43_4Q04" localSheetId="10">Tags!$AD$616</definedName>
    <definedName name="ITEM43_4Q04">Tags_ols!$AD$616</definedName>
    <definedName name="ITEM43_4Q05" localSheetId="10">Tags!$AI$616</definedName>
    <definedName name="ITEM43_4Q05">Tags_ols!$AI$616</definedName>
    <definedName name="ITEM43_4Q06" localSheetId="10">Tags!$AN$616</definedName>
    <definedName name="ITEM43_4Q06">Tags_ols!$AN$616</definedName>
    <definedName name="ITEM43_4Q07" localSheetId="10">Tags!$AS$616</definedName>
    <definedName name="ITEM43_4Q07">Tags_ols!$AS$616</definedName>
    <definedName name="ITEM43_4Q08" localSheetId="10">Tags!$AX$616</definedName>
    <definedName name="ITEM43_4Q08">Tags_ols!$AX$616</definedName>
    <definedName name="ITEM43_4Q09" localSheetId="10">Tags!$BC$616</definedName>
    <definedName name="ITEM43_4Q09">Tags_ols!$BC$616</definedName>
    <definedName name="ITEM43_4Q10" localSheetId="10">Tags!$BH$616</definedName>
    <definedName name="ITEM43_4Q10">Tags_ols!$BH$616</definedName>
    <definedName name="ITEM43_4Q11" localSheetId="10">Tags!$BM$616</definedName>
    <definedName name="ITEM43_4Q11">Tags_ols!$BM$616</definedName>
    <definedName name="ITEM43_4Q12" localSheetId="10">Tags!$BR$616</definedName>
    <definedName name="ITEM43_4Q12">Tags_ols!$BR$616</definedName>
    <definedName name="ITEM43_4Q13" localSheetId="10">Tags!$BW$616</definedName>
    <definedName name="ITEM43_4Q13">Tags_ols!$BW$616</definedName>
    <definedName name="ITEM43_4Q14" localSheetId="10">Tags!$CB$616</definedName>
    <definedName name="ITEM43_4Q14">Tags_ols!$CB$616</definedName>
    <definedName name="ITEM43_4Q15" localSheetId="10">Tags!$CG$616</definedName>
    <definedName name="ITEM43_4Q15">Tags_ols!$CG$616</definedName>
    <definedName name="ITEM43_4Q16" localSheetId="10">Tags!$CL$616</definedName>
    <definedName name="ITEM43_4Q16">Tags_ols!$CL$616</definedName>
    <definedName name="ITEM43_4Q17" localSheetId="10">Tags!$CQ$616</definedName>
    <definedName name="ITEM43_4Q17">Tags_ols!$CQ$616</definedName>
    <definedName name="ITEM43_4Q18" localSheetId="10">Tags!$CV$616</definedName>
    <definedName name="ITEM43_4Q18">Tags_ols!$CV$616</definedName>
    <definedName name="ITEM43_4Q19" localSheetId="10">Tags!$DA$616</definedName>
    <definedName name="ITEM43_4Q19">Tags_ols!$DA$616</definedName>
    <definedName name="ITEM43_4Q20" localSheetId="10">Tags!$DF$616</definedName>
    <definedName name="ITEM43_4Q20">Tags_ols!$DF$616</definedName>
    <definedName name="ITEM43_4Q21">Tags!$DK$616</definedName>
    <definedName name="ITEM43_4Q22">Tags!$DP$616</definedName>
    <definedName name="ITEM43_4Q23">Tags!$DU$616</definedName>
    <definedName name="ITEM43_4Q24">Tags!$DZ$616</definedName>
    <definedName name="ITEM44_1995">Tags_ols!$B$617</definedName>
    <definedName name="ITEM44_1996">Tags_ols!$C$617</definedName>
    <definedName name="ITEM44_1997">Tags_ols!$D$617</definedName>
    <definedName name="ITEM44_1998">Tags_ols!$E$617</definedName>
    <definedName name="ITEM44_1999">Tags_ols!$F$617</definedName>
    <definedName name="ITEM44_1Q00" localSheetId="10">Tags!$G$617</definedName>
    <definedName name="ITEM44_1Q00">Tags_ols!$G$617</definedName>
    <definedName name="ITEM44_1Q01" localSheetId="10">Tags!$L$617</definedName>
    <definedName name="ITEM44_1Q01">Tags_ols!$L$617</definedName>
    <definedName name="ITEM44_1Q02" localSheetId="10">Tags!$Q$617</definedName>
    <definedName name="ITEM44_1Q02">Tags_ols!$Q$617</definedName>
    <definedName name="ITEM44_1Q03" localSheetId="10">Tags!$V$617</definedName>
    <definedName name="ITEM44_1Q03">Tags_ols!$V$617</definedName>
    <definedName name="ITEM44_1Q04" localSheetId="10">Tags!$AA$617</definedName>
    <definedName name="ITEM44_1Q04">Tags_ols!$AA$617</definedName>
    <definedName name="ITEM44_1Q05" localSheetId="10">Tags!$AF$617</definedName>
    <definedName name="ITEM44_1Q05">Tags_ols!$AF$617</definedName>
    <definedName name="ITEM44_1Q06" localSheetId="10">Tags!$AK$617</definedName>
    <definedName name="ITEM44_1Q06">Tags_ols!$AK$617</definedName>
    <definedName name="ITEM44_1Q07" localSheetId="10">Tags!$AP$617</definedName>
    <definedName name="ITEM44_1Q07">Tags_ols!$AP$617</definedName>
    <definedName name="ITEM44_1Q08" localSheetId="10">Tags!$AU$617</definedName>
    <definedName name="ITEM44_1Q08">Tags_ols!$AU$617</definedName>
    <definedName name="ITEM44_1Q09" localSheetId="10">Tags!$AZ$617</definedName>
    <definedName name="ITEM44_1Q09">Tags_ols!$AZ$617</definedName>
    <definedName name="ITEM44_1Q10" localSheetId="10">Tags!$BE$617</definedName>
    <definedName name="ITEM44_1Q10">Tags_ols!$BE$617</definedName>
    <definedName name="ITEM44_1Q11" localSheetId="10">Tags!$BJ$617</definedName>
    <definedName name="ITEM44_1Q11">Tags_ols!$BJ$617</definedName>
    <definedName name="ITEM44_1Q12" localSheetId="10">Tags!$BO$617</definedName>
    <definedName name="ITEM44_1Q12">Tags_ols!$BO$617</definedName>
    <definedName name="ITEM44_1Q13" localSheetId="10">Tags!$BT$617</definedName>
    <definedName name="ITEM44_1Q13">Tags_ols!$BT$617</definedName>
    <definedName name="ITEM44_1Q14" localSheetId="10">Tags!$BY$617</definedName>
    <definedName name="ITEM44_1Q14">Tags_ols!$BY$617</definedName>
    <definedName name="ITEM44_1Q15" localSheetId="10">Tags!$CD$617</definedName>
    <definedName name="ITEM44_1Q15">Tags_ols!$CD$617</definedName>
    <definedName name="ITEM44_1Q16" localSheetId="10">Tags!$CI$617</definedName>
    <definedName name="ITEM44_1Q16">Tags_ols!$CI$617</definedName>
    <definedName name="ITEM44_1Q17" localSheetId="10">Tags!$CN$617</definedName>
    <definedName name="ITEM44_1Q17">Tags_ols!$CN$617</definedName>
    <definedName name="ITEM44_1Q18" localSheetId="10">Tags!$CS$617</definedName>
    <definedName name="ITEM44_1Q18">Tags_ols!$CS$617</definedName>
    <definedName name="ITEM44_1Q19" localSheetId="10">Tags!$CX$617</definedName>
    <definedName name="ITEM44_1Q19">Tags_ols!$CX$617</definedName>
    <definedName name="ITEM44_1Q20" localSheetId="10">Tags!$DC$617</definedName>
    <definedName name="ITEM44_1Q20">Tags_ols!$DC$617</definedName>
    <definedName name="ITEM44_1Q21">Tags!$DH$617</definedName>
    <definedName name="ITEM44_1Q22">Tags!$DM$617</definedName>
    <definedName name="ITEM44_1Q23">Tags!$DR$617</definedName>
    <definedName name="ITEM44_1Q24">Tags!$DW$617</definedName>
    <definedName name="ITEM44_2000" localSheetId="10">Tags!$K$617</definedName>
    <definedName name="ITEM44_2000">Tags_ols!$K$617</definedName>
    <definedName name="ITEM44_2001" localSheetId="10">Tags!$P$617</definedName>
    <definedName name="ITEM44_2001">Tags_ols!$P$617</definedName>
    <definedName name="ITEM44_2002" localSheetId="10">Tags!$U$617</definedName>
    <definedName name="ITEM44_2002">Tags_ols!$U$617</definedName>
    <definedName name="ITEM44_2003" localSheetId="10">Tags!$Z$617</definedName>
    <definedName name="ITEM44_2003">Tags_ols!$Z$617</definedName>
    <definedName name="ITEM44_2004" localSheetId="10">Tags!$AE$617</definedName>
    <definedName name="ITEM44_2004">Tags_ols!$AE$617</definedName>
    <definedName name="ITEM44_2005" localSheetId="10">Tags!$AJ$617</definedName>
    <definedName name="ITEM44_2005">Tags_ols!$AJ$617</definedName>
    <definedName name="ITEM44_2006" localSheetId="10">Tags!$AO$617</definedName>
    <definedName name="ITEM44_2006">Tags_ols!$AO$617</definedName>
    <definedName name="ITEM44_2007" localSheetId="10">Tags!$AT$617</definedName>
    <definedName name="ITEM44_2007">Tags_ols!$AT$617</definedName>
    <definedName name="ITEM44_2008" localSheetId="10">Tags!$AY$617</definedName>
    <definedName name="ITEM44_2008">Tags_ols!$AY$617</definedName>
    <definedName name="ITEM44_2009" localSheetId="10">Tags!$BD$617</definedName>
    <definedName name="ITEM44_2009">Tags_ols!$BD$617</definedName>
    <definedName name="ITEM44_2010" localSheetId="10">Tags!$BI$617</definedName>
    <definedName name="ITEM44_2010">Tags_ols!$BI$617</definedName>
    <definedName name="ITEM44_2011" localSheetId="10">Tags!$BN$617</definedName>
    <definedName name="ITEM44_2011">Tags_ols!$BN$617</definedName>
    <definedName name="ITEM44_2012" localSheetId="10">Tags!$BS$617</definedName>
    <definedName name="ITEM44_2012">Tags_ols!$BS$617</definedName>
    <definedName name="ITEM44_2013" localSheetId="10">Tags!$BX$617</definedName>
    <definedName name="ITEM44_2013">Tags_ols!$BX$617</definedName>
    <definedName name="ITEM44_2014" localSheetId="10">Tags!$CC$617</definedName>
    <definedName name="ITEM44_2014">Tags_ols!$CC$617</definedName>
    <definedName name="ITEM44_2015" localSheetId="10">Tags!#REF!</definedName>
    <definedName name="ITEM44_2015">Tags!$CH$617</definedName>
    <definedName name="ITEM44_2016" localSheetId="10">Tags!$CM$617</definedName>
    <definedName name="ITEM44_2016">Tags_ols!$CM$617</definedName>
    <definedName name="ITEM44_2017" localSheetId="10">Tags!$CR$617</definedName>
    <definedName name="ITEM44_2017">Tags_ols!$CR$617</definedName>
    <definedName name="ITEM44_2018" localSheetId="10">Tags!$CW$617</definedName>
    <definedName name="ITEM44_2018">Tags_ols!$CW$617</definedName>
    <definedName name="ITEM44_2019" localSheetId="10">Tags!$DB$617</definedName>
    <definedName name="ITEM44_2019">Tags_ols!$DB$617</definedName>
    <definedName name="ITEM44_2020" localSheetId="10">Tags!$DG$617</definedName>
    <definedName name="ITEM44_2020">Tags_ols!$DG$617</definedName>
    <definedName name="ITEM44_2021">Tags!$DL$617</definedName>
    <definedName name="ITEM44_2022">Tags!$DQ$617</definedName>
    <definedName name="ITEM44_2023">Tags!$DV$617</definedName>
    <definedName name="ITEM44_2024">Tags!$EA$617</definedName>
    <definedName name="ITEM44_2Q00" localSheetId="10">Tags!$H$617</definedName>
    <definedName name="ITEM44_2Q00">Tags_ols!$H$617</definedName>
    <definedName name="ITEM44_2Q01" localSheetId="10">Tags!$M$617</definedName>
    <definedName name="ITEM44_2Q01">Tags_ols!$M$617</definedName>
    <definedName name="ITEM44_2Q02" localSheetId="10">Tags!$R$617</definedName>
    <definedName name="ITEM44_2Q02">Tags_ols!$R$617</definedName>
    <definedName name="ITEM44_2Q03" localSheetId="10">Tags!$W$617</definedName>
    <definedName name="ITEM44_2Q03">Tags_ols!$W$617</definedName>
    <definedName name="ITEM44_2Q04" localSheetId="10">Tags!$AB$617</definedName>
    <definedName name="ITEM44_2Q04">Tags_ols!$AB$617</definedName>
    <definedName name="ITEM44_2Q05" localSheetId="10">Tags!$AG$617</definedName>
    <definedName name="ITEM44_2Q05">Tags_ols!$AG$617</definedName>
    <definedName name="ITEM44_2Q06" localSheetId="10">Tags!$AL$617</definedName>
    <definedName name="ITEM44_2Q06">Tags_ols!$AL$617</definedName>
    <definedName name="ITEM44_2Q07" localSheetId="10">Tags!$AQ$617</definedName>
    <definedName name="ITEM44_2Q07">Tags_ols!$AQ$617</definedName>
    <definedName name="ITEM44_2Q08" localSheetId="10">Tags!$AV$617</definedName>
    <definedName name="ITEM44_2Q08">Tags_ols!$AV$617</definedName>
    <definedName name="ITEM44_2Q09" localSheetId="10">Tags!$BA$617</definedName>
    <definedName name="ITEM44_2Q09">Tags_ols!$BA$617</definedName>
    <definedName name="ITEM44_2Q10" localSheetId="10">Tags!$BF$617</definedName>
    <definedName name="ITEM44_2Q10">Tags_ols!$BF$617</definedName>
    <definedName name="ITEM44_2Q11" localSheetId="10">Tags!$BK$617</definedName>
    <definedName name="ITEM44_2Q11">Tags_ols!$BK$617</definedName>
    <definedName name="ITEM44_2Q12" localSheetId="10">Tags!$BP$617</definedName>
    <definedName name="ITEM44_2Q12">Tags_ols!$BP$617</definedName>
    <definedName name="ITEM44_2Q13" localSheetId="10">Tags!$BU$617</definedName>
    <definedName name="ITEM44_2Q13">Tags_ols!$BU$617</definedName>
    <definedName name="ITEM44_2Q14" localSheetId="10">Tags!$BZ$617</definedName>
    <definedName name="ITEM44_2Q14">Tags_ols!$BZ$617</definedName>
    <definedName name="ITEM44_2Q15" localSheetId="10">Tags!$CE$617</definedName>
    <definedName name="ITEM44_2Q15">Tags_ols!$CE$617</definedName>
    <definedName name="ITEM44_2Q16" localSheetId="10">Tags!$CJ$617</definedName>
    <definedName name="ITEM44_2Q16">Tags_ols!$CJ$617</definedName>
    <definedName name="ITEM44_2Q17" localSheetId="10">Tags!$CO$617</definedName>
    <definedName name="ITEM44_2Q17">Tags_ols!$CO$617</definedName>
    <definedName name="ITEM44_2Q18" localSheetId="10">Tags!$CT$617</definedName>
    <definedName name="ITEM44_2Q18">Tags_ols!$CT$617</definedName>
    <definedName name="ITEM44_2Q19" localSheetId="10">Tags!$CY$617</definedName>
    <definedName name="ITEM44_2Q19">Tags_ols!$CY$617</definedName>
    <definedName name="ITEM44_2Q20" localSheetId="10">Tags!$DD$617</definedName>
    <definedName name="ITEM44_2Q20">Tags_ols!$DD$617</definedName>
    <definedName name="ITEM44_2Q21">Tags!$DI$617</definedName>
    <definedName name="ITEM44_2Q22">Tags!$DN$617</definedName>
    <definedName name="ITEM44_2Q23">Tags!$DS$617</definedName>
    <definedName name="ITEM44_2Q24">Tags!$DX$617</definedName>
    <definedName name="ITEM44_3Q00" localSheetId="10">Tags!$I$617</definedName>
    <definedName name="ITEM44_3Q00">Tags_ols!$I$617</definedName>
    <definedName name="ITEM44_3Q01" localSheetId="10">Tags!$N$617</definedName>
    <definedName name="ITEM44_3Q01">Tags_ols!$N$617</definedName>
    <definedName name="ITEM44_3Q02" localSheetId="10">Tags!$S$617</definedName>
    <definedName name="ITEM44_3Q02">Tags_ols!$S$617</definedName>
    <definedName name="ITEM44_3Q03" localSheetId="10">Tags!$X$617</definedName>
    <definedName name="ITEM44_3Q03">Tags_ols!$X$617</definedName>
    <definedName name="ITEM44_3Q04" localSheetId="10">Tags!$AC$617</definedName>
    <definedName name="ITEM44_3Q04">Tags_ols!$AC$617</definedName>
    <definedName name="ITEM44_3Q05" localSheetId="10">Tags!$AH$617</definedName>
    <definedName name="ITEM44_3Q05">Tags_ols!$AH$617</definedName>
    <definedName name="ITEM44_3Q06" localSheetId="10">Tags!$AM$617</definedName>
    <definedName name="ITEM44_3Q06">Tags_ols!$AM$617</definedName>
    <definedName name="ITEM44_3Q07" localSheetId="10">Tags!$AR$617</definedName>
    <definedName name="ITEM44_3Q07">Tags_ols!$AR$617</definedName>
    <definedName name="ITEM44_3Q08" localSheetId="10">Tags!$AW$617</definedName>
    <definedName name="ITEM44_3Q08">Tags_ols!$AW$617</definedName>
    <definedName name="ITEM44_3Q09" localSheetId="10">Tags!$BB$617</definedName>
    <definedName name="ITEM44_3Q09">Tags_ols!$BB$617</definedName>
    <definedName name="ITEM44_3Q10" localSheetId="10">Tags!$BG$617</definedName>
    <definedName name="ITEM44_3Q10">Tags_ols!$BG$617</definedName>
    <definedName name="ITEM44_3Q11" localSheetId="10">Tags!$BL$617</definedName>
    <definedName name="ITEM44_3Q11">Tags_ols!$BL$617</definedName>
    <definedName name="ITEM44_3Q12" localSheetId="10">Tags!$BQ$617</definedName>
    <definedName name="ITEM44_3Q12">Tags_ols!$BQ$617</definedName>
    <definedName name="ITEM44_3Q13" localSheetId="10">Tags!$BV$617</definedName>
    <definedName name="ITEM44_3Q13">Tags_ols!$BV$617</definedName>
    <definedName name="ITEM44_3Q14" localSheetId="10">Tags!$CA$617</definedName>
    <definedName name="ITEM44_3Q14">Tags_ols!$CA$617</definedName>
    <definedName name="ITEM44_3Q15" localSheetId="10">Tags!$CF$617</definedName>
    <definedName name="ITEM44_3Q15">Tags_ols!$CF$617</definedName>
    <definedName name="ITEM44_3Q16" localSheetId="10">Tags!$CK$617</definedName>
    <definedName name="ITEM44_3Q16">Tags_ols!$CK$617</definedName>
    <definedName name="ITEM44_3Q17" localSheetId="10">Tags!$CP$617</definedName>
    <definedName name="ITEM44_3Q17">Tags_ols!$CP$617</definedName>
    <definedName name="ITEM44_3Q18" localSheetId="10">Tags!$CU$617</definedName>
    <definedName name="ITEM44_3Q18">Tags_ols!$CU$617</definedName>
    <definedName name="ITEM44_3Q19" localSheetId="10">Tags!$CZ$617</definedName>
    <definedName name="ITEM44_3Q19">Tags_ols!$CZ$617</definedName>
    <definedName name="ITEM44_3Q20" localSheetId="10">Tags!$DE$617</definedName>
    <definedName name="ITEM44_3Q20">Tags_ols!$DE$617</definedName>
    <definedName name="ITEM44_3Q21">Tags!$DJ$617</definedName>
    <definedName name="ITEM44_3Q22">Tags!$DO$617</definedName>
    <definedName name="ITEM44_3Q23">Tags!$DT$617</definedName>
    <definedName name="ITEM44_3Q24">Tags!$DY$617</definedName>
    <definedName name="ITEM44_4Q00" localSheetId="10">Tags!$J$617</definedName>
    <definedName name="ITEM44_4Q00">Tags_ols!$J$617</definedName>
    <definedName name="ITEM44_4Q01" localSheetId="10">Tags!$O$617</definedName>
    <definedName name="ITEM44_4Q01">Tags_ols!$O$617</definedName>
    <definedName name="ITEM44_4Q02" localSheetId="10">Tags!$T$617</definedName>
    <definedName name="ITEM44_4Q02">Tags_ols!$T$617</definedName>
    <definedName name="ITEM44_4Q03" localSheetId="10">Tags!$Y$617</definedName>
    <definedName name="ITEM44_4Q03">Tags_ols!$Y$617</definedName>
    <definedName name="ITEM44_4Q04" localSheetId="10">Tags!$AD$617</definedName>
    <definedName name="ITEM44_4Q04">Tags_ols!$AD$617</definedName>
    <definedName name="ITEM44_4Q05" localSheetId="10">Tags!$AI$617</definedName>
    <definedName name="ITEM44_4Q05">Tags_ols!$AI$617</definedName>
    <definedName name="ITEM44_4Q06" localSheetId="10">Tags!$AN$617</definedName>
    <definedName name="ITEM44_4Q06">Tags_ols!$AN$617</definedName>
    <definedName name="ITEM44_4Q07" localSheetId="10">Tags!$AS$617</definedName>
    <definedName name="ITEM44_4Q07">Tags_ols!$AS$617</definedName>
    <definedName name="ITEM44_4Q08" localSheetId="10">Tags!$AX$617</definedName>
    <definedName name="ITEM44_4Q08">Tags_ols!$AX$617</definedName>
    <definedName name="ITEM44_4Q09" localSheetId="10">Tags!$BC$617</definedName>
    <definedName name="ITEM44_4Q09">Tags_ols!$BC$617</definedName>
    <definedName name="ITEM44_4Q10" localSheetId="10">Tags!$BH$617</definedName>
    <definedName name="ITEM44_4Q10">Tags_ols!$BH$617</definedName>
    <definedName name="ITEM44_4Q11" localSheetId="10">Tags!$BM$617</definedName>
    <definedName name="ITEM44_4Q11">Tags_ols!$BM$617</definedName>
    <definedName name="ITEM44_4Q12" localSheetId="10">Tags!$BR$617</definedName>
    <definedName name="ITEM44_4Q12">Tags_ols!$BR$617</definedName>
    <definedName name="ITEM44_4Q13" localSheetId="10">Tags!$BW$617</definedName>
    <definedName name="ITEM44_4Q13">Tags_ols!$BW$617</definedName>
    <definedName name="ITEM44_4Q14" localSheetId="10">Tags!$CB$617</definedName>
    <definedName name="ITEM44_4Q14">Tags_ols!$CB$617</definedName>
    <definedName name="ITEM44_4Q15" localSheetId="10">Tags!$CG$617</definedName>
    <definedName name="ITEM44_4Q15">Tags_ols!$CG$617</definedName>
    <definedName name="ITEM44_4Q16" localSheetId="10">Tags!$CL$617</definedName>
    <definedName name="ITEM44_4Q16">Tags_ols!$CL$617</definedName>
    <definedName name="ITEM44_4Q17" localSheetId="10">Tags!$CQ$617</definedName>
    <definedName name="ITEM44_4Q17">Tags_ols!$CQ$617</definedName>
    <definedName name="ITEM44_4Q18" localSheetId="10">Tags!$CV$617</definedName>
    <definedName name="ITEM44_4Q18">Tags_ols!$CV$617</definedName>
    <definedName name="ITEM44_4Q19" localSheetId="10">Tags!$DA$617</definedName>
    <definedName name="ITEM44_4Q19">Tags_ols!$DA$617</definedName>
    <definedName name="ITEM44_4Q20" localSheetId="10">Tags!$DF$617</definedName>
    <definedName name="ITEM44_4Q20">Tags_ols!$DF$617</definedName>
    <definedName name="ITEM44_4Q21">Tags!$DK$617</definedName>
    <definedName name="ITEM44_4Q22">Tags!$DP$617</definedName>
    <definedName name="ITEM44_4Q23">Tags!$DU$617</definedName>
    <definedName name="ITEM44_4Q24">Tags!$DZ$617</definedName>
    <definedName name="ITEM45_1995">Tags_ols!$B$618</definedName>
    <definedName name="ITEM45_1996">Tags_ols!$C$618</definedName>
    <definedName name="ITEM45_1997">Tags_ols!$D$618</definedName>
    <definedName name="ITEM45_1998">Tags_ols!$E$618</definedName>
    <definedName name="ITEM45_1999">Tags_ols!$F$618</definedName>
    <definedName name="ITEM45_1Q00" localSheetId="10">Tags!$G$618</definedName>
    <definedName name="ITEM45_1Q00">Tags_ols!$G$618</definedName>
    <definedName name="ITEM45_1Q01" localSheetId="10">Tags!$L$618</definedName>
    <definedName name="ITEM45_1Q01">Tags_ols!$L$618</definedName>
    <definedName name="ITEM45_1Q02" localSheetId="10">Tags!$Q$618</definedName>
    <definedName name="ITEM45_1Q02">Tags_ols!$Q$618</definedName>
    <definedName name="ITEM45_1Q03" localSheetId="10">Tags!$V$618</definedName>
    <definedName name="ITEM45_1Q03">Tags_ols!$V$618</definedName>
    <definedName name="ITEM45_1Q04" localSheetId="10">Tags!$AA$618</definedName>
    <definedName name="ITEM45_1Q04">Tags_ols!$AA$618</definedName>
    <definedName name="ITEM45_1Q05" localSheetId="10">Tags!$AF$618</definedName>
    <definedName name="ITEM45_1Q05">Tags_ols!$AF$618</definedName>
    <definedName name="ITEM45_1Q06" localSheetId="10">Tags!$AK$618</definedName>
    <definedName name="ITEM45_1Q06">Tags_ols!$AK$618</definedName>
    <definedName name="ITEM45_1Q07" localSheetId="10">Tags!$AP$618</definedName>
    <definedName name="ITEM45_1Q07">Tags_ols!$AP$618</definedName>
    <definedName name="ITEM45_1Q08" localSheetId="10">Tags!$AU$618</definedName>
    <definedName name="ITEM45_1Q08">Tags_ols!$AU$618</definedName>
    <definedName name="ITEM45_1Q09" localSheetId="10">Tags!$AZ$618</definedName>
    <definedName name="ITEM45_1Q09">Tags_ols!$AZ$618</definedName>
    <definedName name="ITEM45_1Q10" localSheetId="10">Tags!$BE$618</definedName>
    <definedName name="ITEM45_1Q10">Tags_ols!$BE$618</definedName>
    <definedName name="ITEM45_1Q11" localSheetId="10">Tags!$BJ$618</definedName>
    <definedName name="ITEM45_1Q11">Tags_ols!$BJ$618</definedName>
    <definedName name="ITEM45_1Q12" localSheetId="10">Tags!$BO$618</definedName>
    <definedName name="ITEM45_1Q12">Tags_ols!$BO$618</definedName>
    <definedName name="ITEM45_1Q13" localSheetId="10">Tags!$BT$618</definedName>
    <definedName name="ITEM45_1Q13">Tags_ols!$BT$618</definedName>
    <definedName name="ITEM45_1Q14" localSheetId="10">Tags!$BY$618</definedName>
    <definedName name="ITEM45_1Q14">Tags_ols!$BY$618</definedName>
    <definedName name="ITEM45_1Q15" localSheetId="10">Tags!$CD$618</definedName>
    <definedName name="ITEM45_1Q15">Tags_ols!$CD$618</definedName>
    <definedName name="ITEM45_1Q16" localSheetId="10">Tags!$CI$618</definedName>
    <definedName name="ITEM45_1Q16">Tags_ols!$CI$618</definedName>
    <definedName name="ITEM45_1Q17" localSheetId="10">Tags!$CN$618</definedName>
    <definedName name="ITEM45_1Q17">Tags_ols!$CN$618</definedName>
    <definedName name="ITEM45_1Q18" localSheetId="10">Tags!$CS$618</definedName>
    <definedName name="ITEM45_1Q18">Tags_ols!$CS$618</definedName>
    <definedName name="ITEM45_1Q19" localSheetId="10">Tags!$CX$618</definedName>
    <definedName name="ITEM45_1Q19">Tags_ols!$CX$618</definedName>
    <definedName name="ITEM45_1Q20" localSheetId="10">Tags!$DC$618</definedName>
    <definedName name="ITEM45_1Q20">Tags_ols!$DC$618</definedName>
    <definedName name="ITEM45_1Q21">Tags!$DH$618</definedName>
    <definedName name="ITEM45_1Q22">Tags!$DM$618</definedName>
    <definedName name="ITEM45_1Q23">Tags!$DR$618</definedName>
    <definedName name="ITEM45_1Q24">Tags!$DW$618</definedName>
    <definedName name="ITEM45_2000" localSheetId="10">Tags!$K$618</definedName>
    <definedName name="ITEM45_2000">Tags_ols!$K$618</definedName>
    <definedName name="ITEM45_2001" localSheetId="10">Tags!$P$618</definedName>
    <definedName name="ITEM45_2001">Tags_ols!$P$618</definedName>
    <definedName name="ITEM45_2002" localSheetId="10">Tags!$U$618</definedName>
    <definedName name="ITEM45_2002">Tags_ols!$U$618</definedName>
    <definedName name="ITEM45_2003" localSheetId="10">Tags!$Z$618</definedName>
    <definedName name="ITEM45_2003">Tags_ols!$Z$618</definedName>
    <definedName name="ITEM45_2004" localSheetId="10">Tags!$AE$618</definedName>
    <definedName name="ITEM45_2004">Tags_ols!$AE$618</definedName>
    <definedName name="ITEM45_2005" localSheetId="10">Tags!$AJ$618</definedName>
    <definedName name="ITEM45_2005">Tags_ols!$AJ$618</definedName>
    <definedName name="ITEM45_2006" localSheetId="10">Tags!$AO$618</definedName>
    <definedName name="ITEM45_2006">Tags_ols!$AO$618</definedName>
    <definedName name="ITEM45_2007" localSheetId="10">Tags!$AT$618</definedName>
    <definedName name="ITEM45_2007">Tags_ols!$AT$618</definedName>
    <definedName name="ITEM45_2008" localSheetId="10">Tags!$AY$618</definedName>
    <definedName name="ITEM45_2008">Tags_ols!$AY$618</definedName>
    <definedName name="ITEM45_2009" localSheetId="10">Tags!$BD$618</definedName>
    <definedName name="ITEM45_2009">Tags_ols!$BD$618</definedName>
    <definedName name="ITEM45_2010" localSheetId="10">Tags!$BI$618</definedName>
    <definedName name="ITEM45_2010">Tags_ols!$BI$618</definedName>
    <definedName name="ITEM45_2011" localSheetId="10">Tags!$BN$618</definedName>
    <definedName name="ITEM45_2011">Tags_ols!$BN$618</definedName>
    <definedName name="ITEM45_2012" localSheetId="10">Tags!$BS$618</definedName>
    <definedName name="ITEM45_2012">Tags_ols!$BS$618</definedName>
    <definedName name="ITEM45_2013" localSheetId="10">Tags!$BX$618</definedName>
    <definedName name="ITEM45_2013">Tags_ols!$BX$618</definedName>
    <definedName name="ITEM45_2014" localSheetId="10">Tags!$CC$618</definedName>
    <definedName name="ITEM45_2014">Tags_ols!$CC$618</definedName>
    <definedName name="ITEM45_2015" localSheetId="10">Tags!#REF!</definedName>
    <definedName name="ITEM45_2015">Tags!$CH$618</definedName>
    <definedName name="ITEM45_2016" localSheetId="10">Tags!$CM$618</definedName>
    <definedName name="ITEM45_2016">Tags_ols!$CM$618</definedName>
    <definedName name="ITEM45_2017" localSheetId="10">Tags!$CR$618</definedName>
    <definedName name="ITEM45_2017">Tags_ols!$CR$618</definedName>
    <definedName name="ITEM45_2018" localSheetId="10">Tags!$CW$618</definedName>
    <definedName name="ITEM45_2018">Tags_ols!$CW$618</definedName>
    <definedName name="ITEM45_2019" localSheetId="10">Tags!$DB$618</definedName>
    <definedName name="ITEM45_2019">Tags_ols!$DB$618</definedName>
    <definedName name="ITEM45_2020" localSheetId="10">Tags!$DG$618</definedName>
    <definedName name="ITEM45_2020">Tags_ols!$DG$618</definedName>
    <definedName name="ITEM45_2021">Tags!$DL$618</definedName>
    <definedName name="ITEM45_2022">Tags!$DQ$618</definedName>
    <definedName name="ITEM45_2023">Tags!$DV$618</definedName>
    <definedName name="ITEM45_2024">Tags!$EA$618</definedName>
    <definedName name="ITEM45_2Q00" localSheetId="10">Tags!$H$618</definedName>
    <definedName name="ITEM45_2Q00">Tags_ols!$H$618</definedName>
    <definedName name="ITEM45_2Q01" localSheetId="10">Tags!$M$618</definedName>
    <definedName name="ITEM45_2Q01">Tags_ols!$M$618</definedName>
    <definedName name="ITEM45_2Q02" localSheetId="10">Tags!$R$618</definedName>
    <definedName name="ITEM45_2Q02">Tags_ols!$R$618</definedName>
    <definedName name="ITEM45_2Q03" localSheetId="10">Tags!$W$618</definedName>
    <definedName name="ITEM45_2Q03">Tags_ols!$W$618</definedName>
    <definedName name="ITEM45_2Q04" localSheetId="10">Tags!$AB$618</definedName>
    <definedName name="ITEM45_2Q04">Tags_ols!$AB$618</definedName>
    <definedName name="ITEM45_2Q05" localSheetId="10">Tags!$AG$618</definedName>
    <definedName name="ITEM45_2Q05">Tags_ols!$AG$618</definedName>
    <definedName name="ITEM45_2Q06" localSheetId="10">Tags!$AL$618</definedName>
    <definedName name="ITEM45_2Q06">Tags_ols!$AL$618</definedName>
    <definedName name="ITEM45_2Q07" localSheetId="10">Tags!$AQ$618</definedName>
    <definedName name="ITEM45_2Q07">Tags_ols!$AQ$618</definedName>
    <definedName name="ITEM45_2Q08" localSheetId="10">Tags!$AV$618</definedName>
    <definedName name="ITEM45_2Q08">Tags_ols!$AV$618</definedName>
    <definedName name="ITEM45_2Q09" localSheetId="10">Tags!$BA$618</definedName>
    <definedName name="ITEM45_2Q09">Tags_ols!$BA$618</definedName>
    <definedName name="ITEM45_2Q10" localSheetId="10">Tags!$BF$618</definedName>
    <definedName name="ITEM45_2Q10">Tags_ols!$BF$618</definedName>
    <definedName name="ITEM45_2Q11" localSheetId="10">Tags!$BK$618</definedName>
    <definedName name="ITEM45_2Q11">Tags_ols!$BK$618</definedName>
    <definedName name="ITEM45_2Q12" localSheetId="10">Tags!$BP$618</definedName>
    <definedName name="ITEM45_2Q12">Tags_ols!$BP$618</definedName>
    <definedName name="ITEM45_2Q13" localSheetId="10">Tags!$BU$618</definedName>
    <definedName name="ITEM45_2Q13">Tags_ols!$BU$618</definedName>
    <definedName name="ITEM45_2Q14" localSheetId="10">Tags!$BZ$618</definedName>
    <definedName name="ITEM45_2Q14">Tags_ols!$BZ$618</definedName>
    <definedName name="ITEM45_2Q15" localSheetId="10">Tags!$CE$618</definedName>
    <definedName name="ITEM45_2Q15">Tags_ols!$CE$618</definedName>
    <definedName name="ITEM45_2Q16" localSheetId="10">Tags!$CJ$618</definedName>
    <definedName name="ITEM45_2Q16">Tags_ols!$CJ$618</definedName>
    <definedName name="ITEM45_2Q17" localSheetId="10">Tags!$CO$618</definedName>
    <definedName name="ITEM45_2Q17">Tags_ols!$CO$618</definedName>
    <definedName name="ITEM45_2Q18" localSheetId="10">Tags!$CT$618</definedName>
    <definedName name="ITEM45_2Q18">Tags_ols!$CT$618</definedName>
    <definedName name="ITEM45_2Q19" localSheetId="10">Tags!$CY$618</definedName>
    <definedName name="ITEM45_2Q19">Tags_ols!$CY$618</definedName>
    <definedName name="ITEM45_2Q20" localSheetId="10">Tags!$DD$618</definedName>
    <definedName name="ITEM45_2Q20">Tags_ols!$DD$618</definedName>
    <definedName name="ITEM45_2Q21">Tags!$DI$618</definedName>
    <definedName name="ITEM45_2Q22">Tags!$DN$618</definedName>
    <definedName name="ITEM45_2Q23">Tags!$DS$618</definedName>
    <definedName name="ITEM45_2Q24">Tags!$DX$618</definedName>
    <definedName name="ITEM45_3Q00" localSheetId="10">Tags!$I$618</definedName>
    <definedName name="ITEM45_3Q00">Tags_ols!$I$618</definedName>
    <definedName name="ITEM45_3Q01" localSheetId="10">Tags!$N$618</definedName>
    <definedName name="ITEM45_3Q01">Tags_ols!$N$618</definedName>
    <definedName name="ITEM45_3Q02" localSheetId="10">Tags!$S$618</definedName>
    <definedName name="ITEM45_3Q02">Tags_ols!$S$618</definedName>
    <definedName name="ITEM45_3Q03" localSheetId="10">Tags!$X$618</definedName>
    <definedName name="ITEM45_3Q03">Tags_ols!$X$618</definedName>
    <definedName name="ITEM45_3Q04" localSheetId="10">Tags!$AC$618</definedName>
    <definedName name="ITEM45_3Q04">Tags_ols!$AC$618</definedName>
    <definedName name="ITEM45_3Q05" localSheetId="10">Tags!$AH$618</definedName>
    <definedName name="ITEM45_3Q05">Tags_ols!$AH$618</definedName>
    <definedName name="ITEM45_3Q06" localSheetId="10">Tags!$AM$618</definedName>
    <definedName name="ITEM45_3Q06">Tags_ols!$AM$618</definedName>
    <definedName name="ITEM45_3Q07" localSheetId="10">Tags!$AR$618</definedName>
    <definedName name="ITEM45_3Q07">Tags_ols!$AR$618</definedName>
    <definedName name="ITEM45_3Q08" localSheetId="10">Tags!$AW$618</definedName>
    <definedName name="ITEM45_3Q08">Tags_ols!$AW$618</definedName>
    <definedName name="ITEM45_3Q09" localSheetId="10">Tags!$BB$618</definedName>
    <definedName name="ITEM45_3Q09">Tags_ols!$BB$618</definedName>
    <definedName name="ITEM45_3Q10" localSheetId="10">Tags!$BG$618</definedName>
    <definedName name="ITEM45_3Q10">Tags_ols!$BG$618</definedName>
    <definedName name="ITEM45_3Q11" localSheetId="10">Tags!$BL$618</definedName>
    <definedName name="ITEM45_3Q11">Tags_ols!$BL$618</definedName>
    <definedName name="ITEM45_3Q12" localSheetId="10">Tags!$BQ$618</definedName>
    <definedName name="ITEM45_3Q12">Tags_ols!$BQ$618</definedName>
    <definedName name="ITEM45_3Q13" localSheetId="10">Tags!$BV$618</definedName>
    <definedName name="ITEM45_3Q13">Tags_ols!$BV$618</definedName>
    <definedName name="ITEM45_3Q14" localSheetId="10">Tags!$CA$618</definedName>
    <definedName name="ITEM45_3Q14">Tags_ols!$CA$618</definedName>
    <definedName name="ITEM45_3Q15" localSheetId="10">Tags!$CF$618</definedName>
    <definedName name="ITEM45_3Q15">Tags_ols!$CF$618</definedName>
    <definedName name="ITEM45_3Q16" localSheetId="10">Tags!$CK$618</definedName>
    <definedName name="ITEM45_3Q16">Tags_ols!$CK$618</definedName>
    <definedName name="ITEM45_3Q17" localSheetId="10">Tags!$CP$618</definedName>
    <definedName name="ITEM45_3Q17">Tags_ols!$CP$618</definedName>
    <definedName name="ITEM45_3Q18" localSheetId="10">Tags!$CU$618</definedName>
    <definedName name="ITEM45_3Q18">Tags_ols!$CU$618</definedName>
    <definedName name="ITEM45_3Q19" localSheetId="10">Tags!$CZ$618</definedName>
    <definedName name="ITEM45_3Q19">Tags_ols!$CZ$618</definedName>
    <definedName name="ITEM45_3Q20" localSheetId="10">Tags!$DE$618</definedName>
    <definedName name="ITEM45_3Q20">Tags_ols!$DE$618</definedName>
    <definedName name="ITEM45_3Q21">Tags!$DJ$618</definedName>
    <definedName name="ITEM45_3Q22">Tags!$DO$618</definedName>
    <definedName name="ITEM45_3Q23">Tags!$DT$618</definedName>
    <definedName name="ITEM45_3Q24">Tags!$DY$618</definedName>
    <definedName name="ITEM45_4Q00" localSheetId="10">Tags!$J$618</definedName>
    <definedName name="ITEM45_4Q00">Tags_ols!$J$618</definedName>
    <definedName name="ITEM45_4Q01" localSheetId="10">Tags!$O$618</definedName>
    <definedName name="ITEM45_4Q01">Tags_ols!$O$618</definedName>
    <definedName name="ITEM45_4Q02" localSheetId="10">Tags!$T$618</definedName>
    <definedName name="ITEM45_4Q02">Tags_ols!$T$618</definedName>
    <definedName name="ITEM45_4Q03" localSheetId="10">Tags!$Y$618</definedName>
    <definedName name="ITEM45_4Q03">Tags_ols!$Y$618</definedName>
    <definedName name="ITEM45_4Q04" localSheetId="10">Tags!$AD$618</definedName>
    <definedName name="ITEM45_4Q04">Tags_ols!$AD$618</definedName>
    <definedName name="ITEM45_4Q05" localSheetId="10">Tags!$AI$618</definedName>
    <definedName name="ITEM45_4Q05">Tags_ols!$AI$618</definedName>
    <definedName name="ITEM45_4Q06" localSheetId="10">Tags!$AN$618</definedName>
    <definedName name="ITEM45_4Q06">Tags_ols!$AN$618</definedName>
    <definedName name="ITEM45_4Q07" localSheetId="10">Tags!$AS$618</definedName>
    <definedName name="ITEM45_4Q07">Tags_ols!$AS$618</definedName>
    <definedName name="ITEM45_4Q08" localSheetId="10">Tags!$AX$618</definedName>
    <definedName name="ITEM45_4Q08">Tags_ols!$AX$618</definedName>
    <definedName name="ITEM45_4Q09" localSheetId="10">Tags!$BC$618</definedName>
    <definedName name="ITEM45_4Q09">Tags_ols!$BC$618</definedName>
    <definedName name="ITEM45_4Q10" localSheetId="10">Tags!$BH$618</definedName>
    <definedName name="ITEM45_4Q10">Tags_ols!$BH$618</definedName>
    <definedName name="ITEM45_4Q11" localSheetId="10">Tags!$BM$618</definedName>
    <definedName name="ITEM45_4Q11">Tags_ols!$BM$618</definedName>
    <definedName name="ITEM45_4Q12" localSheetId="10">Tags!$BR$618</definedName>
    <definedName name="ITEM45_4Q12">Tags_ols!$BR$618</definedName>
    <definedName name="ITEM45_4Q13" localSheetId="10">Tags!$BW$618</definedName>
    <definedName name="ITEM45_4Q13">Tags_ols!$BW$618</definedName>
    <definedName name="ITEM45_4Q14" localSheetId="10">Tags!$CB$618</definedName>
    <definedName name="ITEM45_4Q14">Tags_ols!$CB$618</definedName>
    <definedName name="ITEM45_4Q15" localSheetId="10">Tags!$CG$618</definedName>
    <definedName name="ITEM45_4Q15">Tags_ols!$CG$618</definedName>
    <definedName name="ITEM45_4Q16" localSheetId="10">Tags!$CL$618</definedName>
    <definedName name="ITEM45_4Q16">Tags_ols!$CL$618</definedName>
    <definedName name="ITEM45_4Q17" localSheetId="10">Tags!$CQ$618</definedName>
    <definedName name="ITEM45_4Q17">Tags_ols!$CQ$618</definedName>
    <definedName name="ITEM45_4Q18" localSheetId="10">Tags!$CV$618</definedName>
    <definedName name="ITEM45_4Q18">Tags_ols!$CV$618</definedName>
    <definedName name="ITEM45_4Q19" localSheetId="10">Tags!$DA$618</definedName>
    <definedName name="ITEM45_4Q19">Tags_ols!$DA$618</definedName>
    <definedName name="ITEM45_4Q20" localSheetId="10">Tags!$DF$618</definedName>
    <definedName name="ITEM45_4Q20">Tags_ols!$DF$618</definedName>
    <definedName name="ITEM45_4Q21">Tags!$DK$618</definedName>
    <definedName name="ITEM45_4Q22">Tags!$DP$618</definedName>
    <definedName name="ITEM45_4Q23">Tags!$DU$618</definedName>
    <definedName name="ITEM45_4Q24">Tags!$DZ$618</definedName>
    <definedName name="ITEM46_1995">Tags_ols!$B$619</definedName>
    <definedName name="ITEM46_1996">Tags_ols!$C$619</definedName>
    <definedName name="ITEM46_1997">Tags_ols!$D$619</definedName>
    <definedName name="ITEM46_1998">Tags_ols!$E$619</definedName>
    <definedName name="ITEM46_1999">Tags_ols!$F$619</definedName>
    <definedName name="ITEM46_1Q00" localSheetId="10">Tags!$G$619</definedName>
    <definedName name="ITEM46_1Q00">Tags_ols!$G$619</definedName>
    <definedName name="ITEM46_1Q01" localSheetId="10">Tags!$L$619</definedName>
    <definedName name="ITEM46_1Q01">Tags_ols!$L$619</definedName>
    <definedName name="ITEM46_1Q02" localSheetId="10">Tags!$Q$619</definedName>
    <definedName name="ITEM46_1Q02">Tags_ols!$Q$619</definedName>
    <definedName name="ITEM46_1Q03" localSheetId="10">Tags!$V$619</definedName>
    <definedName name="ITEM46_1Q03">Tags_ols!$V$619</definedName>
    <definedName name="ITEM46_1Q04" localSheetId="10">Tags!$AA$619</definedName>
    <definedName name="ITEM46_1Q04">Tags_ols!$AA$619</definedName>
    <definedName name="ITEM46_1Q05" localSheetId="10">Tags!$AF$619</definedName>
    <definedName name="ITEM46_1Q05">Tags_ols!$AF$619</definedName>
    <definedName name="ITEM46_1Q06" localSheetId="10">Tags!$AK$619</definedName>
    <definedName name="ITEM46_1Q06">Tags_ols!$AK$619</definedName>
    <definedName name="ITEM46_1Q07" localSheetId="10">Tags!$AP$619</definedName>
    <definedName name="ITEM46_1Q07">Tags_ols!$AP$619</definedName>
    <definedName name="ITEM46_1Q08" localSheetId="10">Tags!$AU$619</definedName>
    <definedName name="ITEM46_1Q08">Tags_ols!$AU$619</definedName>
    <definedName name="ITEM46_1Q09" localSheetId="10">Tags!$AZ$619</definedName>
    <definedName name="ITEM46_1Q09">Tags_ols!$AZ$619</definedName>
    <definedName name="ITEM46_1Q10" localSheetId="10">Tags!$BE$619</definedName>
    <definedName name="ITEM46_1Q10">Tags_ols!$BE$619</definedName>
    <definedName name="ITEM46_1Q11" localSheetId="10">Tags!$BJ$619</definedName>
    <definedName name="ITEM46_1Q11">Tags_ols!$BJ$619</definedName>
    <definedName name="ITEM46_1Q12" localSheetId="10">Tags!$BO$619</definedName>
    <definedName name="ITEM46_1Q12">Tags_ols!$BO$619</definedName>
    <definedName name="ITEM46_1Q13" localSheetId="10">Tags!$BT$619</definedName>
    <definedName name="ITEM46_1Q13">Tags_ols!$BT$619</definedName>
    <definedName name="ITEM46_1Q14" localSheetId="10">Tags!$BY$619</definedName>
    <definedName name="ITEM46_1Q14">Tags_ols!$BY$619</definedName>
    <definedName name="ITEM46_1Q15" localSheetId="10">Tags!$CD$619</definedName>
    <definedName name="ITEM46_1Q15">Tags_ols!$CD$619</definedName>
    <definedName name="ITEM46_1Q16" localSheetId="10">Tags!$CI$619</definedName>
    <definedName name="ITEM46_1Q16">Tags_ols!$CI$619</definedName>
    <definedName name="ITEM46_1Q17" localSheetId="10">Tags!$CN$619</definedName>
    <definedName name="ITEM46_1Q17">Tags_ols!$CN$619</definedName>
    <definedName name="ITEM46_1Q18" localSheetId="10">Tags!$CS$619</definedName>
    <definedName name="ITEM46_1Q18">Tags_ols!$CS$619</definedName>
    <definedName name="ITEM46_1Q19" localSheetId="10">Tags!$CX$619</definedName>
    <definedName name="ITEM46_1Q19">Tags_ols!$CX$619</definedName>
    <definedName name="ITEM46_1Q20" localSheetId="10">Tags!$DC$619</definedName>
    <definedName name="ITEM46_1Q20">Tags_ols!$DC$619</definedName>
    <definedName name="ITEM46_1Q21">Tags!$DH$619</definedName>
    <definedName name="ITEM46_1Q22">Tags!$DM$619</definedName>
    <definedName name="ITEM46_1Q23">Tags!$DR$619</definedName>
    <definedName name="ITEM46_1Q24">Tags!$DW$619</definedName>
    <definedName name="ITEM46_2000" localSheetId="10">Tags!$K$619</definedName>
    <definedName name="ITEM46_2000">Tags_ols!$K$619</definedName>
    <definedName name="ITEM46_2001" localSheetId="10">Tags!$P$619</definedName>
    <definedName name="ITEM46_2001">Tags_ols!$P$619</definedName>
    <definedName name="ITEM46_2002" localSheetId="10">Tags!$U$619</definedName>
    <definedName name="ITEM46_2002">Tags_ols!$U$619</definedName>
    <definedName name="ITEM46_2003" localSheetId="10">Tags!$Z$619</definedName>
    <definedName name="ITEM46_2003">Tags_ols!$Z$619</definedName>
    <definedName name="ITEM46_2004" localSheetId="10">Tags!$AE$619</definedName>
    <definedName name="ITEM46_2004">Tags_ols!$AE$619</definedName>
    <definedName name="ITEM46_2005" localSheetId="10">Tags!$AJ$619</definedName>
    <definedName name="ITEM46_2005">Tags_ols!$AJ$619</definedName>
    <definedName name="ITEM46_2006" localSheetId="10">Tags!$AO$619</definedName>
    <definedName name="ITEM46_2006">Tags_ols!$AO$619</definedName>
    <definedName name="ITEM46_2007" localSheetId="10">Tags!$AT$619</definedName>
    <definedName name="ITEM46_2007">Tags_ols!$AT$619</definedName>
    <definedName name="ITEM46_2008" localSheetId="10">Tags!$AY$619</definedName>
    <definedName name="ITEM46_2008">Tags_ols!$AY$619</definedName>
    <definedName name="ITEM46_2009" localSheetId="10">Tags!$BD$619</definedName>
    <definedName name="ITEM46_2009">Tags_ols!$BD$619</definedName>
    <definedName name="ITEM46_2010" localSheetId="10">Tags!$BI$619</definedName>
    <definedName name="ITEM46_2010">Tags_ols!$BI$619</definedName>
    <definedName name="ITEM46_2011" localSheetId="10">Tags!$BN$619</definedName>
    <definedName name="ITEM46_2011">Tags_ols!$BN$619</definedName>
    <definedName name="ITEM46_2012" localSheetId="10">Tags!$BS$619</definedName>
    <definedName name="ITEM46_2012">Tags_ols!$BS$619</definedName>
    <definedName name="ITEM46_2013" localSheetId="10">Tags!$BX$619</definedName>
    <definedName name="ITEM46_2013">Tags_ols!$BX$619</definedName>
    <definedName name="ITEM46_2014" localSheetId="10">Tags!$CC$619</definedName>
    <definedName name="ITEM46_2014">Tags_ols!$CC$619</definedName>
    <definedName name="ITEM46_2015" localSheetId="10">Tags!#REF!</definedName>
    <definedName name="ITEM46_2015">Tags!$CH$619</definedName>
    <definedName name="ITEM46_2016" localSheetId="10">Tags!$CM$619</definedName>
    <definedName name="ITEM46_2016">Tags_ols!$CM$619</definedName>
    <definedName name="ITEM46_2017" localSheetId="10">Tags!$CR$619</definedName>
    <definedName name="ITEM46_2017">Tags_ols!$CR$619</definedName>
    <definedName name="ITEM46_2018" localSheetId="10">Tags!$CW$619</definedName>
    <definedName name="ITEM46_2018">Tags_ols!$CW$619</definedName>
    <definedName name="ITEM46_2019" localSheetId="10">Tags!$DB$619</definedName>
    <definedName name="ITEM46_2019">Tags_ols!$DB$619</definedName>
    <definedName name="ITEM46_2020" localSheetId="10">Tags!$DG$619</definedName>
    <definedName name="ITEM46_2020">Tags_ols!$DG$619</definedName>
    <definedName name="ITEM46_2021">Tags!$DL$619</definedName>
    <definedName name="ITEM46_2022">Tags!$DQ$619</definedName>
    <definedName name="ITEM46_2023">Tags!$DV$619</definedName>
    <definedName name="ITEM46_2024">Tags!$EA$619</definedName>
    <definedName name="ITEM46_2Q00" localSheetId="10">Tags!$H$619</definedName>
    <definedName name="ITEM46_2Q00">Tags_ols!$H$619</definedName>
    <definedName name="ITEM46_2Q01" localSheetId="10">Tags!$M$619</definedName>
    <definedName name="ITEM46_2Q01">Tags_ols!$M$619</definedName>
    <definedName name="ITEM46_2Q02" localSheetId="10">Tags!$R$619</definedName>
    <definedName name="ITEM46_2Q02">Tags_ols!$R$619</definedName>
    <definedName name="ITEM46_2Q03" localSheetId="10">Tags!$W$619</definedName>
    <definedName name="ITEM46_2Q03">Tags_ols!$W$619</definedName>
    <definedName name="ITEM46_2Q04" localSheetId="10">Tags!$AB$619</definedName>
    <definedName name="ITEM46_2Q04">Tags_ols!$AB$619</definedName>
    <definedName name="ITEM46_2Q05" localSheetId="10">Tags!$AG$619</definedName>
    <definedName name="ITEM46_2Q05">Tags_ols!$AG$619</definedName>
    <definedName name="ITEM46_2Q06" localSheetId="10">Tags!$AL$619</definedName>
    <definedName name="ITEM46_2Q06">Tags_ols!$AL$619</definedName>
    <definedName name="ITEM46_2Q07" localSheetId="10">Tags!$AQ$619</definedName>
    <definedName name="ITEM46_2Q07">Tags_ols!$AQ$619</definedName>
    <definedName name="ITEM46_2Q08" localSheetId="10">Tags!$AV$619</definedName>
    <definedName name="ITEM46_2Q08">Tags_ols!$AV$619</definedName>
    <definedName name="ITEM46_2Q09" localSheetId="10">Tags!$BA$619</definedName>
    <definedName name="ITEM46_2Q09">Tags_ols!$BA$619</definedName>
    <definedName name="ITEM46_2Q10" localSheetId="10">Tags!$BF$619</definedName>
    <definedName name="ITEM46_2Q10">Tags_ols!$BF$619</definedName>
    <definedName name="ITEM46_2Q11" localSheetId="10">Tags!$BK$619</definedName>
    <definedName name="ITEM46_2Q11">Tags_ols!$BK$619</definedName>
    <definedName name="ITEM46_2Q12" localSheetId="10">Tags!$BP$619</definedName>
    <definedName name="ITEM46_2Q12">Tags_ols!$BP$619</definedName>
    <definedName name="ITEM46_2Q13" localSheetId="10">Tags!$BU$619</definedName>
    <definedName name="ITEM46_2Q13">Tags_ols!$BU$619</definedName>
    <definedName name="ITEM46_2Q14" localSheetId="10">Tags!$BZ$619</definedName>
    <definedName name="ITEM46_2Q14">Tags_ols!$BZ$619</definedName>
    <definedName name="ITEM46_2Q15" localSheetId="10">Tags!$CE$619</definedName>
    <definedName name="ITEM46_2Q15">Tags_ols!$CE$619</definedName>
    <definedName name="ITEM46_2Q16" localSheetId="10">Tags!$CJ$619</definedName>
    <definedName name="ITEM46_2Q16">Tags_ols!$CJ$619</definedName>
    <definedName name="ITEM46_2Q17" localSheetId="10">Tags!$CO$619</definedName>
    <definedName name="ITEM46_2Q17">Tags_ols!$CO$619</definedName>
    <definedName name="ITEM46_2Q18" localSheetId="10">Tags!$CT$619</definedName>
    <definedName name="ITEM46_2Q18">Tags_ols!$CT$619</definedName>
    <definedName name="ITEM46_2Q19" localSheetId="10">Tags!$CY$619</definedName>
    <definedName name="ITEM46_2Q19">Tags_ols!$CY$619</definedName>
    <definedName name="ITEM46_2Q20" localSheetId="10">Tags!$DD$619</definedName>
    <definedName name="ITEM46_2Q20">Tags_ols!$DD$619</definedName>
    <definedName name="ITEM46_2Q21">Tags!$DI$619</definedName>
    <definedName name="ITEM46_2Q22">Tags!$DN$619</definedName>
    <definedName name="ITEM46_2Q23">Tags!$DS$619</definedName>
    <definedName name="ITEM46_2Q24">Tags!$DX$619</definedName>
    <definedName name="ITEM46_3Q00" localSheetId="10">Tags!$I$619</definedName>
    <definedName name="ITEM46_3Q00">Tags_ols!$I$619</definedName>
    <definedName name="ITEM46_3Q01" localSheetId="10">Tags!$N$619</definedName>
    <definedName name="ITEM46_3Q01">Tags_ols!$N$619</definedName>
    <definedName name="ITEM46_3Q02" localSheetId="10">Tags!$S$619</definedName>
    <definedName name="ITEM46_3Q02">Tags_ols!$S$619</definedName>
    <definedName name="ITEM46_3Q03" localSheetId="10">Tags!$X$619</definedName>
    <definedName name="ITEM46_3Q03">Tags_ols!$X$619</definedName>
    <definedName name="ITEM46_3Q04" localSheetId="10">Tags!$AC$619</definedName>
    <definedName name="ITEM46_3Q04">Tags_ols!$AC$619</definedName>
    <definedName name="ITEM46_3Q05" localSheetId="10">Tags!$AH$619</definedName>
    <definedName name="ITEM46_3Q05">Tags_ols!$AH$619</definedName>
    <definedName name="ITEM46_3Q06" localSheetId="10">Tags!$AM$619</definedName>
    <definedName name="ITEM46_3Q06">Tags_ols!$AM$619</definedName>
    <definedName name="ITEM46_3Q07" localSheetId="10">Tags!$AR$619</definedName>
    <definedName name="ITEM46_3Q07">Tags_ols!$AR$619</definedName>
    <definedName name="ITEM46_3Q08" localSheetId="10">Tags!$AW$619</definedName>
    <definedName name="ITEM46_3Q08">Tags_ols!$AW$619</definedName>
    <definedName name="ITEM46_3Q09" localSheetId="10">Tags!$BB$619</definedName>
    <definedName name="ITEM46_3Q09">Tags_ols!$BB$619</definedName>
    <definedName name="ITEM46_3Q10" localSheetId="10">Tags!$BG$619</definedName>
    <definedName name="ITEM46_3Q10">Tags_ols!$BG$619</definedName>
    <definedName name="ITEM46_3Q11" localSheetId="10">Tags!$BL$619</definedName>
    <definedName name="ITEM46_3Q11">Tags_ols!$BL$619</definedName>
    <definedName name="ITEM46_3Q12" localSheetId="10">Tags!$BQ$619</definedName>
    <definedName name="ITEM46_3Q12">Tags_ols!$BQ$619</definedName>
    <definedName name="ITEM46_3Q13" localSheetId="10">Tags!$BV$619</definedName>
    <definedName name="ITEM46_3Q13">Tags_ols!$BV$619</definedName>
    <definedName name="ITEM46_3Q14" localSheetId="10">Tags!$CA$619</definedName>
    <definedName name="ITEM46_3Q14">Tags_ols!$CA$619</definedName>
    <definedName name="ITEM46_3Q15" localSheetId="10">Tags!$CF$619</definedName>
    <definedName name="ITEM46_3Q15">Tags_ols!$CF$619</definedName>
    <definedName name="ITEM46_3Q16" localSheetId="10">Tags!$CK$619</definedName>
    <definedName name="ITEM46_3Q16">Tags_ols!$CK$619</definedName>
    <definedName name="ITEM46_3Q17" localSheetId="10">Tags!$CP$619</definedName>
    <definedName name="ITEM46_3Q17">Tags_ols!$CP$619</definedName>
    <definedName name="ITEM46_3Q18" localSheetId="10">Tags!$CU$619</definedName>
    <definedName name="ITEM46_3Q18">Tags_ols!$CU$619</definedName>
    <definedName name="ITEM46_3Q19" localSheetId="10">Tags!$CZ$619</definedName>
    <definedName name="ITEM46_3Q19">Tags_ols!$CZ$619</definedName>
    <definedName name="ITEM46_3Q20" localSheetId="10">Tags!$DE$619</definedName>
    <definedName name="ITEM46_3Q20">Tags_ols!$DE$619</definedName>
    <definedName name="ITEM46_3Q21">Tags!$DJ$619</definedName>
    <definedName name="ITEM46_3Q22">Tags!$DO$619</definedName>
    <definedName name="ITEM46_3Q23">Tags!$DT$619</definedName>
    <definedName name="ITEM46_3Q24">Tags!$DY$619</definedName>
    <definedName name="ITEM46_4Q00" localSheetId="10">Tags!$J$619</definedName>
    <definedName name="ITEM46_4Q00">Tags_ols!$J$619</definedName>
    <definedName name="ITEM46_4Q01" localSheetId="10">Tags!$O$619</definedName>
    <definedName name="ITEM46_4Q01">Tags_ols!$O$619</definedName>
    <definedName name="ITEM46_4Q02" localSheetId="10">Tags!$T$619</definedName>
    <definedName name="ITEM46_4Q02">Tags_ols!$T$619</definedName>
    <definedName name="ITEM46_4Q03" localSheetId="10">Tags!$Y$619</definedName>
    <definedName name="ITEM46_4Q03">Tags_ols!$Y$619</definedName>
    <definedName name="ITEM46_4Q04" localSheetId="10">Tags!$AD$619</definedName>
    <definedName name="ITEM46_4Q04">Tags_ols!$AD$619</definedName>
    <definedName name="ITEM46_4Q05" localSheetId="10">Tags!$AI$619</definedName>
    <definedName name="ITEM46_4Q05">Tags_ols!$AI$619</definedName>
    <definedName name="ITEM46_4Q06" localSheetId="10">Tags!$AN$619</definedName>
    <definedName name="ITEM46_4Q06">Tags_ols!$AN$619</definedName>
    <definedName name="ITEM46_4Q07" localSheetId="10">Tags!$AS$619</definedName>
    <definedName name="ITEM46_4Q07">Tags_ols!$AS$619</definedName>
    <definedName name="ITEM46_4Q08" localSheetId="10">Tags!$AX$619</definedName>
    <definedName name="ITEM46_4Q08">Tags_ols!$AX$619</definedName>
    <definedName name="ITEM46_4Q09" localSheetId="10">Tags!$BC$619</definedName>
    <definedName name="ITEM46_4Q09">Tags_ols!$BC$619</definedName>
    <definedName name="ITEM46_4Q10" localSheetId="10">Tags!$BH$619</definedName>
    <definedName name="ITEM46_4Q10">Tags_ols!$BH$619</definedName>
    <definedName name="ITEM46_4Q11" localSheetId="10">Tags!$BM$619</definedName>
    <definedName name="ITEM46_4Q11">Tags_ols!$BM$619</definedName>
    <definedName name="ITEM46_4Q12" localSheetId="10">Tags!$BR$619</definedName>
    <definedName name="ITEM46_4Q12">Tags_ols!$BR$619</definedName>
    <definedName name="ITEM46_4Q13" localSheetId="10">Tags!$BW$619</definedName>
    <definedName name="ITEM46_4Q13">Tags_ols!$BW$619</definedName>
    <definedName name="ITEM46_4Q14" localSheetId="10">Tags!$CB$619</definedName>
    <definedName name="ITEM46_4Q14">Tags_ols!$CB$619</definedName>
    <definedName name="ITEM46_4Q15" localSheetId="10">Tags!$CG$619</definedName>
    <definedName name="ITEM46_4Q15">Tags_ols!$CG$619</definedName>
    <definedName name="ITEM46_4Q16" localSheetId="10">Tags!$CL$619</definedName>
    <definedName name="ITEM46_4Q16">Tags_ols!$CL$619</definedName>
    <definedName name="ITEM46_4Q17" localSheetId="10">Tags!$CQ$619</definedName>
    <definedName name="ITEM46_4Q17">Tags_ols!$CQ$619</definedName>
    <definedName name="ITEM46_4Q18" localSheetId="10">Tags!$CV$619</definedName>
    <definedName name="ITEM46_4Q18">Tags_ols!$CV$619</definedName>
    <definedName name="ITEM46_4Q19" localSheetId="10">Tags!$DA$619</definedName>
    <definedName name="ITEM46_4Q19">Tags_ols!$DA$619</definedName>
    <definedName name="ITEM46_4Q20" localSheetId="10">Tags!$DF$619</definedName>
    <definedName name="ITEM46_4Q20">Tags_ols!$DF$619</definedName>
    <definedName name="ITEM46_4Q21">Tags!$DK$619</definedName>
    <definedName name="ITEM46_4Q22">Tags!$DP$619</definedName>
    <definedName name="ITEM46_4Q23">Tags!$DU$619</definedName>
    <definedName name="ITEM46_4Q24">Tags!$DZ$619</definedName>
    <definedName name="ITEM47_1995">Tags_ols!$B$620</definedName>
    <definedName name="ITEM47_1996">Tags_ols!$C$620</definedName>
    <definedName name="ITEM47_1997">Tags_ols!$D$620</definedName>
    <definedName name="ITEM47_1998">Tags_ols!$E$620</definedName>
    <definedName name="ITEM47_1999">Tags_ols!$F$620</definedName>
    <definedName name="ITEM47_1Q00" localSheetId="10">Tags!$G$620</definedName>
    <definedName name="ITEM47_1Q00">Tags_ols!$G$620</definedName>
    <definedName name="ITEM47_1Q01" localSheetId="10">Tags!$L$620</definedName>
    <definedName name="ITEM47_1Q01">Tags_ols!$L$620</definedName>
    <definedName name="ITEM47_1Q02" localSheetId="10">Tags!$Q$620</definedName>
    <definedName name="ITEM47_1Q02">Tags_ols!$Q$620</definedName>
    <definedName name="ITEM47_1Q03" localSheetId="10">Tags!$V$620</definedName>
    <definedName name="ITEM47_1Q03">Tags_ols!$V$620</definedName>
    <definedName name="ITEM47_1Q04" localSheetId="10">Tags!$AA$620</definedName>
    <definedName name="ITEM47_1Q04">Tags_ols!$AA$620</definedName>
    <definedName name="ITEM47_1Q05" localSheetId="10">Tags!$AF$620</definedName>
    <definedName name="ITEM47_1Q05">Tags_ols!$AF$620</definedName>
    <definedName name="ITEM47_1Q06" localSheetId="10">Tags!$AK$620</definedName>
    <definedName name="ITEM47_1Q06">Tags_ols!$AK$620</definedName>
    <definedName name="ITEM47_1Q07" localSheetId="10">Tags!$AP$620</definedName>
    <definedName name="ITEM47_1Q07">Tags_ols!$AP$620</definedName>
    <definedName name="ITEM47_1Q08" localSheetId="10">Tags!$AU$620</definedName>
    <definedName name="ITEM47_1Q08">Tags_ols!$AU$620</definedName>
    <definedName name="ITEM47_1Q09" localSheetId="10">Tags!$AZ$620</definedName>
    <definedName name="ITEM47_1Q09">Tags_ols!$AZ$620</definedName>
    <definedName name="ITEM47_1Q10" localSheetId="10">Tags!$BE$620</definedName>
    <definedName name="ITEM47_1Q10">Tags_ols!$BE$620</definedName>
    <definedName name="ITEM47_1Q11" localSheetId="10">Tags!$BJ$620</definedName>
    <definedName name="ITEM47_1Q11">Tags_ols!$BJ$620</definedName>
    <definedName name="ITEM47_1Q12" localSheetId="10">Tags!$BO$620</definedName>
    <definedName name="ITEM47_1Q12">Tags_ols!$BO$620</definedName>
    <definedName name="ITEM47_1Q13" localSheetId="10">Tags!$BT$620</definedName>
    <definedName name="ITEM47_1Q13">Tags_ols!$BT$620</definedName>
    <definedName name="ITEM47_1Q14" localSheetId="10">Tags!$BY$620</definedName>
    <definedName name="ITEM47_1Q14">Tags_ols!$BY$620</definedName>
    <definedName name="ITEM47_1Q15" localSheetId="10">Tags!$CD$620</definedName>
    <definedName name="ITEM47_1Q15">Tags_ols!$CD$620</definedName>
    <definedName name="ITEM47_1Q16" localSheetId="10">Tags!$CI$620</definedName>
    <definedName name="ITEM47_1Q16">Tags_ols!$CI$620</definedName>
    <definedName name="ITEM47_1Q17" localSheetId="10">Tags!$CN$620</definedName>
    <definedName name="ITEM47_1Q17">Tags_ols!$CN$620</definedName>
    <definedName name="ITEM47_1Q18" localSheetId="10">Tags!$CS$620</definedName>
    <definedName name="ITEM47_1Q18">Tags_ols!$CS$620</definedName>
    <definedName name="ITEM47_1Q19" localSheetId="10">Tags!$CX$620</definedName>
    <definedName name="ITEM47_1Q19">Tags_ols!$CX$620</definedName>
    <definedName name="ITEM47_1Q20" localSheetId="10">Tags!$DC$620</definedName>
    <definedName name="ITEM47_1Q20">Tags_ols!$DC$620</definedName>
    <definedName name="ITEM47_1Q21">Tags!$DH$620</definedName>
    <definedName name="ITEM47_1Q22">Tags!$DM$620</definedName>
    <definedName name="ITEM47_1Q23">Tags!$DR$620</definedName>
    <definedName name="ITEM47_1Q24">Tags!$DW$620</definedName>
    <definedName name="ITEM47_2000" localSheetId="10">Tags!$K$620</definedName>
    <definedName name="ITEM47_2000">Tags_ols!$K$620</definedName>
    <definedName name="ITEM47_2001" localSheetId="10">Tags!$P$620</definedName>
    <definedName name="ITEM47_2001">Tags_ols!$P$620</definedName>
    <definedName name="ITEM47_2002" localSheetId="10">Tags!$U$620</definedName>
    <definedName name="ITEM47_2002">Tags_ols!$U$620</definedName>
    <definedName name="ITEM47_2003" localSheetId="10">Tags!$Z$620</definedName>
    <definedName name="ITEM47_2003">Tags_ols!$Z$620</definedName>
    <definedName name="ITEM47_2004" localSheetId="10">Tags!$AE$620</definedName>
    <definedName name="ITEM47_2004">Tags_ols!$AE$620</definedName>
    <definedName name="ITEM47_2005" localSheetId="10">Tags!$AJ$620</definedName>
    <definedName name="ITEM47_2005">Tags_ols!$AJ$620</definedName>
    <definedName name="ITEM47_2006" localSheetId="10">Tags!$AO$620</definedName>
    <definedName name="ITEM47_2006">Tags_ols!$AO$620</definedName>
    <definedName name="ITEM47_2007" localSheetId="10">Tags!$AT$620</definedName>
    <definedName name="ITEM47_2007">Tags_ols!$AT$620</definedName>
    <definedName name="ITEM47_2008" localSheetId="10">Tags!$AY$620</definedName>
    <definedName name="ITEM47_2008">Tags_ols!$AY$620</definedName>
    <definedName name="ITEM47_2009" localSheetId="10">Tags!$BD$620</definedName>
    <definedName name="ITEM47_2009">Tags_ols!$BD$620</definedName>
    <definedName name="ITEM47_2010" localSheetId="10">Tags!$BI$620</definedName>
    <definedName name="ITEM47_2010">Tags_ols!$BI$620</definedName>
    <definedName name="ITEM47_2011" localSheetId="10">Tags!$BN$620</definedName>
    <definedName name="ITEM47_2011">Tags_ols!$BN$620</definedName>
    <definedName name="ITEM47_2012" localSheetId="10">Tags!$BS$620</definedName>
    <definedName name="ITEM47_2012">Tags_ols!$BS$620</definedName>
    <definedName name="ITEM47_2013" localSheetId="10">Tags!$BX$620</definedName>
    <definedName name="ITEM47_2013">Tags_ols!$BX$620</definedName>
    <definedName name="ITEM47_2014" localSheetId="10">Tags!$CC$620</definedName>
    <definedName name="ITEM47_2014">Tags_ols!$CC$620</definedName>
    <definedName name="ITEM47_2015" localSheetId="10">Tags!#REF!</definedName>
    <definedName name="ITEM47_2015">Tags!$CH$620</definedName>
    <definedName name="ITEM47_2016" localSheetId="10">Tags!$CM$620</definedName>
    <definedName name="ITEM47_2016">Tags_ols!$CM$620</definedName>
    <definedName name="ITEM47_2017" localSheetId="10">Tags!$CR$620</definedName>
    <definedName name="ITEM47_2017">Tags_ols!$CR$620</definedName>
    <definedName name="ITEM47_2018" localSheetId="10">Tags!$CW$620</definedName>
    <definedName name="ITEM47_2018">Tags_ols!$CW$620</definedName>
    <definedName name="ITEM47_2019" localSheetId="10">Tags!$DB$620</definedName>
    <definedName name="ITEM47_2019">Tags_ols!$DB$620</definedName>
    <definedName name="ITEM47_2020" localSheetId="10">Tags!$DG$620</definedName>
    <definedName name="ITEM47_2020">Tags_ols!$DG$620</definedName>
    <definedName name="ITEM47_2021">Tags!$DL$620</definedName>
    <definedName name="ITEM47_2022">Tags!$DQ$620</definedName>
    <definedName name="ITEM47_2023">Tags!$DV$620</definedName>
    <definedName name="ITEM47_2024">Tags!$EA$620</definedName>
    <definedName name="ITEM47_2Q00" localSheetId="10">Tags!$H$620</definedName>
    <definedName name="ITEM47_2Q00">Tags_ols!$H$620</definedName>
    <definedName name="ITEM47_2Q01" localSheetId="10">Tags!$M$620</definedName>
    <definedName name="ITEM47_2Q01">Tags_ols!$M$620</definedName>
    <definedName name="ITEM47_2Q02" localSheetId="10">Tags!$R$620</definedName>
    <definedName name="ITEM47_2Q02">Tags_ols!$R$620</definedName>
    <definedName name="ITEM47_2Q03" localSheetId="10">Tags!$W$620</definedName>
    <definedName name="ITEM47_2Q03">Tags_ols!$W$620</definedName>
    <definedName name="ITEM47_2Q04" localSheetId="10">Tags!$AB$620</definedName>
    <definedName name="ITEM47_2Q04">Tags_ols!$AB$620</definedName>
    <definedName name="ITEM47_2Q05" localSheetId="10">Tags!$AG$620</definedName>
    <definedName name="ITEM47_2Q05">Tags_ols!$AG$620</definedName>
    <definedName name="ITEM47_2Q06" localSheetId="10">Tags!$AL$620</definedName>
    <definedName name="ITEM47_2Q06">Tags_ols!$AL$620</definedName>
    <definedName name="ITEM47_2Q07" localSheetId="10">Tags!$AQ$620</definedName>
    <definedName name="ITEM47_2Q07">Tags_ols!$AQ$620</definedName>
    <definedName name="ITEM47_2Q08" localSheetId="10">Tags!$AV$620</definedName>
    <definedName name="ITEM47_2Q08">Tags_ols!$AV$620</definedName>
    <definedName name="ITEM47_2Q09" localSheetId="10">Tags!$BA$620</definedName>
    <definedName name="ITEM47_2Q09">Tags_ols!$BA$620</definedName>
    <definedName name="ITEM47_2Q10" localSheetId="10">Tags!$BF$620</definedName>
    <definedName name="ITEM47_2Q10">Tags_ols!$BF$620</definedName>
    <definedName name="ITEM47_2Q11" localSheetId="10">Tags!$BK$620</definedName>
    <definedName name="ITEM47_2Q11">Tags_ols!$BK$620</definedName>
    <definedName name="ITEM47_2Q12" localSheetId="10">Tags!$BP$620</definedName>
    <definedName name="ITEM47_2Q12">Tags_ols!$BP$620</definedName>
    <definedName name="ITEM47_2Q13" localSheetId="10">Tags!$BU$620</definedName>
    <definedName name="ITEM47_2Q13">Tags_ols!$BU$620</definedName>
    <definedName name="ITEM47_2Q14" localSheetId="10">Tags!$BZ$620</definedName>
    <definedName name="ITEM47_2Q14">Tags_ols!$BZ$620</definedName>
    <definedName name="ITEM47_2Q15" localSheetId="10">Tags!$CE$620</definedName>
    <definedName name="ITEM47_2Q15">Tags_ols!$CE$620</definedName>
    <definedName name="ITEM47_2Q16" localSheetId="10">Tags!$CJ$620</definedName>
    <definedName name="ITEM47_2Q16">Tags_ols!$CJ$620</definedName>
    <definedName name="ITEM47_2Q17" localSheetId="10">Tags!$CO$620</definedName>
    <definedName name="ITEM47_2Q17">Tags_ols!$CO$620</definedName>
    <definedName name="ITEM47_2Q18" localSheetId="10">Tags!$CT$620</definedName>
    <definedName name="ITEM47_2Q18">Tags_ols!$CT$620</definedName>
    <definedName name="ITEM47_2Q19" localSheetId="10">Tags!$CY$620</definedName>
    <definedName name="ITEM47_2Q19">Tags_ols!$CY$620</definedName>
    <definedName name="ITEM47_2Q20" localSheetId="10">Tags!$DD$620</definedName>
    <definedName name="ITEM47_2Q20">Tags_ols!$DD$620</definedName>
    <definedName name="ITEM47_2Q21">Tags!$DI$620</definedName>
    <definedName name="ITEM47_2Q22">Tags!$DN$620</definedName>
    <definedName name="ITEM47_2Q23">Tags!$DS$620</definedName>
    <definedName name="ITEM47_2Q24">Tags!$DX$620</definedName>
    <definedName name="ITEM47_3Q00" localSheetId="10">Tags!$I$620</definedName>
    <definedName name="ITEM47_3Q00">Tags_ols!$I$620</definedName>
    <definedName name="ITEM47_3Q01" localSheetId="10">Tags!$N$620</definedName>
    <definedName name="ITEM47_3Q01">Tags_ols!$N$620</definedName>
    <definedName name="ITEM47_3Q02" localSheetId="10">Tags!$S$620</definedName>
    <definedName name="ITEM47_3Q02">Tags_ols!$S$620</definedName>
    <definedName name="ITEM47_3Q03" localSheetId="10">Tags!$X$620</definedName>
    <definedName name="ITEM47_3Q03">Tags_ols!$X$620</definedName>
    <definedName name="ITEM47_3Q04" localSheetId="10">Tags!$AC$620</definedName>
    <definedName name="ITEM47_3Q04">Tags_ols!$AC$620</definedName>
    <definedName name="ITEM47_3Q05" localSheetId="10">Tags!$AH$620</definedName>
    <definedName name="ITEM47_3Q05">Tags_ols!$AH$620</definedName>
    <definedName name="ITEM47_3Q06" localSheetId="10">Tags!$AM$620</definedName>
    <definedName name="ITEM47_3Q06">Tags_ols!$AM$620</definedName>
    <definedName name="ITEM47_3Q07" localSheetId="10">Tags!$AR$620</definedName>
    <definedName name="ITEM47_3Q07">Tags_ols!$AR$620</definedName>
    <definedName name="ITEM47_3Q08" localSheetId="10">Tags!$AW$620</definedName>
    <definedName name="ITEM47_3Q08">Tags_ols!$AW$620</definedName>
    <definedName name="ITEM47_3Q09" localSheetId="10">Tags!$BB$620</definedName>
    <definedName name="ITEM47_3Q09">Tags_ols!$BB$620</definedName>
    <definedName name="ITEM47_3Q10" localSheetId="10">Tags!$BG$620</definedName>
    <definedName name="ITEM47_3Q10">Tags_ols!$BG$620</definedName>
    <definedName name="ITEM47_3Q11" localSheetId="10">Tags!$BL$620</definedName>
    <definedName name="ITEM47_3Q11">Tags_ols!$BL$620</definedName>
    <definedName name="ITEM47_3Q12" localSheetId="10">Tags!$BQ$620</definedName>
    <definedName name="ITEM47_3Q12">Tags_ols!$BQ$620</definedName>
    <definedName name="ITEM47_3Q13" localSheetId="10">Tags!$BV$620</definedName>
    <definedName name="ITEM47_3Q13">Tags_ols!$BV$620</definedName>
    <definedName name="ITEM47_3Q14" localSheetId="10">Tags!$CA$620</definedName>
    <definedName name="ITEM47_3Q14">Tags_ols!$CA$620</definedName>
    <definedName name="ITEM47_3Q15" localSheetId="10">Tags!$CF$620</definedName>
    <definedName name="ITEM47_3Q15">Tags_ols!$CF$620</definedName>
    <definedName name="ITEM47_3Q16" localSheetId="10">Tags!$CK$620</definedName>
    <definedName name="ITEM47_3Q16">Tags_ols!$CK$620</definedName>
    <definedName name="ITEM47_3Q17" localSheetId="10">Tags!$CP$620</definedName>
    <definedName name="ITEM47_3Q17">Tags_ols!$CP$620</definedName>
    <definedName name="ITEM47_3Q18" localSheetId="10">Tags!$CU$620</definedName>
    <definedName name="ITEM47_3Q18">Tags_ols!$CU$620</definedName>
    <definedName name="ITEM47_3Q19" localSheetId="10">Tags!$CZ$620</definedName>
    <definedName name="ITEM47_3Q19">Tags_ols!$CZ$620</definedName>
    <definedName name="ITEM47_3Q20" localSheetId="10">Tags!$DE$620</definedName>
    <definedName name="ITEM47_3Q20">Tags_ols!$DE$620</definedName>
    <definedName name="ITEM47_3Q21">Tags!$DJ$620</definedName>
    <definedName name="ITEM47_3Q22">Tags!$DO$620</definedName>
    <definedName name="ITEM47_3Q23">Tags!$DT$620</definedName>
    <definedName name="ITEM47_3Q24">Tags!$DY$620</definedName>
    <definedName name="ITEM47_4Q00" localSheetId="10">Tags!$J$620</definedName>
    <definedName name="ITEM47_4Q00">Tags_ols!$J$620</definedName>
    <definedName name="ITEM47_4Q01" localSheetId="10">Tags!$O$620</definedName>
    <definedName name="ITEM47_4Q01">Tags_ols!$O$620</definedName>
    <definedName name="ITEM47_4Q02" localSheetId="10">Tags!$T$620</definedName>
    <definedName name="ITEM47_4Q02">Tags_ols!$T$620</definedName>
    <definedName name="ITEM47_4Q03" localSheetId="10">Tags!$Y$620</definedName>
    <definedName name="ITEM47_4Q03">Tags_ols!$Y$620</definedName>
    <definedName name="ITEM47_4Q04" localSheetId="10">Tags!$AD$620</definedName>
    <definedName name="ITEM47_4Q04">Tags_ols!$AD$620</definedName>
    <definedName name="ITEM47_4Q05" localSheetId="10">Tags!$AI$620</definedName>
    <definedName name="ITEM47_4Q05">Tags_ols!$AI$620</definedName>
    <definedName name="ITEM47_4Q06" localSheetId="10">Tags!$AN$620</definedName>
    <definedName name="ITEM47_4Q06">Tags_ols!$AN$620</definedName>
    <definedName name="ITEM47_4Q07" localSheetId="10">Tags!$AS$620</definedName>
    <definedName name="ITEM47_4Q07">Tags_ols!$AS$620</definedName>
    <definedName name="ITEM47_4Q08" localSheetId="10">Tags!$AX$620</definedName>
    <definedName name="ITEM47_4Q08">Tags_ols!$AX$620</definedName>
    <definedName name="ITEM47_4Q09" localSheetId="10">Tags!$BC$620</definedName>
    <definedName name="ITEM47_4Q09">Tags_ols!$BC$620</definedName>
    <definedName name="ITEM47_4Q10" localSheetId="10">Tags!$BH$620</definedName>
    <definedName name="ITEM47_4Q10">Tags_ols!$BH$620</definedName>
    <definedName name="ITEM47_4Q11" localSheetId="10">Tags!$BM$620</definedName>
    <definedName name="ITEM47_4Q11">Tags_ols!$BM$620</definedName>
    <definedName name="ITEM47_4Q12" localSheetId="10">Tags!$BR$620</definedName>
    <definedName name="ITEM47_4Q12">Tags_ols!$BR$620</definedName>
    <definedName name="ITEM47_4Q13" localSheetId="10">Tags!$BW$620</definedName>
    <definedName name="ITEM47_4Q13">Tags_ols!$BW$620</definedName>
    <definedName name="ITEM47_4Q14" localSheetId="10">Tags!$CB$620</definedName>
    <definedName name="ITEM47_4Q14">Tags_ols!$CB$620</definedName>
    <definedName name="ITEM47_4Q15" localSheetId="10">Tags!$CG$620</definedName>
    <definedName name="ITEM47_4Q15">Tags_ols!$CG$620</definedName>
    <definedName name="ITEM47_4Q16" localSheetId="10">Tags!$CL$620</definedName>
    <definedName name="ITEM47_4Q16">Tags_ols!$CL$620</definedName>
    <definedName name="ITEM47_4Q17" localSheetId="10">Tags!$CQ$620</definedName>
    <definedName name="ITEM47_4Q17">Tags_ols!$CQ$620</definedName>
    <definedName name="ITEM47_4Q18" localSheetId="10">Tags!$CV$620</definedName>
    <definedName name="ITEM47_4Q18">Tags_ols!$CV$620</definedName>
    <definedName name="ITEM47_4Q19" localSheetId="10">Tags!$DA$620</definedName>
    <definedName name="ITEM47_4Q19">Tags_ols!$DA$620</definedName>
    <definedName name="ITEM47_4Q20" localSheetId="10">Tags!$DF$620</definedName>
    <definedName name="ITEM47_4Q20">Tags_ols!$DF$620</definedName>
    <definedName name="ITEM47_4Q21">Tags!$DK$620</definedName>
    <definedName name="ITEM47_4Q22">Tags!$DP$620</definedName>
    <definedName name="ITEM47_4Q23">Tags!$DU$620</definedName>
    <definedName name="ITEM47_4Q24">Tags!$DZ$620</definedName>
    <definedName name="ITEM48_1995">Tags_ols!$B$621</definedName>
    <definedName name="ITEM48_1996">Tags_ols!$C$621</definedName>
    <definedName name="ITEM48_1997">Tags_ols!$D$621</definedName>
    <definedName name="ITEM48_1998">Tags_ols!$E$621</definedName>
    <definedName name="ITEM48_1999">Tags_ols!$F$621</definedName>
    <definedName name="ITEM48_1Q00" localSheetId="10">Tags!$G$621</definedName>
    <definedName name="ITEM48_1Q00">Tags_ols!$G$621</definedName>
    <definedName name="ITEM48_1Q01" localSheetId="10">Tags!$L$621</definedName>
    <definedName name="ITEM48_1Q01">Tags_ols!$L$621</definedName>
    <definedName name="ITEM48_1Q02" localSheetId="10">Tags!$Q$621</definedName>
    <definedName name="ITEM48_1Q02">Tags_ols!$Q$621</definedName>
    <definedName name="ITEM48_1Q03" localSheetId="10">Tags!$V$621</definedName>
    <definedName name="ITEM48_1Q03">Tags_ols!$V$621</definedName>
    <definedName name="ITEM48_1Q04" localSheetId="10">Tags!$AA$621</definedName>
    <definedName name="ITEM48_1Q04">Tags_ols!$AA$621</definedName>
    <definedName name="ITEM48_1Q05" localSheetId="10">Tags!$AF$621</definedName>
    <definedName name="ITEM48_1Q05">Tags_ols!$AF$621</definedName>
    <definedName name="ITEM48_1Q06" localSheetId="10">Tags!$AK$621</definedName>
    <definedName name="ITEM48_1Q06">Tags_ols!$AK$621</definedName>
    <definedName name="ITEM48_1Q07" localSheetId="10">Tags!$AP$621</definedName>
    <definedName name="ITEM48_1Q07">Tags_ols!$AP$621</definedName>
    <definedName name="ITEM48_1Q08" localSheetId="10">Tags!$AU$621</definedName>
    <definedName name="ITEM48_1Q08">Tags_ols!$AU$621</definedName>
    <definedName name="ITEM48_1Q09" localSheetId="10">Tags!$AZ$621</definedName>
    <definedName name="ITEM48_1Q09">Tags_ols!$AZ$621</definedName>
    <definedName name="ITEM48_1Q10" localSheetId="10">Tags!$BE$621</definedName>
    <definedName name="ITEM48_1Q10">Tags_ols!$BE$621</definedName>
    <definedName name="ITEM48_1Q11" localSheetId="10">Tags!$BJ$621</definedName>
    <definedName name="ITEM48_1Q11">Tags_ols!$BJ$621</definedName>
    <definedName name="ITEM48_1Q12" localSheetId="10">Tags!$BO$621</definedName>
    <definedName name="ITEM48_1Q12">Tags_ols!$BO$621</definedName>
    <definedName name="ITEM48_1Q13" localSheetId="10">Tags!$BT$621</definedName>
    <definedName name="ITEM48_1Q13">Tags_ols!$BT$621</definedName>
    <definedName name="ITEM48_1Q14" localSheetId="10">Tags!$BY$621</definedName>
    <definedName name="ITEM48_1Q14">Tags_ols!$BY$621</definedName>
    <definedName name="ITEM48_1Q15" localSheetId="10">Tags!$CD$621</definedName>
    <definedName name="ITEM48_1Q15">Tags_ols!$CD$621</definedName>
    <definedName name="ITEM48_1Q16" localSheetId="10">Tags!$CI$621</definedName>
    <definedName name="ITEM48_1Q16">Tags_ols!$CI$621</definedName>
    <definedName name="ITEM48_1Q17" localSheetId="10">Tags!$CN$621</definedName>
    <definedName name="ITEM48_1Q17">Tags_ols!$CN$621</definedName>
    <definedName name="ITEM48_1Q18" localSheetId="10">Tags!$CS$621</definedName>
    <definedName name="ITEM48_1Q18">Tags_ols!$CS$621</definedName>
    <definedName name="ITEM48_1Q19" localSheetId="10">Tags!$CX$621</definedName>
    <definedName name="ITEM48_1Q19">Tags_ols!$CX$621</definedName>
    <definedName name="ITEM48_1Q20" localSheetId="10">Tags!$DC$621</definedName>
    <definedName name="ITEM48_1Q20">Tags_ols!$DC$621</definedName>
    <definedName name="ITEM48_1Q21">Tags!$DH$621</definedName>
    <definedName name="ITEM48_1Q22">Tags!$DM$621</definedName>
    <definedName name="ITEM48_1Q23">Tags!$DR$621</definedName>
    <definedName name="ITEM48_1Q24">Tags!$DW$621</definedName>
    <definedName name="ITEM48_2000" localSheetId="10">Tags!$K$621</definedName>
    <definedName name="ITEM48_2000">Tags_ols!$K$621</definedName>
    <definedName name="ITEM48_2001" localSheetId="10">Tags!$P$621</definedName>
    <definedName name="ITEM48_2001">Tags_ols!$P$621</definedName>
    <definedName name="ITEM48_2002" localSheetId="10">Tags!$U$621</definedName>
    <definedName name="ITEM48_2002">Tags_ols!$U$621</definedName>
    <definedName name="ITEM48_2003" localSheetId="10">Tags!$Z$621</definedName>
    <definedName name="ITEM48_2003">Tags_ols!$Z$621</definedName>
    <definedName name="ITEM48_2004" localSheetId="10">Tags!$AE$621</definedName>
    <definedName name="ITEM48_2004">Tags_ols!$AE$621</definedName>
    <definedName name="ITEM48_2005" localSheetId="10">Tags!$AJ$621</definedName>
    <definedName name="ITEM48_2005">Tags_ols!$AJ$621</definedName>
    <definedName name="ITEM48_2006" localSheetId="10">Tags!$AO$621</definedName>
    <definedName name="ITEM48_2006">Tags_ols!$AO$621</definedName>
    <definedName name="ITEM48_2007" localSheetId="10">Tags!$AT$621</definedName>
    <definedName name="ITEM48_2007">Tags_ols!$AT$621</definedName>
    <definedName name="ITEM48_2008" localSheetId="10">Tags!$AY$621</definedName>
    <definedName name="ITEM48_2008">Tags_ols!$AY$621</definedName>
    <definedName name="ITEM48_2009" localSheetId="10">Tags!$BD$621</definedName>
    <definedName name="ITEM48_2009">Tags_ols!$BD$621</definedName>
    <definedName name="ITEM48_2010" localSheetId="10">Tags!$BI$621</definedName>
    <definedName name="ITEM48_2010">Tags_ols!$BI$621</definedName>
    <definedName name="ITEM48_2011" localSheetId="10">Tags!$BN$621</definedName>
    <definedName name="ITEM48_2011">Tags_ols!$BN$621</definedName>
    <definedName name="ITEM48_2012" localSheetId="10">Tags!$BS$621</definedName>
    <definedName name="ITEM48_2012">Tags_ols!$BS$621</definedName>
    <definedName name="ITEM48_2013" localSheetId="10">Tags!$BX$621</definedName>
    <definedName name="ITEM48_2013">Tags_ols!$BX$621</definedName>
    <definedName name="ITEM48_2014" localSheetId="10">Tags!$CC$621</definedName>
    <definedName name="ITEM48_2014">Tags_ols!$CC$621</definedName>
    <definedName name="ITEM48_2015" localSheetId="10">Tags!#REF!</definedName>
    <definedName name="ITEM48_2015">Tags!$CH$621</definedName>
    <definedName name="ITEM48_2016" localSheetId="10">Tags!$CM$621</definedName>
    <definedName name="ITEM48_2016">Tags_ols!$CM$621</definedName>
    <definedName name="ITEM48_2017" localSheetId="10">Tags!$CR$621</definedName>
    <definedName name="ITEM48_2017">Tags_ols!$CR$621</definedName>
    <definedName name="ITEM48_2018" localSheetId="10">Tags!$CW$621</definedName>
    <definedName name="ITEM48_2018">Tags_ols!$CW$621</definedName>
    <definedName name="ITEM48_2019" localSheetId="10">Tags!$DB$621</definedName>
    <definedName name="ITEM48_2019">Tags_ols!$DB$621</definedName>
    <definedName name="ITEM48_2020" localSheetId="10">Tags!$DG$621</definedName>
    <definedName name="ITEM48_2020">Tags_ols!$DG$621</definedName>
    <definedName name="ITEM48_2021">Tags!$DL$621</definedName>
    <definedName name="ITEM48_2022">Tags!$DQ$621</definedName>
    <definedName name="ITEM48_2023">Tags!$DV$621</definedName>
    <definedName name="ITEM48_2024">Tags!$EA$621</definedName>
    <definedName name="ITEM48_2Q00" localSheetId="10">Tags!$H$621</definedName>
    <definedName name="ITEM48_2Q00">Tags_ols!$H$621</definedName>
    <definedName name="ITEM48_2Q01" localSheetId="10">Tags!$M$621</definedName>
    <definedName name="ITEM48_2Q01">Tags_ols!$M$621</definedName>
    <definedName name="ITEM48_2Q02" localSheetId="10">Tags!$R$621</definedName>
    <definedName name="ITEM48_2Q02">Tags_ols!$R$621</definedName>
    <definedName name="ITEM48_2Q03" localSheetId="10">Tags!$W$621</definedName>
    <definedName name="ITEM48_2Q03">Tags_ols!$W$621</definedName>
    <definedName name="ITEM48_2Q04" localSheetId="10">Tags!$AB$621</definedName>
    <definedName name="ITEM48_2Q04">Tags_ols!$AB$621</definedName>
    <definedName name="ITEM48_2Q05" localSheetId="10">Tags!$AG$621</definedName>
    <definedName name="ITEM48_2Q05">Tags_ols!$AG$621</definedName>
    <definedName name="ITEM48_2Q06" localSheetId="10">Tags!$AL$621</definedName>
    <definedName name="ITEM48_2Q06">Tags_ols!$AL$621</definedName>
    <definedName name="ITEM48_2Q07" localSheetId="10">Tags!$AQ$621</definedName>
    <definedName name="ITEM48_2Q07">Tags_ols!$AQ$621</definedName>
    <definedName name="ITEM48_2Q08" localSheetId="10">Tags!$AV$621</definedName>
    <definedName name="ITEM48_2Q08">Tags_ols!$AV$621</definedName>
    <definedName name="ITEM48_2Q09" localSheetId="10">Tags!$BA$621</definedName>
    <definedName name="ITEM48_2Q09">Tags_ols!$BA$621</definedName>
    <definedName name="ITEM48_2Q10" localSheetId="10">Tags!$BF$621</definedName>
    <definedName name="ITEM48_2Q10">Tags_ols!$BF$621</definedName>
    <definedName name="ITEM48_2Q11" localSheetId="10">Tags!$BK$621</definedName>
    <definedName name="ITEM48_2Q11">Tags_ols!$BK$621</definedName>
    <definedName name="ITEM48_2Q12" localSheetId="10">Tags!$BP$621</definedName>
    <definedName name="ITEM48_2Q12">Tags_ols!$BP$621</definedName>
    <definedName name="ITEM48_2Q13" localSheetId="10">Tags!$BU$621</definedName>
    <definedName name="ITEM48_2Q13">Tags_ols!$BU$621</definedName>
    <definedName name="ITEM48_2Q14" localSheetId="10">Tags!$BZ$621</definedName>
    <definedName name="ITEM48_2Q14">Tags_ols!$BZ$621</definedName>
    <definedName name="ITEM48_2Q15" localSheetId="10">Tags!$CE$621</definedName>
    <definedName name="ITEM48_2Q15">Tags_ols!$CE$621</definedName>
    <definedName name="ITEM48_2Q16" localSheetId="10">Tags!$CJ$621</definedName>
    <definedName name="ITEM48_2Q16">Tags_ols!$CJ$621</definedName>
    <definedName name="ITEM48_2Q17" localSheetId="10">Tags!$CO$621</definedName>
    <definedName name="ITEM48_2Q17">Tags_ols!$CO$621</definedName>
    <definedName name="ITEM48_2Q18" localSheetId="10">Tags!$CT$621</definedName>
    <definedName name="ITEM48_2Q18">Tags_ols!$CT$621</definedName>
    <definedName name="ITEM48_2Q19" localSheetId="10">Tags!$CY$621</definedName>
    <definedName name="ITEM48_2Q19">Tags_ols!$CY$621</definedName>
    <definedName name="ITEM48_2Q20" localSheetId="10">Tags!$DD$621</definedName>
    <definedName name="ITEM48_2Q20">Tags_ols!$DD$621</definedName>
    <definedName name="ITEM48_2Q21">Tags!$DI$621</definedName>
    <definedName name="ITEM48_2Q22">Tags!$DN$621</definedName>
    <definedName name="ITEM48_2Q23">Tags!$DS$621</definedName>
    <definedName name="ITEM48_2Q24">Tags!$DX$621</definedName>
    <definedName name="ITEM48_3Q00" localSheetId="10">Tags!$I$621</definedName>
    <definedName name="ITEM48_3Q00">Tags_ols!$I$621</definedName>
    <definedName name="ITEM48_3Q01" localSheetId="10">Tags!$N$621</definedName>
    <definedName name="ITEM48_3Q01">Tags_ols!$N$621</definedName>
    <definedName name="ITEM48_3Q02" localSheetId="10">Tags!$S$621</definedName>
    <definedName name="ITEM48_3Q02">Tags_ols!$S$621</definedName>
    <definedName name="ITEM48_3Q03" localSheetId="10">Tags!$X$621</definedName>
    <definedName name="ITEM48_3Q03">Tags_ols!$X$621</definedName>
    <definedName name="ITEM48_3Q04" localSheetId="10">Tags!$AC$621</definedName>
    <definedName name="ITEM48_3Q04">Tags_ols!$AC$621</definedName>
    <definedName name="ITEM48_3Q05" localSheetId="10">Tags!$AH$621</definedName>
    <definedName name="ITEM48_3Q05">Tags_ols!$AH$621</definedName>
    <definedName name="ITEM48_3Q06" localSheetId="10">Tags!$AM$621</definedName>
    <definedName name="ITEM48_3Q06">Tags_ols!$AM$621</definedName>
    <definedName name="ITEM48_3Q07" localSheetId="10">Tags!$AR$621</definedName>
    <definedName name="ITEM48_3Q07">Tags_ols!$AR$621</definedName>
    <definedName name="ITEM48_3Q08" localSheetId="10">Tags!$AW$621</definedName>
    <definedName name="ITEM48_3Q08">Tags_ols!$AW$621</definedName>
    <definedName name="ITEM48_3Q09" localSheetId="10">Tags!$BB$621</definedName>
    <definedName name="ITEM48_3Q09">Tags_ols!$BB$621</definedName>
    <definedName name="ITEM48_3Q10" localSheetId="10">Tags!$BG$621</definedName>
    <definedName name="ITEM48_3Q10">Tags_ols!$BG$621</definedName>
    <definedName name="ITEM48_3Q11" localSheetId="10">Tags!$BL$621</definedName>
    <definedName name="ITEM48_3Q11">Tags_ols!$BL$621</definedName>
    <definedName name="ITEM48_3Q12" localSheetId="10">Tags!$BQ$621</definedName>
    <definedName name="ITEM48_3Q12">Tags_ols!$BQ$621</definedName>
    <definedName name="ITEM48_3Q13" localSheetId="10">Tags!$BV$621</definedName>
    <definedName name="ITEM48_3Q13">Tags_ols!$BV$621</definedName>
    <definedName name="ITEM48_3Q14" localSheetId="10">Tags!$CA$621</definedName>
    <definedName name="ITEM48_3Q14">Tags_ols!$CA$621</definedName>
    <definedName name="ITEM48_3Q15" localSheetId="10">Tags!$CF$621</definedName>
    <definedName name="ITEM48_3Q15">Tags_ols!$CF$621</definedName>
    <definedName name="ITEM48_3Q16" localSheetId="10">Tags!$CK$621</definedName>
    <definedName name="ITEM48_3Q16">Tags_ols!$CK$621</definedName>
    <definedName name="ITEM48_3Q17" localSheetId="10">Tags!$CP$621</definedName>
    <definedName name="ITEM48_3Q17">Tags_ols!$CP$621</definedName>
    <definedName name="ITEM48_3Q18" localSheetId="10">Tags!$CU$621</definedName>
    <definedName name="ITEM48_3Q18">Tags_ols!$CU$621</definedName>
    <definedName name="ITEM48_3Q19" localSheetId="10">Tags!$CZ$621</definedName>
    <definedName name="ITEM48_3Q19">Tags_ols!$CZ$621</definedName>
    <definedName name="ITEM48_3Q20" localSheetId="10">Tags!$DE$621</definedName>
    <definedName name="ITEM48_3Q20">Tags_ols!$DE$621</definedName>
    <definedName name="ITEM48_3Q21">Tags!$DJ$621</definedName>
    <definedName name="ITEM48_3Q22">Tags!$DO$621</definedName>
    <definedName name="ITEM48_3Q23">Tags!$DT$621</definedName>
    <definedName name="ITEM48_3Q24">Tags!$DY$621</definedName>
    <definedName name="ITEM48_4Q00" localSheetId="10">Tags!$J$621</definedName>
    <definedName name="ITEM48_4Q00">Tags_ols!$J$621</definedName>
    <definedName name="ITEM48_4Q01" localSheetId="10">Tags!$O$621</definedName>
    <definedName name="ITEM48_4Q01">Tags_ols!$O$621</definedName>
    <definedName name="ITEM48_4Q02" localSheetId="10">Tags!$T$621</definedName>
    <definedName name="ITEM48_4Q02">Tags_ols!$T$621</definedName>
    <definedName name="ITEM48_4Q03" localSheetId="10">Tags!$Y$621</definedName>
    <definedName name="ITEM48_4Q03">Tags_ols!$Y$621</definedName>
    <definedName name="ITEM48_4Q04" localSheetId="10">Tags!$AD$621</definedName>
    <definedName name="ITEM48_4Q04">Tags_ols!$AD$621</definedName>
    <definedName name="ITEM48_4Q05" localSheetId="10">Tags!$AI$621</definedName>
    <definedName name="ITEM48_4Q05">Tags_ols!$AI$621</definedName>
    <definedName name="ITEM48_4Q06" localSheetId="10">Tags!$AN$621</definedName>
    <definedName name="ITEM48_4Q06">Tags_ols!$AN$621</definedName>
    <definedName name="ITEM48_4Q07" localSheetId="10">Tags!$AS$621</definedName>
    <definedName name="ITEM48_4Q07">Tags_ols!$AS$621</definedName>
    <definedName name="ITEM48_4Q08" localSheetId="10">Tags!$AX$621</definedName>
    <definedName name="ITEM48_4Q08">Tags_ols!$AX$621</definedName>
    <definedName name="ITEM48_4Q09" localSheetId="10">Tags!$BC$621</definedName>
    <definedName name="ITEM48_4Q09">Tags_ols!$BC$621</definedName>
    <definedName name="ITEM48_4Q10" localSheetId="10">Tags!$BH$621</definedName>
    <definedName name="ITEM48_4Q10">Tags_ols!$BH$621</definedName>
    <definedName name="ITEM48_4Q11" localSheetId="10">Tags!$BM$621</definedName>
    <definedName name="ITEM48_4Q11">Tags_ols!$BM$621</definedName>
    <definedName name="ITEM48_4Q12" localSheetId="10">Tags!$BR$621</definedName>
    <definedName name="ITEM48_4Q12">Tags_ols!$BR$621</definedName>
    <definedName name="ITEM48_4Q13" localSheetId="10">Tags!$BW$621</definedName>
    <definedName name="ITEM48_4Q13">Tags_ols!$BW$621</definedName>
    <definedName name="ITEM48_4Q14" localSheetId="10">Tags!$CB$621</definedName>
    <definedName name="ITEM48_4Q14">Tags_ols!$CB$621</definedName>
    <definedName name="ITEM48_4Q15" localSheetId="10">Tags!$CG$621</definedName>
    <definedName name="ITEM48_4Q15">Tags_ols!$CG$621</definedName>
    <definedName name="ITEM48_4Q16" localSheetId="10">Tags!$CL$621</definedName>
    <definedName name="ITEM48_4Q16">Tags_ols!$CL$621</definedName>
    <definedName name="ITEM48_4Q17" localSheetId="10">Tags!$CQ$621</definedName>
    <definedName name="ITEM48_4Q17">Tags_ols!$CQ$621</definedName>
    <definedName name="ITEM48_4Q18" localSheetId="10">Tags!$CV$621</definedName>
    <definedName name="ITEM48_4Q18">Tags_ols!$CV$621</definedName>
    <definedName name="ITEM48_4Q19" localSheetId="10">Tags!$DA$621</definedName>
    <definedName name="ITEM48_4Q19">Tags_ols!$DA$621</definedName>
    <definedName name="ITEM48_4Q20" localSheetId="10">Tags!$DF$621</definedName>
    <definedName name="ITEM48_4Q20">Tags_ols!$DF$621</definedName>
    <definedName name="ITEM48_4Q21">Tags!$DK$621</definedName>
    <definedName name="ITEM48_4Q22">Tags!$DP$621</definedName>
    <definedName name="ITEM48_4Q23">Tags!$DU$621</definedName>
    <definedName name="ITEM48_4Q24">Tags!$DZ$621</definedName>
    <definedName name="ITEM49_1995">Tags_ols!$B$622</definedName>
    <definedName name="ITEM49_1996">Tags_ols!$C$622</definedName>
    <definedName name="ITEM49_1997">Tags_ols!$D$622</definedName>
    <definedName name="ITEM49_1998">Tags_ols!$E$622</definedName>
    <definedName name="ITEM49_1999">Tags_ols!$F$622</definedName>
    <definedName name="ITEM49_1Q00" localSheetId="10">Tags!$G$622</definedName>
    <definedName name="ITEM49_1Q00">Tags_ols!$G$622</definedName>
    <definedName name="ITEM49_1Q01" localSheetId="10">Tags!$L$622</definedName>
    <definedName name="ITEM49_1Q01">Tags_ols!$L$622</definedName>
    <definedName name="ITEM49_1Q02" localSheetId="10">Tags!$Q$622</definedName>
    <definedName name="ITEM49_1Q02">Tags_ols!$Q$622</definedName>
    <definedName name="ITEM49_1Q03" localSheetId="10">Tags!$V$622</definedName>
    <definedName name="ITEM49_1Q03">Tags_ols!$V$622</definedName>
    <definedName name="ITEM49_1Q04" localSheetId="10">Tags!$AA$622</definedName>
    <definedName name="ITEM49_1Q04">Tags_ols!$AA$622</definedName>
    <definedName name="ITEM49_1Q05" localSheetId="10">Tags!$AF$622</definedName>
    <definedName name="ITEM49_1Q05">Tags_ols!$AF$622</definedName>
    <definedName name="ITEM49_1Q06" localSheetId="10">Tags!$AK$622</definedName>
    <definedName name="ITEM49_1Q06">Tags_ols!$AK$622</definedName>
    <definedName name="ITEM49_1Q07" localSheetId="10">Tags!$AP$622</definedName>
    <definedName name="ITEM49_1Q07">Tags_ols!$AP$622</definedName>
    <definedName name="ITEM49_1Q08" localSheetId="10">Tags!$AU$622</definedName>
    <definedName name="ITEM49_1Q08">Tags_ols!$AU$622</definedName>
    <definedName name="ITEM49_1Q09" localSheetId="10">Tags!$AZ$622</definedName>
    <definedName name="ITEM49_1Q09">Tags_ols!$AZ$622</definedName>
    <definedName name="ITEM49_1Q10" localSheetId="10">Tags!$BE$622</definedName>
    <definedName name="ITEM49_1Q10">Tags_ols!$BE$622</definedName>
    <definedName name="ITEM49_1Q11" localSheetId="10">Tags!$BJ$622</definedName>
    <definedName name="ITEM49_1Q11">Tags_ols!$BJ$622</definedName>
    <definedName name="ITEM49_1Q12" localSheetId="10">Tags!$BO$622</definedName>
    <definedName name="ITEM49_1Q12">Tags_ols!$BO$622</definedName>
    <definedName name="ITEM49_1Q13" localSheetId="10">Tags!$BT$622</definedName>
    <definedName name="ITEM49_1Q13">Tags_ols!$BT$622</definedName>
    <definedName name="ITEM49_1Q14" localSheetId="10">Tags!$BY$622</definedName>
    <definedName name="ITEM49_1Q14">Tags_ols!$BY$622</definedName>
    <definedName name="ITEM49_1Q15" localSheetId="10">Tags!$CD$622</definedName>
    <definedName name="ITEM49_1Q15">Tags_ols!$CD$622</definedName>
    <definedName name="ITEM49_1Q16" localSheetId="10">Tags!$CI$622</definedName>
    <definedName name="ITEM49_1Q16">Tags_ols!$CI$622</definedName>
    <definedName name="ITEM49_1Q17" localSheetId="10">Tags!$CN$622</definedName>
    <definedName name="ITEM49_1Q17">Tags_ols!$CN$622</definedName>
    <definedName name="ITEM49_1Q18" localSheetId="10">Tags!$CS$622</definedName>
    <definedName name="ITEM49_1Q18">Tags_ols!$CS$622</definedName>
    <definedName name="ITEM49_1Q19" localSheetId="10">Tags!$CX$622</definedName>
    <definedName name="ITEM49_1Q19">Tags_ols!$CX$622</definedName>
    <definedName name="ITEM49_1Q20" localSheetId="10">Tags!$DC$622</definedName>
    <definedName name="ITEM49_1Q20">Tags_ols!$DC$622</definedName>
    <definedName name="ITEM49_1Q21">Tags!$DH$622</definedName>
    <definedName name="ITEM49_1Q22">Tags!$DM$622</definedName>
    <definedName name="ITEM49_1Q23">Tags!$DR$622</definedName>
    <definedName name="ITEM49_1Q24">Tags!$DW$622</definedName>
    <definedName name="ITEM49_2000" localSheetId="10">Tags!$K$622</definedName>
    <definedName name="ITEM49_2000">Tags_ols!$K$622</definedName>
    <definedName name="ITEM49_2001" localSheetId="10">Tags!$P$622</definedName>
    <definedName name="ITEM49_2001">Tags_ols!$P$622</definedName>
    <definedName name="ITEM49_2002" localSheetId="10">Tags!$U$622</definedName>
    <definedName name="ITEM49_2002">Tags_ols!$U$622</definedName>
    <definedName name="ITEM49_2003" localSheetId="10">Tags!$Z$622</definedName>
    <definedName name="ITEM49_2003">Tags_ols!$Z$622</definedName>
    <definedName name="ITEM49_2004" localSheetId="10">Tags!$AE$622</definedName>
    <definedName name="ITEM49_2004">Tags_ols!$AE$622</definedName>
    <definedName name="ITEM49_2005" localSheetId="10">Tags!$AJ$622</definedName>
    <definedName name="ITEM49_2005">Tags_ols!$AJ$622</definedName>
    <definedName name="ITEM49_2006" localSheetId="10">Tags!$AO$622</definedName>
    <definedName name="ITEM49_2006">Tags_ols!$AO$622</definedName>
    <definedName name="ITEM49_2007" localSheetId="10">Tags!$AT$622</definedName>
    <definedName name="ITEM49_2007">Tags_ols!$AT$622</definedName>
    <definedName name="ITEM49_2008" localSheetId="10">Tags!$AY$622</definedName>
    <definedName name="ITEM49_2008">Tags_ols!$AY$622</definedName>
    <definedName name="ITEM49_2009" localSheetId="10">Tags!$BD$622</definedName>
    <definedName name="ITEM49_2009">Tags_ols!$BD$622</definedName>
    <definedName name="ITEM49_2010" localSheetId="10">Tags!$BI$622</definedName>
    <definedName name="ITEM49_2010">Tags_ols!$BI$622</definedName>
    <definedName name="ITEM49_2011" localSheetId="10">Tags!$BN$622</definedName>
    <definedName name="ITEM49_2011">Tags_ols!$BN$622</definedName>
    <definedName name="ITEM49_2012" localSheetId="10">Tags!$BS$622</definedName>
    <definedName name="ITEM49_2012">Tags_ols!$BS$622</definedName>
    <definedName name="ITEM49_2013" localSheetId="10">Tags!$BX$622</definedName>
    <definedName name="ITEM49_2013">Tags_ols!$BX$622</definedName>
    <definedName name="ITEM49_2014" localSheetId="10">Tags!$CC$622</definedName>
    <definedName name="ITEM49_2014">Tags_ols!$CC$622</definedName>
    <definedName name="ITEM49_2015" localSheetId="10">Tags!#REF!</definedName>
    <definedName name="ITEM49_2015">Tags!$CH$622</definedName>
    <definedName name="ITEM49_2016" localSheetId="10">Tags!$CM$622</definedName>
    <definedName name="ITEM49_2016">Tags_ols!$CM$622</definedName>
    <definedName name="ITEM49_2017" localSheetId="10">Tags!$CR$622</definedName>
    <definedName name="ITEM49_2017">Tags_ols!$CR$622</definedName>
    <definedName name="ITEM49_2018" localSheetId="10">Tags!$CW$622</definedName>
    <definedName name="ITEM49_2018">Tags_ols!$CW$622</definedName>
    <definedName name="ITEM49_2019" localSheetId="10">Tags!$DB$622</definedName>
    <definedName name="ITEM49_2019">Tags_ols!$DB$622</definedName>
    <definedName name="ITEM49_2020" localSheetId="10">Tags!$DG$622</definedName>
    <definedName name="ITEM49_2020">Tags_ols!$DG$622</definedName>
    <definedName name="ITEM49_2021">Tags!$DL$622</definedName>
    <definedName name="ITEM49_2022">Tags!$DQ$622</definedName>
    <definedName name="ITEM49_2023">Tags!$DV$622</definedName>
    <definedName name="ITEM49_2024">Tags!$EA$622</definedName>
    <definedName name="ITEM49_2Q00" localSheetId="10">Tags!$H$622</definedName>
    <definedName name="ITEM49_2Q00">Tags_ols!$H$622</definedName>
    <definedName name="ITEM49_2Q01" localSheetId="10">Tags!$M$622</definedName>
    <definedName name="ITEM49_2Q01">Tags_ols!$M$622</definedName>
    <definedName name="ITEM49_2Q02" localSheetId="10">Tags!$R$622</definedName>
    <definedName name="ITEM49_2Q02">Tags_ols!$R$622</definedName>
    <definedName name="ITEM49_2Q03" localSheetId="10">Tags!$W$622</definedName>
    <definedName name="ITEM49_2Q03">Tags_ols!$W$622</definedName>
    <definedName name="ITEM49_2Q04" localSheetId="10">Tags!$AB$622</definedName>
    <definedName name="ITEM49_2Q04">Tags_ols!$AB$622</definedName>
    <definedName name="ITEM49_2Q05" localSheetId="10">Tags!$AG$622</definedName>
    <definedName name="ITEM49_2Q05">Tags_ols!$AG$622</definedName>
    <definedName name="ITEM49_2Q06" localSheetId="10">Tags!$AL$622</definedName>
    <definedName name="ITEM49_2Q06">Tags_ols!$AL$622</definedName>
    <definedName name="ITEM49_2Q07" localSheetId="10">Tags!$AQ$622</definedName>
    <definedName name="ITEM49_2Q07">Tags_ols!$AQ$622</definedName>
    <definedName name="ITEM49_2Q08" localSheetId="10">Tags!$AV$622</definedName>
    <definedName name="ITEM49_2Q08">Tags_ols!$AV$622</definedName>
    <definedName name="ITEM49_2Q09" localSheetId="10">Tags!$BA$622</definedName>
    <definedName name="ITEM49_2Q09">Tags_ols!$BA$622</definedName>
    <definedName name="ITEM49_2Q10" localSheetId="10">Tags!$BF$622</definedName>
    <definedName name="ITEM49_2Q10">Tags_ols!$BF$622</definedName>
    <definedName name="ITEM49_2Q11" localSheetId="10">Tags!$BK$622</definedName>
    <definedName name="ITEM49_2Q11">Tags_ols!$BK$622</definedName>
    <definedName name="ITEM49_2Q12" localSheetId="10">Tags!$BP$622</definedName>
    <definedName name="ITEM49_2Q12">Tags_ols!$BP$622</definedName>
    <definedName name="ITEM49_2Q13" localSheetId="10">Tags!$BU$622</definedName>
    <definedName name="ITEM49_2Q13">Tags_ols!$BU$622</definedName>
    <definedName name="ITEM49_2Q14" localSheetId="10">Tags!$BZ$622</definedName>
    <definedName name="ITEM49_2Q14">Tags_ols!$BZ$622</definedName>
    <definedName name="ITEM49_2Q15" localSheetId="10">Tags!$CE$622</definedName>
    <definedName name="ITEM49_2Q15">Tags_ols!$CE$622</definedName>
    <definedName name="ITEM49_2Q16" localSheetId="10">Tags!$CJ$622</definedName>
    <definedName name="ITEM49_2Q16">Tags_ols!$CJ$622</definedName>
    <definedName name="ITEM49_2Q17" localSheetId="10">Tags!$CO$622</definedName>
    <definedName name="ITEM49_2Q17">Tags_ols!$CO$622</definedName>
    <definedName name="ITEM49_2Q18" localSheetId="10">Tags!$CT$622</definedName>
    <definedName name="ITEM49_2Q18">Tags_ols!$CT$622</definedName>
    <definedName name="ITEM49_2Q19" localSheetId="10">Tags!$CY$622</definedName>
    <definedName name="ITEM49_2Q19">Tags_ols!$CY$622</definedName>
    <definedName name="ITEM49_2Q20" localSheetId="10">Tags!$DD$622</definedName>
    <definedName name="ITEM49_2Q20">Tags_ols!$DD$622</definedName>
    <definedName name="ITEM49_2Q21">Tags!$DI$622</definedName>
    <definedName name="ITEM49_2Q22">Tags!$DN$622</definedName>
    <definedName name="ITEM49_2Q23">Tags!$DS$622</definedName>
    <definedName name="ITEM49_2Q24">Tags!$DX$622</definedName>
    <definedName name="ITEM49_3Q00" localSheetId="10">Tags!$I$622</definedName>
    <definedName name="ITEM49_3Q00">Tags_ols!$I$622</definedName>
    <definedName name="ITEM49_3Q01" localSheetId="10">Tags!$N$622</definedName>
    <definedName name="ITEM49_3Q01">Tags_ols!$N$622</definedName>
    <definedName name="ITEM49_3Q02" localSheetId="10">Tags!$S$622</definedName>
    <definedName name="ITEM49_3Q02">Tags_ols!$S$622</definedName>
    <definedName name="ITEM49_3Q03" localSheetId="10">Tags!$X$622</definedName>
    <definedName name="ITEM49_3Q03">Tags_ols!$X$622</definedName>
    <definedName name="ITEM49_3Q04" localSheetId="10">Tags!$AC$622</definedName>
    <definedName name="ITEM49_3Q04">Tags_ols!$AC$622</definedName>
    <definedName name="ITEM49_3Q05" localSheetId="10">Tags!$AH$622</definedName>
    <definedName name="ITEM49_3Q05">Tags_ols!$AH$622</definedName>
    <definedName name="ITEM49_3Q06" localSheetId="10">Tags!$AM$622</definedName>
    <definedName name="ITEM49_3Q06">Tags_ols!$AM$622</definedName>
    <definedName name="ITEM49_3Q07" localSheetId="10">Tags!$AR$622</definedName>
    <definedName name="ITEM49_3Q07">Tags_ols!$AR$622</definedName>
    <definedName name="ITEM49_3Q08" localSheetId="10">Tags!$AW$622</definedName>
    <definedName name="ITEM49_3Q08">Tags_ols!$AW$622</definedName>
    <definedName name="ITEM49_3Q09" localSheetId="10">Tags!$BB$622</definedName>
    <definedName name="ITEM49_3Q09">Tags_ols!$BB$622</definedName>
    <definedName name="ITEM49_3Q10" localSheetId="10">Tags!$BG$622</definedName>
    <definedName name="ITEM49_3Q10">Tags_ols!$BG$622</definedName>
    <definedName name="ITEM49_3Q11" localSheetId="10">Tags!$BL$622</definedName>
    <definedName name="ITEM49_3Q11">Tags_ols!$BL$622</definedName>
    <definedName name="ITEM49_3Q12" localSheetId="10">Tags!$BQ$622</definedName>
    <definedName name="ITEM49_3Q12">Tags_ols!$BQ$622</definedName>
    <definedName name="ITEM49_3Q13" localSheetId="10">Tags!$BV$622</definedName>
    <definedName name="ITEM49_3Q13">Tags_ols!$BV$622</definedName>
    <definedName name="ITEM49_3Q14" localSheetId="10">Tags!$CA$622</definedName>
    <definedName name="ITEM49_3Q14">Tags_ols!$CA$622</definedName>
    <definedName name="ITEM49_3Q15" localSheetId="10">Tags!$CF$622</definedName>
    <definedName name="ITEM49_3Q15">Tags_ols!$CF$622</definedName>
    <definedName name="ITEM49_3Q16" localSheetId="10">Tags!$CK$622</definedName>
    <definedName name="ITEM49_3Q16">Tags_ols!$CK$622</definedName>
    <definedName name="ITEM49_3Q17" localSheetId="10">Tags!$CP$622</definedName>
    <definedName name="ITEM49_3Q17">Tags_ols!$CP$622</definedName>
    <definedName name="ITEM49_3Q18" localSheetId="10">Tags!$CU$622</definedName>
    <definedName name="ITEM49_3Q18">Tags_ols!$CU$622</definedName>
    <definedName name="ITEM49_3Q19" localSheetId="10">Tags!$CZ$622</definedName>
    <definedName name="ITEM49_3Q19">Tags_ols!$CZ$622</definedName>
    <definedName name="ITEM49_3Q20" localSheetId="10">Tags!$DE$622</definedName>
    <definedName name="ITEM49_3Q20">Tags_ols!$DE$622</definedName>
    <definedName name="ITEM49_3Q21">Tags!$DJ$622</definedName>
    <definedName name="ITEM49_3Q22">Tags!$DO$622</definedName>
    <definedName name="ITEM49_3Q23">Tags!$DT$622</definedName>
    <definedName name="ITEM49_3Q24">Tags!$DY$622</definedName>
    <definedName name="ITEM49_4Q00" localSheetId="10">Tags!$J$622</definedName>
    <definedName name="ITEM49_4Q00">Tags_ols!$J$622</definedName>
    <definedName name="ITEM49_4Q01" localSheetId="10">Tags!$O$622</definedName>
    <definedName name="ITEM49_4Q01">Tags_ols!$O$622</definedName>
    <definedName name="ITEM49_4Q02" localSheetId="10">Tags!$T$622</definedName>
    <definedName name="ITEM49_4Q02">Tags_ols!$T$622</definedName>
    <definedName name="ITEM49_4Q03" localSheetId="10">Tags!$Y$622</definedName>
    <definedName name="ITEM49_4Q03">Tags_ols!$Y$622</definedName>
    <definedName name="ITEM49_4Q04" localSheetId="10">Tags!$AD$622</definedName>
    <definedName name="ITEM49_4Q04">Tags_ols!$AD$622</definedName>
    <definedName name="ITEM49_4Q05" localSheetId="10">Tags!$AI$622</definedName>
    <definedName name="ITEM49_4Q05">Tags_ols!$AI$622</definedName>
    <definedName name="ITEM49_4Q06" localSheetId="10">Tags!$AN$622</definedName>
    <definedName name="ITEM49_4Q06">Tags_ols!$AN$622</definedName>
    <definedName name="ITEM49_4Q07" localSheetId="10">Tags!$AS$622</definedName>
    <definedName name="ITEM49_4Q07">Tags_ols!$AS$622</definedName>
    <definedName name="ITEM49_4Q08" localSheetId="10">Tags!$AX$622</definedName>
    <definedName name="ITEM49_4Q08">Tags_ols!$AX$622</definedName>
    <definedName name="ITEM49_4Q09" localSheetId="10">Tags!$BC$622</definedName>
    <definedName name="ITEM49_4Q09">Tags_ols!$BC$622</definedName>
    <definedName name="ITEM49_4Q10" localSheetId="10">Tags!$BH$622</definedName>
    <definedName name="ITEM49_4Q10">Tags_ols!$BH$622</definedName>
    <definedName name="ITEM49_4Q11" localSheetId="10">Tags!$BM$622</definedName>
    <definedName name="ITEM49_4Q11">Tags_ols!$BM$622</definedName>
    <definedName name="ITEM49_4Q12" localSheetId="10">Tags!$BR$622</definedName>
    <definedName name="ITEM49_4Q12">Tags_ols!$BR$622</definedName>
    <definedName name="ITEM49_4Q13" localSheetId="10">Tags!$BW$622</definedName>
    <definedName name="ITEM49_4Q13">Tags_ols!$BW$622</definedName>
    <definedName name="ITEM49_4Q14" localSheetId="10">Tags!$CB$622</definedName>
    <definedName name="ITEM49_4Q14">Tags_ols!$CB$622</definedName>
    <definedName name="ITEM49_4Q15" localSheetId="10">Tags!$CG$622</definedName>
    <definedName name="ITEM49_4Q15">Tags_ols!$CG$622</definedName>
    <definedName name="ITEM49_4Q16" localSheetId="10">Tags!$CL$622</definedName>
    <definedName name="ITEM49_4Q16">Tags_ols!$CL$622</definedName>
    <definedName name="ITEM49_4Q17" localSheetId="10">Tags!$CQ$622</definedName>
    <definedName name="ITEM49_4Q17">Tags_ols!$CQ$622</definedName>
    <definedName name="ITEM49_4Q18" localSheetId="10">Tags!$CV$622</definedName>
    <definedName name="ITEM49_4Q18">Tags_ols!$CV$622</definedName>
    <definedName name="ITEM49_4Q19" localSheetId="10">Tags!$DA$622</definedName>
    <definedName name="ITEM49_4Q19">Tags_ols!$DA$622</definedName>
    <definedName name="ITEM49_4Q20" localSheetId="10">Tags!$DF$622</definedName>
    <definedName name="ITEM49_4Q20">Tags_ols!$DF$622</definedName>
    <definedName name="ITEM49_4Q21">Tags!$DK$622</definedName>
    <definedName name="ITEM49_4Q22">Tags!$DP$622</definedName>
    <definedName name="ITEM49_4Q23">Tags!$DU$622</definedName>
    <definedName name="ITEM49_4Q24">Tags!$DZ$622</definedName>
    <definedName name="ITEM5_1995">Tags_ols!$B$578</definedName>
    <definedName name="ITEM5_1996">Tags_ols!$C$578</definedName>
    <definedName name="ITEM5_1997">Tags_ols!$D$578</definedName>
    <definedName name="ITEM5_1998">Tags_ols!$E$578</definedName>
    <definedName name="ITEM5_1999">Tags_ols!$F$578</definedName>
    <definedName name="ITEM5_1Q00" localSheetId="10">Tags!$G$578</definedName>
    <definedName name="ITEM5_1Q00">Tags_ols!$G$578</definedName>
    <definedName name="ITEM5_1Q01" localSheetId="10">Tags!$L$578</definedName>
    <definedName name="ITEM5_1Q01">Tags_ols!$L$578</definedName>
    <definedName name="ITEM5_1Q02" localSheetId="10">Tags!$Q$578</definedName>
    <definedName name="ITEM5_1Q02">Tags_ols!$Q$578</definedName>
    <definedName name="ITEM5_1Q03" localSheetId="10">Tags!$V$578</definedName>
    <definedName name="ITEM5_1Q03">Tags_ols!$V$578</definedName>
    <definedName name="ITEM5_1Q04" localSheetId="10">Tags!$AA$578</definedName>
    <definedName name="ITEM5_1Q04">Tags_ols!$AA$578</definedName>
    <definedName name="ITEM5_1Q05" localSheetId="10">Tags!$AF$578</definedName>
    <definedName name="ITEM5_1Q05">Tags_ols!$AF$578</definedName>
    <definedName name="ITEM5_1Q06" localSheetId="10">Tags!$AK$578</definedName>
    <definedName name="ITEM5_1Q06">Tags_ols!$AK$578</definedName>
    <definedName name="ITEM5_1Q07" localSheetId="10">Tags!$AP$578</definedName>
    <definedName name="ITEM5_1Q07">Tags_ols!$AP$578</definedName>
    <definedName name="ITEM5_1Q08" localSheetId="10">Tags!$AU$578</definedName>
    <definedName name="ITEM5_1Q08">Tags_ols!$AU$578</definedName>
    <definedName name="ITEM5_1Q09" localSheetId="10">Tags!$AZ$578</definedName>
    <definedName name="ITEM5_1Q09">Tags_ols!$AZ$578</definedName>
    <definedName name="ITEM5_1Q10" localSheetId="10">Tags!$BE$578</definedName>
    <definedName name="ITEM5_1Q10">Tags_ols!$BE$578</definedName>
    <definedName name="ITEM5_1Q11" localSheetId="10">Tags!$BJ$578</definedName>
    <definedName name="ITEM5_1Q11">Tags_ols!$BJ$578</definedName>
    <definedName name="ITEM5_1Q12" localSheetId="10">Tags!$BO$578</definedName>
    <definedName name="ITEM5_1Q12">Tags_ols!$BO$578</definedName>
    <definedName name="ITEM5_1Q13" localSheetId="10">Tags!$BT$578</definedName>
    <definedName name="ITEM5_1Q13">Tags_ols!$BT$578</definedName>
    <definedName name="ITEM5_1Q14" localSheetId="10">Tags!$BY$578</definedName>
    <definedName name="ITEM5_1Q14">Tags_ols!$BY$578</definedName>
    <definedName name="ITEM5_1Q15" localSheetId="10">Tags!$CD$578</definedName>
    <definedName name="ITEM5_1Q15">Tags_ols!$CD$578</definedName>
    <definedName name="ITEM5_1Q16" localSheetId="10">Tags!$CI$578</definedName>
    <definedName name="ITEM5_1Q16">Tags_ols!$CI$578</definedName>
    <definedName name="ITEM5_1Q17" localSheetId="10">Tags!$CN$578</definedName>
    <definedName name="ITEM5_1Q17">Tags_ols!$CN$578</definedName>
    <definedName name="ITEM5_1Q18" localSheetId="10">Tags!$CS$578</definedName>
    <definedName name="ITEM5_1Q18">Tags_ols!$CS$578</definedName>
    <definedName name="ITEM5_1Q19" localSheetId="10">Tags!$CX$578</definedName>
    <definedName name="ITEM5_1Q19">Tags_ols!$CX$578</definedName>
    <definedName name="ITEM5_1Q20" localSheetId="10">Tags!$DC$578</definedName>
    <definedName name="ITEM5_1Q20">Tags_ols!$DC$578</definedName>
    <definedName name="ITEM5_1Q21">Tags!$DH$578</definedName>
    <definedName name="ITEM5_1Q22">Tags!$DM$578</definedName>
    <definedName name="ITEM5_1Q23">Tags!$DR$578</definedName>
    <definedName name="ITEM5_1Q24">Tags!$DW$578</definedName>
    <definedName name="ITEM5_2000" localSheetId="10">Tags!$K$578</definedName>
    <definedName name="ITEM5_2000">Tags_ols!$K$578</definedName>
    <definedName name="ITEM5_2001" localSheetId="10">Tags!$P$578</definedName>
    <definedName name="ITEM5_2001">Tags_ols!$P$578</definedName>
    <definedName name="ITEM5_2002" localSheetId="10">Tags!$U$578</definedName>
    <definedName name="ITEM5_2002">Tags_ols!$U$578</definedName>
    <definedName name="ITEM5_2003" localSheetId="10">Tags!$Z$578</definedName>
    <definedName name="ITEM5_2003">Tags_ols!$Z$578</definedName>
    <definedName name="ITEM5_2004" localSheetId="10">Tags!$AE$578</definedName>
    <definedName name="ITEM5_2004">Tags_ols!$AE$578</definedName>
    <definedName name="ITEM5_2005" localSheetId="10">Tags!$AJ$578</definedName>
    <definedName name="ITEM5_2005">Tags_ols!$AJ$578</definedName>
    <definedName name="ITEM5_2006" localSheetId="10">Tags!$AO$578</definedName>
    <definedName name="ITEM5_2006">Tags_ols!$AO$578</definedName>
    <definedName name="ITEM5_2007" localSheetId="10">Tags!$AT$578</definedName>
    <definedName name="ITEM5_2007">Tags_ols!$AT$578</definedName>
    <definedName name="ITEM5_2008" localSheetId="10">Tags!$AY$578</definedName>
    <definedName name="ITEM5_2008">Tags_ols!$AY$578</definedName>
    <definedName name="ITEM5_2009" localSheetId="10">Tags!$BD$578</definedName>
    <definedName name="ITEM5_2009">Tags_ols!$BD$578</definedName>
    <definedName name="ITEM5_2010" localSheetId="10">Tags!$BI$578</definedName>
    <definedName name="ITEM5_2010">Tags_ols!$BI$578</definedName>
    <definedName name="ITEM5_2011" localSheetId="10">Tags!$BN$578</definedName>
    <definedName name="ITEM5_2011">Tags_ols!$BN$578</definedName>
    <definedName name="ITEM5_2012" localSheetId="10">Tags!$BS$578</definedName>
    <definedName name="ITEM5_2012">Tags_ols!$BS$578</definedName>
    <definedName name="ITEM5_2013" localSheetId="10">Tags!$BX$578</definedName>
    <definedName name="ITEM5_2013">Tags_ols!$BX$578</definedName>
    <definedName name="ITEM5_2014" localSheetId="10">Tags!$CC$578</definedName>
    <definedName name="ITEM5_2014">Tags_ols!$CC$578</definedName>
    <definedName name="ITEM5_2015" localSheetId="10">Tags!#REF!</definedName>
    <definedName name="ITEM5_2015">Tags!$CH$578</definedName>
    <definedName name="ITEM5_2016" localSheetId="10">Tags!$CM$578</definedName>
    <definedName name="ITEM5_2016">Tags_ols!$CM$578</definedName>
    <definedName name="ITEM5_2017" localSheetId="10">Tags!$CR$578</definedName>
    <definedName name="ITEM5_2017">Tags_ols!$CR$578</definedName>
    <definedName name="ITEM5_2018" localSheetId="10">Tags!$CW$578</definedName>
    <definedName name="ITEM5_2018">Tags_ols!$CW$578</definedName>
    <definedName name="ITEM5_2019" localSheetId="10">Tags!$DB$578</definedName>
    <definedName name="ITEM5_2019">Tags_ols!$DB$578</definedName>
    <definedName name="ITEM5_2020" localSheetId="10">Tags!$DG$578</definedName>
    <definedName name="ITEM5_2020">Tags_ols!$DG$578</definedName>
    <definedName name="ITEM5_2021">Tags!$DL$578</definedName>
    <definedName name="ITEM5_2022">Tags!$DQ$578</definedName>
    <definedName name="ITEM5_2023">Tags!$DV$578</definedName>
    <definedName name="ITEM5_2024">Tags!$EA$578</definedName>
    <definedName name="ITEM5_2Q00" localSheetId="10">Tags!$H$578</definedName>
    <definedName name="ITEM5_2Q00">Tags_ols!$H$578</definedName>
    <definedName name="ITEM5_2Q01" localSheetId="10">Tags!$M$578</definedName>
    <definedName name="ITEM5_2Q01">Tags_ols!$M$578</definedName>
    <definedName name="ITEM5_2Q02" localSheetId="10">Tags!$R$578</definedName>
    <definedName name="ITEM5_2Q02">Tags_ols!$R$578</definedName>
    <definedName name="ITEM5_2Q03" localSheetId="10">Tags!$W$578</definedName>
    <definedName name="ITEM5_2Q03">Tags_ols!$W$578</definedName>
    <definedName name="ITEM5_2Q04" localSheetId="10">Tags!$AB$578</definedName>
    <definedName name="ITEM5_2Q04">Tags_ols!$AB$578</definedName>
    <definedName name="ITEM5_2Q05" localSheetId="10">Tags!$AG$578</definedName>
    <definedName name="ITEM5_2Q05">Tags_ols!$AG$578</definedName>
    <definedName name="ITEM5_2Q06" localSheetId="10">Tags!$AL$578</definedName>
    <definedName name="ITEM5_2Q06">Tags_ols!$AL$578</definedName>
    <definedName name="ITEM5_2Q07" localSheetId="10">Tags!$AQ$578</definedName>
    <definedName name="ITEM5_2Q07">Tags_ols!$AQ$578</definedName>
    <definedName name="ITEM5_2Q08" localSheetId="10">Tags!$AV$578</definedName>
    <definedName name="ITEM5_2Q08">Tags_ols!$AV$578</definedName>
    <definedName name="ITEM5_2Q09" localSheetId="10">Tags!$BA$578</definedName>
    <definedName name="ITEM5_2Q09">Tags_ols!$BA$578</definedName>
    <definedName name="ITEM5_2Q10" localSheetId="10">Tags!$BF$578</definedName>
    <definedName name="ITEM5_2Q10">Tags_ols!$BF$578</definedName>
    <definedName name="ITEM5_2Q11" localSheetId="10">Tags!$BK$578</definedName>
    <definedName name="ITEM5_2Q11">Tags_ols!$BK$578</definedName>
    <definedName name="ITEM5_2Q12" localSheetId="10">Tags!$BP$578</definedName>
    <definedName name="ITEM5_2Q12">Tags_ols!$BP$578</definedName>
    <definedName name="ITEM5_2Q13" localSheetId="10">Tags!$BU$578</definedName>
    <definedName name="ITEM5_2Q13">Tags_ols!$BU$578</definedName>
    <definedName name="ITEM5_2Q14" localSheetId="10">Tags!$BZ$578</definedName>
    <definedName name="ITEM5_2Q14">Tags_ols!$BZ$578</definedName>
    <definedName name="ITEM5_2Q15" localSheetId="10">Tags!$CE$578</definedName>
    <definedName name="ITEM5_2Q15">Tags_ols!$CE$578</definedName>
    <definedName name="ITEM5_2Q16" localSheetId="10">Tags!$CJ$578</definedName>
    <definedName name="ITEM5_2Q16">Tags_ols!$CJ$578</definedName>
    <definedName name="ITEM5_2Q17" localSheetId="10">Tags!$CO$578</definedName>
    <definedName name="ITEM5_2Q17">Tags_ols!$CO$578</definedName>
    <definedName name="ITEM5_2Q18" localSheetId="10">Tags!$CT$578</definedName>
    <definedName name="ITEM5_2Q18">Tags_ols!$CT$578</definedName>
    <definedName name="ITEM5_2Q19" localSheetId="10">Tags!$CY$578</definedName>
    <definedName name="ITEM5_2Q19">Tags_ols!$CY$578</definedName>
    <definedName name="ITEM5_2Q20" localSheetId="10">Tags!$DD$578</definedName>
    <definedName name="ITEM5_2Q20">Tags_ols!$DD$578</definedName>
    <definedName name="ITEM5_2Q21">Tags!$DI$578</definedName>
    <definedName name="ITEM5_2Q22">Tags!$DN$578</definedName>
    <definedName name="ITEM5_2Q23">Tags!$DS$578</definedName>
    <definedName name="ITEM5_2Q24">Tags!$DX$578</definedName>
    <definedName name="ITEM5_3Q00" localSheetId="10">Tags!$I$578</definedName>
    <definedName name="ITEM5_3Q00">Tags_ols!$I$578</definedName>
    <definedName name="ITEM5_3Q01" localSheetId="10">Tags!$N$578</definedName>
    <definedName name="ITEM5_3Q01">Tags_ols!$N$578</definedName>
    <definedName name="ITEM5_3Q02" localSheetId="10">Tags!$S$578</definedName>
    <definedName name="ITEM5_3Q02">Tags_ols!$S$578</definedName>
    <definedName name="ITEM5_3Q03" localSheetId="10">Tags!$X$578</definedName>
    <definedName name="ITEM5_3Q03">Tags_ols!$X$578</definedName>
    <definedName name="ITEM5_3Q04" localSheetId="10">Tags!$AC$578</definedName>
    <definedName name="ITEM5_3Q04">Tags_ols!$AC$578</definedName>
    <definedName name="ITEM5_3Q05" localSheetId="10">Tags!$AH$578</definedName>
    <definedName name="ITEM5_3Q05">Tags_ols!$AH$578</definedName>
    <definedName name="ITEM5_3Q06" localSheetId="10">Tags!$AM$578</definedName>
    <definedName name="ITEM5_3Q06">Tags_ols!$AM$578</definedName>
    <definedName name="ITEM5_3Q07" localSheetId="10">Tags!$AR$578</definedName>
    <definedName name="ITEM5_3Q07">Tags_ols!$AR$578</definedName>
    <definedName name="ITEM5_3Q08" localSheetId="10">Tags!$AW$578</definedName>
    <definedName name="ITEM5_3Q08">Tags_ols!$AW$578</definedName>
    <definedName name="ITEM5_3Q09" localSheetId="10">Tags!$BB$578</definedName>
    <definedName name="ITEM5_3Q09">Tags_ols!$BB$578</definedName>
    <definedName name="ITEM5_3Q10" localSheetId="10">Tags!$BG$578</definedName>
    <definedName name="ITEM5_3Q10">Tags_ols!$BG$578</definedName>
    <definedName name="ITEM5_3Q11" localSheetId="10">Tags!$BL$578</definedName>
    <definedName name="ITEM5_3Q11">Tags_ols!$BL$578</definedName>
    <definedName name="ITEM5_3Q12" localSheetId="10">Tags!$BQ$578</definedName>
    <definedName name="ITEM5_3Q12">Tags_ols!$BQ$578</definedName>
    <definedName name="ITEM5_3Q13" localSheetId="10">Tags!$BV$578</definedName>
    <definedName name="ITEM5_3Q13">Tags_ols!$BV$578</definedName>
    <definedName name="ITEM5_3Q14" localSheetId="10">Tags!$CA$578</definedName>
    <definedName name="ITEM5_3Q14">Tags_ols!$CA$578</definedName>
    <definedName name="ITEM5_3Q15" localSheetId="10">Tags!$CF$578</definedName>
    <definedName name="ITEM5_3Q15">Tags_ols!$CF$578</definedName>
    <definedName name="ITEM5_3Q16" localSheetId="10">Tags!$CK$578</definedName>
    <definedName name="ITEM5_3Q16">Tags_ols!$CK$578</definedName>
    <definedName name="ITEM5_3Q17" localSheetId="10">Tags!$CP$578</definedName>
    <definedName name="ITEM5_3Q17">Tags_ols!$CP$578</definedName>
    <definedName name="ITEM5_3Q18" localSheetId="10">Tags!$CU$578</definedName>
    <definedName name="ITEM5_3Q18">Tags_ols!$CU$578</definedName>
    <definedName name="ITEM5_3Q19" localSheetId="10">Tags!$CZ$578</definedName>
    <definedName name="ITEM5_3Q19">Tags_ols!$CZ$578</definedName>
    <definedName name="ITEM5_3Q20" localSheetId="10">Tags!$DE$578</definedName>
    <definedName name="ITEM5_3Q20">Tags_ols!$DE$578</definedName>
    <definedName name="ITEM5_3Q21">Tags!$DJ$578</definedName>
    <definedName name="ITEM5_3Q22">Tags!$DO$578</definedName>
    <definedName name="ITEM5_3Q23">Tags!$DT$578</definedName>
    <definedName name="ITEM5_3Q24">Tags!$DY$578</definedName>
    <definedName name="ITEM5_4Q00" localSheetId="10">Tags!$J$578</definedName>
    <definedName name="ITEM5_4Q00">Tags_ols!$J$578</definedName>
    <definedName name="ITEM5_4Q01" localSheetId="10">Tags!$O$578</definedName>
    <definedName name="ITEM5_4Q01">Tags_ols!$O$578</definedName>
    <definedName name="ITEM5_4Q02" localSheetId="10">Tags!$T$578</definedName>
    <definedName name="ITEM5_4Q02">Tags_ols!$T$578</definedName>
    <definedName name="ITEM5_4Q03" localSheetId="10">Tags!$Y$578</definedName>
    <definedName name="ITEM5_4Q03">Tags_ols!$Y$578</definedName>
    <definedName name="ITEM5_4Q04" localSheetId="10">Tags!$AD$578</definedName>
    <definedName name="ITEM5_4Q04">Tags_ols!$AD$578</definedName>
    <definedName name="ITEM5_4Q05" localSheetId="10">Tags!$AI$578</definedName>
    <definedName name="ITEM5_4Q05">Tags_ols!$AI$578</definedName>
    <definedName name="ITEM5_4Q06" localSheetId="10">Tags!$AN$578</definedName>
    <definedName name="ITEM5_4Q06">Tags_ols!$AN$578</definedName>
    <definedName name="ITEM5_4Q07" localSheetId="10">Tags!$AS$578</definedName>
    <definedName name="ITEM5_4Q07">Tags_ols!$AS$578</definedName>
    <definedName name="ITEM5_4Q08" localSheetId="10">Tags!$AX$578</definedName>
    <definedName name="ITEM5_4Q08">Tags_ols!$AX$578</definedName>
    <definedName name="ITEM5_4Q09" localSheetId="10">Tags!$BC$578</definedName>
    <definedName name="ITEM5_4Q09">Tags_ols!$BC$578</definedName>
    <definedName name="ITEM5_4Q10" localSheetId="10">Tags!$BH$578</definedName>
    <definedName name="ITEM5_4Q10">Tags_ols!$BH$578</definedName>
    <definedName name="ITEM5_4Q11" localSheetId="10">Tags!$BM$578</definedName>
    <definedName name="ITEM5_4Q11">Tags_ols!$BM$578</definedName>
    <definedName name="ITEM5_4Q12" localSheetId="10">Tags!$BR$578</definedName>
    <definedName name="ITEM5_4Q12">Tags_ols!$BR$578</definedName>
    <definedName name="ITEM5_4Q13" localSheetId="10">Tags!$BW$578</definedName>
    <definedName name="ITEM5_4Q13">Tags_ols!$BW$578</definedName>
    <definedName name="ITEM5_4Q14" localSheetId="10">Tags!$CB$578</definedName>
    <definedName name="ITEM5_4Q14">Tags_ols!$CB$578</definedName>
    <definedName name="ITEM5_4Q15" localSheetId="10">Tags!$CG$578</definedName>
    <definedName name="ITEM5_4Q15">Tags_ols!$CG$578</definedName>
    <definedName name="ITEM5_4Q16" localSheetId="10">Tags!$CL$578</definedName>
    <definedName name="ITEM5_4Q16">Tags_ols!$CL$578</definedName>
    <definedName name="ITEM5_4Q17" localSheetId="10">Tags!$CQ$578</definedName>
    <definedName name="ITEM5_4Q17">Tags_ols!$CQ$578</definedName>
    <definedName name="ITEM5_4Q18" localSheetId="10">Tags!$CV$578</definedName>
    <definedName name="ITEM5_4Q18">Tags_ols!$CV$578</definedName>
    <definedName name="ITEM5_4Q19" localSheetId="10">Tags!$DA$578</definedName>
    <definedName name="ITEM5_4Q19">Tags_ols!$DA$578</definedName>
    <definedName name="ITEM5_4Q20" localSheetId="10">Tags!$DF$578</definedName>
    <definedName name="ITEM5_4Q20">Tags_ols!$DF$578</definedName>
    <definedName name="ITEM5_4Q21">Tags!$DK$578</definedName>
    <definedName name="ITEM5_4Q22">Tags!$DP$578</definedName>
    <definedName name="ITEM5_4Q23">Tags!$DU$578</definedName>
    <definedName name="ITEM5_4Q24">Tags!$DZ$578</definedName>
    <definedName name="ITEM50_1995">Tags_ols!$B$623</definedName>
    <definedName name="ITEM50_1996">Tags_ols!$C$623</definedName>
    <definedName name="ITEM50_1997">Tags_ols!$D$623</definedName>
    <definedName name="ITEM50_1998">Tags_ols!$E$623</definedName>
    <definedName name="ITEM50_1999">Tags_ols!$F$623</definedName>
    <definedName name="ITEM50_1Q00" localSheetId="10">Tags!$G$623</definedName>
    <definedName name="ITEM50_1Q00">Tags_ols!$G$623</definedName>
    <definedName name="ITEM50_1Q01" localSheetId="10">Tags!$L$623</definedName>
    <definedName name="ITEM50_1Q01">Tags_ols!$L$623</definedName>
    <definedName name="ITEM50_1Q02" localSheetId="10">Tags!$Q$623</definedName>
    <definedName name="ITEM50_1Q02">Tags_ols!$Q$623</definedName>
    <definedName name="ITEM50_1Q03" localSheetId="10">Tags!$V$623</definedName>
    <definedName name="ITEM50_1Q03">Tags_ols!$V$623</definedName>
    <definedName name="ITEM50_1Q04" localSheetId="10">Tags!$AA$623</definedName>
    <definedName name="ITEM50_1Q04">Tags_ols!$AA$623</definedName>
    <definedName name="ITEM50_1Q05" localSheetId="10">Tags!$AF$623</definedName>
    <definedName name="ITEM50_1Q05">Tags_ols!$AF$623</definedName>
    <definedName name="ITEM50_1Q06" localSheetId="10">Tags!$AK$623</definedName>
    <definedName name="ITEM50_1Q06">Tags_ols!$AK$623</definedName>
    <definedName name="ITEM50_1Q07" localSheetId="10">Tags!$AP$623</definedName>
    <definedName name="ITEM50_1Q07">Tags_ols!$AP$623</definedName>
    <definedName name="ITEM50_1Q08" localSheetId="10">Tags!$AU$623</definedName>
    <definedName name="ITEM50_1Q08">Tags_ols!$AU$623</definedName>
    <definedName name="ITEM50_1Q09" localSheetId="10">Tags!$AZ$623</definedName>
    <definedName name="ITEM50_1Q09">Tags_ols!$AZ$623</definedName>
    <definedName name="ITEM50_1Q10" localSheetId="10">Tags!$BE$623</definedName>
    <definedName name="ITEM50_1Q10">Tags_ols!$BE$623</definedName>
    <definedName name="ITEM50_1Q11" localSheetId="10">Tags!$BJ$623</definedName>
    <definedName name="ITEM50_1Q11">Tags_ols!$BJ$623</definedName>
    <definedName name="ITEM50_1Q12" localSheetId="10">Tags!$BO$623</definedName>
    <definedName name="ITEM50_1Q12">Tags_ols!$BO$623</definedName>
    <definedName name="ITEM50_1Q13" localSheetId="10">Tags!$BT$623</definedName>
    <definedName name="ITEM50_1Q13">Tags_ols!$BT$623</definedName>
    <definedName name="ITEM50_1Q14" localSheetId="10">Tags!$BY$623</definedName>
    <definedName name="ITEM50_1Q14">Tags_ols!$BY$623</definedName>
    <definedName name="ITEM50_1Q15" localSheetId="10">Tags!$CD$623</definedName>
    <definedName name="ITEM50_1Q15">Tags_ols!$CD$623</definedName>
    <definedName name="ITEM50_1Q16" localSheetId="10">Tags!$CI$623</definedName>
    <definedName name="ITEM50_1Q16">Tags_ols!$CI$623</definedName>
    <definedName name="ITEM50_1Q17" localSheetId="10">Tags!$CN$623</definedName>
    <definedName name="ITEM50_1Q17">Tags_ols!$CN$623</definedName>
    <definedName name="ITEM50_1Q18" localSheetId="10">Tags!$CS$623</definedName>
    <definedName name="ITEM50_1Q18">Tags_ols!$CS$623</definedName>
    <definedName name="ITEM50_1Q19" localSheetId="10">Tags!$CX$623</definedName>
    <definedName name="ITEM50_1Q19">Tags_ols!$CX$623</definedName>
    <definedName name="ITEM50_1Q20" localSheetId="10">Tags!$DC$623</definedName>
    <definedName name="ITEM50_1Q20">Tags_ols!$DC$623</definedName>
    <definedName name="ITEM50_1Q21">Tags!$DH$623</definedName>
    <definedName name="ITEM50_1Q22">Tags!$DM$623</definedName>
    <definedName name="ITEM50_1Q23">Tags!$DR$623</definedName>
    <definedName name="ITEM50_1Q24">Tags!$DW$623</definedName>
    <definedName name="ITEM50_2000" localSheetId="10">Tags!$K$623</definedName>
    <definedName name="ITEM50_2000">Tags_ols!$K$623</definedName>
    <definedName name="ITEM50_2001" localSheetId="10">Tags!$P$623</definedName>
    <definedName name="ITEM50_2001">Tags_ols!$P$623</definedName>
    <definedName name="ITEM50_2002" localSheetId="10">Tags!$U$623</definedName>
    <definedName name="ITEM50_2002">Tags_ols!$U$623</definedName>
    <definedName name="ITEM50_2003" localSheetId="10">Tags!$Z$623</definedName>
    <definedName name="ITEM50_2003">Tags_ols!$Z$623</definedName>
    <definedName name="ITEM50_2004" localSheetId="10">Tags!$AE$623</definedName>
    <definedName name="ITEM50_2004">Tags_ols!$AE$623</definedName>
    <definedName name="ITEM50_2005" localSheetId="10">Tags!$AJ$623</definedName>
    <definedName name="ITEM50_2005">Tags_ols!$AJ$623</definedName>
    <definedName name="ITEM50_2006" localSheetId="10">Tags!$AO$623</definedName>
    <definedName name="ITEM50_2006">Tags_ols!$AO$623</definedName>
    <definedName name="ITEM50_2007" localSheetId="10">Tags!$AT$623</definedName>
    <definedName name="ITEM50_2007">Tags_ols!$AT$623</definedName>
    <definedName name="ITEM50_2008" localSheetId="10">Tags!$AY$623</definedName>
    <definedName name="ITEM50_2008">Tags_ols!$AY$623</definedName>
    <definedName name="ITEM50_2009" localSheetId="10">Tags!$BD$623</definedName>
    <definedName name="ITEM50_2009">Tags_ols!$BD$623</definedName>
    <definedName name="ITEM50_2010" localSheetId="10">Tags!$BI$623</definedName>
    <definedName name="ITEM50_2010">Tags_ols!$BI$623</definedName>
    <definedName name="ITEM50_2011" localSheetId="10">Tags!$BN$623</definedName>
    <definedName name="ITEM50_2011">Tags_ols!$BN$623</definedName>
    <definedName name="ITEM50_2012" localSheetId="10">Tags!$BS$623</definedName>
    <definedName name="ITEM50_2012">Tags_ols!$BS$623</definedName>
    <definedName name="ITEM50_2013" localSheetId="10">Tags!$BX$623</definedName>
    <definedName name="ITEM50_2013">Tags_ols!$BX$623</definedName>
    <definedName name="ITEM50_2014" localSheetId="10">Tags!$CC$623</definedName>
    <definedName name="ITEM50_2014">Tags_ols!$CC$623</definedName>
    <definedName name="ITEM50_2015" localSheetId="10">Tags!#REF!</definedName>
    <definedName name="ITEM50_2015">Tags!$CH$623</definedName>
    <definedName name="ITEM50_2016" localSheetId="10">Tags!$CM$623</definedName>
    <definedName name="ITEM50_2016">Tags_ols!$CM$623</definedName>
    <definedName name="ITEM50_2017" localSheetId="10">Tags!$CR$623</definedName>
    <definedName name="ITEM50_2017">Tags_ols!$CR$623</definedName>
    <definedName name="ITEM50_2018" localSheetId="10">Tags!$CW$623</definedName>
    <definedName name="ITEM50_2018">Tags_ols!$CW$623</definedName>
    <definedName name="ITEM50_2019" localSheetId="10">Tags!$DB$623</definedName>
    <definedName name="ITEM50_2019">Tags_ols!$DB$623</definedName>
    <definedName name="ITEM50_2020" localSheetId="10">Tags!$DG$623</definedName>
    <definedName name="ITEM50_2020">Tags_ols!$DG$623</definedName>
    <definedName name="ITEM50_2021">Tags!$DL$623</definedName>
    <definedName name="ITEM50_2022">Tags!$DQ$623</definedName>
    <definedName name="ITEM50_2023">Tags!$DV$623</definedName>
    <definedName name="ITEM50_2024">Tags!$EA$623</definedName>
    <definedName name="ITEM50_2Q00" localSheetId="10">Tags!$H$623</definedName>
    <definedName name="ITEM50_2Q00">Tags_ols!$H$623</definedName>
    <definedName name="ITEM50_2Q01" localSheetId="10">Tags!$M$623</definedName>
    <definedName name="ITEM50_2Q01">Tags_ols!$M$623</definedName>
    <definedName name="ITEM50_2Q02" localSheetId="10">Tags!$R$623</definedName>
    <definedName name="ITEM50_2Q02">Tags_ols!$R$623</definedName>
    <definedName name="ITEM50_2Q03" localSheetId="10">Tags!$W$623</definedName>
    <definedName name="ITEM50_2Q03">Tags_ols!$W$623</definedName>
    <definedName name="ITEM50_2Q04" localSheetId="10">Tags!$AB$623</definedName>
    <definedName name="ITEM50_2Q04">Tags_ols!$AB$623</definedName>
    <definedName name="ITEM50_2Q05" localSheetId="10">Tags!$AG$623</definedName>
    <definedName name="ITEM50_2Q05">Tags_ols!$AG$623</definedName>
    <definedName name="ITEM50_2Q06" localSheetId="10">Tags!$AL$623</definedName>
    <definedName name="ITEM50_2Q06">Tags_ols!$AL$623</definedName>
    <definedName name="ITEM50_2Q07" localSheetId="10">Tags!$AQ$623</definedName>
    <definedName name="ITEM50_2Q07">Tags_ols!$AQ$623</definedName>
    <definedName name="ITEM50_2Q08" localSheetId="10">Tags!$AV$623</definedName>
    <definedName name="ITEM50_2Q08">Tags_ols!$AV$623</definedName>
    <definedName name="ITEM50_2Q09" localSheetId="10">Tags!$BA$623</definedName>
    <definedName name="ITEM50_2Q09">Tags_ols!$BA$623</definedName>
    <definedName name="ITEM50_2Q10" localSheetId="10">Tags!$BF$623</definedName>
    <definedName name="ITEM50_2Q10">Tags_ols!$BF$623</definedName>
    <definedName name="ITEM50_2Q11" localSheetId="10">Tags!$BK$623</definedName>
    <definedName name="ITEM50_2Q11">Tags_ols!$BK$623</definedName>
    <definedName name="ITEM50_2Q12" localSheetId="10">Tags!$BP$623</definedName>
    <definedName name="ITEM50_2Q12">Tags_ols!$BP$623</definedName>
    <definedName name="ITEM50_2Q13" localSheetId="10">Tags!$BU$623</definedName>
    <definedName name="ITEM50_2Q13">Tags_ols!$BU$623</definedName>
    <definedName name="ITEM50_2Q14" localSheetId="10">Tags!$BZ$623</definedName>
    <definedName name="ITEM50_2Q14">Tags_ols!$BZ$623</definedName>
    <definedName name="ITEM50_2Q15" localSheetId="10">Tags!$CE$623</definedName>
    <definedName name="ITEM50_2Q15">Tags_ols!$CE$623</definedName>
    <definedName name="ITEM50_2Q16" localSheetId="10">Tags!$CJ$623</definedName>
    <definedName name="ITEM50_2Q16">Tags_ols!$CJ$623</definedName>
    <definedName name="ITEM50_2Q17" localSheetId="10">Tags!$CO$623</definedName>
    <definedName name="ITEM50_2Q17">Tags_ols!$CO$623</definedName>
    <definedName name="ITEM50_2Q18" localSheetId="10">Tags!$CT$623</definedName>
    <definedName name="ITEM50_2Q18">Tags_ols!$CT$623</definedName>
    <definedName name="ITEM50_2Q19" localSheetId="10">Tags!$CY$623</definedName>
    <definedName name="ITEM50_2Q19">Tags_ols!$CY$623</definedName>
    <definedName name="ITEM50_2Q20" localSheetId="10">Tags!$DD$623</definedName>
    <definedName name="ITEM50_2Q20">Tags_ols!$DD$623</definedName>
    <definedName name="ITEM50_2Q21">Tags!$DI$623</definedName>
    <definedName name="ITEM50_2Q22">Tags!$DN$623</definedName>
    <definedName name="ITEM50_2Q23">Tags!$DS$623</definedName>
    <definedName name="ITEM50_2Q24">Tags!$DX$623</definedName>
    <definedName name="ITEM50_3Q00" localSheetId="10">Tags!$I$623</definedName>
    <definedName name="ITEM50_3Q00">Tags_ols!$I$623</definedName>
    <definedName name="ITEM50_3Q01" localSheetId="10">Tags!$N$623</definedName>
    <definedName name="ITEM50_3Q01">Tags_ols!$N$623</definedName>
    <definedName name="ITEM50_3Q02" localSheetId="10">Tags!$S$623</definedName>
    <definedName name="ITEM50_3Q02">Tags_ols!$S$623</definedName>
    <definedName name="ITEM50_3Q03" localSheetId="10">Tags!$X$623</definedName>
    <definedName name="ITEM50_3Q03">Tags_ols!$X$623</definedName>
    <definedName name="ITEM50_3Q04" localSheetId="10">Tags!$AC$623</definedName>
    <definedName name="ITEM50_3Q04">Tags_ols!$AC$623</definedName>
    <definedName name="ITEM50_3Q05" localSheetId="10">Tags!$AH$623</definedName>
    <definedName name="ITEM50_3Q05">Tags_ols!$AH$623</definedName>
    <definedName name="ITEM50_3Q06" localSheetId="10">Tags!$AM$623</definedName>
    <definedName name="ITEM50_3Q06">Tags_ols!$AM$623</definedName>
    <definedName name="ITEM50_3Q07" localSheetId="10">Tags!$AR$623</definedName>
    <definedName name="ITEM50_3Q07">Tags_ols!$AR$623</definedName>
    <definedName name="ITEM50_3Q08" localSheetId="10">Tags!$AW$623</definedName>
    <definedName name="ITEM50_3Q08">Tags_ols!$AW$623</definedName>
    <definedName name="ITEM50_3Q09" localSheetId="10">Tags!$BB$623</definedName>
    <definedName name="ITEM50_3Q09">Tags_ols!$BB$623</definedName>
    <definedName name="ITEM50_3Q10" localSheetId="10">Tags!$BG$623</definedName>
    <definedName name="ITEM50_3Q10">Tags_ols!$BG$623</definedName>
    <definedName name="ITEM50_3Q11" localSheetId="10">Tags!$BL$623</definedName>
    <definedName name="ITEM50_3Q11">Tags_ols!$BL$623</definedName>
    <definedName name="ITEM50_3Q12" localSheetId="10">Tags!$BQ$623</definedName>
    <definedName name="ITEM50_3Q12">Tags_ols!$BQ$623</definedName>
    <definedName name="ITEM50_3Q13" localSheetId="10">Tags!$BV$623</definedName>
    <definedName name="ITEM50_3Q13">Tags_ols!$BV$623</definedName>
    <definedName name="ITEM50_3Q14" localSheetId="10">Tags!$CA$623</definedName>
    <definedName name="ITEM50_3Q14">Tags_ols!$CA$623</definedName>
    <definedName name="ITEM50_3Q15" localSheetId="10">Tags!$CF$623</definedName>
    <definedName name="ITEM50_3Q15">Tags_ols!$CF$623</definedName>
    <definedName name="ITEM50_3Q16" localSheetId="10">Tags!$CK$623</definedName>
    <definedName name="ITEM50_3Q16">Tags_ols!$CK$623</definedName>
    <definedName name="ITEM50_3Q17" localSheetId="10">Tags!$CP$623</definedName>
    <definedName name="ITEM50_3Q17">Tags_ols!$CP$623</definedName>
    <definedName name="ITEM50_3Q18" localSheetId="10">Tags!$CU$623</definedName>
    <definedName name="ITEM50_3Q18">Tags_ols!$CU$623</definedName>
    <definedName name="ITEM50_3Q19" localSheetId="10">Tags!$CZ$623</definedName>
    <definedName name="ITEM50_3Q19">Tags_ols!$CZ$623</definedName>
    <definedName name="ITEM50_3Q20" localSheetId="10">Tags!$DE$623</definedName>
    <definedName name="ITEM50_3Q20">Tags_ols!$DE$623</definedName>
    <definedName name="ITEM50_3Q21">Tags!$DJ$623</definedName>
    <definedName name="ITEM50_3Q22">Tags!$DO$623</definedName>
    <definedName name="ITEM50_3Q23">Tags!$DT$623</definedName>
    <definedName name="ITEM50_3Q24">Tags!$DY$623</definedName>
    <definedName name="ITEM50_4Q00" localSheetId="10">Tags!$J$623</definedName>
    <definedName name="ITEM50_4Q00">Tags_ols!$J$623</definedName>
    <definedName name="ITEM50_4Q01" localSheetId="10">Tags!$O$623</definedName>
    <definedName name="ITEM50_4Q01">Tags_ols!$O$623</definedName>
    <definedName name="ITEM50_4Q02" localSheetId="10">Tags!$T$623</definedName>
    <definedName name="ITEM50_4Q02">Tags_ols!$T$623</definedName>
    <definedName name="ITEM50_4Q03" localSheetId="10">Tags!$Y$623</definedName>
    <definedName name="ITEM50_4Q03">Tags_ols!$Y$623</definedName>
    <definedName name="ITEM50_4Q04" localSheetId="10">Tags!$AD$623</definedName>
    <definedName name="ITEM50_4Q04">Tags_ols!$AD$623</definedName>
    <definedName name="ITEM50_4Q05" localSheetId="10">Tags!$AI$623</definedName>
    <definedName name="ITEM50_4Q05">Tags_ols!$AI$623</definedName>
    <definedName name="ITEM50_4Q06" localSheetId="10">Tags!$AN$623</definedName>
    <definedName name="ITEM50_4Q06">Tags_ols!$AN$623</definedName>
    <definedName name="ITEM50_4Q07" localSheetId="10">Tags!$AS$623</definedName>
    <definedName name="ITEM50_4Q07">Tags_ols!$AS$623</definedName>
    <definedName name="ITEM50_4Q08" localSheetId="10">Tags!$AX$623</definedName>
    <definedName name="ITEM50_4Q08">Tags_ols!$AX$623</definedName>
    <definedName name="ITEM50_4Q09" localSheetId="10">Tags!$BC$623</definedName>
    <definedName name="ITEM50_4Q09">Tags_ols!$BC$623</definedName>
    <definedName name="ITEM50_4Q10" localSheetId="10">Tags!$BH$623</definedName>
    <definedName name="ITEM50_4Q10">Tags_ols!$BH$623</definedName>
    <definedName name="ITEM50_4Q11" localSheetId="10">Tags!$BM$623</definedName>
    <definedName name="ITEM50_4Q11">Tags_ols!$BM$623</definedName>
    <definedName name="ITEM50_4Q12" localSheetId="10">Tags!$BR$623</definedName>
    <definedName name="ITEM50_4Q12">Tags_ols!$BR$623</definedName>
    <definedName name="ITEM50_4Q13" localSheetId="10">Tags!$BW$623</definedName>
    <definedName name="ITEM50_4Q13">Tags_ols!$BW$623</definedName>
    <definedName name="ITEM50_4Q14" localSheetId="10">Tags!$CB$623</definedName>
    <definedName name="ITEM50_4Q14">Tags_ols!$CB$623</definedName>
    <definedName name="ITEM50_4Q15" localSheetId="10">Tags!$CG$623</definedName>
    <definedName name="ITEM50_4Q15">Tags_ols!$CG$623</definedName>
    <definedName name="ITEM50_4Q16" localSheetId="10">Tags!$CL$623</definedName>
    <definedName name="ITEM50_4Q16">Tags_ols!$CL$623</definedName>
    <definedName name="ITEM50_4Q17" localSheetId="10">Tags!$CQ$623</definedName>
    <definedName name="ITEM50_4Q17">Tags_ols!$CQ$623</definedName>
    <definedName name="ITEM50_4Q18" localSheetId="10">Tags!$CV$623</definedName>
    <definedName name="ITEM50_4Q18">Tags_ols!$CV$623</definedName>
    <definedName name="ITEM50_4Q19" localSheetId="10">Tags!$DA$623</definedName>
    <definedName name="ITEM50_4Q19">Tags_ols!$DA$623</definedName>
    <definedName name="ITEM50_4Q20" localSheetId="10">Tags!$DF$623</definedName>
    <definedName name="ITEM50_4Q20">Tags_ols!$DF$623</definedName>
    <definedName name="ITEM50_4Q21">Tags!$DK$623</definedName>
    <definedName name="ITEM50_4Q22">Tags!$DP$623</definedName>
    <definedName name="ITEM50_4Q23">Tags!$DU$623</definedName>
    <definedName name="ITEM50_4Q24">Tags!$DZ$623</definedName>
    <definedName name="ITEM6_1995">Tags_ols!$B$579</definedName>
    <definedName name="ITEM6_1996">Tags_ols!$C$579</definedName>
    <definedName name="ITEM6_1997">Tags_ols!$D$579</definedName>
    <definedName name="ITEM6_1998">Tags_ols!$E$579</definedName>
    <definedName name="ITEM6_1999">Tags_ols!$F$579</definedName>
    <definedName name="ITEM6_1Q00" localSheetId="10">Tags!$G$579</definedName>
    <definedName name="ITEM6_1Q00">Tags_ols!$G$579</definedName>
    <definedName name="ITEM6_1Q01" localSheetId="10">Tags!$L$579</definedName>
    <definedName name="ITEM6_1Q01">Tags_ols!$L$579</definedName>
    <definedName name="ITEM6_1Q02" localSheetId="10">Tags!$Q$579</definedName>
    <definedName name="ITEM6_1Q02">Tags_ols!$Q$579</definedName>
    <definedName name="ITEM6_1Q03" localSheetId="10">Tags!$V$579</definedName>
    <definedName name="ITEM6_1Q03">Tags_ols!$V$579</definedName>
    <definedName name="ITEM6_1Q04" localSheetId="10">Tags!$AA$579</definedName>
    <definedName name="ITEM6_1Q04">Tags_ols!$AA$579</definedName>
    <definedName name="ITEM6_1Q05" localSheetId="10">Tags!$AF$579</definedName>
    <definedName name="ITEM6_1Q05">Tags_ols!$AF$579</definedName>
    <definedName name="ITEM6_1Q06" localSheetId="10">Tags!$AK$579</definedName>
    <definedName name="ITEM6_1Q06">Tags_ols!$AK$579</definedName>
    <definedName name="ITEM6_1Q07" localSheetId="10">Tags!$AP$579</definedName>
    <definedName name="ITEM6_1Q07">Tags_ols!$AP$579</definedName>
    <definedName name="ITEM6_1Q08" localSheetId="10">Tags!$AU$579</definedName>
    <definedName name="ITEM6_1Q08">Tags_ols!$AU$579</definedName>
    <definedName name="ITEM6_1Q09" localSheetId="10">Tags!$AZ$579</definedName>
    <definedName name="ITEM6_1Q09">Tags_ols!$AZ$579</definedName>
    <definedName name="ITEM6_1Q10" localSheetId="10">Tags!$BE$579</definedName>
    <definedName name="ITEM6_1Q10">Tags_ols!$BE$579</definedName>
    <definedName name="ITEM6_1Q11" localSheetId="10">Tags!$BJ$579</definedName>
    <definedName name="ITEM6_1Q11">Tags_ols!$BJ$579</definedName>
    <definedName name="ITEM6_1Q12" localSheetId="10">Tags!$BO$579</definedName>
    <definedName name="ITEM6_1Q12">Tags_ols!$BO$579</definedName>
    <definedName name="ITEM6_1Q13" localSheetId="10">Tags!$BT$579</definedName>
    <definedName name="ITEM6_1Q13">Tags_ols!$BT$579</definedName>
    <definedName name="ITEM6_1Q14" localSheetId="10">Tags!$BY$579</definedName>
    <definedName name="ITEM6_1Q14">Tags_ols!$BY$579</definedName>
    <definedName name="ITEM6_1Q15" localSheetId="10">Tags!$CD$579</definedName>
    <definedName name="ITEM6_1Q15">Tags_ols!$CD$579</definedName>
    <definedName name="ITEM6_1Q16" localSheetId="10">Tags!$CI$579</definedName>
    <definedName name="ITEM6_1Q16">Tags_ols!$CI$579</definedName>
    <definedName name="ITEM6_1Q17" localSheetId="10">Tags!$CN$579</definedName>
    <definedName name="ITEM6_1Q17">Tags_ols!$CN$579</definedName>
    <definedName name="ITEM6_1Q18" localSheetId="10">Tags!$CS$579</definedName>
    <definedName name="ITEM6_1Q18">Tags_ols!$CS$579</definedName>
    <definedName name="ITEM6_1Q19" localSheetId="10">Tags!$CX$579</definedName>
    <definedName name="ITEM6_1Q19">Tags_ols!$CX$579</definedName>
    <definedName name="ITEM6_1Q20" localSheetId="10">Tags!$DC$579</definedName>
    <definedName name="ITEM6_1Q20">Tags_ols!$DC$579</definedName>
    <definedName name="ITEM6_1Q21">Tags!$DH$579</definedName>
    <definedName name="ITEM6_1Q22">Tags!$DM$579</definedName>
    <definedName name="ITEM6_1Q23">Tags!$DR$579</definedName>
    <definedName name="ITEM6_1Q24">Tags!$DW$579</definedName>
    <definedName name="ITEM6_2000" localSheetId="10">Tags!$K$579</definedName>
    <definedName name="ITEM6_2000">Tags_ols!$K$579</definedName>
    <definedName name="ITEM6_2001" localSheetId="10">Tags!$P$579</definedName>
    <definedName name="ITEM6_2001">Tags_ols!$P$579</definedName>
    <definedName name="ITEM6_2002" localSheetId="10">Tags!$U$579</definedName>
    <definedName name="ITEM6_2002">Tags_ols!$U$579</definedName>
    <definedName name="ITEM6_2003" localSheetId="10">Tags!$Z$579</definedName>
    <definedName name="ITEM6_2003">Tags_ols!$Z$579</definedName>
    <definedName name="ITEM6_2004" localSheetId="10">Tags!$AE$579</definedName>
    <definedName name="ITEM6_2004">Tags_ols!$AE$579</definedName>
    <definedName name="ITEM6_2005" localSheetId="10">Tags!$AJ$579</definedName>
    <definedName name="ITEM6_2005">Tags_ols!$AJ$579</definedName>
    <definedName name="ITEM6_2006" localSheetId="10">Tags!$AO$579</definedName>
    <definedName name="ITEM6_2006">Tags_ols!$AO$579</definedName>
    <definedName name="ITEM6_2007" localSheetId="10">Tags!$AT$579</definedName>
    <definedName name="ITEM6_2007">Tags_ols!$AT$579</definedName>
    <definedName name="ITEM6_2008" localSheetId="10">Tags!$AY$579</definedName>
    <definedName name="ITEM6_2008">Tags_ols!$AY$579</definedName>
    <definedName name="ITEM6_2009" localSheetId="10">Tags!$BD$579</definedName>
    <definedName name="ITEM6_2009">Tags_ols!$BD$579</definedName>
    <definedName name="ITEM6_2010" localSheetId="10">Tags!$BI$579</definedName>
    <definedName name="ITEM6_2010">Tags_ols!$BI$579</definedName>
    <definedName name="ITEM6_2011" localSheetId="10">Tags!$BN$579</definedName>
    <definedName name="ITEM6_2011">Tags_ols!$BN$579</definedName>
    <definedName name="ITEM6_2012" localSheetId="10">Tags!$BS$579</definedName>
    <definedName name="ITEM6_2012">Tags_ols!$BS$579</definedName>
    <definedName name="ITEM6_2013" localSheetId="10">Tags!$BX$579</definedName>
    <definedName name="ITEM6_2013">Tags_ols!$BX$579</definedName>
    <definedName name="ITEM6_2014" localSheetId="10">Tags!$CC$579</definedName>
    <definedName name="ITEM6_2014">Tags_ols!$CC$579</definedName>
    <definedName name="ITEM6_2015" localSheetId="10">Tags!#REF!</definedName>
    <definedName name="ITEM6_2015">Tags!$CH$579</definedName>
    <definedName name="ITEM6_2016" localSheetId="10">Tags!$CM$579</definedName>
    <definedName name="ITEM6_2016">Tags_ols!$CM$579</definedName>
    <definedName name="ITEM6_2017" localSheetId="10">Tags!$CR$579</definedName>
    <definedName name="ITEM6_2017">Tags_ols!$CR$579</definedName>
    <definedName name="ITEM6_2018" localSheetId="10">Tags!$CW$579</definedName>
    <definedName name="ITEM6_2018">Tags_ols!$CW$579</definedName>
    <definedName name="ITEM6_2019" localSheetId="10">Tags!$DB$579</definedName>
    <definedName name="ITEM6_2019">Tags_ols!$DB$579</definedName>
    <definedName name="ITEM6_2020" localSheetId="10">Tags!$DG$579</definedName>
    <definedName name="ITEM6_2020">Tags_ols!$DG$579</definedName>
    <definedName name="ITEM6_2021">Tags!$DL$579</definedName>
    <definedName name="ITEM6_2022">Tags!$DQ$579</definedName>
    <definedName name="ITEM6_2023">Tags!$DV$579</definedName>
    <definedName name="ITEM6_2024">Tags!$EA$579</definedName>
    <definedName name="ITEM6_2Q00" localSheetId="10">Tags!$H$579</definedName>
    <definedName name="ITEM6_2Q00">Tags_ols!$H$579</definedName>
    <definedName name="ITEM6_2Q01" localSheetId="10">Tags!$M$579</definedName>
    <definedName name="ITEM6_2Q01">Tags_ols!$M$579</definedName>
    <definedName name="ITEM6_2Q02" localSheetId="10">Tags!$R$579</definedName>
    <definedName name="ITEM6_2Q02">Tags_ols!$R$579</definedName>
    <definedName name="ITEM6_2Q03" localSheetId="10">Tags!$W$579</definedName>
    <definedName name="ITEM6_2Q03">Tags_ols!$W$579</definedName>
    <definedName name="ITEM6_2Q04" localSheetId="10">Tags!$AB$579</definedName>
    <definedName name="ITEM6_2Q04">Tags_ols!$AB$579</definedName>
    <definedName name="ITEM6_2Q05" localSheetId="10">Tags!$AG$579</definedName>
    <definedName name="ITEM6_2Q05">Tags_ols!$AG$579</definedName>
    <definedName name="ITEM6_2Q06" localSheetId="10">Tags!$AL$579</definedName>
    <definedName name="ITEM6_2Q06">Tags_ols!$AL$579</definedName>
    <definedName name="ITEM6_2Q07" localSheetId="10">Tags!$AQ$579</definedName>
    <definedName name="ITEM6_2Q07">Tags_ols!$AQ$579</definedName>
    <definedName name="ITEM6_2Q08" localSheetId="10">Tags!$AV$579</definedName>
    <definedName name="ITEM6_2Q08">Tags_ols!$AV$579</definedName>
    <definedName name="ITEM6_2Q09" localSheetId="10">Tags!$BA$579</definedName>
    <definedName name="ITEM6_2Q09">Tags_ols!$BA$579</definedName>
    <definedName name="ITEM6_2Q10" localSheetId="10">Tags!$BF$579</definedName>
    <definedName name="ITEM6_2Q10">Tags_ols!$BF$579</definedName>
    <definedName name="ITEM6_2Q11" localSheetId="10">Tags!$BK$579</definedName>
    <definedName name="ITEM6_2Q11">Tags_ols!$BK$579</definedName>
    <definedName name="ITEM6_2Q12" localSheetId="10">Tags!$BP$579</definedName>
    <definedName name="ITEM6_2Q12">Tags_ols!$BP$579</definedName>
    <definedName name="ITEM6_2Q13" localSheetId="10">Tags!$BU$579</definedName>
    <definedName name="ITEM6_2Q13">Tags_ols!$BU$579</definedName>
    <definedName name="ITEM6_2Q14" localSheetId="10">Tags!$BZ$579</definedName>
    <definedName name="ITEM6_2Q14">Tags_ols!$BZ$579</definedName>
    <definedName name="ITEM6_2Q15" localSheetId="10">Tags!$CE$579</definedName>
    <definedName name="ITEM6_2Q15">Tags_ols!$CE$579</definedName>
    <definedName name="ITEM6_2Q16" localSheetId="10">Tags!$CJ$579</definedName>
    <definedName name="ITEM6_2Q16">Tags_ols!$CJ$579</definedName>
    <definedName name="ITEM6_2Q17" localSheetId="10">Tags!$CO$579</definedName>
    <definedName name="ITEM6_2Q17">Tags_ols!$CO$579</definedName>
    <definedName name="ITEM6_2Q18" localSheetId="10">Tags!$CT$579</definedName>
    <definedName name="ITEM6_2Q18">Tags_ols!$CT$579</definedName>
    <definedName name="ITEM6_2Q19" localSheetId="10">Tags!$CY$579</definedName>
    <definedName name="ITEM6_2Q19">Tags_ols!$CY$579</definedName>
    <definedName name="ITEM6_2Q20" localSheetId="10">Tags!$DD$579</definedName>
    <definedName name="ITEM6_2Q20">Tags_ols!$DD$579</definedName>
    <definedName name="ITEM6_2Q21">Tags!$DI$579</definedName>
    <definedName name="ITEM6_2Q22">Tags!$DN$579</definedName>
    <definedName name="ITEM6_2Q23">Tags!$DS$579</definedName>
    <definedName name="ITEM6_2Q24">Tags!$DX$579</definedName>
    <definedName name="ITEM6_3Q00" localSheetId="10">Tags!$I$579</definedName>
    <definedName name="ITEM6_3Q00">Tags_ols!$I$579</definedName>
    <definedName name="ITEM6_3Q01" localSheetId="10">Tags!$N$579</definedName>
    <definedName name="ITEM6_3Q01">Tags_ols!$N$579</definedName>
    <definedName name="ITEM6_3Q02" localSheetId="10">Tags!$S$579</definedName>
    <definedName name="ITEM6_3Q02">Tags_ols!$S$579</definedName>
    <definedName name="ITEM6_3Q03" localSheetId="10">Tags!$X$579</definedName>
    <definedName name="ITEM6_3Q03">Tags_ols!$X$579</definedName>
    <definedName name="ITEM6_3Q04" localSheetId="10">Tags!$AC$579</definedName>
    <definedName name="ITEM6_3Q04">Tags_ols!$AC$579</definedName>
    <definedName name="ITEM6_3Q05" localSheetId="10">Tags!$AH$579</definedName>
    <definedName name="ITEM6_3Q05">Tags_ols!$AH$579</definedName>
    <definedName name="ITEM6_3Q06" localSheetId="10">Tags!$AM$579</definedName>
    <definedName name="ITEM6_3Q06">Tags_ols!$AM$579</definedName>
    <definedName name="ITEM6_3Q07" localSheetId="10">Tags!$AR$579</definedName>
    <definedName name="ITEM6_3Q07">Tags_ols!$AR$579</definedName>
    <definedName name="ITEM6_3Q08" localSheetId="10">Tags!$AW$579</definedName>
    <definedName name="ITEM6_3Q08">Tags_ols!$AW$579</definedName>
    <definedName name="ITEM6_3Q09" localSheetId="10">Tags!$BB$579</definedName>
    <definedName name="ITEM6_3Q09">Tags_ols!$BB$579</definedName>
    <definedName name="ITEM6_3Q10" localSheetId="10">Tags!$BG$579</definedName>
    <definedName name="ITEM6_3Q10">Tags_ols!$BG$579</definedName>
    <definedName name="ITEM6_3Q11" localSheetId="10">Tags!$BL$579</definedName>
    <definedName name="ITEM6_3Q11">Tags_ols!$BL$579</definedName>
    <definedName name="ITEM6_3Q12" localSheetId="10">Tags!$BQ$579</definedName>
    <definedName name="ITEM6_3Q12">Tags_ols!$BQ$579</definedName>
    <definedName name="ITEM6_3Q13" localSheetId="10">Tags!$BV$579</definedName>
    <definedName name="ITEM6_3Q13">Tags_ols!$BV$579</definedName>
    <definedName name="ITEM6_3Q14" localSheetId="10">Tags!$CA$579</definedName>
    <definedName name="ITEM6_3Q14">Tags_ols!$CA$579</definedName>
    <definedName name="ITEM6_3Q15" localSheetId="10">Tags!$CF$579</definedName>
    <definedName name="ITEM6_3Q15">Tags_ols!$CF$579</definedName>
    <definedName name="ITEM6_3Q16" localSheetId="10">Tags!$CK$579</definedName>
    <definedName name="ITEM6_3Q16">Tags_ols!$CK$579</definedName>
    <definedName name="ITEM6_3Q17" localSheetId="10">Tags!$CP$579</definedName>
    <definedName name="ITEM6_3Q17">Tags_ols!$CP$579</definedName>
    <definedName name="ITEM6_3Q18" localSheetId="10">Tags!$CU$579</definedName>
    <definedName name="ITEM6_3Q18">Tags_ols!$CU$579</definedName>
    <definedName name="ITEM6_3Q19" localSheetId="10">Tags!$CZ$579</definedName>
    <definedName name="ITEM6_3Q19">Tags_ols!$CZ$579</definedName>
    <definedName name="ITEM6_3Q20" localSheetId="10">Tags!$DE$579</definedName>
    <definedName name="ITEM6_3Q20">Tags_ols!$DE$579</definedName>
    <definedName name="ITEM6_3Q21">Tags!$DJ$579</definedName>
    <definedName name="ITEM6_3Q22">Tags!$DO$579</definedName>
    <definedName name="ITEM6_3Q23">Tags!$DT$579</definedName>
    <definedName name="ITEM6_3Q24">Tags!$DY$579</definedName>
    <definedName name="ITEM6_4Q00" localSheetId="10">Tags!$J$579</definedName>
    <definedName name="ITEM6_4Q00">Tags_ols!$J$579</definedName>
    <definedName name="ITEM6_4Q01" localSheetId="10">Tags!$O$579</definedName>
    <definedName name="ITEM6_4Q01">Tags_ols!$O$579</definedName>
    <definedName name="ITEM6_4Q02" localSheetId="10">Tags!$T$579</definedName>
    <definedName name="ITEM6_4Q02">Tags_ols!$T$579</definedName>
    <definedName name="ITEM6_4Q03" localSheetId="10">Tags!$Y$579</definedName>
    <definedName name="ITEM6_4Q03">Tags_ols!$Y$579</definedName>
    <definedName name="ITEM6_4Q04" localSheetId="10">Tags!$AD$579</definedName>
    <definedName name="ITEM6_4Q04">Tags_ols!$AD$579</definedName>
    <definedName name="ITEM6_4Q05" localSheetId="10">Tags!$AI$579</definedName>
    <definedName name="ITEM6_4Q05">Tags_ols!$AI$579</definedName>
    <definedName name="ITEM6_4Q06" localSheetId="10">Tags!$AN$579</definedName>
    <definedName name="ITEM6_4Q06">Tags_ols!$AN$579</definedName>
    <definedName name="ITEM6_4Q07" localSheetId="10">Tags!$AS$579</definedName>
    <definedName name="ITEM6_4Q07">Tags_ols!$AS$579</definedName>
    <definedName name="ITEM6_4Q08" localSheetId="10">Tags!$AX$579</definedName>
    <definedName name="ITEM6_4Q08">Tags_ols!$AX$579</definedName>
    <definedName name="ITEM6_4Q09" localSheetId="10">Tags!$BC$579</definedName>
    <definedName name="ITEM6_4Q09">Tags_ols!$BC$579</definedName>
    <definedName name="ITEM6_4Q10" localSheetId="10">Tags!$BH$579</definedName>
    <definedName name="ITEM6_4Q10">Tags_ols!$BH$579</definedName>
    <definedName name="ITEM6_4Q11" localSheetId="10">Tags!$BM$579</definedName>
    <definedName name="ITEM6_4Q11">Tags_ols!$BM$579</definedName>
    <definedName name="ITEM6_4Q12" localSheetId="10">Tags!$BR$579</definedName>
    <definedName name="ITEM6_4Q12">Tags_ols!$BR$579</definedName>
    <definedName name="ITEM6_4Q13" localSheetId="10">Tags!$BW$579</definedName>
    <definedName name="ITEM6_4Q13">Tags_ols!$BW$579</definedName>
    <definedName name="ITEM6_4Q14" localSheetId="10">Tags!$CB$579</definedName>
    <definedName name="ITEM6_4Q14">Tags_ols!$CB$579</definedName>
    <definedName name="ITEM6_4Q15" localSheetId="10">Tags!$CG$579</definedName>
    <definedName name="ITEM6_4Q15">Tags_ols!$CG$579</definedName>
    <definedName name="ITEM6_4Q16" localSheetId="10">Tags!$CL$579</definedName>
    <definedName name="ITEM6_4Q16">Tags_ols!$CL$579</definedName>
    <definedName name="ITEM6_4Q17" localSheetId="10">Tags!$CQ$579</definedName>
    <definedName name="ITEM6_4Q17">Tags_ols!$CQ$579</definedName>
    <definedName name="ITEM6_4Q18" localSheetId="10">Tags!$CV$579</definedName>
    <definedName name="ITEM6_4Q18">Tags_ols!$CV$579</definedName>
    <definedName name="ITEM6_4Q19" localSheetId="10">Tags!$DA$579</definedName>
    <definedName name="ITEM6_4Q19">Tags_ols!$DA$579</definedName>
    <definedName name="ITEM6_4Q20" localSheetId="10">Tags!$DF$579</definedName>
    <definedName name="ITEM6_4Q20">Tags_ols!$DF$579</definedName>
    <definedName name="ITEM6_4Q21">Tags!$DK$579</definedName>
    <definedName name="ITEM6_4Q22">Tags!$DP$579</definedName>
    <definedName name="ITEM6_4Q23">Tags!$DU$579</definedName>
    <definedName name="ITEM6_4Q24">Tags!$DZ$579</definedName>
    <definedName name="ITEM7_1995">Tags_ols!$B$580</definedName>
    <definedName name="ITEM7_1996">Tags_ols!$C$580</definedName>
    <definedName name="ITEM7_1997">Tags_ols!$D$580</definedName>
    <definedName name="ITEM7_1998">Tags_ols!$E$580</definedName>
    <definedName name="ITEM7_1999">Tags_ols!$F$580</definedName>
    <definedName name="ITEM7_1Q00" localSheetId="10">Tags!$G$580</definedName>
    <definedName name="ITEM7_1Q00">Tags_ols!$G$580</definedName>
    <definedName name="ITEM7_1Q01" localSheetId="10">Tags!$L$580</definedName>
    <definedName name="ITEM7_1Q01">Tags_ols!$L$580</definedName>
    <definedName name="ITEM7_1Q02" localSheetId="10">Tags!$Q$580</definedName>
    <definedName name="ITEM7_1Q02">Tags_ols!$Q$580</definedName>
    <definedName name="ITEM7_1Q03" localSheetId="10">Tags!$V$580</definedName>
    <definedName name="ITEM7_1Q03">Tags_ols!$V$580</definedName>
    <definedName name="ITEM7_1Q04" localSheetId="10">Tags!$AA$580</definedName>
    <definedName name="ITEM7_1Q04">Tags_ols!$AA$580</definedName>
    <definedName name="ITEM7_1Q05" localSheetId="10">Tags!$AF$580</definedName>
    <definedName name="ITEM7_1Q05">Tags_ols!$AF$580</definedName>
    <definedName name="ITEM7_1Q06" localSheetId="10">Tags!$AK$580</definedName>
    <definedName name="ITEM7_1Q06">Tags_ols!$AK$580</definedName>
    <definedName name="ITEM7_1Q07" localSheetId="10">Tags!$AP$580</definedName>
    <definedName name="ITEM7_1Q07">Tags_ols!$AP$580</definedName>
    <definedName name="ITEM7_1Q08" localSheetId="10">Tags!$AU$580</definedName>
    <definedName name="ITEM7_1Q08">Tags_ols!$AU$580</definedName>
    <definedName name="ITEM7_1Q09" localSheetId="10">Tags!$AZ$580</definedName>
    <definedName name="ITEM7_1Q09">Tags_ols!$AZ$580</definedName>
    <definedName name="ITEM7_1Q10" localSheetId="10">Tags!$BE$580</definedName>
    <definedName name="ITEM7_1Q10">Tags_ols!$BE$580</definedName>
    <definedName name="ITEM7_1Q11" localSheetId="10">Tags!$BJ$580</definedName>
    <definedName name="ITEM7_1Q11">Tags_ols!$BJ$580</definedName>
    <definedName name="ITEM7_1Q12" localSheetId="10">Tags!$BO$580</definedName>
    <definedName name="ITEM7_1Q12">Tags_ols!$BO$580</definedName>
    <definedName name="ITEM7_1Q13" localSheetId="10">Tags!$BT$580</definedName>
    <definedName name="ITEM7_1Q13">Tags_ols!$BT$580</definedName>
    <definedName name="ITEM7_1Q14" localSheetId="10">Tags!$BY$580</definedName>
    <definedName name="ITEM7_1Q14">Tags_ols!$BY$580</definedName>
    <definedName name="ITEM7_1Q15" localSheetId="10">Tags!$CD$580</definedName>
    <definedName name="ITEM7_1Q15">Tags_ols!$CD$580</definedName>
    <definedName name="ITEM7_1Q16" localSheetId="10">Tags!$CI$580</definedName>
    <definedName name="ITEM7_1Q16">Tags_ols!$CI$580</definedName>
    <definedName name="ITEM7_1Q17" localSheetId="10">Tags!$CN$580</definedName>
    <definedName name="ITEM7_1Q17">Tags_ols!$CN$580</definedName>
    <definedName name="ITEM7_1Q18" localSheetId="10">Tags!$CS$580</definedName>
    <definedName name="ITEM7_1Q18">Tags_ols!$CS$580</definedName>
    <definedName name="ITEM7_1Q19" localSheetId="10">Tags!$CX$580</definedName>
    <definedName name="ITEM7_1Q19">Tags_ols!$CX$580</definedName>
    <definedName name="ITEM7_1Q20" localSheetId="10">Tags!$DC$580</definedName>
    <definedName name="ITEM7_1Q20">Tags_ols!$DC$580</definedName>
    <definedName name="ITEM7_1Q21">Tags!$DH$580</definedName>
    <definedName name="ITEM7_1Q22">Tags!$DM$580</definedName>
    <definedName name="ITEM7_1Q23">Tags!$DR$580</definedName>
    <definedName name="ITEM7_1Q24">Tags!$DW$580</definedName>
    <definedName name="ITEM7_2000" localSheetId="10">Tags!$K$580</definedName>
    <definedName name="ITEM7_2000">Tags_ols!$K$580</definedName>
    <definedName name="ITEM7_2001" localSheetId="10">Tags!$P$580</definedName>
    <definedName name="ITEM7_2001">Tags_ols!$P$580</definedName>
    <definedName name="ITEM7_2002" localSheetId="10">Tags!$U$580</definedName>
    <definedName name="ITEM7_2002">Tags_ols!$U$580</definedName>
    <definedName name="ITEM7_2003" localSheetId="10">Tags!$Z$580</definedName>
    <definedName name="ITEM7_2003">Tags_ols!$Z$580</definedName>
    <definedName name="ITEM7_2004" localSheetId="10">Tags!$AE$580</definedName>
    <definedName name="ITEM7_2004">Tags_ols!$AE$580</definedName>
    <definedName name="ITEM7_2005" localSheetId="10">Tags!$AJ$580</definedName>
    <definedName name="ITEM7_2005">Tags_ols!$AJ$580</definedName>
    <definedName name="ITEM7_2006" localSheetId="10">Tags!$AO$580</definedName>
    <definedName name="ITEM7_2006">Tags_ols!$AO$580</definedName>
    <definedName name="ITEM7_2007" localSheetId="10">Tags!$AT$580</definedName>
    <definedName name="ITEM7_2007">Tags_ols!$AT$580</definedName>
    <definedName name="ITEM7_2008" localSheetId="10">Tags!$AY$580</definedName>
    <definedName name="ITEM7_2008">Tags_ols!$AY$580</definedName>
    <definedName name="ITEM7_2009" localSheetId="10">Tags!$BD$580</definedName>
    <definedName name="ITEM7_2009">Tags_ols!$BD$580</definedName>
    <definedName name="ITEM7_2010" localSheetId="10">Tags!$BI$580</definedName>
    <definedName name="ITEM7_2010">Tags_ols!$BI$580</definedName>
    <definedName name="ITEM7_2011" localSheetId="10">Tags!$BN$580</definedName>
    <definedName name="ITEM7_2011">Tags_ols!$BN$580</definedName>
    <definedName name="ITEM7_2012" localSheetId="10">Tags!$BS$580</definedName>
    <definedName name="ITEM7_2012">Tags_ols!$BS$580</definedName>
    <definedName name="ITEM7_2013" localSheetId="10">Tags!$BX$580</definedName>
    <definedName name="ITEM7_2013">Tags_ols!$BX$580</definedName>
    <definedName name="ITEM7_2014" localSheetId="10">Tags!$CC$580</definedName>
    <definedName name="ITEM7_2014">Tags_ols!$CC$580</definedName>
    <definedName name="ITEM7_2015" localSheetId="10">Tags!#REF!</definedName>
    <definedName name="ITEM7_2015">Tags!$CH$580</definedName>
    <definedName name="ITEM7_2016" localSheetId="10">Tags!$CM$580</definedName>
    <definedName name="ITEM7_2016">Tags_ols!$CM$580</definedName>
    <definedName name="ITEM7_2017" localSheetId="10">Tags!$CR$580</definedName>
    <definedName name="ITEM7_2017">Tags_ols!$CR$580</definedName>
    <definedName name="ITEM7_2018" localSheetId="10">Tags!$CW$580</definedName>
    <definedName name="ITEM7_2018">Tags_ols!$CW$580</definedName>
    <definedName name="ITEM7_2019" localSheetId="10">Tags!$DB$580</definedName>
    <definedName name="ITEM7_2019">Tags_ols!$DB$580</definedName>
    <definedName name="ITEM7_2020" localSheetId="10">Tags!$DG$580</definedName>
    <definedName name="ITEM7_2020">Tags_ols!$DG$580</definedName>
    <definedName name="ITEM7_2021">Tags!$DL$580</definedName>
    <definedName name="ITEM7_2022">Tags!$DQ$580</definedName>
    <definedName name="ITEM7_2023">Tags!$DV$580</definedName>
    <definedName name="ITEM7_2024">Tags!$EA$580</definedName>
    <definedName name="ITEM7_2Q00" localSheetId="10">Tags!$H$580</definedName>
    <definedName name="ITEM7_2Q00">Tags_ols!$H$580</definedName>
    <definedName name="ITEM7_2Q01" localSheetId="10">Tags!$M$580</definedName>
    <definedName name="ITEM7_2Q01">Tags_ols!$M$580</definedName>
    <definedName name="ITEM7_2Q02" localSheetId="10">Tags!$R$580</definedName>
    <definedName name="ITEM7_2Q02">Tags_ols!$R$580</definedName>
    <definedName name="ITEM7_2Q03" localSheetId="10">Tags!$W$580</definedName>
    <definedName name="ITEM7_2Q03">Tags_ols!$W$580</definedName>
    <definedName name="ITEM7_2Q04" localSheetId="10">Tags!$AB$580</definedName>
    <definedName name="ITEM7_2Q04">Tags_ols!$AB$580</definedName>
    <definedName name="ITEM7_2Q05" localSheetId="10">Tags!$AG$580</definedName>
    <definedName name="ITEM7_2Q05">Tags_ols!$AG$580</definedName>
    <definedName name="ITEM7_2Q06" localSheetId="10">Tags!$AL$580</definedName>
    <definedName name="ITEM7_2Q06">Tags_ols!$AL$580</definedName>
    <definedName name="ITEM7_2Q07" localSheetId="10">Tags!$AQ$580</definedName>
    <definedName name="ITEM7_2Q07">Tags_ols!$AQ$580</definedName>
    <definedName name="ITEM7_2Q08" localSheetId="10">Tags!$AV$580</definedName>
    <definedName name="ITEM7_2Q08">Tags_ols!$AV$580</definedName>
    <definedName name="ITEM7_2Q09" localSheetId="10">Tags!$BA$580</definedName>
    <definedName name="ITEM7_2Q09">Tags_ols!$BA$580</definedName>
    <definedName name="ITEM7_2Q10" localSheetId="10">Tags!$BF$580</definedName>
    <definedName name="ITEM7_2Q10">Tags_ols!$BF$580</definedName>
    <definedName name="ITEM7_2Q11" localSheetId="10">Tags!$BK$580</definedName>
    <definedName name="ITEM7_2Q11">Tags_ols!$BK$580</definedName>
    <definedName name="ITEM7_2Q12" localSheetId="10">Tags!$BP$580</definedName>
    <definedName name="ITEM7_2Q12">Tags_ols!$BP$580</definedName>
    <definedName name="ITEM7_2Q13" localSheetId="10">Tags!$BU$580</definedName>
    <definedName name="ITEM7_2Q13">Tags_ols!$BU$580</definedName>
    <definedName name="ITEM7_2Q14" localSheetId="10">Tags!$BZ$580</definedName>
    <definedName name="ITEM7_2Q14">Tags_ols!$BZ$580</definedName>
    <definedName name="ITEM7_2Q15" localSheetId="10">Tags!$CE$580</definedName>
    <definedName name="ITEM7_2Q15">Tags_ols!$CE$580</definedName>
    <definedName name="ITEM7_2Q16" localSheetId="10">Tags!$CJ$580</definedName>
    <definedName name="ITEM7_2Q16">Tags_ols!$CJ$580</definedName>
    <definedName name="ITEM7_2Q17" localSheetId="10">Tags!$CO$580</definedName>
    <definedName name="ITEM7_2Q17">Tags_ols!$CO$580</definedName>
    <definedName name="ITEM7_2Q18" localSheetId="10">Tags!$CT$580</definedName>
    <definedName name="ITEM7_2Q18">Tags_ols!$CT$580</definedName>
    <definedName name="ITEM7_2Q19" localSheetId="10">Tags!$CY$580</definedName>
    <definedName name="ITEM7_2Q19">Tags_ols!$CY$580</definedName>
    <definedName name="ITEM7_2Q20" localSheetId="10">Tags!$DD$580</definedName>
    <definedName name="ITEM7_2Q20">Tags_ols!$DD$580</definedName>
    <definedName name="ITEM7_2Q21">Tags!$DI$580</definedName>
    <definedName name="ITEM7_2Q22">Tags!$DN$580</definedName>
    <definedName name="ITEM7_2Q23">Tags!$DS$580</definedName>
    <definedName name="ITEM7_2Q24">Tags!$DX$580</definedName>
    <definedName name="ITEM7_3Q00" localSheetId="10">Tags!$I$580</definedName>
    <definedName name="ITEM7_3Q00">Tags_ols!$I$580</definedName>
    <definedName name="ITEM7_3Q01" localSheetId="10">Tags!$N$580</definedName>
    <definedName name="ITEM7_3Q01">Tags_ols!$N$580</definedName>
    <definedName name="ITEM7_3Q02" localSheetId="10">Tags!$S$580</definedName>
    <definedName name="ITEM7_3Q02">Tags_ols!$S$580</definedName>
    <definedName name="ITEM7_3Q03" localSheetId="10">Tags!$X$580</definedName>
    <definedName name="ITEM7_3Q03">Tags_ols!$X$580</definedName>
    <definedName name="ITEM7_3Q04" localSheetId="10">Tags!$AC$580</definedName>
    <definedName name="ITEM7_3Q04">Tags_ols!$AC$580</definedName>
    <definedName name="ITEM7_3Q05" localSheetId="10">Tags!$AH$580</definedName>
    <definedName name="ITEM7_3Q05">Tags_ols!$AH$580</definedName>
    <definedName name="ITEM7_3Q06" localSheetId="10">Tags!$AM$580</definedName>
    <definedName name="ITEM7_3Q06">Tags_ols!$AM$580</definedName>
    <definedName name="ITEM7_3Q07" localSheetId="10">Tags!$AR$580</definedName>
    <definedName name="ITEM7_3Q07">Tags_ols!$AR$580</definedName>
    <definedName name="ITEM7_3Q08" localSheetId="10">Tags!$AW$580</definedName>
    <definedName name="ITEM7_3Q08">Tags_ols!$AW$580</definedName>
    <definedName name="ITEM7_3Q09" localSheetId="10">Tags!$BB$580</definedName>
    <definedName name="ITEM7_3Q09">Tags_ols!$BB$580</definedName>
    <definedName name="ITEM7_3Q10" localSheetId="10">Tags!$BG$580</definedName>
    <definedName name="ITEM7_3Q10">Tags_ols!$BG$580</definedName>
    <definedName name="ITEM7_3Q11" localSheetId="10">Tags!$BL$580</definedName>
    <definedName name="ITEM7_3Q11">Tags_ols!$BL$580</definedName>
    <definedName name="ITEM7_3Q12" localSheetId="10">Tags!$BQ$580</definedName>
    <definedName name="ITEM7_3Q12">Tags_ols!$BQ$580</definedName>
    <definedName name="ITEM7_3Q13" localSheetId="10">Tags!$BV$580</definedName>
    <definedName name="ITEM7_3Q13">Tags_ols!$BV$580</definedName>
    <definedName name="ITEM7_3Q14" localSheetId="10">Tags!$CA$580</definedName>
    <definedName name="ITEM7_3Q14">Tags_ols!$CA$580</definedName>
    <definedName name="ITEM7_3Q15" localSheetId="10">Tags!$CF$580</definedName>
    <definedName name="ITEM7_3Q15">Tags_ols!$CF$580</definedName>
    <definedName name="ITEM7_3Q16" localSheetId="10">Tags!$CK$580</definedName>
    <definedName name="ITEM7_3Q16">Tags_ols!$CK$580</definedName>
    <definedName name="ITEM7_3Q17" localSheetId="10">Tags!$CP$580</definedName>
    <definedName name="ITEM7_3Q17">Tags_ols!$CP$580</definedName>
    <definedName name="ITEM7_3Q18" localSheetId="10">Tags!$CU$580</definedName>
    <definedName name="ITEM7_3Q18">Tags_ols!$CU$580</definedName>
    <definedName name="ITEM7_3Q19" localSheetId="10">Tags!$CZ$580</definedName>
    <definedName name="ITEM7_3Q19">Tags_ols!$CZ$580</definedName>
    <definedName name="ITEM7_3Q20" localSheetId="10">Tags!$DE$580</definedName>
    <definedName name="ITEM7_3Q20">Tags_ols!$DE$580</definedName>
    <definedName name="ITEM7_3Q21">Tags!$DJ$580</definedName>
    <definedName name="ITEM7_3Q22">Tags!$DO$580</definedName>
    <definedName name="ITEM7_3Q23">Tags!$DT$580</definedName>
    <definedName name="ITEM7_3Q24">Tags!$DY$580</definedName>
    <definedName name="ITEM7_4Q00" localSheetId="10">Tags!$J$580</definedName>
    <definedName name="ITEM7_4Q00">Tags_ols!$J$580</definedName>
    <definedName name="ITEM7_4Q01" localSheetId="10">Tags!$O$580</definedName>
    <definedName name="ITEM7_4Q01">Tags_ols!$O$580</definedName>
    <definedName name="ITEM7_4Q02" localSheetId="10">Tags!$T$580</definedName>
    <definedName name="ITEM7_4Q02">Tags_ols!$T$580</definedName>
    <definedName name="ITEM7_4Q03" localSheetId="10">Tags!$Y$580</definedName>
    <definedName name="ITEM7_4Q03">Tags_ols!$Y$580</definedName>
    <definedName name="ITEM7_4Q04" localSheetId="10">Tags!$AD$580</definedName>
    <definedName name="ITEM7_4Q04">Tags_ols!$AD$580</definedName>
    <definedName name="ITEM7_4Q05" localSheetId="10">Tags!$AI$580</definedName>
    <definedName name="ITEM7_4Q05">Tags_ols!$AI$580</definedName>
    <definedName name="ITEM7_4Q06" localSheetId="10">Tags!$AN$580</definedName>
    <definedName name="ITEM7_4Q06">Tags_ols!$AN$580</definedName>
    <definedName name="ITEM7_4Q07" localSheetId="10">Tags!$AS$580</definedName>
    <definedName name="ITEM7_4Q07">Tags_ols!$AS$580</definedName>
    <definedName name="ITEM7_4Q08" localSheetId="10">Tags!$AX$580</definedName>
    <definedName name="ITEM7_4Q08">Tags_ols!$AX$580</definedName>
    <definedName name="ITEM7_4Q09" localSheetId="10">Tags!$BC$580</definedName>
    <definedName name="ITEM7_4Q09">Tags_ols!$BC$580</definedName>
    <definedName name="ITEM7_4Q10" localSheetId="10">Tags!$BH$580</definedName>
    <definedName name="ITEM7_4Q10">Tags_ols!$BH$580</definedName>
    <definedName name="ITEM7_4Q11" localSheetId="10">Tags!$BM$580</definedName>
    <definedName name="ITEM7_4Q11">Tags_ols!$BM$580</definedName>
    <definedName name="ITEM7_4Q12" localSheetId="10">Tags!$BR$580</definedName>
    <definedName name="ITEM7_4Q12">Tags_ols!$BR$580</definedName>
    <definedName name="ITEM7_4Q13" localSheetId="10">Tags!$BW$580</definedName>
    <definedName name="ITEM7_4Q13">Tags_ols!$BW$580</definedName>
    <definedName name="ITEM7_4Q14" localSheetId="10">Tags!$CB$580</definedName>
    <definedName name="ITEM7_4Q14">Tags_ols!$CB$580</definedName>
    <definedName name="ITEM7_4Q15" localSheetId="10">Tags!$CG$580</definedName>
    <definedName name="ITEM7_4Q15">Tags_ols!$CG$580</definedName>
    <definedName name="ITEM7_4Q16" localSheetId="10">Tags!$CL$580</definedName>
    <definedName name="ITEM7_4Q16">Tags_ols!$CL$580</definedName>
    <definedName name="ITEM7_4Q17" localSheetId="10">Tags!$CQ$580</definedName>
    <definedName name="ITEM7_4Q17">Tags_ols!$CQ$580</definedName>
    <definedName name="ITEM7_4Q18" localSheetId="10">Tags!$CV$580</definedName>
    <definedName name="ITEM7_4Q18">Tags_ols!$CV$580</definedName>
    <definedName name="ITEM7_4Q19" localSheetId="10">Tags!$DA$580</definedName>
    <definedName name="ITEM7_4Q19">Tags_ols!$DA$580</definedName>
    <definedName name="ITEM7_4Q20" localSheetId="10">Tags!$DF$580</definedName>
    <definedName name="ITEM7_4Q20">Tags_ols!$DF$580</definedName>
    <definedName name="ITEM7_4Q21">Tags!$DK$580</definedName>
    <definedName name="ITEM7_4Q22">Tags!$DP$580</definedName>
    <definedName name="ITEM7_4Q23">Tags!$DU$580</definedName>
    <definedName name="ITEM7_4Q24">Tags!$DZ$580</definedName>
    <definedName name="ITEM8_1995">Tags_ols!$B$581</definedName>
    <definedName name="ITEM8_1996">Tags_ols!$C$581</definedName>
    <definedName name="ITEM8_1997">Tags_ols!$D$581</definedName>
    <definedName name="ITEM8_1998">Tags_ols!$E$581</definedName>
    <definedName name="ITEM8_1999">Tags_ols!$F$581</definedName>
    <definedName name="ITEM8_1Q00" localSheetId="10">Tags!$G$581</definedName>
    <definedName name="ITEM8_1Q00">Tags_ols!$G$581</definedName>
    <definedName name="ITEM8_1Q01" localSheetId="10">Tags!$L$581</definedName>
    <definedName name="ITEM8_1Q01">Tags_ols!$L$581</definedName>
    <definedName name="ITEM8_1Q02" localSheetId="10">Tags!$Q$581</definedName>
    <definedName name="ITEM8_1Q02">Tags_ols!$Q$581</definedName>
    <definedName name="ITEM8_1Q03" localSheetId="10">Tags!$V$581</definedName>
    <definedName name="ITEM8_1Q03">Tags_ols!$V$581</definedName>
    <definedName name="ITEM8_1Q04" localSheetId="10">Tags!$AA$581</definedName>
    <definedName name="ITEM8_1Q04">Tags_ols!$AA$581</definedName>
    <definedName name="ITEM8_1Q05" localSheetId="10">Tags!$AF$581</definedName>
    <definedName name="ITEM8_1Q05">Tags_ols!$AF$581</definedName>
    <definedName name="ITEM8_1Q06" localSheetId="10">Tags!$AK$581</definedName>
    <definedName name="ITEM8_1Q06">Tags_ols!$AK$581</definedName>
    <definedName name="ITEM8_1Q07" localSheetId="10">Tags!$AP$581</definedName>
    <definedName name="ITEM8_1Q07">Tags_ols!$AP$581</definedName>
    <definedName name="ITEM8_1Q08" localSheetId="10">Tags!$AU$581</definedName>
    <definedName name="ITEM8_1Q08">Tags_ols!$AU$581</definedName>
    <definedName name="ITEM8_1Q09" localSheetId="10">Tags!$AZ$581</definedName>
    <definedName name="ITEM8_1Q09">Tags_ols!$AZ$581</definedName>
    <definedName name="ITEM8_1Q10" localSheetId="10">Tags!$BE$581</definedName>
    <definedName name="ITEM8_1Q10">Tags_ols!$BE$581</definedName>
    <definedName name="ITEM8_1Q11" localSheetId="10">Tags!$BJ$581</definedName>
    <definedName name="ITEM8_1Q11">Tags_ols!$BJ$581</definedName>
    <definedName name="ITEM8_1Q12" localSheetId="10">Tags!$BO$581</definedName>
    <definedName name="ITEM8_1Q12">Tags_ols!$BO$581</definedName>
    <definedName name="ITEM8_1Q13" localSheetId="10">Tags!$BT$581</definedName>
    <definedName name="ITEM8_1Q13">Tags_ols!$BT$581</definedName>
    <definedName name="ITEM8_1Q14" localSheetId="10">Tags!$BY$581</definedName>
    <definedName name="ITEM8_1Q14">Tags_ols!$BY$581</definedName>
    <definedName name="ITEM8_1Q15" localSheetId="10">Tags!$CD$581</definedName>
    <definedName name="ITEM8_1Q15">Tags_ols!$CD$581</definedName>
    <definedName name="ITEM8_1Q16" localSheetId="10">Tags!$CI$581</definedName>
    <definedName name="ITEM8_1Q16">Tags_ols!$CI$581</definedName>
    <definedName name="ITEM8_1Q17" localSheetId="10">Tags!$CN$581</definedName>
    <definedName name="ITEM8_1Q17">Tags_ols!$CN$581</definedName>
    <definedName name="ITEM8_1Q18" localSheetId="10">Tags!$CS$581</definedName>
    <definedName name="ITEM8_1Q18">Tags_ols!$CS$581</definedName>
    <definedName name="ITEM8_1Q19" localSheetId="10">Tags!$CX$581</definedName>
    <definedName name="ITEM8_1Q19">Tags_ols!$CX$581</definedName>
    <definedName name="ITEM8_1Q20" localSheetId="10">Tags!$DC$581</definedName>
    <definedName name="ITEM8_1Q20">Tags_ols!$DC$581</definedName>
    <definedName name="ITEM8_1Q21">Tags!$DH$581</definedName>
    <definedName name="ITEM8_1Q22">Tags!$DM$581</definedName>
    <definedName name="ITEM8_1Q23">Tags!$DR$581</definedName>
    <definedName name="ITEM8_1Q24">Tags!$DW$581</definedName>
    <definedName name="ITEM8_2000" localSheetId="10">Tags!$K$581</definedName>
    <definedName name="ITEM8_2000">Tags_ols!$K$581</definedName>
    <definedName name="ITEM8_2001" localSheetId="10">Tags!$P$581</definedName>
    <definedName name="ITEM8_2001">Tags_ols!$P$581</definedName>
    <definedName name="ITEM8_2002" localSheetId="10">Tags!$U$581</definedName>
    <definedName name="ITEM8_2002">Tags_ols!$U$581</definedName>
    <definedName name="ITEM8_2003" localSheetId="10">Tags!$Z$581</definedName>
    <definedName name="ITEM8_2003">Tags_ols!$Z$581</definedName>
    <definedName name="ITEM8_2004" localSheetId="10">Tags!$AE$581</definedName>
    <definedName name="ITEM8_2004">Tags_ols!$AE$581</definedName>
    <definedName name="ITEM8_2005" localSheetId="10">Tags!$AJ$581</definedName>
    <definedName name="ITEM8_2005">Tags_ols!$AJ$581</definedName>
    <definedName name="ITEM8_2006" localSheetId="10">Tags!$AO$581</definedName>
    <definedName name="ITEM8_2006">Tags_ols!$AO$581</definedName>
    <definedName name="ITEM8_2007" localSheetId="10">Tags!$AT$581</definedName>
    <definedName name="ITEM8_2007">Tags_ols!$AT$581</definedName>
    <definedName name="ITEM8_2008" localSheetId="10">Tags!$AY$581</definedName>
    <definedName name="ITEM8_2008">Tags_ols!$AY$581</definedName>
    <definedName name="ITEM8_2009" localSheetId="10">Tags!$BD$581</definedName>
    <definedName name="ITEM8_2009">Tags_ols!$BD$581</definedName>
    <definedName name="ITEM8_2010" localSheetId="10">Tags!$BI$581</definedName>
    <definedName name="ITEM8_2010">Tags_ols!$BI$581</definedName>
    <definedName name="ITEM8_2011" localSheetId="10">Tags!$BN$581</definedName>
    <definedName name="ITEM8_2011">Tags_ols!$BN$581</definedName>
    <definedName name="ITEM8_2012" localSheetId="10">Tags!$BS$581</definedName>
    <definedName name="ITEM8_2012">Tags_ols!$BS$581</definedName>
    <definedName name="ITEM8_2013" localSheetId="10">Tags!$BX$581</definedName>
    <definedName name="ITEM8_2013">Tags_ols!$BX$581</definedName>
    <definedName name="ITEM8_2014" localSheetId="10">Tags!$CC$581</definedName>
    <definedName name="ITEM8_2014">Tags_ols!$CC$581</definedName>
    <definedName name="ITEM8_2015" localSheetId="10">Tags!#REF!</definedName>
    <definedName name="ITEM8_2015">Tags!$CH$581</definedName>
    <definedName name="ITEM8_2016" localSheetId="10">Tags!$CM$581</definedName>
    <definedName name="ITEM8_2016">Tags_ols!$CM$581</definedName>
    <definedName name="ITEM8_2017" localSheetId="10">Tags!$CR$581</definedName>
    <definedName name="ITEM8_2017">Tags_ols!$CR$581</definedName>
    <definedName name="ITEM8_2018" localSheetId="10">Tags!$CW$581</definedName>
    <definedName name="ITEM8_2018">Tags_ols!$CW$581</definedName>
    <definedName name="ITEM8_2019" localSheetId="10">Tags!$DB$581</definedName>
    <definedName name="ITEM8_2019">Tags_ols!$DB$581</definedName>
    <definedName name="ITEM8_2020" localSheetId="10">Tags!$DG$581</definedName>
    <definedName name="ITEM8_2020">Tags_ols!$DG$581</definedName>
    <definedName name="ITEM8_2021">Tags!$DL$581</definedName>
    <definedName name="ITEM8_2022">Tags!$DQ$581</definedName>
    <definedName name="ITEM8_2023">Tags!$DV$581</definedName>
    <definedName name="ITEM8_2024">Tags!$EA$581</definedName>
    <definedName name="ITEM8_2Q00" localSheetId="10">Tags!$H$581</definedName>
    <definedName name="ITEM8_2Q00">Tags_ols!$H$581</definedName>
    <definedName name="ITEM8_2Q01" localSheetId="10">Tags!$M$581</definedName>
    <definedName name="ITEM8_2Q01">Tags_ols!$M$581</definedName>
    <definedName name="ITEM8_2Q02" localSheetId="10">Tags!$R$581</definedName>
    <definedName name="ITEM8_2Q02">Tags_ols!$R$581</definedName>
    <definedName name="ITEM8_2Q03" localSheetId="10">Tags!$W$581</definedName>
    <definedName name="ITEM8_2Q03">Tags_ols!$W$581</definedName>
    <definedName name="ITEM8_2Q04" localSheetId="10">Tags!$AB$581</definedName>
    <definedName name="ITEM8_2Q04">Tags_ols!$AB$581</definedName>
    <definedName name="ITEM8_2Q05" localSheetId="10">Tags!$AG$581</definedName>
    <definedName name="ITEM8_2Q05">Tags_ols!$AG$581</definedName>
    <definedName name="ITEM8_2Q06" localSheetId="10">Tags!$AL$581</definedName>
    <definedName name="ITEM8_2Q06">Tags_ols!$AL$581</definedName>
    <definedName name="ITEM8_2Q07" localSheetId="10">Tags!$AQ$581</definedName>
    <definedName name="ITEM8_2Q07">Tags_ols!$AQ$581</definedName>
    <definedName name="ITEM8_2Q08" localSheetId="10">Tags!$AV$581</definedName>
    <definedName name="ITEM8_2Q08">Tags_ols!$AV$581</definedName>
    <definedName name="ITEM8_2Q09" localSheetId="10">Tags!$BA$581</definedName>
    <definedName name="ITEM8_2Q09">Tags_ols!$BA$581</definedName>
    <definedName name="ITEM8_2Q10" localSheetId="10">Tags!$BF$581</definedName>
    <definedName name="ITEM8_2Q10">Tags_ols!$BF$581</definedName>
    <definedName name="ITEM8_2Q11" localSheetId="10">Tags!$BK$581</definedName>
    <definedName name="ITEM8_2Q11">Tags_ols!$BK$581</definedName>
    <definedName name="ITEM8_2Q12" localSheetId="10">Tags!$BP$581</definedName>
    <definedName name="ITEM8_2Q12">Tags_ols!$BP$581</definedName>
    <definedName name="ITEM8_2Q13" localSheetId="10">Tags!$BU$581</definedName>
    <definedName name="ITEM8_2Q13">Tags_ols!$BU$581</definedName>
    <definedName name="ITEM8_2Q14" localSheetId="10">Tags!$BZ$581</definedName>
    <definedName name="ITEM8_2Q14">Tags_ols!$BZ$581</definedName>
    <definedName name="ITEM8_2Q15" localSheetId="10">Tags!$CE$581</definedName>
    <definedName name="ITEM8_2Q15">Tags_ols!$CE$581</definedName>
    <definedName name="ITEM8_2Q16" localSheetId="10">Tags!$CJ$581</definedName>
    <definedName name="ITEM8_2Q16">Tags_ols!$CJ$581</definedName>
    <definedName name="ITEM8_2Q17" localSheetId="10">Tags!$CO$581</definedName>
    <definedName name="ITEM8_2Q17">Tags_ols!$CO$581</definedName>
    <definedName name="ITEM8_2Q18" localSheetId="10">Tags!$CT$581</definedName>
    <definedName name="ITEM8_2Q18">Tags_ols!$CT$581</definedName>
    <definedName name="ITEM8_2Q19" localSheetId="10">Tags!$CY$581</definedName>
    <definedName name="ITEM8_2Q19">Tags_ols!$CY$581</definedName>
    <definedName name="ITEM8_2Q20" localSheetId="10">Tags!$DD$581</definedName>
    <definedName name="ITEM8_2Q20">Tags_ols!$DD$581</definedName>
    <definedName name="ITEM8_2Q21">Tags!$DI$581</definedName>
    <definedName name="ITEM8_2Q22">Tags!$DN$581</definedName>
    <definedName name="ITEM8_2Q23">Tags!$DS$581</definedName>
    <definedName name="ITEM8_2Q24">Tags!$DX$581</definedName>
    <definedName name="ITEM8_3Q00" localSheetId="10">Tags!$I$581</definedName>
    <definedName name="ITEM8_3Q00">Tags_ols!$I$581</definedName>
    <definedName name="ITEM8_3Q01" localSheetId="10">Tags!$N$581</definedName>
    <definedName name="ITEM8_3Q01">Tags_ols!$N$581</definedName>
    <definedName name="ITEM8_3Q02" localSheetId="10">Tags!$S$581</definedName>
    <definedName name="ITEM8_3Q02">Tags_ols!$S$581</definedName>
    <definedName name="ITEM8_3Q03" localSheetId="10">Tags!$X$581</definedName>
    <definedName name="ITEM8_3Q03">Tags_ols!$X$581</definedName>
    <definedName name="ITEM8_3Q04" localSheetId="10">Tags!$AC$581</definedName>
    <definedName name="ITEM8_3Q04">Tags_ols!$AC$581</definedName>
    <definedName name="ITEM8_3Q05" localSheetId="10">Tags!$AH$581</definedName>
    <definedName name="ITEM8_3Q05">Tags_ols!$AH$581</definedName>
    <definedName name="ITEM8_3Q06" localSheetId="10">Tags!$AM$581</definedName>
    <definedName name="ITEM8_3Q06">Tags_ols!$AM$581</definedName>
    <definedName name="ITEM8_3Q07" localSheetId="10">Tags!$AR$581</definedName>
    <definedName name="ITEM8_3Q07">Tags_ols!$AR$581</definedName>
    <definedName name="ITEM8_3Q08" localSheetId="10">Tags!$AW$581</definedName>
    <definedName name="ITEM8_3Q08">Tags_ols!$AW$581</definedName>
    <definedName name="ITEM8_3Q09" localSheetId="10">Tags!$BB$581</definedName>
    <definedName name="ITEM8_3Q09">Tags_ols!$BB$581</definedName>
    <definedName name="ITEM8_3Q10" localSheetId="10">Tags!$BG$581</definedName>
    <definedName name="ITEM8_3Q10">Tags_ols!$BG$581</definedName>
    <definedName name="ITEM8_3Q11" localSheetId="10">Tags!$BL$581</definedName>
    <definedName name="ITEM8_3Q11">Tags_ols!$BL$581</definedName>
    <definedName name="ITEM8_3Q12" localSheetId="10">Tags!$BQ$581</definedName>
    <definedName name="ITEM8_3Q12">Tags_ols!$BQ$581</definedName>
    <definedName name="ITEM8_3Q13" localSheetId="10">Tags!$BV$581</definedName>
    <definedName name="ITEM8_3Q13">Tags_ols!$BV$581</definedName>
    <definedName name="ITEM8_3Q14" localSheetId="10">Tags!$CA$581</definedName>
    <definedName name="ITEM8_3Q14">Tags_ols!$CA$581</definedName>
    <definedName name="ITEM8_3Q15" localSheetId="10">Tags!$CF$581</definedName>
    <definedName name="ITEM8_3Q15">Tags_ols!$CF$581</definedName>
    <definedName name="ITEM8_3Q16" localSheetId="10">Tags!$CK$581</definedName>
    <definedName name="ITEM8_3Q16">Tags_ols!$CK$581</definedName>
    <definedName name="ITEM8_3Q17" localSheetId="10">Tags!$CP$581</definedName>
    <definedName name="ITEM8_3Q17">Tags_ols!$CP$581</definedName>
    <definedName name="ITEM8_3Q18" localSheetId="10">Tags!$CU$581</definedName>
    <definedName name="ITEM8_3Q18">Tags_ols!$CU$581</definedName>
    <definedName name="ITEM8_3Q19" localSheetId="10">Tags!$CZ$581</definedName>
    <definedName name="ITEM8_3Q19">Tags_ols!$CZ$581</definedName>
    <definedName name="ITEM8_3Q20" localSheetId="10">Tags!$DE$581</definedName>
    <definedName name="ITEM8_3Q20">Tags_ols!$DE$581</definedName>
    <definedName name="ITEM8_3Q21">Tags!$DJ$581</definedName>
    <definedName name="ITEM8_3Q22">Tags!$DO$581</definedName>
    <definedName name="ITEM8_3Q23">Tags!$DT$581</definedName>
    <definedName name="ITEM8_3Q24">Tags!$DY$581</definedName>
    <definedName name="ITEM8_4Q00" localSheetId="10">Tags!$J$581</definedName>
    <definedName name="ITEM8_4Q00">Tags_ols!$J$581</definedName>
    <definedName name="ITEM8_4Q01" localSheetId="10">Tags!$O$581</definedName>
    <definedName name="ITEM8_4Q01">Tags_ols!$O$581</definedName>
    <definedName name="ITEM8_4Q02" localSheetId="10">Tags!$T$581</definedName>
    <definedName name="ITEM8_4Q02">Tags_ols!$T$581</definedName>
    <definedName name="ITEM8_4Q03" localSheetId="10">Tags!$Y$581</definedName>
    <definedName name="ITEM8_4Q03">Tags_ols!$Y$581</definedName>
    <definedName name="ITEM8_4Q04" localSheetId="10">Tags!$AD$581</definedName>
    <definedName name="ITEM8_4Q04">Tags_ols!$AD$581</definedName>
    <definedName name="ITEM8_4Q05" localSheetId="10">Tags!$AI$581</definedName>
    <definedName name="ITEM8_4Q05">Tags_ols!$AI$581</definedName>
    <definedName name="ITEM8_4Q06" localSheetId="10">Tags!$AN$581</definedName>
    <definedName name="ITEM8_4Q06">Tags_ols!$AN$581</definedName>
    <definedName name="ITEM8_4Q07" localSheetId="10">Tags!$AS$581</definedName>
    <definedName name="ITEM8_4Q07">Tags_ols!$AS$581</definedName>
    <definedName name="ITEM8_4Q08" localSheetId="10">Tags!$AX$581</definedName>
    <definedName name="ITEM8_4Q08">Tags_ols!$AX$581</definedName>
    <definedName name="ITEM8_4Q09" localSheetId="10">Tags!$BC$581</definedName>
    <definedName name="ITEM8_4Q09">Tags_ols!$BC$581</definedName>
    <definedName name="ITEM8_4Q10" localSheetId="10">Tags!$BH$581</definedName>
    <definedName name="ITEM8_4Q10">Tags_ols!$BH$581</definedName>
    <definedName name="ITEM8_4Q11" localSheetId="10">Tags!$BM$581</definedName>
    <definedName name="ITEM8_4Q11">Tags_ols!$BM$581</definedName>
    <definedName name="ITEM8_4Q12" localSheetId="10">Tags!$BR$581</definedName>
    <definedName name="ITEM8_4Q12">Tags_ols!$BR$581</definedName>
    <definedName name="ITEM8_4Q13" localSheetId="10">Tags!$BW$581</definedName>
    <definedName name="ITEM8_4Q13">Tags_ols!$BW$581</definedName>
    <definedName name="ITEM8_4Q14" localSheetId="10">Tags!$CB$581</definedName>
    <definedName name="ITEM8_4Q14">Tags_ols!$CB$581</definedName>
    <definedName name="ITEM8_4Q15" localSheetId="10">Tags!$CG$581</definedName>
    <definedName name="ITEM8_4Q15">Tags_ols!$CG$581</definedName>
    <definedName name="ITEM8_4Q16" localSheetId="10">Tags!$CL$581</definedName>
    <definedName name="ITEM8_4Q16">Tags_ols!$CL$581</definedName>
    <definedName name="ITEM8_4Q17" localSheetId="10">Tags!$CQ$581</definedName>
    <definedName name="ITEM8_4Q17">Tags_ols!$CQ$581</definedName>
    <definedName name="ITEM8_4Q18" localSheetId="10">Tags!$CV$581</definedName>
    <definedName name="ITEM8_4Q18">Tags_ols!$CV$581</definedName>
    <definedName name="ITEM8_4Q19" localSheetId="10">Tags!$DA$581</definedName>
    <definedName name="ITEM8_4Q19">Tags_ols!$DA$581</definedName>
    <definedName name="ITEM8_4Q20" localSheetId="10">Tags!$DF$581</definedName>
    <definedName name="ITEM8_4Q20">Tags_ols!$DF$581</definedName>
    <definedName name="ITEM8_4Q21">Tags!$DK$581</definedName>
    <definedName name="ITEM8_4Q22">Tags!$DP$581</definedName>
    <definedName name="ITEM8_4Q23">Tags!$DU$581</definedName>
    <definedName name="ITEM8_4Q24">Tags!$DZ$581</definedName>
    <definedName name="ITEM9_1995">Tags_ols!$B$582</definedName>
    <definedName name="ITEM9_1996">Tags_ols!$C$582</definedName>
    <definedName name="ITEM9_1997">Tags_ols!$D$582</definedName>
    <definedName name="ITEM9_1998">Tags_ols!$E$582</definedName>
    <definedName name="ITEM9_1999">Tags_ols!$F$582</definedName>
    <definedName name="ITEM9_1Q00" localSheetId="10">Tags!$G$582</definedName>
    <definedName name="ITEM9_1Q00">Tags_ols!$G$582</definedName>
    <definedName name="ITEM9_1Q01" localSheetId="10">Tags!$L$582</definedName>
    <definedName name="ITEM9_1Q01">Tags_ols!$L$582</definedName>
    <definedName name="ITEM9_1Q02" localSheetId="10">Tags!$Q$582</definedName>
    <definedName name="ITEM9_1Q02">Tags_ols!$Q$582</definedName>
    <definedName name="ITEM9_1Q03" localSheetId="10">Tags!$V$582</definedName>
    <definedName name="ITEM9_1Q03">Tags_ols!$V$582</definedName>
    <definedName name="ITEM9_1Q04" localSheetId="10">Tags!$AA$582</definedName>
    <definedName name="ITEM9_1Q04">Tags_ols!$AA$582</definedName>
    <definedName name="ITEM9_1Q05" localSheetId="10">Tags!$AF$582</definedName>
    <definedName name="ITEM9_1Q05">Tags_ols!$AF$582</definedName>
    <definedName name="ITEM9_1Q06" localSheetId="10">Tags!$AK$582</definedName>
    <definedName name="ITEM9_1Q06">Tags_ols!$AK$582</definedName>
    <definedName name="ITEM9_1Q07" localSheetId="10">Tags!$AP$582</definedName>
    <definedName name="ITEM9_1Q07">Tags_ols!$AP$582</definedName>
    <definedName name="ITEM9_1Q08" localSheetId="10">Tags!$AU$582</definedName>
    <definedName name="ITEM9_1Q08">Tags_ols!$AU$582</definedName>
    <definedName name="ITEM9_1Q09" localSheetId="10">Tags!$AZ$582</definedName>
    <definedName name="ITEM9_1Q09">Tags_ols!$AZ$582</definedName>
    <definedName name="ITEM9_1Q10" localSheetId="10">Tags!$BE$582</definedName>
    <definedName name="ITEM9_1Q10">Tags_ols!$BE$582</definedName>
    <definedName name="ITEM9_1Q11" localSheetId="10">Tags!$BJ$582</definedName>
    <definedName name="ITEM9_1Q11">Tags_ols!$BJ$582</definedName>
    <definedName name="ITEM9_1Q12" localSheetId="10">Tags!$BO$582</definedName>
    <definedName name="ITEM9_1Q12">Tags_ols!$BO$582</definedName>
    <definedName name="ITEM9_1Q13" localSheetId="10">Tags!$BT$582</definedName>
    <definedName name="ITEM9_1Q13">Tags_ols!$BT$582</definedName>
    <definedName name="ITEM9_1Q14" localSheetId="10">Tags!$BY$582</definedName>
    <definedName name="ITEM9_1Q14">Tags_ols!$BY$582</definedName>
    <definedName name="ITEM9_1Q15" localSheetId="10">Tags!$CD$582</definedName>
    <definedName name="ITEM9_1Q15">Tags_ols!$CD$582</definedName>
    <definedName name="ITEM9_1Q16" localSheetId="10">Tags!$CI$582</definedName>
    <definedName name="ITEM9_1Q16">Tags_ols!$CI$582</definedName>
    <definedName name="ITEM9_1Q17" localSheetId="10">Tags!$CN$582</definedName>
    <definedName name="ITEM9_1Q17">Tags_ols!$CN$582</definedName>
    <definedName name="ITEM9_1Q18" localSheetId="10">Tags!$CS$582</definedName>
    <definedName name="ITEM9_1Q18">Tags_ols!$CS$582</definedName>
    <definedName name="ITEM9_1Q19" localSheetId="10">Tags!$CX$582</definedName>
    <definedName name="ITEM9_1Q19">Tags_ols!$CX$582</definedName>
    <definedName name="ITEM9_1Q20" localSheetId="10">Tags!$DC$582</definedName>
    <definedName name="ITEM9_1Q20">Tags_ols!$DC$582</definedName>
    <definedName name="ITEM9_1Q21">Tags!$DH$582</definedName>
    <definedName name="ITEM9_1Q22">Tags!$DM$582</definedName>
    <definedName name="ITEM9_1Q23">Tags!$DR$582</definedName>
    <definedName name="ITEM9_1Q24">Tags!$DW$582</definedName>
    <definedName name="ITEM9_2000" localSheetId="10">Tags!$K$582</definedName>
    <definedName name="ITEM9_2000">Tags_ols!$K$582</definedName>
    <definedName name="ITEM9_2001" localSheetId="10">Tags!$P$582</definedName>
    <definedName name="ITEM9_2001">Tags_ols!$P$582</definedName>
    <definedName name="ITEM9_2002" localSheetId="10">Tags!$U$582</definedName>
    <definedName name="ITEM9_2002">Tags_ols!$U$582</definedName>
    <definedName name="ITEM9_2003" localSheetId="10">Tags!$Z$582</definedName>
    <definedName name="ITEM9_2003">Tags_ols!$Z$582</definedName>
    <definedName name="ITEM9_2004" localSheetId="10">Tags!$AE$582</definedName>
    <definedName name="ITEM9_2004">Tags_ols!$AE$582</definedName>
    <definedName name="ITEM9_2005" localSheetId="10">Tags!$AJ$582</definedName>
    <definedName name="ITEM9_2005">Tags_ols!$AJ$582</definedName>
    <definedName name="ITEM9_2006" localSheetId="10">Tags!$AO$582</definedName>
    <definedName name="ITEM9_2006">Tags_ols!$AO$582</definedName>
    <definedName name="ITEM9_2007" localSheetId="10">Tags!$AT$582</definedName>
    <definedName name="ITEM9_2007">Tags_ols!$AT$582</definedName>
    <definedName name="ITEM9_2008" localSheetId="10">Tags!$AY$582</definedName>
    <definedName name="ITEM9_2008">Tags_ols!$AY$582</definedName>
    <definedName name="ITEM9_2009" localSheetId="10">Tags!$BD$582</definedName>
    <definedName name="ITEM9_2009">Tags_ols!$BD$582</definedName>
    <definedName name="ITEM9_2010" localSheetId="10">Tags!$BI$582</definedName>
    <definedName name="ITEM9_2010">Tags_ols!$BI$582</definedName>
    <definedName name="ITEM9_2011" localSheetId="10">Tags!$BN$582</definedName>
    <definedName name="ITEM9_2011">Tags_ols!$BN$582</definedName>
    <definedName name="ITEM9_2012" localSheetId="10">Tags!$BS$582</definedName>
    <definedName name="ITEM9_2012">Tags_ols!$BS$582</definedName>
    <definedName name="ITEM9_2013" localSheetId="10">Tags!$BX$582</definedName>
    <definedName name="ITEM9_2013">Tags_ols!$BX$582</definedName>
    <definedName name="ITEM9_2014" localSheetId="10">Tags!$CC$582</definedName>
    <definedName name="ITEM9_2014">Tags_ols!$CC$582</definedName>
    <definedName name="ITEM9_2015" localSheetId="10">Tags!#REF!</definedName>
    <definedName name="ITEM9_2015">Tags!$CH$582</definedName>
    <definedName name="ITEM9_2016" localSheetId="10">Tags!$CM$582</definedName>
    <definedName name="ITEM9_2016">Tags_ols!$CM$582</definedName>
    <definedName name="ITEM9_2017" localSheetId="10">Tags!$CR$582</definedName>
    <definedName name="ITEM9_2017">Tags_ols!$CR$582</definedName>
    <definedName name="ITEM9_2018" localSheetId="10">Tags!$CW$582</definedName>
    <definedName name="ITEM9_2018">Tags_ols!$CW$582</definedName>
    <definedName name="ITEM9_2019" localSheetId="10">Tags!$DB$582</definedName>
    <definedName name="ITEM9_2019">Tags_ols!$DB$582</definedName>
    <definedName name="ITEM9_2020" localSheetId="10">Tags!$DG$582</definedName>
    <definedName name="ITEM9_2020">Tags_ols!$DG$582</definedName>
    <definedName name="ITEM9_2021">Tags!$DL$582</definedName>
    <definedName name="ITEM9_2022">Tags!$DQ$582</definedName>
    <definedName name="ITEM9_2023">Tags!$DV$582</definedName>
    <definedName name="ITEM9_2024">Tags!$EA$582</definedName>
    <definedName name="ITEM9_2Q00" localSheetId="10">Tags!$H$582</definedName>
    <definedName name="ITEM9_2Q00">Tags_ols!$H$582</definedName>
    <definedName name="ITEM9_2Q01" localSheetId="10">Tags!$M$582</definedName>
    <definedName name="ITEM9_2Q01">Tags_ols!$M$582</definedName>
    <definedName name="ITEM9_2Q02" localSheetId="10">Tags!$R$582</definedName>
    <definedName name="ITEM9_2Q02">Tags_ols!$R$582</definedName>
    <definedName name="ITEM9_2Q03" localSheetId="10">Tags!$W$582</definedName>
    <definedName name="ITEM9_2Q03">Tags_ols!$W$582</definedName>
    <definedName name="ITEM9_2Q04" localSheetId="10">Tags!$AB$582</definedName>
    <definedName name="ITEM9_2Q04">Tags_ols!$AB$582</definedName>
    <definedName name="ITEM9_2Q05" localSheetId="10">Tags!$AG$582</definedName>
    <definedName name="ITEM9_2Q05">Tags_ols!$AG$582</definedName>
    <definedName name="ITEM9_2Q06" localSheetId="10">Tags!$AL$582</definedName>
    <definedName name="ITEM9_2Q06">Tags_ols!$AL$582</definedName>
    <definedName name="ITEM9_2Q07" localSheetId="10">Tags!$AQ$582</definedName>
    <definedName name="ITEM9_2Q07">Tags_ols!$AQ$582</definedName>
    <definedName name="ITEM9_2Q08" localSheetId="10">Tags!$AV$582</definedName>
    <definedName name="ITEM9_2Q08">Tags_ols!$AV$582</definedName>
    <definedName name="ITEM9_2Q09" localSheetId="10">Tags!$BA$582</definedName>
    <definedName name="ITEM9_2Q09">Tags_ols!$BA$582</definedName>
    <definedName name="ITEM9_2Q10" localSheetId="10">Tags!$BF$582</definedName>
    <definedName name="ITEM9_2Q10">Tags_ols!$BF$582</definedName>
    <definedName name="ITEM9_2Q11" localSheetId="10">Tags!$BK$582</definedName>
    <definedName name="ITEM9_2Q11">Tags_ols!$BK$582</definedName>
    <definedName name="ITEM9_2Q12" localSheetId="10">Tags!$BP$582</definedName>
    <definedName name="ITEM9_2Q12">Tags_ols!$BP$582</definedName>
    <definedName name="ITEM9_2Q13" localSheetId="10">Tags!$BU$582</definedName>
    <definedName name="ITEM9_2Q13">Tags_ols!$BU$582</definedName>
    <definedName name="ITEM9_2Q14" localSheetId="10">Tags!$BZ$582</definedName>
    <definedName name="ITEM9_2Q14">Tags_ols!$BZ$582</definedName>
    <definedName name="ITEM9_2Q15" localSheetId="10">Tags!$CE$582</definedName>
    <definedName name="ITEM9_2Q15">Tags_ols!$CE$582</definedName>
    <definedName name="ITEM9_2Q16" localSheetId="10">Tags!$CJ$582</definedName>
    <definedName name="ITEM9_2Q16">Tags_ols!$CJ$582</definedName>
    <definedName name="ITEM9_2Q17" localSheetId="10">Tags!$CO$582</definedName>
    <definedName name="ITEM9_2Q17">Tags_ols!$CO$582</definedName>
    <definedName name="ITEM9_2Q18" localSheetId="10">Tags!$CT$582</definedName>
    <definedName name="ITEM9_2Q18">Tags_ols!$CT$582</definedName>
    <definedName name="ITEM9_2Q19" localSheetId="10">Tags!$CY$582</definedName>
    <definedName name="ITEM9_2Q19">Tags_ols!$CY$582</definedName>
    <definedName name="ITEM9_2Q20" localSheetId="10">Tags!$DD$582</definedName>
    <definedName name="ITEM9_2Q20">Tags_ols!$DD$582</definedName>
    <definedName name="ITEM9_2Q21">Tags!$DI$582</definedName>
    <definedName name="ITEM9_2Q22">Tags!$DN$582</definedName>
    <definedName name="ITEM9_2Q23">Tags!$DS$582</definedName>
    <definedName name="ITEM9_2Q24">Tags!$DX$582</definedName>
    <definedName name="ITEM9_3Q00" localSheetId="10">Tags!$I$582</definedName>
    <definedName name="ITEM9_3Q00">Tags_ols!$I$582</definedName>
    <definedName name="ITEM9_3Q01" localSheetId="10">Tags!$N$582</definedName>
    <definedName name="ITEM9_3Q01">Tags_ols!$N$582</definedName>
    <definedName name="ITEM9_3Q02" localSheetId="10">Tags!$S$582</definedName>
    <definedName name="ITEM9_3Q02">Tags_ols!$S$582</definedName>
    <definedName name="ITEM9_3Q03" localSheetId="10">Tags!$X$582</definedName>
    <definedName name="ITEM9_3Q03">Tags_ols!$X$582</definedName>
    <definedName name="ITEM9_3Q04" localSheetId="10">Tags!$AC$582</definedName>
    <definedName name="ITEM9_3Q04">Tags_ols!$AC$582</definedName>
    <definedName name="ITEM9_3Q05" localSheetId="10">Tags!$AH$582</definedName>
    <definedName name="ITEM9_3Q05">Tags_ols!$AH$582</definedName>
    <definedName name="ITEM9_3Q06" localSheetId="10">Tags!$AM$582</definedName>
    <definedName name="ITEM9_3Q06">Tags_ols!$AM$582</definedName>
    <definedName name="ITEM9_3Q07" localSheetId="10">Tags!$AR$582</definedName>
    <definedName name="ITEM9_3Q07">Tags_ols!$AR$582</definedName>
    <definedName name="ITEM9_3Q08" localSheetId="10">Tags!$AW$582</definedName>
    <definedName name="ITEM9_3Q08">Tags_ols!$AW$582</definedName>
    <definedName name="ITEM9_3Q09" localSheetId="10">Tags!$BB$582</definedName>
    <definedName name="ITEM9_3Q09">Tags_ols!$BB$582</definedName>
    <definedName name="ITEM9_3Q10" localSheetId="10">Tags!$BG$582</definedName>
    <definedName name="ITEM9_3Q10">Tags_ols!$BG$582</definedName>
    <definedName name="ITEM9_3Q11" localSheetId="10">Tags!$BL$582</definedName>
    <definedName name="ITEM9_3Q11">Tags_ols!$BL$582</definedName>
    <definedName name="ITEM9_3Q12" localSheetId="10">Tags!$BQ$582</definedName>
    <definedName name="ITEM9_3Q12">Tags_ols!$BQ$582</definedName>
    <definedName name="ITEM9_3Q13" localSheetId="10">Tags!$BV$582</definedName>
    <definedName name="ITEM9_3Q13">Tags_ols!$BV$582</definedName>
    <definedName name="ITEM9_3Q14" localSheetId="10">Tags!$CA$582</definedName>
    <definedName name="ITEM9_3Q14">Tags_ols!$CA$582</definedName>
    <definedName name="ITEM9_3Q15" localSheetId="10">Tags!$CF$582</definedName>
    <definedName name="ITEM9_3Q15">Tags_ols!$CF$582</definedName>
    <definedName name="ITEM9_3Q16" localSheetId="10">Tags!$CK$582</definedName>
    <definedName name="ITEM9_3Q16">Tags_ols!$CK$582</definedName>
    <definedName name="ITEM9_3Q17" localSheetId="10">Tags!$CP$582</definedName>
    <definedName name="ITEM9_3Q17">Tags_ols!$CP$582</definedName>
    <definedName name="ITEM9_3Q18" localSheetId="10">Tags!$CU$582</definedName>
    <definedName name="ITEM9_3Q18">Tags_ols!$CU$582</definedName>
    <definedName name="ITEM9_3Q19" localSheetId="10">Tags!$CZ$582</definedName>
    <definedName name="ITEM9_3Q19">Tags_ols!$CZ$582</definedName>
    <definedName name="ITEM9_3Q20" localSheetId="10">Tags!$DE$582</definedName>
    <definedName name="ITEM9_3Q20">Tags_ols!$DE$582</definedName>
    <definedName name="ITEM9_3Q21">Tags!$DJ$582</definedName>
    <definedName name="ITEM9_3Q22">Tags!$DO$582</definedName>
    <definedName name="ITEM9_3Q23">Tags!$DT$582</definedName>
    <definedName name="ITEM9_3Q24">Tags!$DY$582</definedName>
    <definedName name="ITEM9_4Q00" localSheetId="10">Tags!$J$582</definedName>
    <definedName name="ITEM9_4Q00">Tags_ols!$J$582</definedName>
    <definedName name="ITEM9_4Q01" localSheetId="10">Tags!$O$582</definedName>
    <definedName name="ITEM9_4Q01">Tags_ols!$O$582</definedName>
    <definedName name="ITEM9_4Q02" localSheetId="10">Tags!$T$582</definedName>
    <definedName name="ITEM9_4Q02">Tags_ols!$T$582</definedName>
    <definedName name="ITEM9_4Q03" localSheetId="10">Tags!$Y$582</definedName>
    <definedName name="ITEM9_4Q03">Tags_ols!$Y$582</definedName>
    <definedName name="ITEM9_4Q04" localSheetId="10">Tags!$AD$582</definedName>
    <definedName name="ITEM9_4Q04">Tags_ols!$AD$582</definedName>
    <definedName name="ITEM9_4Q05" localSheetId="10">Tags!$AI$582</definedName>
    <definedName name="ITEM9_4Q05">Tags_ols!$AI$582</definedName>
    <definedName name="ITEM9_4Q06" localSheetId="10">Tags!$AN$582</definedName>
    <definedName name="ITEM9_4Q06">Tags_ols!$AN$582</definedName>
    <definedName name="ITEM9_4Q07" localSheetId="10">Tags!$AS$582</definedName>
    <definedName name="ITEM9_4Q07">Tags_ols!$AS$582</definedName>
    <definedName name="ITEM9_4Q08" localSheetId="10">Tags!$AX$582</definedName>
    <definedName name="ITEM9_4Q08">Tags_ols!$AX$582</definedName>
    <definedName name="ITEM9_4Q09" localSheetId="10">Tags!$BC$582</definedName>
    <definedName name="ITEM9_4Q09">Tags_ols!$BC$582</definedName>
    <definedName name="ITEM9_4Q10" localSheetId="10">Tags!$BH$582</definedName>
    <definedName name="ITEM9_4Q10">Tags_ols!$BH$582</definedName>
    <definedName name="ITEM9_4Q11" localSheetId="10">Tags!$BM$582</definedName>
    <definedName name="ITEM9_4Q11">Tags_ols!$BM$582</definedName>
    <definedName name="ITEM9_4Q12" localSheetId="10">Tags!$BR$582</definedName>
    <definedName name="ITEM9_4Q12">Tags_ols!$BR$582</definedName>
    <definedName name="ITEM9_4Q13" localSheetId="10">Tags!$BW$582</definedName>
    <definedName name="ITEM9_4Q13">Tags_ols!$BW$582</definedName>
    <definedName name="ITEM9_4Q14" localSheetId="10">Tags!$CB$582</definedName>
    <definedName name="ITEM9_4Q14">Tags_ols!$CB$582</definedName>
    <definedName name="ITEM9_4Q15" localSheetId="10">Tags!$CG$582</definedName>
    <definedName name="ITEM9_4Q15">Tags_ols!$CG$582</definedName>
    <definedName name="ITEM9_4Q16" localSheetId="10">Tags!$CL$582</definedName>
    <definedName name="ITEM9_4Q16">Tags_ols!$CL$582</definedName>
    <definedName name="ITEM9_4Q17" localSheetId="10">Tags!$CQ$582</definedName>
    <definedName name="ITEM9_4Q17">Tags_ols!$CQ$582</definedName>
    <definedName name="ITEM9_4Q18" localSheetId="10">Tags!$CV$582</definedName>
    <definedName name="ITEM9_4Q18">Tags_ols!$CV$582</definedName>
    <definedName name="ITEM9_4Q19" localSheetId="10">Tags!$DA$582</definedName>
    <definedName name="ITEM9_4Q19">Tags_ols!$DA$582</definedName>
    <definedName name="ITEM9_4Q20" localSheetId="10">Tags!$DF$582</definedName>
    <definedName name="ITEM9_4Q20">Tags_ols!$DF$582</definedName>
    <definedName name="ITEM9_4Q21">Tags!$DK$582</definedName>
    <definedName name="ITEM9_4Q22">Tags!$DP$582</definedName>
    <definedName name="ITEM9_4Q23">Tags!$DU$582</definedName>
    <definedName name="ITEM9_4Q24">Tags!$DZ$582</definedName>
    <definedName name="Itemcheck">#REF!</definedName>
    <definedName name="iunf2">#REF!</definedName>
    <definedName name="jad" localSheetId="4" hidden="1">{#N/A,"30% Success",TRUE,"Sales Forecast";#N/A,#N/A,TRUE,"Sheet2"}</definedName>
    <definedName name="jad" localSheetId="6" hidden="1">{#N/A,"30% Success",TRUE,"Sales Forecast";#N/A,#N/A,TRUE,"Sheet2"}</definedName>
    <definedName name="jad" localSheetId="0" hidden="1">{#N/A,"30% Success",TRUE,"Sales Forecast";#N/A,#N/A,TRUE,"Sheet2"}</definedName>
    <definedName name="jad" localSheetId="9" hidden="1">{#N/A,"30% Success",TRUE,"Sales Forecast";#N/A,#N/A,TRUE,"Sheet2"}</definedName>
    <definedName name="jad" localSheetId="5" hidden="1">{#N/A,"30% Success",TRUE,"Sales Forecast";#N/A,#N/A,TRUE,"Sheet2"}</definedName>
    <definedName name="jad" hidden="1">{#N/A,"30% Success",TRUE,"Sales Forecast";#N/A,#N/A,TRUE,"Sheet2"}</definedName>
    <definedName name="joaquim" localSheetId="4" hidden="1">{#N/A,"100% Success",TRUE,"Sales Forecast";#N/A,#N/A,TRUE,"Sheet2"}</definedName>
    <definedName name="joaquim" localSheetId="6" hidden="1">{#N/A,"100% Success",TRUE,"Sales Forecast";#N/A,#N/A,TRUE,"Sheet2"}</definedName>
    <definedName name="joaquim" localSheetId="0" hidden="1">{#N/A,"100% Success",TRUE,"Sales Forecast";#N/A,#N/A,TRUE,"Sheet2"}</definedName>
    <definedName name="joaquim" localSheetId="9" hidden="1">{#N/A,"100% Success",TRUE,"Sales Forecast";#N/A,#N/A,TRUE,"Sheet2"}</definedName>
    <definedName name="joaquim" localSheetId="5" hidden="1">{#N/A,"100% Success",TRUE,"Sales Forecast";#N/A,#N/A,TRUE,"Sheet2"}</definedName>
    <definedName name="joaquim" hidden="1">{#N/A,"100% Success",TRUE,"Sales Forecast";#N/A,#N/A,TRUE,"Sheet2"}</definedName>
    <definedName name="KE_1995">Tags_ols!$B$624</definedName>
    <definedName name="KE_1996">Tags_ols!$C$624</definedName>
    <definedName name="KE_1997">Tags_ols!$D$624</definedName>
    <definedName name="KE_1998">Tags_ols!$E$624</definedName>
    <definedName name="KE_1999">Tags_ols!$F$624</definedName>
    <definedName name="KE_1Q00" localSheetId="10">Tags!$G$624</definedName>
    <definedName name="KE_1Q00">Tags_ols!$G$624</definedName>
    <definedName name="KE_1Q01" localSheetId="10">Tags!$L$624</definedName>
    <definedName name="KE_1Q01">Tags_ols!$L$624</definedName>
    <definedName name="KE_1Q02" localSheetId="10">Tags!$Q$624</definedName>
    <definedName name="KE_1Q02">Tags_ols!$Q$624</definedName>
    <definedName name="KE_1Q03" localSheetId="10">Tags!$V$624</definedName>
    <definedName name="KE_1Q03">Tags_ols!$V$624</definedName>
    <definedName name="KE_1Q04" localSheetId="10">Tags!$AA$624</definedName>
    <definedName name="KE_1Q04">Tags_ols!$AA$624</definedName>
    <definedName name="KE_1Q05" localSheetId="10">Tags!$AF$624</definedName>
    <definedName name="KE_1Q05">Tags_ols!$AF$624</definedName>
    <definedName name="KE_1Q06" localSheetId="10">Tags!$AK$624</definedName>
    <definedName name="KE_1Q06">Tags_ols!$AK$624</definedName>
    <definedName name="KE_1Q07" localSheetId="10">Tags!$AP$624</definedName>
    <definedName name="KE_1Q07">Tags_ols!$AP$624</definedName>
    <definedName name="KE_1Q08" localSheetId="10">Tags!$AU$624</definedName>
    <definedName name="KE_1Q08">Tags_ols!$AU$624</definedName>
    <definedName name="KE_1Q09" localSheetId="10">Tags!$AZ$624</definedName>
    <definedName name="KE_1Q09">Tags_ols!$AZ$624</definedName>
    <definedName name="KE_1Q10" localSheetId="10">Tags!$BE$624</definedName>
    <definedName name="KE_1Q10">Tags_ols!$BE$624</definedName>
    <definedName name="KE_1Q11" localSheetId="10">Tags!$BJ$624</definedName>
    <definedName name="KE_1Q11">Tags_ols!$BJ$624</definedName>
    <definedName name="KE_1Q12" localSheetId="10">Tags!$BO$624</definedName>
    <definedName name="KE_1Q12">Tags_ols!$BO$624</definedName>
    <definedName name="KE_1Q13" localSheetId="10">Tags!$BT$624</definedName>
    <definedName name="KE_1Q13">Tags_ols!$BT$624</definedName>
    <definedName name="KE_1Q14" localSheetId="10">Tags!$BY$624</definedName>
    <definedName name="KE_1Q14">Tags_ols!$BY$624</definedName>
    <definedName name="KE_1Q15" localSheetId="10">Tags!$CD$624</definedName>
    <definedName name="KE_1Q15">Tags_ols!$CD$624</definedName>
    <definedName name="KE_1Q16" localSheetId="10">Tags!$CI$624</definedName>
    <definedName name="KE_1Q16">Tags_ols!$CI$624</definedName>
    <definedName name="KE_1Q17" localSheetId="10">Tags!$CN$624</definedName>
    <definedName name="KE_1Q17">Tags_ols!$CN$624</definedName>
    <definedName name="KE_1Q18" localSheetId="10">Tags!$CS$624</definedName>
    <definedName name="KE_1Q18">Tags_ols!$CS$624</definedName>
    <definedName name="KE_1Q19" localSheetId="10">Tags!$CX$624</definedName>
    <definedName name="KE_1Q19">Tags_ols!$CX$624</definedName>
    <definedName name="KE_1Q20" localSheetId="10">Tags!$DC$624</definedName>
    <definedName name="KE_1Q20">Tags_ols!$DC$624</definedName>
    <definedName name="KE_1Q21">Tags!$DH$624</definedName>
    <definedName name="KE_1Q22">Tags!$DM$624</definedName>
    <definedName name="KE_1Q23">Tags!$DR$624</definedName>
    <definedName name="KE_1Q24">Tags!$DW$624</definedName>
    <definedName name="KE_2000" localSheetId="10">Tags!$K$624</definedName>
    <definedName name="KE_2000">Tags_ols!$K$624</definedName>
    <definedName name="KE_2001" localSheetId="10">Tags!$P$624</definedName>
    <definedName name="KE_2001">Tags_ols!$P$624</definedName>
    <definedName name="KE_2002" localSheetId="10">Tags!$U$624</definedName>
    <definedName name="KE_2002">Tags_ols!$U$624</definedName>
    <definedName name="KE_2003" localSheetId="10">Tags!$Z$624</definedName>
    <definedName name="KE_2003">Tags_ols!$Z$624</definedName>
    <definedName name="KE_2004" localSheetId="10">Tags!$AE$624</definedName>
    <definedName name="KE_2004" localSheetId="5">#REF!</definedName>
    <definedName name="KE_2004">Tags_ols!$AE$624</definedName>
    <definedName name="KE_2005" localSheetId="10">Tags!$AJ$624</definedName>
    <definedName name="KE_2005">Tags_ols!$AJ$624</definedName>
    <definedName name="KE_2006" localSheetId="10">Tags!$AO$624</definedName>
    <definedName name="KE_2006">Tags_ols!$AO$624</definedName>
    <definedName name="KE_2007" localSheetId="10">Tags!$AT$624</definedName>
    <definedName name="KE_2007">Tags_ols!$AT$624</definedName>
    <definedName name="KE_2008" localSheetId="10">Tags!$AY$624</definedName>
    <definedName name="KE_2008">Tags_ols!$AY$624</definedName>
    <definedName name="KE_2009" localSheetId="10">Tags!$BD$624</definedName>
    <definedName name="KE_2009">Tags_ols!$BD$624</definedName>
    <definedName name="KE_2010" localSheetId="10">Tags!$BI$624</definedName>
    <definedName name="KE_2010">Tags_ols!$BI$624</definedName>
    <definedName name="KE_2011" localSheetId="10">Tags!$BN$624</definedName>
    <definedName name="KE_2011">Tags_ols!$BN$624</definedName>
    <definedName name="KE_2012" localSheetId="10">Tags!$BS$624</definedName>
    <definedName name="KE_2012">Tags_ols!$BS$624</definedName>
    <definedName name="KE_2013" localSheetId="10">Tags!$BX$624</definedName>
    <definedName name="KE_2013">Tags_ols!$BX$624</definedName>
    <definedName name="KE_2014" localSheetId="10">Tags!$CC$624</definedName>
    <definedName name="KE_2014">Tags_ols!$CC$624</definedName>
    <definedName name="KE_2015" localSheetId="10">Tags!#REF!</definedName>
    <definedName name="KE_2015">Tags!$CH$624</definedName>
    <definedName name="KE_2016" localSheetId="10">Tags!$CM$624</definedName>
    <definedName name="KE_2016">Tags_ols!$CM$624</definedName>
    <definedName name="KE_2017" localSheetId="10">Tags!$CR$624</definedName>
    <definedName name="KE_2017">Tags_ols!$CR$624</definedName>
    <definedName name="KE_2018" localSheetId="10">Tags!$CW$624</definedName>
    <definedName name="KE_2018">Tags_ols!$CW$624</definedName>
    <definedName name="KE_2019" localSheetId="10">Tags!$DB$624</definedName>
    <definedName name="KE_2019">Tags_ols!$DB$624</definedName>
    <definedName name="KE_2020" localSheetId="10">Tags!$DG$624</definedName>
    <definedName name="KE_2020">Tags_ols!$DG$624</definedName>
    <definedName name="KE_2021">Tags!$DL$624</definedName>
    <definedName name="KE_2022">Tags!$DQ$624</definedName>
    <definedName name="KE_2023">Tags!$DV$624</definedName>
    <definedName name="KE_2024">Tags!$EA$624</definedName>
    <definedName name="KE_2Q00" localSheetId="10">Tags!$H$624</definedName>
    <definedName name="KE_2Q00">Tags_ols!$H$624</definedName>
    <definedName name="KE_2Q01" localSheetId="10">Tags!$M$624</definedName>
    <definedName name="KE_2Q01">Tags_ols!$M$624</definedName>
    <definedName name="KE_2Q02" localSheetId="10">Tags!$R$624</definedName>
    <definedName name="KE_2Q02">Tags_ols!$R$624</definedName>
    <definedName name="KE_2Q03" localSheetId="10">Tags!$W$624</definedName>
    <definedName name="KE_2Q03">Tags_ols!$W$624</definedName>
    <definedName name="KE_2Q04" localSheetId="10">Tags!$AB$624</definedName>
    <definedName name="KE_2Q04">Tags_ols!$AB$624</definedName>
    <definedName name="KE_2Q05" localSheetId="10">Tags!$AG$624</definedName>
    <definedName name="KE_2Q05">Tags_ols!$AG$624</definedName>
    <definedName name="KE_2Q06" localSheetId="10">Tags!$AL$624</definedName>
    <definedName name="KE_2Q06">Tags_ols!$AL$624</definedName>
    <definedName name="KE_2Q07" localSheetId="10">Tags!$AQ$624</definedName>
    <definedName name="KE_2Q07">Tags_ols!$AQ$624</definedName>
    <definedName name="KE_2Q08" localSheetId="10">Tags!$AV$624</definedName>
    <definedName name="KE_2Q08">Tags_ols!$AV$624</definedName>
    <definedName name="KE_2Q09" localSheetId="10">Tags!$BA$624</definedName>
    <definedName name="KE_2Q09">Tags_ols!$BA$624</definedName>
    <definedName name="KE_2Q10" localSheetId="10">Tags!$BF$624</definedName>
    <definedName name="KE_2Q10">Tags_ols!$BF$624</definedName>
    <definedName name="KE_2Q11" localSheetId="10">Tags!$BK$624</definedName>
    <definedName name="KE_2Q11">Tags_ols!$BK$624</definedName>
    <definedName name="KE_2Q12" localSheetId="10">Tags!$BP$624</definedName>
    <definedName name="KE_2Q12">Tags_ols!$BP$624</definedName>
    <definedName name="KE_2Q13" localSheetId="10">Tags!$BU$624</definedName>
    <definedName name="KE_2Q13">Tags_ols!$BU$624</definedName>
    <definedName name="KE_2Q14" localSheetId="10">Tags!$BZ$624</definedName>
    <definedName name="KE_2Q14">Tags_ols!$BZ$624</definedName>
    <definedName name="KE_2Q15" localSheetId="10">Tags!$CE$624</definedName>
    <definedName name="KE_2Q15">Tags_ols!$CE$624</definedName>
    <definedName name="KE_2Q16" localSheetId="10">Tags!$CJ$624</definedName>
    <definedName name="KE_2Q16">Tags_ols!$CJ$624</definedName>
    <definedName name="KE_2Q17" localSheetId="10">Tags!$CO$624</definedName>
    <definedName name="KE_2Q17">Tags_ols!$CO$624</definedName>
    <definedName name="KE_2Q18" localSheetId="10">Tags!$CT$624</definedName>
    <definedName name="KE_2Q18">Tags_ols!$CT$624</definedName>
    <definedName name="KE_2Q19" localSheetId="10">Tags!$CY$624</definedName>
    <definedName name="KE_2Q19">Tags_ols!$CY$624</definedName>
    <definedName name="KE_2Q20" localSheetId="10">Tags!$DD$624</definedName>
    <definedName name="KE_2Q20">Tags_ols!$DD$624</definedName>
    <definedName name="KE_2Q21">Tags!$DI$624</definedName>
    <definedName name="KE_2Q22">Tags!$DN$624</definedName>
    <definedName name="KE_2Q23">Tags!$DS$624</definedName>
    <definedName name="KE_2Q24">Tags!$DX$624</definedName>
    <definedName name="KE_3Q00" localSheetId="10">Tags!$I$624</definedName>
    <definedName name="KE_3Q00">Tags_ols!$I$624</definedName>
    <definedName name="KE_3Q01" localSheetId="10">Tags!$N$624</definedName>
    <definedName name="KE_3Q01">Tags_ols!$N$624</definedName>
    <definedName name="KE_3Q02" localSheetId="10">Tags!$S$624</definedName>
    <definedName name="KE_3Q02">Tags_ols!$S$624</definedName>
    <definedName name="KE_3Q03" localSheetId="10">Tags!$X$624</definedName>
    <definedName name="KE_3Q03">Tags_ols!$X$624</definedName>
    <definedName name="KE_3Q04" localSheetId="10">Tags!$AC$624</definedName>
    <definedName name="KE_3Q04">Tags_ols!$AC$624</definedName>
    <definedName name="KE_3Q05" localSheetId="10">Tags!$AH$624</definedName>
    <definedName name="KE_3Q05">Tags_ols!$AH$624</definedName>
    <definedName name="KE_3Q06" localSheetId="10">Tags!$AM$624</definedName>
    <definedName name="KE_3Q06">Tags_ols!$AM$624</definedName>
    <definedName name="KE_3Q07" localSheetId="10">Tags!$AR$624</definedName>
    <definedName name="KE_3Q07">Tags_ols!$AR$624</definedName>
    <definedName name="KE_3Q08" localSheetId="10">Tags!$AW$624</definedName>
    <definedName name="KE_3Q08">Tags_ols!$AW$624</definedName>
    <definedName name="KE_3Q09" localSheetId="10">Tags!$BB$624</definedName>
    <definedName name="KE_3Q09">Tags_ols!$BB$624</definedName>
    <definedName name="KE_3Q10" localSheetId="10">Tags!$BG$624</definedName>
    <definedName name="KE_3Q10">Tags_ols!$BG$624</definedName>
    <definedName name="KE_3Q11" localSheetId="10">Tags!$BL$624</definedName>
    <definedName name="KE_3Q11">Tags_ols!$BL$624</definedName>
    <definedName name="KE_3Q12" localSheetId="10">Tags!$BQ$624</definedName>
    <definedName name="KE_3Q12">Tags_ols!$BQ$624</definedName>
    <definedName name="KE_3Q13" localSheetId="10">Tags!$BV$624</definedName>
    <definedName name="KE_3Q13">Tags_ols!$BV$624</definedName>
    <definedName name="KE_3Q14" localSheetId="10">Tags!$CA$624</definedName>
    <definedName name="KE_3Q14">Tags_ols!$CA$624</definedName>
    <definedName name="KE_3Q15" localSheetId="10">Tags!$CF$624</definedName>
    <definedName name="KE_3Q15">Tags_ols!$CF$624</definedName>
    <definedName name="KE_3Q16" localSheetId="10">Tags!$CK$624</definedName>
    <definedName name="KE_3Q16">Tags_ols!$CK$624</definedName>
    <definedName name="KE_3Q17" localSheetId="10">Tags!$CP$624</definedName>
    <definedName name="KE_3Q17">Tags_ols!$CP$624</definedName>
    <definedName name="KE_3Q18" localSheetId="10">Tags!$CU$624</definedName>
    <definedName name="KE_3Q18">Tags_ols!$CU$624</definedName>
    <definedName name="KE_3Q19" localSheetId="10">Tags!$CZ$624</definedName>
    <definedName name="KE_3Q19">Tags_ols!$CZ$624</definedName>
    <definedName name="KE_3Q20" localSheetId="10">Tags!$DE$624</definedName>
    <definedName name="KE_3Q20">Tags_ols!$DE$624</definedName>
    <definedName name="KE_3Q21">Tags!$DJ$624</definedName>
    <definedName name="KE_3Q22">Tags!$DO$624</definedName>
    <definedName name="KE_3Q23">Tags!$DT$624</definedName>
    <definedName name="KE_3Q24">Tags!$DY$624</definedName>
    <definedName name="KE_4Q00" localSheetId="10">Tags!$J$624</definedName>
    <definedName name="KE_4Q00">Tags_ols!$J$624</definedName>
    <definedName name="KE_4Q01" localSheetId="10">Tags!$O$624</definedName>
    <definedName name="KE_4Q01">Tags_ols!$O$624</definedName>
    <definedName name="KE_4Q02" localSheetId="10">Tags!$T$624</definedName>
    <definedName name="KE_4Q02">Tags_ols!$T$624</definedName>
    <definedName name="KE_4Q03" localSheetId="10">Tags!$Y$624</definedName>
    <definedName name="KE_4Q03">Tags_ols!$Y$624</definedName>
    <definedName name="KE_4Q04" localSheetId="10">Tags!$AD$624</definedName>
    <definedName name="KE_4Q04">Tags_ols!$AD$624</definedName>
    <definedName name="KE_4Q05" localSheetId="10">Tags!$AI$624</definedName>
    <definedName name="KE_4Q05">Tags_ols!$AI$624</definedName>
    <definedName name="KE_4Q06" localSheetId="10">Tags!$AN$624</definedName>
    <definedName name="KE_4Q06">Tags_ols!$AN$624</definedName>
    <definedName name="KE_4Q07" localSheetId="10">Tags!$AS$624</definedName>
    <definedName name="KE_4Q07">Tags_ols!$AS$624</definedName>
    <definedName name="KE_4Q08" localSheetId="10">Tags!$AX$624</definedName>
    <definedName name="KE_4Q08">Tags_ols!$AX$624</definedName>
    <definedName name="KE_4Q09" localSheetId="10">Tags!$BC$624</definedName>
    <definedName name="KE_4Q09">Tags_ols!$BC$624</definedName>
    <definedName name="KE_4Q10" localSheetId="10">Tags!$BH$624</definedName>
    <definedName name="KE_4Q10">Tags_ols!$BH$624</definedName>
    <definedName name="KE_4Q11" localSheetId="10">Tags!$BM$624</definedName>
    <definedName name="KE_4Q11">Tags_ols!$BM$624</definedName>
    <definedName name="KE_4Q12" localSheetId="10">Tags!$BR$624</definedName>
    <definedName name="KE_4Q12">Tags_ols!$BR$624</definedName>
    <definedName name="KE_4Q13" localSheetId="10">Tags!$BW$624</definedName>
    <definedName name="KE_4Q13">Tags_ols!$BW$624</definedName>
    <definedName name="KE_4Q14" localSheetId="10">Tags!$CB$624</definedName>
    <definedName name="KE_4Q14">Tags_ols!$CB$624</definedName>
    <definedName name="KE_4Q15" localSheetId="10">Tags!$CG$624</definedName>
    <definedName name="KE_4Q15">Tags_ols!$CG$624</definedName>
    <definedName name="KE_4Q16" localSheetId="10">Tags!$CL$624</definedName>
    <definedName name="KE_4Q16">Tags_ols!$CL$624</definedName>
    <definedName name="KE_4Q17" localSheetId="10">Tags!$CQ$624</definedName>
    <definedName name="KE_4Q17">Tags_ols!$CQ$624</definedName>
    <definedName name="KE_4Q18" localSheetId="10">Tags!$CV$624</definedName>
    <definedName name="KE_4Q18">Tags_ols!$CV$624</definedName>
    <definedName name="KE_4Q19" localSheetId="10">Tags!$DA$624</definedName>
    <definedName name="KE_4Q19">Tags_ols!$DA$624</definedName>
    <definedName name="KE_4Q20" localSheetId="10">Tags!$DF$624</definedName>
    <definedName name="KE_4Q20">Tags_ols!$DF$624</definedName>
    <definedName name="KE_4Q21">Tags!$DK$624</definedName>
    <definedName name="KE_4Q22">Tags!$DP$624</definedName>
    <definedName name="KE_4Q23">Tags!$DU$624</definedName>
    <definedName name="KE_4Q24">Tags!$DZ$624</definedName>
    <definedName name="Klabin">#REF!</definedName>
    <definedName name="LabelChoice">#REF!</definedName>
    <definedName name="LastPrice">#REF!</definedName>
    <definedName name="LastPriceDate">#REF!</definedName>
    <definedName name="LowPrice">#REF!</definedName>
    <definedName name="LTDCH_1995">Tags_ols!$B$336</definedName>
    <definedName name="LTDCH_1996">Tags_ols!$C$336</definedName>
    <definedName name="LTDCH_1997">Tags_ols!$D$336</definedName>
    <definedName name="LTDCH_1998">Tags_ols!$E$336</definedName>
    <definedName name="LTDCH_1999">Tags_ols!$F$336</definedName>
    <definedName name="LTDCH_1Q00" localSheetId="10">Tags!$G$336</definedName>
    <definedName name="LTDCH_1Q00">Tags_ols!$G$336</definedName>
    <definedName name="LTDCH_1Q01" localSheetId="10">Tags!$L$336</definedName>
    <definedName name="LTDCH_1Q01">Tags_ols!$L$336</definedName>
    <definedName name="LTDCH_1Q02" localSheetId="10">Tags!$Q$336</definedName>
    <definedName name="LTDCH_1Q02">Tags_ols!$Q$336</definedName>
    <definedName name="LTDCH_1Q03" localSheetId="10">Tags!$V$336</definedName>
    <definedName name="LTDCH_1Q03">Tags_ols!$V$336</definedName>
    <definedName name="LTDCH_1Q04" localSheetId="10">Tags!$AA$336</definedName>
    <definedName name="LTDCH_1Q04">Tags_ols!$AA$336</definedName>
    <definedName name="LTDCH_1Q05" localSheetId="10">Tags!$AF$336</definedName>
    <definedName name="LTDCH_1Q05">Tags_ols!$AF$336</definedName>
    <definedName name="LTDCH_1Q06" localSheetId="10">Tags!$AK$336</definedName>
    <definedName name="LTDCH_1Q06">Tags_ols!$AK$336</definedName>
    <definedName name="LTDCH_1Q07" localSheetId="10">Tags!$AP$336</definedName>
    <definedName name="LTDCH_1Q07">Tags_ols!$AP$336</definedName>
    <definedName name="LTDCH_1Q08" localSheetId="10">Tags!$AU$336</definedName>
    <definedName name="LTDCH_1Q08">Tags_ols!$AU$336</definedName>
    <definedName name="LTDCH_1Q09" localSheetId="10">Tags!$AZ$336</definedName>
    <definedName name="LTDCH_1Q09">Tags_ols!$AZ$336</definedName>
    <definedName name="LTDCH_1Q10" localSheetId="10">Tags!$BE$336</definedName>
    <definedName name="LTDCH_1Q10">Tags_ols!$BE$336</definedName>
    <definedName name="LTDCH_1Q11" localSheetId="10">Tags!$BJ$336</definedName>
    <definedName name="LTDCH_1Q11">Tags_ols!$BJ$336</definedName>
    <definedName name="LTDCH_1Q12" localSheetId="10">Tags!$BO$336</definedName>
    <definedName name="LTDCH_1Q12">Tags_ols!$BO$336</definedName>
    <definedName name="LTDCH_1Q13" localSheetId="10">Tags!$BT$336</definedName>
    <definedName name="LTDCH_1Q13">Tags_ols!$BT$336</definedName>
    <definedName name="LTDCH_1Q14" localSheetId="10">Tags!$BY$336</definedName>
    <definedName name="LTDCH_1Q14">Tags_ols!$BY$336</definedName>
    <definedName name="LTDCH_1Q15" localSheetId="10">Tags!$CD$336</definedName>
    <definedName name="LTDCH_1Q15">Tags_ols!$CD$336</definedName>
    <definedName name="LTDCH_1Q16" localSheetId="10">Tags!$CI$336</definedName>
    <definedName name="LTDCH_1Q16">Tags_ols!$CI$336</definedName>
    <definedName name="LTDCH_1Q17" localSheetId="10">Tags!$CN$336</definedName>
    <definedName name="LTDCH_1Q17">Tags_ols!$CN$336</definedName>
    <definedName name="LTDCH_1Q18" localSheetId="10">Tags!$CS$336</definedName>
    <definedName name="LTDCH_1Q18">Tags_ols!$CS$336</definedName>
    <definedName name="LTDCH_1Q19" localSheetId="10">Tags!$CX$336</definedName>
    <definedName name="LTDCH_1Q19">Tags_ols!$CX$336</definedName>
    <definedName name="LTDCH_1Q20" localSheetId="10">Tags!$DC$336</definedName>
    <definedName name="LTDCH_1Q20">Tags_ols!$DC$336</definedName>
    <definedName name="LTDCH_1Q21">Tags!$DH$336</definedName>
    <definedName name="LTDCH_1Q22">Tags!$DM$336</definedName>
    <definedName name="LTDCH_1Q23">Tags!$DR$336</definedName>
    <definedName name="LTDCH_1Q24">Tags!$DW$336</definedName>
    <definedName name="LTDCH_2000" localSheetId="10">Tags!$K$336</definedName>
    <definedName name="LTDCH_2000">Tags_ols!$K$336</definedName>
    <definedName name="LTDCH_2001" localSheetId="10">Tags!$P$336</definedName>
    <definedName name="LTDCH_2001">Tags_ols!$P$336</definedName>
    <definedName name="LTDCH_2002" localSheetId="10">Tags!$U$336</definedName>
    <definedName name="LTDCH_2002">Tags_ols!$U$336</definedName>
    <definedName name="LTDCH_2003" localSheetId="10">Tags!$Z$336</definedName>
    <definedName name="LTDCH_2003">Tags_ols!$Z$336</definedName>
    <definedName name="LTDCH_2004" localSheetId="10">Tags!$AE$336</definedName>
    <definedName name="LTDCH_2004">Tags_ols!$AE$336</definedName>
    <definedName name="LTDCH_2005" localSheetId="10">Tags!$AJ$336</definedName>
    <definedName name="LTDCH_2005">Tags_ols!$AJ$336</definedName>
    <definedName name="LTDCH_2006" localSheetId="10">Tags!$AO$336</definedName>
    <definedName name="LTDCH_2006">Tags_ols!$AO$336</definedName>
    <definedName name="LTDCH_2007" localSheetId="10">Tags!$AT$336</definedName>
    <definedName name="LTDCH_2007">Tags_ols!$AT$336</definedName>
    <definedName name="LTDCH_2008" localSheetId="10">Tags!$AY$336</definedName>
    <definedName name="LTDCH_2008">Tags_ols!$AY$336</definedName>
    <definedName name="LTDCH_2009" localSheetId="10">Tags!$BD$336</definedName>
    <definedName name="LTDCH_2009">Tags_ols!$BD$336</definedName>
    <definedName name="LTDCH_2010" localSheetId="10">Tags!$BI$336</definedName>
    <definedName name="LTDCH_2010">Tags_ols!$BI$336</definedName>
    <definedName name="LTDCH_2011" localSheetId="10">Tags!$BN$336</definedName>
    <definedName name="LTDCH_2011">Tags_ols!$BN$336</definedName>
    <definedName name="LTDCH_2012" localSheetId="10">Tags!$BS$336</definedName>
    <definedName name="LTDCH_2012">Tags_ols!$BS$336</definedName>
    <definedName name="LTDCH_2013" localSheetId="10">Tags!$BX$336</definedName>
    <definedName name="LTDCH_2013">Tags_ols!$BX$336</definedName>
    <definedName name="LTDCH_2014" localSheetId="10">Tags!$CC$336</definedName>
    <definedName name="LTDCH_2014">Tags_ols!$CC$336</definedName>
    <definedName name="LTDCH_2015" localSheetId="10">Tags!#REF!</definedName>
    <definedName name="LTDCH_2015">Tags!$CH$336</definedName>
    <definedName name="LTDCH_2016" localSheetId="10">Tags!$CM$336</definedName>
    <definedName name="LTDCH_2016">Tags_ols!$CM$336</definedName>
    <definedName name="LTDCH_2017" localSheetId="10">Tags!$CR$336</definedName>
    <definedName name="LTDCH_2017">Tags_ols!$CR$336</definedName>
    <definedName name="LTDCH_2018" localSheetId="10">Tags!$CW$336</definedName>
    <definedName name="LTDCH_2018">Tags_ols!$CW$336</definedName>
    <definedName name="LTDCH_2019" localSheetId="10">Tags!$DB$336</definedName>
    <definedName name="LTDCH_2019">Tags_ols!$DB$336</definedName>
    <definedName name="LTDCH_2020" localSheetId="10">Tags!$DG$336</definedName>
    <definedName name="LTDCH_2020">Tags_ols!$DG$336</definedName>
    <definedName name="LTDCH_2021">Tags!$DL$336</definedName>
    <definedName name="LTDCH_2022">Tags!$DQ$336</definedName>
    <definedName name="LTDCH_2023">Tags!$DV$336</definedName>
    <definedName name="LTDCH_2024">Tags!$EA$336</definedName>
    <definedName name="LTDCH_2Q00" localSheetId="10">Tags!$H$336</definedName>
    <definedName name="LTDCH_2Q00">Tags_ols!$H$336</definedName>
    <definedName name="LTDCH_2Q01" localSheetId="10">Tags!$M$336</definedName>
    <definedName name="LTDCH_2Q01">Tags_ols!$M$336</definedName>
    <definedName name="LTDCH_2Q02" localSheetId="10">Tags!$R$336</definedName>
    <definedName name="LTDCH_2Q02">Tags_ols!$R$336</definedName>
    <definedName name="LTDCH_2Q03" localSheetId="10">Tags!$W$336</definedName>
    <definedName name="LTDCH_2Q03">Tags_ols!$W$336</definedName>
    <definedName name="LTDCH_2Q04" localSheetId="10">Tags!$AB$336</definedName>
    <definedName name="LTDCH_2Q04">Tags_ols!$AB$336</definedName>
    <definedName name="LTDCH_2Q05" localSheetId="10">Tags!$AG$336</definedName>
    <definedName name="LTDCH_2Q05">Tags_ols!$AG$336</definedName>
    <definedName name="LTDCH_2Q06" localSheetId="10">Tags!$AL$336</definedName>
    <definedName name="LTDCH_2Q06">Tags_ols!$AL$336</definedName>
    <definedName name="LTDCH_2Q07" localSheetId="10">Tags!$AQ$336</definedName>
    <definedName name="LTDCH_2Q07">Tags_ols!$AQ$336</definedName>
    <definedName name="LTDCH_2Q08" localSheetId="10">Tags!$AV$336</definedName>
    <definedName name="LTDCH_2Q08">Tags_ols!$AV$336</definedName>
    <definedName name="LTDCH_2Q09" localSheetId="10">Tags!$BA$336</definedName>
    <definedName name="LTDCH_2Q09">Tags_ols!$BA$336</definedName>
    <definedName name="LTDCH_2Q10" localSheetId="10">Tags!$BF$336</definedName>
    <definedName name="LTDCH_2Q10">Tags_ols!$BF$336</definedName>
    <definedName name="LTDCH_2Q11" localSheetId="10">Tags!$BK$336</definedName>
    <definedName name="LTDCH_2Q11">Tags_ols!$BK$336</definedName>
    <definedName name="LTDCH_2Q12" localSheetId="10">Tags!$BP$336</definedName>
    <definedName name="LTDCH_2Q12">Tags_ols!$BP$336</definedName>
    <definedName name="LTDCH_2Q13" localSheetId="10">Tags!$BU$336</definedName>
    <definedName name="LTDCH_2Q13">Tags_ols!$BU$336</definedName>
    <definedName name="LTDCH_2Q14" localSheetId="10">Tags!$BZ$336</definedName>
    <definedName name="LTDCH_2Q14">Tags_ols!$BZ$336</definedName>
    <definedName name="LTDCH_2Q15" localSheetId="10">Tags!$CE$336</definedName>
    <definedName name="LTDCH_2Q15">Tags_ols!$CE$336</definedName>
    <definedName name="LTDCH_2Q16" localSheetId="10">Tags!$CJ$336</definedName>
    <definedName name="LTDCH_2Q16">Tags_ols!$CJ$336</definedName>
    <definedName name="LTDCH_2Q17" localSheetId="10">Tags!$CO$336</definedName>
    <definedName name="LTDCH_2Q17">Tags_ols!$CO$336</definedName>
    <definedName name="LTDCH_2Q18" localSheetId="10">Tags!$CT$336</definedName>
    <definedName name="LTDCH_2Q18">Tags_ols!$CT$336</definedName>
    <definedName name="LTDCH_2Q19" localSheetId="10">Tags!$CY$336</definedName>
    <definedName name="LTDCH_2Q19">Tags_ols!$CY$336</definedName>
    <definedName name="LTDCH_2Q20" localSheetId="10">Tags!$DD$336</definedName>
    <definedName name="LTDCH_2Q20">Tags_ols!$DD$336</definedName>
    <definedName name="LTDCH_2Q21">Tags!$DI$336</definedName>
    <definedName name="LTDCH_2Q22">Tags!$DN$336</definedName>
    <definedName name="LTDCH_2Q23">Tags!$DS$336</definedName>
    <definedName name="LTDCH_2Q24">Tags!$DX$336</definedName>
    <definedName name="LTDCH_3Q00" localSheetId="10">Tags!$I$336</definedName>
    <definedName name="LTDCH_3Q00">Tags_ols!$I$336</definedName>
    <definedName name="LTDCH_3Q01" localSheetId="10">Tags!$N$336</definedName>
    <definedName name="LTDCH_3Q01">Tags_ols!$N$336</definedName>
    <definedName name="LTDCH_3Q02" localSheetId="10">Tags!$S$336</definedName>
    <definedName name="LTDCH_3Q02">Tags_ols!$S$336</definedName>
    <definedName name="LTDCH_3Q03" localSheetId="10">Tags!$X$336</definedName>
    <definedName name="LTDCH_3Q03">Tags_ols!$X$336</definedName>
    <definedName name="LTDCH_3Q04" localSheetId="10">Tags!$AC$336</definedName>
    <definedName name="LTDCH_3Q04">Tags_ols!$AC$336</definedName>
    <definedName name="LTDCH_3Q05" localSheetId="10">Tags!$AH$336</definedName>
    <definedName name="LTDCH_3Q05">Tags_ols!$AH$336</definedName>
    <definedName name="LTDCH_3Q06" localSheetId="10">Tags!$AM$336</definedName>
    <definedName name="LTDCH_3Q06">Tags_ols!$AM$336</definedName>
    <definedName name="LTDCH_3Q07" localSheetId="10">Tags!$AR$336</definedName>
    <definedName name="LTDCH_3Q07">Tags_ols!$AR$336</definedName>
    <definedName name="LTDCH_3Q08" localSheetId="10">Tags!$AW$336</definedName>
    <definedName name="LTDCH_3Q08">Tags_ols!$AW$336</definedName>
    <definedName name="LTDCH_3Q09" localSheetId="10">Tags!$BB$336</definedName>
    <definedName name="LTDCH_3Q09">Tags_ols!$BB$336</definedName>
    <definedName name="LTDCH_3Q10" localSheetId="10">Tags!$BG$336</definedName>
    <definedName name="LTDCH_3Q10">Tags_ols!$BG$336</definedName>
    <definedName name="LTDCH_3Q11" localSheetId="10">Tags!$BL$336</definedName>
    <definedName name="LTDCH_3Q11">Tags_ols!$BL$336</definedName>
    <definedName name="LTDCH_3Q12" localSheetId="10">Tags!$BQ$336</definedName>
    <definedName name="LTDCH_3Q12">Tags_ols!$BQ$336</definedName>
    <definedName name="LTDCH_3Q13" localSheetId="10">Tags!$BV$336</definedName>
    <definedName name="LTDCH_3Q13">Tags_ols!$BV$336</definedName>
    <definedName name="LTDCH_3Q14" localSheetId="10">Tags!$CA$336</definedName>
    <definedName name="LTDCH_3Q14">Tags_ols!$CA$336</definedName>
    <definedName name="LTDCH_3Q15" localSheetId="10">Tags!$CF$336</definedName>
    <definedName name="LTDCH_3Q15">Tags_ols!$CF$336</definedName>
    <definedName name="LTDCH_3Q16" localSheetId="10">Tags!$CK$336</definedName>
    <definedName name="LTDCH_3Q16">Tags_ols!$CK$336</definedName>
    <definedName name="LTDCH_3Q17" localSheetId="10">Tags!$CP$336</definedName>
    <definedName name="LTDCH_3Q17">Tags_ols!$CP$336</definedName>
    <definedName name="LTDCH_3Q18" localSheetId="10">Tags!$CU$336</definedName>
    <definedName name="LTDCH_3Q18">Tags_ols!$CU$336</definedName>
    <definedName name="LTDCH_3Q19" localSheetId="10">Tags!$CZ$336</definedName>
    <definedName name="LTDCH_3Q19">Tags_ols!$CZ$336</definedName>
    <definedName name="LTDCH_3Q20" localSheetId="10">Tags!$DE$336</definedName>
    <definedName name="LTDCH_3Q20">Tags_ols!$DE$336</definedName>
    <definedName name="LTDCH_3Q21">Tags!$DJ$336</definedName>
    <definedName name="LTDCH_3Q22">Tags!$DO$336</definedName>
    <definedName name="LTDCH_3Q23">Tags!$DT$336</definedName>
    <definedName name="LTDCH_3Q24">Tags!$DY$336</definedName>
    <definedName name="LTDCH_4Q00" localSheetId="10">Tags!$J$336</definedName>
    <definedName name="LTDCH_4Q00">Tags_ols!$J$336</definedName>
    <definedName name="LTDCH_4Q01" localSheetId="10">Tags!$O$336</definedName>
    <definedName name="LTDCH_4Q01">Tags_ols!$O$336</definedName>
    <definedName name="LTDCH_4Q02" localSheetId="10">Tags!$T$336</definedName>
    <definedName name="LTDCH_4Q02">Tags_ols!$T$336</definedName>
    <definedName name="LTDCH_4Q03" localSheetId="10">Tags!$Y$336</definedName>
    <definedName name="LTDCH_4Q03">Tags_ols!$Y$336</definedName>
    <definedName name="LTDCH_4Q04" localSheetId="10">Tags!$AD$336</definedName>
    <definedName name="LTDCH_4Q04">Tags_ols!$AD$336</definedName>
    <definedName name="LTDCH_4Q05" localSheetId="10">Tags!$AI$336</definedName>
    <definedName name="LTDCH_4Q05">Tags_ols!$AI$336</definedName>
    <definedName name="LTDCH_4Q06" localSheetId="10">Tags!$AN$336</definedName>
    <definedName name="LTDCH_4Q06">Tags_ols!$AN$336</definedName>
    <definedName name="LTDCH_4Q07" localSheetId="10">Tags!$AS$336</definedName>
    <definedName name="LTDCH_4Q07">Tags_ols!$AS$336</definedName>
    <definedName name="LTDCH_4Q08" localSheetId="10">Tags!$AX$336</definedName>
    <definedName name="LTDCH_4Q08">Tags_ols!$AX$336</definedName>
    <definedName name="LTDCH_4Q09" localSheetId="10">Tags!$BC$336</definedName>
    <definedName name="LTDCH_4Q09">Tags_ols!$BC$336</definedName>
    <definedName name="LTDCH_4Q10" localSheetId="10">Tags!$BH$336</definedName>
    <definedName name="LTDCH_4Q10">Tags_ols!$BH$336</definedName>
    <definedName name="LTDCH_4Q11" localSheetId="10">Tags!$BM$336</definedName>
    <definedName name="LTDCH_4Q11">Tags_ols!$BM$336</definedName>
    <definedName name="LTDCH_4Q12" localSheetId="10">Tags!$BR$336</definedName>
    <definedName name="LTDCH_4Q12">Tags_ols!$BR$336</definedName>
    <definedName name="LTDCH_4Q13" localSheetId="10">Tags!$BW$336</definedName>
    <definedName name="LTDCH_4Q13">Tags_ols!$BW$336</definedName>
    <definedName name="LTDCH_4Q14" localSheetId="10">Tags!$CB$336</definedName>
    <definedName name="LTDCH_4Q14">Tags_ols!$CB$336</definedName>
    <definedName name="LTDCH_4Q15" localSheetId="10">Tags!$CG$336</definedName>
    <definedName name="LTDCH_4Q15">Tags_ols!$CG$336</definedName>
    <definedName name="LTDCH_4Q16" localSheetId="10">Tags!$CL$336</definedName>
    <definedName name="LTDCH_4Q16">Tags_ols!$CL$336</definedName>
    <definedName name="LTDCH_4Q17" localSheetId="10">Tags!$CQ$336</definedName>
    <definedName name="LTDCH_4Q17">Tags_ols!$CQ$336</definedName>
    <definedName name="LTDCH_4Q18" localSheetId="10">Tags!$CV$336</definedName>
    <definedName name="LTDCH_4Q18">Tags_ols!$CV$336</definedName>
    <definedName name="LTDCH_4Q19" localSheetId="10">Tags!$DA$336</definedName>
    <definedName name="LTDCH_4Q19">Tags_ols!$DA$336</definedName>
    <definedName name="LTDCH_4Q20" localSheetId="10">Tags!$DF$336</definedName>
    <definedName name="LTDCH_4Q20">Tags_ols!$DF$336</definedName>
    <definedName name="LTDCH_4Q21">Tags!$DK$336</definedName>
    <definedName name="LTDCH_4Q22">Tags!$DP$336</definedName>
    <definedName name="LTDCH_4Q23">Tags!$DU$336</definedName>
    <definedName name="LTDCH_4Q24">Tags!$DZ$336</definedName>
    <definedName name="LTDEBT_1995">Tags_ols!$B$166</definedName>
    <definedName name="LTDEBT_1996">Tags_ols!$C$166</definedName>
    <definedName name="LTDEBT_1997">Tags_ols!$D$166</definedName>
    <definedName name="LTDEBT_1998">Tags_ols!$E$166</definedName>
    <definedName name="LTDEBT_1999">Tags_ols!$F$166</definedName>
    <definedName name="LTDEBT_1Q00" localSheetId="10">Tags!$G$166</definedName>
    <definedName name="LTDEBT_1Q00">Tags_ols!$G$166</definedName>
    <definedName name="LTDEBT_1Q01" localSheetId="10">Tags!$L$166</definedName>
    <definedName name="LTDEBT_1Q01">Tags_ols!$L$166</definedName>
    <definedName name="LTDEBT_1Q02" localSheetId="10">Tags!$Q$166</definedName>
    <definedName name="LTDEBT_1Q02">Tags_ols!$Q$166</definedName>
    <definedName name="LTDEBT_1Q03" localSheetId="10">Tags!$V$166</definedName>
    <definedName name="LTDEBT_1Q03">Tags_ols!$V$166</definedName>
    <definedName name="LTDEBT_1Q04" localSheetId="10">Tags!$AA$166</definedName>
    <definedName name="LTDEBT_1Q04">Tags_ols!$AA$166</definedName>
    <definedName name="LTDEBT_1Q05" localSheetId="10">Tags!$AF$166</definedName>
    <definedName name="LTDEBT_1Q05">Tags_ols!$AF$166</definedName>
    <definedName name="LTDEBT_1Q06" localSheetId="10">Tags!$AK$166</definedName>
    <definedName name="LTDEBT_1Q06">Tags_ols!$AK$166</definedName>
    <definedName name="LTDEBT_1Q07" localSheetId="10">Tags!$AP$166</definedName>
    <definedName name="LTDEBT_1Q07">Tags_ols!$AP$166</definedName>
    <definedName name="LTDEBT_1Q08" localSheetId="10">Tags!$AU$166</definedName>
    <definedName name="LTDEBT_1Q08">Tags_ols!$AU$166</definedName>
    <definedName name="LTDEBT_1Q09" localSheetId="10">Tags!$AZ$166</definedName>
    <definedName name="LTDEBT_1Q09">Tags_ols!$AZ$166</definedName>
    <definedName name="LTDEBT_1Q10" localSheetId="10">Tags!$BE$166</definedName>
    <definedName name="LTDEBT_1Q10">Tags_ols!$BE$166</definedName>
    <definedName name="LTDEBT_1Q11" localSheetId="10">Tags!$BJ$166</definedName>
    <definedName name="LTDEBT_1Q11">Tags_ols!$BJ$166</definedName>
    <definedName name="LTDEBT_1Q12" localSheetId="10">Tags!$BO$166</definedName>
    <definedName name="LTDEBT_1Q12">Tags_ols!$BO$166</definedName>
    <definedName name="LTDEBT_1Q13" localSheetId="10">Tags!$BT$166</definedName>
    <definedName name="LTDEBT_1Q13">Tags_ols!$BT$166</definedName>
    <definedName name="LTDEBT_1Q14" localSheetId="10">Tags!$BY$166</definedName>
    <definedName name="LTDEBT_1Q14">Tags_ols!$BY$166</definedName>
    <definedName name="LTDEBT_1Q15" localSheetId="10">Tags!$CD$166</definedName>
    <definedName name="LTDEBT_1Q15">Tags_ols!$CD$166</definedName>
    <definedName name="LTDEBT_1Q16" localSheetId="10">Tags!$CI$166</definedName>
    <definedName name="LTDEBT_1Q16">Tags_ols!$CI$166</definedName>
    <definedName name="LTDEBT_1Q17" localSheetId="10">Tags!$CN$166</definedName>
    <definedName name="LTDEBT_1Q17">Tags_ols!$CN$166</definedName>
    <definedName name="LTDEBT_1Q18" localSheetId="10">Tags!$CS$166</definedName>
    <definedName name="LTDEBT_1Q18">Tags_ols!$CS$166</definedName>
    <definedName name="LTDEBT_1Q19" localSheetId="10">Tags!$CX$166</definedName>
    <definedName name="LTDEBT_1Q19">Tags_ols!$CX$166</definedName>
    <definedName name="LTDEBT_1Q20" localSheetId="10">Tags!$DC$166</definedName>
    <definedName name="LTDEBT_1Q20">Tags_ols!$DC$166</definedName>
    <definedName name="LTDEBT_1Q21">Tags!$DH$166</definedName>
    <definedName name="LTDEBT_1Q22">Tags!$DM$166</definedName>
    <definedName name="LTDEBT_1Q23">Tags!$DR$166</definedName>
    <definedName name="LTDEBT_1Q24">Tags!$DW$166</definedName>
    <definedName name="LTDEBT_2000" localSheetId="10">Tags!$K$166</definedName>
    <definedName name="LTDEBT_2000">Tags_ols!$K$166</definedName>
    <definedName name="LTDEBT_2001" localSheetId="10">Tags!$P$166</definedName>
    <definedName name="LTDEBT_2001">Tags_ols!$P$166</definedName>
    <definedName name="LTDEBT_2002" localSheetId="10">Tags!$U$166</definedName>
    <definedName name="LTDEBT_2002">Tags_ols!$U$166</definedName>
    <definedName name="LTDEBT_2003" localSheetId="10">Tags!$Z$166</definedName>
    <definedName name="LTDEBT_2003">Tags_ols!$Z$166</definedName>
    <definedName name="LTDEBT_2004" localSheetId="10">Tags!$AE$166</definedName>
    <definedName name="LTDEBT_2004">Tags_ols!$AE$166</definedName>
    <definedName name="LTDEBT_2005" localSheetId="10">Tags!$AJ$166</definedName>
    <definedName name="LTDEBT_2005">Tags_ols!$AJ$166</definedName>
    <definedName name="LTDEBT_2006" localSheetId="10">Tags!$AO$166</definedName>
    <definedName name="LTDEBT_2006">Tags_ols!$AO$166</definedName>
    <definedName name="LTDEBT_2007" localSheetId="10">Tags!$AT$166</definedName>
    <definedName name="LTDEBT_2007">Tags_ols!$AT$166</definedName>
    <definedName name="LTDEBT_2008" localSheetId="10">Tags!$AY$166</definedName>
    <definedName name="LTDEBT_2008">Tags_ols!$AY$166</definedName>
    <definedName name="LTDEBT_2009" localSheetId="10">Tags!$BD$166</definedName>
    <definedName name="LTDEBT_2009">Tags_ols!$BD$166</definedName>
    <definedName name="LTDEBT_2010" localSheetId="10">Tags!$BI$166</definedName>
    <definedName name="LTDEBT_2010">Tags_ols!$BI$166</definedName>
    <definedName name="LTDEBT_2011" localSheetId="10">Tags!$BN$166</definedName>
    <definedName name="LTDEBT_2011">Tags_ols!$BN$166</definedName>
    <definedName name="LTDEBT_2012" localSheetId="10">Tags!$BS$166</definedName>
    <definedName name="LTDEBT_2012">Tags_ols!$BS$166</definedName>
    <definedName name="LTDEBT_2013" localSheetId="10">Tags!$BX$166</definedName>
    <definedName name="LTDEBT_2013">Tags_ols!$BX$166</definedName>
    <definedName name="LTDEBT_2014" localSheetId="10">Tags!$CC$166</definedName>
    <definedName name="LTDEBT_2014">Tags_ols!$CC$166</definedName>
    <definedName name="LTDEBT_2015" localSheetId="10">Tags!#REF!</definedName>
    <definedName name="LTDEBT_2015">Tags!$CH$166</definedName>
    <definedName name="LTDEBT_2016" localSheetId="10">Tags!$CM$166</definedName>
    <definedName name="LTDEBT_2016">Tags_ols!$CM$166</definedName>
    <definedName name="LTDEBT_2017" localSheetId="10">Tags!$CR$166</definedName>
    <definedName name="LTDEBT_2017">Tags_ols!$CR$166</definedName>
    <definedName name="LTDEBT_2018" localSheetId="10">Tags!$CW$166</definedName>
    <definedName name="LTDEBT_2018">Tags_ols!$CW$166</definedName>
    <definedName name="LTDEBT_2019" localSheetId="10">Tags!$DB$166</definedName>
    <definedName name="LTDEBT_2019">Tags_ols!$DB$166</definedName>
    <definedName name="LTDEBT_2020" localSheetId="10">Tags!$DG$166</definedName>
    <definedName name="LTDEBT_2020">Tags_ols!$DG$166</definedName>
    <definedName name="LTDEBT_2021">Tags!$DL$166</definedName>
    <definedName name="LTDEBT_2022">Tags!$DQ$166</definedName>
    <definedName name="LTDEBT_2023">Tags!$DV$166</definedName>
    <definedName name="LTDEBT_2024">Tags!$EA$166</definedName>
    <definedName name="LTDEBT_2Q00" localSheetId="10">Tags!$H$166</definedName>
    <definedName name="LTDEBT_2Q00">Tags_ols!$H$166</definedName>
    <definedName name="LTDEBT_2Q01" localSheetId="10">Tags!$M$166</definedName>
    <definedName name="LTDEBT_2Q01">Tags_ols!$M$166</definedName>
    <definedName name="LTDEBT_2Q02" localSheetId="10">Tags!$R$166</definedName>
    <definedName name="LTDEBT_2Q02">Tags_ols!$R$166</definedName>
    <definedName name="LTDEBT_2Q03" localSheetId="10">Tags!$W$166</definedName>
    <definedName name="LTDEBT_2Q03">Tags_ols!$W$166</definedName>
    <definedName name="LTDEBT_2Q04" localSheetId="10">Tags!$AB$166</definedName>
    <definedName name="LTDEBT_2Q04">Tags_ols!$AB$166</definedName>
    <definedName name="LTDEBT_2Q05" localSheetId="10">Tags!$AG$166</definedName>
    <definedName name="LTDEBT_2Q05">Tags_ols!$AG$166</definedName>
    <definedName name="LTDEBT_2Q06" localSheetId="10">Tags!$AL$166</definedName>
    <definedName name="LTDEBT_2Q06">Tags_ols!$AL$166</definedName>
    <definedName name="LTDEBT_2Q07" localSheetId="10">Tags!$AQ$166</definedName>
    <definedName name="LTDEBT_2Q07">Tags_ols!$AQ$166</definedName>
    <definedName name="LTDEBT_2Q08" localSheetId="10">Tags!$AV$166</definedName>
    <definedName name="LTDEBT_2Q08">Tags_ols!$AV$166</definedName>
    <definedName name="LTDEBT_2Q09" localSheetId="10">Tags!$BA$166</definedName>
    <definedName name="LTDEBT_2Q09">Tags_ols!$BA$166</definedName>
    <definedName name="LTDEBT_2Q10" localSheetId="10">Tags!$BF$166</definedName>
    <definedName name="LTDEBT_2Q10">Tags_ols!$BF$166</definedName>
    <definedName name="LTDEBT_2Q11" localSheetId="10">Tags!$BK$166</definedName>
    <definedName name="LTDEBT_2Q11">Tags_ols!$BK$166</definedName>
    <definedName name="LTDEBT_2Q12" localSheetId="10">Tags!$BP$166</definedName>
    <definedName name="LTDEBT_2Q12">Tags_ols!$BP$166</definedName>
    <definedName name="LTDEBT_2Q13" localSheetId="10">Tags!$BU$166</definedName>
    <definedName name="LTDEBT_2Q13">Tags_ols!$BU$166</definedName>
    <definedName name="LTDEBT_2Q14" localSheetId="10">Tags!$BZ$166</definedName>
    <definedName name="LTDEBT_2Q14">Tags_ols!$BZ$166</definedName>
    <definedName name="LTDEBT_2Q15" localSheetId="10">Tags!$CE$166</definedName>
    <definedName name="LTDEBT_2Q15">Tags_ols!$CE$166</definedName>
    <definedName name="LTDEBT_2Q16" localSheetId="10">Tags!$CJ$166</definedName>
    <definedName name="LTDEBT_2Q16">Tags_ols!$CJ$166</definedName>
    <definedName name="LTDEBT_2Q17" localSheetId="10">Tags!$CO$166</definedName>
    <definedName name="LTDEBT_2Q17">Tags_ols!$CO$166</definedName>
    <definedName name="LTDEBT_2Q18" localSheetId="10">Tags!$CT$166</definedName>
    <definedName name="LTDEBT_2Q18">Tags_ols!$CT$166</definedName>
    <definedName name="LTDEBT_2Q19" localSheetId="10">Tags!$CY$166</definedName>
    <definedName name="LTDEBT_2Q19">Tags_ols!$CY$166</definedName>
    <definedName name="LTDEBT_2Q20" localSheetId="10">Tags!$DD$166</definedName>
    <definedName name="LTDEBT_2Q20">Tags_ols!$DD$166</definedName>
    <definedName name="LTDEBT_2Q21">Tags!$DI$166</definedName>
    <definedName name="LTDEBT_2Q22">Tags!$DN$166</definedName>
    <definedName name="LTDEBT_2Q23">Tags!$DS$166</definedName>
    <definedName name="LTDEBT_2Q24">Tags!$DX$166</definedName>
    <definedName name="LTDEBT_3Q00" localSheetId="10">Tags!$I$166</definedName>
    <definedName name="LTDEBT_3Q00">Tags_ols!$I$166</definedName>
    <definedName name="LTDEBT_3Q01" localSheetId="10">Tags!$N$166</definedName>
    <definedName name="LTDEBT_3Q01">Tags_ols!$N$166</definedName>
    <definedName name="LTDEBT_3Q02" localSheetId="10">Tags!$S$166</definedName>
    <definedName name="LTDEBT_3Q02">Tags_ols!$S$166</definedName>
    <definedName name="LTDEBT_3Q03" localSheetId="10">Tags!$X$166</definedName>
    <definedName name="LTDEBT_3Q03">Tags_ols!$X$166</definedName>
    <definedName name="LTDEBT_3Q04" localSheetId="10">Tags!$AC$166</definedName>
    <definedName name="LTDEBT_3Q04">Tags_ols!$AC$166</definedName>
    <definedName name="LTDEBT_3Q05" localSheetId="10">Tags!$AH$166</definedName>
    <definedName name="LTDEBT_3Q05">Tags_ols!$AH$166</definedName>
    <definedName name="LTDEBT_3Q06" localSheetId="10">Tags!$AM$166</definedName>
    <definedName name="LTDEBT_3Q06">Tags_ols!$AM$166</definedName>
    <definedName name="LTDEBT_3Q07" localSheetId="10">Tags!$AR$166</definedName>
    <definedName name="LTDEBT_3Q07">Tags_ols!$AR$166</definedName>
    <definedName name="LTDEBT_3Q08" localSheetId="10">Tags!$AW$166</definedName>
    <definedName name="LTDEBT_3Q08">Tags_ols!$AW$166</definedName>
    <definedName name="LTDEBT_3Q09" localSheetId="10">Tags!$BB$166</definedName>
    <definedName name="LTDEBT_3Q09">Tags_ols!$BB$166</definedName>
    <definedName name="LTDEBT_3Q10" localSheetId="10">Tags!$BG$166</definedName>
    <definedName name="LTDEBT_3Q10">Tags_ols!$BG$166</definedName>
    <definedName name="LTDEBT_3Q11" localSheetId="10">Tags!$BL$166</definedName>
    <definedName name="LTDEBT_3Q11">Tags_ols!$BL$166</definedName>
    <definedName name="LTDEBT_3Q12" localSheetId="10">Tags!$BQ$166</definedName>
    <definedName name="LTDEBT_3Q12">Tags_ols!$BQ$166</definedName>
    <definedName name="LTDEBT_3Q13" localSheetId="10">Tags!$BV$166</definedName>
    <definedName name="LTDEBT_3Q13">Tags_ols!$BV$166</definedName>
    <definedName name="LTDEBT_3Q14" localSheetId="10">Tags!$CA$166</definedName>
    <definedName name="LTDEBT_3Q14">Tags_ols!$CA$166</definedName>
    <definedName name="LTDEBT_3Q15" localSheetId="10">Tags!$CF$166</definedName>
    <definedName name="LTDEBT_3Q15">Tags_ols!$CF$166</definedName>
    <definedName name="LTDEBT_3Q16" localSheetId="10">Tags!$CK$166</definedName>
    <definedName name="LTDEBT_3Q16">Tags_ols!$CK$166</definedName>
    <definedName name="LTDEBT_3Q17" localSheetId="10">Tags!$CP$166</definedName>
    <definedName name="LTDEBT_3Q17">Tags_ols!$CP$166</definedName>
    <definedName name="LTDEBT_3Q18" localSheetId="10">Tags!$CU$166</definedName>
    <definedName name="LTDEBT_3Q18">Tags_ols!$CU$166</definedName>
    <definedName name="LTDEBT_3Q19" localSheetId="10">Tags!$CZ$166</definedName>
    <definedName name="LTDEBT_3Q19">Tags_ols!$CZ$166</definedName>
    <definedName name="LTDEBT_3Q20" localSheetId="10">Tags!$DE$166</definedName>
    <definedName name="LTDEBT_3Q20">Tags_ols!$DE$166</definedName>
    <definedName name="LTDEBT_3Q21">Tags!$DJ$166</definedName>
    <definedName name="LTDEBT_3Q22">Tags!$DO$166</definedName>
    <definedName name="LTDEBT_3Q23">Tags!$DT$166</definedName>
    <definedName name="LTDEBT_3Q24">Tags!$DY$166</definedName>
    <definedName name="LTDEBT_4Q00" localSheetId="10">Tags!$J$166</definedName>
    <definedName name="LTDEBT_4Q00">Tags_ols!$J$166</definedName>
    <definedName name="LTDEBT_4Q01" localSheetId="10">Tags!$O$166</definedName>
    <definedName name="LTDEBT_4Q01">Tags_ols!$O$166</definedName>
    <definedName name="LTDEBT_4Q02" localSheetId="10">Tags!$T$166</definedName>
    <definedName name="LTDEBT_4Q02">Tags_ols!$T$166</definedName>
    <definedName name="LTDEBT_4Q03" localSheetId="10">Tags!$Y$166</definedName>
    <definedName name="LTDEBT_4Q03">Tags_ols!$Y$166</definedName>
    <definedName name="LTDEBT_4Q04" localSheetId="10">Tags!$AD$166</definedName>
    <definedName name="LTDEBT_4Q04">Tags_ols!$AD$166</definedName>
    <definedName name="LTDEBT_4Q05" localSheetId="10">Tags!$AI$166</definedName>
    <definedName name="LTDEBT_4Q05">Tags_ols!$AI$166</definedName>
    <definedName name="LTDEBT_4Q06" localSheetId="10">Tags!$AN$166</definedName>
    <definedName name="LTDEBT_4Q06">Tags_ols!$AN$166</definedName>
    <definedName name="LTDEBT_4Q07" localSheetId="10">Tags!$AS$166</definedName>
    <definedName name="LTDEBT_4Q07">Tags_ols!$AS$166</definedName>
    <definedName name="LTDEBT_4Q08" localSheetId="10">Tags!$AX$166</definedName>
    <definedName name="LTDEBT_4Q08">Tags_ols!$AX$166</definedName>
    <definedName name="LTDEBT_4Q09" localSheetId="10">Tags!$BC$166</definedName>
    <definedName name="LTDEBT_4Q09">Tags_ols!$BC$166</definedName>
    <definedName name="LTDEBT_4Q10" localSheetId="10">Tags!$BH$166</definedName>
    <definedName name="LTDEBT_4Q10">Tags_ols!$BH$166</definedName>
    <definedName name="LTDEBT_4Q11" localSheetId="10">Tags!$BM$166</definedName>
    <definedName name="LTDEBT_4Q11">Tags_ols!$BM$166</definedName>
    <definedName name="LTDEBT_4Q12" localSheetId="10">Tags!$BR$166</definedName>
    <definedName name="LTDEBT_4Q12">Tags_ols!$BR$166</definedName>
    <definedName name="LTDEBT_4Q13" localSheetId="10">Tags!$BW$166</definedName>
    <definedName name="LTDEBT_4Q13">Tags_ols!$BW$166</definedName>
    <definedName name="LTDEBT_4Q14" localSheetId="10">Tags!$CB$166</definedName>
    <definedName name="LTDEBT_4Q14">Tags_ols!$CB$166</definedName>
    <definedName name="LTDEBT_4Q15" localSheetId="10">Tags!$CG$166</definedName>
    <definedName name="LTDEBT_4Q15">Tags_ols!$CG$166</definedName>
    <definedName name="LTDEBT_4Q16" localSheetId="10">Tags!$CL$166</definedName>
    <definedName name="LTDEBT_4Q16">Tags_ols!$CL$166</definedName>
    <definedName name="LTDEBT_4Q17" localSheetId="10">Tags!$CQ$166</definedName>
    <definedName name="LTDEBT_4Q17">Tags_ols!$CQ$166</definedName>
    <definedName name="LTDEBT_4Q18" localSheetId="10">Tags!$CV$166</definedName>
    <definedName name="LTDEBT_4Q18">Tags_ols!$CV$166</definedName>
    <definedName name="LTDEBT_4Q19" localSheetId="10">Tags!$DA$166</definedName>
    <definedName name="LTDEBT_4Q19">Tags_ols!$DA$166</definedName>
    <definedName name="LTDEBT_4Q20" localSheetId="10">Tags!$DF$166</definedName>
    <definedName name="LTDEBT_4Q20">Tags_ols!$DF$166</definedName>
    <definedName name="LTDEBT_4Q21">Tags!$DK$166</definedName>
    <definedName name="LTDEBT_4Q22">Tags!$DP$166</definedName>
    <definedName name="LTDEBT_4Q23">Tags!$DU$166</definedName>
    <definedName name="LTDEBT_4Q24">Tags!$DZ$166</definedName>
    <definedName name="MAE">#REF!</definedName>
    <definedName name="market" localSheetId="4" hidden="1">{#N/A,"70% Success",FALSE,"Sales Forecast";#N/A,#N/A,FALSE,"Sheet2"}</definedName>
    <definedName name="market" localSheetId="6" hidden="1">{#N/A,"70% Success",FALSE,"Sales Forecast";#N/A,#N/A,FALSE,"Sheet2"}</definedName>
    <definedName name="market" localSheetId="0" hidden="1">{#N/A,"70% Success",FALSE,"Sales Forecast";#N/A,#N/A,FALSE,"Sheet2"}</definedName>
    <definedName name="market" localSheetId="9" hidden="1">{#N/A,"70% Success",FALSE,"Sales Forecast";#N/A,#N/A,FALSE,"Sheet2"}</definedName>
    <definedName name="market" localSheetId="5" hidden="1">{#N/A,"70% Success",FALSE,"Sales Forecast";#N/A,#N/A,FALSE,"Sheet2"}</definedName>
    <definedName name="market" hidden="1">{#N/A,"70% Success",FALSE,"Sales Forecast";#N/A,#N/A,FALSE,"Sheet2"}</definedName>
    <definedName name="maxcell">#REF!</definedName>
    <definedName name="me">"Button 5"</definedName>
    <definedName name="mincell">#REF!</definedName>
    <definedName name="MININT_1995">Tags_ols!$B$171</definedName>
    <definedName name="MININT_1996">Tags_ols!$C$171</definedName>
    <definedName name="MININT_1997">Tags_ols!$D$171</definedName>
    <definedName name="MININT_1998">Tags_ols!$E$171</definedName>
    <definedName name="MININT_1999">Tags_ols!$F$171</definedName>
    <definedName name="MININT_1Q00" localSheetId="10">Tags!$G$171</definedName>
    <definedName name="MININT_1Q00">Tags_ols!$G$171</definedName>
    <definedName name="MININT_1Q01" localSheetId="10">Tags!$L$171</definedName>
    <definedName name="MININT_1Q01">Tags_ols!$L$171</definedName>
    <definedName name="MININT_1Q02" localSheetId="10">Tags!$Q$171</definedName>
    <definedName name="MININT_1Q02">Tags_ols!$Q$171</definedName>
    <definedName name="MININT_1Q03" localSheetId="10">Tags!$V$171</definedName>
    <definedName name="MININT_1Q03">Tags_ols!$V$171</definedName>
    <definedName name="MININT_1Q04" localSheetId="10">Tags!$AA$171</definedName>
    <definedName name="MININT_1Q04">Tags_ols!$AA$171</definedName>
    <definedName name="MININT_1Q05" localSheetId="10">Tags!$AF$171</definedName>
    <definedName name="MININT_1Q05">Tags_ols!$AF$171</definedName>
    <definedName name="MININT_1Q06" localSheetId="10">Tags!$AK$171</definedName>
    <definedName name="MININT_1Q06">Tags_ols!$AK$171</definedName>
    <definedName name="MININT_1Q07" localSheetId="10">Tags!$AP$171</definedName>
    <definedName name="MININT_1Q07">Tags_ols!$AP$171</definedName>
    <definedName name="MININT_1Q08" localSheetId="10">Tags!$AU$171</definedName>
    <definedName name="MININT_1Q08">Tags_ols!$AU$171</definedName>
    <definedName name="MININT_1Q09" localSheetId="10">Tags!$AZ$171</definedName>
    <definedName name="MININT_1Q09">Tags_ols!$AZ$171</definedName>
    <definedName name="MININT_1Q10" localSheetId="10">Tags!$BE$171</definedName>
    <definedName name="MININT_1Q10">Tags_ols!$BE$171</definedName>
    <definedName name="MININT_1Q11" localSheetId="10">Tags!$BJ$171</definedName>
    <definedName name="MININT_1Q11">Tags_ols!$BJ$171</definedName>
    <definedName name="MININT_1Q12" localSheetId="10">Tags!$BO$171</definedName>
    <definedName name="MININT_1Q12">Tags_ols!$BO$171</definedName>
    <definedName name="MININT_1Q13" localSheetId="10">Tags!$BT$171</definedName>
    <definedName name="MININT_1Q13">Tags_ols!$BT$171</definedName>
    <definedName name="MININT_1Q14" localSheetId="10">Tags!$BY$171</definedName>
    <definedName name="MININT_1Q14">Tags_ols!$BY$171</definedName>
    <definedName name="MININT_1Q15" localSheetId="10">Tags!$CD$171</definedName>
    <definedName name="MININT_1Q15">Tags_ols!$CD$171</definedName>
    <definedName name="MININT_1Q16" localSheetId="10">Tags!$CI$171</definedName>
    <definedName name="MININT_1Q16">Tags_ols!$CI$171</definedName>
    <definedName name="MININT_1Q17" localSheetId="10">Tags!$CN$171</definedName>
    <definedName name="MININT_1Q17">Tags_ols!$CN$171</definedName>
    <definedName name="MININT_1Q18" localSheetId="10">Tags!$CS$171</definedName>
    <definedName name="MININT_1Q18">Tags_ols!$CS$171</definedName>
    <definedName name="MININT_1Q19" localSheetId="10">Tags!$CX$171</definedName>
    <definedName name="MININT_1Q19">Tags_ols!$CX$171</definedName>
    <definedName name="MININT_1Q20" localSheetId="10">Tags!$DC$171</definedName>
    <definedName name="MININT_1Q20">Tags_ols!$DC$171</definedName>
    <definedName name="MININT_1Q21">Tags!$DH$171</definedName>
    <definedName name="MININT_1Q22">Tags!$DM$171</definedName>
    <definedName name="MININT_1Q23">Tags!$DR$171</definedName>
    <definedName name="MININT_1Q24">Tags!$DW$171</definedName>
    <definedName name="MININT_2000" localSheetId="10">Tags!$K$171</definedName>
    <definedName name="MININT_2000">Tags_ols!$K$171</definedName>
    <definedName name="MININT_2001" localSheetId="10">Tags!$P$171</definedName>
    <definedName name="MININT_2001">Tags_ols!$P$171</definedName>
    <definedName name="MININT_2002" localSheetId="10">Tags!$U$171</definedName>
    <definedName name="MININT_2002">Tags_ols!$U$171</definedName>
    <definedName name="MININT_2003" localSheetId="10">Tags!$Z$171</definedName>
    <definedName name="MININT_2003">Tags_ols!$Z$171</definedName>
    <definedName name="MININT_2004" localSheetId="10">Tags!$AE$171</definedName>
    <definedName name="MININT_2004">Tags_ols!$AE$171</definedName>
    <definedName name="MININT_2005" localSheetId="10">Tags!$AJ$171</definedName>
    <definedName name="MININT_2005">Tags_ols!$AJ$171</definedName>
    <definedName name="MININT_2006" localSheetId="10">Tags!$AO$171</definedName>
    <definedName name="MININT_2006">Tags_ols!$AO$171</definedName>
    <definedName name="MININT_2007" localSheetId="10">Tags!$AT$171</definedName>
    <definedName name="MININT_2007">Tags_ols!$AT$171</definedName>
    <definedName name="MININT_2008" localSheetId="10">Tags!$AY$171</definedName>
    <definedName name="MININT_2008">Tags_ols!$AY$171</definedName>
    <definedName name="MININT_2009" localSheetId="10">Tags!$BD$171</definedName>
    <definedName name="MININT_2009">Tags_ols!$BD$171</definedName>
    <definedName name="MININT_2010" localSheetId="10">Tags!$BI$171</definedName>
    <definedName name="MININT_2010">Tags_ols!$BI$171</definedName>
    <definedName name="MININT_2011" localSheetId="10">Tags!$BN$171</definedName>
    <definedName name="MININT_2011">Tags_ols!$BN$171</definedName>
    <definedName name="MININT_2012" localSheetId="10">Tags!$BS$171</definedName>
    <definedName name="MININT_2012">Tags_ols!$BS$171</definedName>
    <definedName name="MININT_2013" localSheetId="10">Tags!$BX$171</definedName>
    <definedName name="MININT_2013">Tags_ols!$BX$171</definedName>
    <definedName name="MININT_2014" localSheetId="10">Tags!$CC$171</definedName>
    <definedName name="MININT_2014">Tags_ols!$CC$171</definedName>
    <definedName name="MININT_2015" localSheetId="10">Tags!#REF!</definedName>
    <definedName name="MININT_2015">Tags!$CH$171</definedName>
    <definedName name="MININT_2016" localSheetId="10">Tags!$CM$171</definedName>
    <definedName name="MININT_2016">Tags_ols!$CM$171</definedName>
    <definedName name="MININT_2017" localSheetId="10">Tags!$CR$171</definedName>
    <definedName name="MININT_2017">Tags_ols!$CR$171</definedName>
    <definedName name="MININT_2018" localSheetId="10">Tags!$CW$171</definedName>
    <definedName name="MININT_2018">Tags_ols!$CW$171</definedName>
    <definedName name="MININT_2019" localSheetId="10">Tags!$DB$171</definedName>
    <definedName name="MININT_2019">Tags_ols!$DB$171</definedName>
    <definedName name="MININT_2020" localSheetId="10">Tags!$DG$171</definedName>
    <definedName name="MININT_2020">Tags_ols!$DG$171</definedName>
    <definedName name="MININT_2021">Tags!$DL$171</definedName>
    <definedName name="MININT_2022">Tags!$DQ$171</definedName>
    <definedName name="MININT_2023">Tags!$DV$171</definedName>
    <definedName name="MININT_2024">Tags!$EA$171</definedName>
    <definedName name="MININT_2Q00" localSheetId="10">Tags!$H$171</definedName>
    <definedName name="MININT_2Q00">Tags_ols!$H$171</definedName>
    <definedName name="MININT_2Q01" localSheetId="10">Tags!$M$171</definedName>
    <definedName name="MININT_2Q01">Tags_ols!$M$171</definedName>
    <definedName name="MININT_2Q02" localSheetId="10">Tags!$R$171</definedName>
    <definedName name="MININT_2Q02">Tags_ols!$R$171</definedName>
    <definedName name="MININT_2Q03" localSheetId="10">Tags!$W$171</definedName>
    <definedName name="MININT_2Q03">Tags_ols!$W$171</definedName>
    <definedName name="MININT_2Q04" localSheetId="10">Tags!$AB$171</definedName>
    <definedName name="MININT_2Q04">Tags_ols!$AB$171</definedName>
    <definedName name="MININT_2Q05" localSheetId="10">Tags!$AG$171</definedName>
    <definedName name="MININT_2Q05">Tags_ols!$AG$171</definedName>
    <definedName name="MININT_2Q06" localSheetId="10">Tags!$AL$171</definedName>
    <definedName name="MININT_2Q06">Tags_ols!$AL$171</definedName>
    <definedName name="MININT_2Q07" localSheetId="10">Tags!$AQ$171</definedName>
    <definedName name="MININT_2Q07">Tags_ols!$AQ$171</definedName>
    <definedName name="MININT_2Q08" localSheetId="10">Tags!$AV$171</definedName>
    <definedName name="MININT_2Q08">Tags_ols!$AV$171</definedName>
    <definedName name="MININT_2Q09" localSheetId="10">Tags!$BA$171</definedName>
    <definedName name="MININT_2Q09">Tags_ols!$BA$171</definedName>
    <definedName name="MININT_2Q10" localSheetId="10">Tags!$BF$171</definedName>
    <definedName name="MININT_2Q10">Tags_ols!$BF$171</definedName>
    <definedName name="MININT_2Q11" localSheetId="10">Tags!$BK$171</definedName>
    <definedName name="MININT_2Q11">Tags_ols!$BK$171</definedName>
    <definedName name="MININT_2Q12" localSheetId="10">Tags!$BP$171</definedName>
    <definedName name="MININT_2Q12">Tags_ols!$BP$171</definedName>
    <definedName name="MININT_2Q13" localSheetId="10">Tags!$BU$171</definedName>
    <definedName name="MININT_2Q13">Tags_ols!$BU$171</definedName>
    <definedName name="MININT_2Q14" localSheetId="10">Tags!$BZ$171</definedName>
    <definedName name="MININT_2Q14">Tags_ols!$BZ$171</definedName>
    <definedName name="MININT_2Q15" localSheetId="10">Tags!$CE$171</definedName>
    <definedName name="MININT_2Q15">Tags_ols!$CE$171</definedName>
    <definedName name="MININT_2Q16" localSheetId="10">Tags!$CJ$171</definedName>
    <definedName name="MININT_2Q16">Tags_ols!$CJ$171</definedName>
    <definedName name="MININT_2Q17" localSheetId="10">Tags!$CO$171</definedName>
    <definedName name="MININT_2Q17">Tags_ols!$CO$171</definedName>
    <definedName name="MININT_2Q18" localSheetId="10">Tags!$CT$171</definedName>
    <definedName name="MININT_2Q18">Tags_ols!$CT$171</definedName>
    <definedName name="MININT_2Q19" localSheetId="10">Tags!$CY$171</definedName>
    <definedName name="MININT_2Q19">Tags_ols!$CY$171</definedName>
    <definedName name="MININT_2Q20" localSheetId="10">Tags!$DD$171</definedName>
    <definedName name="MININT_2Q20">Tags_ols!$DD$171</definedName>
    <definedName name="MININT_2Q21">Tags!$DI$171</definedName>
    <definedName name="MININT_2Q22">Tags!$DN$171</definedName>
    <definedName name="MININT_2Q23">Tags!$DS$171</definedName>
    <definedName name="MININT_2Q24">Tags!$DX$171</definedName>
    <definedName name="MININT_3Q00" localSheetId="10">Tags!$I$171</definedName>
    <definedName name="MININT_3Q00">Tags_ols!$I$171</definedName>
    <definedName name="MININT_3Q01" localSheetId="10">Tags!$N$171</definedName>
    <definedName name="MININT_3Q01">Tags_ols!$N$171</definedName>
    <definedName name="MININT_3Q02" localSheetId="10">Tags!$S$171</definedName>
    <definedName name="MININT_3Q02">Tags_ols!$S$171</definedName>
    <definedName name="MININT_3Q03" localSheetId="10">Tags!$X$171</definedName>
    <definedName name="MININT_3Q03">Tags_ols!$X$171</definedName>
    <definedName name="MININT_3Q04" localSheetId="10">Tags!$AC$171</definedName>
    <definedName name="MININT_3Q04">Tags_ols!$AC$171</definedName>
    <definedName name="MININT_3Q05" localSheetId="10">Tags!$AH$171</definedName>
    <definedName name="MININT_3Q05">Tags_ols!$AH$171</definedName>
    <definedName name="MININT_3Q06" localSheetId="10">Tags!$AM$171</definedName>
    <definedName name="MININT_3Q06">Tags_ols!$AM$171</definedName>
    <definedName name="MININT_3Q07" localSheetId="10">Tags!$AR$171</definedName>
    <definedName name="MININT_3Q07">Tags_ols!$AR$171</definedName>
    <definedName name="MININT_3Q08" localSheetId="10">Tags!$AW$171</definedName>
    <definedName name="MININT_3Q08">Tags_ols!$AW$171</definedName>
    <definedName name="MININT_3Q09" localSheetId="10">Tags!$BB$171</definedName>
    <definedName name="MININT_3Q09">Tags_ols!$BB$171</definedName>
    <definedName name="MININT_3Q10" localSheetId="10">Tags!$BG$171</definedName>
    <definedName name="MININT_3Q10">Tags_ols!$BG$171</definedName>
    <definedName name="MININT_3Q11" localSheetId="10">Tags!$BL$171</definedName>
    <definedName name="MININT_3Q11">Tags_ols!$BL$171</definedName>
    <definedName name="MININT_3Q12" localSheetId="10">Tags!$BQ$171</definedName>
    <definedName name="MININT_3Q12">Tags_ols!$BQ$171</definedName>
    <definedName name="MININT_3Q13" localSheetId="10">Tags!$BV$171</definedName>
    <definedName name="MININT_3Q13">Tags_ols!$BV$171</definedName>
    <definedName name="MININT_3Q14" localSheetId="10">Tags!$CA$171</definedName>
    <definedName name="MININT_3Q14">Tags_ols!$CA$171</definedName>
    <definedName name="MININT_3Q15" localSheetId="10">Tags!$CF$171</definedName>
    <definedName name="MININT_3Q15">Tags_ols!$CF$171</definedName>
    <definedName name="MININT_3Q16" localSheetId="10">Tags!$CK$171</definedName>
    <definedName name="MININT_3Q16">Tags_ols!$CK$171</definedName>
    <definedName name="MININT_3Q17" localSheetId="10">Tags!$CP$171</definedName>
    <definedName name="MININT_3Q17">Tags_ols!$CP$171</definedName>
    <definedName name="MININT_3Q18" localSheetId="10">Tags!$CU$171</definedName>
    <definedName name="MININT_3Q18">Tags_ols!$CU$171</definedName>
    <definedName name="MININT_3Q19" localSheetId="10">Tags!$CZ$171</definedName>
    <definedName name="MININT_3Q19">Tags_ols!$CZ$171</definedName>
    <definedName name="MININT_3Q20" localSheetId="10">Tags!$DE$171</definedName>
    <definedName name="MININT_3Q20">Tags_ols!$DE$171</definedName>
    <definedName name="MININT_3Q21">Tags!$DJ$171</definedName>
    <definedName name="MININT_3Q22">Tags!$DO$171</definedName>
    <definedName name="MININT_3Q23">Tags!$DT$171</definedName>
    <definedName name="MININT_3Q24">Tags!$DY$171</definedName>
    <definedName name="MININT_4Q00" localSheetId="10">Tags!$J$171</definedName>
    <definedName name="MININT_4Q00">Tags_ols!$J$171</definedName>
    <definedName name="MININT_4Q01" localSheetId="10">Tags!$O$171</definedName>
    <definedName name="MININT_4Q01">Tags_ols!$O$171</definedName>
    <definedName name="MININT_4Q02" localSheetId="10">Tags!$T$171</definedName>
    <definedName name="MININT_4Q02">Tags_ols!$T$171</definedName>
    <definedName name="MININT_4Q03" localSheetId="10">Tags!$Y$171</definedName>
    <definedName name="MININT_4Q03">Tags_ols!$Y$171</definedName>
    <definedName name="MININT_4Q04" localSheetId="10">Tags!$AD$171</definedName>
    <definedName name="MININT_4Q04">Tags_ols!$AD$171</definedName>
    <definedName name="MININT_4Q05" localSheetId="10">Tags!$AI$171</definedName>
    <definedName name="MININT_4Q05">Tags_ols!$AI$171</definedName>
    <definedName name="MININT_4Q06" localSheetId="10">Tags!$AN$171</definedName>
    <definedName name="MININT_4Q06">Tags_ols!$AN$171</definedName>
    <definedName name="MININT_4Q07" localSheetId="10">Tags!$AS$171</definedName>
    <definedName name="MININT_4Q07">Tags_ols!$AS$171</definedName>
    <definedName name="MININT_4Q08" localSheetId="10">Tags!$AX$171</definedName>
    <definedName name="MININT_4Q08">Tags_ols!$AX$171</definedName>
    <definedName name="MININT_4Q09" localSheetId="10">Tags!$BC$171</definedName>
    <definedName name="MININT_4Q09">Tags_ols!$BC$171</definedName>
    <definedName name="MININT_4Q10" localSheetId="10">Tags!$BH$171</definedName>
    <definedName name="MININT_4Q10">Tags_ols!$BH$171</definedName>
    <definedName name="MININT_4Q11" localSheetId="10">Tags!$BM$171</definedName>
    <definedName name="MININT_4Q11">Tags_ols!$BM$171</definedName>
    <definedName name="MININT_4Q12" localSheetId="10">Tags!$BR$171</definedName>
    <definedName name="MININT_4Q12">Tags_ols!$BR$171</definedName>
    <definedName name="MININT_4Q13" localSheetId="10">Tags!$BW$171</definedName>
    <definedName name="MININT_4Q13">Tags_ols!$BW$171</definedName>
    <definedName name="MININT_4Q14" localSheetId="10">Tags!$CB$171</definedName>
    <definedName name="MININT_4Q14">Tags_ols!$CB$171</definedName>
    <definedName name="MININT_4Q15" localSheetId="10">Tags!$CG$171</definedName>
    <definedName name="MININT_4Q15">Tags_ols!$CG$171</definedName>
    <definedName name="MININT_4Q16" localSheetId="10">Tags!$CL$171</definedName>
    <definedName name="MININT_4Q16">Tags_ols!$CL$171</definedName>
    <definedName name="MININT_4Q17" localSheetId="10">Tags!$CQ$171</definedName>
    <definedName name="MININT_4Q17">Tags_ols!$CQ$171</definedName>
    <definedName name="MININT_4Q18" localSheetId="10">Tags!$CV$171</definedName>
    <definedName name="MININT_4Q18">Tags_ols!$CV$171</definedName>
    <definedName name="MININT_4Q19" localSheetId="10">Tags!$DA$171</definedName>
    <definedName name="MININT_4Q19">Tags_ols!$DA$171</definedName>
    <definedName name="MININT_4Q20" localSheetId="10">Tags!$DF$171</definedName>
    <definedName name="MININT_4Q20">Tags_ols!$DF$171</definedName>
    <definedName name="MININT_4Q21">Tags!$DK$171</definedName>
    <definedName name="MININT_4Q22">Tags!$DP$171</definedName>
    <definedName name="MININT_4Q23">Tags!$DU$171</definedName>
    <definedName name="MININT_4Q24">Tags!$DZ$171</definedName>
    <definedName name="MINOR_1995">Tags_ols!$B$20</definedName>
    <definedName name="MINOR_1996">Tags_ols!$C$20</definedName>
    <definedName name="MINOR_1997">Tags_ols!$D$20</definedName>
    <definedName name="MINOR_1998">Tags_ols!$E$20</definedName>
    <definedName name="MINOR_1999">Tags_ols!$F$20</definedName>
    <definedName name="MINOR_1Q00" localSheetId="10">Tags!$G$20</definedName>
    <definedName name="MINOR_1Q00">Tags_ols!$G$20</definedName>
    <definedName name="MINOR_1Q01" localSheetId="10">Tags!$L$20</definedName>
    <definedName name="MINOR_1Q01">Tags_ols!$L$20</definedName>
    <definedName name="MINOR_1Q02" localSheetId="10">Tags!$Q$20</definedName>
    <definedName name="MINOR_1Q02">Tags_ols!$Q$20</definedName>
    <definedName name="MINOR_1Q03" localSheetId="10">Tags!$V$20</definedName>
    <definedName name="MINOR_1Q03">Tags_ols!$V$20</definedName>
    <definedName name="MINOR_1Q04" localSheetId="10">Tags!$AA$20</definedName>
    <definedName name="MINOR_1Q04">Tags_ols!$AA$20</definedName>
    <definedName name="MINOR_1Q05" localSheetId="10">Tags!$AF$20</definedName>
    <definedName name="MINOR_1Q05">Tags_ols!$AF$20</definedName>
    <definedName name="MINOR_1Q06" localSheetId="10">Tags!$AK$20</definedName>
    <definedName name="MINOR_1Q06">Tags_ols!$AK$20</definedName>
    <definedName name="MINOR_1Q07" localSheetId="10">Tags!$AP$20</definedName>
    <definedName name="MINOR_1Q07">Tags_ols!$AP$20</definedName>
    <definedName name="MINOR_1Q08" localSheetId="10">Tags!$AU$20</definedName>
    <definedName name="MINOR_1Q08">Tags_ols!$AU$20</definedName>
    <definedName name="MINOR_1Q09" localSheetId="10">Tags!$AZ$20</definedName>
    <definedName name="MINOR_1Q09">Tags_ols!$AZ$20</definedName>
    <definedName name="MINOR_1Q10" localSheetId="10">Tags!$BE$20</definedName>
    <definedName name="MINOR_1Q10">Tags_ols!$BE$20</definedName>
    <definedName name="MINOR_1Q11" localSheetId="10">Tags!$BJ$20</definedName>
    <definedName name="MINOR_1Q11">Tags_ols!$BJ$20</definedName>
    <definedName name="MINOR_1Q12" localSheetId="10">Tags!$BO$20</definedName>
    <definedName name="MINOR_1Q12">Tags_ols!$BO$20</definedName>
    <definedName name="MINOR_1Q13" localSheetId="10">Tags!$BT$20</definedName>
    <definedName name="MINOR_1Q13">Tags_ols!$BT$20</definedName>
    <definedName name="MINOR_1Q14" localSheetId="10">Tags!$BY$20</definedName>
    <definedName name="MINOR_1Q14">Tags_ols!$BY$20</definedName>
    <definedName name="MINOR_1Q15" localSheetId="10">Tags!$CD$20</definedName>
    <definedName name="MINOR_1Q15">Tags_ols!$CD$20</definedName>
    <definedName name="MINOR_1Q16" localSheetId="10">Tags!$CI$20</definedName>
    <definedName name="MINOR_1Q16">Tags_ols!$CI$20</definedName>
    <definedName name="MINOR_1Q17" localSheetId="10">Tags!$CN$20</definedName>
    <definedName name="MINOR_1Q17">Tags_ols!$CN$20</definedName>
    <definedName name="MINOR_1Q18" localSheetId="10">Tags!$CS$20</definedName>
    <definedName name="MINOR_1Q18">Tags_ols!$CS$20</definedName>
    <definedName name="MINOR_1Q19" localSheetId="10">Tags!$CX$20</definedName>
    <definedName name="MINOR_1Q19">Tags_ols!$CX$20</definedName>
    <definedName name="MINOR_1Q20" localSheetId="10">Tags!$DC$20</definedName>
    <definedName name="MINOR_1Q20">Tags_ols!$DC$20</definedName>
    <definedName name="MINOR_1Q21">Tags!$DH$20</definedName>
    <definedName name="MINOR_1Q22">Tags!$DM$20</definedName>
    <definedName name="MINOR_1Q23">Tags!$DR$20</definedName>
    <definedName name="MINOR_1Q24">Tags!$DW$20</definedName>
    <definedName name="MINOR_2000" localSheetId="10">Tags!$K$20</definedName>
    <definedName name="MINOR_2000">Tags_ols!$K$20</definedName>
    <definedName name="MINOR_2001" localSheetId="10">Tags!$P$20</definedName>
    <definedName name="MINOR_2001">Tags_ols!$P$20</definedName>
    <definedName name="MINOR_2002" localSheetId="10">Tags!$U$20</definedName>
    <definedName name="MINOR_2002">Tags_ols!$U$20</definedName>
    <definedName name="MINOR_2003" localSheetId="10">Tags!$Z$20</definedName>
    <definedName name="MINOR_2003">Tags_ols!$Z$20</definedName>
    <definedName name="MINOR_2004" localSheetId="10">Tags!$AE$20</definedName>
    <definedName name="MINOR_2004">Tags_ols!$AE$20</definedName>
    <definedName name="MINOR_2005" localSheetId="10">Tags!$AJ$20</definedName>
    <definedName name="MINOR_2005">Tags_ols!$AJ$20</definedName>
    <definedName name="MINOR_2006" localSheetId="10">Tags!$AO$20</definedName>
    <definedName name="MINOR_2006">Tags_ols!$AO$20</definedName>
    <definedName name="MINOR_2007" localSheetId="10">Tags!$AT$20</definedName>
    <definedName name="MINOR_2007">Tags_ols!$AT$20</definedName>
    <definedName name="MINOR_2008" localSheetId="10">Tags!$AY$20</definedName>
    <definedName name="MINOR_2008">Tags_ols!$AY$20</definedName>
    <definedName name="MINOR_2009" localSheetId="10">Tags!$BD$20</definedName>
    <definedName name="MINOR_2009">Tags_ols!$BD$20</definedName>
    <definedName name="MINOR_2010" localSheetId="10">Tags!$BI$20</definedName>
    <definedName name="MINOR_2010">Tags_ols!$BI$20</definedName>
    <definedName name="MINOR_2011" localSheetId="10">Tags!$BN$20</definedName>
    <definedName name="MINOR_2011">Tags_ols!$BN$20</definedName>
    <definedName name="MINOR_2012" localSheetId="10">Tags!$BS$20</definedName>
    <definedName name="MINOR_2012">Tags_ols!$BS$20</definedName>
    <definedName name="MINOR_2013" localSheetId="10">Tags!$BX$20</definedName>
    <definedName name="MINOR_2013">Tags_ols!$BX$20</definedName>
    <definedName name="MINOR_2014" localSheetId="10">Tags!$CC$20</definedName>
    <definedName name="MINOR_2014">Tags_ols!$CC$20</definedName>
    <definedName name="MINOR_2015" localSheetId="10">Tags!#REF!</definedName>
    <definedName name="MINOR_2015">Tags!$CH$20</definedName>
    <definedName name="MINOR_2016" localSheetId="10">Tags!$CM$20</definedName>
    <definedName name="MINOR_2016">Tags_ols!$CM$20</definedName>
    <definedName name="MINOR_2017" localSheetId="10">Tags!$CR$20</definedName>
    <definedName name="MINOR_2017">Tags_ols!$CR$20</definedName>
    <definedName name="MINOR_2018" localSheetId="10">Tags!$CW$20</definedName>
    <definedName name="MINOR_2018">Tags_ols!$CW$20</definedName>
    <definedName name="MINOR_2019" localSheetId="10">Tags!$DB$20</definedName>
    <definedName name="MINOR_2019">Tags_ols!$DB$20</definedName>
    <definedName name="MINOR_2020" localSheetId="10">Tags!$DG$20</definedName>
    <definedName name="MINOR_2020">Tags_ols!$DG$20</definedName>
    <definedName name="MINOR_2021">Tags!$DL$20</definedName>
    <definedName name="MINOR_2022">Tags!$DQ$20</definedName>
    <definedName name="MINOR_2023">Tags!$DV$20</definedName>
    <definedName name="MINOR_2024">Tags!$EA$20</definedName>
    <definedName name="MINOR_2Q00" localSheetId="10">Tags!$H$20</definedName>
    <definedName name="MINOR_2Q00">Tags_ols!$H$20</definedName>
    <definedName name="MINOR_2Q01" localSheetId="10">Tags!$M$20</definedName>
    <definedName name="MINOR_2Q01">Tags_ols!$M$20</definedName>
    <definedName name="MINOR_2Q02" localSheetId="10">Tags!$R$20</definedName>
    <definedName name="MINOR_2Q02">Tags_ols!$R$20</definedName>
    <definedName name="MINOR_2Q03" localSheetId="10">Tags!$W$20</definedName>
    <definedName name="MINOR_2Q03">Tags_ols!$W$20</definedName>
    <definedName name="MINOR_2Q04" localSheetId="10">Tags!$AB$20</definedName>
    <definedName name="MINOR_2Q04">Tags_ols!$AB$20</definedName>
    <definedName name="MINOR_2Q05" localSheetId="10">Tags!$AG$20</definedName>
    <definedName name="MINOR_2Q05">Tags_ols!$AG$20</definedName>
    <definedName name="MINOR_2Q06" localSheetId="10">Tags!$AL$20</definedName>
    <definedName name="MINOR_2Q06">Tags_ols!$AL$20</definedName>
    <definedName name="MINOR_2Q07" localSheetId="10">Tags!$AQ$20</definedName>
    <definedName name="MINOR_2Q07">Tags_ols!$AQ$20</definedName>
    <definedName name="MINOR_2Q08" localSheetId="10">Tags!$AV$20</definedName>
    <definedName name="MINOR_2Q08">Tags_ols!$AV$20</definedName>
    <definedName name="MINOR_2Q09" localSheetId="10">Tags!$BA$20</definedName>
    <definedName name="MINOR_2Q09">Tags_ols!$BA$20</definedName>
    <definedName name="MINOR_2Q10" localSheetId="10">Tags!$BF$20</definedName>
    <definedName name="MINOR_2Q10">Tags_ols!$BF$20</definedName>
    <definedName name="MINOR_2Q11" localSheetId="10">Tags!$BK$20</definedName>
    <definedName name="MINOR_2Q11">Tags_ols!$BK$20</definedName>
    <definedName name="MINOR_2Q12" localSheetId="10">Tags!$BP$20</definedName>
    <definedName name="MINOR_2Q12">Tags_ols!$BP$20</definedName>
    <definedName name="MINOR_2Q13" localSheetId="10">Tags!$BU$20</definedName>
    <definedName name="MINOR_2Q13">Tags_ols!$BU$20</definedName>
    <definedName name="MINOR_2Q14" localSheetId="10">Tags!$BZ$20</definedName>
    <definedName name="MINOR_2Q14">Tags_ols!$BZ$20</definedName>
    <definedName name="MINOR_2Q15" localSheetId="10">Tags!$CE$20</definedName>
    <definedName name="MINOR_2Q15">Tags_ols!$CE$20</definedName>
    <definedName name="MINOR_2Q16" localSheetId="10">Tags!$CJ$20</definedName>
    <definedName name="MINOR_2Q16">Tags_ols!$CJ$20</definedName>
    <definedName name="MINOR_2Q17" localSheetId="10">Tags!$CO$20</definedName>
    <definedName name="MINOR_2Q17">Tags_ols!$CO$20</definedName>
    <definedName name="MINOR_2Q18" localSheetId="10">Tags!$CT$20</definedName>
    <definedName name="MINOR_2Q18">Tags_ols!$CT$20</definedName>
    <definedName name="MINOR_2Q19" localSheetId="10">Tags!$CY$20</definedName>
    <definedName name="MINOR_2Q19">Tags_ols!$CY$20</definedName>
    <definedName name="MINOR_2Q20" localSheetId="10">Tags!$DD$20</definedName>
    <definedName name="MINOR_2Q20">Tags_ols!$DD$20</definedName>
    <definedName name="MINOR_2Q21">Tags!$DI$20</definedName>
    <definedName name="MINOR_2Q22">Tags!$DN$20</definedName>
    <definedName name="MINOR_2Q23">Tags!$DS$20</definedName>
    <definedName name="MINOR_2Q24">Tags!$DX$20</definedName>
    <definedName name="MINOR_3Q00" localSheetId="10">Tags!$I$20</definedName>
    <definedName name="MINOR_3Q00">Tags_ols!$I$20</definedName>
    <definedName name="MINOR_3Q01" localSheetId="10">Tags!$N$20</definedName>
    <definedName name="MINOR_3Q01">Tags_ols!$N$20</definedName>
    <definedName name="MINOR_3Q02" localSheetId="10">Tags!$S$20</definedName>
    <definedName name="MINOR_3Q02">Tags_ols!$S$20</definedName>
    <definedName name="MINOR_3Q03" localSheetId="10">Tags!$X$20</definedName>
    <definedName name="MINOR_3Q03">Tags_ols!$X$20</definedName>
    <definedName name="MINOR_3Q04" localSheetId="10">Tags!$AC$20</definedName>
    <definedName name="MINOR_3Q04">Tags_ols!$AC$20</definedName>
    <definedName name="MINOR_3Q05" localSheetId="10">Tags!$AH$20</definedName>
    <definedName name="MINOR_3Q05">Tags_ols!$AH$20</definedName>
    <definedName name="MINOR_3Q06" localSheetId="10">Tags!$AM$20</definedName>
    <definedName name="MINOR_3Q06">Tags_ols!$AM$20</definedName>
    <definedName name="MINOR_3Q07" localSheetId="10">Tags!$AR$20</definedName>
    <definedName name="MINOR_3Q07">Tags_ols!$AR$20</definedName>
    <definedName name="MINOR_3Q08" localSheetId="10">Tags!$AW$20</definedName>
    <definedName name="MINOR_3Q08">Tags_ols!$AW$20</definedName>
    <definedName name="MINOR_3Q09" localSheetId="10">Tags!$BB$20</definedName>
    <definedName name="MINOR_3Q09">Tags_ols!$BB$20</definedName>
    <definedName name="MINOR_3Q10" localSheetId="10">Tags!$BG$20</definedName>
    <definedName name="MINOR_3Q10">Tags_ols!$BG$20</definedName>
    <definedName name="MINOR_3Q11" localSheetId="10">Tags!$BL$20</definedName>
    <definedName name="MINOR_3Q11">Tags_ols!$BL$20</definedName>
    <definedName name="MINOR_3Q12" localSheetId="10">Tags!$BQ$20</definedName>
    <definedName name="MINOR_3Q12">Tags_ols!$BQ$20</definedName>
    <definedName name="MINOR_3Q13" localSheetId="10">Tags!$BV$20</definedName>
    <definedName name="MINOR_3Q13">Tags_ols!$BV$20</definedName>
    <definedName name="MINOR_3Q14" localSheetId="10">Tags!$CA$20</definedName>
    <definedName name="MINOR_3Q14">Tags_ols!$CA$20</definedName>
    <definedName name="MINOR_3Q15" localSheetId="10">Tags!$CF$20</definedName>
    <definedName name="MINOR_3Q15">Tags_ols!$CF$20</definedName>
    <definedName name="MINOR_3Q16" localSheetId="10">Tags!$CK$20</definedName>
    <definedName name="MINOR_3Q16">Tags_ols!$CK$20</definedName>
    <definedName name="MINOR_3Q17" localSheetId="10">Tags!$CP$20</definedName>
    <definedName name="MINOR_3Q17">Tags_ols!$CP$20</definedName>
    <definedName name="MINOR_3Q18" localSheetId="10">Tags!$CU$20</definedName>
    <definedName name="MINOR_3Q18">Tags_ols!$CU$20</definedName>
    <definedName name="MINOR_3Q19" localSheetId="10">Tags!$CZ$20</definedName>
    <definedName name="MINOR_3Q19">Tags_ols!$CZ$20</definedName>
    <definedName name="MINOR_3Q20" localSheetId="10">Tags!$DE$20</definedName>
    <definedName name="MINOR_3Q20">Tags_ols!$DE$20</definedName>
    <definedName name="MINOR_3Q21">Tags!$DJ$20</definedName>
    <definedName name="MINOR_3Q22">Tags!$DO$20</definedName>
    <definedName name="MINOR_3Q23">Tags!$DT$20</definedName>
    <definedName name="MINOR_3Q24">Tags!$DY$20</definedName>
    <definedName name="MINOR_4Q00" localSheetId="10">Tags!$J$20</definedName>
    <definedName name="MINOR_4Q00">Tags_ols!$J$20</definedName>
    <definedName name="MINOR_4Q01" localSheetId="10">Tags!$O$20</definedName>
    <definedName name="MINOR_4Q01">Tags_ols!$O$20</definedName>
    <definedName name="MINOR_4Q02" localSheetId="10">Tags!$T$20</definedName>
    <definedName name="MINOR_4Q02">Tags_ols!$T$20</definedName>
    <definedName name="MINOR_4Q03" localSheetId="10">Tags!$Y$20</definedName>
    <definedName name="MINOR_4Q03">Tags_ols!$Y$20</definedName>
    <definedName name="MINOR_4Q04" localSheetId="10">Tags!$AD$20</definedName>
    <definedName name="MINOR_4Q04">Tags_ols!$AD$20</definedName>
    <definedName name="MINOR_4Q05" localSheetId="10">Tags!$AI$20</definedName>
    <definedName name="MINOR_4Q05">Tags_ols!$AI$20</definedName>
    <definedName name="MINOR_4Q06" localSheetId="10">Tags!$AN$20</definedName>
    <definedName name="MINOR_4Q06">Tags_ols!$AN$20</definedName>
    <definedName name="MINOR_4Q07" localSheetId="10">Tags!$AS$20</definedName>
    <definedName name="MINOR_4Q07">Tags_ols!$AS$20</definedName>
    <definedName name="MINOR_4Q08" localSheetId="10">Tags!$AX$20</definedName>
    <definedName name="MINOR_4Q08">Tags_ols!$AX$20</definedName>
    <definedName name="MINOR_4Q09" localSheetId="10">Tags!$BC$20</definedName>
    <definedName name="MINOR_4Q09">Tags_ols!$BC$20</definedName>
    <definedName name="MINOR_4Q10" localSheetId="10">Tags!$BH$20</definedName>
    <definedName name="MINOR_4Q10">Tags_ols!$BH$20</definedName>
    <definedName name="MINOR_4Q11" localSheetId="10">Tags!$BM$20</definedName>
    <definedName name="MINOR_4Q11">Tags_ols!$BM$20</definedName>
    <definedName name="MINOR_4Q12" localSheetId="10">Tags!$BR$20</definedName>
    <definedName name="MINOR_4Q12">Tags_ols!$BR$20</definedName>
    <definedName name="MINOR_4Q13" localSheetId="10">Tags!$BW$20</definedName>
    <definedName name="MINOR_4Q13">Tags_ols!$BW$20</definedName>
    <definedName name="MINOR_4Q14" localSheetId="10">Tags!$CB$20</definedName>
    <definedName name="MINOR_4Q14">Tags_ols!$CB$20</definedName>
    <definedName name="MINOR_4Q15" localSheetId="10">Tags!$CG$20</definedName>
    <definedName name="MINOR_4Q15">Tags_ols!$CG$20</definedName>
    <definedName name="MINOR_4Q16" localSheetId="10">Tags!$CL$20</definedName>
    <definedName name="MINOR_4Q16">Tags_ols!$CL$20</definedName>
    <definedName name="MINOR_4Q17" localSheetId="10">Tags!$CQ$20</definedName>
    <definedName name="MINOR_4Q17">Tags_ols!$CQ$20</definedName>
    <definedName name="MINOR_4Q18" localSheetId="10">Tags!$CV$20</definedName>
    <definedName name="MINOR_4Q18">Tags_ols!$CV$20</definedName>
    <definedName name="MINOR_4Q19" localSheetId="10">Tags!$DA$20</definedName>
    <definedName name="MINOR_4Q19">Tags_ols!$DA$20</definedName>
    <definedName name="MINOR_4Q20" localSheetId="10">Tags!$DF$20</definedName>
    <definedName name="MINOR_4Q20">Tags_ols!$DF$20</definedName>
    <definedName name="MINOR_4Q21">Tags!$DK$20</definedName>
    <definedName name="MINOR_4Q22">Tags!$DP$20</definedName>
    <definedName name="MINOR_4Q23">Tags!$DU$20</definedName>
    <definedName name="MINOR_4Q24">Tags!$DZ$20</definedName>
    <definedName name="mn" localSheetId="9">{"Jan","Feb","Mar","Apr","May","Jun","Jul","Aug","Sep","Oct","Nov","Dec";"January","February","March","April","May","June","July","August","September","October","November","December"}</definedName>
    <definedName name="mn" localSheetId="5">{"Jan","Feb","Mar","Apr","May","Jun","Jul","Aug","Sep","Oct","Nov","Dec";"January","February","March","April","May","June","July","August","September","October","November","December"}</definedName>
    <definedName name="mn">{"Jan","Feb","Mar","Apr","May","Jun","Jul","Aug","Sep","Oct","Nov","Dec";"January","February","March","April","May","June","July","August","September","October","November","December"}</definedName>
    <definedName name="MonitorCol">1</definedName>
    <definedName name="MonitorRow">1</definedName>
    <definedName name="monthNames" localSheetId="9">{"Jan","Feb","Mar","Apr","May","Jun","Jul","Aug","Sep","Oct","Nov","Dec";"January","February","March","April","May","June","July","August","September","October","November","December"}</definedName>
    <definedName name="monthNames" localSheetId="5">{"Jan","Feb","Mar","Apr","May","Jun","Jul","Aug","Sep","Oct","Nov","Dec";"January","February","March","April","May","June","July","August","September","October","November","December"}</definedName>
    <definedName name="monthNames">{"Jan","Feb","Mar","Apr","May","Jun","Jul","Aug","Sep","Oct","Nov","Dec";"January","February","March","April","May","June","July","August","September","October","November","December"}</definedName>
    <definedName name="NA">"NA   "</definedName>
    <definedName name="NAV_1995">Tags_ols!$B$173</definedName>
    <definedName name="NAV_1996">Tags_ols!$C$173</definedName>
    <definedName name="NAV_1997">Tags_ols!$D$173</definedName>
    <definedName name="NAV_1998">Tags_ols!$E$173</definedName>
    <definedName name="NAV_1999">Tags_ols!$F$173</definedName>
    <definedName name="NAV_1Q00" localSheetId="10">Tags!$G$173</definedName>
    <definedName name="NAV_1Q00">Tags_ols!$G$173</definedName>
    <definedName name="NAV_1Q01" localSheetId="10">Tags!$L$173</definedName>
    <definedName name="NAV_1Q01">Tags_ols!$L$173</definedName>
    <definedName name="NAV_1Q02" localSheetId="10">Tags!$Q$173</definedName>
    <definedName name="NAV_1Q02">Tags_ols!$Q$173</definedName>
    <definedName name="NAV_1Q03" localSheetId="10">Tags!$V$173</definedName>
    <definedName name="NAV_1Q03">Tags_ols!$V$173</definedName>
    <definedName name="NAV_1Q04" localSheetId="10">Tags!$AA$173</definedName>
    <definedName name="NAV_1Q04">Tags_ols!$AA$173</definedName>
    <definedName name="NAV_1Q05" localSheetId="10">Tags!$AF$173</definedName>
    <definedName name="NAV_1Q05">Tags_ols!$AF$173</definedName>
    <definedName name="NAV_1Q06" localSheetId="10">Tags!$AK$173</definedName>
    <definedName name="NAV_1Q06">Tags_ols!$AK$173</definedName>
    <definedName name="NAV_1Q07" localSheetId="10">Tags!$AP$173</definedName>
    <definedName name="NAV_1Q07">Tags_ols!$AP$173</definedName>
    <definedName name="NAV_1Q08" localSheetId="10">Tags!$AU$173</definedName>
    <definedName name="NAV_1Q08">Tags_ols!$AU$173</definedName>
    <definedName name="NAV_1Q09" localSheetId="10">Tags!$AZ$173</definedName>
    <definedName name="NAV_1Q09">Tags_ols!$AZ$173</definedName>
    <definedName name="NAV_1Q10" localSheetId="10">Tags!$BE$173</definedName>
    <definedName name="NAV_1Q10">Tags_ols!$BE$173</definedName>
    <definedName name="NAV_1Q11" localSheetId="10">Tags!$BJ$173</definedName>
    <definedName name="NAV_1Q11">Tags_ols!$BJ$173</definedName>
    <definedName name="NAV_1Q12" localSheetId="10">Tags!$BO$173</definedName>
    <definedName name="NAV_1Q12">Tags_ols!$BO$173</definedName>
    <definedName name="NAV_1Q13" localSheetId="10">Tags!$BT$173</definedName>
    <definedName name="NAV_1Q13">Tags_ols!$BT$173</definedName>
    <definedName name="NAV_1Q14" localSheetId="10">Tags!$BY$173</definedName>
    <definedName name="NAV_1Q14">Tags_ols!$BY$173</definedName>
    <definedName name="NAV_1Q15" localSheetId="10">Tags!$CD$173</definedName>
    <definedName name="NAV_1Q15">Tags_ols!$CD$173</definedName>
    <definedName name="NAV_1Q16" localSheetId="10">Tags!$CI$173</definedName>
    <definedName name="NAV_1Q16">Tags_ols!$CI$173</definedName>
    <definedName name="NAV_1Q17" localSheetId="10">Tags!$CN$173</definedName>
    <definedName name="NAV_1Q17">Tags_ols!$CN$173</definedName>
    <definedName name="NAV_1Q18" localSheetId="10">Tags!$CS$173</definedName>
    <definedName name="NAV_1Q18">Tags_ols!$CS$173</definedName>
    <definedName name="NAV_1Q19" localSheetId="10">Tags!$CX$173</definedName>
    <definedName name="NAV_1Q19">Tags_ols!$CX$173</definedName>
    <definedName name="NAV_1Q20" localSheetId="10">Tags!$DC$173</definedName>
    <definedName name="NAV_1Q20">Tags_ols!$DC$173</definedName>
    <definedName name="NAV_1Q21">Tags!$DH$173</definedName>
    <definedName name="NAV_1Q22">Tags!$DM$173</definedName>
    <definedName name="NAV_1Q23">Tags!$DR$173</definedName>
    <definedName name="NAV_1Q24">Tags!$DW$173</definedName>
    <definedName name="NAV_2000" localSheetId="10">Tags!$K$173</definedName>
    <definedName name="NAV_2000">Tags_ols!$K$173</definedName>
    <definedName name="NAV_2001" localSheetId="10">Tags!$P$173</definedName>
    <definedName name="NAV_2001">Tags_ols!$P$173</definedName>
    <definedName name="NAV_2002" localSheetId="10">Tags!$U$173</definedName>
    <definedName name="NAV_2002">Tags_ols!$U$173</definedName>
    <definedName name="NAV_2003" localSheetId="10">Tags!$Z$173</definedName>
    <definedName name="NAV_2003">Tags_ols!$Z$173</definedName>
    <definedName name="NAV_2004" localSheetId="10">Tags!$AE$173</definedName>
    <definedName name="NAV_2004">Tags_ols!$AE$173</definedName>
    <definedName name="NAV_2005" localSheetId="10">Tags!$AJ$173</definedName>
    <definedName name="NAV_2005">Tags_ols!$AJ$173</definedName>
    <definedName name="NAV_2006" localSheetId="10">Tags!$AO$173</definedName>
    <definedName name="NAV_2006">Tags_ols!$AO$173</definedName>
    <definedName name="NAV_2007" localSheetId="10">Tags!$AT$173</definedName>
    <definedName name="NAV_2007">Tags_ols!$AT$173</definedName>
    <definedName name="NAV_2008" localSheetId="10">Tags!$AY$173</definedName>
    <definedName name="NAV_2008">Tags_ols!$AY$173</definedName>
    <definedName name="NAV_2009" localSheetId="10">Tags!$BD$173</definedName>
    <definedName name="NAV_2009">Tags_ols!$BD$173</definedName>
    <definedName name="NAV_2010" localSheetId="10">Tags!$BI$173</definedName>
    <definedName name="NAV_2010">Tags_ols!$BI$173</definedName>
    <definedName name="NAV_2011" localSheetId="10">Tags!$BN$173</definedName>
    <definedName name="NAV_2011">Tags_ols!$BN$173</definedName>
    <definedName name="NAV_2012" localSheetId="10">Tags!$BS$173</definedName>
    <definedName name="NAV_2012">Tags_ols!$BS$173</definedName>
    <definedName name="NAV_2013" localSheetId="10">Tags!$BX$173</definedName>
    <definedName name="NAV_2013">Tags_ols!$BX$173</definedName>
    <definedName name="NAV_2014" localSheetId="10">Tags!$CC$173</definedName>
    <definedName name="NAV_2014">Tags_ols!$CC$173</definedName>
    <definedName name="NAV_2015" localSheetId="10">Tags!#REF!</definedName>
    <definedName name="NAV_2015">Tags!$CH$173</definedName>
    <definedName name="NAV_2016" localSheetId="10">Tags!$CM$173</definedName>
    <definedName name="NAV_2016">Tags_ols!$CM$173</definedName>
    <definedName name="NAV_2017" localSheetId="10">Tags!$CR$173</definedName>
    <definedName name="NAV_2017">Tags_ols!$CR$173</definedName>
    <definedName name="NAV_2018" localSheetId="10">Tags!$CW$173</definedName>
    <definedName name="NAV_2018">Tags_ols!$CW$173</definedName>
    <definedName name="NAV_2019" localSheetId="10">Tags!$DB$173</definedName>
    <definedName name="NAV_2019">Tags_ols!$DB$173</definedName>
    <definedName name="NAV_2020" localSheetId="10">Tags!$DG$173</definedName>
    <definedName name="NAV_2020">Tags_ols!$DG$173</definedName>
    <definedName name="NAV_2021">Tags!$DL$173</definedName>
    <definedName name="NAV_2022">Tags!$DQ$173</definedName>
    <definedName name="NAV_2023">Tags!$DV$173</definedName>
    <definedName name="NAV_2024">Tags!$EA$173</definedName>
    <definedName name="NAV_2Q00" localSheetId="10">Tags!$H$173</definedName>
    <definedName name="NAV_2Q00">Tags_ols!$H$173</definedName>
    <definedName name="NAV_2Q01" localSheetId="10">Tags!$M$173</definedName>
    <definedName name="NAV_2Q01">Tags_ols!$M$173</definedName>
    <definedName name="NAV_2Q02" localSheetId="10">Tags!$R$173</definedName>
    <definedName name="NAV_2Q02">Tags_ols!$R$173</definedName>
    <definedName name="NAV_2Q03" localSheetId="10">Tags!$W$173</definedName>
    <definedName name="NAV_2Q03">Tags_ols!$W$173</definedName>
    <definedName name="NAV_2Q04" localSheetId="10">Tags!$AB$173</definedName>
    <definedName name="NAV_2Q04">Tags_ols!$AB$173</definedName>
    <definedName name="NAV_2Q05" localSheetId="10">Tags!$AG$173</definedName>
    <definedName name="NAV_2Q05">Tags_ols!$AG$173</definedName>
    <definedName name="NAV_2Q06" localSheetId="10">Tags!$AL$173</definedName>
    <definedName name="NAV_2Q06">Tags_ols!$AL$173</definedName>
    <definedName name="NAV_2Q07" localSheetId="10">Tags!$AQ$173</definedName>
    <definedName name="NAV_2Q07">Tags_ols!$AQ$173</definedName>
    <definedName name="NAV_2Q08" localSheetId="10">Tags!$AV$173</definedName>
    <definedName name="NAV_2Q08">Tags_ols!$AV$173</definedName>
    <definedName name="NAV_2Q09" localSheetId="10">Tags!$BA$173</definedName>
    <definedName name="NAV_2Q09">Tags_ols!$BA$173</definedName>
    <definedName name="NAV_2Q10" localSheetId="10">Tags!$BF$173</definedName>
    <definedName name="NAV_2Q10">Tags_ols!$BF$173</definedName>
    <definedName name="NAV_2Q11" localSheetId="10">Tags!$BK$173</definedName>
    <definedName name="NAV_2Q11">Tags_ols!$BK$173</definedName>
    <definedName name="NAV_2Q12" localSheetId="10">Tags!$BP$173</definedName>
    <definedName name="NAV_2Q12">Tags_ols!$BP$173</definedName>
    <definedName name="NAV_2Q13" localSheetId="10">Tags!$BU$173</definedName>
    <definedName name="NAV_2Q13">Tags_ols!$BU$173</definedName>
    <definedName name="NAV_2Q14" localSheetId="10">Tags!$BZ$173</definedName>
    <definedName name="NAV_2Q14">Tags_ols!$BZ$173</definedName>
    <definedName name="NAV_2Q15" localSheetId="10">Tags!$CE$173</definedName>
    <definedName name="NAV_2Q15">Tags_ols!$CE$173</definedName>
    <definedName name="NAV_2Q16" localSheetId="10">Tags!$CJ$173</definedName>
    <definedName name="NAV_2Q16">Tags_ols!$CJ$173</definedName>
    <definedName name="NAV_2Q17" localSheetId="10">Tags!$CO$173</definedName>
    <definedName name="NAV_2Q17">Tags_ols!$CO$173</definedName>
    <definedName name="NAV_2Q18" localSheetId="10">Tags!$CT$173</definedName>
    <definedName name="NAV_2Q18">Tags_ols!$CT$173</definedName>
    <definedName name="NAV_2Q19" localSheetId="10">Tags!$CY$173</definedName>
    <definedName name="NAV_2Q19">Tags_ols!$CY$173</definedName>
    <definedName name="NAV_2Q20" localSheetId="10">Tags!$DD$173</definedName>
    <definedName name="NAV_2Q20">Tags_ols!$DD$173</definedName>
    <definedName name="NAV_2Q21">Tags!$DI$173</definedName>
    <definedName name="NAV_2Q22">Tags!$DN$173</definedName>
    <definedName name="NAV_2Q23">Tags!$DS$173</definedName>
    <definedName name="NAV_2Q24">Tags!$DX$173</definedName>
    <definedName name="NAV_3Q00" localSheetId="10">Tags!$I$173</definedName>
    <definedName name="NAV_3Q00">Tags_ols!$I$173</definedName>
    <definedName name="NAV_3Q01" localSheetId="10">Tags!$N$173</definedName>
    <definedName name="NAV_3Q01">Tags_ols!$N$173</definedName>
    <definedName name="NAV_3Q02" localSheetId="10">Tags!$S$173</definedName>
    <definedName name="NAV_3Q02">Tags_ols!$S$173</definedName>
    <definedName name="NAV_3Q03" localSheetId="10">Tags!$X$173</definedName>
    <definedName name="NAV_3Q03">Tags_ols!$X$173</definedName>
    <definedName name="NAV_3Q04" localSheetId="10">Tags!$AC$173</definedName>
    <definedName name="NAV_3Q04">Tags_ols!$AC$173</definedName>
    <definedName name="NAV_3Q05" localSheetId="10">Tags!$AH$173</definedName>
    <definedName name="NAV_3Q05">Tags_ols!$AH$173</definedName>
    <definedName name="NAV_3Q06" localSheetId="10">Tags!$AM$173</definedName>
    <definedName name="NAV_3Q06">Tags_ols!$AM$173</definedName>
    <definedName name="NAV_3Q07" localSheetId="10">Tags!$AR$173</definedName>
    <definedName name="NAV_3Q07">Tags_ols!$AR$173</definedName>
    <definedName name="NAV_3Q08" localSheetId="10">Tags!$AW$173</definedName>
    <definedName name="NAV_3Q08">Tags_ols!$AW$173</definedName>
    <definedName name="NAV_3Q09" localSheetId="10">Tags!$BB$173</definedName>
    <definedName name="NAV_3Q09">Tags_ols!$BB$173</definedName>
    <definedName name="NAV_3Q10" localSheetId="10">Tags!$BG$173</definedName>
    <definedName name="NAV_3Q10">Tags_ols!$BG$173</definedName>
    <definedName name="NAV_3Q11" localSheetId="10">Tags!$BL$173</definedName>
    <definedName name="NAV_3Q11">Tags_ols!$BL$173</definedName>
    <definedName name="NAV_3Q12" localSheetId="10">Tags!$BQ$173</definedName>
    <definedName name="NAV_3Q12">Tags_ols!$BQ$173</definedName>
    <definedName name="NAV_3Q13" localSheetId="10">Tags!$BV$173</definedName>
    <definedName name="NAV_3Q13">Tags_ols!$BV$173</definedName>
    <definedName name="NAV_3Q14" localSheetId="10">Tags!$CA$173</definedName>
    <definedName name="NAV_3Q14">Tags_ols!$CA$173</definedName>
    <definedName name="NAV_3Q15" localSheetId="10">Tags!$CF$173</definedName>
    <definedName name="NAV_3Q15">Tags_ols!$CF$173</definedName>
    <definedName name="NAV_3Q16" localSheetId="10">Tags!$CK$173</definedName>
    <definedName name="NAV_3Q16">Tags_ols!$CK$173</definedName>
    <definedName name="NAV_3Q17" localSheetId="10">Tags!$CP$173</definedName>
    <definedName name="NAV_3Q17">Tags_ols!$CP$173</definedName>
    <definedName name="NAV_3Q18" localSheetId="10">Tags!$CU$173</definedName>
    <definedName name="NAV_3Q18">Tags_ols!$CU$173</definedName>
    <definedName name="NAV_3Q19" localSheetId="10">Tags!$CZ$173</definedName>
    <definedName name="NAV_3Q19">Tags_ols!$CZ$173</definedName>
    <definedName name="NAV_3Q20" localSheetId="10">Tags!$DE$173</definedName>
    <definedName name="NAV_3Q20">Tags_ols!$DE$173</definedName>
    <definedName name="NAV_3Q21">Tags!$DJ$173</definedName>
    <definedName name="NAV_3Q22">Tags!$DO$173</definedName>
    <definedName name="NAV_3Q23">Tags!$DT$173</definedName>
    <definedName name="NAV_3Q24">Tags!$DY$173</definedName>
    <definedName name="NAV_4Q00" localSheetId="10">Tags!$J$173</definedName>
    <definedName name="NAV_4Q00">Tags_ols!$J$173</definedName>
    <definedName name="NAV_4Q01" localSheetId="10">Tags!$O$173</definedName>
    <definedName name="NAV_4Q01">Tags_ols!$O$173</definedName>
    <definedName name="NAV_4Q02" localSheetId="10">Tags!$T$173</definedName>
    <definedName name="NAV_4Q02">Tags_ols!$T$173</definedName>
    <definedName name="NAV_4Q03" localSheetId="10">Tags!$Y$173</definedName>
    <definedName name="NAV_4Q03">Tags_ols!$Y$173</definedName>
    <definedName name="NAV_4Q04" localSheetId="10">Tags!$AD$173</definedName>
    <definedName name="NAV_4Q04">Tags_ols!$AD$173</definedName>
    <definedName name="NAV_4Q05" localSheetId="10">Tags!$AI$173</definedName>
    <definedName name="NAV_4Q05">Tags_ols!$AI$173</definedName>
    <definedName name="NAV_4Q06" localSheetId="10">Tags!$AN$173</definedName>
    <definedName name="NAV_4Q06">Tags_ols!$AN$173</definedName>
    <definedName name="NAV_4Q07" localSheetId="10">Tags!$AS$173</definedName>
    <definedName name="NAV_4Q07">Tags_ols!$AS$173</definedName>
    <definedName name="NAV_4Q08" localSheetId="10">Tags!$AX$173</definedName>
    <definedName name="NAV_4Q08">Tags_ols!$AX$173</definedName>
    <definedName name="NAV_4Q09" localSheetId="10">Tags!$BC$173</definedName>
    <definedName name="NAV_4Q09">Tags_ols!$BC$173</definedName>
    <definedName name="NAV_4Q10" localSheetId="10">Tags!$BH$173</definedName>
    <definedName name="NAV_4Q10">Tags_ols!$BH$173</definedName>
    <definedName name="NAV_4Q11" localSheetId="10">Tags!$BM$173</definedName>
    <definedName name="NAV_4Q11">Tags_ols!$BM$173</definedName>
    <definedName name="NAV_4Q12" localSheetId="10">Tags!$BR$173</definedName>
    <definedName name="NAV_4Q12">Tags_ols!$BR$173</definedName>
    <definedName name="NAV_4Q13" localSheetId="10">Tags!$BW$173</definedName>
    <definedName name="NAV_4Q13">Tags_ols!$BW$173</definedName>
    <definedName name="NAV_4Q14" localSheetId="10">Tags!$CB$173</definedName>
    <definedName name="NAV_4Q14">Tags_ols!$CB$173</definedName>
    <definedName name="NAV_4Q15" localSheetId="10">Tags!$CG$173</definedName>
    <definedName name="NAV_4Q15">Tags_ols!$CG$173</definedName>
    <definedName name="NAV_4Q16" localSheetId="10">Tags!$CL$173</definedName>
    <definedName name="NAV_4Q16">Tags_ols!$CL$173</definedName>
    <definedName name="NAV_4Q17" localSheetId="10">Tags!$CQ$173</definedName>
    <definedName name="NAV_4Q17">Tags_ols!$CQ$173</definedName>
    <definedName name="NAV_4Q18" localSheetId="10">Tags!$CV$173</definedName>
    <definedName name="NAV_4Q18">Tags_ols!$CV$173</definedName>
    <definedName name="NAV_4Q19" localSheetId="10">Tags!$DA$173</definedName>
    <definedName name="NAV_4Q19">Tags_ols!$DA$173</definedName>
    <definedName name="NAV_4Q20" localSheetId="10">Tags!$DF$173</definedName>
    <definedName name="NAV_4Q20">Tags_ols!$DF$173</definedName>
    <definedName name="NAV_4Q21">Tags!$DK$173</definedName>
    <definedName name="NAV_4Q22">Tags!$DP$173</definedName>
    <definedName name="NAV_4Q23">Tags!$DU$173</definedName>
    <definedName name="NAV_4Q24">Tags!$DZ$173</definedName>
    <definedName name="NCACQS_1995">Tags_ols!$B$362</definedName>
    <definedName name="NCACQS_1996">Tags_ols!$C$362</definedName>
    <definedName name="NCACQS_1997">Tags_ols!$D$362</definedName>
    <definedName name="NCACQS_1998">Tags_ols!$E$362</definedName>
    <definedName name="NCACQS_1999">Tags_ols!$F$362</definedName>
    <definedName name="NCACQS_1Q00" localSheetId="10">Tags!$G$362</definedName>
    <definedName name="NCACQS_1Q00">Tags_ols!$G$362</definedName>
    <definedName name="NCACQS_1Q01" localSheetId="10">Tags!$L$362</definedName>
    <definedName name="NCACQS_1Q01">Tags_ols!$L$362</definedName>
    <definedName name="NCACQS_1Q02" localSheetId="10">Tags!$Q$362</definedName>
    <definedName name="NCACQS_1Q02">Tags_ols!$Q$362</definedName>
    <definedName name="NCACQS_1Q03" localSheetId="10">Tags!$V$362</definedName>
    <definedName name="NCACQS_1Q03">Tags_ols!$V$362</definedName>
    <definedName name="NCACQS_1Q04" localSheetId="10">Tags!$AA$362</definedName>
    <definedName name="NCACQS_1Q04">Tags_ols!$AA$362</definedName>
    <definedName name="NCACQS_1Q05" localSheetId="10">Tags!$AF$362</definedName>
    <definedName name="NCACQS_1Q05">Tags_ols!$AF$362</definedName>
    <definedName name="NCACQS_1Q06" localSheetId="10">Tags!$AK$362</definedName>
    <definedName name="NCACQS_1Q06">Tags_ols!$AK$362</definedName>
    <definedName name="NCACQS_1Q07" localSheetId="10">Tags!$AP$362</definedName>
    <definedName name="NCACQS_1Q07">Tags_ols!$AP$362</definedName>
    <definedName name="NCACQS_1Q08" localSheetId="10">Tags!$AU$362</definedName>
    <definedName name="NCACQS_1Q08">Tags_ols!$AU$362</definedName>
    <definedName name="NCACQS_1Q09" localSheetId="10">Tags!$AZ$362</definedName>
    <definedName name="NCACQS_1Q09">Tags_ols!$AZ$362</definedName>
    <definedName name="NCACQS_1Q10" localSheetId="10">Tags!$BE$362</definedName>
    <definedName name="NCACQS_1Q10">Tags_ols!$BE$362</definedName>
    <definedName name="NCACQS_1Q11" localSheetId="10">Tags!$BJ$362</definedName>
    <definedName name="NCACQS_1Q11">Tags_ols!$BJ$362</definedName>
    <definedName name="NCACQS_1Q12" localSheetId="10">Tags!$BO$362</definedName>
    <definedName name="NCACQS_1Q12">Tags_ols!$BO$362</definedName>
    <definedName name="NCACQS_1Q13" localSheetId="10">Tags!$BT$362</definedName>
    <definedName name="NCACQS_1Q13">Tags_ols!$BT$362</definedName>
    <definedName name="NCACQS_1Q14" localSheetId="10">Tags!$BY$362</definedName>
    <definedName name="NCACQS_1Q14">Tags_ols!$BY$362</definedName>
    <definedName name="NCACQS_1Q15" localSheetId="10">Tags!$CD$362</definedName>
    <definedName name="NCACQS_1Q15">Tags_ols!$CD$362</definedName>
    <definedName name="NCACQS_1Q16" localSheetId="10">Tags!$CI$362</definedName>
    <definedName name="NCACQS_1Q16">Tags_ols!$CI$362</definedName>
    <definedName name="NCACQS_1Q17" localSheetId="10">Tags!$CN$362</definedName>
    <definedName name="NCACQS_1Q17">Tags_ols!$CN$362</definedName>
    <definedName name="NCACQS_1Q18" localSheetId="10">Tags!$CS$362</definedName>
    <definedName name="NCACQS_1Q18">Tags_ols!$CS$362</definedName>
    <definedName name="NCACQS_1Q19" localSheetId="10">Tags!$CX$362</definedName>
    <definedName name="NCACQS_1Q19">Tags_ols!$CX$362</definedName>
    <definedName name="NCACQS_1Q20" localSheetId="10">Tags!$DC$362</definedName>
    <definedName name="NCACQS_1Q20">Tags_ols!$DC$362</definedName>
    <definedName name="NCACQS_1Q21">Tags!$DH$362</definedName>
    <definedName name="NCACQS_1Q22">Tags!$DM$362</definedName>
    <definedName name="NCACQS_1Q23">Tags!$DR$362</definedName>
    <definedName name="NCACQS_1Q24">Tags!$DW$362</definedName>
    <definedName name="NCACQS_2000" localSheetId="10">Tags!$K$362</definedName>
    <definedName name="NCACQS_2000">Tags_ols!$K$362</definedName>
    <definedName name="NCACQS_2001" localSheetId="10">Tags!$P$362</definedName>
    <definedName name="NCACQS_2001">Tags_ols!$P$362</definedName>
    <definedName name="NCACQS_2002" localSheetId="10">Tags!$U$362</definedName>
    <definedName name="NCACQS_2002">Tags_ols!$U$362</definedName>
    <definedName name="NCACQS_2003" localSheetId="10">Tags!$Z$362</definedName>
    <definedName name="NCACQS_2003">Tags_ols!$Z$362</definedName>
    <definedName name="NCACQS_2004" localSheetId="10">Tags!$AE$362</definedName>
    <definedName name="NCACQS_2004">Tags_ols!$AE$362</definedName>
    <definedName name="NCACQS_2005" localSheetId="10">Tags!$AJ$362</definedName>
    <definedName name="NCACQS_2005">Tags_ols!$AJ$362</definedName>
    <definedName name="NCACQS_2006" localSheetId="10">Tags!$AO$362</definedName>
    <definedName name="NCACQS_2006">Tags_ols!$AO$362</definedName>
    <definedName name="NCACQS_2007" localSheetId="10">Tags!$AT$362</definedName>
    <definedName name="NCACQS_2007">Tags_ols!$AT$362</definedName>
    <definedName name="NCACQS_2008" localSheetId="10">Tags!$AY$362</definedName>
    <definedName name="NCACQS_2008">Tags_ols!$AY$362</definedName>
    <definedName name="NCACQS_2009" localSheetId="10">Tags!$BD$362</definedName>
    <definedName name="NCACQS_2009">Tags_ols!$BD$362</definedName>
    <definedName name="NCACQS_2010" localSheetId="10">Tags!$BI$362</definedName>
    <definedName name="NCACQS_2010">Tags_ols!$BI$362</definedName>
    <definedName name="NCACQS_2011" localSheetId="10">Tags!$BN$362</definedName>
    <definedName name="NCACQS_2011">Tags_ols!$BN$362</definedName>
    <definedName name="NCACQS_2012" localSheetId="10">Tags!$BS$362</definedName>
    <definedName name="NCACQS_2012">Tags_ols!$BS$362</definedName>
    <definedName name="NCACQS_2013" localSheetId="10">Tags!$BX$362</definedName>
    <definedName name="NCACQS_2013">Tags_ols!$BX$362</definedName>
    <definedName name="NCACQS_2014" localSheetId="10">Tags!$CC$362</definedName>
    <definedName name="NCACQS_2014">Tags_ols!$CC$362</definedName>
    <definedName name="NCACQS_2015" localSheetId="10">Tags!#REF!</definedName>
    <definedName name="NCACQS_2015">Tags!$CH$362</definedName>
    <definedName name="NCACQS_2016" localSheetId="10">Tags!$CM$362</definedName>
    <definedName name="NCACQS_2016">Tags_ols!$CM$362</definedName>
    <definedName name="NCACQS_2017" localSheetId="10">Tags!$CR$362</definedName>
    <definedName name="NCACQS_2017">Tags_ols!$CR$362</definedName>
    <definedName name="NCACQS_2018" localSheetId="10">Tags!$CW$362</definedName>
    <definedName name="NCACQS_2018">Tags_ols!$CW$362</definedName>
    <definedName name="NCACQS_2019" localSheetId="10">Tags!$DB$362</definedName>
    <definedName name="NCACQS_2019">Tags_ols!$DB$362</definedName>
    <definedName name="NCACQS_2020" localSheetId="10">Tags!$DG$362</definedName>
    <definedName name="NCACQS_2020">Tags_ols!$DG$362</definedName>
    <definedName name="NCACQS_2021">Tags!$DL$362</definedName>
    <definedName name="NCACQS_2022">Tags!$DQ$362</definedName>
    <definedName name="NCACQS_2023">Tags!$DV$362</definedName>
    <definedName name="NCACQS_2024">Tags!$EA$362</definedName>
    <definedName name="NCACQS_2Q00" localSheetId="10">Tags!$H$362</definedName>
    <definedName name="NCACQS_2Q00">Tags_ols!$H$362</definedName>
    <definedName name="NCACQS_2Q01" localSheetId="10">Tags!$M$362</definedName>
    <definedName name="NCACQS_2Q01">Tags_ols!$M$362</definedName>
    <definedName name="NCACQS_2Q02" localSheetId="10">Tags!$R$362</definedName>
    <definedName name="NCACQS_2Q02">Tags_ols!$R$362</definedName>
    <definedName name="NCACQS_2Q03" localSheetId="10">Tags!$W$362</definedName>
    <definedName name="NCACQS_2Q03">Tags_ols!$W$362</definedName>
    <definedName name="NCACQS_2Q04" localSheetId="10">Tags!$AB$362</definedName>
    <definedName name="NCACQS_2Q04">Tags_ols!$AB$362</definedName>
    <definedName name="NCACQS_2Q05" localSheetId="10">Tags!$AG$362</definedName>
    <definedName name="NCACQS_2Q05">Tags_ols!$AG$362</definedName>
    <definedName name="NCACQS_2Q06" localSheetId="10">Tags!$AL$362</definedName>
    <definedName name="NCACQS_2Q06">Tags_ols!$AL$362</definedName>
    <definedName name="NCACQS_2Q07" localSheetId="10">Tags!$AQ$362</definedName>
    <definedName name="NCACQS_2Q07">Tags_ols!$AQ$362</definedName>
    <definedName name="NCACQS_2Q08" localSheetId="10">Tags!$AV$362</definedName>
    <definedName name="NCACQS_2Q08">Tags_ols!$AV$362</definedName>
    <definedName name="NCACQS_2Q09" localSheetId="10">Tags!$BA$362</definedName>
    <definedName name="NCACQS_2Q09">Tags_ols!$BA$362</definedName>
    <definedName name="NCACQS_2Q10" localSheetId="10">Tags!$BF$362</definedName>
    <definedName name="NCACQS_2Q10">Tags_ols!$BF$362</definedName>
    <definedName name="NCACQS_2Q11" localSheetId="10">Tags!$BK$362</definedName>
    <definedName name="NCACQS_2Q11">Tags_ols!$BK$362</definedName>
    <definedName name="NCACQS_2Q12" localSheetId="10">Tags!$BP$362</definedName>
    <definedName name="NCACQS_2Q12">Tags_ols!$BP$362</definedName>
    <definedName name="NCACQS_2Q13" localSheetId="10">Tags!$BU$362</definedName>
    <definedName name="NCACQS_2Q13">Tags_ols!$BU$362</definedName>
    <definedName name="NCACQS_2Q14" localSheetId="10">Tags!$BZ$362</definedName>
    <definedName name="NCACQS_2Q14">Tags_ols!$BZ$362</definedName>
    <definedName name="NCACQS_2Q15" localSheetId="10">Tags!$CE$362</definedName>
    <definedName name="NCACQS_2Q15">Tags_ols!$CE$362</definedName>
    <definedName name="NCACQS_2Q16" localSheetId="10">Tags!$CJ$362</definedName>
    <definedName name="NCACQS_2Q16">Tags_ols!$CJ$362</definedName>
    <definedName name="NCACQS_2Q17" localSheetId="10">Tags!$CO$362</definedName>
    <definedName name="NCACQS_2Q17">Tags_ols!$CO$362</definedName>
    <definedName name="NCACQS_2Q18" localSheetId="10">Tags!$CT$362</definedName>
    <definedName name="NCACQS_2Q18">Tags_ols!$CT$362</definedName>
    <definedName name="NCACQS_2Q19" localSheetId="10">Tags!$CY$362</definedName>
    <definedName name="NCACQS_2Q19">Tags_ols!$CY$362</definedName>
    <definedName name="NCACQS_2Q20" localSheetId="10">Tags!$DD$362</definedName>
    <definedName name="NCACQS_2Q20">Tags_ols!$DD$362</definedName>
    <definedName name="NCACQS_2Q21">Tags!$DI$362</definedName>
    <definedName name="NCACQS_2Q22">Tags!$DN$362</definedName>
    <definedName name="NCACQS_2Q23">Tags!$DS$362</definedName>
    <definedName name="NCACQS_2Q24">Tags!$DX$362</definedName>
    <definedName name="NCACQS_3Q00" localSheetId="10">Tags!$I$362</definedName>
    <definedName name="NCACQS_3Q00">Tags_ols!$I$362</definedName>
    <definedName name="NCACQS_3Q01" localSheetId="10">Tags!$N$362</definedName>
    <definedName name="NCACQS_3Q01">Tags_ols!$N$362</definedName>
    <definedName name="NCACQS_3Q02" localSheetId="10">Tags!$S$362</definedName>
    <definedName name="NCACQS_3Q02">Tags_ols!$S$362</definedName>
    <definedName name="NCACQS_3Q03" localSheetId="10">Tags!$X$362</definedName>
    <definedName name="NCACQS_3Q03">Tags_ols!$X$362</definedName>
    <definedName name="NCACQS_3Q04" localSheetId="10">Tags!$AC$362</definedName>
    <definedName name="NCACQS_3Q04">Tags_ols!$AC$362</definedName>
    <definedName name="NCACQS_3Q05" localSheetId="10">Tags!$AH$362</definedName>
    <definedName name="NCACQS_3Q05">Tags_ols!$AH$362</definedName>
    <definedName name="NCACQS_3Q06" localSheetId="10">Tags!$AM$362</definedName>
    <definedName name="NCACQS_3Q06">Tags_ols!$AM$362</definedName>
    <definedName name="NCACQS_3Q07" localSheetId="10">Tags!$AR$362</definedName>
    <definedName name="NCACQS_3Q07">Tags_ols!$AR$362</definedName>
    <definedName name="NCACQS_3Q08" localSheetId="10">Tags!$AW$362</definedName>
    <definedName name="NCACQS_3Q08">Tags_ols!$AW$362</definedName>
    <definedName name="NCACQS_3Q09" localSheetId="10">Tags!$BB$362</definedName>
    <definedName name="NCACQS_3Q09">Tags_ols!$BB$362</definedName>
    <definedName name="NCACQS_3Q10" localSheetId="10">Tags!$BG$362</definedName>
    <definedName name="NCACQS_3Q10">Tags_ols!$BG$362</definedName>
    <definedName name="NCACQS_3Q11" localSheetId="10">Tags!$BL$362</definedName>
    <definedName name="NCACQS_3Q11">Tags_ols!$BL$362</definedName>
    <definedName name="NCACQS_3Q12" localSheetId="10">Tags!$BQ$362</definedName>
    <definedName name="NCACQS_3Q12">Tags_ols!$BQ$362</definedName>
    <definedName name="NCACQS_3Q13" localSheetId="10">Tags!$BV$362</definedName>
    <definedName name="NCACQS_3Q13">Tags_ols!$BV$362</definedName>
    <definedName name="NCACQS_3Q14" localSheetId="10">Tags!$CA$362</definedName>
    <definedName name="NCACQS_3Q14">Tags_ols!$CA$362</definedName>
    <definedName name="NCACQS_3Q15" localSheetId="10">Tags!$CF$362</definedName>
    <definedName name="NCACQS_3Q15">Tags_ols!$CF$362</definedName>
    <definedName name="NCACQS_3Q16" localSheetId="10">Tags!$CK$362</definedName>
    <definedName name="NCACQS_3Q16">Tags_ols!$CK$362</definedName>
    <definedName name="NCACQS_3Q17" localSheetId="10">Tags!$CP$362</definedName>
    <definedName name="NCACQS_3Q17">Tags_ols!$CP$362</definedName>
    <definedName name="NCACQS_3Q18" localSheetId="10">Tags!$CU$362</definedName>
    <definedName name="NCACQS_3Q18">Tags_ols!$CU$362</definedName>
    <definedName name="NCACQS_3Q19" localSheetId="10">Tags!$CZ$362</definedName>
    <definedName name="NCACQS_3Q19">Tags_ols!$CZ$362</definedName>
    <definedName name="NCACQS_3Q20" localSheetId="10">Tags!$DE$362</definedName>
    <definedName name="NCACQS_3Q20">Tags_ols!$DE$362</definedName>
    <definedName name="NCACQS_3Q21">Tags!$DJ$362</definedName>
    <definedName name="NCACQS_3Q22">Tags!$DO$362</definedName>
    <definedName name="NCACQS_3Q23">Tags!$DT$362</definedName>
    <definedName name="NCACQS_3Q24">Tags!$DY$362</definedName>
    <definedName name="NCACQS_4Q00" localSheetId="10">Tags!$J$362</definedName>
    <definedName name="NCACQS_4Q00">Tags_ols!$J$362</definedName>
    <definedName name="NCACQS_4Q01" localSheetId="10">Tags!$O$362</definedName>
    <definedName name="NCACQS_4Q01">Tags_ols!$O$362</definedName>
    <definedName name="NCACQS_4Q02" localSheetId="10">Tags!$T$362</definedName>
    <definedName name="NCACQS_4Q02">Tags_ols!$T$362</definedName>
    <definedName name="NCACQS_4Q03" localSheetId="10">Tags!$Y$362</definedName>
    <definedName name="NCACQS_4Q03">Tags_ols!$Y$362</definedName>
    <definedName name="NCACQS_4Q04" localSheetId="10">Tags!$AD$362</definedName>
    <definedName name="NCACQS_4Q04">Tags_ols!$AD$362</definedName>
    <definedName name="NCACQS_4Q05" localSheetId="10">Tags!$AI$362</definedName>
    <definedName name="NCACQS_4Q05">Tags_ols!$AI$362</definedName>
    <definedName name="NCACQS_4Q06" localSheetId="10">Tags!$AN$362</definedName>
    <definedName name="NCACQS_4Q06">Tags_ols!$AN$362</definedName>
    <definedName name="NCACQS_4Q07" localSheetId="10">Tags!$AS$362</definedName>
    <definedName name="NCACQS_4Q07">Tags_ols!$AS$362</definedName>
    <definedName name="NCACQS_4Q08" localSheetId="10">Tags!$AX$362</definedName>
    <definedName name="NCACQS_4Q08">Tags_ols!$AX$362</definedName>
    <definedName name="NCACQS_4Q09" localSheetId="10">Tags!$BC$362</definedName>
    <definedName name="NCACQS_4Q09">Tags_ols!$BC$362</definedName>
    <definedName name="NCACQS_4Q10" localSheetId="10">Tags!$BH$362</definedName>
    <definedName name="NCACQS_4Q10">Tags_ols!$BH$362</definedName>
    <definedName name="NCACQS_4Q11" localSheetId="10">Tags!$BM$362</definedName>
    <definedName name="NCACQS_4Q11">Tags_ols!$BM$362</definedName>
    <definedName name="NCACQS_4Q12" localSheetId="10">Tags!$BR$362</definedName>
    <definedName name="NCACQS_4Q12">Tags_ols!$BR$362</definedName>
    <definedName name="NCACQS_4Q13" localSheetId="10">Tags!$BW$362</definedName>
    <definedName name="NCACQS_4Q13">Tags_ols!$BW$362</definedName>
    <definedName name="NCACQS_4Q14" localSheetId="10">Tags!$CB$362</definedName>
    <definedName name="NCACQS_4Q14">Tags_ols!$CB$362</definedName>
    <definedName name="NCACQS_4Q15" localSheetId="10">Tags!$CG$362</definedName>
    <definedName name="NCACQS_4Q15">Tags_ols!$CG$362</definedName>
    <definedName name="NCACQS_4Q16" localSheetId="10">Tags!$CL$362</definedName>
    <definedName name="NCACQS_4Q16">Tags_ols!$CL$362</definedName>
    <definedName name="NCACQS_4Q17" localSheetId="10">Tags!$CQ$362</definedName>
    <definedName name="NCACQS_4Q17">Tags_ols!$CQ$362</definedName>
    <definedName name="NCACQS_4Q18" localSheetId="10">Tags!$CV$362</definedName>
    <definedName name="NCACQS_4Q18">Tags_ols!$CV$362</definedName>
    <definedName name="NCACQS_4Q19" localSheetId="10">Tags!$DA$362</definedName>
    <definedName name="NCACQS_4Q19">Tags_ols!$DA$362</definedName>
    <definedName name="NCACQS_4Q20" localSheetId="10">Tags!$DF$362</definedName>
    <definedName name="NCACQS_4Q20">Tags_ols!$DF$362</definedName>
    <definedName name="NCACQS_4Q21">Tags!$DK$362</definedName>
    <definedName name="NCACQS_4Q22">Tags!$DP$362</definedName>
    <definedName name="NCACQS_4Q23">Tags!$DU$362</definedName>
    <definedName name="NCACQS_4Q24">Tags!$DZ$362</definedName>
    <definedName name="NCCAPX_1995">Tags_ols!$B$363</definedName>
    <definedName name="NCCAPX_1996">Tags_ols!$C$363</definedName>
    <definedName name="NCCAPX_1997">Tags_ols!$D$363</definedName>
    <definedName name="NCCAPX_1998">Tags_ols!$E$363</definedName>
    <definedName name="NCCAPX_1999">Tags_ols!$F$363</definedName>
    <definedName name="NCCAPX_1Q00" localSheetId="10">Tags!$G$363</definedName>
    <definedName name="NCCAPX_1Q00">Tags_ols!$G$363</definedName>
    <definedName name="NCCAPX_1Q01" localSheetId="10">Tags!$L$363</definedName>
    <definedName name="NCCAPX_1Q01">Tags_ols!$L$363</definedName>
    <definedName name="NCCAPX_1Q02" localSheetId="10">Tags!$Q$363</definedName>
    <definedName name="NCCAPX_1Q02">Tags_ols!$Q$363</definedName>
    <definedName name="NCCAPX_1Q03" localSheetId="10">Tags!$V$363</definedName>
    <definedName name="NCCAPX_1Q03">Tags_ols!$V$363</definedName>
    <definedName name="NCCAPX_1Q04" localSheetId="10">Tags!$AA$363</definedName>
    <definedName name="NCCAPX_1Q04">Tags_ols!$AA$363</definedName>
    <definedName name="NCCAPX_1Q05" localSheetId="10">Tags!$AF$363</definedName>
    <definedName name="NCCAPX_1Q05">Tags_ols!$AF$363</definedName>
    <definedName name="NCCAPX_1Q06" localSheetId="10">Tags!$AK$363</definedName>
    <definedName name="NCCAPX_1Q06">Tags_ols!$AK$363</definedName>
    <definedName name="NCCAPX_1Q07" localSheetId="10">Tags!$AP$363</definedName>
    <definedName name="NCCAPX_1Q07">Tags_ols!$AP$363</definedName>
    <definedName name="NCCAPX_1Q08" localSheetId="10">Tags!$AU$363</definedName>
    <definedName name="NCCAPX_1Q08">Tags_ols!$AU$363</definedName>
    <definedName name="NCCAPX_1Q09" localSheetId="10">Tags!$AZ$363</definedName>
    <definedName name="NCCAPX_1Q09">Tags_ols!$AZ$363</definedName>
    <definedName name="NCCAPX_1Q10" localSheetId="10">Tags!$BE$363</definedName>
    <definedName name="NCCAPX_1Q10">Tags_ols!$BE$363</definedName>
    <definedName name="NCCAPX_1Q11" localSheetId="10">Tags!$BJ$363</definedName>
    <definedName name="NCCAPX_1Q11">Tags_ols!$BJ$363</definedName>
    <definedName name="NCCAPX_1Q12" localSheetId="10">Tags!$BO$363</definedName>
    <definedName name="NCCAPX_1Q12">Tags_ols!$BO$363</definedName>
    <definedName name="NCCAPX_1Q13" localSheetId="10">Tags!$BT$363</definedName>
    <definedName name="NCCAPX_1Q13">Tags_ols!$BT$363</definedName>
    <definedName name="NCCAPX_1Q14" localSheetId="10">Tags!$BY$363</definedName>
    <definedName name="NCCAPX_1Q14">Tags_ols!$BY$363</definedName>
    <definedName name="NCCAPX_1Q15" localSheetId="10">Tags!$CD$363</definedName>
    <definedName name="NCCAPX_1Q15">Tags_ols!$CD$363</definedName>
    <definedName name="NCCAPX_1Q16" localSheetId="10">Tags!$CI$363</definedName>
    <definedName name="NCCAPX_1Q16">Tags_ols!$CI$363</definedName>
    <definedName name="NCCAPX_1Q17" localSheetId="10">Tags!$CN$363</definedName>
    <definedName name="NCCAPX_1Q17">Tags_ols!$CN$363</definedName>
    <definedName name="NCCAPX_1Q18" localSheetId="10">Tags!$CS$363</definedName>
    <definedName name="NCCAPX_1Q18">Tags_ols!$CS$363</definedName>
    <definedName name="NCCAPX_1Q19" localSheetId="10">Tags!$CX$363</definedName>
    <definedName name="NCCAPX_1Q19">Tags_ols!$CX$363</definedName>
    <definedName name="NCCAPX_1Q20" localSheetId="10">Tags!$DC$363</definedName>
    <definedName name="NCCAPX_1Q20">Tags_ols!$DC$363</definedName>
    <definedName name="NCCAPX_1Q21">Tags!$DH$363</definedName>
    <definedName name="NCCAPX_1Q22">Tags!$DM$363</definedName>
    <definedName name="NCCAPX_1Q23">Tags!$DR$363</definedName>
    <definedName name="NCCAPX_1Q24">Tags!$DW$363</definedName>
    <definedName name="NCCAPX_2000" localSheetId="10">Tags!$K$363</definedName>
    <definedName name="NCCAPX_2000">Tags_ols!$K$363</definedName>
    <definedName name="NCCAPX_2001" localSheetId="10">Tags!$P$363</definedName>
    <definedName name="NCCAPX_2001">Tags_ols!$P$363</definedName>
    <definedName name="NCCAPX_2002" localSheetId="10">Tags!$U$363</definedName>
    <definedName name="NCCAPX_2002">Tags_ols!$U$363</definedName>
    <definedName name="NCCAPX_2003" localSheetId="10">Tags!$Z$363</definedName>
    <definedName name="NCCAPX_2003">Tags_ols!$Z$363</definedName>
    <definedName name="NCCAPX_2004" localSheetId="10">Tags!$AE$363</definedName>
    <definedName name="NCCAPX_2004">Tags_ols!$AE$363</definedName>
    <definedName name="NCCAPX_2005" localSheetId="10">Tags!$AJ$363</definedName>
    <definedName name="NCCAPX_2005">Tags_ols!$AJ$363</definedName>
    <definedName name="NCCAPX_2006" localSheetId="10">Tags!$AO$363</definedName>
    <definedName name="NCCAPX_2006">Tags_ols!$AO$363</definedName>
    <definedName name="NCCAPX_2007" localSheetId="10">Tags!$AT$363</definedName>
    <definedName name="NCCAPX_2007">Tags_ols!$AT$363</definedName>
    <definedName name="NCCAPX_2008" localSheetId="10">Tags!$AY$363</definedName>
    <definedName name="NCCAPX_2008">Tags_ols!$AY$363</definedName>
    <definedName name="NCCAPX_2009" localSheetId="10">Tags!$BD$363</definedName>
    <definedName name="NCCAPX_2009">Tags_ols!$BD$363</definedName>
    <definedName name="NCCAPX_2010" localSheetId="10">Tags!$BI$363</definedName>
    <definedName name="NCCAPX_2010">Tags_ols!$BI$363</definedName>
    <definedName name="NCCAPX_2011" localSheetId="10">Tags!$BN$363</definedName>
    <definedName name="NCCAPX_2011">Tags_ols!$BN$363</definedName>
    <definedName name="NCCAPX_2012" localSheetId="10">Tags!$BS$363</definedName>
    <definedName name="NCCAPX_2012">Tags_ols!$BS$363</definedName>
    <definedName name="NCCAPX_2013" localSheetId="10">Tags!$BX$363</definedName>
    <definedName name="NCCAPX_2013">Tags_ols!$BX$363</definedName>
    <definedName name="NCCAPX_2014" localSheetId="10">Tags!$CC$363</definedName>
    <definedName name="NCCAPX_2014">Tags_ols!$CC$363</definedName>
    <definedName name="NCCAPX_2015" localSheetId="10">Tags!#REF!</definedName>
    <definedName name="NCCAPX_2015">Tags!$CH$363</definedName>
    <definedName name="NCCAPX_2016" localSheetId="10">Tags!$CM$363</definedName>
    <definedName name="NCCAPX_2016">Tags_ols!$CM$363</definedName>
    <definedName name="NCCAPX_2017" localSheetId="10">Tags!$CR$363</definedName>
    <definedName name="NCCAPX_2017">Tags_ols!$CR$363</definedName>
    <definedName name="NCCAPX_2018" localSheetId="10">Tags!$CW$363</definedName>
    <definedName name="NCCAPX_2018">Tags_ols!$CW$363</definedName>
    <definedName name="NCCAPX_2019" localSheetId="10">Tags!$DB$363</definedName>
    <definedName name="NCCAPX_2019">Tags_ols!$DB$363</definedName>
    <definedName name="NCCAPX_2020" localSheetId="10">Tags!$DG$363</definedName>
    <definedName name="NCCAPX_2020">Tags_ols!$DG$363</definedName>
    <definedName name="NCCAPX_2021">Tags!$DL$363</definedName>
    <definedName name="NCCAPX_2022">Tags!$DQ$363</definedName>
    <definedName name="NCCAPX_2023">Tags!$DV$363</definedName>
    <definedName name="NCCAPX_2024">Tags!$EA$363</definedName>
    <definedName name="NCCAPX_2Q00" localSheetId="10">Tags!$H$363</definedName>
    <definedName name="NCCAPX_2Q00">Tags_ols!$H$363</definedName>
    <definedName name="NCCAPX_2Q01" localSheetId="10">Tags!$M$363</definedName>
    <definedName name="NCCAPX_2Q01">Tags_ols!$M$363</definedName>
    <definedName name="NCCAPX_2Q02" localSheetId="10">Tags!$R$363</definedName>
    <definedName name="NCCAPX_2Q02">Tags_ols!$R$363</definedName>
    <definedName name="NCCAPX_2Q03" localSheetId="10">Tags!$W$363</definedName>
    <definedName name="NCCAPX_2Q03">Tags_ols!$W$363</definedName>
    <definedName name="NCCAPX_2Q04" localSheetId="10">Tags!$AB$363</definedName>
    <definedName name="NCCAPX_2Q04">Tags_ols!$AB$363</definedName>
    <definedName name="NCCAPX_2Q05" localSheetId="10">Tags!$AG$363</definedName>
    <definedName name="NCCAPX_2Q05">Tags_ols!$AG$363</definedName>
    <definedName name="NCCAPX_2Q06" localSheetId="10">Tags!$AL$363</definedName>
    <definedName name="NCCAPX_2Q06">Tags_ols!$AL$363</definedName>
    <definedName name="NCCAPX_2Q07" localSheetId="10">Tags!$AQ$363</definedName>
    <definedName name="NCCAPX_2Q07">Tags_ols!$AQ$363</definedName>
    <definedName name="NCCAPX_2Q08" localSheetId="10">Tags!$AV$363</definedName>
    <definedName name="NCCAPX_2Q08">Tags_ols!$AV$363</definedName>
    <definedName name="NCCAPX_2Q09" localSheetId="10">Tags!$BA$363</definedName>
    <definedName name="NCCAPX_2Q09">Tags_ols!$BA$363</definedName>
    <definedName name="NCCAPX_2Q10" localSheetId="10">Tags!$BF$363</definedName>
    <definedName name="NCCAPX_2Q10">Tags_ols!$BF$363</definedName>
    <definedName name="NCCAPX_2Q11" localSheetId="10">Tags!$BK$363</definedName>
    <definedName name="NCCAPX_2Q11">Tags_ols!$BK$363</definedName>
    <definedName name="NCCAPX_2Q12" localSheetId="10">Tags!$BP$363</definedName>
    <definedName name="NCCAPX_2Q12">Tags_ols!$BP$363</definedName>
    <definedName name="NCCAPX_2Q13" localSheetId="10">Tags!$BU$363</definedName>
    <definedName name="NCCAPX_2Q13">Tags_ols!$BU$363</definedName>
    <definedName name="NCCAPX_2Q14" localSheetId="10">Tags!$BZ$363</definedName>
    <definedName name="NCCAPX_2Q14">Tags_ols!$BZ$363</definedName>
    <definedName name="NCCAPX_2Q15" localSheetId="10">Tags!$CE$363</definedName>
    <definedName name="NCCAPX_2Q15">Tags_ols!$CE$363</definedName>
    <definedName name="NCCAPX_2Q16" localSheetId="10">Tags!$CJ$363</definedName>
    <definedName name="NCCAPX_2Q16">Tags_ols!$CJ$363</definedName>
    <definedName name="NCCAPX_2Q17" localSheetId="10">Tags!$CO$363</definedName>
    <definedName name="NCCAPX_2Q17">Tags_ols!$CO$363</definedName>
    <definedName name="NCCAPX_2Q18" localSheetId="10">Tags!$CT$363</definedName>
    <definedName name="NCCAPX_2Q18">Tags_ols!$CT$363</definedName>
    <definedName name="NCCAPX_2Q19" localSheetId="10">Tags!$CY$363</definedName>
    <definedName name="NCCAPX_2Q19">Tags_ols!$CY$363</definedName>
    <definedName name="NCCAPX_2Q20" localSheetId="10">Tags!$DD$363</definedName>
    <definedName name="NCCAPX_2Q20">Tags_ols!$DD$363</definedName>
    <definedName name="NCCAPX_2Q21">Tags!$DI$363</definedName>
    <definedName name="NCCAPX_2Q22">Tags!$DN$363</definedName>
    <definedName name="NCCAPX_2Q23">Tags!$DS$363</definedName>
    <definedName name="NCCAPX_2Q24">Tags!$DX$363</definedName>
    <definedName name="NCCAPX_3Q00" localSheetId="10">Tags!$I$363</definedName>
    <definedName name="NCCAPX_3Q00">Tags_ols!$I$363</definedName>
    <definedName name="NCCAPX_3Q01" localSheetId="10">Tags!$N$363</definedName>
    <definedName name="NCCAPX_3Q01">Tags_ols!$N$363</definedName>
    <definedName name="NCCAPX_3Q02" localSheetId="10">Tags!$S$363</definedName>
    <definedName name="NCCAPX_3Q02">Tags_ols!$S$363</definedName>
    <definedName name="NCCAPX_3Q03" localSheetId="10">Tags!$X$363</definedName>
    <definedName name="NCCAPX_3Q03">Tags_ols!$X$363</definedName>
    <definedName name="NCCAPX_3Q04" localSheetId="10">Tags!$AC$363</definedName>
    <definedName name="NCCAPX_3Q04">Tags_ols!$AC$363</definedName>
    <definedName name="NCCAPX_3Q05" localSheetId="10">Tags!$AH$363</definedName>
    <definedName name="NCCAPX_3Q05">Tags_ols!$AH$363</definedName>
    <definedName name="NCCAPX_3Q06" localSheetId="10">Tags!$AM$363</definedName>
    <definedName name="NCCAPX_3Q06">Tags_ols!$AM$363</definedName>
    <definedName name="NCCAPX_3Q07" localSheetId="10">Tags!$AR$363</definedName>
    <definedName name="NCCAPX_3Q07">Tags_ols!$AR$363</definedName>
    <definedName name="NCCAPX_3Q08" localSheetId="10">Tags!$AW$363</definedName>
    <definedName name="NCCAPX_3Q08">Tags_ols!$AW$363</definedName>
    <definedName name="NCCAPX_3Q09" localSheetId="10">Tags!$BB$363</definedName>
    <definedName name="NCCAPX_3Q09">Tags_ols!$BB$363</definedName>
    <definedName name="NCCAPX_3Q10" localSheetId="10">Tags!$BG$363</definedName>
    <definedName name="NCCAPX_3Q10">Tags_ols!$BG$363</definedName>
    <definedName name="NCCAPX_3Q11" localSheetId="10">Tags!$BL$363</definedName>
    <definedName name="NCCAPX_3Q11">Tags_ols!$BL$363</definedName>
    <definedName name="NCCAPX_3Q12" localSheetId="10">Tags!$BQ$363</definedName>
    <definedName name="NCCAPX_3Q12">Tags_ols!$BQ$363</definedName>
    <definedName name="NCCAPX_3Q13" localSheetId="10">Tags!$BV$363</definedName>
    <definedName name="NCCAPX_3Q13">Tags_ols!$BV$363</definedName>
    <definedName name="NCCAPX_3Q14" localSheetId="10">Tags!$CA$363</definedName>
    <definedName name="NCCAPX_3Q14">Tags_ols!$CA$363</definedName>
    <definedName name="NCCAPX_3Q15" localSheetId="10">Tags!$CF$363</definedName>
    <definedName name="NCCAPX_3Q15">Tags_ols!$CF$363</definedName>
    <definedName name="NCCAPX_3Q16" localSheetId="10">Tags!$CK$363</definedName>
    <definedName name="NCCAPX_3Q16">Tags_ols!$CK$363</definedName>
    <definedName name="NCCAPX_3Q17" localSheetId="10">Tags!$CP$363</definedName>
    <definedName name="NCCAPX_3Q17">Tags_ols!$CP$363</definedName>
    <definedName name="NCCAPX_3Q18" localSheetId="10">Tags!$CU$363</definedName>
    <definedName name="NCCAPX_3Q18">Tags_ols!$CU$363</definedName>
    <definedName name="NCCAPX_3Q19" localSheetId="10">Tags!$CZ$363</definedName>
    <definedName name="NCCAPX_3Q19">Tags_ols!$CZ$363</definedName>
    <definedName name="NCCAPX_3Q20" localSheetId="10">Tags!$DE$363</definedName>
    <definedName name="NCCAPX_3Q20">Tags_ols!$DE$363</definedName>
    <definedName name="NCCAPX_3Q21">Tags!$DJ$363</definedName>
    <definedName name="NCCAPX_3Q22">Tags!$DO$363</definedName>
    <definedName name="NCCAPX_3Q23">Tags!$DT$363</definedName>
    <definedName name="NCCAPX_3Q24">Tags!$DY$363</definedName>
    <definedName name="NCCAPX_4Q00" localSheetId="10">Tags!$J$363</definedName>
    <definedName name="NCCAPX_4Q00">Tags_ols!$J$363</definedName>
    <definedName name="NCCAPX_4Q01" localSheetId="10">Tags!$O$363</definedName>
    <definedName name="NCCAPX_4Q01">Tags_ols!$O$363</definedName>
    <definedName name="NCCAPX_4Q02" localSheetId="10">Tags!$T$363</definedName>
    <definedName name="NCCAPX_4Q02">Tags_ols!$T$363</definedName>
    <definedName name="NCCAPX_4Q03" localSheetId="10">Tags!$Y$363</definedName>
    <definedName name="NCCAPX_4Q03">Tags_ols!$Y$363</definedName>
    <definedName name="NCCAPX_4Q04" localSheetId="10">Tags!$AD$363</definedName>
    <definedName name="NCCAPX_4Q04">Tags_ols!$AD$363</definedName>
    <definedName name="NCCAPX_4Q05" localSheetId="10">Tags!$AI$363</definedName>
    <definedName name="NCCAPX_4Q05">Tags_ols!$AI$363</definedName>
    <definedName name="NCCAPX_4Q06" localSheetId="10">Tags!$AN$363</definedName>
    <definedName name="NCCAPX_4Q06">Tags_ols!$AN$363</definedName>
    <definedName name="NCCAPX_4Q07" localSheetId="10">Tags!$AS$363</definedName>
    <definedName name="NCCAPX_4Q07">Tags_ols!$AS$363</definedName>
    <definedName name="NCCAPX_4Q08" localSheetId="10">Tags!$AX$363</definedName>
    <definedName name="NCCAPX_4Q08">Tags_ols!$AX$363</definedName>
    <definedName name="NCCAPX_4Q09" localSheetId="10">Tags!$BC$363</definedName>
    <definedName name="NCCAPX_4Q09">Tags_ols!$BC$363</definedName>
    <definedName name="NCCAPX_4Q10" localSheetId="10">Tags!$BH$363</definedName>
    <definedName name="NCCAPX_4Q10">Tags_ols!$BH$363</definedName>
    <definedName name="NCCAPX_4Q11" localSheetId="10">Tags!$BM$363</definedName>
    <definedName name="NCCAPX_4Q11">Tags_ols!$BM$363</definedName>
    <definedName name="NCCAPX_4Q12" localSheetId="10">Tags!$BR$363</definedName>
    <definedName name="NCCAPX_4Q12">Tags_ols!$BR$363</definedName>
    <definedName name="NCCAPX_4Q13" localSheetId="10">Tags!$BW$363</definedName>
    <definedName name="NCCAPX_4Q13">Tags_ols!$BW$363</definedName>
    <definedName name="NCCAPX_4Q14" localSheetId="10">Tags!$CB$363</definedName>
    <definedName name="NCCAPX_4Q14">Tags_ols!$CB$363</definedName>
    <definedName name="NCCAPX_4Q15" localSheetId="10">Tags!$CG$363</definedName>
    <definedName name="NCCAPX_4Q15">Tags_ols!$CG$363</definedName>
    <definedName name="NCCAPX_4Q16" localSheetId="10">Tags!$CL$363</definedName>
    <definedName name="NCCAPX_4Q16">Tags_ols!$CL$363</definedName>
    <definedName name="NCCAPX_4Q17" localSheetId="10">Tags!$CQ$363</definedName>
    <definedName name="NCCAPX_4Q17">Tags_ols!$CQ$363</definedName>
    <definedName name="NCCAPX_4Q18" localSheetId="10">Tags!$CV$363</definedName>
    <definedName name="NCCAPX_4Q18">Tags_ols!$CV$363</definedName>
    <definedName name="NCCAPX_4Q19" localSheetId="10">Tags!$DA$363</definedName>
    <definedName name="NCCAPX_4Q19">Tags_ols!$DA$363</definedName>
    <definedName name="NCCAPX_4Q20" localSheetId="10">Tags!$DF$363</definedName>
    <definedName name="NCCAPX_4Q20">Tags_ols!$DF$363</definedName>
    <definedName name="NCCAPX_4Q21">Tags!$DK$363</definedName>
    <definedName name="NCCAPX_4Q22">Tags!$DP$363</definedName>
    <definedName name="NCCAPX_4Q23">Tags!$DU$363</definedName>
    <definedName name="NCCAPX_4Q24">Tags!$DZ$363</definedName>
    <definedName name="NEBIT_1995">Tags_ols!$B$61</definedName>
    <definedName name="NEBIT_1996">Tags_ols!$C$61</definedName>
    <definedName name="NEBIT_1997">Tags_ols!$D$61</definedName>
    <definedName name="NEBIT_1998">Tags_ols!$E$61</definedName>
    <definedName name="NEBIT_1999">Tags_ols!$F$61</definedName>
    <definedName name="NEBIT_1Q00" localSheetId="10">Tags!$G$61</definedName>
    <definedName name="NEBIT_1Q00">Tags_ols!$G$61</definedName>
    <definedName name="NEBIT_1Q01" localSheetId="10">Tags!$L$61</definedName>
    <definedName name="NEBIT_1Q01">Tags_ols!$L$61</definedName>
    <definedName name="NEBIT_1Q02" localSheetId="10">Tags!$Q$61</definedName>
    <definedName name="NEBIT_1Q02">Tags_ols!$Q$61</definedName>
    <definedName name="NEBIT_1Q03" localSheetId="10">Tags!$V$61</definedName>
    <definedName name="NEBIT_1Q03">Tags_ols!$V$61</definedName>
    <definedName name="NEBIT_1Q04" localSheetId="10">Tags!$AA$61</definedName>
    <definedName name="NEBIT_1Q04">Tags_ols!$AA$61</definedName>
    <definedName name="NEBIT_1Q05" localSheetId="10">Tags!$AF$61</definedName>
    <definedName name="NEBIT_1Q05">Tags_ols!$AF$61</definedName>
    <definedName name="NEBIT_1Q06" localSheetId="10">Tags!$AK$61</definedName>
    <definedName name="NEBIT_1Q06">Tags_ols!$AK$61</definedName>
    <definedName name="NEBIT_1Q07" localSheetId="10">Tags!$AP$61</definedName>
    <definedName name="NEBIT_1Q07">Tags_ols!$AP$61</definedName>
    <definedName name="NEBIT_1Q08" localSheetId="10">Tags!$AU$61</definedName>
    <definedName name="NEBIT_1Q08">Tags_ols!$AU$61</definedName>
    <definedName name="NEBIT_1Q09" localSheetId="10">Tags!$AZ$61</definedName>
    <definedName name="NEBIT_1Q09">Tags_ols!$AZ$61</definedName>
    <definedName name="NEBIT_1Q10" localSheetId="10">Tags!$BE$61</definedName>
    <definedName name="NEBIT_1Q10">Tags_ols!$BE$61</definedName>
    <definedName name="NEBIT_1Q11" localSheetId="10">Tags!$BJ$61</definedName>
    <definedName name="NEBIT_1Q11">Tags_ols!$BJ$61</definedName>
    <definedName name="NEBIT_1Q12" localSheetId="10">Tags!$BO$61</definedName>
    <definedName name="NEBIT_1Q12">Tags_ols!$BO$61</definedName>
    <definedName name="NEBIT_1Q13" localSheetId="10">Tags!$BT$61</definedName>
    <definedName name="NEBIT_1Q13">Tags_ols!$BT$61</definedName>
    <definedName name="NEBIT_1Q14" localSheetId="10">Tags!$BY$61</definedName>
    <definedName name="NEBIT_1Q14">Tags_ols!$BY$61</definedName>
    <definedName name="NEBIT_1Q15" localSheetId="10">Tags!$CD$61</definedName>
    <definedName name="NEBIT_1Q15">Tags_ols!$CD$61</definedName>
    <definedName name="NEBIT_1Q16" localSheetId="10">Tags!$CI$61</definedName>
    <definedName name="NEBIT_1Q16">Tags_ols!$CI$61</definedName>
    <definedName name="NEBIT_1Q17" localSheetId="10">Tags!$CN$61</definedName>
    <definedName name="NEBIT_1Q17">Tags_ols!$CN$61</definedName>
    <definedName name="NEBIT_1Q18" localSheetId="10">Tags!$CS$61</definedName>
    <definedName name="NEBIT_1Q18">Tags_ols!$CS$61</definedName>
    <definedName name="NEBIT_1Q19" localSheetId="10">Tags!$CX$61</definedName>
    <definedName name="NEBIT_1Q19">Tags_ols!$CX$61</definedName>
    <definedName name="NEBIT_1Q20" localSheetId="10">Tags!$DC$61</definedName>
    <definedName name="NEBIT_1Q20">Tags_ols!$DC$61</definedName>
    <definedName name="NEBIT_1Q21">Tags!$DH$61</definedName>
    <definedName name="NEBIT_1Q22">Tags!$DM$61</definedName>
    <definedName name="NEBIT_1Q23">Tags!$DR$61</definedName>
    <definedName name="NEBIT_1Q24">Tags!$DW$61</definedName>
    <definedName name="NEBIT_2000" localSheetId="10">Tags!$K$61</definedName>
    <definedName name="NEBIT_2000">Tags_ols!$K$61</definedName>
    <definedName name="NEBIT_2001" localSheetId="10">Tags!$P$61</definedName>
    <definedName name="NEBIT_2001">Tags_ols!$P$61</definedName>
    <definedName name="NEBIT_2002" localSheetId="10">Tags!$U$61</definedName>
    <definedName name="NEBIT_2002">Tags_ols!$U$61</definedName>
    <definedName name="NEBIT_2003" localSheetId="10">Tags!$Z$61</definedName>
    <definedName name="NEBIT_2003">Tags_ols!$Z$61</definedName>
    <definedName name="NEBIT_2004" localSheetId="10">Tags!$AE$61</definedName>
    <definedName name="NEBIT_2004">Tags_ols!$AE$61</definedName>
    <definedName name="NEBIT_2005" localSheetId="10">Tags!$AJ$61</definedName>
    <definedName name="NEBIT_2005">Tags_ols!$AJ$61</definedName>
    <definedName name="NEBIT_2006" localSheetId="10">Tags!$AO$61</definedName>
    <definedName name="NEBIT_2006">Tags_ols!$AO$61</definedName>
    <definedName name="NEBIT_2007" localSheetId="10">Tags!$AT$61</definedName>
    <definedName name="NEBIT_2007">Tags_ols!$AT$61</definedName>
    <definedName name="NEBIT_2008" localSheetId="10">Tags!$AY$61</definedName>
    <definedName name="NEBIT_2008">Tags_ols!$AY$61</definedName>
    <definedName name="NEBIT_2009" localSheetId="10">Tags!$BD$61</definedName>
    <definedName name="NEBIT_2009">Tags_ols!$BD$61</definedName>
    <definedName name="NEBIT_2010" localSheetId="10">Tags!$BI$61</definedName>
    <definedName name="NEBIT_2010">Tags_ols!$BI$61</definedName>
    <definedName name="NEBIT_2011" localSheetId="10">Tags!$BN$61</definedName>
    <definedName name="NEBIT_2011">Tags_ols!$BN$61</definedName>
    <definedName name="NEBIT_2012" localSheetId="10">Tags!$BS$61</definedName>
    <definedName name="NEBIT_2012">Tags_ols!$BS$61</definedName>
    <definedName name="NEBIT_2013" localSheetId="10">Tags!$BX$61</definedName>
    <definedName name="NEBIT_2013">Tags_ols!$BX$61</definedName>
    <definedName name="NEBIT_2014" localSheetId="10">Tags!$CC$61</definedName>
    <definedName name="NEBIT_2014">Tags_ols!$CC$61</definedName>
    <definedName name="NEBIT_2015" localSheetId="10">Tags!#REF!</definedName>
    <definedName name="NEBIT_2015">Tags!$CH$61</definedName>
    <definedName name="NEBIT_2016" localSheetId="10">Tags!$CM$61</definedName>
    <definedName name="NEBIT_2016">Tags_ols!$CM$61</definedName>
    <definedName name="NEBIT_2017" localSheetId="10">Tags!$CR$61</definedName>
    <definedName name="NEBIT_2017">Tags_ols!$CR$61</definedName>
    <definedName name="NEBIT_2018" localSheetId="10">Tags!$CW$61</definedName>
    <definedName name="NEBIT_2018">Tags_ols!$CW$61</definedName>
    <definedName name="NEBIT_2019" localSheetId="10">Tags!$DB$61</definedName>
    <definedName name="NEBIT_2019">Tags_ols!$DB$61</definedName>
    <definedName name="NEBIT_2020" localSheetId="10">Tags!$DG$61</definedName>
    <definedName name="NEBIT_2020">Tags_ols!$DG$61</definedName>
    <definedName name="NEBIT_2021">Tags!$DL$61</definedName>
    <definedName name="NEBIT_2022">Tags!$DQ$61</definedName>
    <definedName name="NEBIT_2023">Tags!$DV$61</definedName>
    <definedName name="NEBIT_2024">Tags!$EA$61</definedName>
    <definedName name="NEBIT_2Q00" localSheetId="10">Tags!$H$61</definedName>
    <definedName name="NEBIT_2Q00">Tags_ols!$H$61</definedName>
    <definedName name="NEBIT_2Q01" localSheetId="10">Tags!$M$61</definedName>
    <definedName name="NEBIT_2Q01">Tags_ols!$M$61</definedName>
    <definedName name="NEBIT_2Q02" localSheetId="10">Tags!$R$61</definedName>
    <definedName name="NEBIT_2Q02">Tags_ols!$R$61</definedName>
    <definedName name="NEBIT_2Q03" localSheetId="10">Tags!$W$61</definedName>
    <definedName name="NEBIT_2Q03">Tags_ols!$W$61</definedName>
    <definedName name="NEBIT_2Q04" localSheetId="10">Tags!$AB$61</definedName>
    <definedName name="NEBIT_2Q04">Tags_ols!$AB$61</definedName>
    <definedName name="NEBIT_2Q05" localSheetId="10">Tags!$AG$61</definedName>
    <definedName name="NEBIT_2Q05">Tags_ols!$AG$61</definedName>
    <definedName name="NEBIT_2Q06" localSheetId="10">Tags!$AL$61</definedName>
    <definedName name="NEBIT_2Q06">Tags_ols!$AL$61</definedName>
    <definedName name="NEBIT_2Q07" localSheetId="10">Tags!$AQ$61</definedName>
    <definedName name="NEBIT_2Q07">Tags_ols!$AQ$61</definedName>
    <definedName name="NEBIT_2Q08" localSheetId="10">Tags!$AV$61</definedName>
    <definedName name="NEBIT_2Q08">Tags_ols!$AV$61</definedName>
    <definedName name="NEBIT_2Q09" localSheetId="10">Tags!$BA$61</definedName>
    <definedName name="NEBIT_2Q09">Tags_ols!$BA$61</definedName>
    <definedName name="NEBIT_2Q10" localSheetId="10">Tags!$BF$61</definedName>
    <definedName name="NEBIT_2Q10">Tags_ols!$BF$61</definedName>
    <definedName name="NEBIT_2Q11" localSheetId="10">Tags!$BK$61</definedName>
    <definedName name="NEBIT_2Q11">Tags_ols!$BK$61</definedName>
    <definedName name="NEBIT_2Q12" localSheetId="10">Tags!$BP$61</definedName>
    <definedName name="NEBIT_2Q12">Tags_ols!$BP$61</definedName>
    <definedName name="NEBIT_2Q13" localSheetId="10">Tags!$BU$61</definedName>
    <definedName name="NEBIT_2Q13">Tags_ols!$BU$61</definedName>
    <definedName name="NEBIT_2Q14" localSheetId="10">Tags!$BZ$61</definedName>
    <definedName name="NEBIT_2Q14">Tags_ols!$BZ$61</definedName>
    <definedName name="NEBIT_2Q15" localSheetId="10">Tags!$CE$61</definedName>
    <definedName name="NEBIT_2Q15">Tags_ols!$CE$61</definedName>
    <definedName name="NEBIT_2Q16" localSheetId="10">Tags!$CJ$61</definedName>
    <definedName name="NEBIT_2Q16">Tags_ols!$CJ$61</definedName>
    <definedName name="NEBIT_2Q17" localSheetId="10">Tags!$CO$61</definedName>
    <definedName name="NEBIT_2Q17">Tags_ols!$CO$61</definedName>
    <definedName name="NEBIT_2Q18" localSheetId="10">Tags!$CT$61</definedName>
    <definedName name="NEBIT_2Q18">Tags_ols!$CT$61</definedName>
    <definedName name="NEBIT_2Q19" localSheetId="10">Tags!$CY$61</definedName>
    <definedName name="NEBIT_2Q19">Tags_ols!$CY$61</definedName>
    <definedName name="NEBIT_2Q20" localSheetId="10">Tags!$DD$61</definedName>
    <definedName name="NEBIT_2Q20">Tags_ols!$DD$61</definedName>
    <definedName name="NEBIT_2Q21">Tags!$DI$61</definedName>
    <definedName name="NEBIT_2Q22">Tags!$DN$61</definedName>
    <definedName name="NEBIT_2Q23">Tags!$DS$61</definedName>
    <definedName name="NEBIT_2Q24">Tags!$DX$61</definedName>
    <definedName name="NEBIT_3Q00" localSheetId="10">Tags!$I$61</definedName>
    <definedName name="NEBIT_3Q00">Tags_ols!$I$61</definedName>
    <definedName name="NEBIT_3Q01" localSheetId="10">Tags!$N$61</definedName>
    <definedName name="NEBIT_3Q01">Tags_ols!$N$61</definedName>
    <definedName name="NEBIT_3Q02" localSheetId="10">Tags!$S$61</definedName>
    <definedName name="NEBIT_3Q02">Tags_ols!$S$61</definedName>
    <definedName name="NEBIT_3Q03" localSheetId="10">Tags!$X$61</definedName>
    <definedName name="NEBIT_3Q03">Tags_ols!$X$61</definedName>
    <definedName name="NEBIT_3Q04" localSheetId="10">Tags!$AC$61</definedName>
    <definedName name="NEBIT_3Q04">Tags_ols!$AC$61</definedName>
    <definedName name="NEBIT_3Q05" localSheetId="10">Tags!$AH$61</definedName>
    <definedName name="NEBIT_3Q05">Tags_ols!$AH$61</definedName>
    <definedName name="NEBIT_3Q06" localSheetId="10">Tags!$AM$61</definedName>
    <definedName name="NEBIT_3Q06">Tags_ols!$AM$61</definedName>
    <definedName name="NEBIT_3Q07" localSheetId="10">Tags!$AR$61</definedName>
    <definedName name="NEBIT_3Q07">Tags_ols!$AR$61</definedName>
    <definedName name="NEBIT_3Q08" localSheetId="10">Tags!$AW$61</definedName>
    <definedName name="NEBIT_3Q08">Tags_ols!$AW$61</definedName>
    <definedName name="NEBIT_3Q09" localSheetId="10">Tags!$BB$61</definedName>
    <definedName name="NEBIT_3Q09">Tags_ols!$BB$61</definedName>
    <definedName name="NEBIT_3Q10" localSheetId="10">Tags!$BG$61</definedName>
    <definedName name="NEBIT_3Q10">Tags_ols!$BG$61</definedName>
    <definedName name="NEBIT_3Q11" localSheetId="10">Tags!$BL$61</definedName>
    <definedName name="NEBIT_3Q11">Tags_ols!$BL$61</definedName>
    <definedName name="NEBIT_3Q12" localSheetId="10">Tags!$BQ$61</definedName>
    <definedName name="NEBIT_3Q12">Tags_ols!$BQ$61</definedName>
    <definedName name="NEBIT_3Q13" localSheetId="10">Tags!$BV$61</definedName>
    <definedName name="NEBIT_3Q13">Tags_ols!$BV$61</definedName>
    <definedName name="NEBIT_3Q14" localSheetId="10">Tags!$CA$61</definedName>
    <definedName name="NEBIT_3Q14">Tags_ols!$CA$61</definedName>
    <definedName name="NEBIT_3Q15" localSheetId="10">Tags!$CF$61</definedName>
    <definedName name="NEBIT_3Q15">Tags_ols!$CF$61</definedName>
    <definedName name="NEBIT_3Q16" localSheetId="10">Tags!$CK$61</definedName>
    <definedName name="NEBIT_3Q16">Tags_ols!$CK$61</definedName>
    <definedName name="NEBIT_3Q17" localSheetId="10">Tags!$CP$61</definedName>
    <definedName name="NEBIT_3Q17">Tags_ols!$CP$61</definedName>
    <definedName name="NEBIT_3Q18" localSheetId="10">Tags!$CU$61</definedName>
    <definedName name="NEBIT_3Q18">Tags_ols!$CU$61</definedName>
    <definedName name="NEBIT_3Q19" localSheetId="10">Tags!$CZ$61</definedName>
    <definedName name="NEBIT_3Q19">Tags_ols!$CZ$61</definedName>
    <definedName name="NEBIT_3Q20" localSheetId="10">Tags!$DE$61</definedName>
    <definedName name="NEBIT_3Q20">Tags_ols!$DE$61</definedName>
    <definedName name="NEBIT_3Q21">Tags!$DJ$61</definedName>
    <definedName name="NEBIT_3Q22">Tags!$DO$61</definedName>
    <definedName name="NEBIT_3Q23">Tags!$DT$61</definedName>
    <definedName name="NEBIT_3Q24">Tags!$DY$61</definedName>
    <definedName name="NEBIT_4Q00" localSheetId="10">Tags!$J$61</definedName>
    <definedName name="NEBIT_4Q00">Tags_ols!$J$61</definedName>
    <definedName name="NEBIT_4Q01" localSheetId="10">Tags!$O$61</definedName>
    <definedName name="NEBIT_4Q01">Tags_ols!$O$61</definedName>
    <definedName name="NEBIT_4Q02" localSheetId="10">Tags!$T$61</definedName>
    <definedName name="NEBIT_4Q02">Tags_ols!$T$61</definedName>
    <definedName name="NEBIT_4Q03" localSheetId="10">Tags!$Y$61</definedName>
    <definedName name="NEBIT_4Q03">Tags_ols!$Y$61</definedName>
    <definedName name="NEBIT_4Q04" localSheetId="10">Tags!$AD$61</definedName>
    <definedName name="NEBIT_4Q04">Tags_ols!$AD$61</definedName>
    <definedName name="NEBIT_4Q05" localSheetId="10">Tags!$AI$61</definedName>
    <definedName name="NEBIT_4Q05">Tags_ols!$AI$61</definedName>
    <definedName name="NEBIT_4Q06" localSheetId="10">Tags!$AN$61</definedName>
    <definedName name="NEBIT_4Q06">Tags_ols!$AN$61</definedName>
    <definedName name="NEBIT_4Q07" localSheetId="10">Tags!$AS$61</definedName>
    <definedName name="NEBIT_4Q07">Tags_ols!$AS$61</definedName>
    <definedName name="NEBIT_4Q08" localSheetId="10">Tags!$AX$61</definedName>
    <definedName name="NEBIT_4Q08">Tags_ols!$AX$61</definedName>
    <definedName name="NEBIT_4Q09" localSheetId="10">Tags!$BC$61</definedName>
    <definedName name="NEBIT_4Q09">Tags_ols!$BC$61</definedName>
    <definedName name="NEBIT_4Q10" localSheetId="10">Tags!$BH$61</definedName>
    <definedName name="NEBIT_4Q10">Tags_ols!$BH$61</definedName>
    <definedName name="NEBIT_4Q11" localSheetId="10">Tags!$BM$61</definedName>
    <definedName name="NEBIT_4Q11">Tags_ols!$BM$61</definedName>
    <definedName name="NEBIT_4Q12" localSheetId="10">Tags!$BR$61</definedName>
    <definedName name="NEBIT_4Q12">Tags_ols!$BR$61</definedName>
    <definedName name="NEBIT_4Q13" localSheetId="10">Tags!$BW$61</definedName>
    <definedName name="NEBIT_4Q13">Tags_ols!$BW$61</definedName>
    <definedName name="NEBIT_4Q14" localSheetId="10">Tags!$CB$61</definedName>
    <definedName name="NEBIT_4Q14">Tags_ols!$CB$61</definedName>
    <definedName name="NEBIT_4Q15" localSheetId="10">Tags!$CG$61</definedName>
    <definedName name="NEBIT_4Q15">Tags_ols!$CG$61</definedName>
    <definedName name="NEBIT_4Q16" localSheetId="10">Tags!$CL$61</definedName>
    <definedName name="NEBIT_4Q16">Tags_ols!$CL$61</definedName>
    <definedName name="NEBIT_4Q17" localSheetId="10">Tags!$CQ$61</definedName>
    <definedName name="NEBIT_4Q17">Tags_ols!$CQ$61</definedName>
    <definedName name="NEBIT_4Q18" localSheetId="10">Tags!$CV$61</definedName>
    <definedName name="NEBIT_4Q18">Tags_ols!$CV$61</definedName>
    <definedName name="NEBIT_4Q19" localSheetId="10">Tags!$DA$61</definedName>
    <definedName name="NEBIT_4Q19">Tags_ols!$DA$61</definedName>
    <definedName name="NEBIT_4Q20" localSheetId="10">Tags!$DF$61</definedName>
    <definedName name="NEBIT_4Q20">Tags_ols!$DF$61</definedName>
    <definedName name="NEBIT_4Q21">Tags!$DK$61</definedName>
    <definedName name="NEBIT_4Q22">Tags!$DP$61</definedName>
    <definedName name="NEBIT_4Q23">Tags!$DU$61</definedName>
    <definedName name="NEBIT_4Q24">Tags!$DZ$61</definedName>
    <definedName name="NEBITD_1995">Tags_ols!$B$62</definedName>
    <definedName name="NEBITD_1996">Tags_ols!$C$62</definedName>
    <definedName name="NEBITD_1997">Tags_ols!$D$62</definedName>
    <definedName name="NEBITD_1998">Tags_ols!$E$62</definedName>
    <definedName name="NEBITD_1999">Tags_ols!$F$62</definedName>
    <definedName name="NEBITD_1Q00" localSheetId="10">Tags!$G$62</definedName>
    <definedName name="NEBITD_1Q00">Tags_ols!$G$62</definedName>
    <definedName name="NEBITD_1Q01" localSheetId="10">Tags!$L$62</definedName>
    <definedName name="NEBITD_1Q01">Tags_ols!$L$62</definedName>
    <definedName name="NEBITD_1Q02" localSheetId="10">Tags!$Q$62</definedName>
    <definedName name="NEBITD_1Q02">Tags_ols!$Q$62</definedName>
    <definedName name="NEBITD_1Q03" localSheetId="10">Tags!$V$62</definedName>
    <definedName name="NEBITD_1Q03">Tags_ols!$V$62</definedName>
    <definedName name="NEBITD_1Q04" localSheetId="10">Tags!$AA$62</definedName>
    <definedName name="NEBITD_1Q04">Tags_ols!$AA$62</definedName>
    <definedName name="NEBITD_1Q05" localSheetId="10">Tags!$AF$62</definedName>
    <definedName name="NEBITD_1Q05">Tags_ols!$AF$62</definedName>
    <definedName name="NEBITD_1Q06" localSheetId="10">Tags!$AK$62</definedName>
    <definedName name="NEBITD_1Q06">Tags_ols!$AK$62</definedName>
    <definedName name="NEBITD_1Q07" localSheetId="10">Tags!$AP$62</definedName>
    <definedName name="NEBITD_1Q07">Tags_ols!$AP$62</definedName>
    <definedName name="NEBITD_1Q08" localSheetId="10">Tags!$AU$62</definedName>
    <definedName name="NEBITD_1Q08">Tags_ols!$AU$62</definedName>
    <definedName name="NEBITD_1Q09" localSheetId="10">Tags!$AZ$62</definedName>
    <definedName name="NEBITD_1Q09">Tags_ols!$AZ$62</definedName>
    <definedName name="NEBITD_1Q10" localSheetId="10">Tags!$BE$62</definedName>
    <definedName name="NEBITD_1Q10">Tags_ols!$BE$62</definedName>
    <definedName name="NEBITD_1Q11" localSheetId="10">Tags!$BJ$62</definedName>
    <definedName name="NEBITD_1Q11">Tags_ols!$BJ$62</definedName>
    <definedName name="NEBITD_1Q12" localSheetId="10">Tags!$BO$62</definedName>
    <definedName name="NEBITD_1Q12">Tags_ols!$BO$62</definedName>
    <definedName name="NEBITD_1Q13" localSheetId="10">Tags!$BT$62</definedName>
    <definedName name="NEBITD_1Q13">Tags_ols!$BT$62</definedName>
    <definedName name="NEBITD_1Q14" localSheetId="10">Tags!$BY$62</definedName>
    <definedName name="NEBITD_1Q14">Tags_ols!$BY$62</definedName>
    <definedName name="NEBITD_1Q15" localSheetId="10">Tags!$CD$62</definedName>
    <definedName name="NEBITD_1Q15">Tags_ols!$CD$62</definedName>
    <definedName name="NEBITD_1Q16" localSheetId="10">Tags!$CI$62</definedName>
    <definedName name="NEBITD_1Q16">Tags_ols!$CI$62</definedName>
    <definedName name="NEBITD_1Q17" localSheetId="10">Tags!$CN$62</definedName>
    <definedName name="NEBITD_1Q17">Tags_ols!$CN$62</definedName>
    <definedName name="NEBITD_1Q18" localSheetId="10">Tags!$CS$62</definedName>
    <definedName name="NEBITD_1Q18">Tags_ols!$CS$62</definedName>
    <definedName name="NEBITD_1Q19" localSheetId="10">Tags!$CX$62</definedName>
    <definedName name="NEBITD_1Q19">Tags_ols!$CX$62</definedName>
    <definedName name="NEBITD_1Q20" localSheetId="10">Tags!$DC$62</definedName>
    <definedName name="NEBITD_1Q20">Tags_ols!$DC$62</definedName>
    <definedName name="NEBITD_1Q21">Tags!$DH$62</definedName>
    <definedName name="NEBITD_1Q22">Tags!$DM$62</definedName>
    <definedName name="NEBITD_1Q23">Tags!$DR$62</definedName>
    <definedName name="NEBITD_1Q24">Tags!$DW$62</definedName>
    <definedName name="NEBITD_2000" localSheetId="10">Tags!$K$62</definedName>
    <definedName name="NEBITD_2000">Tags_ols!$K$62</definedName>
    <definedName name="NEBITD_2001" localSheetId="10">Tags!$P$62</definedName>
    <definedName name="NEBITD_2001">Tags_ols!$P$62</definedName>
    <definedName name="NEBITD_2002" localSheetId="10">Tags!$U$62</definedName>
    <definedName name="NEBITD_2002">Tags_ols!$U$62</definedName>
    <definedName name="NEBITD_2003" localSheetId="10">Tags!$Z$62</definedName>
    <definedName name="NEBITD_2003">Tags_ols!$Z$62</definedName>
    <definedName name="NEBITD_2004" localSheetId="10">Tags!$AE$62</definedName>
    <definedName name="NEBITD_2004">Tags_ols!$AE$62</definedName>
    <definedName name="NEBITD_2005" localSheetId="10">Tags!$AJ$62</definedName>
    <definedName name="NEBITD_2005">Tags_ols!$AJ$62</definedName>
    <definedName name="NEBITD_2006" localSheetId="10">Tags!$AO$62</definedName>
    <definedName name="NEBITD_2006">Tags_ols!$AO$62</definedName>
    <definedName name="NEBITD_2007" localSheetId="10">Tags!$AT$62</definedName>
    <definedName name="NEBITD_2007">Tags_ols!$AT$62</definedName>
    <definedName name="NEBITD_2008" localSheetId="10">Tags!$AY$62</definedName>
    <definedName name="NEBITD_2008">Tags_ols!$AY$62</definedName>
    <definedName name="NEBITD_2009" localSheetId="10">Tags!$BD$62</definedName>
    <definedName name="NEBITD_2009">Tags_ols!$BD$62</definedName>
    <definedName name="NEBITD_2010" localSheetId="10">Tags!$BI$62</definedName>
    <definedName name="NEBITD_2010">Tags_ols!$BI$62</definedName>
    <definedName name="NEBITD_2011" localSheetId="10">Tags!$BN$62</definedName>
    <definedName name="NEBITD_2011">Tags_ols!$BN$62</definedName>
    <definedName name="NEBITD_2012" localSheetId="10">Tags!$BS$62</definedName>
    <definedName name="NEBITD_2012">Tags_ols!$BS$62</definedName>
    <definedName name="NEBITD_2013" localSheetId="10">Tags!$BX$62</definedName>
    <definedName name="NEBITD_2013">Tags_ols!$BX$62</definedName>
    <definedName name="NEBITD_2014" localSheetId="10">Tags!$CC$62</definedName>
    <definedName name="NEBITD_2014">Tags_ols!$CC$62</definedName>
    <definedName name="NEBITD_2015" localSheetId="10">Tags!#REF!</definedName>
    <definedName name="NEBITD_2015">Tags!$CH$62</definedName>
    <definedName name="NEBITD_2016" localSheetId="10">Tags!$CM$62</definedName>
    <definedName name="NEBITD_2016">Tags_ols!$CM$62</definedName>
    <definedName name="NEBITD_2017" localSheetId="10">Tags!$CR$62</definedName>
    <definedName name="NEBITD_2017">Tags_ols!$CR$62</definedName>
    <definedName name="NEBITD_2018" localSheetId="10">Tags!$CW$62</definedName>
    <definedName name="NEBITD_2018">Tags_ols!$CW$62</definedName>
    <definedName name="NEBITD_2019" localSheetId="10">Tags!$DB$62</definedName>
    <definedName name="NEBITD_2019">Tags_ols!$DB$62</definedName>
    <definedName name="NEBITD_2020" localSheetId="10">Tags!$DG$62</definedName>
    <definedName name="NEBITD_2020">Tags_ols!$DG$62</definedName>
    <definedName name="NEBITD_2021">Tags!$DL$62</definedName>
    <definedName name="NEBITD_2022">Tags!$DQ$62</definedName>
    <definedName name="NEBITD_2023">Tags!$DV$62</definedName>
    <definedName name="NEBITD_2024">Tags!$EA$62</definedName>
    <definedName name="NEBITD_2Q00" localSheetId="10">Tags!$H$62</definedName>
    <definedName name="NEBITD_2Q00">Tags_ols!$H$62</definedName>
    <definedName name="NEBITD_2Q01" localSheetId="10">Tags!$M$62</definedName>
    <definedName name="NEBITD_2Q01">Tags_ols!$M$62</definedName>
    <definedName name="NEBITD_2Q02" localSheetId="10">Tags!$R$62</definedName>
    <definedName name="NEBITD_2Q02">Tags_ols!$R$62</definedName>
    <definedName name="NEBITD_2Q03" localSheetId="10">Tags!$W$62</definedName>
    <definedName name="NEBITD_2Q03">Tags_ols!$W$62</definedName>
    <definedName name="NEBITD_2Q04" localSheetId="10">Tags!$AB$62</definedName>
    <definedName name="NEBITD_2Q04">Tags_ols!$AB$62</definedName>
    <definedName name="NEBITD_2Q05" localSheetId="10">Tags!$AG$62</definedName>
    <definedName name="NEBITD_2Q05">Tags_ols!$AG$62</definedName>
    <definedName name="NEBITD_2Q06" localSheetId="10">Tags!$AL$62</definedName>
    <definedName name="NEBITD_2Q06">Tags_ols!$AL$62</definedName>
    <definedName name="NEBITD_2Q07" localSheetId="10">Tags!$AQ$62</definedName>
    <definedName name="NEBITD_2Q07">Tags_ols!$AQ$62</definedName>
    <definedName name="NEBITD_2Q08" localSheetId="10">Tags!$AV$62</definedName>
    <definedName name="NEBITD_2Q08">Tags_ols!$AV$62</definedName>
    <definedName name="NEBITD_2Q09" localSheetId="10">Tags!$BA$62</definedName>
    <definedName name="NEBITD_2Q09">Tags_ols!$BA$62</definedName>
    <definedName name="NEBITD_2Q10" localSheetId="10">Tags!$BF$62</definedName>
    <definedName name="NEBITD_2Q10">Tags_ols!$BF$62</definedName>
    <definedName name="NEBITD_2Q11" localSheetId="10">Tags!$BK$62</definedName>
    <definedName name="NEBITD_2Q11">Tags_ols!$BK$62</definedName>
    <definedName name="NEBITD_2Q12" localSheetId="10">Tags!$BP$62</definedName>
    <definedName name="NEBITD_2Q12">Tags_ols!$BP$62</definedName>
    <definedName name="NEBITD_2Q13" localSheetId="10">Tags!$BU$62</definedName>
    <definedName name="NEBITD_2Q13">Tags_ols!$BU$62</definedName>
    <definedName name="NEBITD_2Q14" localSheetId="10">Tags!$BZ$62</definedName>
    <definedName name="NEBITD_2Q14">Tags_ols!$BZ$62</definedName>
    <definedName name="NEBITD_2Q15" localSheetId="10">Tags!$CE$62</definedName>
    <definedName name="NEBITD_2Q15">Tags_ols!$CE$62</definedName>
    <definedName name="NEBITD_2Q16" localSheetId="10">Tags!$CJ$62</definedName>
    <definedName name="NEBITD_2Q16">Tags_ols!$CJ$62</definedName>
    <definedName name="NEBITD_2Q17" localSheetId="10">Tags!$CO$62</definedName>
    <definedName name="NEBITD_2Q17">Tags_ols!$CO$62</definedName>
    <definedName name="NEBITD_2Q18" localSheetId="10">Tags!$CT$62</definedName>
    <definedName name="NEBITD_2Q18">Tags_ols!$CT$62</definedName>
    <definedName name="NEBITD_2Q19" localSheetId="10">Tags!$CY$62</definedName>
    <definedName name="NEBITD_2Q19">Tags_ols!$CY$62</definedName>
    <definedName name="NEBITD_2Q20" localSheetId="10">Tags!$DD$62</definedName>
    <definedName name="NEBITD_2Q20">Tags_ols!$DD$62</definedName>
    <definedName name="NEBITD_2Q21">Tags!$DI$62</definedName>
    <definedName name="NEBITD_2Q22">Tags!$DN$62</definedName>
    <definedName name="NEBITD_2Q23">Tags!$DS$62</definedName>
    <definedName name="NEBITD_2Q24">Tags!$DX$62</definedName>
    <definedName name="NEBITD_3Q00" localSheetId="10">Tags!$I$62</definedName>
    <definedName name="NEBITD_3Q00">Tags_ols!$I$62</definedName>
    <definedName name="NEBITD_3Q01" localSheetId="10">Tags!$N$62</definedName>
    <definedName name="NEBITD_3Q01">Tags_ols!$N$62</definedName>
    <definedName name="NEBITD_3Q02" localSheetId="10">Tags!$S$62</definedName>
    <definedName name="NEBITD_3Q02">Tags_ols!$S$62</definedName>
    <definedName name="NEBITD_3Q03" localSheetId="10">Tags!$X$62</definedName>
    <definedName name="NEBITD_3Q03">Tags_ols!$X$62</definedName>
    <definedName name="NEBITD_3Q04" localSheetId="10">Tags!$AC$62</definedName>
    <definedName name="NEBITD_3Q04">Tags_ols!$AC$62</definedName>
    <definedName name="NEBITD_3Q05" localSheetId="10">Tags!$AH$62</definedName>
    <definedName name="NEBITD_3Q05">Tags_ols!$AH$62</definedName>
    <definedName name="NEBITD_3Q06" localSheetId="10">Tags!$AM$62</definedName>
    <definedName name="NEBITD_3Q06">Tags_ols!$AM$62</definedName>
    <definedName name="NEBITD_3Q07" localSheetId="10">Tags!$AR$62</definedName>
    <definedName name="NEBITD_3Q07">Tags_ols!$AR$62</definedName>
    <definedName name="NEBITD_3Q08" localSheetId="10">Tags!$AW$62</definedName>
    <definedName name="NEBITD_3Q08">Tags_ols!$AW$62</definedName>
    <definedName name="NEBITD_3Q09" localSheetId="10">Tags!$BB$62</definedName>
    <definedName name="NEBITD_3Q09">Tags_ols!$BB$62</definedName>
    <definedName name="NEBITD_3Q10" localSheetId="10">Tags!$BG$62</definedName>
    <definedName name="NEBITD_3Q10">Tags_ols!$BG$62</definedName>
    <definedName name="NEBITD_3Q11" localSheetId="10">Tags!$BL$62</definedName>
    <definedName name="NEBITD_3Q11">Tags_ols!$BL$62</definedName>
    <definedName name="NEBITD_3Q12" localSheetId="10">Tags!$BQ$62</definedName>
    <definedName name="NEBITD_3Q12">Tags_ols!$BQ$62</definedName>
    <definedName name="NEBITD_3Q13" localSheetId="10">Tags!$BV$62</definedName>
    <definedName name="NEBITD_3Q13">Tags_ols!$BV$62</definedName>
    <definedName name="NEBITD_3Q14" localSheetId="10">Tags!$CA$62</definedName>
    <definedName name="NEBITD_3Q14">Tags_ols!$CA$62</definedName>
    <definedName name="NEBITD_3Q15" localSheetId="10">Tags!$CF$62</definedName>
    <definedName name="NEBITD_3Q15">Tags_ols!$CF$62</definedName>
    <definedName name="NEBITD_3Q16" localSheetId="10">Tags!$CK$62</definedName>
    <definedName name="NEBITD_3Q16">Tags_ols!$CK$62</definedName>
    <definedName name="NEBITD_3Q17" localSheetId="10">Tags!$CP$62</definedName>
    <definedName name="NEBITD_3Q17">Tags_ols!$CP$62</definedName>
    <definedName name="NEBITD_3Q18" localSheetId="10">Tags!$CU$62</definedName>
    <definedName name="NEBITD_3Q18">Tags_ols!$CU$62</definedName>
    <definedName name="NEBITD_3Q19" localSheetId="10">Tags!$CZ$62</definedName>
    <definedName name="NEBITD_3Q19">Tags_ols!$CZ$62</definedName>
    <definedName name="NEBITD_3Q20" localSheetId="10">Tags!$DE$62</definedName>
    <definedName name="NEBITD_3Q20">Tags_ols!$DE$62</definedName>
    <definedName name="NEBITD_3Q21">Tags!$DJ$62</definedName>
    <definedName name="NEBITD_3Q22">Tags!$DO$62</definedName>
    <definedName name="NEBITD_3Q23">Tags!$DT$62</definedName>
    <definedName name="NEBITD_3Q24">Tags!$DY$62</definedName>
    <definedName name="NEBITD_4Q00" localSheetId="10">Tags!$J$62</definedName>
    <definedName name="NEBITD_4Q00">Tags_ols!$J$62</definedName>
    <definedName name="NEBITD_4Q01" localSheetId="10">Tags!$O$62</definedName>
    <definedName name="NEBITD_4Q01">Tags_ols!$O$62</definedName>
    <definedName name="NEBITD_4Q02" localSheetId="10">Tags!$T$62</definedName>
    <definedName name="NEBITD_4Q02">Tags_ols!$T$62</definedName>
    <definedName name="NEBITD_4Q03" localSheetId="10">Tags!$Y$62</definedName>
    <definedName name="NEBITD_4Q03">Tags_ols!$Y$62</definedName>
    <definedName name="NEBITD_4Q04" localSheetId="10">Tags!$AD$62</definedName>
    <definedName name="NEBITD_4Q04">Tags_ols!$AD$62</definedName>
    <definedName name="NEBITD_4Q05" localSheetId="10">Tags!$AI$62</definedName>
    <definedName name="NEBITD_4Q05">Tags_ols!$AI$62</definedName>
    <definedName name="NEBITD_4Q06" localSheetId="10">Tags!$AN$62</definedName>
    <definedName name="NEBITD_4Q06">Tags_ols!$AN$62</definedName>
    <definedName name="NEBITD_4Q07" localSheetId="10">Tags!$AS$62</definedName>
    <definedName name="NEBITD_4Q07">Tags_ols!$AS$62</definedName>
    <definedName name="NEBITD_4Q08" localSheetId="10">Tags!$AX$62</definedName>
    <definedName name="NEBITD_4Q08">Tags_ols!$AX$62</definedName>
    <definedName name="NEBITD_4Q09" localSheetId="10">Tags!$BC$62</definedName>
    <definedName name="NEBITD_4Q09">Tags_ols!$BC$62</definedName>
    <definedName name="NEBITD_4Q10" localSheetId="10">Tags!$BH$62</definedName>
    <definedName name="NEBITD_4Q10">Tags_ols!$BH$62</definedName>
    <definedName name="NEBITD_4Q11" localSheetId="10">Tags!$BM$62</definedName>
    <definedName name="NEBITD_4Q11">Tags_ols!$BM$62</definedName>
    <definedName name="NEBITD_4Q12" localSheetId="10">Tags!$BR$62</definedName>
    <definedName name="NEBITD_4Q12">Tags_ols!$BR$62</definedName>
    <definedName name="NEBITD_4Q13" localSheetId="10">Tags!$BW$62</definedName>
    <definedName name="NEBITD_4Q13">Tags_ols!$BW$62</definedName>
    <definedName name="NEBITD_4Q14" localSheetId="10">Tags!$CB$62</definedName>
    <definedName name="NEBITD_4Q14">Tags_ols!$CB$62</definedName>
    <definedName name="NEBITD_4Q15" localSheetId="10">Tags!$CG$62</definedName>
    <definedName name="NEBITD_4Q15">Tags_ols!$CG$62</definedName>
    <definedName name="NEBITD_4Q16" localSheetId="10">Tags!$CL$62</definedName>
    <definedName name="NEBITD_4Q16">Tags_ols!$CL$62</definedName>
    <definedName name="NEBITD_4Q17" localSheetId="10">Tags!$CQ$62</definedName>
    <definedName name="NEBITD_4Q17">Tags_ols!$CQ$62</definedName>
    <definedName name="NEBITD_4Q18" localSheetId="10">Tags!$CV$62</definedName>
    <definedName name="NEBITD_4Q18">Tags_ols!$CV$62</definedName>
    <definedName name="NEBITD_4Q19" localSheetId="10">Tags!$DA$62</definedName>
    <definedName name="NEBITD_4Q19">Tags_ols!$DA$62</definedName>
    <definedName name="NEBITD_4Q20" localSheetId="10">Tags!$DF$62</definedName>
    <definedName name="NEBITD_4Q20">Tags_ols!$DF$62</definedName>
    <definedName name="NEBITD_4Q21">Tags!$DK$62</definedName>
    <definedName name="NEBITD_4Q22">Tags!$DP$62</definedName>
    <definedName name="NEBITD_4Q23">Tags!$DU$62</definedName>
    <definedName name="NEBITD_4Q24">Tags!$DZ$62</definedName>
    <definedName name="Net_Income_Adj_Earnings_PreAbnormal_Goodwill_Amort" localSheetId="5">#REF!</definedName>
    <definedName name="Net_Income_Adj_Earnings_PreAbnormal_Goodwill_Amort">#REF!</definedName>
    <definedName name="NewCheck">#REF!</definedName>
    <definedName name="NewTicker">#REF!</definedName>
    <definedName name="NINT_1995">Tags_ols!$B$16</definedName>
    <definedName name="NINT_1996">Tags_ols!$C$16</definedName>
    <definedName name="NINT_1997">Tags_ols!$D$16</definedName>
    <definedName name="NINT_1998">Tags_ols!$E$16</definedName>
    <definedName name="NINT_1999">Tags_ols!$F$16</definedName>
    <definedName name="NINT_1Q00" localSheetId="10">Tags!$G$16</definedName>
    <definedName name="NINT_1Q00">Tags_ols!$G$16</definedName>
    <definedName name="NINT_1Q01" localSheetId="10">Tags!$L$16</definedName>
    <definedName name="NINT_1Q01">Tags_ols!$L$16</definedName>
    <definedName name="NINT_1Q02" localSheetId="10">Tags!$Q$16</definedName>
    <definedName name="NINT_1Q02">Tags_ols!$Q$16</definedName>
    <definedName name="NINT_1Q03" localSheetId="10">Tags!$V$16</definedName>
    <definedName name="NINT_1Q03">Tags_ols!$V$16</definedName>
    <definedName name="NINT_1Q04" localSheetId="10">Tags!$AA$16</definedName>
    <definedName name="NINT_1Q04">Tags_ols!$AA$16</definedName>
    <definedName name="NINT_1Q05" localSheetId="10">Tags!$AF$16</definedName>
    <definedName name="NINT_1Q05">Tags_ols!$AF$16</definedName>
    <definedName name="NINT_1Q06" localSheetId="10">Tags!$AK$16</definedName>
    <definedName name="NINT_1Q06">Tags_ols!$AK$16</definedName>
    <definedName name="NINT_1Q07" localSheetId="10">Tags!$AP$16</definedName>
    <definedName name="NINT_1Q07">Tags_ols!$AP$16</definedName>
    <definedName name="NINT_1Q08" localSheetId="10">Tags!$AU$16</definedName>
    <definedName name="NINT_1Q08">Tags_ols!$AU$16</definedName>
    <definedName name="NINT_1Q09" localSheetId="10">Tags!$AZ$16</definedName>
    <definedName name="NINT_1Q09">Tags_ols!$AZ$16</definedName>
    <definedName name="NINT_1Q10" localSheetId="10">Tags!$BE$16</definedName>
    <definedName name="NINT_1Q10">Tags_ols!$BE$16</definedName>
    <definedName name="NINT_1Q11" localSheetId="10">Tags!$BJ$16</definedName>
    <definedName name="NINT_1Q11">Tags_ols!$BJ$16</definedName>
    <definedName name="NINT_1Q12" localSheetId="10">Tags!$BO$16</definedName>
    <definedName name="NINT_1Q12">Tags_ols!$BO$16</definedName>
    <definedName name="NINT_1Q13" localSheetId="10">Tags!$BT$16</definedName>
    <definedName name="NINT_1Q13">Tags_ols!$BT$16</definedName>
    <definedName name="NINT_1Q14" localSheetId="10">Tags!$BY$16</definedName>
    <definedName name="NINT_1Q14">Tags_ols!$BY$16</definedName>
    <definedName name="NINT_1Q15" localSheetId="10">Tags!$CD$16</definedName>
    <definedName name="NINT_1Q15">Tags_ols!$CD$16</definedName>
    <definedName name="NINT_1Q16" localSheetId="10">Tags!$CI$16</definedName>
    <definedName name="NINT_1Q16">Tags_ols!$CI$16</definedName>
    <definedName name="NINT_1Q17" localSheetId="10">Tags!$CN$16</definedName>
    <definedName name="NINT_1Q17">Tags_ols!$CN$16</definedName>
    <definedName name="NINT_1Q18" localSheetId="10">Tags!$CS$16</definedName>
    <definedName name="NINT_1Q18">Tags_ols!$CS$16</definedName>
    <definedName name="NINT_1Q19" localSheetId="10">Tags!$CX$16</definedName>
    <definedName name="NINT_1Q19">Tags_ols!$CX$16</definedName>
    <definedName name="NINT_1Q20" localSheetId="10">Tags!$DC$16</definedName>
    <definedName name="NINT_1Q20">Tags_ols!$DC$16</definedName>
    <definedName name="NINT_1Q21">Tags!$DH$16</definedName>
    <definedName name="NINT_1Q22">Tags!$DM$16</definedName>
    <definedName name="NINT_1Q23">Tags!$DR$16</definedName>
    <definedName name="NINT_1Q24">Tags!$DW$16</definedName>
    <definedName name="NINT_2000" localSheetId="10">Tags!$K$16</definedName>
    <definedName name="NINT_2000">Tags_ols!$K$16</definedName>
    <definedName name="NINT_2001" localSheetId="10">Tags!$P$16</definedName>
    <definedName name="NINT_2001">Tags_ols!$P$16</definedName>
    <definedName name="NINT_2002" localSheetId="10">Tags!$U$16</definedName>
    <definedName name="NINT_2002">Tags_ols!$U$16</definedName>
    <definedName name="NINT_2003" localSheetId="10">Tags!$Z$16</definedName>
    <definedName name="NINT_2003">Tags_ols!$Z$16</definedName>
    <definedName name="NINT_2004" localSheetId="10">Tags!$AE$16</definedName>
    <definedName name="NINT_2004">Tags_ols!$AE$16</definedName>
    <definedName name="NINT_2005" localSheetId="10">Tags!$AJ$16</definedName>
    <definedName name="NINT_2005">Tags_ols!$AJ$16</definedName>
    <definedName name="NINT_2006" localSheetId="10">Tags!$AO$16</definedName>
    <definedName name="NINT_2006">Tags_ols!$AO$16</definedName>
    <definedName name="NINT_2007" localSheetId="10">Tags!$AT$16</definedName>
    <definedName name="NINT_2007">Tags_ols!$AT$16</definedName>
    <definedName name="NINT_2008" localSheetId="10">Tags!$AY$16</definedName>
    <definedName name="NINT_2008">Tags_ols!$AY$16</definedName>
    <definedName name="NINT_2009" localSheetId="10">Tags!$BD$16</definedName>
    <definedName name="NINT_2009">Tags_ols!$BD$16</definedName>
    <definedName name="NINT_2010" localSheetId="10">Tags!$BI$16</definedName>
    <definedName name="NINT_2010">Tags_ols!$BI$16</definedName>
    <definedName name="NINT_2011" localSheetId="10">Tags!$BN$16</definedName>
    <definedName name="NINT_2011">Tags_ols!$BN$16</definedName>
    <definedName name="NINT_2012" localSheetId="10">Tags!$BS$16</definedName>
    <definedName name="NINT_2012">Tags_ols!$BS$16</definedName>
    <definedName name="NINT_2013" localSheetId="10">Tags!$BX$16</definedName>
    <definedName name="NINT_2013">Tags_ols!$BX$16</definedName>
    <definedName name="NINT_2014" localSheetId="10">Tags!$CC$16</definedName>
    <definedName name="NINT_2014">Tags_ols!$CC$16</definedName>
    <definedName name="NINT_2015" localSheetId="10">Tags!#REF!</definedName>
    <definedName name="NINT_2015">Tags!$CH$16</definedName>
    <definedName name="NINT_2016" localSheetId="10">Tags!$CM$16</definedName>
    <definedName name="NINT_2016">Tags_ols!$CM$16</definedName>
    <definedName name="NINT_2017" localSheetId="10">Tags!$CR$16</definedName>
    <definedName name="NINT_2017">Tags_ols!$CR$16</definedName>
    <definedName name="NINT_2018" localSheetId="10">Tags!$CW$16</definedName>
    <definedName name="NINT_2018">Tags_ols!$CW$16</definedName>
    <definedName name="NINT_2019" localSheetId="10">Tags!$DB$16</definedName>
    <definedName name="NINT_2019">Tags_ols!$DB$16</definedName>
    <definedName name="NINT_2020" localSheetId="10">Tags!$DG$16</definedName>
    <definedName name="NINT_2020">Tags_ols!$DG$16</definedName>
    <definedName name="NINT_2021">Tags!$DL$16</definedName>
    <definedName name="NINT_2022">Tags!$DQ$16</definedName>
    <definedName name="NINT_2023">Tags!$DV$16</definedName>
    <definedName name="NINT_2024">Tags!$EA$16</definedName>
    <definedName name="NINT_2Q00" localSheetId="10">Tags!$H$16</definedName>
    <definedName name="NINT_2Q00">Tags_ols!$H$16</definedName>
    <definedName name="NINT_2Q01" localSheetId="10">Tags!$M$16</definedName>
    <definedName name="NINT_2Q01">Tags_ols!$M$16</definedName>
    <definedName name="NINT_2Q02" localSheetId="10">Tags!$R$16</definedName>
    <definedName name="NINT_2Q02">Tags_ols!$R$16</definedName>
    <definedName name="NINT_2Q03" localSheetId="10">Tags!$W$16</definedName>
    <definedName name="NINT_2Q03">Tags_ols!$W$16</definedName>
    <definedName name="NINT_2Q04" localSheetId="10">Tags!$AB$16</definedName>
    <definedName name="NINT_2Q04">Tags_ols!$AB$16</definedName>
    <definedName name="NINT_2Q05" localSheetId="10">Tags!$AG$16</definedName>
    <definedName name="NINT_2Q05">Tags_ols!$AG$16</definedName>
    <definedName name="NINT_2Q06" localSheetId="10">Tags!$AL$16</definedName>
    <definedName name="NINT_2Q06">Tags_ols!$AL$16</definedName>
    <definedName name="NINT_2Q07" localSheetId="10">Tags!$AQ$16</definedName>
    <definedName name="NINT_2Q07">Tags_ols!$AQ$16</definedName>
    <definedName name="NINT_2Q08" localSheetId="10">Tags!$AV$16</definedName>
    <definedName name="NINT_2Q08">Tags_ols!$AV$16</definedName>
    <definedName name="NINT_2Q09" localSheetId="10">Tags!$BA$16</definedName>
    <definedName name="NINT_2Q09">Tags_ols!$BA$16</definedName>
    <definedName name="NINT_2Q10" localSheetId="10">Tags!$BF$16</definedName>
    <definedName name="NINT_2Q10">Tags_ols!$BF$16</definedName>
    <definedName name="NINT_2Q11" localSheetId="10">Tags!$BK$16</definedName>
    <definedName name="NINT_2Q11">Tags_ols!$BK$16</definedName>
    <definedName name="NINT_2Q12" localSheetId="10">Tags!$BP$16</definedName>
    <definedName name="NINT_2Q12">Tags_ols!$BP$16</definedName>
    <definedName name="NINT_2Q13" localSheetId="10">Tags!$BU$16</definedName>
    <definedName name="NINT_2Q13">Tags_ols!$BU$16</definedName>
    <definedName name="NINT_2Q14" localSheetId="10">Tags!$BZ$16</definedName>
    <definedName name="NINT_2Q14">Tags_ols!$BZ$16</definedName>
    <definedName name="NINT_2Q15" localSheetId="10">Tags!$CE$16</definedName>
    <definedName name="NINT_2Q15">Tags_ols!$CE$16</definedName>
    <definedName name="NINT_2Q16" localSheetId="10">Tags!$CJ$16</definedName>
    <definedName name="NINT_2Q16">Tags_ols!$CJ$16</definedName>
    <definedName name="NINT_2Q17" localSheetId="10">Tags!$CO$16</definedName>
    <definedName name="NINT_2Q17">Tags_ols!$CO$16</definedName>
    <definedName name="NINT_2Q18" localSheetId="10">Tags!$CT$16</definedName>
    <definedName name="NINT_2Q18">Tags_ols!$CT$16</definedName>
    <definedName name="NINT_2Q19" localSheetId="10">Tags!$CY$16</definedName>
    <definedName name="NINT_2Q19">Tags_ols!$CY$16</definedName>
    <definedName name="NINT_2Q20" localSheetId="10">Tags!$DD$16</definedName>
    <definedName name="NINT_2Q20">Tags_ols!$DD$16</definedName>
    <definedName name="NINT_2Q21">Tags!$DI$16</definedName>
    <definedName name="NINT_2Q22">Tags!$DN$16</definedName>
    <definedName name="NINT_2Q23">Tags!$DS$16</definedName>
    <definedName name="NINT_2Q24">Tags!$DX$16</definedName>
    <definedName name="NINT_3Q00" localSheetId="10">Tags!$I$16</definedName>
    <definedName name="NINT_3Q00">Tags_ols!$I$16</definedName>
    <definedName name="NINT_3Q01" localSheetId="10">Tags!$N$16</definedName>
    <definedName name="NINT_3Q01">Tags_ols!$N$16</definedName>
    <definedName name="NINT_3Q02" localSheetId="10">Tags!$S$16</definedName>
    <definedName name="NINT_3Q02">Tags_ols!$S$16</definedName>
    <definedName name="NINT_3Q03" localSheetId="10">Tags!$X$16</definedName>
    <definedName name="NINT_3Q03">Tags_ols!$X$16</definedName>
    <definedName name="NINT_3Q04" localSheetId="10">Tags!$AC$16</definedName>
    <definedName name="NINT_3Q04">Tags_ols!$AC$16</definedName>
    <definedName name="NINT_3Q05" localSheetId="10">Tags!$AH$16</definedName>
    <definedName name="NINT_3Q05">Tags_ols!$AH$16</definedName>
    <definedName name="NINT_3Q06" localSheetId="10">Tags!$AM$16</definedName>
    <definedName name="NINT_3Q06">Tags_ols!$AM$16</definedName>
    <definedName name="NINT_3Q07" localSheetId="10">Tags!$AR$16</definedName>
    <definedName name="NINT_3Q07">Tags_ols!$AR$16</definedName>
    <definedName name="NINT_3Q08" localSheetId="10">Tags!$AW$16</definedName>
    <definedName name="NINT_3Q08">Tags_ols!$AW$16</definedName>
    <definedName name="NINT_3Q09" localSheetId="10">Tags!$BB$16</definedName>
    <definedName name="NINT_3Q09">Tags_ols!$BB$16</definedName>
    <definedName name="NINT_3Q10" localSheetId="10">Tags!$BG$16</definedName>
    <definedName name="NINT_3Q10">Tags_ols!$BG$16</definedName>
    <definedName name="NINT_3Q11" localSheetId="10">Tags!$BL$16</definedName>
    <definedName name="NINT_3Q11">Tags_ols!$BL$16</definedName>
    <definedName name="NINT_3Q12" localSheetId="10">Tags!$BQ$16</definedName>
    <definedName name="NINT_3Q12">Tags_ols!$BQ$16</definedName>
    <definedName name="NINT_3Q13" localSheetId="10">Tags!$BV$16</definedName>
    <definedName name="NINT_3Q13">Tags_ols!$BV$16</definedName>
    <definedName name="NINT_3Q14" localSheetId="10">Tags!$CA$16</definedName>
    <definedName name="NINT_3Q14">Tags_ols!$CA$16</definedName>
    <definedName name="NINT_3Q15" localSheetId="10">Tags!$CF$16</definedName>
    <definedName name="NINT_3Q15">Tags_ols!$CF$16</definedName>
    <definedName name="NINT_3Q16" localSheetId="10">Tags!$CK$16</definedName>
    <definedName name="NINT_3Q16">Tags_ols!$CK$16</definedName>
    <definedName name="NINT_3Q17" localSheetId="10">Tags!$CP$16</definedName>
    <definedName name="NINT_3Q17">Tags_ols!$CP$16</definedName>
    <definedName name="NINT_3Q18" localSheetId="10">Tags!$CU$16</definedName>
    <definedName name="NINT_3Q18">Tags_ols!$CU$16</definedName>
    <definedName name="NINT_3Q19" localSheetId="10">Tags!$CZ$16</definedName>
    <definedName name="NINT_3Q19">Tags_ols!$CZ$16</definedName>
    <definedName name="NINT_3Q20" localSheetId="10">Tags!$DE$16</definedName>
    <definedName name="NINT_3Q20">Tags_ols!$DE$16</definedName>
    <definedName name="NINT_3Q21">Tags!$DJ$16</definedName>
    <definedName name="NINT_3Q22">Tags!$DO$16</definedName>
    <definedName name="NINT_3Q23">Tags!$DT$16</definedName>
    <definedName name="NINT_3Q24">Tags!$DY$16</definedName>
    <definedName name="NINT_4Q00" localSheetId="10">Tags!$J$16</definedName>
    <definedName name="NINT_4Q00">Tags_ols!$J$16</definedName>
    <definedName name="NINT_4Q01" localSheetId="10">Tags!$O$16</definedName>
    <definedName name="NINT_4Q01">Tags_ols!$O$16</definedName>
    <definedName name="NINT_4Q02" localSheetId="10">Tags!$T$16</definedName>
    <definedName name="NINT_4Q02">Tags_ols!$T$16</definedName>
    <definedName name="NINT_4Q03" localSheetId="10">Tags!$Y$16</definedName>
    <definedName name="NINT_4Q03">Tags_ols!$Y$16</definedName>
    <definedName name="NINT_4Q04" localSheetId="10">Tags!$AD$16</definedName>
    <definedName name="NINT_4Q04">Tags_ols!$AD$16</definedName>
    <definedName name="NINT_4Q05" localSheetId="10">Tags!$AI$16</definedName>
    <definedName name="NINT_4Q05">Tags_ols!$AI$16</definedName>
    <definedName name="NINT_4Q06" localSheetId="10">Tags!$AN$16</definedName>
    <definedName name="NINT_4Q06">Tags_ols!$AN$16</definedName>
    <definedName name="NINT_4Q07" localSheetId="10">Tags!$AS$16</definedName>
    <definedName name="NINT_4Q07">Tags_ols!$AS$16</definedName>
    <definedName name="NINT_4Q08" localSheetId="10">Tags!$AX$16</definedName>
    <definedName name="NINT_4Q08">Tags_ols!$AX$16</definedName>
    <definedName name="NINT_4Q09" localSheetId="10">Tags!$BC$16</definedName>
    <definedName name="NINT_4Q09">Tags_ols!$BC$16</definedName>
    <definedName name="NINT_4Q10" localSheetId="10">Tags!$BH$16</definedName>
    <definedName name="NINT_4Q10">Tags_ols!$BH$16</definedName>
    <definedName name="NINT_4Q11" localSheetId="10">Tags!$BM$16</definedName>
    <definedName name="NINT_4Q11">Tags_ols!$BM$16</definedName>
    <definedName name="NINT_4Q12" localSheetId="10">Tags!$BR$16</definedName>
    <definedName name="NINT_4Q12">Tags_ols!$BR$16</definedName>
    <definedName name="NINT_4Q13" localSheetId="10">Tags!$BW$16</definedName>
    <definedName name="NINT_4Q13">Tags_ols!$BW$16</definedName>
    <definedName name="NINT_4Q14" localSheetId="10">Tags!$CB$16</definedName>
    <definedName name="NINT_4Q14">Tags_ols!$CB$16</definedName>
    <definedName name="NINT_4Q15" localSheetId="10">Tags!$CG$16</definedName>
    <definedName name="NINT_4Q15">Tags_ols!$CG$16</definedName>
    <definedName name="NINT_4Q16" localSheetId="10">Tags!$CL$16</definedName>
    <definedName name="NINT_4Q16">Tags_ols!$CL$16</definedName>
    <definedName name="NINT_4Q17" localSheetId="10">Tags!$CQ$16</definedName>
    <definedName name="NINT_4Q17">Tags_ols!$CQ$16</definedName>
    <definedName name="NINT_4Q18" localSheetId="10">Tags!$CV$16</definedName>
    <definedName name="NINT_4Q18">Tags_ols!$CV$16</definedName>
    <definedName name="NINT_4Q19" localSheetId="10">Tags!$DA$16</definedName>
    <definedName name="NINT_4Q19">Tags_ols!$DA$16</definedName>
    <definedName name="NINT_4Q20" localSheetId="10">Tags!$DF$16</definedName>
    <definedName name="NINT_4Q20">Tags_ols!$DF$16</definedName>
    <definedName name="NINT_4Q21">Tags!$DK$16</definedName>
    <definedName name="NINT_4Q22">Tags!$DP$16</definedName>
    <definedName name="NINT_4Q23">Tags!$DU$16</definedName>
    <definedName name="NINT_4Q24">Tags!$DZ$16</definedName>
    <definedName name="NPENAS_1995">Tags_ols!$B$158</definedName>
    <definedName name="NPENAS_1996">Tags_ols!$C$158</definedName>
    <definedName name="NPENAS_1997">Tags_ols!$D$158</definedName>
    <definedName name="NPENAS_1998">Tags_ols!$E$158</definedName>
    <definedName name="NPENAS_1999">Tags_ols!$F$158</definedName>
    <definedName name="NPENAS_1Q00" localSheetId="10">Tags!$G$158</definedName>
    <definedName name="NPENAS_1Q00">Tags_ols!$G$158</definedName>
    <definedName name="NPENAS_1Q01" localSheetId="10">Tags!$L$158</definedName>
    <definedName name="NPENAS_1Q01">Tags_ols!$L$158</definedName>
    <definedName name="NPENAS_1Q02" localSheetId="10">Tags!$Q$158</definedName>
    <definedName name="NPENAS_1Q02">Tags_ols!$Q$158</definedName>
    <definedName name="NPENAS_1Q03" localSheetId="10">Tags!$V$158</definedName>
    <definedName name="NPENAS_1Q03">Tags_ols!$V$158</definedName>
    <definedName name="NPENAS_1Q04" localSheetId="10">Tags!$AA$158</definedName>
    <definedName name="NPENAS_1Q04">Tags_ols!$AA$158</definedName>
    <definedName name="NPENAS_1Q05" localSheetId="10">Tags!$AF$158</definedName>
    <definedName name="NPENAS_1Q05">Tags_ols!$AF$158</definedName>
    <definedName name="NPENAS_1Q06" localSheetId="10">Tags!$AK$158</definedName>
    <definedName name="NPENAS_1Q06">Tags_ols!$AK$158</definedName>
    <definedName name="NPENAS_1Q07" localSheetId="10">Tags!$AP$158</definedName>
    <definedName name="NPENAS_1Q07">Tags_ols!$AP$158</definedName>
    <definedName name="NPENAS_1Q08" localSheetId="10">Tags!$AU$158</definedName>
    <definedName name="NPENAS_1Q08">Tags_ols!$AU$158</definedName>
    <definedName name="NPENAS_1Q09" localSheetId="10">Tags!$AZ$158</definedName>
    <definedName name="NPENAS_1Q09">Tags_ols!$AZ$158</definedName>
    <definedName name="NPENAS_1Q10" localSheetId="10">Tags!$BE$158</definedName>
    <definedName name="NPENAS_1Q10">Tags_ols!$BE$158</definedName>
    <definedName name="NPENAS_1Q11" localSheetId="10">Tags!$BJ$158</definedName>
    <definedName name="NPENAS_1Q11">Tags_ols!$BJ$158</definedName>
    <definedName name="NPENAS_1Q12" localSheetId="10">Tags!$BO$158</definedName>
    <definedName name="NPENAS_1Q12">Tags_ols!$BO$158</definedName>
    <definedName name="NPENAS_1Q13" localSheetId="10">Tags!$BT$158</definedName>
    <definedName name="NPENAS_1Q13">Tags_ols!$BT$158</definedName>
    <definedName name="NPENAS_1Q14" localSheetId="10">Tags!$BY$158</definedName>
    <definedName name="NPENAS_1Q14">Tags_ols!$BY$158</definedName>
    <definedName name="NPENAS_1Q15" localSheetId="10">Tags!$CD$158</definedName>
    <definedName name="NPENAS_1Q15">Tags_ols!$CD$158</definedName>
    <definedName name="NPENAS_1Q16" localSheetId="10">Tags!$CI$158</definedName>
    <definedName name="NPENAS_1Q16">Tags_ols!$CI$158</definedName>
    <definedName name="NPENAS_1Q17" localSheetId="10">Tags!$CN$158</definedName>
    <definedName name="NPENAS_1Q17">Tags_ols!$CN$158</definedName>
    <definedName name="NPENAS_1Q18" localSheetId="10">Tags!$CS$158</definedName>
    <definedName name="NPENAS_1Q18">Tags_ols!$CS$158</definedName>
    <definedName name="NPENAS_1Q19" localSheetId="10">Tags!$CX$158</definedName>
    <definedName name="NPENAS_1Q19">Tags_ols!$CX$158</definedName>
    <definedName name="NPENAS_1Q20" localSheetId="10">Tags!$DC$158</definedName>
    <definedName name="NPENAS_1Q20">Tags_ols!$DC$158</definedName>
    <definedName name="NPENAS_1Q21">Tags!$DH$158</definedName>
    <definedName name="NPENAS_1Q22">Tags!$DM$158</definedName>
    <definedName name="NPENAS_1Q23">Tags!$DR$158</definedName>
    <definedName name="NPENAS_1Q24">Tags!$DW$158</definedName>
    <definedName name="NPENAS_2000" localSheetId="10">Tags!$K$158</definedName>
    <definedName name="NPENAS_2000">Tags_ols!$K$158</definedName>
    <definedName name="NPENAS_2001" localSheetId="10">Tags!$P$158</definedName>
    <definedName name="NPENAS_2001">Tags_ols!$P$158</definedName>
    <definedName name="NPENAS_2002" localSheetId="10">Tags!$U$158</definedName>
    <definedName name="NPENAS_2002">Tags_ols!$U$158</definedName>
    <definedName name="NPENAS_2003" localSheetId="10">Tags!$Z$158</definedName>
    <definedName name="NPENAS_2003">Tags_ols!$Z$158</definedName>
    <definedName name="NPENAS_2004" localSheetId="10">Tags!$AE$158</definedName>
    <definedName name="NPENAS_2004">Tags_ols!$AE$158</definedName>
    <definedName name="NPENAS_2005" localSheetId="10">Tags!$AJ$158</definedName>
    <definedName name="NPENAS_2005">Tags_ols!$AJ$158</definedName>
    <definedName name="NPENAS_2006" localSheetId="10">Tags!$AO$158</definedName>
    <definedName name="NPENAS_2006">Tags_ols!$AO$158</definedName>
    <definedName name="NPENAS_2007" localSheetId="10">Tags!$AT$158</definedName>
    <definedName name="NPENAS_2007">Tags_ols!$AT$158</definedName>
    <definedName name="NPENAS_2008" localSheetId="10">Tags!$AY$158</definedName>
    <definedName name="NPENAS_2008">Tags_ols!$AY$158</definedName>
    <definedName name="NPENAS_2009" localSheetId="10">Tags!$BD$158</definedName>
    <definedName name="NPENAS_2009">Tags_ols!$BD$158</definedName>
    <definedName name="NPENAS_2010" localSheetId="10">Tags!$BI$158</definedName>
    <definedName name="NPENAS_2010">Tags_ols!$BI$158</definedName>
    <definedName name="NPENAS_2011" localSheetId="10">Tags!$BN$158</definedName>
    <definedName name="NPENAS_2011">Tags_ols!$BN$158</definedName>
    <definedName name="NPENAS_2012" localSheetId="10">Tags!$BS$158</definedName>
    <definedName name="NPENAS_2012">Tags_ols!$BS$158</definedName>
    <definedName name="NPENAS_2013" localSheetId="10">Tags!$BX$158</definedName>
    <definedName name="NPENAS_2013">Tags_ols!$BX$158</definedName>
    <definedName name="NPENAS_2014" localSheetId="10">Tags!$CC$158</definedName>
    <definedName name="NPENAS_2014">Tags_ols!$CC$158</definedName>
    <definedName name="NPENAS_2015" localSheetId="10">Tags!#REF!</definedName>
    <definedName name="NPENAS_2015">Tags!$CH$158</definedName>
    <definedName name="NPENAS_2016" localSheetId="10">Tags!$CM$158</definedName>
    <definedName name="NPENAS_2016">Tags_ols!$CM$158</definedName>
    <definedName name="NPENAS_2017" localSheetId="10">Tags!$CR$158</definedName>
    <definedName name="NPENAS_2017">Tags_ols!$CR$158</definedName>
    <definedName name="NPENAS_2018" localSheetId="10">Tags!$CW$158</definedName>
    <definedName name="NPENAS_2018">Tags_ols!$CW$158</definedName>
    <definedName name="NPENAS_2019" localSheetId="10">Tags!$DB$158</definedName>
    <definedName name="NPENAS_2019">Tags_ols!$DB$158</definedName>
    <definedName name="NPENAS_2020" localSheetId="10">Tags!$DG$158</definedName>
    <definedName name="NPENAS_2020">Tags_ols!$DG$158</definedName>
    <definedName name="NPENAS_2021">Tags!$DL$158</definedName>
    <definedName name="NPENAS_2022">Tags!$DQ$158</definedName>
    <definedName name="NPENAS_2023">Tags!$DV$158</definedName>
    <definedName name="NPENAS_2024">Tags!$EA$158</definedName>
    <definedName name="NPENAS_2Q00" localSheetId="10">Tags!$H$158</definedName>
    <definedName name="NPENAS_2Q00">Tags_ols!$H$158</definedName>
    <definedName name="NPENAS_2Q01" localSheetId="10">Tags!$M$158</definedName>
    <definedName name="NPENAS_2Q01">Tags_ols!$M$158</definedName>
    <definedName name="NPENAS_2Q02" localSheetId="10">Tags!$R$158</definedName>
    <definedName name="NPENAS_2Q02">Tags_ols!$R$158</definedName>
    <definedName name="NPENAS_2Q03" localSheetId="10">Tags!$W$158</definedName>
    <definedName name="NPENAS_2Q03">Tags_ols!$W$158</definedName>
    <definedName name="NPENAS_2Q04" localSheetId="10">Tags!$AB$158</definedName>
    <definedName name="NPENAS_2Q04">Tags_ols!$AB$158</definedName>
    <definedName name="NPENAS_2Q05" localSheetId="10">Tags!$AG$158</definedName>
    <definedName name="NPENAS_2Q05">Tags_ols!$AG$158</definedName>
    <definedName name="NPENAS_2Q06" localSheetId="10">Tags!$AL$158</definedName>
    <definedName name="NPENAS_2Q06">Tags_ols!$AL$158</definedName>
    <definedName name="NPENAS_2Q07" localSheetId="10">Tags!$AQ$158</definedName>
    <definedName name="NPENAS_2Q07">Tags_ols!$AQ$158</definedName>
    <definedName name="NPENAS_2Q08" localSheetId="10">Tags!$AV$158</definedName>
    <definedName name="NPENAS_2Q08">Tags_ols!$AV$158</definedName>
    <definedName name="NPENAS_2Q09" localSheetId="10">Tags!$BA$158</definedName>
    <definedName name="NPENAS_2Q09">Tags_ols!$BA$158</definedName>
    <definedName name="NPENAS_2Q10" localSheetId="10">Tags!$BF$158</definedName>
    <definedName name="NPENAS_2Q10">Tags_ols!$BF$158</definedName>
    <definedName name="NPENAS_2Q11" localSheetId="10">Tags!$BK$158</definedName>
    <definedName name="NPENAS_2Q11">Tags_ols!$BK$158</definedName>
    <definedName name="NPENAS_2Q12" localSheetId="10">Tags!$BP$158</definedName>
    <definedName name="NPENAS_2Q12">Tags_ols!$BP$158</definedName>
    <definedName name="NPENAS_2Q13" localSheetId="10">Tags!$BU$158</definedName>
    <definedName name="NPENAS_2Q13">Tags_ols!$BU$158</definedName>
    <definedName name="NPENAS_2Q14" localSheetId="10">Tags!$BZ$158</definedName>
    <definedName name="NPENAS_2Q14">Tags_ols!$BZ$158</definedName>
    <definedName name="NPENAS_2Q15" localSheetId="10">Tags!$CE$158</definedName>
    <definedName name="NPENAS_2Q15">Tags_ols!$CE$158</definedName>
    <definedName name="NPENAS_2Q16" localSheetId="10">Tags!$CJ$158</definedName>
    <definedName name="NPENAS_2Q16">Tags_ols!$CJ$158</definedName>
    <definedName name="NPENAS_2Q17" localSheetId="10">Tags!$CO$158</definedName>
    <definedName name="NPENAS_2Q17">Tags_ols!$CO$158</definedName>
    <definedName name="NPENAS_2Q18" localSheetId="10">Tags!$CT$158</definedName>
    <definedName name="NPENAS_2Q18">Tags_ols!$CT$158</definedName>
    <definedName name="NPENAS_2Q19" localSheetId="10">Tags!$CY$158</definedName>
    <definedName name="NPENAS_2Q19">Tags_ols!$CY$158</definedName>
    <definedName name="NPENAS_2Q20" localSheetId="10">Tags!$DD$158</definedName>
    <definedName name="NPENAS_2Q20">Tags_ols!$DD$158</definedName>
    <definedName name="NPENAS_2Q21">Tags!$DI$158</definedName>
    <definedName name="NPENAS_2Q22">Tags!$DN$158</definedName>
    <definedName name="NPENAS_2Q23">Tags!$DS$158</definedName>
    <definedName name="NPENAS_2Q24">Tags!$DX$158</definedName>
    <definedName name="NPENAS_3Q00" localSheetId="10">Tags!$I$158</definedName>
    <definedName name="NPENAS_3Q00">Tags_ols!$I$158</definedName>
    <definedName name="NPENAS_3Q01" localSheetId="10">Tags!$N$158</definedName>
    <definedName name="NPENAS_3Q01">Tags_ols!$N$158</definedName>
    <definedName name="NPENAS_3Q02" localSheetId="10">Tags!$S$158</definedName>
    <definedName name="NPENAS_3Q02">Tags_ols!$S$158</definedName>
    <definedName name="NPENAS_3Q03" localSheetId="10">Tags!$X$158</definedName>
    <definedName name="NPENAS_3Q03">Tags_ols!$X$158</definedName>
    <definedName name="NPENAS_3Q04" localSheetId="10">Tags!$AC$158</definedName>
    <definedName name="NPENAS_3Q04">Tags_ols!$AC$158</definedName>
    <definedName name="NPENAS_3Q05" localSheetId="10">Tags!$AH$158</definedName>
    <definedName name="NPENAS_3Q05">Tags_ols!$AH$158</definedName>
    <definedName name="NPENAS_3Q06" localSheetId="10">Tags!$AM$158</definedName>
    <definedName name="NPENAS_3Q06">Tags_ols!$AM$158</definedName>
    <definedName name="NPENAS_3Q07" localSheetId="10">Tags!$AR$158</definedName>
    <definedName name="NPENAS_3Q07">Tags_ols!$AR$158</definedName>
    <definedName name="NPENAS_3Q08" localSheetId="10">Tags!$AW$158</definedName>
    <definedName name="NPENAS_3Q08">Tags_ols!$AW$158</definedName>
    <definedName name="NPENAS_3Q09" localSheetId="10">Tags!$BB$158</definedName>
    <definedName name="NPENAS_3Q09">Tags_ols!$BB$158</definedName>
    <definedName name="NPENAS_3Q10" localSheetId="10">Tags!$BG$158</definedName>
    <definedName name="NPENAS_3Q10">Tags_ols!$BG$158</definedName>
    <definedName name="NPENAS_3Q11" localSheetId="10">Tags!$BL$158</definedName>
    <definedName name="NPENAS_3Q11">Tags_ols!$BL$158</definedName>
    <definedName name="NPENAS_3Q12" localSheetId="10">Tags!$BQ$158</definedName>
    <definedName name="NPENAS_3Q12">Tags_ols!$BQ$158</definedName>
    <definedName name="NPENAS_3Q13" localSheetId="10">Tags!$BV$158</definedName>
    <definedName name="NPENAS_3Q13">Tags_ols!$BV$158</definedName>
    <definedName name="NPENAS_3Q14" localSheetId="10">Tags!$CA$158</definedName>
    <definedName name="NPENAS_3Q14">Tags_ols!$CA$158</definedName>
    <definedName name="NPENAS_3Q15" localSheetId="10">Tags!$CF$158</definedName>
    <definedName name="NPENAS_3Q15">Tags_ols!$CF$158</definedName>
    <definedName name="NPENAS_3Q16" localSheetId="10">Tags!$CK$158</definedName>
    <definedName name="NPENAS_3Q16">Tags_ols!$CK$158</definedName>
    <definedName name="NPENAS_3Q17" localSheetId="10">Tags!$CP$158</definedName>
    <definedName name="NPENAS_3Q17">Tags_ols!$CP$158</definedName>
    <definedName name="NPENAS_3Q18" localSheetId="10">Tags!$CU$158</definedName>
    <definedName name="NPENAS_3Q18">Tags_ols!$CU$158</definedName>
    <definedName name="NPENAS_3Q19" localSheetId="10">Tags!$CZ$158</definedName>
    <definedName name="NPENAS_3Q19">Tags_ols!$CZ$158</definedName>
    <definedName name="NPENAS_3Q20" localSheetId="10">Tags!$DE$158</definedName>
    <definedName name="NPENAS_3Q20">Tags_ols!$DE$158</definedName>
    <definedName name="NPENAS_3Q21">Tags!$DJ$158</definedName>
    <definedName name="NPENAS_3Q22">Tags!$DO$158</definedName>
    <definedName name="NPENAS_3Q23">Tags!$DT$158</definedName>
    <definedName name="NPENAS_3Q24">Tags!$DY$158</definedName>
    <definedName name="NPENAS_4Q00" localSheetId="10">Tags!$J$158</definedName>
    <definedName name="NPENAS_4Q00">Tags_ols!$J$158</definedName>
    <definedName name="NPENAS_4Q01" localSheetId="10">Tags!$O$158</definedName>
    <definedName name="NPENAS_4Q01">Tags_ols!$O$158</definedName>
    <definedName name="NPENAS_4Q02" localSheetId="10">Tags!$T$158</definedName>
    <definedName name="NPENAS_4Q02">Tags_ols!$T$158</definedName>
    <definedName name="NPENAS_4Q03" localSheetId="10">Tags!$Y$158</definedName>
    <definedName name="NPENAS_4Q03">Tags_ols!$Y$158</definedName>
    <definedName name="NPENAS_4Q04" localSheetId="10">Tags!$AD$158</definedName>
    <definedName name="NPENAS_4Q04">Tags_ols!$AD$158</definedName>
    <definedName name="NPENAS_4Q05" localSheetId="10">Tags!$AI$158</definedName>
    <definedName name="NPENAS_4Q05">Tags_ols!$AI$158</definedName>
    <definedName name="NPENAS_4Q06" localSheetId="10">Tags!$AN$158</definedName>
    <definedName name="NPENAS_4Q06">Tags_ols!$AN$158</definedName>
    <definedName name="NPENAS_4Q07" localSheetId="10">Tags!$AS$158</definedName>
    <definedName name="NPENAS_4Q07">Tags_ols!$AS$158</definedName>
    <definedName name="NPENAS_4Q08" localSheetId="10">Tags!$AX$158</definedName>
    <definedName name="NPENAS_4Q08">Tags_ols!$AX$158</definedName>
    <definedName name="NPENAS_4Q09" localSheetId="10">Tags!$BC$158</definedName>
    <definedName name="NPENAS_4Q09">Tags_ols!$BC$158</definedName>
    <definedName name="NPENAS_4Q10" localSheetId="10">Tags!$BH$158</definedName>
    <definedName name="NPENAS_4Q10">Tags_ols!$BH$158</definedName>
    <definedName name="NPENAS_4Q11" localSheetId="10">Tags!$BM$158</definedName>
    <definedName name="NPENAS_4Q11">Tags_ols!$BM$158</definedName>
    <definedName name="NPENAS_4Q12" localSheetId="10">Tags!$BR$158</definedName>
    <definedName name="NPENAS_4Q12">Tags_ols!$BR$158</definedName>
    <definedName name="NPENAS_4Q13" localSheetId="10">Tags!$BW$158</definedName>
    <definedName name="NPENAS_4Q13">Tags_ols!$BW$158</definedName>
    <definedName name="NPENAS_4Q14" localSheetId="10">Tags!$CB$158</definedName>
    <definedName name="NPENAS_4Q14">Tags_ols!$CB$158</definedName>
    <definedName name="NPENAS_4Q15" localSheetId="10">Tags!$CG$158</definedName>
    <definedName name="NPENAS_4Q15">Tags_ols!$CG$158</definedName>
    <definedName name="NPENAS_4Q16" localSheetId="10">Tags!$CL$158</definedName>
    <definedName name="NPENAS_4Q16">Tags_ols!$CL$158</definedName>
    <definedName name="NPENAS_4Q17" localSheetId="10">Tags!$CQ$158</definedName>
    <definedName name="NPENAS_4Q17">Tags_ols!$CQ$158</definedName>
    <definedName name="NPENAS_4Q18" localSheetId="10">Tags!$CV$158</definedName>
    <definedName name="NPENAS_4Q18">Tags_ols!$CV$158</definedName>
    <definedName name="NPENAS_4Q19" localSheetId="10">Tags!$DA$158</definedName>
    <definedName name="NPENAS_4Q19">Tags_ols!$DA$158</definedName>
    <definedName name="NPENAS_4Q20" localSheetId="10">Tags!$DF$158</definedName>
    <definedName name="NPENAS_4Q20">Tags_ols!$DF$158</definedName>
    <definedName name="NPENAS_4Q21">Tags!$DK$158</definedName>
    <definedName name="NPENAS_4Q22">Tags!$DP$158</definedName>
    <definedName name="NPENAS_4Q23">Tags!$DU$158</definedName>
    <definedName name="NPENAS_4Q24">Tags!$DZ$158</definedName>
    <definedName name="NREVS_1995">Tags_ols!$B$60</definedName>
    <definedName name="NREVS_1996">Tags_ols!$C$60</definedName>
    <definedName name="NREVS_1997">Tags_ols!$D$60</definedName>
    <definedName name="NREVS_1998">Tags_ols!$E$60</definedName>
    <definedName name="NREVS_1999">Tags_ols!$F$60</definedName>
    <definedName name="NREVS_1Q00" localSheetId="10">Tags!$G$60</definedName>
    <definedName name="NREVS_1Q00">Tags_ols!$G$60</definedName>
    <definedName name="NREVS_1Q01" localSheetId="10">Tags!$L$60</definedName>
    <definedName name="NREVS_1Q01">Tags_ols!$L$60</definedName>
    <definedName name="NREVS_1Q02" localSheetId="10">Tags!$Q$60</definedName>
    <definedName name="NREVS_1Q02">Tags_ols!$Q$60</definedName>
    <definedName name="NREVS_1Q03" localSheetId="10">Tags!$V$60</definedName>
    <definedName name="NREVS_1Q03">Tags_ols!$V$60</definedName>
    <definedName name="NREVS_1Q04" localSheetId="10">Tags!$AA$60</definedName>
    <definedName name="NREVS_1Q04">Tags_ols!$AA$60</definedName>
    <definedName name="NREVS_1Q05" localSheetId="10">Tags!$AF$60</definedName>
    <definedName name="NREVS_1Q05">Tags_ols!$AF$60</definedName>
    <definedName name="NREVS_1Q06" localSheetId="10">Tags!$AK$60</definedName>
    <definedName name="NREVS_1Q06">Tags_ols!$AK$60</definedName>
    <definedName name="NREVS_1Q07" localSheetId="10">Tags!$AP$60</definedName>
    <definedName name="NREVS_1Q07">Tags_ols!$AP$60</definedName>
    <definedName name="NREVS_1Q08" localSheetId="10">Tags!$AU$60</definedName>
    <definedName name="NREVS_1Q08">Tags_ols!$AU$60</definedName>
    <definedName name="NREVS_1Q09" localSheetId="10">Tags!$AZ$60</definedName>
    <definedName name="NREVS_1Q09">Tags_ols!$AZ$60</definedName>
    <definedName name="NREVS_1Q10" localSheetId="10">Tags!$BE$60</definedName>
    <definedName name="NREVS_1Q10">Tags_ols!$BE$60</definedName>
    <definedName name="NREVS_1Q11" localSheetId="10">Tags!$BJ$60</definedName>
    <definedName name="NREVS_1Q11">Tags_ols!$BJ$60</definedName>
    <definedName name="NREVS_1Q12" localSheetId="10">Tags!$BO$60</definedName>
    <definedName name="NREVS_1Q12">Tags_ols!$BO$60</definedName>
    <definedName name="NREVS_1Q13" localSheetId="10">Tags!$BT$60</definedName>
    <definedName name="NREVS_1Q13">Tags_ols!$BT$60</definedName>
    <definedName name="NREVS_1Q14" localSheetId="10">Tags!$BY$60</definedName>
    <definedName name="NREVS_1Q14">Tags_ols!$BY$60</definedName>
    <definedName name="NREVS_1Q15" localSheetId="10">Tags!$CD$60</definedName>
    <definedName name="NREVS_1Q15">Tags_ols!$CD$60</definedName>
    <definedName name="NREVS_1Q16" localSheetId="10">Tags!$CI$60</definedName>
    <definedName name="NREVS_1Q16">Tags_ols!$CI$60</definedName>
    <definedName name="NREVS_1Q17" localSheetId="10">Tags!$CN$60</definedName>
    <definedName name="NREVS_1Q17">Tags_ols!$CN$60</definedName>
    <definedName name="NREVS_1Q18" localSheetId="10">Tags!$CS$60</definedName>
    <definedName name="NREVS_1Q18">Tags_ols!$CS$60</definedName>
    <definedName name="NREVS_1Q19" localSheetId="10">Tags!$CX$60</definedName>
    <definedName name="NREVS_1Q19">Tags_ols!$CX$60</definedName>
    <definedName name="NREVS_1Q20" localSheetId="10">Tags!$DC$60</definedName>
    <definedName name="NREVS_1Q20">Tags_ols!$DC$60</definedName>
    <definedName name="NREVS_1Q21">Tags!$DH$60</definedName>
    <definedName name="NREVS_1Q22">Tags!$DM$60</definedName>
    <definedName name="NREVS_1Q23">Tags!$DR$60</definedName>
    <definedName name="NREVS_1Q24">Tags!$DW$60</definedName>
    <definedName name="NREVS_2000" localSheetId="10">Tags!$K$60</definedName>
    <definedName name="NREVS_2000">Tags_ols!$K$60</definedName>
    <definedName name="NREVS_2001" localSheetId="10">Tags!$P$60</definedName>
    <definedName name="NREVS_2001">Tags_ols!$P$60</definedName>
    <definedName name="NREVS_2002" localSheetId="10">Tags!$U$60</definedName>
    <definedName name="NREVS_2002">Tags_ols!$U$60</definedName>
    <definedName name="NREVS_2003" localSheetId="10">Tags!$Z$60</definedName>
    <definedName name="NREVS_2003">Tags_ols!$Z$60</definedName>
    <definedName name="NREVS_2004" localSheetId="10">Tags!$AE$60</definedName>
    <definedName name="NREVS_2004">Tags_ols!$AE$60</definedName>
    <definedName name="NREVS_2005" localSheetId="10">Tags!$AJ$60</definedName>
    <definedName name="NREVS_2005">Tags_ols!$AJ$60</definedName>
    <definedName name="NREVS_2006" localSheetId="10">Tags!$AO$60</definedName>
    <definedName name="NREVS_2006">Tags_ols!$AO$60</definedName>
    <definedName name="NREVS_2007" localSheetId="10">Tags!$AT$60</definedName>
    <definedName name="NREVS_2007">Tags_ols!$AT$60</definedName>
    <definedName name="NREVS_2008" localSheetId="10">Tags!$AY$60</definedName>
    <definedName name="NREVS_2008">Tags_ols!$AY$60</definedName>
    <definedName name="NREVS_2009" localSheetId="10">Tags!$BD$60</definedName>
    <definedName name="NREVS_2009">Tags_ols!$BD$60</definedName>
    <definedName name="NREVS_2010" localSheetId="10">Tags!$BI$60</definedName>
    <definedName name="NREVS_2010">Tags_ols!$BI$60</definedName>
    <definedName name="NREVS_2011" localSheetId="10">Tags!$BN$60</definedName>
    <definedName name="NREVS_2011">Tags_ols!$BN$60</definedName>
    <definedName name="NREVS_2012" localSheetId="10">Tags!$BS$60</definedName>
    <definedName name="NREVS_2012">Tags_ols!$BS$60</definedName>
    <definedName name="NREVS_2013" localSheetId="10">Tags!$BX$60</definedName>
    <definedName name="NREVS_2013">Tags_ols!$BX$60</definedName>
    <definedName name="NREVS_2014" localSheetId="10">Tags!$CC$60</definedName>
    <definedName name="NREVS_2014">Tags_ols!$CC$60</definedName>
    <definedName name="NREVS_2015" localSheetId="10">Tags!#REF!</definedName>
    <definedName name="NREVS_2015">Tags!$CH$60</definedName>
    <definedName name="NREVS_2016" localSheetId="10">Tags!$CM$60</definedName>
    <definedName name="NREVS_2016">Tags_ols!$CM$60</definedName>
    <definedName name="NREVS_2017" localSheetId="10">Tags!$CR$60</definedName>
    <definedName name="NREVS_2017">Tags_ols!$CR$60</definedName>
    <definedName name="NREVS_2018" localSheetId="10">Tags!$CW$60</definedName>
    <definedName name="NREVS_2018">Tags_ols!$CW$60</definedName>
    <definedName name="NREVS_2019" localSheetId="10">Tags!$DB$60</definedName>
    <definedName name="NREVS_2019">Tags_ols!$DB$60</definedName>
    <definedName name="NREVS_2020" localSheetId="10">Tags!$DG$60</definedName>
    <definedName name="NREVS_2020">Tags_ols!$DG$60</definedName>
    <definedName name="NREVS_2021">Tags!$DL$60</definedName>
    <definedName name="NREVS_2022">Tags!$DQ$60</definedName>
    <definedName name="NREVS_2023">Tags!$DV$60</definedName>
    <definedName name="NREVS_2024">Tags!$EA$60</definedName>
    <definedName name="NREVS_2Q00" localSheetId="10">Tags!$H$60</definedName>
    <definedName name="NREVS_2Q00">Tags_ols!$H$60</definedName>
    <definedName name="NREVS_2Q01" localSheetId="10">Tags!$M$60</definedName>
    <definedName name="NREVS_2Q01">Tags_ols!$M$60</definedName>
    <definedName name="NREVS_2Q02" localSheetId="10">Tags!$R$60</definedName>
    <definedName name="NREVS_2Q02">Tags_ols!$R$60</definedName>
    <definedName name="NREVS_2Q03" localSheetId="10">Tags!$W$60</definedName>
    <definedName name="NREVS_2Q03">Tags_ols!$W$60</definedName>
    <definedName name="NREVS_2Q04" localSheetId="10">Tags!$AB$60</definedName>
    <definedName name="NREVS_2Q04">Tags_ols!$AB$60</definedName>
    <definedName name="NREVS_2Q05" localSheetId="10">Tags!$AG$60</definedName>
    <definedName name="NREVS_2Q05">Tags_ols!$AG$60</definedName>
    <definedName name="NREVS_2Q06" localSheetId="10">Tags!$AL$60</definedName>
    <definedName name="NREVS_2Q06">Tags_ols!$AL$60</definedName>
    <definedName name="NREVS_2Q07" localSheetId="10">Tags!$AQ$60</definedName>
    <definedName name="NREVS_2Q07">Tags_ols!$AQ$60</definedName>
    <definedName name="NREVS_2Q08" localSheetId="10">Tags!$AV$60</definedName>
    <definedName name="NREVS_2Q08">Tags_ols!$AV$60</definedName>
    <definedName name="NREVS_2Q09" localSheetId="10">Tags!$BA$60</definedName>
    <definedName name="NREVS_2Q09">Tags_ols!$BA$60</definedName>
    <definedName name="NREVS_2Q10" localSheetId="10">Tags!$BF$60</definedName>
    <definedName name="NREVS_2Q10">Tags_ols!$BF$60</definedName>
    <definedName name="NREVS_2Q11" localSheetId="10">Tags!$BK$60</definedName>
    <definedName name="NREVS_2Q11">Tags_ols!$BK$60</definedName>
    <definedName name="NREVS_2Q12" localSheetId="10">Tags!$BP$60</definedName>
    <definedName name="NREVS_2Q12">Tags_ols!$BP$60</definedName>
    <definedName name="NREVS_2Q13" localSheetId="10">Tags!$BU$60</definedName>
    <definedName name="NREVS_2Q13">Tags_ols!$BU$60</definedName>
    <definedName name="NREVS_2Q14" localSheetId="10">Tags!$BZ$60</definedName>
    <definedName name="NREVS_2Q14">Tags_ols!$BZ$60</definedName>
    <definedName name="NREVS_2Q15" localSheetId="10">Tags!$CE$60</definedName>
    <definedName name="NREVS_2Q15">Tags_ols!$CE$60</definedName>
    <definedName name="NREVS_2Q16" localSheetId="10">Tags!$CJ$60</definedName>
    <definedName name="NREVS_2Q16">Tags_ols!$CJ$60</definedName>
    <definedName name="NREVS_2Q17" localSheetId="10">Tags!$CO$60</definedName>
    <definedName name="NREVS_2Q17">Tags_ols!$CO$60</definedName>
    <definedName name="NREVS_2Q18" localSheetId="10">Tags!$CT$60</definedName>
    <definedName name="NREVS_2Q18">Tags_ols!$CT$60</definedName>
    <definedName name="NREVS_2Q19" localSheetId="10">Tags!$CY$60</definedName>
    <definedName name="NREVS_2Q19">Tags_ols!$CY$60</definedName>
    <definedName name="NREVS_2Q20" localSheetId="10">Tags!$DD$60</definedName>
    <definedName name="NREVS_2Q20">Tags_ols!$DD$60</definedName>
    <definedName name="NREVS_2Q21">Tags!$DI$60</definedName>
    <definedName name="NREVS_2Q22">Tags!$DN$60</definedName>
    <definedName name="NREVS_2Q23">Tags!$DS$60</definedName>
    <definedName name="NREVS_2Q24">Tags!$DX$60</definedName>
    <definedName name="NREVS_3Q00" localSheetId="10">Tags!$I$60</definedName>
    <definedName name="NREVS_3Q00">Tags_ols!$I$60</definedName>
    <definedName name="NREVS_3Q01" localSheetId="10">Tags!$N$60</definedName>
    <definedName name="NREVS_3Q01">Tags_ols!$N$60</definedName>
    <definedName name="NREVS_3Q02" localSheetId="10">Tags!$S$60</definedName>
    <definedName name="NREVS_3Q02">Tags_ols!$S$60</definedName>
    <definedName name="NREVS_3Q03" localSheetId="10">Tags!$X$60</definedName>
    <definedName name="NREVS_3Q03">Tags_ols!$X$60</definedName>
    <definedName name="NREVS_3Q04" localSheetId="10">Tags!$AC$60</definedName>
    <definedName name="NREVS_3Q04">Tags_ols!$AC$60</definedName>
    <definedName name="NREVS_3Q05" localSheetId="10">Tags!$AH$60</definedName>
    <definedName name="NREVS_3Q05">Tags_ols!$AH$60</definedName>
    <definedName name="NREVS_3Q06" localSheetId="10">Tags!$AM$60</definedName>
    <definedName name="NREVS_3Q06">Tags_ols!$AM$60</definedName>
    <definedName name="NREVS_3Q07" localSheetId="10">Tags!$AR$60</definedName>
    <definedName name="NREVS_3Q07">Tags_ols!$AR$60</definedName>
    <definedName name="NREVS_3Q08" localSheetId="10">Tags!$AW$60</definedName>
    <definedName name="NREVS_3Q08">Tags_ols!$AW$60</definedName>
    <definedName name="NREVS_3Q09" localSheetId="10">Tags!$BB$60</definedName>
    <definedName name="NREVS_3Q09">Tags_ols!$BB$60</definedName>
    <definedName name="NREVS_3Q10" localSheetId="10">Tags!$BG$60</definedName>
    <definedName name="NREVS_3Q10">Tags_ols!$BG$60</definedName>
    <definedName name="NREVS_3Q11" localSheetId="10">Tags!$BL$60</definedName>
    <definedName name="NREVS_3Q11">Tags_ols!$BL$60</definedName>
    <definedName name="NREVS_3Q12" localSheetId="10">Tags!$BQ$60</definedName>
    <definedName name="NREVS_3Q12">Tags_ols!$BQ$60</definedName>
    <definedName name="NREVS_3Q13" localSheetId="10">Tags!$BV$60</definedName>
    <definedName name="NREVS_3Q13">Tags_ols!$BV$60</definedName>
    <definedName name="NREVS_3Q14" localSheetId="10">Tags!$CA$60</definedName>
    <definedName name="NREVS_3Q14">Tags_ols!$CA$60</definedName>
    <definedName name="NREVS_3Q15" localSheetId="10">Tags!$CF$60</definedName>
    <definedName name="NREVS_3Q15">Tags_ols!$CF$60</definedName>
    <definedName name="NREVS_3Q16" localSheetId="10">Tags!$CK$60</definedName>
    <definedName name="NREVS_3Q16">Tags_ols!$CK$60</definedName>
    <definedName name="NREVS_3Q17" localSheetId="10">Tags!$CP$60</definedName>
    <definedName name="NREVS_3Q17">Tags_ols!$CP$60</definedName>
    <definedName name="NREVS_3Q18" localSheetId="10">Tags!$CU$60</definedName>
    <definedName name="NREVS_3Q18">Tags_ols!$CU$60</definedName>
    <definedName name="NREVS_3Q19" localSheetId="10">Tags!$CZ$60</definedName>
    <definedName name="NREVS_3Q19">Tags_ols!$CZ$60</definedName>
    <definedName name="NREVS_3Q20" localSheetId="10">Tags!$DE$60</definedName>
    <definedName name="NREVS_3Q20">Tags_ols!$DE$60</definedName>
    <definedName name="NREVS_3Q21">Tags!$DJ$60</definedName>
    <definedName name="NREVS_3Q22">Tags!$DO$60</definedName>
    <definedName name="NREVS_3Q23">Tags!$DT$60</definedName>
    <definedName name="NREVS_3Q24">Tags!$DY$60</definedName>
    <definedName name="NREVS_4Q00" localSheetId="10">Tags!$J$60</definedName>
    <definedName name="NREVS_4Q00">Tags_ols!$J$60</definedName>
    <definedName name="NREVS_4Q01" localSheetId="10">Tags!$O$60</definedName>
    <definedName name="NREVS_4Q01">Tags_ols!$O$60</definedName>
    <definedName name="NREVS_4Q02" localSheetId="10">Tags!$T$60</definedName>
    <definedName name="NREVS_4Q02">Tags_ols!$T$60</definedName>
    <definedName name="NREVS_4Q03" localSheetId="10">Tags!$Y$60</definedName>
    <definedName name="NREVS_4Q03">Tags_ols!$Y$60</definedName>
    <definedName name="NREVS_4Q04" localSheetId="10">Tags!$AD$60</definedName>
    <definedName name="NREVS_4Q04">Tags_ols!$AD$60</definedName>
    <definedName name="NREVS_4Q05" localSheetId="10">Tags!$AI$60</definedName>
    <definedName name="NREVS_4Q05">Tags_ols!$AI$60</definedName>
    <definedName name="NREVS_4Q06" localSheetId="10">Tags!$AN$60</definedName>
    <definedName name="NREVS_4Q06">Tags_ols!$AN$60</definedName>
    <definedName name="NREVS_4Q07" localSheetId="10">Tags!$AS$60</definedName>
    <definedName name="NREVS_4Q07">Tags_ols!$AS$60</definedName>
    <definedName name="NREVS_4Q08" localSheetId="10">Tags!$AX$60</definedName>
    <definedName name="NREVS_4Q08">Tags_ols!$AX$60</definedName>
    <definedName name="NREVS_4Q09" localSheetId="10">Tags!$BC$60</definedName>
    <definedName name="NREVS_4Q09">Tags_ols!$BC$60</definedName>
    <definedName name="NREVS_4Q10" localSheetId="10">Tags!$BH$60</definedName>
    <definedName name="NREVS_4Q10">Tags_ols!$BH$60</definedName>
    <definedName name="NREVS_4Q11" localSheetId="10">Tags!$BM$60</definedName>
    <definedName name="NREVS_4Q11">Tags_ols!$BM$60</definedName>
    <definedName name="NREVS_4Q12" localSheetId="10">Tags!$BR$60</definedName>
    <definedName name="NREVS_4Q12">Tags_ols!$BR$60</definedName>
    <definedName name="NREVS_4Q13" localSheetId="10">Tags!$BW$60</definedName>
    <definedName name="NREVS_4Q13">Tags_ols!$BW$60</definedName>
    <definedName name="NREVS_4Q14" localSheetId="10">Tags!$CB$60</definedName>
    <definedName name="NREVS_4Q14">Tags_ols!$CB$60</definedName>
    <definedName name="NREVS_4Q15" localSheetId="10">Tags!$CG$60</definedName>
    <definedName name="NREVS_4Q15">Tags_ols!$CG$60</definedName>
    <definedName name="NREVS_4Q16" localSheetId="10">Tags!$CL$60</definedName>
    <definedName name="NREVS_4Q16">Tags_ols!$CL$60</definedName>
    <definedName name="NREVS_4Q17" localSheetId="10">Tags!$CQ$60</definedName>
    <definedName name="NREVS_4Q17">Tags_ols!$CQ$60</definedName>
    <definedName name="NREVS_4Q18" localSheetId="10">Tags!$CV$60</definedName>
    <definedName name="NREVS_4Q18">Tags_ols!$CV$60</definedName>
    <definedName name="NREVS_4Q19" localSheetId="10">Tags!$DA$60</definedName>
    <definedName name="NREVS_4Q19">Tags_ols!$DA$60</definedName>
    <definedName name="NREVS_4Q20" localSheetId="10">Tags!$DF$60</definedName>
    <definedName name="NREVS_4Q20">Tags_ols!$DF$60</definedName>
    <definedName name="NREVS_4Q21">Tags!$DK$60</definedName>
    <definedName name="NREVS_4Q22">Tags!$DP$60</definedName>
    <definedName name="NREVS_4Q23">Tags!$DU$60</definedName>
    <definedName name="NREVS_4Q24">Tags!$DZ$60</definedName>
    <definedName name="Num00">#REF!</definedName>
    <definedName name="OCASS_1995">Tags_ols!$B$147</definedName>
    <definedName name="OCASS_1996">Tags_ols!$C$147</definedName>
    <definedName name="OCASS_1997">Tags_ols!$D$147</definedName>
    <definedName name="OCASS_1998">Tags_ols!$E$147</definedName>
    <definedName name="OCASS_1999">Tags_ols!$F$147</definedName>
    <definedName name="OCASS_1Q00" localSheetId="10">Tags!$G$147</definedName>
    <definedName name="OCASS_1Q00">Tags_ols!$G$147</definedName>
    <definedName name="OCASS_1Q01" localSheetId="10">Tags!$L$147</definedName>
    <definedName name="OCASS_1Q01">Tags_ols!$L$147</definedName>
    <definedName name="OCASS_1Q02" localSheetId="10">Tags!$Q$147</definedName>
    <definedName name="OCASS_1Q02">Tags_ols!$Q$147</definedName>
    <definedName name="OCASS_1Q03" localSheetId="10">Tags!$V$147</definedName>
    <definedName name="OCASS_1Q03">Tags_ols!$V$147</definedName>
    <definedName name="OCASS_1Q04" localSheetId="10">Tags!$AA$147</definedName>
    <definedName name="OCASS_1Q04">Tags_ols!$AA$147</definedName>
    <definedName name="OCASS_1Q05" localSheetId="10">Tags!$AF$147</definedName>
    <definedName name="OCASS_1Q05">Tags_ols!$AF$147</definedName>
    <definedName name="OCASS_1Q06" localSheetId="10">Tags!$AK$147</definedName>
    <definedName name="OCASS_1Q06">Tags_ols!$AK$147</definedName>
    <definedName name="OCASS_1Q07" localSheetId="10">Tags!$AP$147</definedName>
    <definedName name="OCASS_1Q07">Tags_ols!$AP$147</definedName>
    <definedName name="OCASS_1Q08" localSheetId="10">Tags!$AU$147</definedName>
    <definedName name="OCASS_1Q08">Tags_ols!$AU$147</definedName>
    <definedName name="OCASS_1Q09" localSheetId="10">Tags!$AZ$147</definedName>
    <definedName name="OCASS_1Q09">Tags_ols!$AZ$147</definedName>
    <definedName name="OCASS_1Q10" localSheetId="10">Tags!$BE$147</definedName>
    <definedName name="OCASS_1Q10">Tags_ols!$BE$147</definedName>
    <definedName name="OCASS_1Q11" localSheetId="10">Tags!$BJ$147</definedName>
    <definedName name="OCASS_1Q11">Tags_ols!$BJ$147</definedName>
    <definedName name="OCASS_1Q12" localSheetId="10">Tags!$BO$147</definedName>
    <definedName name="OCASS_1Q12">Tags_ols!$BO$147</definedName>
    <definedName name="OCASS_1Q13" localSheetId="10">Tags!$BT$147</definedName>
    <definedName name="OCASS_1Q13">Tags_ols!$BT$147</definedName>
    <definedName name="OCASS_1Q14" localSheetId="10">Tags!$BY$147</definedName>
    <definedName name="OCASS_1Q14">Tags_ols!$BY$147</definedName>
    <definedName name="OCASS_1Q15" localSheetId="10">Tags!$CD$147</definedName>
    <definedName name="OCASS_1Q15">Tags_ols!$CD$147</definedName>
    <definedName name="OCASS_1Q16" localSheetId="10">Tags!$CI$147</definedName>
    <definedName name="OCASS_1Q16">Tags_ols!$CI$147</definedName>
    <definedName name="OCASS_1Q17" localSheetId="10">Tags!$CN$147</definedName>
    <definedName name="OCASS_1Q17">Tags_ols!$CN$147</definedName>
    <definedName name="OCASS_1Q18" localSheetId="10">Tags!$CS$147</definedName>
    <definedName name="OCASS_1Q18">Tags_ols!$CS$147</definedName>
    <definedName name="OCASS_1Q19" localSheetId="10">Tags!$CX$147</definedName>
    <definedName name="OCASS_1Q19">Tags_ols!$CX$147</definedName>
    <definedName name="OCASS_1Q20" localSheetId="10">Tags!$DC$147</definedName>
    <definedName name="OCASS_1Q20">Tags_ols!$DC$147</definedName>
    <definedName name="OCASS_1Q21">Tags!$DH$147</definedName>
    <definedName name="OCASS_1Q22">Tags!$DM$147</definedName>
    <definedName name="OCASS_1Q23">Tags!$DR$147</definedName>
    <definedName name="OCASS_1Q24">Tags!$DW$147</definedName>
    <definedName name="OCASS_2000" localSheetId="10">Tags!$K$147</definedName>
    <definedName name="OCASS_2000">Tags_ols!$K$147</definedName>
    <definedName name="OCASS_2001" localSheetId="10">Tags!$P$147</definedName>
    <definedName name="OCASS_2001">Tags_ols!$P$147</definedName>
    <definedName name="OCASS_2002" localSheetId="10">Tags!$U$147</definedName>
    <definedName name="OCASS_2002">Tags_ols!$U$147</definedName>
    <definedName name="OCASS_2003" localSheetId="10">Tags!$Z$147</definedName>
    <definedName name="OCASS_2003">Tags_ols!$Z$147</definedName>
    <definedName name="OCASS_2004" localSheetId="10">Tags!$AE$147</definedName>
    <definedName name="OCASS_2004">Tags_ols!$AE$147</definedName>
    <definedName name="OCASS_2005" localSheetId="10">Tags!$AJ$147</definedName>
    <definedName name="OCASS_2005">Tags_ols!$AJ$147</definedName>
    <definedName name="OCASS_2006" localSheetId="10">Tags!$AO$147</definedName>
    <definedName name="OCASS_2006">Tags_ols!$AO$147</definedName>
    <definedName name="OCASS_2007" localSheetId="10">Tags!$AT$147</definedName>
    <definedName name="OCASS_2007">Tags_ols!$AT$147</definedName>
    <definedName name="OCASS_2008" localSheetId="10">Tags!$AY$147</definedName>
    <definedName name="OCASS_2008">Tags_ols!$AY$147</definedName>
    <definedName name="OCASS_2009" localSheetId="10">Tags!$BD$147</definedName>
    <definedName name="OCASS_2009">Tags_ols!$BD$147</definedName>
    <definedName name="OCASS_2010" localSheetId="10">Tags!$BI$147</definedName>
    <definedName name="OCASS_2010">Tags_ols!$BI$147</definedName>
    <definedName name="OCASS_2011" localSheetId="10">Tags!$BN$147</definedName>
    <definedName name="OCASS_2011">Tags_ols!$BN$147</definedName>
    <definedName name="OCASS_2012" localSheetId="10">Tags!$BS$147</definedName>
    <definedName name="OCASS_2012">Tags_ols!$BS$147</definedName>
    <definedName name="OCASS_2013" localSheetId="10">Tags!$BX$147</definedName>
    <definedName name="OCASS_2013">Tags_ols!$BX$147</definedName>
    <definedName name="OCASS_2014" localSheetId="10">Tags!$CC$147</definedName>
    <definedName name="OCASS_2014">Tags_ols!$CC$147</definedName>
    <definedName name="OCASS_2015" localSheetId="10">Tags!#REF!</definedName>
    <definedName name="OCASS_2015">Tags!$CH$147</definedName>
    <definedName name="OCASS_2016" localSheetId="10">Tags!$CM$147</definedName>
    <definedName name="OCASS_2016">Tags_ols!$CM$147</definedName>
    <definedName name="OCASS_2017" localSheetId="10">Tags!$CR$147</definedName>
    <definedName name="OCASS_2017">Tags_ols!$CR$147</definedName>
    <definedName name="OCASS_2018" localSheetId="10">Tags!$CW$147</definedName>
    <definedName name="OCASS_2018">Tags_ols!$CW$147</definedName>
    <definedName name="OCASS_2019" localSheetId="10">Tags!$DB$147</definedName>
    <definedName name="OCASS_2019">Tags_ols!$DB$147</definedName>
    <definedName name="OCASS_2020" localSheetId="10">Tags!$DG$147</definedName>
    <definedName name="OCASS_2020">Tags_ols!$DG$147</definedName>
    <definedName name="OCASS_2021">Tags!$DL$147</definedName>
    <definedName name="OCASS_2022">Tags!$DQ$147</definedName>
    <definedName name="OCASS_2023">Tags!$DV$147</definedName>
    <definedName name="OCASS_2024">Tags!$EA$147</definedName>
    <definedName name="OCASS_2Q00" localSheetId="10">Tags!$H$147</definedName>
    <definedName name="OCASS_2Q00">Tags_ols!$H$147</definedName>
    <definedName name="OCASS_2Q01" localSheetId="10">Tags!$M$147</definedName>
    <definedName name="OCASS_2Q01">Tags_ols!$M$147</definedName>
    <definedName name="OCASS_2Q02" localSheetId="10">Tags!$R$147</definedName>
    <definedName name="OCASS_2Q02">Tags_ols!$R$147</definedName>
    <definedName name="OCASS_2Q03" localSheetId="10">Tags!$W$147</definedName>
    <definedName name="OCASS_2Q03">Tags_ols!$W$147</definedName>
    <definedName name="OCASS_2Q04" localSheetId="10">Tags!$AB$147</definedName>
    <definedName name="OCASS_2Q04">Tags_ols!$AB$147</definedName>
    <definedName name="OCASS_2Q05" localSheetId="10">Tags!$AG$147</definedName>
    <definedName name="OCASS_2Q05">Tags_ols!$AG$147</definedName>
    <definedName name="OCASS_2Q06" localSheetId="10">Tags!$AL$147</definedName>
    <definedName name="OCASS_2Q06">Tags_ols!$AL$147</definedName>
    <definedName name="OCASS_2Q07" localSheetId="10">Tags!$AQ$147</definedName>
    <definedName name="OCASS_2Q07">Tags_ols!$AQ$147</definedName>
    <definedName name="OCASS_2Q08" localSheetId="10">Tags!$AV$147</definedName>
    <definedName name="OCASS_2Q08">Tags_ols!$AV$147</definedName>
    <definedName name="OCASS_2Q09" localSheetId="10">Tags!$BA$147</definedName>
    <definedName name="OCASS_2Q09">Tags_ols!$BA$147</definedName>
    <definedName name="OCASS_2Q10" localSheetId="10">Tags!$BF$147</definedName>
    <definedName name="OCASS_2Q10">Tags_ols!$BF$147</definedName>
    <definedName name="OCASS_2Q11" localSheetId="10">Tags!$BK$147</definedName>
    <definedName name="OCASS_2Q11">Tags_ols!$BK$147</definedName>
    <definedName name="OCASS_2Q12" localSheetId="10">Tags!$BP$147</definedName>
    <definedName name="OCASS_2Q12">Tags_ols!$BP$147</definedName>
    <definedName name="OCASS_2Q13" localSheetId="10">Tags!$BU$147</definedName>
    <definedName name="OCASS_2Q13">Tags_ols!$BU$147</definedName>
    <definedName name="OCASS_2Q14" localSheetId="10">Tags!$BZ$147</definedName>
    <definedName name="OCASS_2Q14">Tags_ols!$BZ$147</definedName>
    <definedName name="OCASS_2Q15" localSheetId="10">Tags!$CE$147</definedName>
    <definedName name="OCASS_2Q15">Tags_ols!$CE$147</definedName>
    <definedName name="OCASS_2Q16" localSheetId="10">Tags!$CJ$147</definedName>
    <definedName name="OCASS_2Q16">Tags_ols!$CJ$147</definedName>
    <definedName name="OCASS_2Q17" localSheetId="10">Tags!$CO$147</definedName>
    <definedName name="OCASS_2Q17">Tags_ols!$CO$147</definedName>
    <definedName name="OCASS_2Q18" localSheetId="10">Tags!$CT$147</definedName>
    <definedName name="OCASS_2Q18">Tags_ols!$CT$147</definedName>
    <definedName name="OCASS_2Q19" localSheetId="10">Tags!$CY$147</definedName>
    <definedName name="OCASS_2Q19">Tags_ols!$CY$147</definedName>
    <definedName name="OCASS_2Q20" localSheetId="10">Tags!$DD$147</definedName>
    <definedName name="OCASS_2Q20">Tags_ols!$DD$147</definedName>
    <definedName name="OCASS_2Q21">Tags!$DI$147</definedName>
    <definedName name="OCASS_2Q22">Tags!$DN$147</definedName>
    <definedName name="OCASS_2Q23">Tags!$DS$147</definedName>
    <definedName name="OCASS_2Q24">Tags!$DX$147</definedName>
    <definedName name="OCASS_3Q00" localSheetId="10">Tags!$I$147</definedName>
    <definedName name="OCASS_3Q00">Tags_ols!$I$147</definedName>
    <definedName name="OCASS_3Q01" localSheetId="10">Tags!$N$147</definedName>
    <definedName name="OCASS_3Q01">Tags_ols!$N$147</definedName>
    <definedName name="OCASS_3Q02" localSheetId="10">Tags!$S$147</definedName>
    <definedName name="OCASS_3Q02">Tags_ols!$S$147</definedName>
    <definedName name="OCASS_3Q03" localSheetId="10">Tags!$X$147</definedName>
    <definedName name="OCASS_3Q03">Tags_ols!$X$147</definedName>
    <definedName name="OCASS_3Q04" localSheetId="10">Tags!$AC$147</definedName>
    <definedName name="OCASS_3Q04">Tags_ols!$AC$147</definedName>
    <definedName name="OCASS_3Q05" localSheetId="10">Tags!$AH$147</definedName>
    <definedName name="OCASS_3Q05">Tags_ols!$AH$147</definedName>
    <definedName name="OCASS_3Q06" localSheetId="10">Tags!$AM$147</definedName>
    <definedName name="OCASS_3Q06">Tags_ols!$AM$147</definedName>
    <definedName name="OCASS_3Q07" localSheetId="10">Tags!$AR$147</definedName>
    <definedName name="OCASS_3Q07">Tags_ols!$AR$147</definedName>
    <definedName name="OCASS_3Q08" localSheetId="10">Tags!$AW$147</definedName>
    <definedName name="OCASS_3Q08">Tags_ols!$AW$147</definedName>
    <definedName name="OCASS_3Q09" localSheetId="10">Tags!$BB$147</definedName>
    <definedName name="OCASS_3Q09">Tags_ols!$BB$147</definedName>
    <definedName name="OCASS_3Q10" localSheetId="10">Tags!$BG$147</definedName>
    <definedName name="OCASS_3Q10">Tags_ols!$BG$147</definedName>
    <definedName name="OCASS_3Q11" localSheetId="10">Tags!$BL$147</definedName>
    <definedName name="OCASS_3Q11">Tags_ols!$BL$147</definedName>
    <definedName name="OCASS_3Q12" localSheetId="10">Tags!$BQ$147</definedName>
    <definedName name="OCASS_3Q12">Tags_ols!$BQ$147</definedName>
    <definedName name="OCASS_3Q13" localSheetId="10">Tags!$BV$147</definedName>
    <definedName name="OCASS_3Q13">Tags_ols!$BV$147</definedName>
    <definedName name="OCASS_3Q14" localSheetId="10">Tags!$CA$147</definedName>
    <definedName name="OCASS_3Q14">Tags_ols!$CA$147</definedName>
    <definedName name="OCASS_3Q15" localSheetId="10">Tags!$CF$147</definedName>
    <definedName name="OCASS_3Q15">Tags_ols!$CF$147</definedName>
    <definedName name="OCASS_3Q16" localSheetId="10">Tags!$CK$147</definedName>
    <definedName name="OCASS_3Q16">Tags_ols!$CK$147</definedName>
    <definedName name="OCASS_3Q17" localSheetId="10">Tags!$CP$147</definedName>
    <definedName name="OCASS_3Q17">Tags_ols!$CP$147</definedName>
    <definedName name="OCASS_3Q18" localSheetId="10">Tags!$CU$147</definedName>
    <definedName name="OCASS_3Q18">Tags_ols!$CU$147</definedName>
    <definedName name="OCASS_3Q19" localSheetId="10">Tags!$CZ$147</definedName>
    <definedName name="OCASS_3Q19">Tags_ols!$CZ$147</definedName>
    <definedName name="OCASS_3Q20" localSheetId="10">Tags!$DE$147</definedName>
    <definedName name="OCASS_3Q20">Tags_ols!$DE$147</definedName>
    <definedName name="OCASS_3Q21">Tags!$DJ$147</definedName>
    <definedName name="OCASS_3Q22">Tags!$DO$147</definedName>
    <definedName name="OCASS_3Q23">Tags!$DT$147</definedName>
    <definedName name="OCASS_3Q24">Tags!$DY$147</definedName>
    <definedName name="OCASS_4Q00" localSheetId="10">Tags!$J$147</definedName>
    <definedName name="OCASS_4Q00">Tags_ols!$J$147</definedName>
    <definedName name="OCASS_4Q01" localSheetId="10">Tags!$O$147</definedName>
    <definedName name="OCASS_4Q01">Tags_ols!$O$147</definedName>
    <definedName name="OCASS_4Q02" localSheetId="10">Tags!$T$147</definedName>
    <definedName name="OCASS_4Q02">Tags_ols!$T$147</definedName>
    <definedName name="OCASS_4Q03" localSheetId="10">Tags!$Y$147</definedName>
    <definedName name="OCASS_4Q03">Tags_ols!$Y$147</definedName>
    <definedName name="OCASS_4Q04" localSheetId="10">Tags!$AD$147</definedName>
    <definedName name="OCASS_4Q04">Tags_ols!$AD$147</definedName>
    <definedName name="OCASS_4Q05" localSheetId="10">Tags!$AI$147</definedName>
    <definedName name="OCASS_4Q05">Tags_ols!$AI$147</definedName>
    <definedName name="OCASS_4Q06" localSheetId="10">Tags!$AN$147</definedName>
    <definedName name="OCASS_4Q06">Tags_ols!$AN$147</definedName>
    <definedName name="OCASS_4Q07" localSheetId="10">Tags!$AS$147</definedName>
    <definedName name="OCASS_4Q07">Tags_ols!$AS$147</definedName>
    <definedName name="OCASS_4Q08" localSheetId="10">Tags!$AX$147</definedName>
    <definedName name="OCASS_4Q08">Tags_ols!$AX$147</definedName>
    <definedName name="OCASS_4Q09" localSheetId="10">Tags!$BC$147</definedName>
    <definedName name="OCASS_4Q09">Tags_ols!$BC$147</definedName>
    <definedName name="OCASS_4Q10" localSheetId="10">Tags!$BH$147</definedName>
    <definedName name="OCASS_4Q10">Tags_ols!$BH$147</definedName>
    <definedName name="OCASS_4Q11" localSheetId="10">Tags!$BM$147</definedName>
    <definedName name="OCASS_4Q11">Tags_ols!$BM$147</definedName>
    <definedName name="OCASS_4Q12" localSheetId="10">Tags!$BR$147</definedName>
    <definedName name="OCASS_4Q12">Tags_ols!$BR$147</definedName>
    <definedName name="OCASS_4Q13" localSheetId="10">Tags!$BW$147</definedName>
    <definedName name="OCASS_4Q13">Tags_ols!$BW$147</definedName>
    <definedName name="OCASS_4Q14" localSheetId="10">Tags!$CB$147</definedName>
    <definedName name="OCASS_4Q14">Tags_ols!$CB$147</definedName>
    <definedName name="OCASS_4Q15" localSheetId="10">Tags!$CG$147</definedName>
    <definedName name="OCASS_4Q15">Tags_ols!$CG$147</definedName>
    <definedName name="OCASS_4Q16" localSheetId="10">Tags!$CL$147</definedName>
    <definedName name="OCASS_4Q16">Tags_ols!$CL$147</definedName>
    <definedName name="OCASS_4Q17" localSheetId="10">Tags!$CQ$147</definedName>
    <definedName name="OCASS_4Q17">Tags_ols!$CQ$147</definedName>
    <definedName name="OCASS_4Q18" localSheetId="10">Tags!$CV$147</definedName>
    <definedName name="OCASS_4Q18">Tags_ols!$CV$147</definedName>
    <definedName name="OCASS_4Q19" localSheetId="10">Tags!$DA$147</definedName>
    <definedName name="OCASS_4Q19">Tags_ols!$DA$147</definedName>
    <definedName name="OCASS_4Q20" localSheetId="10">Tags!$DF$147</definedName>
    <definedName name="OCASS_4Q20">Tags_ols!$DF$147</definedName>
    <definedName name="OCASS_4Q21">Tags!$DK$147</definedName>
    <definedName name="OCASS_4Q22">Tags!$DP$147</definedName>
    <definedName name="OCASS_4Q23">Tags!$DU$147</definedName>
    <definedName name="OCASS_4Q24">Tags!$DZ$147</definedName>
    <definedName name="OIFA_1995">Tags_ols!$B$153</definedName>
    <definedName name="OIFA_1996">Tags_ols!$C$153</definedName>
    <definedName name="OIFA_1997">Tags_ols!$D$153</definedName>
    <definedName name="OIFA_1998">Tags_ols!$E$153</definedName>
    <definedName name="OIFA_1999">Tags_ols!$F$153</definedName>
    <definedName name="OIFA_1Q00" localSheetId="10">Tags!$G$153</definedName>
    <definedName name="OIFA_1Q00">Tags_ols!$G$153</definedName>
    <definedName name="OIFA_1Q01" localSheetId="10">Tags!$L$153</definedName>
    <definedName name="OIFA_1Q01">Tags_ols!$L$153</definedName>
    <definedName name="OIFA_1Q02" localSheetId="10">Tags!$Q$153</definedName>
    <definedName name="OIFA_1Q02">Tags_ols!$Q$153</definedName>
    <definedName name="OIFA_1Q03" localSheetId="10">Tags!$V$153</definedName>
    <definedName name="OIFA_1Q03">Tags_ols!$V$153</definedName>
    <definedName name="OIFA_1Q04" localSheetId="10">Tags!$AA$153</definedName>
    <definedName name="OIFA_1Q04">Tags_ols!$AA$153</definedName>
    <definedName name="OIFA_1Q05" localSheetId="10">Tags!$AF$153</definedName>
    <definedName name="OIFA_1Q05">Tags_ols!$AF$153</definedName>
    <definedName name="OIFA_1Q06" localSheetId="10">Tags!$AK$153</definedName>
    <definedName name="OIFA_1Q06">Tags_ols!$AK$153</definedName>
    <definedName name="OIFA_1Q07" localSheetId="10">Tags!$AP$153</definedName>
    <definedName name="OIFA_1Q07">Tags_ols!$AP$153</definedName>
    <definedName name="OIFA_1Q08" localSheetId="10">Tags!$AU$153</definedName>
    <definedName name="OIFA_1Q08">Tags_ols!$AU$153</definedName>
    <definedName name="OIFA_1Q09" localSheetId="10">Tags!$AZ$153</definedName>
    <definedName name="OIFA_1Q09">Tags_ols!$AZ$153</definedName>
    <definedName name="OIFA_1Q10" localSheetId="10">Tags!$BE$153</definedName>
    <definedName name="OIFA_1Q10">Tags_ols!$BE$153</definedName>
    <definedName name="OIFA_1Q11" localSheetId="10">Tags!$BJ$153</definedName>
    <definedName name="OIFA_1Q11">Tags_ols!$BJ$153</definedName>
    <definedName name="OIFA_1Q12" localSheetId="10">Tags!$BO$153</definedName>
    <definedName name="OIFA_1Q12">Tags_ols!$BO$153</definedName>
    <definedName name="OIFA_1Q13" localSheetId="10">Tags!$BT$153</definedName>
    <definedName name="OIFA_1Q13">Tags_ols!$BT$153</definedName>
    <definedName name="OIFA_1Q14" localSheetId="10">Tags!$BY$153</definedName>
    <definedName name="OIFA_1Q14">Tags_ols!$BY$153</definedName>
    <definedName name="OIFA_1Q15" localSheetId="10">Tags!$CD$153</definedName>
    <definedName name="OIFA_1Q15">Tags_ols!$CD$153</definedName>
    <definedName name="OIFA_1Q16" localSheetId="10">Tags!$CI$153</definedName>
    <definedName name="OIFA_1Q16">Tags_ols!$CI$153</definedName>
    <definedName name="OIFA_1Q17" localSheetId="10">Tags!$CN$153</definedName>
    <definedName name="OIFA_1Q17">Tags_ols!$CN$153</definedName>
    <definedName name="OIFA_1Q18" localSheetId="10">Tags!$CS$153</definedName>
    <definedName name="OIFA_1Q18">Tags_ols!$CS$153</definedName>
    <definedName name="OIFA_1Q19" localSheetId="10">Tags!$CX$153</definedName>
    <definedName name="OIFA_1Q19">Tags_ols!$CX$153</definedName>
    <definedName name="OIFA_1Q20" localSheetId="10">Tags!$DC$153</definedName>
    <definedName name="OIFA_1Q20">Tags_ols!$DC$153</definedName>
    <definedName name="OIFA_1Q21">Tags!$DH$153</definedName>
    <definedName name="OIFA_1Q22">Tags!$DM$153</definedName>
    <definedName name="OIFA_1Q23">Tags!$DR$153</definedName>
    <definedName name="OIFA_1Q24">Tags!$DW$153</definedName>
    <definedName name="OIFA_2000" localSheetId="10">Tags!$K$153</definedName>
    <definedName name="OIFA_2000">Tags_ols!$K$153</definedName>
    <definedName name="OIFA_2001" localSheetId="10">Tags!$P$153</definedName>
    <definedName name="OIFA_2001">Tags_ols!$P$153</definedName>
    <definedName name="OIFA_2002" localSheetId="10">Tags!$U$153</definedName>
    <definedName name="OIFA_2002">Tags_ols!$U$153</definedName>
    <definedName name="OIFA_2003" localSheetId="10">Tags!$Z$153</definedName>
    <definedName name="OIFA_2003">Tags_ols!$Z$153</definedName>
    <definedName name="OIFA_2004" localSheetId="10">Tags!$AE$153</definedName>
    <definedName name="OIFA_2004">Tags_ols!$AE$153</definedName>
    <definedName name="OIFA_2005" localSheetId="10">Tags!$AJ$153</definedName>
    <definedName name="OIFA_2005">Tags_ols!$AJ$153</definedName>
    <definedName name="OIFA_2006" localSheetId="10">Tags!$AO$153</definedName>
    <definedName name="OIFA_2006">Tags_ols!$AO$153</definedName>
    <definedName name="OIFA_2007" localSheetId="10">Tags!$AT$153</definedName>
    <definedName name="OIFA_2007">Tags_ols!$AT$153</definedName>
    <definedName name="OIFA_2008" localSheetId="10">Tags!$AY$153</definedName>
    <definedName name="OIFA_2008">Tags_ols!$AY$153</definedName>
    <definedName name="OIFA_2009" localSheetId="10">Tags!$BD$153</definedName>
    <definedName name="OIFA_2009">Tags_ols!$BD$153</definedName>
    <definedName name="OIFA_2010" localSheetId="10">Tags!$BI$153</definedName>
    <definedName name="OIFA_2010">Tags_ols!$BI$153</definedName>
    <definedName name="OIFA_2011" localSheetId="10">Tags!$BN$153</definedName>
    <definedName name="OIFA_2011">Tags_ols!$BN$153</definedName>
    <definedName name="OIFA_2012" localSheetId="10">Tags!$BS$153</definedName>
    <definedName name="OIFA_2012">Tags_ols!$BS$153</definedName>
    <definedName name="OIFA_2013" localSheetId="10">Tags!$BX$153</definedName>
    <definedName name="OIFA_2013">Tags_ols!$BX$153</definedName>
    <definedName name="OIFA_2014" localSheetId="10">Tags!$CC$153</definedName>
    <definedName name="OIFA_2014">Tags_ols!$CC$153</definedName>
    <definedName name="OIFA_2015" localSheetId="10">Tags!#REF!</definedName>
    <definedName name="OIFA_2015">Tags!$CH$153</definedName>
    <definedName name="OIFA_2016" localSheetId="10">Tags!$CM$153</definedName>
    <definedName name="OIFA_2016">Tags_ols!$CM$153</definedName>
    <definedName name="OIFA_2017" localSheetId="10">Tags!$CR$153</definedName>
    <definedName name="OIFA_2017">Tags_ols!$CR$153</definedName>
    <definedName name="OIFA_2018" localSheetId="10">Tags!$CW$153</definedName>
    <definedName name="OIFA_2018">Tags_ols!$CW$153</definedName>
    <definedName name="OIFA_2019" localSheetId="10">Tags!$DB$153</definedName>
    <definedName name="OIFA_2019">Tags_ols!$DB$153</definedName>
    <definedName name="OIFA_2020" localSheetId="10">Tags!$DG$153</definedName>
    <definedName name="OIFA_2020">Tags_ols!$DG$153</definedName>
    <definedName name="OIFA_2021">Tags!$DL$153</definedName>
    <definedName name="OIFA_2022">Tags!$DQ$153</definedName>
    <definedName name="OIFA_2023">Tags!$DV$153</definedName>
    <definedName name="OIFA_2024">Tags!$EA$153</definedName>
    <definedName name="OIFA_2Q00" localSheetId="10">Tags!$H$153</definedName>
    <definedName name="OIFA_2Q00">Tags_ols!$H$153</definedName>
    <definedName name="OIFA_2Q01" localSheetId="10">Tags!$M$153</definedName>
    <definedName name="OIFA_2Q01">Tags_ols!$M$153</definedName>
    <definedName name="OIFA_2Q02" localSheetId="10">Tags!$R$153</definedName>
    <definedName name="OIFA_2Q02">Tags_ols!$R$153</definedName>
    <definedName name="OIFA_2Q03" localSheetId="10">Tags!$W$153</definedName>
    <definedName name="OIFA_2Q03">Tags_ols!$W$153</definedName>
    <definedName name="OIFA_2Q04" localSheetId="10">Tags!$AB$153</definedName>
    <definedName name="OIFA_2Q04">Tags_ols!$AB$153</definedName>
    <definedName name="OIFA_2Q05" localSheetId="10">Tags!$AG$153</definedName>
    <definedName name="OIFA_2Q05">Tags_ols!$AG$153</definedName>
    <definedName name="OIFA_2Q06" localSheetId="10">Tags!$AL$153</definedName>
    <definedName name="OIFA_2Q06">Tags_ols!$AL$153</definedName>
    <definedName name="OIFA_2Q07" localSheetId="10">Tags!$AQ$153</definedName>
    <definedName name="OIFA_2Q07">Tags_ols!$AQ$153</definedName>
    <definedName name="OIFA_2Q08" localSheetId="10">Tags!$AV$153</definedName>
    <definedName name="OIFA_2Q08">Tags_ols!$AV$153</definedName>
    <definedName name="OIFA_2Q09" localSheetId="10">Tags!$BA$153</definedName>
    <definedName name="OIFA_2Q09">Tags_ols!$BA$153</definedName>
    <definedName name="OIFA_2Q10" localSheetId="10">Tags!$BF$153</definedName>
    <definedName name="OIFA_2Q10">Tags_ols!$BF$153</definedName>
    <definedName name="OIFA_2Q11" localSheetId="10">Tags!$BK$153</definedName>
    <definedName name="OIFA_2Q11">Tags_ols!$BK$153</definedName>
    <definedName name="OIFA_2Q12" localSheetId="10">Tags!$BP$153</definedName>
    <definedName name="OIFA_2Q12">Tags_ols!$BP$153</definedName>
    <definedName name="OIFA_2Q13" localSheetId="10">Tags!$BU$153</definedName>
    <definedName name="OIFA_2Q13">Tags_ols!$BU$153</definedName>
    <definedName name="OIFA_2Q14" localSheetId="10">Tags!$BZ$153</definedName>
    <definedName name="OIFA_2Q14">Tags_ols!$BZ$153</definedName>
    <definedName name="OIFA_2Q15" localSheetId="10">Tags!$CE$153</definedName>
    <definedName name="OIFA_2Q15">Tags_ols!$CE$153</definedName>
    <definedName name="OIFA_2Q16" localSheetId="10">Tags!$CJ$153</definedName>
    <definedName name="OIFA_2Q16">Tags_ols!$CJ$153</definedName>
    <definedName name="OIFA_2Q17" localSheetId="10">Tags!$CO$153</definedName>
    <definedName name="OIFA_2Q17">Tags_ols!$CO$153</definedName>
    <definedName name="OIFA_2Q18" localSheetId="10">Tags!$CT$153</definedName>
    <definedName name="OIFA_2Q18">Tags_ols!$CT$153</definedName>
    <definedName name="OIFA_2Q19" localSheetId="10">Tags!$CY$153</definedName>
    <definedName name="OIFA_2Q19">Tags_ols!$CY$153</definedName>
    <definedName name="OIFA_2Q20" localSheetId="10">Tags!$DD$153</definedName>
    <definedName name="OIFA_2Q20">Tags_ols!$DD$153</definedName>
    <definedName name="OIFA_2Q21">Tags!$DI$153</definedName>
    <definedName name="OIFA_2Q22">Tags!$DN$153</definedName>
    <definedName name="OIFA_2Q23">Tags!$DS$153</definedName>
    <definedName name="OIFA_2Q24">Tags!$DX$153</definedName>
    <definedName name="OIFA_3Q00" localSheetId="10">Tags!$I$153</definedName>
    <definedName name="OIFA_3Q00">Tags_ols!$I$153</definedName>
    <definedName name="OIFA_3Q01" localSheetId="10">Tags!$N$153</definedName>
    <definedName name="OIFA_3Q01">Tags_ols!$N$153</definedName>
    <definedName name="OIFA_3Q02" localSheetId="10">Tags!$S$153</definedName>
    <definedName name="OIFA_3Q02">Tags_ols!$S$153</definedName>
    <definedName name="OIFA_3Q03" localSheetId="10">Tags!$X$153</definedName>
    <definedName name="OIFA_3Q03">Tags_ols!$X$153</definedName>
    <definedName name="OIFA_3Q04" localSheetId="10">Tags!$AC$153</definedName>
    <definedName name="OIFA_3Q04">Tags_ols!$AC$153</definedName>
    <definedName name="OIFA_3Q05" localSheetId="10">Tags!$AH$153</definedName>
    <definedName name="OIFA_3Q05">Tags_ols!$AH$153</definedName>
    <definedName name="OIFA_3Q06" localSheetId="10">Tags!$AM$153</definedName>
    <definedName name="OIFA_3Q06">Tags_ols!$AM$153</definedName>
    <definedName name="OIFA_3Q07" localSheetId="10">Tags!$AR$153</definedName>
    <definedName name="OIFA_3Q07">Tags_ols!$AR$153</definedName>
    <definedName name="OIFA_3Q08" localSheetId="10">Tags!$AW$153</definedName>
    <definedName name="OIFA_3Q08">Tags_ols!$AW$153</definedName>
    <definedName name="OIFA_3Q09" localSheetId="10">Tags!$BB$153</definedName>
    <definedName name="OIFA_3Q09">Tags_ols!$BB$153</definedName>
    <definedName name="OIFA_3Q10" localSheetId="10">Tags!$BG$153</definedName>
    <definedName name="OIFA_3Q10">Tags_ols!$BG$153</definedName>
    <definedName name="OIFA_3Q11" localSheetId="10">Tags!$BL$153</definedName>
    <definedName name="OIFA_3Q11">Tags_ols!$BL$153</definedName>
    <definedName name="OIFA_3Q12" localSheetId="10">Tags!$BQ$153</definedName>
    <definedName name="OIFA_3Q12">Tags_ols!$BQ$153</definedName>
    <definedName name="OIFA_3Q13" localSheetId="10">Tags!$BV$153</definedName>
    <definedName name="OIFA_3Q13">Tags_ols!$BV$153</definedName>
    <definedName name="OIFA_3Q14" localSheetId="10">Tags!$CA$153</definedName>
    <definedName name="OIFA_3Q14">Tags_ols!$CA$153</definedName>
    <definedName name="OIFA_3Q15" localSheetId="10">Tags!$CF$153</definedName>
    <definedName name="OIFA_3Q15">Tags_ols!$CF$153</definedName>
    <definedName name="OIFA_3Q16" localSheetId="10">Tags!$CK$153</definedName>
    <definedName name="OIFA_3Q16">Tags_ols!$CK$153</definedName>
    <definedName name="OIFA_3Q17" localSheetId="10">Tags!$CP$153</definedName>
    <definedName name="OIFA_3Q17">Tags_ols!$CP$153</definedName>
    <definedName name="OIFA_3Q18" localSheetId="10">Tags!$CU$153</definedName>
    <definedName name="OIFA_3Q18">Tags_ols!$CU$153</definedName>
    <definedName name="OIFA_3Q19" localSheetId="10">Tags!$CZ$153</definedName>
    <definedName name="OIFA_3Q19">Tags_ols!$CZ$153</definedName>
    <definedName name="OIFA_3Q20" localSheetId="10">Tags!$DE$153</definedName>
    <definedName name="OIFA_3Q20">Tags_ols!$DE$153</definedName>
    <definedName name="OIFA_3Q21">Tags!$DJ$153</definedName>
    <definedName name="OIFA_3Q22">Tags!$DO$153</definedName>
    <definedName name="OIFA_3Q23">Tags!$DT$153</definedName>
    <definedName name="OIFA_3Q24">Tags!$DY$153</definedName>
    <definedName name="OIFA_4Q00" localSheetId="10">Tags!$J$153</definedName>
    <definedName name="OIFA_4Q00">Tags_ols!$J$153</definedName>
    <definedName name="OIFA_4Q01" localSheetId="10">Tags!$O$153</definedName>
    <definedName name="OIFA_4Q01">Tags_ols!$O$153</definedName>
    <definedName name="OIFA_4Q02" localSheetId="10">Tags!$T$153</definedName>
    <definedName name="OIFA_4Q02">Tags_ols!$T$153</definedName>
    <definedName name="OIFA_4Q03" localSheetId="10">Tags!$Y$153</definedName>
    <definedName name="OIFA_4Q03">Tags_ols!$Y$153</definedName>
    <definedName name="OIFA_4Q04" localSheetId="10">Tags!$AD$153</definedName>
    <definedName name="OIFA_4Q04">Tags_ols!$AD$153</definedName>
    <definedName name="OIFA_4Q05" localSheetId="10">Tags!$AI$153</definedName>
    <definedName name="OIFA_4Q05">Tags_ols!$AI$153</definedName>
    <definedName name="OIFA_4Q06" localSheetId="10">Tags!$AN$153</definedName>
    <definedName name="OIFA_4Q06">Tags_ols!$AN$153</definedName>
    <definedName name="OIFA_4Q07" localSheetId="10">Tags!$AS$153</definedName>
    <definedName name="OIFA_4Q07">Tags_ols!$AS$153</definedName>
    <definedName name="OIFA_4Q08" localSheetId="10">Tags!$AX$153</definedName>
    <definedName name="OIFA_4Q08">Tags_ols!$AX$153</definedName>
    <definedName name="OIFA_4Q09" localSheetId="10">Tags!$BC$153</definedName>
    <definedName name="OIFA_4Q09">Tags_ols!$BC$153</definedName>
    <definedName name="OIFA_4Q10" localSheetId="10">Tags!$BH$153</definedName>
    <definedName name="OIFA_4Q10">Tags_ols!$BH$153</definedName>
    <definedName name="OIFA_4Q11" localSheetId="10">Tags!$BM$153</definedName>
    <definedName name="OIFA_4Q11">Tags_ols!$BM$153</definedName>
    <definedName name="OIFA_4Q12" localSheetId="10">Tags!$BR$153</definedName>
    <definedName name="OIFA_4Q12">Tags_ols!$BR$153</definedName>
    <definedName name="OIFA_4Q13" localSheetId="10">Tags!$BW$153</definedName>
    <definedName name="OIFA_4Q13">Tags_ols!$BW$153</definedName>
    <definedName name="OIFA_4Q14" localSheetId="10">Tags!$CB$153</definedName>
    <definedName name="OIFA_4Q14">Tags_ols!$CB$153</definedName>
    <definedName name="OIFA_4Q15" localSheetId="10">Tags!$CG$153</definedName>
    <definedName name="OIFA_4Q15">Tags_ols!$CG$153</definedName>
    <definedName name="OIFA_4Q16" localSheetId="10">Tags!$CL$153</definedName>
    <definedName name="OIFA_4Q16">Tags_ols!$CL$153</definedName>
    <definedName name="OIFA_4Q17" localSheetId="10">Tags!$CQ$153</definedName>
    <definedName name="OIFA_4Q17">Tags_ols!$CQ$153</definedName>
    <definedName name="OIFA_4Q18" localSheetId="10">Tags!$CV$153</definedName>
    <definedName name="OIFA_4Q18">Tags_ols!$CV$153</definedName>
    <definedName name="OIFA_4Q19" localSheetId="10">Tags!$DA$153</definedName>
    <definedName name="OIFA_4Q19">Tags_ols!$DA$153</definedName>
    <definedName name="OIFA_4Q20" localSheetId="10">Tags!$DF$153</definedName>
    <definedName name="OIFA_4Q20">Tags_ols!$DF$153</definedName>
    <definedName name="OIFA_4Q21">Tags!$DK$153</definedName>
    <definedName name="OIFA_4Q22">Tags!$DP$153</definedName>
    <definedName name="OIFA_4Q23">Tags!$DU$153</definedName>
    <definedName name="OIFA_4Q24">Tags!$DZ$153</definedName>
    <definedName name="OLEChartName">#REF!</definedName>
    <definedName name="OLEPosition">#REF!</definedName>
    <definedName name="OLTL_1995">Tags_ols!$B$168</definedName>
    <definedName name="OLTL_1996">Tags_ols!$C$168</definedName>
    <definedName name="OLTL_1997">Tags_ols!$D$168</definedName>
    <definedName name="OLTL_1998">Tags_ols!$E$168</definedName>
    <definedName name="OLTL_1999">Tags_ols!$F$168</definedName>
    <definedName name="OLTL_1Q00" localSheetId="10">Tags!$G$168</definedName>
    <definedName name="OLTL_1Q00">Tags_ols!$G$168</definedName>
    <definedName name="OLTL_1Q01" localSheetId="10">Tags!$L$168</definedName>
    <definedName name="OLTL_1Q01">Tags_ols!$L$168</definedName>
    <definedName name="OLTL_1Q02" localSheetId="10">Tags!$Q$168</definedName>
    <definedName name="OLTL_1Q02">Tags_ols!$Q$168</definedName>
    <definedName name="OLTL_1Q03" localSheetId="10">Tags!$V$168</definedName>
    <definedName name="OLTL_1Q03">Tags_ols!$V$168</definedName>
    <definedName name="OLTL_1Q04" localSheetId="10">Tags!$AA$168</definedName>
    <definedName name="OLTL_1Q04">Tags_ols!$AA$168</definedName>
    <definedName name="OLTL_1Q05" localSheetId="10">Tags!$AF$168</definedName>
    <definedName name="OLTL_1Q05">Tags_ols!$AF$168</definedName>
    <definedName name="OLTL_1Q06" localSheetId="10">Tags!$AK$168</definedName>
    <definedName name="OLTL_1Q06">Tags_ols!$AK$168</definedName>
    <definedName name="OLTL_1Q07" localSheetId="10">Tags!$AP$168</definedName>
    <definedName name="OLTL_1Q07">Tags_ols!$AP$168</definedName>
    <definedName name="OLTL_1Q08" localSheetId="10">Tags!$AU$168</definedName>
    <definedName name="OLTL_1Q08">Tags_ols!$AU$168</definedName>
    <definedName name="OLTL_1Q09" localSheetId="10">Tags!$AZ$168</definedName>
    <definedName name="OLTL_1Q09">Tags_ols!$AZ$168</definedName>
    <definedName name="OLTL_1Q10" localSheetId="10">Tags!$BE$168</definedName>
    <definedName name="OLTL_1Q10">Tags_ols!$BE$168</definedName>
    <definedName name="OLTL_1Q11" localSheetId="10">Tags!$BJ$168</definedName>
    <definedName name="OLTL_1Q11">Tags_ols!$BJ$168</definedName>
    <definedName name="OLTL_1Q12" localSheetId="10">Tags!$BO$168</definedName>
    <definedName name="OLTL_1Q12">Tags_ols!$BO$168</definedName>
    <definedName name="OLTL_1Q13" localSheetId="10">Tags!$BT$168</definedName>
    <definedName name="OLTL_1Q13">Tags_ols!$BT$168</definedName>
    <definedName name="OLTL_1Q14" localSheetId="10">Tags!$BY$168</definedName>
    <definedName name="OLTL_1Q14">Tags_ols!$BY$168</definedName>
    <definedName name="OLTL_1Q15" localSheetId="10">Tags!$CD$168</definedName>
    <definedName name="OLTL_1Q15">Tags_ols!$CD$168</definedName>
    <definedName name="OLTL_1Q16" localSheetId="10">Tags!$CI$168</definedName>
    <definedName name="OLTL_1Q16">Tags_ols!$CI$168</definedName>
    <definedName name="OLTL_1Q17" localSheetId="10">Tags!$CN$168</definedName>
    <definedName name="OLTL_1Q17">Tags_ols!$CN$168</definedName>
    <definedName name="OLTL_1Q18" localSheetId="10">Tags!$CS$168</definedName>
    <definedName name="OLTL_1Q18">Tags_ols!$CS$168</definedName>
    <definedName name="OLTL_1Q19" localSheetId="10">Tags!$CX$168</definedName>
    <definedName name="OLTL_1Q19">Tags_ols!$CX$168</definedName>
    <definedName name="OLTL_1Q20" localSheetId="10">Tags!$DC$168</definedName>
    <definedName name="OLTL_1Q20">Tags_ols!$DC$168</definedName>
    <definedName name="OLTL_1Q21">Tags!$DH$168</definedName>
    <definedName name="OLTL_1Q22">Tags!$DM$168</definedName>
    <definedName name="OLTL_1Q23">Tags!$DR$168</definedName>
    <definedName name="OLTL_1Q24">Tags!$DW$168</definedName>
    <definedName name="OLTL_2000" localSheetId="10">Tags!$K$168</definedName>
    <definedName name="OLTL_2000">Tags_ols!$K$168</definedName>
    <definedName name="OLTL_2001" localSheetId="10">Tags!$P$168</definedName>
    <definedName name="OLTL_2001">Tags_ols!$P$168</definedName>
    <definedName name="OLTL_2002" localSheetId="10">Tags!$U$168</definedName>
    <definedName name="OLTL_2002">Tags_ols!$U$168</definedName>
    <definedName name="OLTL_2003" localSheetId="10">Tags!$Z$168</definedName>
    <definedName name="OLTL_2003">Tags_ols!$Z$168</definedName>
    <definedName name="OLTL_2004" localSheetId="10">Tags!$AE$168</definedName>
    <definedName name="OLTL_2004">Tags_ols!$AE$168</definedName>
    <definedName name="OLTL_2005" localSheetId="10">Tags!$AJ$168</definedName>
    <definedName name="OLTL_2005">Tags_ols!$AJ$168</definedName>
    <definedName name="OLTL_2006" localSheetId="10">Tags!$AO$168</definedName>
    <definedName name="OLTL_2006">Tags_ols!$AO$168</definedName>
    <definedName name="OLTL_2007" localSheetId="10">Tags!$AT$168</definedName>
    <definedName name="OLTL_2007">Tags_ols!$AT$168</definedName>
    <definedName name="OLTL_2008" localSheetId="10">Tags!$AY$168</definedName>
    <definedName name="OLTL_2008">Tags_ols!$AY$168</definedName>
    <definedName name="OLTL_2009" localSheetId="10">Tags!$BD$168</definedName>
    <definedName name="OLTL_2009">Tags_ols!$BD$168</definedName>
    <definedName name="OLTL_2010" localSheetId="10">Tags!$BI$168</definedName>
    <definedName name="OLTL_2010">Tags_ols!$BI$168</definedName>
    <definedName name="OLTL_2011" localSheetId="10">Tags!$BN$168</definedName>
    <definedName name="OLTL_2011">Tags_ols!$BN$168</definedName>
    <definedName name="OLTL_2012" localSheetId="10">Tags!$BS$168</definedName>
    <definedName name="OLTL_2012">Tags_ols!$BS$168</definedName>
    <definedName name="OLTL_2013" localSheetId="10">Tags!$BX$168</definedName>
    <definedName name="OLTL_2013">Tags_ols!$BX$168</definedName>
    <definedName name="OLTL_2014" localSheetId="10">Tags!$CC$168</definedName>
    <definedName name="OLTL_2014">Tags_ols!$CC$168</definedName>
    <definedName name="OLTL_2015" localSheetId="10">Tags!#REF!</definedName>
    <definedName name="OLTL_2015">Tags!$CH$168</definedName>
    <definedName name="OLTL_2016" localSheetId="10">Tags!$CM$168</definedName>
    <definedName name="OLTL_2016">Tags_ols!$CM$168</definedName>
    <definedName name="OLTL_2017" localSheetId="10">Tags!$CR$168</definedName>
    <definedName name="OLTL_2017">Tags_ols!$CR$168</definedName>
    <definedName name="OLTL_2018" localSheetId="10">Tags!$CW$168</definedName>
    <definedName name="OLTL_2018">Tags_ols!$CW$168</definedName>
    <definedName name="OLTL_2019" localSheetId="10">Tags!$DB$168</definedName>
    <definedName name="OLTL_2019">Tags_ols!$DB$168</definedName>
    <definedName name="OLTL_2020" localSheetId="10">Tags!$DG$168</definedName>
    <definedName name="OLTL_2020">Tags_ols!$DG$168</definedName>
    <definedName name="OLTL_2021">Tags!$DL$168</definedName>
    <definedName name="OLTL_2022">Tags!$DQ$168</definedName>
    <definedName name="OLTL_2023">Tags!$DV$168</definedName>
    <definedName name="OLTL_2024">Tags!$EA$168</definedName>
    <definedName name="OLTL_2Q00" localSheetId="10">Tags!$H$168</definedName>
    <definedName name="OLTL_2Q00">Tags_ols!$H$168</definedName>
    <definedName name="OLTL_2Q01" localSheetId="10">Tags!$M$168</definedName>
    <definedName name="OLTL_2Q01">Tags_ols!$M$168</definedName>
    <definedName name="OLTL_2Q02" localSheetId="10">Tags!$R$168</definedName>
    <definedName name="OLTL_2Q02">Tags_ols!$R$168</definedName>
    <definedName name="OLTL_2Q03" localSheetId="10">Tags!$W$168</definedName>
    <definedName name="OLTL_2Q03">Tags_ols!$W$168</definedName>
    <definedName name="OLTL_2Q04" localSheetId="10">Tags!$AB$168</definedName>
    <definedName name="OLTL_2Q04">Tags_ols!$AB$168</definedName>
    <definedName name="OLTL_2Q05" localSheetId="10">Tags!$AG$168</definedName>
    <definedName name="OLTL_2Q05">Tags_ols!$AG$168</definedName>
    <definedName name="OLTL_2Q06" localSheetId="10">Tags!$AL$168</definedName>
    <definedName name="OLTL_2Q06">Tags_ols!$AL$168</definedName>
    <definedName name="OLTL_2Q07" localSheetId="10">Tags!$AQ$168</definedName>
    <definedName name="OLTL_2Q07">Tags_ols!$AQ$168</definedName>
    <definedName name="OLTL_2Q08" localSheetId="10">Tags!$AV$168</definedName>
    <definedName name="OLTL_2Q08">Tags_ols!$AV$168</definedName>
    <definedName name="OLTL_2Q09" localSheetId="10">Tags!$BA$168</definedName>
    <definedName name="OLTL_2Q09">Tags_ols!$BA$168</definedName>
    <definedName name="OLTL_2Q10" localSheetId="10">Tags!$BF$168</definedName>
    <definedName name="OLTL_2Q10">Tags_ols!$BF$168</definedName>
    <definedName name="OLTL_2Q11" localSheetId="10">Tags!$BK$168</definedName>
    <definedName name="OLTL_2Q11">Tags_ols!$BK$168</definedName>
    <definedName name="OLTL_2Q12" localSheetId="10">Tags!$BP$168</definedName>
    <definedName name="OLTL_2Q12">Tags_ols!$BP$168</definedName>
    <definedName name="OLTL_2Q13" localSheetId="10">Tags!$BU$168</definedName>
    <definedName name="OLTL_2Q13">Tags_ols!$BU$168</definedName>
    <definedName name="OLTL_2Q14" localSheetId="10">Tags!$BZ$168</definedName>
    <definedName name="OLTL_2Q14">Tags_ols!$BZ$168</definedName>
    <definedName name="OLTL_2Q15" localSheetId="10">Tags!$CE$168</definedName>
    <definedName name="OLTL_2Q15">Tags_ols!$CE$168</definedName>
    <definedName name="OLTL_2Q16" localSheetId="10">Tags!$CJ$168</definedName>
    <definedName name="OLTL_2Q16">Tags_ols!$CJ$168</definedName>
    <definedName name="OLTL_2Q17" localSheetId="10">Tags!$CO$168</definedName>
    <definedName name="OLTL_2Q17">Tags_ols!$CO$168</definedName>
    <definedName name="OLTL_2Q18" localSheetId="10">Tags!$CT$168</definedName>
    <definedName name="OLTL_2Q18">Tags_ols!$CT$168</definedName>
    <definedName name="OLTL_2Q19" localSheetId="10">Tags!$CY$168</definedName>
    <definedName name="OLTL_2Q19">Tags_ols!$CY$168</definedName>
    <definedName name="OLTL_2Q20" localSheetId="10">Tags!$DD$168</definedName>
    <definedName name="OLTL_2Q20">Tags_ols!$DD$168</definedName>
    <definedName name="OLTL_2Q21">Tags!$DI$168</definedName>
    <definedName name="OLTL_2Q22">Tags!$DN$168</definedName>
    <definedName name="OLTL_2Q23">Tags!$DS$168</definedName>
    <definedName name="OLTL_2Q24">Tags!$DX$168</definedName>
    <definedName name="OLTL_3Q00" localSheetId="10">Tags!$I$168</definedName>
    <definedName name="OLTL_3Q00">Tags_ols!$I$168</definedName>
    <definedName name="OLTL_3Q01" localSheetId="10">Tags!$N$168</definedName>
    <definedName name="OLTL_3Q01">Tags_ols!$N$168</definedName>
    <definedName name="OLTL_3Q02" localSheetId="10">Tags!$S$168</definedName>
    <definedName name="OLTL_3Q02">Tags_ols!$S$168</definedName>
    <definedName name="OLTL_3Q03" localSheetId="10">Tags!$X$168</definedName>
    <definedName name="OLTL_3Q03">Tags_ols!$X$168</definedName>
    <definedName name="OLTL_3Q04" localSheetId="10">Tags!$AC$168</definedName>
    <definedName name="OLTL_3Q04">Tags_ols!$AC$168</definedName>
    <definedName name="OLTL_3Q05" localSheetId="10">Tags!$AH$168</definedName>
    <definedName name="OLTL_3Q05">Tags_ols!$AH$168</definedName>
    <definedName name="OLTL_3Q06" localSheetId="10">Tags!$AM$168</definedName>
    <definedName name="OLTL_3Q06">Tags_ols!$AM$168</definedName>
    <definedName name="OLTL_3Q07" localSheetId="10">Tags!$AR$168</definedName>
    <definedName name="OLTL_3Q07">Tags_ols!$AR$168</definedName>
    <definedName name="OLTL_3Q08" localSheetId="10">Tags!$AW$168</definedName>
    <definedName name="OLTL_3Q08">Tags_ols!$AW$168</definedName>
    <definedName name="OLTL_3Q09" localSheetId="10">Tags!$BB$168</definedName>
    <definedName name="OLTL_3Q09">Tags_ols!$BB$168</definedName>
    <definedName name="OLTL_3Q10" localSheetId="10">Tags!$BG$168</definedName>
    <definedName name="OLTL_3Q10">Tags_ols!$BG$168</definedName>
    <definedName name="OLTL_3Q11" localSheetId="10">Tags!$BL$168</definedName>
    <definedName name="OLTL_3Q11">Tags_ols!$BL$168</definedName>
    <definedName name="OLTL_3Q12" localSheetId="10">Tags!$BQ$168</definedName>
    <definedName name="OLTL_3Q12">Tags_ols!$BQ$168</definedName>
    <definedName name="OLTL_3Q13" localSheetId="10">Tags!$BV$168</definedName>
    <definedName name="OLTL_3Q13">Tags_ols!$BV$168</definedName>
    <definedName name="OLTL_3Q14" localSheetId="10">Tags!$CA$168</definedName>
    <definedName name="OLTL_3Q14">Tags_ols!$CA$168</definedName>
    <definedName name="OLTL_3Q15" localSheetId="10">Tags!$CF$168</definedName>
    <definedName name="OLTL_3Q15">Tags_ols!$CF$168</definedName>
    <definedName name="OLTL_3Q16" localSheetId="10">Tags!$CK$168</definedName>
    <definedName name="OLTL_3Q16">Tags_ols!$CK$168</definedName>
    <definedName name="OLTL_3Q17" localSheetId="10">Tags!$CP$168</definedName>
    <definedName name="OLTL_3Q17">Tags_ols!$CP$168</definedName>
    <definedName name="OLTL_3Q18" localSheetId="10">Tags!$CU$168</definedName>
    <definedName name="OLTL_3Q18">Tags_ols!$CU$168</definedName>
    <definedName name="OLTL_3Q19" localSheetId="10">Tags!$CZ$168</definedName>
    <definedName name="OLTL_3Q19">Tags_ols!$CZ$168</definedName>
    <definedName name="OLTL_3Q20" localSheetId="10">Tags!$DE$168</definedName>
    <definedName name="OLTL_3Q20">Tags_ols!$DE$168</definedName>
    <definedName name="OLTL_3Q21">Tags!$DJ$168</definedName>
    <definedName name="OLTL_3Q22">Tags!$DO$168</definedName>
    <definedName name="OLTL_3Q23">Tags!$DT$168</definedName>
    <definedName name="OLTL_3Q24">Tags!$DY$168</definedName>
    <definedName name="OLTL_4Q00" localSheetId="10">Tags!$J$168</definedName>
    <definedName name="OLTL_4Q00">Tags_ols!$J$168</definedName>
    <definedName name="OLTL_4Q01" localSheetId="10">Tags!$O$168</definedName>
    <definedName name="OLTL_4Q01">Tags_ols!$O$168</definedName>
    <definedName name="OLTL_4Q02" localSheetId="10">Tags!$T$168</definedName>
    <definedName name="OLTL_4Q02">Tags_ols!$T$168</definedName>
    <definedName name="OLTL_4Q03" localSheetId="10">Tags!$Y$168</definedName>
    <definedName name="OLTL_4Q03">Tags_ols!$Y$168</definedName>
    <definedName name="OLTL_4Q04" localSheetId="10">Tags!$AD$168</definedName>
    <definedName name="OLTL_4Q04">Tags_ols!$AD$168</definedName>
    <definedName name="OLTL_4Q05" localSheetId="10">Tags!$AI$168</definedName>
    <definedName name="OLTL_4Q05">Tags_ols!$AI$168</definedName>
    <definedName name="OLTL_4Q06" localSheetId="10">Tags!$AN$168</definedName>
    <definedName name="OLTL_4Q06">Tags_ols!$AN$168</definedName>
    <definedName name="OLTL_4Q07" localSheetId="10">Tags!$AS$168</definedName>
    <definedName name="OLTL_4Q07">Tags_ols!$AS$168</definedName>
    <definedName name="OLTL_4Q08" localSheetId="10">Tags!$AX$168</definedName>
    <definedName name="OLTL_4Q08">Tags_ols!$AX$168</definedName>
    <definedName name="OLTL_4Q09" localSheetId="10">Tags!$BC$168</definedName>
    <definedName name="OLTL_4Q09">Tags_ols!$BC$168</definedName>
    <definedName name="OLTL_4Q10" localSheetId="10">Tags!$BH$168</definedName>
    <definedName name="OLTL_4Q10">Tags_ols!$BH$168</definedName>
    <definedName name="OLTL_4Q11" localSheetId="10">Tags!$BM$168</definedName>
    <definedName name="OLTL_4Q11">Tags_ols!$BM$168</definedName>
    <definedName name="OLTL_4Q12" localSheetId="10">Tags!$BR$168</definedName>
    <definedName name="OLTL_4Q12">Tags_ols!$BR$168</definedName>
    <definedName name="OLTL_4Q13" localSheetId="10">Tags!$BW$168</definedName>
    <definedName name="OLTL_4Q13">Tags_ols!$BW$168</definedName>
    <definedName name="OLTL_4Q14" localSheetId="10">Tags!$CB$168</definedName>
    <definedName name="OLTL_4Q14">Tags_ols!$CB$168</definedName>
    <definedName name="OLTL_4Q15" localSheetId="10">Tags!$CG$168</definedName>
    <definedName name="OLTL_4Q15">Tags_ols!$CG$168</definedName>
    <definedName name="OLTL_4Q16" localSheetId="10">Tags!$CL$168</definedName>
    <definedName name="OLTL_4Q16">Tags_ols!$CL$168</definedName>
    <definedName name="OLTL_4Q17" localSheetId="10">Tags!$CQ$168</definedName>
    <definedName name="OLTL_4Q17">Tags_ols!$CQ$168</definedName>
    <definedName name="OLTL_4Q18" localSheetId="10">Tags!$CV$168</definedName>
    <definedName name="OLTL_4Q18">Tags_ols!$CV$168</definedName>
    <definedName name="OLTL_4Q19" localSheetId="10">Tags!$DA$168</definedName>
    <definedName name="OLTL_4Q19">Tags_ols!$DA$168</definedName>
    <definedName name="OLTL_4Q20" localSheetId="10">Tags!$DF$168</definedName>
    <definedName name="OLTL_4Q20">Tags_ols!$DF$168</definedName>
    <definedName name="OLTL_4Q21">Tags!$DK$168</definedName>
    <definedName name="OLTL_4Q22">Tags!$DP$168</definedName>
    <definedName name="OLTL_4Q23">Tags!$DU$168</definedName>
    <definedName name="OLTL_4Q24">Tags!$DZ$168</definedName>
    <definedName name="OPCASH_1995">Tags_ols!$B$177</definedName>
    <definedName name="OPCASH_1996">Tags_ols!$C$177</definedName>
    <definedName name="OPCASH_1997">Tags_ols!$D$177</definedName>
    <definedName name="OPCASH_1998">Tags_ols!$E$177</definedName>
    <definedName name="OPCASH_1999">Tags_ols!$F$177</definedName>
    <definedName name="OPCASH_1Q00" localSheetId="10">Tags!$G$177</definedName>
    <definedName name="OPCASH_1Q00">Tags_ols!$G$177</definedName>
    <definedName name="OPCASH_1Q01" localSheetId="10">Tags!$L$177</definedName>
    <definedName name="OPCASH_1Q01">Tags_ols!$L$177</definedName>
    <definedName name="OPCASH_1Q02" localSheetId="10">Tags!$Q$177</definedName>
    <definedName name="OPCASH_1Q02">Tags_ols!$Q$177</definedName>
    <definedName name="OPCASH_1Q03" localSheetId="10">Tags!$V$177</definedName>
    <definedName name="OPCASH_1Q03">Tags_ols!$V$177</definedName>
    <definedName name="OPCASH_1Q04" localSheetId="10">Tags!$AA$177</definedName>
    <definedName name="OPCASH_1Q04">Tags_ols!$AA$177</definedName>
    <definedName name="OPCASH_1Q05" localSheetId="10">Tags!$AF$177</definedName>
    <definedName name="OPCASH_1Q05">Tags_ols!$AF$177</definedName>
    <definedName name="OPCASH_1Q06" localSheetId="10">Tags!$AK$177</definedName>
    <definedName name="OPCASH_1Q06">Tags_ols!$AK$177</definedName>
    <definedName name="OPCASH_1Q07" localSheetId="10">Tags!$AP$177</definedName>
    <definedName name="OPCASH_1Q07">Tags_ols!$AP$177</definedName>
    <definedName name="OPCASH_1Q08" localSheetId="10">Tags!$AU$177</definedName>
    <definedName name="OPCASH_1Q08">Tags_ols!$AU$177</definedName>
    <definedName name="OPCASH_1Q09" localSheetId="10">Tags!$AZ$177</definedName>
    <definedName name="OPCASH_1Q09">Tags_ols!$AZ$177</definedName>
    <definedName name="OPCASH_1Q10" localSheetId="10">Tags!$BE$177</definedName>
    <definedName name="OPCASH_1Q10">Tags_ols!$BE$177</definedName>
    <definedName name="OPCASH_1Q11" localSheetId="10">Tags!$BJ$177</definedName>
    <definedName name="OPCASH_1Q11">Tags_ols!$BJ$177</definedName>
    <definedName name="OPCASH_1Q12" localSheetId="10">Tags!$BO$177</definedName>
    <definedName name="OPCASH_1Q12">Tags_ols!$BO$177</definedName>
    <definedName name="OPCASH_1Q13" localSheetId="10">Tags!$BT$177</definedName>
    <definedName name="OPCASH_1Q13">Tags_ols!$BT$177</definedName>
    <definedName name="OPCASH_1Q14" localSheetId="10">Tags!$BY$177</definedName>
    <definedName name="OPCASH_1Q14">Tags_ols!$BY$177</definedName>
    <definedName name="OPCASH_1Q15" localSheetId="10">Tags!$CD$177</definedName>
    <definedName name="OPCASH_1Q15">Tags_ols!$CD$177</definedName>
    <definedName name="OPCASH_1Q16" localSheetId="10">Tags!$CI$177</definedName>
    <definedName name="OPCASH_1Q16">Tags_ols!$CI$177</definedName>
    <definedName name="OPCASH_1Q17" localSheetId="10">Tags!$CN$177</definedName>
    <definedName name="OPCASH_1Q17">Tags_ols!$CN$177</definedName>
    <definedName name="OPCASH_1Q18" localSheetId="10">Tags!$CS$177</definedName>
    <definedName name="OPCASH_1Q18">Tags_ols!$CS$177</definedName>
    <definedName name="OPCASH_1Q19" localSheetId="10">Tags!$CX$177</definedName>
    <definedName name="OPCASH_1Q19">Tags_ols!$CX$177</definedName>
    <definedName name="OPCASH_1Q20" localSheetId="10">Tags!$DC$177</definedName>
    <definedName name="OPCASH_1Q20">Tags_ols!$DC$177</definedName>
    <definedName name="OPCASH_1Q21">Tags!$DH$177</definedName>
    <definedName name="OPCASH_1Q22">Tags!$DM$177</definedName>
    <definedName name="OPCASH_1Q23">Tags!$DR$177</definedName>
    <definedName name="OPCASH_1Q24">Tags!$DW$177</definedName>
    <definedName name="OPCASH_2000" localSheetId="10">Tags!$K$177</definedName>
    <definedName name="OPCASH_2000">Tags_ols!$K$177</definedName>
    <definedName name="OPCASH_2001" localSheetId="10">Tags!$P$177</definedName>
    <definedName name="OPCASH_2001">Tags_ols!$P$177</definedName>
    <definedName name="OPCASH_2002" localSheetId="10">Tags!$U$177</definedName>
    <definedName name="OPCASH_2002">Tags_ols!$U$177</definedName>
    <definedName name="OPCASH_2003" localSheetId="10">Tags!$Z$177</definedName>
    <definedName name="OPCASH_2003">Tags_ols!$Z$177</definedName>
    <definedName name="OPCASH_2004" localSheetId="10">Tags!$AE$177</definedName>
    <definedName name="OPCASH_2004">Tags_ols!$AE$177</definedName>
    <definedName name="OPCASH_2005" localSheetId="10">Tags!$AJ$177</definedName>
    <definedName name="OPCASH_2005">Tags_ols!$AJ$177</definedName>
    <definedName name="OPCASH_2006" localSheetId="10">Tags!$AO$177</definedName>
    <definedName name="OPCASH_2006">Tags_ols!$AO$177</definedName>
    <definedName name="OPCASH_2007" localSheetId="10">Tags!$AT$177</definedName>
    <definedName name="OPCASH_2007">Tags_ols!$AT$177</definedName>
    <definedName name="OPCASH_2008" localSheetId="10">Tags!$AY$177</definedName>
    <definedName name="OPCASH_2008">Tags_ols!$AY$177</definedName>
    <definedName name="OPCASH_2009" localSheetId="10">Tags!$BD$177</definedName>
    <definedName name="OPCASH_2009">Tags_ols!$BD$177</definedName>
    <definedName name="OPCASH_2010" localSheetId="10">Tags!$BI$177</definedName>
    <definedName name="OPCASH_2010">Tags_ols!$BI$177</definedName>
    <definedName name="OPCASH_2011" localSheetId="10">Tags!$BN$177</definedName>
    <definedName name="OPCASH_2011">Tags_ols!$BN$177</definedName>
    <definedName name="OPCASH_2012" localSheetId="10">Tags!$BS$177</definedName>
    <definedName name="OPCASH_2012">Tags_ols!$BS$177</definedName>
    <definedName name="OPCASH_2013" localSheetId="10">Tags!$BX$177</definedName>
    <definedName name="OPCASH_2013">Tags_ols!$BX$177</definedName>
    <definedName name="OPCASH_2014" localSheetId="10">Tags!$CC$177</definedName>
    <definedName name="OPCASH_2014">Tags_ols!$CC$177</definedName>
    <definedName name="OPCASH_2015" localSheetId="10">Tags!#REF!</definedName>
    <definedName name="OPCASH_2015">Tags!$CH$177</definedName>
    <definedName name="OPCASH_2016" localSheetId="10">Tags!$CM$177</definedName>
    <definedName name="OPCASH_2016">Tags_ols!$CM$177</definedName>
    <definedName name="OPCASH_2017" localSheetId="10">Tags!$CR$177</definedName>
    <definedName name="OPCASH_2017">Tags_ols!$CR$177</definedName>
    <definedName name="OPCASH_2018" localSheetId="10">Tags!$CW$177</definedName>
    <definedName name="OPCASH_2018">Tags_ols!$CW$177</definedName>
    <definedName name="OPCASH_2019" localSheetId="10">Tags!$DB$177</definedName>
    <definedName name="OPCASH_2019">Tags_ols!$DB$177</definedName>
    <definedName name="OPCASH_2020" localSheetId="10">Tags!$DG$177</definedName>
    <definedName name="OPCASH_2020">Tags_ols!$DG$177</definedName>
    <definedName name="OPCASH_2021">Tags!$DL$177</definedName>
    <definedName name="OPCASH_2022">Tags!$DQ$177</definedName>
    <definedName name="OPCASH_2023">Tags!$DV$177</definedName>
    <definedName name="OPCASH_2024">Tags!$EA$177</definedName>
    <definedName name="OPCASH_2Q00" localSheetId="10">Tags!$H$177</definedName>
    <definedName name="OPCASH_2Q00">Tags_ols!$H$177</definedName>
    <definedName name="OPCASH_2Q01" localSheetId="10">Tags!$M$177</definedName>
    <definedName name="OPCASH_2Q01">Tags_ols!$M$177</definedName>
    <definedName name="OPCASH_2Q02" localSheetId="10">Tags!$R$177</definedName>
    <definedName name="OPCASH_2Q02">Tags_ols!$R$177</definedName>
    <definedName name="OPCASH_2Q03" localSheetId="10">Tags!$W$177</definedName>
    <definedName name="OPCASH_2Q03">Tags_ols!$W$177</definedName>
    <definedName name="OPCASH_2Q04" localSheetId="10">Tags!$AB$177</definedName>
    <definedName name="OPCASH_2Q04">Tags_ols!$AB$177</definedName>
    <definedName name="OPCASH_2Q05" localSheetId="10">Tags!$AG$177</definedName>
    <definedName name="OPCASH_2Q05">Tags_ols!$AG$177</definedName>
    <definedName name="OPCASH_2Q06" localSheetId="10">Tags!$AL$177</definedName>
    <definedName name="OPCASH_2Q06">Tags_ols!$AL$177</definedName>
    <definedName name="OPCASH_2Q07" localSheetId="10">Tags!$AQ$177</definedName>
    <definedName name="OPCASH_2Q07">Tags_ols!$AQ$177</definedName>
    <definedName name="OPCASH_2Q08" localSheetId="10">Tags!$AV$177</definedName>
    <definedName name="OPCASH_2Q08">Tags_ols!$AV$177</definedName>
    <definedName name="OPCASH_2Q09" localSheetId="10">Tags!$BA$177</definedName>
    <definedName name="OPCASH_2Q09">Tags_ols!$BA$177</definedName>
    <definedName name="OPCASH_2Q10" localSheetId="10">Tags!$BF$177</definedName>
    <definedName name="OPCASH_2Q10">Tags_ols!$BF$177</definedName>
    <definedName name="OPCASH_2Q11" localSheetId="10">Tags!$BK$177</definedName>
    <definedName name="OPCASH_2Q11">Tags_ols!$BK$177</definedName>
    <definedName name="OPCASH_2Q12" localSheetId="10">Tags!$BP$177</definedName>
    <definedName name="OPCASH_2Q12">Tags_ols!$BP$177</definedName>
    <definedName name="OPCASH_2Q13" localSheetId="10">Tags!$BU$177</definedName>
    <definedName name="OPCASH_2Q13">Tags_ols!$BU$177</definedName>
    <definedName name="OPCASH_2Q14" localSheetId="10">Tags!$BZ$177</definedName>
    <definedName name="OPCASH_2Q14">Tags_ols!$BZ$177</definedName>
    <definedName name="OPCASH_2Q15" localSheetId="10">Tags!$CE$177</definedName>
    <definedName name="OPCASH_2Q15">Tags_ols!$CE$177</definedName>
    <definedName name="OPCASH_2Q16" localSheetId="10">Tags!$CJ$177</definedName>
    <definedName name="OPCASH_2Q16">Tags_ols!$CJ$177</definedName>
    <definedName name="OPCASH_2Q17" localSheetId="10">Tags!$CO$177</definedName>
    <definedName name="OPCASH_2Q17">Tags_ols!$CO$177</definedName>
    <definedName name="OPCASH_2Q18" localSheetId="10">Tags!$CT$177</definedName>
    <definedName name="OPCASH_2Q18">Tags_ols!$CT$177</definedName>
    <definedName name="OPCASH_2Q19" localSheetId="10">Tags!$CY$177</definedName>
    <definedName name="OPCASH_2Q19">Tags_ols!$CY$177</definedName>
    <definedName name="OPCASH_2Q20" localSheetId="10">Tags!$DD$177</definedName>
    <definedName name="OPCASH_2Q20">Tags_ols!$DD$177</definedName>
    <definedName name="OPCASH_2Q21">Tags!$DI$177</definedName>
    <definedName name="OPCASH_2Q22">Tags!$DN$177</definedName>
    <definedName name="OPCASH_2Q23">Tags!$DS$177</definedName>
    <definedName name="OPCASH_2Q24">Tags!$DX$177</definedName>
    <definedName name="OPCASH_3Q00" localSheetId="10">Tags!$I$177</definedName>
    <definedName name="OPCASH_3Q00">Tags_ols!$I$177</definedName>
    <definedName name="OPCASH_3Q01" localSheetId="10">Tags!$N$177</definedName>
    <definedName name="OPCASH_3Q01">Tags_ols!$N$177</definedName>
    <definedName name="OPCASH_3Q02" localSheetId="10">Tags!$S$177</definedName>
    <definedName name="OPCASH_3Q02">Tags_ols!$S$177</definedName>
    <definedName name="OPCASH_3Q03" localSheetId="10">Tags!$X$177</definedName>
    <definedName name="OPCASH_3Q03">Tags_ols!$X$177</definedName>
    <definedName name="OPCASH_3Q04" localSheetId="10">Tags!$AC$177</definedName>
    <definedName name="OPCASH_3Q04">Tags_ols!$AC$177</definedName>
    <definedName name="OPCASH_3Q05" localSheetId="10">Tags!$AH$177</definedName>
    <definedName name="OPCASH_3Q05">Tags_ols!$AH$177</definedName>
    <definedName name="OPCASH_3Q06" localSheetId="10">Tags!$AM$177</definedName>
    <definedName name="OPCASH_3Q06">Tags_ols!$AM$177</definedName>
    <definedName name="OPCASH_3Q07" localSheetId="10">Tags!$AR$177</definedName>
    <definedName name="OPCASH_3Q07">Tags_ols!$AR$177</definedName>
    <definedName name="OPCASH_3Q08" localSheetId="10">Tags!$AW$177</definedName>
    <definedName name="OPCASH_3Q08">Tags_ols!$AW$177</definedName>
    <definedName name="OPCASH_3Q09" localSheetId="10">Tags!$BB$177</definedName>
    <definedName name="OPCASH_3Q09">Tags_ols!$BB$177</definedName>
    <definedName name="OPCASH_3Q10" localSheetId="10">Tags!$BG$177</definedName>
    <definedName name="OPCASH_3Q10">Tags_ols!$BG$177</definedName>
    <definedName name="OPCASH_3Q11" localSheetId="10">Tags!$BL$177</definedName>
    <definedName name="OPCASH_3Q11">Tags_ols!$BL$177</definedName>
    <definedName name="OPCASH_3Q12" localSheetId="10">Tags!$BQ$177</definedName>
    <definedName name="OPCASH_3Q12">Tags_ols!$BQ$177</definedName>
    <definedName name="OPCASH_3Q13" localSheetId="10">Tags!$BV$177</definedName>
    <definedName name="OPCASH_3Q13">Tags_ols!$BV$177</definedName>
    <definedName name="OPCASH_3Q14" localSheetId="10">Tags!$CA$177</definedName>
    <definedName name="OPCASH_3Q14">Tags_ols!$CA$177</definedName>
    <definedName name="OPCASH_3Q15" localSheetId="10">Tags!$CF$177</definedName>
    <definedName name="OPCASH_3Q15">Tags_ols!$CF$177</definedName>
    <definedName name="OPCASH_3Q16" localSheetId="10">Tags!$CK$177</definedName>
    <definedName name="OPCASH_3Q16">Tags_ols!$CK$177</definedName>
    <definedName name="OPCASH_3Q17" localSheetId="10">Tags!$CP$177</definedName>
    <definedName name="OPCASH_3Q17">Tags_ols!$CP$177</definedName>
    <definedName name="OPCASH_3Q18" localSheetId="10">Tags!$CU$177</definedName>
    <definedName name="OPCASH_3Q18">Tags_ols!$CU$177</definedName>
    <definedName name="OPCASH_3Q19" localSheetId="10">Tags!$CZ$177</definedName>
    <definedName name="OPCASH_3Q19">Tags_ols!$CZ$177</definedName>
    <definedName name="OPCASH_3Q20" localSheetId="10">Tags!$DE$177</definedName>
    <definedName name="OPCASH_3Q20">Tags_ols!$DE$177</definedName>
    <definedName name="OPCASH_3Q21">Tags!$DJ$177</definedName>
    <definedName name="OPCASH_3Q22">Tags!$DO$177</definedName>
    <definedName name="OPCASH_3Q23">Tags!$DT$177</definedName>
    <definedName name="OPCASH_3Q24">Tags!$DY$177</definedName>
    <definedName name="OPCASH_4Q00" localSheetId="10">Tags!$J$177</definedName>
    <definedName name="OPCASH_4Q00">Tags_ols!$J$177</definedName>
    <definedName name="OPCASH_4Q01" localSheetId="10">Tags!$O$177</definedName>
    <definedName name="OPCASH_4Q01">Tags_ols!$O$177</definedName>
    <definedName name="OPCASH_4Q02" localSheetId="10">Tags!$T$177</definedName>
    <definedName name="OPCASH_4Q02">Tags_ols!$T$177</definedName>
    <definedName name="OPCASH_4Q03" localSheetId="10">Tags!$Y$177</definedName>
    <definedName name="OPCASH_4Q03">Tags_ols!$Y$177</definedName>
    <definedName name="OPCASH_4Q04" localSheetId="10">Tags!$AD$177</definedName>
    <definedName name="OPCASH_4Q04">Tags_ols!$AD$177</definedName>
    <definedName name="OPCASH_4Q05" localSheetId="10">Tags!$AI$177</definedName>
    <definedName name="OPCASH_4Q05">Tags_ols!$AI$177</definedName>
    <definedName name="OPCASH_4Q06" localSheetId="10">Tags!$AN$177</definedName>
    <definedName name="OPCASH_4Q06">Tags_ols!$AN$177</definedName>
    <definedName name="OPCASH_4Q07" localSheetId="10">Tags!$AS$177</definedName>
    <definedName name="OPCASH_4Q07">Tags_ols!$AS$177</definedName>
    <definedName name="OPCASH_4Q08" localSheetId="10">Tags!$AX$177</definedName>
    <definedName name="OPCASH_4Q08">Tags_ols!$AX$177</definedName>
    <definedName name="OPCASH_4Q09" localSheetId="10">Tags!$BC$177</definedName>
    <definedName name="OPCASH_4Q09">Tags_ols!$BC$177</definedName>
    <definedName name="OPCASH_4Q10" localSheetId="10">Tags!$BH$177</definedName>
    <definedName name="OPCASH_4Q10">Tags_ols!$BH$177</definedName>
    <definedName name="OPCASH_4Q11" localSheetId="10">Tags!$BM$177</definedName>
    <definedName name="OPCASH_4Q11">Tags_ols!$BM$177</definedName>
    <definedName name="OPCASH_4Q12" localSheetId="10">Tags!$BR$177</definedName>
    <definedName name="OPCASH_4Q12">Tags_ols!$BR$177</definedName>
    <definedName name="OPCASH_4Q13" localSheetId="10">Tags!$BW$177</definedName>
    <definedName name="OPCASH_4Q13">Tags_ols!$BW$177</definedName>
    <definedName name="OPCASH_4Q14" localSheetId="10">Tags!$CB$177</definedName>
    <definedName name="OPCASH_4Q14">Tags_ols!$CB$177</definedName>
    <definedName name="OPCASH_4Q15" localSheetId="10">Tags!$CG$177</definedName>
    <definedName name="OPCASH_4Q15">Tags_ols!$CG$177</definedName>
    <definedName name="OPCASH_4Q16" localSheetId="10">Tags!$CL$177</definedName>
    <definedName name="OPCASH_4Q16">Tags_ols!$CL$177</definedName>
    <definedName name="OPCASH_4Q17" localSheetId="10">Tags!$CQ$177</definedName>
    <definedName name="OPCASH_4Q17">Tags_ols!$CQ$177</definedName>
    <definedName name="OPCASH_4Q18" localSheetId="10">Tags!$CV$177</definedName>
    <definedName name="OPCASH_4Q18">Tags_ols!$CV$177</definedName>
    <definedName name="OPCASH_4Q19" localSheetId="10">Tags!$DA$177</definedName>
    <definedName name="OPCASH_4Q19">Tags_ols!$DA$177</definedName>
    <definedName name="OPCASH_4Q20" localSheetId="10">Tags!$DF$177</definedName>
    <definedName name="OPCASH_4Q20">Tags_ols!$DF$177</definedName>
    <definedName name="OPCASH_4Q21">Tags!$DK$177</definedName>
    <definedName name="OPCASH_4Q22">Tags!$DP$177</definedName>
    <definedName name="OPCASH_4Q23">Tags!$DU$177</definedName>
    <definedName name="OPCASH_4Q24">Tags!$DZ$177</definedName>
    <definedName name="OPENIT_1995">Tags_ols!$B$231</definedName>
    <definedName name="OPENIT_1996">Tags_ols!$C$231</definedName>
    <definedName name="OPENIT_1997">Tags_ols!$D$231</definedName>
    <definedName name="OPENIT_1998">Tags_ols!$E$231</definedName>
    <definedName name="OPENIT_1999">Tags_ols!$F$231</definedName>
    <definedName name="OPENIT_1Q00" localSheetId="10">Tags!$G$231</definedName>
    <definedName name="OPENIT_1Q00">Tags_ols!$G$231</definedName>
    <definedName name="OPENIT_1Q01" localSheetId="10">Tags!$L$231</definedName>
    <definedName name="OPENIT_1Q01">Tags_ols!$L$231</definedName>
    <definedName name="OPENIT_1Q02" localSheetId="10">Tags!$Q$231</definedName>
    <definedName name="OPENIT_1Q02">Tags_ols!$Q$231</definedName>
    <definedName name="OPENIT_1Q03" localSheetId="10">Tags!$V$231</definedName>
    <definedName name="OPENIT_1Q03">Tags_ols!$V$231</definedName>
    <definedName name="OPENIT_1Q04" localSheetId="10">Tags!$AA$231</definedName>
    <definedName name="OPENIT_1Q04">Tags_ols!$AA$231</definedName>
    <definedName name="OPENIT_1Q05" localSheetId="10">Tags!$AF$231</definedName>
    <definedName name="OPENIT_1Q05">Tags_ols!$AF$231</definedName>
    <definedName name="OPENIT_1Q06" localSheetId="10">Tags!$AK$231</definedName>
    <definedName name="OPENIT_1Q06">Tags_ols!$AK$231</definedName>
    <definedName name="OPENIT_1Q07" localSheetId="10">Tags!$AP$231</definedName>
    <definedName name="OPENIT_1Q07">Tags_ols!$AP$231</definedName>
    <definedName name="OPENIT_1Q08" localSheetId="10">Tags!$AU$231</definedName>
    <definedName name="OPENIT_1Q08">Tags_ols!$AU$231</definedName>
    <definedName name="OPENIT_1Q09" localSheetId="10">Tags!$AZ$231</definedName>
    <definedName name="OPENIT_1Q09">Tags_ols!$AZ$231</definedName>
    <definedName name="OPENIT_1Q10" localSheetId="10">Tags!$BE$231</definedName>
    <definedName name="OPENIT_1Q10">Tags_ols!$BE$231</definedName>
    <definedName name="OPENIT_1Q11" localSheetId="10">Tags!$BJ$231</definedName>
    <definedName name="OPENIT_1Q11">Tags_ols!$BJ$231</definedName>
    <definedName name="OPENIT_1Q12" localSheetId="10">Tags!$BO$231</definedName>
    <definedName name="OPENIT_1Q12">Tags_ols!$BO$231</definedName>
    <definedName name="OPENIT_1Q13" localSheetId="10">Tags!$BT$231</definedName>
    <definedName name="OPENIT_1Q13">Tags_ols!$BT$231</definedName>
    <definedName name="OPENIT_1Q14" localSheetId="10">Tags!$BY$231</definedName>
    <definedName name="OPENIT_1Q14">Tags_ols!$BY$231</definedName>
    <definedName name="OPENIT_1Q15" localSheetId="10">Tags!$CD$231</definedName>
    <definedName name="OPENIT_1Q15">Tags_ols!$CD$231</definedName>
    <definedName name="OPENIT_1Q16" localSheetId="10">Tags!$CI$231</definedName>
    <definedName name="OPENIT_1Q16">Tags_ols!$CI$231</definedName>
    <definedName name="OPENIT_1Q17" localSheetId="10">Tags!$CN$231</definedName>
    <definedName name="OPENIT_1Q17">Tags_ols!$CN$231</definedName>
    <definedName name="OPENIT_1Q18" localSheetId="10">Tags!$CS$231</definedName>
    <definedName name="OPENIT_1Q18">Tags_ols!$CS$231</definedName>
    <definedName name="OPENIT_1Q19" localSheetId="10">Tags!$CX$231</definedName>
    <definedName name="OPENIT_1Q19">Tags_ols!$CX$231</definedName>
    <definedName name="OPENIT_1Q20" localSheetId="10">Tags!$DC$231</definedName>
    <definedName name="OPENIT_1Q20">Tags_ols!$DC$231</definedName>
    <definedName name="OPENIT_1Q21">Tags!$DH$231</definedName>
    <definedName name="OPENIT_1Q22">Tags!$DM$231</definedName>
    <definedName name="OPENIT_1Q23">Tags!$DR$231</definedName>
    <definedName name="OPENIT_1Q24">Tags!$DW$231</definedName>
    <definedName name="OPENIT_2000" localSheetId="10">Tags!$K$231</definedName>
    <definedName name="OPENIT_2000">Tags_ols!$K$231</definedName>
    <definedName name="OPENIT_2001" localSheetId="10">Tags!$P$231</definedName>
    <definedName name="OPENIT_2001">Tags_ols!$P$231</definedName>
    <definedName name="OPENIT_2002" localSheetId="10">Tags!$U$231</definedName>
    <definedName name="OPENIT_2002">Tags_ols!$U$231</definedName>
    <definedName name="OPENIT_2003" localSheetId="10">Tags!$Z$231</definedName>
    <definedName name="OPENIT_2003">Tags_ols!$Z$231</definedName>
    <definedName name="OPENIT_2004" localSheetId="10">Tags!$AE$231</definedName>
    <definedName name="OPENIT_2004">Tags_ols!$AE$231</definedName>
    <definedName name="OPENIT_2005" localSheetId="10">Tags!$AJ$231</definedName>
    <definedName name="OPENIT_2005">Tags_ols!$AJ$231</definedName>
    <definedName name="OPENIT_2006" localSheetId="10">Tags!$AO$231</definedName>
    <definedName name="OPENIT_2006">Tags_ols!$AO$231</definedName>
    <definedName name="OPENIT_2007" localSheetId="10">Tags!$AT$231</definedName>
    <definedName name="OPENIT_2007">Tags_ols!$AT$231</definedName>
    <definedName name="OPENIT_2008" localSheetId="10">Tags!$AY$231</definedName>
    <definedName name="OPENIT_2008">Tags_ols!$AY$231</definedName>
    <definedName name="OPENIT_2009" localSheetId="10">Tags!$BD$231</definedName>
    <definedName name="OPENIT_2009">Tags_ols!$BD$231</definedName>
    <definedName name="OPENIT_2010" localSheetId="10">Tags!$BI$231</definedName>
    <definedName name="OPENIT_2010">Tags_ols!$BI$231</definedName>
    <definedName name="OPENIT_2011" localSheetId="10">Tags!$BN$231</definedName>
    <definedName name="OPENIT_2011">Tags_ols!$BN$231</definedName>
    <definedName name="OPENIT_2012" localSheetId="10">Tags!$BS$231</definedName>
    <definedName name="OPENIT_2012">Tags_ols!$BS$231</definedName>
    <definedName name="OPENIT_2013" localSheetId="10">Tags!$BX$231</definedName>
    <definedName name="OPENIT_2013">Tags_ols!$BX$231</definedName>
    <definedName name="OPENIT_2014" localSheetId="10">Tags!$CC$231</definedName>
    <definedName name="OPENIT_2014">Tags_ols!$CC$231</definedName>
    <definedName name="OPENIT_2015" localSheetId="10">Tags!#REF!</definedName>
    <definedName name="OPENIT_2015">Tags!$CH$231</definedName>
    <definedName name="OPENIT_2016" localSheetId="10">Tags!$CM$231</definedName>
    <definedName name="OPENIT_2016">Tags_ols!$CM$231</definedName>
    <definedName name="OPENIT_2017" localSheetId="10">Tags!$CR$231</definedName>
    <definedName name="OPENIT_2017">Tags_ols!$CR$231</definedName>
    <definedName name="OPENIT_2018" localSheetId="10">Tags!$CW$231</definedName>
    <definedName name="OPENIT_2018">Tags_ols!$CW$231</definedName>
    <definedName name="OPENIT_2019" localSheetId="10">Tags!$DB$231</definedName>
    <definedName name="OPENIT_2019">Tags_ols!$DB$231</definedName>
    <definedName name="OPENIT_2020" localSheetId="10">Tags!$DG$231</definedName>
    <definedName name="OPENIT_2020">Tags_ols!$DG$231</definedName>
    <definedName name="OPENIT_2021">Tags!$DL$231</definedName>
    <definedName name="OPENIT_2022">Tags!$DQ$231</definedName>
    <definedName name="OPENIT_2023">Tags!$DV$231</definedName>
    <definedName name="OPENIT_2024">Tags!$EA$231</definedName>
    <definedName name="OPENIT_2Q00" localSheetId="10">Tags!$H$231</definedName>
    <definedName name="OPENIT_2Q00">Tags_ols!$H$231</definedName>
    <definedName name="OPENIT_2Q01" localSheetId="10">Tags!$M$231</definedName>
    <definedName name="OPENIT_2Q01">Tags_ols!$M$231</definedName>
    <definedName name="OPENIT_2Q02" localSheetId="10">Tags!$R$231</definedName>
    <definedName name="OPENIT_2Q02">Tags_ols!$R$231</definedName>
    <definedName name="OPENIT_2Q03" localSheetId="10">Tags!$W$231</definedName>
    <definedName name="OPENIT_2Q03">Tags_ols!$W$231</definedName>
    <definedName name="OPENIT_2Q04" localSheetId="10">Tags!$AB$231</definedName>
    <definedName name="OPENIT_2Q04">Tags_ols!$AB$231</definedName>
    <definedName name="OPENIT_2Q05" localSheetId="10">Tags!$AG$231</definedName>
    <definedName name="OPENIT_2Q05">Tags_ols!$AG$231</definedName>
    <definedName name="OPENIT_2Q06" localSheetId="10">Tags!$AL$231</definedName>
    <definedName name="OPENIT_2Q06">Tags_ols!$AL$231</definedName>
    <definedName name="OPENIT_2Q07" localSheetId="10">Tags!$AQ$231</definedName>
    <definedName name="OPENIT_2Q07">Tags_ols!$AQ$231</definedName>
    <definedName name="OPENIT_2Q08" localSheetId="10">Tags!$AV$231</definedName>
    <definedName name="OPENIT_2Q08">Tags_ols!$AV$231</definedName>
    <definedName name="OPENIT_2Q09" localSheetId="10">Tags!$BA$231</definedName>
    <definedName name="OPENIT_2Q09">Tags_ols!$BA$231</definedName>
    <definedName name="OPENIT_2Q10" localSheetId="10">Tags!$BF$231</definedName>
    <definedName name="OPENIT_2Q10">Tags_ols!$BF$231</definedName>
    <definedName name="OPENIT_2Q11" localSheetId="10">Tags!$BK$231</definedName>
    <definedName name="OPENIT_2Q11">Tags_ols!$BK$231</definedName>
    <definedName name="OPENIT_2Q12" localSheetId="10">Tags!$BP$231</definedName>
    <definedName name="OPENIT_2Q12">Tags_ols!$BP$231</definedName>
    <definedName name="OPENIT_2Q13" localSheetId="10">Tags!$BU$231</definedName>
    <definedName name="OPENIT_2Q13">Tags_ols!$BU$231</definedName>
    <definedName name="OPENIT_2Q14" localSheetId="10">Tags!$BZ$231</definedName>
    <definedName name="OPENIT_2Q14">Tags_ols!$BZ$231</definedName>
    <definedName name="OPENIT_2Q15" localSheetId="10">Tags!$CE$231</definedName>
    <definedName name="OPENIT_2Q15">Tags_ols!$CE$231</definedName>
    <definedName name="OPENIT_2Q16" localSheetId="10">Tags!$CJ$231</definedName>
    <definedName name="OPENIT_2Q16">Tags_ols!$CJ$231</definedName>
    <definedName name="OPENIT_2Q17" localSheetId="10">Tags!$CO$231</definedName>
    <definedName name="OPENIT_2Q17">Tags_ols!$CO$231</definedName>
    <definedName name="OPENIT_2Q18" localSheetId="10">Tags!$CT$231</definedName>
    <definedName name="OPENIT_2Q18">Tags_ols!$CT$231</definedName>
    <definedName name="OPENIT_2Q19" localSheetId="10">Tags!$CY$231</definedName>
    <definedName name="OPENIT_2Q19">Tags_ols!$CY$231</definedName>
    <definedName name="OPENIT_2Q20" localSheetId="10">Tags!$DD$231</definedName>
    <definedName name="OPENIT_2Q20">Tags_ols!$DD$231</definedName>
    <definedName name="OPENIT_2Q21">Tags!$DI$231</definedName>
    <definedName name="OPENIT_2Q22">Tags!$DN$231</definedName>
    <definedName name="OPENIT_2Q23">Tags!$DS$231</definedName>
    <definedName name="OPENIT_2Q24">Tags!$DX$231</definedName>
    <definedName name="OPENIT_3Q00" localSheetId="10">Tags!$I$231</definedName>
    <definedName name="OPENIT_3Q00">Tags_ols!$I$231</definedName>
    <definedName name="OPENIT_3Q01" localSheetId="10">Tags!$N$231</definedName>
    <definedName name="OPENIT_3Q01">Tags_ols!$N$231</definedName>
    <definedName name="OPENIT_3Q02" localSheetId="10">Tags!$S$231</definedName>
    <definedName name="OPENIT_3Q02">Tags_ols!$S$231</definedName>
    <definedName name="OPENIT_3Q03" localSheetId="10">Tags!$X$231</definedName>
    <definedName name="OPENIT_3Q03">Tags_ols!$X$231</definedName>
    <definedName name="OPENIT_3Q04" localSheetId="10">Tags!$AC$231</definedName>
    <definedName name="OPENIT_3Q04">Tags_ols!$AC$231</definedName>
    <definedName name="OPENIT_3Q05" localSheetId="10">Tags!$AH$231</definedName>
    <definedName name="OPENIT_3Q05">Tags_ols!$AH$231</definedName>
    <definedName name="OPENIT_3Q06" localSheetId="10">Tags!$AM$231</definedName>
    <definedName name="OPENIT_3Q06">Tags_ols!$AM$231</definedName>
    <definedName name="OPENIT_3Q07" localSheetId="10">Tags!$AR$231</definedName>
    <definedName name="OPENIT_3Q07">Tags_ols!$AR$231</definedName>
    <definedName name="OPENIT_3Q08" localSheetId="10">Tags!$AW$231</definedName>
    <definedName name="OPENIT_3Q08">Tags_ols!$AW$231</definedName>
    <definedName name="OPENIT_3Q09" localSheetId="10">Tags!$BB$231</definedName>
    <definedName name="OPENIT_3Q09">Tags_ols!$BB$231</definedName>
    <definedName name="OPENIT_3Q10" localSheetId="10">Tags!$BG$231</definedName>
    <definedName name="OPENIT_3Q10">Tags_ols!$BG$231</definedName>
    <definedName name="OPENIT_3Q11" localSheetId="10">Tags!$BL$231</definedName>
    <definedName name="OPENIT_3Q11">Tags_ols!$BL$231</definedName>
    <definedName name="OPENIT_3Q12" localSheetId="10">Tags!$BQ$231</definedName>
    <definedName name="OPENIT_3Q12">Tags_ols!$BQ$231</definedName>
    <definedName name="OPENIT_3Q13" localSheetId="10">Tags!$BV$231</definedName>
    <definedName name="OPENIT_3Q13">Tags_ols!$BV$231</definedName>
    <definedName name="OPENIT_3Q14" localSheetId="10">Tags!$CA$231</definedName>
    <definedName name="OPENIT_3Q14">Tags_ols!$CA$231</definedName>
    <definedName name="OPENIT_3Q15" localSheetId="10">Tags!$CF$231</definedName>
    <definedName name="OPENIT_3Q15">Tags_ols!$CF$231</definedName>
    <definedName name="OPENIT_3Q16" localSheetId="10">Tags!$CK$231</definedName>
    <definedName name="OPENIT_3Q16">Tags_ols!$CK$231</definedName>
    <definedName name="OPENIT_3Q17" localSheetId="10">Tags!$CP$231</definedName>
    <definedName name="OPENIT_3Q17">Tags_ols!$CP$231</definedName>
    <definedName name="OPENIT_3Q18" localSheetId="10">Tags!$CU$231</definedName>
    <definedName name="OPENIT_3Q18">Tags_ols!$CU$231</definedName>
    <definedName name="OPENIT_3Q19" localSheetId="10">Tags!$CZ$231</definedName>
    <definedName name="OPENIT_3Q19">Tags_ols!$CZ$231</definedName>
    <definedName name="OPENIT_3Q20" localSheetId="10">Tags!$DE$231</definedName>
    <definedName name="OPENIT_3Q20">Tags_ols!$DE$231</definedName>
    <definedName name="OPENIT_3Q21">Tags!$DJ$231</definedName>
    <definedName name="OPENIT_3Q22">Tags!$DO$231</definedName>
    <definedName name="OPENIT_3Q23">Tags!$DT$231</definedName>
    <definedName name="OPENIT_3Q24">Tags!$DY$231</definedName>
    <definedName name="OPENIT_4Q00" localSheetId="10">Tags!$J$231</definedName>
    <definedName name="OPENIT_4Q00">Tags_ols!$J$231</definedName>
    <definedName name="OPENIT_4Q01" localSheetId="10">Tags!$O$231</definedName>
    <definedName name="OPENIT_4Q01">Tags_ols!$O$231</definedName>
    <definedName name="OPENIT_4Q02" localSheetId="10">Tags!$T$231</definedName>
    <definedName name="OPENIT_4Q02">Tags_ols!$T$231</definedName>
    <definedName name="OPENIT_4Q03" localSheetId="10">Tags!$Y$231</definedName>
    <definedName name="OPENIT_4Q03">Tags_ols!$Y$231</definedName>
    <definedName name="OPENIT_4Q04" localSheetId="10">Tags!$AD$231</definedName>
    <definedName name="OPENIT_4Q04">Tags_ols!$AD$231</definedName>
    <definedName name="OPENIT_4Q05" localSheetId="10">Tags!$AI$231</definedName>
    <definedName name="OPENIT_4Q05">Tags_ols!$AI$231</definedName>
    <definedName name="OPENIT_4Q06" localSheetId="10">Tags!$AN$231</definedName>
    <definedName name="OPENIT_4Q06">Tags_ols!$AN$231</definedName>
    <definedName name="OPENIT_4Q07" localSheetId="10">Tags!$AS$231</definedName>
    <definedName name="OPENIT_4Q07">Tags_ols!$AS$231</definedName>
    <definedName name="OPENIT_4Q08" localSheetId="10">Tags!$AX$231</definedName>
    <definedName name="OPENIT_4Q08">Tags_ols!$AX$231</definedName>
    <definedName name="OPENIT_4Q09" localSheetId="10">Tags!$BC$231</definedName>
    <definedName name="OPENIT_4Q09">Tags_ols!$BC$231</definedName>
    <definedName name="OPENIT_4Q10" localSheetId="10">Tags!$BH$231</definedName>
    <definedName name="OPENIT_4Q10">Tags_ols!$BH$231</definedName>
    <definedName name="OPENIT_4Q11" localSheetId="10">Tags!$BM$231</definedName>
    <definedName name="OPENIT_4Q11">Tags_ols!$BM$231</definedName>
    <definedName name="OPENIT_4Q12" localSheetId="10">Tags!$BR$231</definedName>
    <definedName name="OPENIT_4Q12">Tags_ols!$BR$231</definedName>
    <definedName name="OPENIT_4Q13" localSheetId="10">Tags!$BW$231</definedName>
    <definedName name="OPENIT_4Q13">Tags_ols!$BW$231</definedName>
    <definedName name="OPENIT_4Q14" localSheetId="10">Tags!$CB$231</definedName>
    <definedName name="OPENIT_4Q14">Tags_ols!$CB$231</definedName>
    <definedName name="OPENIT_4Q15" localSheetId="10">Tags!$CG$231</definedName>
    <definedName name="OPENIT_4Q15">Tags_ols!$CG$231</definedName>
    <definedName name="OPENIT_4Q16" localSheetId="10">Tags!$CL$231</definedName>
    <definedName name="OPENIT_4Q16">Tags_ols!$CL$231</definedName>
    <definedName name="OPENIT_4Q17" localSheetId="10">Tags!$CQ$231</definedName>
    <definedName name="OPENIT_4Q17">Tags_ols!$CQ$231</definedName>
    <definedName name="OPENIT_4Q18" localSheetId="10">Tags!$CV$231</definedName>
    <definedName name="OPENIT_4Q18">Tags_ols!$CV$231</definedName>
    <definedName name="OPENIT_4Q19" localSheetId="10">Tags!$DA$231</definedName>
    <definedName name="OPENIT_4Q19">Tags_ols!$DA$231</definedName>
    <definedName name="OPENIT_4Q20" localSheetId="10">Tags!$DF$231</definedName>
    <definedName name="OPENIT_4Q20">Tags_ols!$DF$231</definedName>
    <definedName name="OPENIT_4Q21">Tags!$DK$231</definedName>
    <definedName name="OPENIT_4Q22">Tags!$DP$231</definedName>
    <definedName name="OPENIT_4Q23">Tags!$DU$231</definedName>
    <definedName name="OPENIT_4Q24">Tags!$DZ$231</definedName>
    <definedName name="OPLREX_1995">Tags_ols!$B$47</definedName>
    <definedName name="OPLREX_1996">Tags_ols!$C$47</definedName>
    <definedName name="OPLREX_1997">Tags_ols!$D$47</definedName>
    <definedName name="OPLREX_1998">Tags_ols!$E$47</definedName>
    <definedName name="OPLREX_1999">Tags_ols!$F$47</definedName>
    <definedName name="OPLREX_1Q00" localSheetId="10">Tags!$G$47</definedName>
    <definedName name="OPLREX_1Q00">Tags_ols!$G$47</definedName>
    <definedName name="OPLREX_1Q01" localSheetId="10">Tags!$L$47</definedName>
    <definedName name="OPLREX_1Q01">Tags_ols!$L$47</definedName>
    <definedName name="OPLREX_1Q02" localSheetId="10">Tags!$Q$47</definedName>
    <definedName name="OPLREX_1Q02">Tags_ols!$Q$47</definedName>
    <definedName name="OPLREX_1Q03" localSheetId="10">Tags!$V$47</definedName>
    <definedName name="OPLREX_1Q03">Tags_ols!$V$47</definedName>
    <definedName name="OPLREX_1Q04" localSheetId="10">Tags!$AA$47</definedName>
    <definedName name="OPLREX_1Q04">Tags_ols!$AA$47</definedName>
    <definedName name="OPLREX_1Q05" localSheetId="10">Tags!$AF$47</definedName>
    <definedName name="OPLREX_1Q05">Tags_ols!$AF$47</definedName>
    <definedName name="OPLREX_1Q06" localSheetId="10">Tags!$AK$47</definedName>
    <definedName name="OPLREX_1Q06">Tags_ols!$AK$47</definedName>
    <definedName name="OPLREX_1Q07" localSheetId="10">Tags!$AP$47</definedName>
    <definedName name="OPLREX_1Q07">Tags_ols!$AP$47</definedName>
    <definedName name="OPLREX_1Q08" localSheetId="10">Tags!$AU$47</definedName>
    <definedName name="OPLREX_1Q08">Tags_ols!$AU$47</definedName>
    <definedName name="OPLREX_1Q09" localSheetId="10">Tags!$AZ$47</definedName>
    <definedName name="OPLREX_1Q09">Tags_ols!$AZ$47</definedName>
    <definedName name="OPLREX_1Q10" localSheetId="10">Tags!$BE$47</definedName>
    <definedName name="OPLREX_1Q10">Tags_ols!$BE$47</definedName>
    <definedName name="OPLREX_1Q11" localSheetId="10">Tags!$BJ$47</definedName>
    <definedName name="OPLREX_1Q11">Tags_ols!$BJ$47</definedName>
    <definedName name="OPLREX_1Q12" localSheetId="10">Tags!$BO$47</definedName>
    <definedName name="OPLREX_1Q12">Tags_ols!$BO$47</definedName>
    <definedName name="OPLREX_1Q13" localSheetId="10">Tags!$BT$47</definedName>
    <definedName name="OPLREX_1Q13">Tags_ols!$BT$47</definedName>
    <definedName name="OPLREX_1Q14" localSheetId="10">Tags!$BY$47</definedName>
    <definedName name="OPLREX_1Q14">Tags_ols!$BY$47</definedName>
    <definedName name="OPLREX_1Q15" localSheetId="10">Tags!$CD$47</definedName>
    <definedName name="OPLREX_1Q15">Tags_ols!$CD$47</definedName>
    <definedName name="OPLREX_1Q16" localSheetId="10">Tags!$CI$47</definedName>
    <definedName name="OPLREX_1Q16">Tags_ols!$CI$47</definedName>
    <definedName name="OPLREX_1Q17" localSheetId="10">Tags!$CN$47</definedName>
    <definedName name="OPLREX_1Q17">Tags_ols!$CN$47</definedName>
    <definedName name="OPLREX_1Q18" localSheetId="10">Tags!$CS$47</definedName>
    <definedName name="OPLREX_1Q18">Tags_ols!$CS$47</definedName>
    <definedName name="OPLREX_1Q19" localSheetId="10">Tags!$CX$47</definedName>
    <definedName name="OPLREX_1Q19">Tags_ols!$CX$47</definedName>
    <definedName name="OPLREX_1Q20" localSheetId="10">Tags!$DC$47</definedName>
    <definedName name="OPLREX_1Q20">Tags_ols!$DC$47</definedName>
    <definedName name="OPLREX_1Q21">Tags!$DH$47</definedName>
    <definedName name="OPLREX_1Q22">Tags!$DM$47</definedName>
    <definedName name="OPLREX_1Q23">Tags!$DR$47</definedName>
    <definedName name="OPLREX_1Q24">Tags!$DW$47</definedName>
    <definedName name="OPLREX_2000" localSheetId="10">Tags!$K$47</definedName>
    <definedName name="OPLREX_2000">Tags_ols!$K$47</definedName>
    <definedName name="OPLREX_2001" localSheetId="10">Tags!$P$47</definedName>
    <definedName name="OPLREX_2001">Tags_ols!$P$47</definedName>
    <definedName name="OPLREX_2002" localSheetId="10">Tags!$U$47</definedName>
    <definedName name="OPLREX_2002">Tags_ols!$U$47</definedName>
    <definedName name="OPLREX_2003" localSheetId="10">Tags!$Z$47</definedName>
    <definedName name="OPLREX_2003">Tags_ols!$Z$47</definedName>
    <definedName name="OPLREX_2004" localSheetId="10">Tags!$AE$47</definedName>
    <definedName name="OPLREX_2004">Tags_ols!$AE$47</definedName>
    <definedName name="OPLREX_2005" localSheetId="10">Tags!$AJ$47</definedName>
    <definedName name="OPLREX_2005">Tags_ols!$AJ$47</definedName>
    <definedName name="OPLREX_2006" localSheetId="10">Tags!$AO$47</definedName>
    <definedName name="OPLREX_2006">Tags_ols!$AO$47</definedName>
    <definedName name="OPLREX_2007" localSheetId="10">Tags!$AT$47</definedName>
    <definedName name="OPLREX_2007">Tags_ols!$AT$47</definedName>
    <definedName name="OPLREX_2008" localSheetId="10">Tags!$AY$47</definedName>
    <definedName name="OPLREX_2008">Tags_ols!$AY$47</definedName>
    <definedName name="OPLREX_2009" localSheetId="10">Tags!$BD$47</definedName>
    <definedName name="OPLREX_2009">Tags_ols!$BD$47</definedName>
    <definedName name="OPLREX_2010" localSheetId="10">Tags!$BI$47</definedName>
    <definedName name="OPLREX_2010">Tags_ols!$BI$47</definedName>
    <definedName name="OPLREX_2011" localSheetId="10">Tags!$BN$47</definedName>
    <definedName name="OPLREX_2011">Tags_ols!$BN$47</definedName>
    <definedName name="OPLREX_2012" localSheetId="10">Tags!$BS$47</definedName>
    <definedName name="OPLREX_2012">Tags_ols!$BS$47</definedName>
    <definedName name="OPLREX_2013" localSheetId="10">Tags!$BX$47</definedName>
    <definedName name="OPLREX_2013">Tags_ols!$BX$47</definedName>
    <definedName name="OPLREX_2014" localSheetId="10">Tags!$CC$47</definedName>
    <definedName name="OPLREX_2014">Tags_ols!$CC$47</definedName>
    <definedName name="OPLREX_2015" localSheetId="10">Tags!#REF!</definedName>
    <definedName name="OPLREX_2015">Tags!$CH$47</definedName>
    <definedName name="OPLREX_2016" localSheetId="10">Tags!$CM$47</definedName>
    <definedName name="OPLREX_2016">Tags_ols!$CM$47</definedName>
    <definedName name="OPLREX_2017" localSheetId="10">Tags!$CR$47</definedName>
    <definedName name="OPLREX_2017">Tags_ols!$CR$47</definedName>
    <definedName name="OPLREX_2018" localSheetId="10">Tags!$CW$47</definedName>
    <definedName name="OPLREX_2018">Tags_ols!$CW$47</definedName>
    <definedName name="OPLREX_2019" localSheetId="10">Tags!$DB$47</definedName>
    <definedName name="OPLREX_2019">Tags_ols!$DB$47</definedName>
    <definedName name="OPLREX_2020" localSheetId="10">Tags!$DG$47</definedName>
    <definedName name="OPLREX_2020">Tags_ols!$DG$47</definedName>
    <definedName name="OPLREX_2021">Tags!$DL$47</definedName>
    <definedName name="OPLREX_2022">Tags!$DQ$47</definedName>
    <definedName name="OPLREX_2023">Tags!$DV$47</definedName>
    <definedName name="OPLREX_2024">Tags!$EA$47</definedName>
    <definedName name="OPLREX_2Q00" localSheetId="10">Tags!$H$47</definedName>
    <definedName name="OPLREX_2Q00">Tags_ols!$H$47</definedName>
    <definedName name="OPLREX_2Q01" localSheetId="10">Tags!$M$47</definedName>
    <definedName name="OPLREX_2Q01">Tags_ols!$M$47</definedName>
    <definedName name="OPLREX_2Q02" localSheetId="10">Tags!$R$47</definedName>
    <definedName name="OPLREX_2Q02">Tags_ols!$R$47</definedName>
    <definedName name="OPLREX_2Q03" localSheetId="10">Tags!$W$47</definedName>
    <definedName name="OPLREX_2Q03">Tags_ols!$W$47</definedName>
    <definedName name="OPLREX_2Q04" localSheetId="10">Tags!$AB$47</definedName>
    <definedName name="OPLREX_2Q04">Tags_ols!$AB$47</definedName>
    <definedName name="OPLREX_2Q05" localSheetId="10">Tags!$AG$47</definedName>
    <definedName name="OPLREX_2Q05">Tags_ols!$AG$47</definedName>
    <definedName name="OPLREX_2Q06" localSheetId="10">Tags!$AL$47</definedName>
    <definedName name="OPLREX_2Q06">Tags_ols!$AL$47</definedName>
    <definedName name="OPLREX_2Q07" localSheetId="10">Tags!$AQ$47</definedName>
    <definedName name="OPLREX_2Q07">Tags_ols!$AQ$47</definedName>
    <definedName name="OPLREX_2Q08" localSheetId="10">Tags!$AV$47</definedName>
    <definedName name="OPLREX_2Q08">Tags_ols!$AV$47</definedName>
    <definedName name="OPLREX_2Q09" localSheetId="10">Tags!$BA$47</definedName>
    <definedName name="OPLREX_2Q09">Tags_ols!$BA$47</definedName>
    <definedName name="OPLREX_2Q10" localSheetId="10">Tags!$BF$47</definedName>
    <definedName name="OPLREX_2Q10">Tags_ols!$BF$47</definedName>
    <definedName name="OPLREX_2Q11" localSheetId="10">Tags!$BK$47</definedName>
    <definedName name="OPLREX_2Q11">Tags_ols!$BK$47</definedName>
    <definedName name="OPLREX_2Q12" localSheetId="10">Tags!$BP$47</definedName>
    <definedName name="OPLREX_2Q12">Tags_ols!$BP$47</definedName>
    <definedName name="OPLREX_2Q13" localSheetId="10">Tags!$BU$47</definedName>
    <definedName name="OPLREX_2Q13">Tags_ols!$BU$47</definedName>
    <definedName name="OPLREX_2Q14" localSheetId="10">Tags!$BZ$47</definedName>
    <definedName name="OPLREX_2Q14">Tags_ols!$BZ$47</definedName>
    <definedName name="OPLREX_2Q15" localSheetId="10">Tags!$CE$47</definedName>
    <definedName name="OPLREX_2Q15">Tags_ols!$CE$47</definedName>
    <definedName name="OPLREX_2Q16" localSheetId="10">Tags!$CJ$47</definedName>
    <definedName name="OPLREX_2Q16">Tags_ols!$CJ$47</definedName>
    <definedName name="OPLREX_2Q17" localSheetId="10">Tags!$CO$47</definedName>
    <definedName name="OPLREX_2Q17">Tags_ols!$CO$47</definedName>
    <definedName name="OPLREX_2Q18" localSheetId="10">Tags!$CT$47</definedName>
    <definedName name="OPLREX_2Q18">Tags_ols!$CT$47</definedName>
    <definedName name="OPLREX_2Q19" localSheetId="10">Tags!$CY$47</definedName>
    <definedName name="OPLREX_2Q19">Tags_ols!$CY$47</definedName>
    <definedName name="OPLREX_2Q20" localSheetId="10">Tags!$DD$47</definedName>
    <definedName name="OPLREX_2Q20">Tags_ols!$DD$47</definedName>
    <definedName name="OPLREX_2Q21">Tags!$DI$47</definedName>
    <definedName name="OPLREX_2Q22">Tags!$DN$47</definedName>
    <definedName name="OPLREX_2Q23">Tags!$DS$47</definedName>
    <definedName name="OPLREX_2Q24">Tags!$DX$47</definedName>
    <definedName name="OPLREX_3Q00" localSheetId="10">Tags!$I$47</definedName>
    <definedName name="OPLREX_3Q00">Tags_ols!$I$47</definedName>
    <definedName name="OPLREX_3Q01" localSheetId="10">Tags!$N$47</definedName>
    <definedName name="OPLREX_3Q01">Tags_ols!$N$47</definedName>
    <definedName name="OPLREX_3Q02" localSheetId="10">Tags!$S$47</definedName>
    <definedName name="OPLREX_3Q02">Tags_ols!$S$47</definedName>
    <definedName name="OPLREX_3Q03" localSheetId="10">Tags!$X$47</definedName>
    <definedName name="OPLREX_3Q03">Tags_ols!$X$47</definedName>
    <definedName name="OPLREX_3Q04" localSheetId="10">Tags!$AC$47</definedName>
    <definedName name="OPLREX_3Q04">Tags_ols!$AC$47</definedName>
    <definedName name="OPLREX_3Q05" localSheetId="10">Tags!$AH$47</definedName>
    <definedName name="OPLREX_3Q05">Tags_ols!$AH$47</definedName>
    <definedName name="OPLREX_3Q06" localSheetId="10">Tags!$AM$47</definedName>
    <definedName name="OPLREX_3Q06">Tags_ols!$AM$47</definedName>
    <definedName name="OPLREX_3Q07" localSheetId="10">Tags!$AR$47</definedName>
    <definedName name="OPLREX_3Q07">Tags_ols!$AR$47</definedName>
    <definedName name="OPLREX_3Q08" localSheetId="10">Tags!$AW$47</definedName>
    <definedName name="OPLREX_3Q08">Tags_ols!$AW$47</definedName>
    <definedName name="OPLREX_3Q09" localSheetId="10">Tags!$BB$47</definedName>
    <definedName name="OPLREX_3Q09">Tags_ols!$BB$47</definedName>
    <definedName name="OPLREX_3Q10" localSheetId="10">Tags!$BG$47</definedName>
    <definedName name="OPLREX_3Q10">Tags_ols!$BG$47</definedName>
    <definedName name="OPLREX_3Q11" localSheetId="10">Tags!$BL$47</definedName>
    <definedName name="OPLREX_3Q11">Tags_ols!$BL$47</definedName>
    <definedName name="OPLREX_3Q12" localSheetId="10">Tags!$BQ$47</definedName>
    <definedName name="OPLREX_3Q12">Tags_ols!$BQ$47</definedName>
    <definedName name="OPLREX_3Q13" localSheetId="10">Tags!$BV$47</definedName>
    <definedName name="OPLREX_3Q13">Tags_ols!$BV$47</definedName>
    <definedName name="OPLREX_3Q14" localSheetId="10">Tags!$CA$47</definedName>
    <definedName name="OPLREX_3Q14">Tags_ols!$CA$47</definedName>
    <definedName name="OPLREX_3Q15" localSheetId="10">Tags!$CF$47</definedName>
    <definedName name="OPLREX_3Q15">Tags_ols!$CF$47</definedName>
    <definedName name="OPLREX_3Q16" localSheetId="10">Tags!$CK$47</definedName>
    <definedName name="OPLREX_3Q16">Tags_ols!$CK$47</definedName>
    <definedName name="OPLREX_3Q17" localSheetId="10">Tags!$CP$47</definedName>
    <definedName name="OPLREX_3Q17">Tags_ols!$CP$47</definedName>
    <definedName name="OPLREX_3Q18" localSheetId="10">Tags!$CU$47</definedName>
    <definedName name="OPLREX_3Q18">Tags_ols!$CU$47</definedName>
    <definedName name="OPLREX_3Q19" localSheetId="10">Tags!$CZ$47</definedName>
    <definedName name="OPLREX_3Q19">Tags_ols!$CZ$47</definedName>
    <definedName name="OPLREX_3Q20" localSheetId="10">Tags!$DE$47</definedName>
    <definedName name="OPLREX_3Q20">Tags_ols!$DE$47</definedName>
    <definedName name="OPLREX_3Q21">Tags!$DJ$47</definedName>
    <definedName name="OPLREX_3Q22">Tags!$DO$47</definedName>
    <definedName name="OPLREX_3Q23">Tags!$DT$47</definedName>
    <definedName name="OPLREX_3Q24">Tags!$DY$47</definedName>
    <definedName name="OPLREX_4Q00" localSheetId="10">Tags!$J$47</definedName>
    <definedName name="OPLREX_4Q00">Tags_ols!$J$47</definedName>
    <definedName name="OPLREX_4Q01" localSheetId="10">Tags!$O$47</definedName>
    <definedName name="OPLREX_4Q01">Tags_ols!$O$47</definedName>
    <definedName name="OPLREX_4Q02" localSheetId="10">Tags!$T$47</definedName>
    <definedName name="OPLREX_4Q02">Tags_ols!$T$47</definedName>
    <definedName name="OPLREX_4Q03" localSheetId="10">Tags!$Y$47</definedName>
    <definedName name="OPLREX_4Q03">Tags_ols!$Y$47</definedName>
    <definedName name="OPLREX_4Q04" localSheetId="10">Tags!$AD$47</definedName>
    <definedName name="OPLREX_4Q04">Tags_ols!$AD$47</definedName>
    <definedName name="OPLREX_4Q05" localSheetId="10">Tags!$AI$47</definedName>
    <definedName name="OPLREX_4Q05">Tags_ols!$AI$47</definedName>
    <definedName name="OPLREX_4Q06" localSheetId="10">Tags!$AN$47</definedName>
    <definedName name="OPLREX_4Q06">Tags_ols!$AN$47</definedName>
    <definedName name="OPLREX_4Q07" localSheetId="10">Tags!$AS$47</definedName>
    <definedName name="OPLREX_4Q07">Tags_ols!$AS$47</definedName>
    <definedName name="OPLREX_4Q08" localSheetId="10">Tags!$AX$47</definedName>
    <definedName name="OPLREX_4Q08">Tags_ols!$AX$47</definedName>
    <definedName name="OPLREX_4Q09" localSheetId="10">Tags!$BC$47</definedName>
    <definedName name="OPLREX_4Q09">Tags_ols!$BC$47</definedName>
    <definedName name="OPLREX_4Q10" localSheetId="10">Tags!$BH$47</definedName>
    <definedName name="OPLREX_4Q10">Tags_ols!$BH$47</definedName>
    <definedName name="OPLREX_4Q11" localSheetId="10">Tags!$BM$47</definedName>
    <definedName name="OPLREX_4Q11">Tags_ols!$BM$47</definedName>
    <definedName name="OPLREX_4Q12" localSheetId="10">Tags!$BR$47</definedName>
    <definedName name="OPLREX_4Q12">Tags_ols!$BR$47</definedName>
    <definedName name="OPLREX_4Q13" localSheetId="10">Tags!$BW$47</definedName>
    <definedName name="OPLREX_4Q13">Tags_ols!$BW$47</definedName>
    <definedName name="OPLREX_4Q14" localSheetId="10">Tags!$CB$47</definedName>
    <definedName name="OPLREX_4Q14">Tags_ols!$CB$47</definedName>
    <definedName name="OPLREX_4Q15" localSheetId="10">Tags!$CG$47</definedName>
    <definedName name="OPLREX_4Q15">Tags_ols!$CG$47</definedName>
    <definedName name="OPLREX_4Q16" localSheetId="10">Tags!$CL$47</definedName>
    <definedName name="OPLREX_4Q16">Tags_ols!$CL$47</definedName>
    <definedName name="OPLREX_4Q17" localSheetId="10">Tags!$CQ$47</definedName>
    <definedName name="OPLREX_4Q17">Tags_ols!$CQ$47</definedName>
    <definedName name="OPLREX_4Q18" localSheetId="10">Tags!$CV$47</definedName>
    <definedName name="OPLREX_4Q18">Tags_ols!$CV$47</definedName>
    <definedName name="OPLREX_4Q19" localSheetId="10">Tags!$DA$47</definedName>
    <definedName name="OPLREX_4Q19">Tags_ols!$DA$47</definedName>
    <definedName name="OPLREX_4Q20" localSheetId="10">Tags!$DF$47</definedName>
    <definedName name="OPLREX_4Q20">Tags_ols!$DF$47</definedName>
    <definedName name="OPLREX_4Q21">Tags!$DK$47</definedName>
    <definedName name="OPLREX_4Q22">Tags!$DP$47</definedName>
    <definedName name="OPLREX_4Q23">Tags!$DU$47</definedName>
    <definedName name="OPLREX_4Q24">Tags!$DZ$47</definedName>
    <definedName name="OPTNOI_1995">Tags_ols!$B$15</definedName>
    <definedName name="OPTNOI_1996">Tags_ols!$C$15</definedName>
    <definedName name="OPTNOI_1997">Tags_ols!$D$15</definedName>
    <definedName name="OPTNOI_1998">Tags_ols!$E$15</definedName>
    <definedName name="OPTNOI_1999">Tags_ols!$F$15</definedName>
    <definedName name="OPTNOI_1Q00" localSheetId="10">Tags!$G$15</definedName>
    <definedName name="OPTNOI_1Q00">Tags_ols!$G$15</definedName>
    <definedName name="OPTNOI_1Q01" localSheetId="10">Tags!$L$15</definedName>
    <definedName name="OPTNOI_1Q01">Tags_ols!$L$15</definedName>
    <definedName name="OPTNOI_1Q02" localSheetId="10">Tags!$Q$15</definedName>
    <definedName name="OPTNOI_1Q02">Tags_ols!$Q$15</definedName>
    <definedName name="OPTNOI_1Q03" localSheetId="10">Tags!$V$15</definedName>
    <definedName name="OPTNOI_1Q03">Tags_ols!$V$15</definedName>
    <definedName name="OPTNOI_1Q04" localSheetId="10">Tags!$AA$15</definedName>
    <definedName name="OPTNOI_1Q04">Tags_ols!$AA$15</definedName>
    <definedName name="OPTNOI_1Q05" localSheetId="10">Tags!$AF$15</definedName>
    <definedName name="OPTNOI_1Q05">Tags_ols!$AF$15</definedName>
    <definedName name="OPTNOI_1Q06" localSheetId="10">Tags!$AK$15</definedName>
    <definedName name="OPTNOI_1Q06">Tags_ols!$AK$15</definedName>
    <definedName name="OPTNOI_1Q07" localSheetId="10">Tags!$AP$15</definedName>
    <definedName name="OPTNOI_1Q07">Tags_ols!$AP$15</definedName>
    <definedName name="OPTNOI_1Q08" localSheetId="10">Tags!$AU$15</definedName>
    <definedName name="OPTNOI_1Q08">Tags_ols!$AU$15</definedName>
    <definedName name="OPTNOI_1Q09" localSheetId="10">Tags!$AZ$15</definedName>
    <definedName name="OPTNOI_1Q09">Tags_ols!$AZ$15</definedName>
    <definedName name="OPTNOI_1Q10" localSheetId="10">Tags!$BE$15</definedName>
    <definedName name="OPTNOI_1Q10">Tags_ols!$BE$15</definedName>
    <definedName name="OPTNOI_1Q11" localSheetId="10">Tags!$BJ$15</definedName>
    <definedName name="OPTNOI_1Q11">Tags_ols!$BJ$15</definedName>
    <definedName name="OPTNOI_1Q12" localSheetId="10">Tags!$BO$15</definedName>
    <definedName name="OPTNOI_1Q12">Tags_ols!$BO$15</definedName>
    <definedName name="OPTNOI_1Q13" localSheetId="10">Tags!$BT$15</definedName>
    <definedName name="OPTNOI_1Q13">Tags_ols!$BT$15</definedName>
    <definedName name="OPTNOI_1Q14" localSheetId="10">Tags!$BY$15</definedName>
    <definedName name="OPTNOI_1Q14">Tags_ols!$BY$15</definedName>
    <definedName name="OPTNOI_1Q15" localSheetId="10">Tags!$CD$15</definedName>
    <definedName name="OPTNOI_1Q15">Tags_ols!$CD$15</definedName>
    <definedName name="OPTNOI_1Q16" localSheetId="10">Tags!$CI$15</definedName>
    <definedName name="OPTNOI_1Q16">Tags_ols!$CI$15</definedName>
    <definedName name="OPTNOI_1Q17" localSheetId="10">Tags!$CN$15</definedName>
    <definedName name="OPTNOI_1Q17">Tags_ols!$CN$15</definedName>
    <definedName name="OPTNOI_1Q18" localSheetId="10">Tags!$CS$15</definedName>
    <definedName name="OPTNOI_1Q18">Tags_ols!$CS$15</definedName>
    <definedName name="OPTNOI_1Q19" localSheetId="10">Tags!$CX$15</definedName>
    <definedName name="OPTNOI_1Q19">Tags_ols!$CX$15</definedName>
    <definedName name="OPTNOI_1Q20" localSheetId="10">Tags!$DC$15</definedName>
    <definedName name="OPTNOI_1Q20">Tags_ols!$DC$15</definedName>
    <definedName name="OPTNOI_1Q21">Tags!$DH$15</definedName>
    <definedName name="OPTNOI_1Q22">Tags!$DM$15</definedName>
    <definedName name="OPTNOI_1Q23">Tags!$DR$15</definedName>
    <definedName name="OPTNOI_1Q24">Tags!$DW$15</definedName>
    <definedName name="OPTNOI_2000" localSheetId="10">Tags!$K$15</definedName>
    <definedName name="OPTNOI_2000">Tags_ols!$K$15</definedName>
    <definedName name="OPTNOI_2001" localSheetId="10">Tags!$P$15</definedName>
    <definedName name="OPTNOI_2001">Tags_ols!$P$15</definedName>
    <definedName name="OPTNOI_2002" localSheetId="10">Tags!$U$15</definedName>
    <definedName name="OPTNOI_2002">Tags_ols!$U$15</definedName>
    <definedName name="OPTNOI_2003" localSheetId="10">Tags!$Z$15</definedName>
    <definedName name="OPTNOI_2003">Tags_ols!$Z$15</definedName>
    <definedName name="OPTNOI_2004" localSheetId="10">Tags!$AE$15</definedName>
    <definedName name="OPTNOI_2004">Tags_ols!$AE$15</definedName>
    <definedName name="OPTNOI_2005" localSheetId="10">Tags!$AJ$15</definedName>
    <definedName name="OPTNOI_2005">Tags_ols!$AJ$15</definedName>
    <definedName name="OPTNOI_2006" localSheetId="10">Tags!$AO$15</definedName>
    <definedName name="OPTNOI_2006">Tags_ols!$AO$15</definedName>
    <definedName name="OPTNOI_2007" localSheetId="10">Tags!$AT$15</definedName>
    <definedName name="OPTNOI_2007">Tags_ols!$AT$15</definedName>
    <definedName name="OPTNOI_2008" localSheetId="10">Tags!$AY$15</definedName>
    <definedName name="OPTNOI_2008">Tags_ols!$AY$15</definedName>
    <definedName name="OPTNOI_2009" localSheetId="10">Tags!$BD$15</definedName>
    <definedName name="OPTNOI_2009">Tags_ols!$BD$15</definedName>
    <definedName name="OPTNOI_2010" localSheetId="10">Tags!$BI$15</definedName>
    <definedName name="OPTNOI_2010">Tags_ols!$BI$15</definedName>
    <definedName name="OPTNOI_2011" localSheetId="10">Tags!$BN$15</definedName>
    <definedName name="OPTNOI_2011">Tags_ols!$BN$15</definedName>
    <definedName name="OPTNOI_2012" localSheetId="10">Tags!$BS$15</definedName>
    <definedName name="OPTNOI_2012">Tags_ols!$BS$15</definedName>
    <definedName name="OPTNOI_2013" localSheetId="10">Tags!$BX$15</definedName>
    <definedName name="OPTNOI_2013">Tags_ols!$BX$15</definedName>
    <definedName name="OPTNOI_2014" localSheetId="10">Tags!$CC$15</definedName>
    <definedName name="OPTNOI_2014">Tags_ols!$CC$15</definedName>
    <definedName name="OPTNOI_2015" localSheetId="10">Tags!#REF!</definedName>
    <definedName name="OPTNOI_2015">Tags!$CH$15</definedName>
    <definedName name="OPTNOI_2016" localSheetId="10">Tags!$CM$15</definedName>
    <definedName name="OPTNOI_2016">Tags_ols!$CM$15</definedName>
    <definedName name="OPTNOI_2017" localSheetId="10">Tags!$CR$15</definedName>
    <definedName name="OPTNOI_2017">Tags_ols!$CR$15</definedName>
    <definedName name="OPTNOI_2018" localSheetId="10">Tags!$CW$15</definedName>
    <definedName name="OPTNOI_2018">Tags_ols!$CW$15</definedName>
    <definedName name="OPTNOI_2019" localSheetId="10">Tags!$DB$15</definedName>
    <definedName name="OPTNOI_2019">Tags_ols!$DB$15</definedName>
    <definedName name="OPTNOI_2020" localSheetId="10">Tags!$DG$15</definedName>
    <definedName name="OPTNOI_2020">Tags_ols!$DG$15</definedName>
    <definedName name="OPTNOI_2021">Tags!$DL$15</definedName>
    <definedName name="OPTNOI_2022">Tags!$DQ$15</definedName>
    <definedName name="OPTNOI_2023">Tags!$DV$15</definedName>
    <definedName name="OPTNOI_2024">Tags!$EA$15</definedName>
    <definedName name="OPTNOI_2Q00" localSheetId="10">Tags!$H$15</definedName>
    <definedName name="OPTNOI_2Q00">Tags_ols!$H$15</definedName>
    <definedName name="OPTNOI_2Q01" localSheetId="10">Tags!$M$15</definedName>
    <definedName name="OPTNOI_2Q01">Tags_ols!$M$15</definedName>
    <definedName name="OPTNOI_2Q02" localSheetId="10">Tags!$R$15</definedName>
    <definedName name="OPTNOI_2Q02">Tags_ols!$R$15</definedName>
    <definedName name="OPTNOI_2Q03" localSheetId="10">Tags!$W$15</definedName>
    <definedName name="OPTNOI_2Q03">Tags_ols!$W$15</definedName>
    <definedName name="OPTNOI_2Q04" localSheetId="10">Tags!$AB$15</definedName>
    <definedName name="OPTNOI_2Q04">Tags_ols!$AB$15</definedName>
    <definedName name="OPTNOI_2Q05" localSheetId="10">Tags!$AG$15</definedName>
    <definedName name="OPTNOI_2Q05">Tags_ols!$AG$15</definedName>
    <definedName name="OPTNOI_2Q06" localSheetId="10">Tags!$AL$15</definedName>
    <definedName name="OPTNOI_2Q06">Tags_ols!$AL$15</definedName>
    <definedName name="OPTNOI_2Q07" localSheetId="10">Tags!$AQ$15</definedName>
    <definedName name="OPTNOI_2Q07">Tags_ols!$AQ$15</definedName>
    <definedName name="OPTNOI_2Q08" localSheetId="10">Tags!$AV$15</definedName>
    <definedName name="OPTNOI_2Q08">Tags_ols!$AV$15</definedName>
    <definedName name="OPTNOI_2Q09" localSheetId="10">Tags!$BA$15</definedName>
    <definedName name="OPTNOI_2Q09">Tags_ols!$BA$15</definedName>
    <definedName name="OPTNOI_2Q10" localSheetId="10">Tags!$BF$15</definedName>
    <definedName name="OPTNOI_2Q10">Tags_ols!$BF$15</definedName>
    <definedName name="OPTNOI_2Q11" localSheetId="10">Tags!$BK$15</definedName>
    <definedName name="OPTNOI_2Q11">Tags_ols!$BK$15</definedName>
    <definedName name="OPTNOI_2Q12" localSheetId="10">Tags!$BP$15</definedName>
    <definedName name="OPTNOI_2Q12">Tags_ols!$BP$15</definedName>
    <definedName name="OPTNOI_2Q13" localSheetId="10">Tags!$BU$15</definedName>
    <definedName name="OPTNOI_2Q13">Tags_ols!$BU$15</definedName>
    <definedName name="OPTNOI_2Q14" localSheetId="10">Tags!$BZ$15</definedName>
    <definedName name="OPTNOI_2Q14">Tags_ols!$BZ$15</definedName>
    <definedName name="OPTNOI_2Q15" localSheetId="10">Tags!$CE$15</definedName>
    <definedName name="OPTNOI_2Q15">Tags_ols!$CE$15</definedName>
    <definedName name="OPTNOI_2Q16" localSheetId="10">Tags!$CJ$15</definedName>
    <definedName name="OPTNOI_2Q16">Tags_ols!$CJ$15</definedName>
    <definedName name="OPTNOI_2Q17" localSheetId="10">Tags!$CO$15</definedName>
    <definedName name="OPTNOI_2Q17">Tags_ols!$CO$15</definedName>
    <definedName name="OPTNOI_2Q18" localSheetId="10">Tags!$CT$15</definedName>
    <definedName name="OPTNOI_2Q18">Tags_ols!$CT$15</definedName>
    <definedName name="OPTNOI_2Q19" localSheetId="10">Tags!$CY$15</definedName>
    <definedName name="OPTNOI_2Q19">Tags_ols!$CY$15</definedName>
    <definedName name="OPTNOI_2Q20" localSheetId="10">Tags!$DD$15</definedName>
    <definedName name="OPTNOI_2Q20">Tags_ols!$DD$15</definedName>
    <definedName name="OPTNOI_2Q21">Tags!$DI$15</definedName>
    <definedName name="OPTNOI_2Q22">Tags!$DN$15</definedName>
    <definedName name="OPTNOI_2Q23">Tags!$DS$15</definedName>
    <definedName name="OPTNOI_2Q24">Tags!$DX$15</definedName>
    <definedName name="OPTNOI_3Q00" localSheetId="10">Tags!$I$15</definedName>
    <definedName name="OPTNOI_3Q00">Tags_ols!$I$15</definedName>
    <definedName name="OPTNOI_3Q01" localSheetId="10">Tags!$N$15</definedName>
    <definedName name="OPTNOI_3Q01">Tags_ols!$N$15</definedName>
    <definedName name="OPTNOI_3Q02" localSheetId="10">Tags!$S$15</definedName>
    <definedName name="OPTNOI_3Q02">Tags_ols!$S$15</definedName>
    <definedName name="OPTNOI_3Q03" localSheetId="10">Tags!$X$15</definedName>
    <definedName name="OPTNOI_3Q03">Tags_ols!$X$15</definedName>
    <definedName name="OPTNOI_3Q04" localSheetId="10">Tags!$AC$15</definedName>
    <definedName name="OPTNOI_3Q04">Tags_ols!$AC$15</definedName>
    <definedName name="OPTNOI_3Q05" localSheetId="10">Tags!$AH$15</definedName>
    <definedName name="OPTNOI_3Q05">Tags_ols!$AH$15</definedName>
    <definedName name="OPTNOI_3Q06" localSheetId="10">Tags!$AM$15</definedName>
    <definedName name="OPTNOI_3Q06">Tags_ols!$AM$15</definedName>
    <definedName name="OPTNOI_3Q07" localSheetId="10">Tags!$AR$15</definedName>
    <definedName name="OPTNOI_3Q07">Tags_ols!$AR$15</definedName>
    <definedName name="OPTNOI_3Q08" localSheetId="10">Tags!$AW$15</definedName>
    <definedName name="OPTNOI_3Q08">Tags_ols!$AW$15</definedName>
    <definedName name="OPTNOI_3Q09" localSheetId="10">Tags!$BB$15</definedName>
    <definedName name="OPTNOI_3Q09">Tags_ols!$BB$15</definedName>
    <definedName name="OPTNOI_3Q10" localSheetId="10">Tags!$BG$15</definedName>
    <definedName name="OPTNOI_3Q10">Tags_ols!$BG$15</definedName>
    <definedName name="OPTNOI_3Q11" localSheetId="10">Tags!$BL$15</definedName>
    <definedName name="OPTNOI_3Q11">Tags_ols!$BL$15</definedName>
    <definedName name="OPTNOI_3Q12" localSheetId="10">Tags!$BQ$15</definedName>
    <definedName name="OPTNOI_3Q12">Tags_ols!$BQ$15</definedName>
    <definedName name="OPTNOI_3Q13" localSheetId="10">Tags!$BV$15</definedName>
    <definedName name="OPTNOI_3Q13">Tags_ols!$BV$15</definedName>
    <definedName name="OPTNOI_3Q14" localSheetId="10">Tags!$CA$15</definedName>
    <definedName name="OPTNOI_3Q14">Tags_ols!$CA$15</definedName>
    <definedName name="OPTNOI_3Q15" localSheetId="10">Tags!$CF$15</definedName>
    <definedName name="OPTNOI_3Q15">Tags_ols!$CF$15</definedName>
    <definedName name="OPTNOI_3Q16" localSheetId="10">Tags!$CK$15</definedName>
    <definedName name="OPTNOI_3Q16">Tags_ols!$CK$15</definedName>
    <definedName name="OPTNOI_3Q17" localSheetId="10">Tags!$CP$15</definedName>
    <definedName name="OPTNOI_3Q17">Tags_ols!$CP$15</definedName>
    <definedName name="OPTNOI_3Q18" localSheetId="10">Tags!$CU$15</definedName>
    <definedName name="OPTNOI_3Q18">Tags_ols!$CU$15</definedName>
    <definedName name="OPTNOI_3Q19" localSheetId="10">Tags!$CZ$15</definedName>
    <definedName name="OPTNOI_3Q19">Tags_ols!$CZ$15</definedName>
    <definedName name="OPTNOI_3Q20" localSheetId="10">Tags!$DE$15</definedName>
    <definedName name="OPTNOI_3Q20">Tags_ols!$DE$15</definedName>
    <definedName name="OPTNOI_3Q21">Tags!$DJ$15</definedName>
    <definedName name="OPTNOI_3Q22">Tags!$DO$15</definedName>
    <definedName name="OPTNOI_3Q23">Tags!$DT$15</definedName>
    <definedName name="OPTNOI_3Q24">Tags!$DY$15</definedName>
    <definedName name="OPTNOI_4Q00" localSheetId="10">Tags!$J$15</definedName>
    <definedName name="OPTNOI_4Q00">Tags_ols!$J$15</definedName>
    <definedName name="OPTNOI_4Q01" localSheetId="10">Tags!$O$15</definedName>
    <definedName name="OPTNOI_4Q01">Tags_ols!$O$15</definedName>
    <definedName name="OPTNOI_4Q02" localSheetId="10">Tags!$T$15</definedName>
    <definedName name="OPTNOI_4Q02">Tags_ols!$T$15</definedName>
    <definedName name="OPTNOI_4Q03" localSheetId="10">Tags!$Y$15</definedName>
    <definedName name="OPTNOI_4Q03">Tags_ols!$Y$15</definedName>
    <definedName name="OPTNOI_4Q04" localSheetId="10">Tags!$AD$15</definedName>
    <definedName name="OPTNOI_4Q04">Tags_ols!$AD$15</definedName>
    <definedName name="OPTNOI_4Q05" localSheetId="10">Tags!$AI$15</definedName>
    <definedName name="OPTNOI_4Q05">Tags_ols!$AI$15</definedName>
    <definedName name="OPTNOI_4Q06" localSheetId="10">Tags!$AN$15</definedName>
    <definedName name="OPTNOI_4Q06">Tags_ols!$AN$15</definedName>
    <definedName name="OPTNOI_4Q07" localSheetId="10">Tags!$AS$15</definedName>
    <definedName name="OPTNOI_4Q07">Tags_ols!$AS$15</definedName>
    <definedName name="OPTNOI_4Q08" localSheetId="10">Tags!$AX$15</definedName>
    <definedName name="OPTNOI_4Q08">Tags_ols!$AX$15</definedName>
    <definedName name="OPTNOI_4Q09" localSheetId="10">Tags!$BC$15</definedName>
    <definedName name="OPTNOI_4Q09">Tags_ols!$BC$15</definedName>
    <definedName name="OPTNOI_4Q10" localSheetId="10">Tags!$BH$15</definedName>
    <definedName name="OPTNOI_4Q10">Tags_ols!$BH$15</definedName>
    <definedName name="OPTNOI_4Q11" localSheetId="10">Tags!$BM$15</definedName>
    <definedName name="OPTNOI_4Q11">Tags_ols!$BM$15</definedName>
    <definedName name="OPTNOI_4Q12" localSheetId="10">Tags!$BR$15</definedName>
    <definedName name="OPTNOI_4Q12">Tags_ols!$BR$15</definedName>
    <definedName name="OPTNOI_4Q13" localSheetId="10">Tags!$BW$15</definedName>
    <definedName name="OPTNOI_4Q13">Tags_ols!$BW$15</definedName>
    <definedName name="OPTNOI_4Q14" localSheetId="10">Tags!$CB$15</definedName>
    <definedName name="OPTNOI_4Q14">Tags_ols!$CB$15</definedName>
    <definedName name="OPTNOI_4Q15" localSheetId="10">Tags!$CG$15</definedName>
    <definedName name="OPTNOI_4Q15">Tags_ols!$CG$15</definedName>
    <definedName name="OPTNOI_4Q16" localSheetId="10">Tags!$CL$15</definedName>
    <definedName name="OPTNOI_4Q16">Tags_ols!$CL$15</definedName>
    <definedName name="OPTNOI_4Q17" localSheetId="10">Tags!$CQ$15</definedName>
    <definedName name="OPTNOI_4Q17">Tags_ols!$CQ$15</definedName>
    <definedName name="OPTNOI_4Q18" localSheetId="10">Tags!$CV$15</definedName>
    <definedName name="OPTNOI_4Q18">Tags_ols!$CV$15</definedName>
    <definedName name="OPTNOI_4Q19" localSheetId="10">Tags!$DA$15</definedName>
    <definedName name="OPTNOI_4Q19">Tags_ols!$DA$15</definedName>
    <definedName name="OPTNOI_4Q20" localSheetId="10">Tags!$DF$15</definedName>
    <definedName name="OPTNOI_4Q20">Tags_ols!$DF$15</definedName>
    <definedName name="OPTNOI_4Q21">Tags!$DK$15</definedName>
    <definedName name="OPTNOI_4Q22">Tags!$DP$15</definedName>
    <definedName name="OPTNOI_4Q23">Tags!$DU$15</definedName>
    <definedName name="OPTNOI_4Q24">Tags!$DZ$15</definedName>
    <definedName name="ORDD_1995">Tags_ols!$B$26</definedName>
    <definedName name="ORDD_1996">Tags_ols!$C$26</definedName>
    <definedName name="ORDD_1997">Tags_ols!$D$26</definedName>
    <definedName name="ORDD_1998">Tags_ols!$E$26</definedName>
    <definedName name="ORDD_1999">Tags_ols!$F$26</definedName>
    <definedName name="ORDD_1Q00" localSheetId="10">Tags!$G$26</definedName>
    <definedName name="ORDD_1Q00">Tags_ols!$G$26</definedName>
    <definedName name="ORDD_1Q01" localSheetId="10">Tags!$L$26</definedName>
    <definedName name="ORDD_1Q01">Tags_ols!$L$26</definedName>
    <definedName name="ORDD_1Q02" localSheetId="10">Tags!$Q$26</definedName>
    <definedName name="ORDD_1Q02">Tags_ols!$Q$26</definedName>
    <definedName name="ORDD_1Q03" localSheetId="10">Tags!$V$26</definedName>
    <definedName name="ORDD_1Q03">Tags_ols!$V$26</definedName>
    <definedName name="ORDD_1Q04" localSheetId="10">Tags!$AA$26</definedName>
    <definedName name="ORDD_1Q04">Tags_ols!$AA$26</definedName>
    <definedName name="ORDD_1Q05" localSheetId="10">Tags!$AF$26</definedName>
    <definedName name="ORDD_1Q05">Tags_ols!$AF$26</definedName>
    <definedName name="ORDD_1Q06" localSheetId="10">Tags!$AK$26</definedName>
    <definedName name="ORDD_1Q06" localSheetId="5">#REF!</definedName>
    <definedName name="ORDD_1Q06">Tags_ols!$AK$26</definedName>
    <definedName name="ORDD_1Q07" localSheetId="10">Tags!$AP$26</definedName>
    <definedName name="ORDD_1Q07">Tags_ols!$AP$26</definedName>
    <definedName name="ORDD_1Q08" localSheetId="10">Tags!$AU$26</definedName>
    <definedName name="ORDD_1Q08">Tags_ols!$AU$26</definedName>
    <definedName name="ORDD_1Q09" localSheetId="10">Tags!$AZ$26</definedName>
    <definedName name="ORDD_1Q09">Tags_ols!$AZ$26</definedName>
    <definedName name="ORDD_1Q10" localSheetId="10">Tags!$BE$26</definedName>
    <definedName name="ORDD_1Q10">Tags_ols!$BE$26</definedName>
    <definedName name="ORDD_1Q11" localSheetId="10">Tags!$BJ$26</definedName>
    <definedName name="ORDD_1Q11">Tags_ols!$BJ$26</definedName>
    <definedName name="ORDD_1Q12" localSheetId="10">Tags!$BO$26</definedName>
    <definedName name="ORDD_1Q12">Tags_ols!$BO$26</definedName>
    <definedName name="ORDD_1Q13" localSheetId="10">Tags!$BT$26</definedName>
    <definedName name="ORDD_1Q13">Tags_ols!$BT$26</definedName>
    <definedName name="ORDD_1Q14" localSheetId="10">Tags!$BY$26</definedName>
    <definedName name="ORDD_1Q14">Tags_ols!$BY$26</definedName>
    <definedName name="ORDD_1Q15" localSheetId="10">Tags!$CD$26</definedName>
    <definedName name="ORDD_1Q15">Tags_ols!$CD$26</definedName>
    <definedName name="ORDD_1Q16" localSheetId="10">Tags!$CI$26</definedName>
    <definedName name="ORDD_1Q16">Tags_ols!$CI$26</definedName>
    <definedName name="ORDD_1Q17" localSheetId="10">Tags!$CN$26</definedName>
    <definedName name="ORDD_1Q17">Tags_ols!$CN$26</definedName>
    <definedName name="ORDD_1Q18" localSheetId="10">Tags!$CS$26</definedName>
    <definedName name="ORDD_1Q18">Tags_ols!$CS$26</definedName>
    <definedName name="ORDD_1Q19" localSheetId="10">Tags!$CX$26</definedName>
    <definedName name="ORDD_1Q19">Tags_ols!$CX$26</definedName>
    <definedName name="ORDD_1Q20" localSheetId="10">Tags!$DC$26</definedName>
    <definedName name="ORDD_1Q20">Tags_ols!$DC$26</definedName>
    <definedName name="ORDD_1Q21">Tags!$DH$26</definedName>
    <definedName name="ORDD_1Q22">Tags!$DM$26</definedName>
    <definedName name="ORDD_1Q23">Tags!$DR$26</definedName>
    <definedName name="ORDD_1Q24">Tags!$DW$26</definedName>
    <definedName name="ORDD_2000" localSheetId="10">Tags!$K$26</definedName>
    <definedName name="ORDD_2000">Tags_ols!$K$26</definedName>
    <definedName name="ORDD_2001" localSheetId="10">Tags!$P$26</definedName>
    <definedName name="ORDD_2001">Tags_ols!$P$26</definedName>
    <definedName name="ORDD_2002" localSheetId="10">Tags!$U$26</definedName>
    <definedName name="ORDD_2002">Tags_ols!$U$26</definedName>
    <definedName name="ORDD_2003" localSheetId="10">Tags!$Z$26</definedName>
    <definedName name="ORDD_2003">Tags_ols!$Z$26</definedName>
    <definedName name="ORDD_2004" localSheetId="10">Tags!$AE$26</definedName>
    <definedName name="ORDD_2004" localSheetId="5">#REF!</definedName>
    <definedName name="ORDD_2004">Tags_ols!$AE$26</definedName>
    <definedName name="ORDD_2005" localSheetId="10">Tags!$AJ$26</definedName>
    <definedName name="ORDD_2005" localSheetId="5">#REF!</definedName>
    <definedName name="ORDD_2005">Tags_ols!$AJ$26</definedName>
    <definedName name="ORDD_2006" localSheetId="10">Tags!$AO$26</definedName>
    <definedName name="ORDD_2006">Tags_ols!$AO$26</definedName>
    <definedName name="ORDD_2007" localSheetId="10">Tags!$AT$26</definedName>
    <definedName name="ORDD_2007">Tags_ols!$AT$26</definedName>
    <definedName name="ORDD_2008" localSheetId="10">Tags!$AY$26</definedName>
    <definedName name="ORDD_2008">Tags_ols!$AY$26</definedName>
    <definedName name="ORDD_2009" localSheetId="10">Tags!$BD$26</definedName>
    <definedName name="ORDD_2009">Tags_ols!$BD$26</definedName>
    <definedName name="ORDD_2010" localSheetId="10">Tags!$BI$26</definedName>
    <definedName name="ORDD_2010">Tags_ols!$BI$26</definedName>
    <definedName name="ORDD_2011" localSheetId="10">Tags!$BN$26</definedName>
    <definedName name="ORDD_2011">Tags_ols!$BN$26</definedName>
    <definedName name="ORDD_2012" localSheetId="10">Tags!$BS$26</definedName>
    <definedName name="ORDD_2012">Tags_ols!$BS$26</definedName>
    <definedName name="ORDD_2013" localSheetId="10">Tags!$BX$26</definedName>
    <definedName name="ORDD_2013">Tags_ols!$BX$26</definedName>
    <definedName name="ORDD_2014" localSheetId="10">Tags!$CC$26</definedName>
    <definedName name="ORDD_2014">Tags_ols!$CC$26</definedName>
    <definedName name="ORDD_2015" localSheetId="10">Tags!#REF!</definedName>
    <definedName name="ORDD_2015">Tags!$CH$26</definedName>
    <definedName name="ORDD_2016" localSheetId="10">Tags!$CM$26</definedName>
    <definedName name="ORDD_2016">Tags_ols!$CM$26</definedName>
    <definedName name="ORDD_2017" localSheetId="10">Tags!$CR$26</definedName>
    <definedName name="ORDD_2017">Tags_ols!$CR$26</definedName>
    <definedName name="ORDD_2018" localSheetId="10">Tags!$CW$26</definedName>
    <definedName name="ORDD_2018">Tags_ols!$CW$26</definedName>
    <definedName name="ORDD_2019" localSheetId="10">Tags!$DB$26</definedName>
    <definedName name="ORDD_2019">Tags_ols!$DB$26</definedName>
    <definedName name="ORDD_2020" localSheetId="10">Tags!$DG$26</definedName>
    <definedName name="ORDD_2020">Tags_ols!$DG$26</definedName>
    <definedName name="ORDD_2021">Tags!$DL$26</definedName>
    <definedName name="ORDD_2022">Tags!$DQ$26</definedName>
    <definedName name="ORDD_2023">Tags!$DV$26</definedName>
    <definedName name="ORDD_2024">Tags!$EA$26</definedName>
    <definedName name="ORDD_2Q00" localSheetId="10">Tags!$H$26</definedName>
    <definedName name="ORDD_2Q00">Tags_ols!$H$26</definedName>
    <definedName name="ORDD_2Q01" localSheetId="10">Tags!$M$26</definedName>
    <definedName name="ORDD_2Q01">Tags_ols!$M$26</definedName>
    <definedName name="ORDD_2Q02" localSheetId="10">Tags!$R$26</definedName>
    <definedName name="ORDD_2Q02">Tags_ols!$R$26</definedName>
    <definedName name="ORDD_2Q03" localSheetId="10">Tags!$W$26</definedName>
    <definedName name="ORDD_2Q03">Tags_ols!$W$26</definedName>
    <definedName name="ORDD_2Q04" localSheetId="10">Tags!$AB$26</definedName>
    <definedName name="ORDD_2Q04">Tags_ols!$AB$26</definedName>
    <definedName name="ORDD_2Q05" localSheetId="10">Tags!$AG$26</definedName>
    <definedName name="ORDD_2Q05">Tags_ols!$AG$26</definedName>
    <definedName name="ORDD_2Q06" localSheetId="10">Tags!$AL$26</definedName>
    <definedName name="ORDD_2Q06" localSheetId="5">#REF!</definedName>
    <definedName name="ORDD_2Q06">Tags_ols!$AL$26</definedName>
    <definedName name="ORDD_2Q07" localSheetId="10">Tags!$AQ$26</definedName>
    <definedName name="ORDD_2Q07">Tags_ols!$AQ$26</definedName>
    <definedName name="ORDD_2Q08" localSheetId="10">Tags!$AV$26</definedName>
    <definedName name="ORDD_2Q08">Tags_ols!$AV$26</definedName>
    <definedName name="ORDD_2Q09" localSheetId="10">Tags!$BA$26</definedName>
    <definedName name="ORDD_2Q09">Tags_ols!$BA$26</definedName>
    <definedName name="ORDD_2Q10" localSheetId="10">Tags!$BF$26</definedName>
    <definedName name="ORDD_2Q10">Tags_ols!$BF$26</definedName>
    <definedName name="ORDD_2Q11" localSheetId="10">Tags!$BK$26</definedName>
    <definedName name="ORDD_2Q11">Tags_ols!$BK$26</definedName>
    <definedName name="ORDD_2Q12" localSheetId="10">Tags!$BP$26</definedName>
    <definedName name="ORDD_2Q12">Tags_ols!$BP$26</definedName>
    <definedName name="ORDD_2Q13" localSheetId="10">Tags!$BU$26</definedName>
    <definedName name="ORDD_2Q13">Tags_ols!$BU$26</definedName>
    <definedName name="ORDD_2Q14" localSheetId="10">Tags!$BZ$26</definedName>
    <definedName name="ORDD_2Q14">Tags_ols!$BZ$26</definedName>
    <definedName name="ORDD_2Q15" localSheetId="10">Tags!$CE$26</definedName>
    <definedName name="ORDD_2Q15">Tags_ols!$CE$26</definedName>
    <definedName name="ORDD_2Q16" localSheetId="10">Tags!$CJ$26</definedName>
    <definedName name="ORDD_2Q16">Tags_ols!$CJ$26</definedName>
    <definedName name="ORDD_2Q17" localSheetId="10">Tags!$CO$26</definedName>
    <definedName name="ORDD_2Q17">Tags_ols!$CO$26</definedName>
    <definedName name="ORDD_2Q18" localSheetId="10">Tags!$CT$26</definedName>
    <definedName name="ORDD_2Q18">Tags_ols!$CT$26</definedName>
    <definedName name="ORDD_2Q19" localSheetId="10">Tags!$CY$26</definedName>
    <definedName name="ORDD_2Q19">Tags_ols!$CY$26</definedName>
    <definedName name="ORDD_2Q20" localSheetId="10">Tags!$DD$26</definedName>
    <definedName name="ORDD_2Q20">Tags_ols!$DD$26</definedName>
    <definedName name="ORDD_2Q21">Tags!$DI$26</definedName>
    <definedName name="ORDD_2Q22">Tags!$DN$26</definedName>
    <definedName name="ORDD_2Q23">Tags!$DS$26</definedName>
    <definedName name="ORDD_2Q24">Tags!$DX$26</definedName>
    <definedName name="ORDD_3Q00" localSheetId="10">Tags!$I$26</definedName>
    <definedName name="ORDD_3Q00">Tags_ols!$I$26</definedName>
    <definedName name="ORDD_3Q01" localSheetId="10">Tags!$N$26</definedName>
    <definedName name="ORDD_3Q01">Tags_ols!$N$26</definedName>
    <definedName name="ORDD_3Q02" localSheetId="10">Tags!$S$26</definedName>
    <definedName name="ORDD_3Q02">Tags_ols!$S$26</definedName>
    <definedName name="ORDD_3Q03" localSheetId="10">Tags!$X$26</definedName>
    <definedName name="ORDD_3Q03">Tags_ols!$X$26</definedName>
    <definedName name="ORDD_3Q04" localSheetId="10">Tags!$AC$26</definedName>
    <definedName name="ORDD_3Q04">Tags_ols!$AC$26</definedName>
    <definedName name="ORDD_3Q05" localSheetId="10">Tags!$AH$26</definedName>
    <definedName name="ORDD_3Q05">Tags_ols!$AH$26</definedName>
    <definedName name="ORDD_3Q06" localSheetId="10">Tags!$AM$26</definedName>
    <definedName name="ORDD_3Q06" localSheetId="5">#REF!</definedName>
    <definedName name="ORDD_3Q06">Tags_ols!$AM$26</definedName>
    <definedName name="ORDD_3Q07" localSheetId="10">Tags!$AR$26</definedName>
    <definedName name="ORDD_3Q07">Tags_ols!$AR$26</definedName>
    <definedName name="ORDD_3Q08" localSheetId="10">Tags!$AW$26</definedName>
    <definedName name="ORDD_3Q08">Tags_ols!$AW$26</definedName>
    <definedName name="ORDD_3Q09" localSheetId="10">Tags!$BB$26</definedName>
    <definedName name="ORDD_3Q09">Tags_ols!$BB$26</definedName>
    <definedName name="ORDD_3Q10" localSheetId="10">Tags!$BG$26</definedName>
    <definedName name="ORDD_3Q10">Tags_ols!$BG$26</definedName>
    <definedName name="ORDD_3Q11" localSheetId="10">Tags!$BL$26</definedName>
    <definedName name="ORDD_3Q11">Tags_ols!$BL$26</definedName>
    <definedName name="ORDD_3Q12" localSheetId="10">Tags!$BQ$26</definedName>
    <definedName name="ORDD_3Q12">Tags_ols!$BQ$26</definedName>
    <definedName name="ORDD_3Q13" localSheetId="10">Tags!$BV$26</definedName>
    <definedName name="ORDD_3Q13">Tags_ols!$BV$26</definedName>
    <definedName name="ORDD_3Q14" localSheetId="10">Tags!$CA$26</definedName>
    <definedName name="ORDD_3Q14">Tags_ols!$CA$26</definedName>
    <definedName name="ORDD_3Q15" localSheetId="10">Tags!$CF$26</definedName>
    <definedName name="ORDD_3Q15">Tags_ols!$CF$26</definedName>
    <definedName name="ORDD_3Q16" localSheetId="10">Tags!$CK$26</definedName>
    <definedName name="ORDD_3Q16">Tags_ols!$CK$26</definedName>
    <definedName name="ORDD_3Q17" localSheetId="10">Tags!$CP$26</definedName>
    <definedName name="ORDD_3Q17">Tags_ols!$CP$26</definedName>
    <definedName name="ORDD_3Q18" localSheetId="10">Tags!$CU$26</definedName>
    <definedName name="ORDD_3Q18">Tags_ols!$CU$26</definedName>
    <definedName name="ORDD_3Q19" localSheetId="10">Tags!$CZ$26</definedName>
    <definedName name="ORDD_3Q19">Tags_ols!$CZ$26</definedName>
    <definedName name="ORDD_3Q20" localSheetId="10">Tags!$DE$26</definedName>
    <definedName name="ORDD_3Q20">Tags_ols!$DE$26</definedName>
    <definedName name="ORDD_3Q21">Tags!$DJ$26</definedName>
    <definedName name="ORDD_3Q22">Tags!$DO$26</definedName>
    <definedName name="ORDD_3Q23">Tags!$DT$26</definedName>
    <definedName name="ORDD_3Q24">Tags!$DY$26</definedName>
    <definedName name="ORDD_4Q00" localSheetId="10">Tags!$J$26</definedName>
    <definedName name="ORDD_4Q00">Tags_ols!$J$26</definedName>
    <definedName name="ORDD_4Q01" localSheetId="10">Tags!$O$26</definedName>
    <definedName name="ORDD_4Q01">Tags_ols!$O$26</definedName>
    <definedName name="ORDD_4Q02" localSheetId="10">Tags!$T$26</definedName>
    <definedName name="ORDD_4Q02">Tags_ols!$T$26</definedName>
    <definedName name="ORDD_4Q03" localSheetId="10">Tags!$Y$26</definedName>
    <definedName name="ORDD_4Q03">Tags_ols!$Y$26</definedName>
    <definedName name="ORDD_4Q04" localSheetId="10">Tags!$AD$26</definedName>
    <definedName name="ORDD_4Q04">Tags_ols!$AD$26</definedName>
    <definedName name="ORDD_4Q05" localSheetId="10">Tags!$AI$26</definedName>
    <definedName name="ORDD_4Q05">Tags_ols!$AI$26</definedName>
    <definedName name="ORDD_4Q06" localSheetId="10">Tags!$AN$26</definedName>
    <definedName name="ORDD_4Q06" localSheetId="5">#REF!</definedName>
    <definedName name="ORDD_4Q06">Tags_ols!$AN$26</definedName>
    <definedName name="ORDD_4Q07" localSheetId="10">Tags!$AS$26</definedName>
    <definedName name="ORDD_4Q07">Tags_ols!$AS$26</definedName>
    <definedName name="ORDD_4Q08" localSheetId="10">Tags!$AX$26</definedName>
    <definedName name="ORDD_4Q08">Tags_ols!$AX$26</definedName>
    <definedName name="ORDD_4Q09" localSheetId="10">Tags!$BC$26</definedName>
    <definedName name="ORDD_4Q09">Tags_ols!$BC$26</definedName>
    <definedName name="ORDD_4Q10" localSheetId="10">Tags!$BH$26</definedName>
    <definedName name="ORDD_4Q10">Tags_ols!$BH$26</definedName>
    <definedName name="ORDD_4Q11" localSheetId="10">Tags!$BM$26</definedName>
    <definedName name="ORDD_4Q11">Tags_ols!$BM$26</definedName>
    <definedName name="ORDD_4Q12" localSheetId="10">Tags!$BR$26</definedName>
    <definedName name="ORDD_4Q12">Tags_ols!$BR$26</definedName>
    <definedName name="ORDD_4Q13" localSheetId="10">Tags!$BW$26</definedName>
    <definedName name="ORDD_4Q13">Tags_ols!$BW$26</definedName>
    <definedName name="ORDD_4Q14" localSheetId="10">Tags!$CB$26</definedName>
    <definedName name="ORDD_4Q14">Tags_ols!$CB$26</definedName>
    <definedName name="ORDD_4Q15" localSheetId="10">Tags!$CG$26</definedName>
    <definedName name="ORDD_4Q15">Tags_ols!$CG$26</definedName>
    <definedName name="ORDD_4Q16" localSheetId="10">Tags!$CL$26</definedName>
    <definedName name="ORDD_4Q16">Tags_ols!$CL$26</definedName>
    <definedName name="ORDD_4Q17" localSheetId="10">Tags!$CQ$26</definedName>
    <definedName name="ORDD_4Q17">Tags_ols!$CQ$26</definedName>
    <definedName name="ORDD_4Q18" localSheetId="10">Tags!$CV$26</definedName>
    <definedName name="ORDD_4Q18">Tags_ols!$CV$26</definedName>
    <definedName name="ORDD_4Q19" localSheetId="10">Tags!$DA$26</definedName>
    <definedName name="ORDD_4Q19">Tags_ols!$DA$26</definedName>
    <definedName name="ORDD_4Q20" localSheetId="10">Tags!$DF$26</definedName>
    <definedName name="ORDD_4Q20">Tags_ols!$DF$26</definedName>
    <definedName name="ORDD_4Q21">Tags!$DK$26</definedName>
    <definedName name="ORDD_4Q22">Tags!$DP$26</definedName>
    <definedName name="ORDD_4Q23">Tags!$DU$26</definedName>
    <definedName name="ORDD_4Q24">Tags!$DZ$26</definedName>
    <definedName name="OSTLIA_1995">Tags_ols!$B$163</definedName>
    <definedName name="OSTLIA_1996">Tags_ols!$C$163</definedName>
    <definedName name="OSTLIA_1997">Tags_ols!$D$163</definedName>
    <definedName name="OSTLIA_1998">Tags_ols!$E$163</definedName>
    <definedName name="OSTLIA_1999">Tags_ols!$F$163</definedName>
    <definedName name="OSTLIA_1Q00" localSheetId="10">Tags!$G$163</definedName>
    <definedName name="OSTLIA_1Q00">Tags_ols!$G$163</definedName>
    <definedName name="OSTLIA_1Q01" localSheetId="10">Tags!$L$163</definedName>
    <definedName name="OSTLIA_1Q01">Tags_ols!$L$163</definedName>
    <definedName name="OSTLIA_1Q02" localSheetId="10">Tags!$Q$163</definedName>
    <definedName name="OSTLIA_1Q02">Tags_ols!$Q$163</definedName>
    <definedName name="OSTLIA_1Q03" localSheetId="10">Tags!$V$163</definedName>
    <definedName name="OSTLIA_1Q03">Tags_ols!$V$163</definedName>
    <definedName name="OSTLIA_1Q04" localSheetId="10">Tags!$AA$163</definedName>
    <definedName name="OSTLIA_1Q04">Tags_ols!$AA$163</definedName>
    <definedName name="OSTLIA_1Q05" localSheetId="10">Tags!$AF$163</definedName>
    <definedName name="OSTLIA_1Q05">Tags_ols!$AF$163</definedName>
    <definedName name="OSTLIA_1Q06" localSheetId="10">Tags!$AK$163</definedName>
    <definedName name="OSTLIA_1Q06">Tags_ols!$AK$163</definedName>
    <definedName name="OSTLIA_1Q07" localSheetId="10">Tags!$AP$163</definedName>
    <definedName name="OSTLIA_1Q07">Tags_ols!$AP$163</definedName>
    <definedName name="OSTLIA_1Q08" localSheetId="10">Tags!$AU$163</definedName>
    <definedName name="OSTLIA_1Q08">Tags_ols!$AU$163</definedName>
    <definedName name="OSTLIA_1Q09" localSheetId="10">Tags!$AZ$163</definedName>
    <definedName name="OSTLIA_1Q09">Tags_ols!$AZ$163</definedName>
    <definedName name="OSTLIA_1Q10" localSheetId="10">Tags!$BE$163</definedName>
    <definedName name="OSTLIA_1Q10">Tags_ols!$BE$163</definedName>
    <definedName name="OSTLIA_1Q11" localSheetId="10">Tags!$BJ$163</definedName>
    <definedName name="OSTLIA_1Q11">Tags_ols!$BJ$163</definedName>
    <definedName name="OSTLIA_1Q12" localSheetId="10">Tags!$BO$163</definedName>
    <definedName name="OSTLIA_1Q12">Tags_ols!$BO$163</definedName>
    <definedName name="OSTLIA_1Q13" localSheetId="10">Tags!$BT$163</definedName>
    <definedName name="OSTLIA_1Q13">Tags_ols!$BT$163</definedName>
    <definedName name="OSTLIA_1Q14" localSheetId="10">Tags!$BY$163</definedName>
    <definedName name="OSTLIA_1Q14">Tags_ols!$BY$163</definedName>
    <definedName name="OSTLIA_1Q15" localSheetId="10">Tags!$CD$163</definedName>
    <definedName name="OSTLIA_1Q15">Tags_ols!$CD$163</definedName>
    <definedName name="OSTLIA_1Q16" localSheetId="10">Tags!$CI$163</definedName>
    <definedName name="OSTLIA_1Q16">Tags_ols!$CI$163</definedName>
    <definedName name="OSTLIA_1Q17" localSheetId="10">Tags!$CN$163</definedName>
    <definedName name="OSTLIA_1Q17">Tags_ols!$CN$163</definedName>
    <definedName name="OSTLIA_1Q18" localSheetId="10">Tags!$CS$163</definedName>
    <definedName name="OSTLIA_1Q18">Tags_ols!$CS$163</definedName>
    <definedName name="OSTLIA_1Q19" localSheetId="10">Tags!$CX$163</definedName>
    <definedName name="OSTLIA_1Q19">Tags_ols!$CX$163</definedName>
    <definedName name="OSTLIA_1Q20" localSheetId="10">Tags!$DC$163</definedName>
    <definedName name="OSTLIA_1Q20">Tags_ols!$DC$163</definedName>
    <definedName name="OSTLIA_1Q21">Tags!$DH$163</definedName>
    <definedName name="OSTLIA_1Q22">Tags!$DM$163</definedName>
    <definedName name="OSTLIA_1Q23">Tags!$DR$163</definedName>
    <definedName name="OSTLIA_1Q24">Tags!$DW$163</definedName>
    <definedName name="OSTLIA_2000" localSheetId="10">Tags!$K$163</definedName>
    <definedName name="OSTLIA_2000">Tags_ols!$K$163</definedName>
    <definedName name="OSTLIA_2001" localSheetId="10">Tags!$P$163</definedName>
    <definedName name="OSTLIA_2001">Tags_ols!$P$163</definedName>
    <definedName name="OSTLIA_2002" localSheetId="10">Tags!$U$163</definedName>
    <definedName name="OSTLIA_2002">Tags_ols!$U$163</definedName>
    <definedName name="OSTLIA_2003" localSheetId="10">Tags!$Z$163</definedName>
    <definedName name="OSTLIA_2003">Tags_ols!$Z$163</definedName>
    <definedName name="OSTLIA_2004" localSheetId="10">Tags!$AE$163</definedName>
    <definedName name="OSTLIA_2004">Tags_ols!$AE$163</definedName>
    <definedName name="OSTLIA_2005" localSheetId="10">Tags!$AJ$163</definedName>
    <definedName name="OSTLIA_2005">Tags_ols!$AJ$163</definedName>
    <definedName name="OSTLIA_2006" localSheetId="10">Tags!$AO$163</definedName>
    <definedName name="OSTLIA_2006">Tags_ols!$AO$163</definedName>
    <definedName name="OSTLIA_2007" localSheetId="10">Tags!$AT$163</definedName>
    <definedName name="OSTLIA_2007">Tags_ols!$AT$163</definedName>
    <definedName name="OSTLIA_2008" localSheetId="10">Tags!$AY$163</definedName>
    <definedName name="OSTLIA_2008">Tags_ols!$AY$163</definedName>
    <definedName name="OSTLIA_2009" localSheetId="10">Tags!$BD$163</definedName>
    <definedName name="OSTLIA_2009">Tags_ols!$BD$163</definedName>
    <definedName name="OSTLIA_2010" localSheetId="10">Tags!$BI$163</definedName>
    <definedName name="OSTLIA_2010">Tags_ols!$BI$163</definedName>
    <definedName name="OSTLIA_2011" localSheetId="10">Tags!$BN$163</definedName>
    <definedName name="OSTLIA_2011">Tags_ols!$BN$163</definedName>
    <definedName name="OSTLIA_2012" localSheetId="10">Tags!$BS$163</definedName>
    <definedName name="OSTLIA_2012">Tags_ols!$BS$163</definedName>
    <definedName name="OSTLIA_2013" localSheetId="10">Tags!$BX$163</definedName>
    <definedName name="OSTLIA_2013">Tags_ols!$BX$163</definedName>
    <definedName name="OSTLIA_2014" localSheetId="10">Tags!$CC$163</definedName>
    <definedName name="OSTLIA_2014">Tags_ols!$CC$163</definedName>
    <definedName name="OSTLIA_2015" localSheetId="10">Tags!#REF!</definedName>
    <definedName name="OSTLIA_2015">Tags!$CH$163</definedName>
    <definedName name="OSTLIA_2016" localSheetId="10">Tags!$CM$163</definedName>
    <definedName name="OSTLIA_2016">Tags_ols!$CM$163</definedName>
    <definedName name="OSTLIA_2017" localSheetId="10">Tags!$CR$163</definedName>
    <definedName name="OSTLIA_2017">Tags_ols!$CR$163</definedName>
    <definedName name="OSTLIA_2018" localSheetId="10">Tags!$CW$163</definedName>
    <definedName name="OSTLIA_2018">Tags_ols!$CW$163</definedName>
    <definedName name="OSTLIA_2019" localSheetId="10">Tags!$DB$163</definedName>
    <definedName name="OSTLIA_2019">Tags_ols!$DB$163</definedName>
    <definedName name="OSTLIA_2020" localSheetId="10">Tags!$DG$163</definedName>
    <definedName name="OSTLIA_2020">Tags_ols!$DG$163</definedName>
    <definedName name="OSTLIA_2021">Tags!$DL$163</definedName>
    <definedName name="OSTLIA_2022">Tags!$DQ$163</definedName>
    <definedName name="OSTLIA_2023">Tags!$DV$163</definedName>
    <definedName name="OSTLIA_2024">Tags!$EA$163</definedName>
    <definedName name="OSTLIA_2Q00" localSheetId="10">Tags!$H$163</definedName>
    <definedName name="OSTLIA_2Q00">Tags_ols!$H$163</definedName>
    <definedName name="OSTLIA_2Q01" localSheetId="10">Tags!$M$163</definedName>
    <definedName name="OSTLIA_2Q01">Tags_ols!$M$163</definedName>
    <definedName name="OSTLIA_2Q02" localSheetId="10">Tags!$R$163</definedName>
    <definedName name="OSTLIA_2Q02">Tags_ols!$R$163</definedName>
    <definedName name="OSTLIA_2Q03" localSheetId="10">Tags!$W$163</definedName>
    <definedName name="OSTLIA_2Q03">Tags_ols!$W$163</definedName>
    <definedName name="OSTLIA_2Q04" localSheetId="10">Tags!$AB$163</definedName>
    <definedName name="OSTLIA_2Q04">Tags_ols!$AB$163</definedName>
    <definedName name="OSTLIA_2Q05" localSheetId="10">Tags!$AG$163</definedName>
    <definedName name="OSTLIA_2Q05">Tags_ols!$AG$163</definedName>
    <definedName name="OSTLIA_2Q06" localSheetId="10">Tags!$AL$163</definedName>
    <definedName name="OSTLIA_2Q06">Tags_ols!$AL$163</definedName>
    <definedName name="OSTLIA_2Q07" localSheetId="10">Tags!$AQ$163</definedName>
    <definedName name="OSTLIA_2Q07">Tags_ols!$AQ$163</definedName>
    <definedName name="OSTLIA_2Q08" localSheetId="10">Tags!$AV$163</definedName>
    <definedName name="OSTLIA_2Q08">Tags_ols!$AV$163</definedName>
    <definedName name="OSTLIA_2Q09" localSheetId="10">Tags!$BA$163</definedName>
    <definedName name="OSTLIA_2Q09">Tags_ols!$BA$163</definedName>
    <definedName name="OSTLIA_2Q10" localSheetId="10">Tags!$BF$163</definedName>
    <definedName name="OSTLIA_2Q10">Tags_ols!$BF$163</definedName>
    <definedName name="OSTLIA_2Q11" localSheetId="10">Tags!$BK$163</definedName>
    <definedName name="OSTLIA_2Q11">Tags_ols!$BK$163</definedName>
    <definedName name="OSTLIA_2Q12" localSheetId="10">Tags!$BP$163</definedName>
    <definedName name="OSTLIA_2Q12">Tags_ols!$BP$163</definedName>
    <definedName name="OSTLIA_2Q13" localSheetId="10">Tags!$BU$163</definedName>
    <definedName name="OSTLIA_2Q13">Tags_ols!$BU$163</definedName>
    <definedName name="OSTLIA_2Q14" localSheetId="10">Tags!$BZ$163</definedName>
    <definedName name="OSTLIA_2Q14">Tags_ols!$BZ$163</definedName>
    <definedName name="OSTLIA_2Q15" localSheetId="10">Tags!$CE$163</definedName>
    <definedName name="OSTLIA_2Q15">Tags_ols!$CE$163</definedName>
    <definedName name="OSTLIA_2Q16" localSheetId="10">Tags!$CJ$163</definedName>
    <definedName name="OSTLIA_2Q16">Tags_ols!$CJ$163</definedName>
    <definedName name="OSTLIA_2Q17" localSheetId="10">Tags!$CO$163</definedName>
    <definedName name="OSTLIA_2Q17">Tags_ols!$CO$163</definedName>
    <definedName name="OSTLIA_2Q18" localSheetId="10">Tags!$CT$163</definedName>
    <definedName name="OSTLIA_2Q18">Tags_ols!$CT$163</definedName>
    <definedName name="OSTLIA_2Q19" localSheetId="10">Tags!$CY$163</definedName>
    <definedName name="OSTLIA_2Q19">Tags_ols!$CY$163</definedName>
    <definedName name="OSTLIA_2Q20" localSheetId="10">Tags!$DD$163</definedName>
    <definedName name="OSTLIA_2Q20">Tags_ols!$DD$163</definedName>
    <definedName name="OSTLIA_2Q21">Tags!$DI$163</definedName>
    <definedName name="OSTLIA_2Q22">Tags!$DN$163</definedName>
    <definedName name="OSTLIA_2Q23">Tags!$DS$163</definedName>
    <definedName name="OSTLIA_2Q24">Tags!$DX$163</definedName>
    <definedName name="OSTLIA_3Q00" localSheetId="10">Tags!$I$163</definedName>
    <definedName name="OSTLIA_3Q00">Tags_ols!$I$163</definedName>
    <definedName name="OSTLIA_3Q01" localSheetId="10">Tags!$N$163</definedName>
    <definedName name="OSTLIA_3Q01">Tags_ols!$N$163</definedName>
    <definedName name="OSTLIA_3Q02" localSheetId="10">Tags!$S$163</definedName>
    <definedName name="OSTLIA_3Q02">Tags_ols!$S$163</definedName>
    <definedName name="OSTLIA_3Q03" localSheetId="10">Tags!$X$163</definedName>
    <definedName name="OSTLIA_3Q03">Tags_ols!$X$163</definedName>
    <definedName name="OSTLIA_3Q04" localSheetId="10">Tags!$AC$163</definedName>
    <definedName name="OSTLIA_3Q04">Tags_ols!$AC$163</definedName>
    <definedName name="OSTLIA_3Q05" localSheetId="10">Tags!$AH$163</definedName>
    <definedName name="OSTLIA_3Q05">Tags_ols!$AH$163</definedName>
    <definedName name="OSTLIA_3Q06" localSheetId="10">Tags!$AM$163</definedName>
    <definedName name="OSTLIA_3Q06">Tags_ols!$AM$163</definedName>
    <definedName name="OSTLIA_3Q07" localSheetId="10">Tags!$AR$163</definedName>
    <definedName name="OSTLIA_3Q07">Tags_ols!$AR$163</definedName>
    <definedName name="OSTLIA_3Q08" localSheetId="10">Tags!$AW$163</definedName>
    <definedName name="OSTLIA_3Q08">Tags_ols!$AW$163</definedName>
    <definedName name="OSTLIA_3Q09" localSheetId="10">Tags!$BB$163</definedName>
    <definedName name="OSTLIA_3Q09">Tags_ols!$BB$163</definedName>
    <definedName name="OSTLIA_3Q10" localSheetId="10">Tags!$BG$163</definedName>
    <definedName name="OSTLIA_3Q10">Tags_ols!$BG$163</definedName>
    <definedName name="OSTLIA_3Q11" localSheetId="10">Tags!$BL$163</definedName>
    <definedName name="OSTLIA_3Q11">Tags_ols!$BL$163</definedName>
    <definedName name="OSTLIA_3Q12" localSheetId="10">Tags!$BQ$163</definedName>
    <definedName name="OSTLIA_3Q12">Tags_ols!$BQ$163</definedName>
    <definedName name="OSTLIA_3Q13" localSheetId="10">Tags!$BV$163</definedName>
    <definedName name="OSTLIA_3Q13">Tags_ols!$BV$163</definedName>
    <definedName name="OSTLIA_3Q14" localSheetId="10">Tags!$CA$163</definedName>
    <definedName name="OSTLIA_3Q14">Tags_ols!$CA$163</definedName>
    <definedName name="OSTLIA_3Q15" localSheetId="10">Tags!$CF$163</definedName>
    <definedName name="OSTLIA_3Q15">Tags_ols!$CF$163</definedName>
    <definedName name="OSTLIA_3Q16" localSheetId="10">Tags!$CK$163</definedName>
    <definedName name="OSTLIA_3Q16">Tags_ols!$CK$163</definedName>
    <definedName name="OSTLIA_3Q17" localSheetId="10">Tags!$CP$163</definedName>
    <definedName name="OSTLIA_3Q17">Tags_ols!$CP$163</definedName>
    <definedName name="OSTLIA_3Q18" localSheetId="10">Tags!$CU$163</definedName>
    <definedName name="OSTLIA_3Q18">Tags_ols!$CU$163</definedName>
    <definedName name="OSTLIA_3Q19" localSheetId="10">Tags!$CZ$163</definedName>
    <definedName name="OSTLIA_3Q19">Tags_ols!$CZ$163</definedName>
    <definedName name="OSTLIA_3Q20" localSheetId="10">Tags!$DE$163</definedName>
    <definedName name="OSTLIA_3Q20">Tags_ols!$DE$163</definedName>
    <definedName name="OSTLIA_3Q21">Tags!$DJ$163</definedName>
    <definedName name="OSTLIA_3Q22">Tags!$DO$163</definedName>
    <definedName name="OSTLIA_3Q23">Tags!$DT$163</definedName>
    <definedName name="OSTLIA_3Q24">Tags!$DY$163</definedName>
    <definedName name="OSTLIA_4Q00" localSheetId="10">Tags!$J$163</definedName>
    <definedName name="OSTLIA_4Q00">Tags_ols!$J$163</definedName>
    <definedName name="OSTLIA_4Q01" localSheetId="10">Tags!$O$163</definedName>
    <definedName name="OSTLIA_4Q01">Tags_ols!$O$163</definedName>
    <definedName name="OSTLIA_4Q02" localSheetId="10">Tags!$T$163</definedName>
    <definedName name="OSTLIA_4Q02">Tags_ols!$T$163</definedName>
    <definedName name="OSTLIA_4Q03" localSheetId="10">Tags!$Y$163</definedName>
    <definedName name="OSTLIA_4Q03">Tags_ols!$Y$163</definedName>
    <definedName name="OSTLIA_4Q04" localSheetId="10">Tags!$AD$163</definedName>
    <definedName name="OSTLIA_4Q04">Tags_ols!$AD$163</definedName>
    <definedName name="OSTLIA_4Q05" localSheetId="10">Tags!$AI$163</definedName>
    <definedName name="OSTLIA_4Q05">Tags_ols!$AI$163</definedName>
    <definedName name="OSTLIA_4Q06" localSheetId="10">Tags!$AN$163</definedName>
    <definedName name="OSTLIA_4Q06">Tags_ols!$AN$163</definedName>
    <definedName name="OSTLIA_4Q07" localSheetId="10">Tags!$AS$163</definedName>
    <definedName name="OSTLIA_4Q07">Tags_ols!$AS$163</definedName>
    <definedName name="OSTLIA_4Q08" localSheetId="10">Tags!$AX$163</definedName>
    <definedName name="OSTLIA_4Q08">Tags_ols!$AX$163</definedName>
    <definedName name="OSTLIA_4Q09" localSheetId="10">Tags!$BC$163</definedName>
    <definedName name="OSTLIA_4Q09">Tags_ols!$BC$163</definedName>
    <definedName name="OSTLIA_4Q10" localSheetId="10">Tags!$BH$163</definedName>
    <definedName name="OSTLIA_4Q10">Tags_ols!$BH$163</definedName>
    <definedName name="OSTLIA_4Q11" localSheetId="10">Tags!$BM$163</definedName>
    <definedName name="OSTLIA_4Q11">Tags_ols!$BM$163</definedName>
    <definedName name="OSTLIA_4Q12" localSheetId="10">Tags!$BR$163</definedName>
    <definedName name="OSTLIA_4Q12">Tags_ols!$BR$163</definedName>
    <definedName name="OSTLIA_4Q13" localSheetId="10">Tags!$BW$163</definedName>
    <definedName name="OSTLIA_4Q13">Tags_ols!$BW$163</definedName>
    <definedName name="OSTLIA_4Q14" localSheetId="10">Tags!$CB$163</definedName>
    <definedName name="OSTLIA_4Q14">Tags_ols!$CB$163</definedName>
    <definedName name="OSTLIA_4Q15" localSheetId="10">Tags!$CG$163</definedName>
    <definedName name="OSTLIA_4Q15">Tags_ols!$CG$163</definedName>
    <definedName name="OSTLIA_4Q16" localSheetId="10">Tags!$CL$163</definedName>
    <definedName name="OSTLIA_4Q16">Tags_ols!$CL$163</definedName>
    <definedName name="OSTLIA_4Q17" localSheetId="10">Tags!$CQ$163</definedName>
    <definedName name="OSTLIA_4Q17">Tags_ols!$CQ$163</definedName>
    <definedName name="OSTLIA_4Q18" localSheetId="10">Tags!$CV$163</definedName>
    <definedName name="OSTLIA_4Q18">Tags_ols!$CV$163</definedName>
    <definedName name="OSTLIA_4Q19" localSheetId="10">Tags!$DA$163</definedName>
    <definedName name="OSTLIA_4Q19">Tags_ols!$DA$163</definedName>
    <definedName name="OSTLIA_4Q20" localSheetId="10">Tags!$DF$163</definedName>
    <definedName name="OSTLIA_4Q20">Tags_ols!$DF$163</definedName>
    <definedName name="OSTLIA_4Q21">Tags!$DK$163</definedName>
    <definedName name="OSTLIA_4Q22">Tags!$DP$163</definedName>
    <definedName name="OSTLIA_4Q23">Tags!$DU$163</definedName>
    <definedName name="OSTLIA_4Q24">Tags!$DZ$163</definedName>
    <definedName name="OTHASS_1995">Tags_ols!$B$157</definedName>
    <definedName name="OTHASS_1996">Tags_ols!$C$157</definedName>
    <definedName name="OTHASS_1997">Tags_ols!$D$157</definedName>
    <definedName name="OTHASS_1998">Tags_ols!$E$157</definedName>
    <definedName name="OTHASS_1999">Tags_ols!$F$157</definedName>
    <definedName name="OTHASS_1Q00" localSheetId="10">Tags!$G$157</definedName>
    <definedName name="OTHASS_1Q00">Tags_ols!$G$157</definedName>
    <definedName name="OTHASS_1Q01" localSheetId="10">Tags!$L$157</definedName>
    <definedName name="OTHASS_1Q01">Tags_ols!$L$157</definedName>
    <definedName name="OTHASS_1Q02" localSheetId="10">Tags!$Q$157</definedName>
    <definedName name="OTHASS_1Q02">Tags_ols!$Q$157</definedName>
    <definedName name="OTHASS_1Q03" localSheetId="10">Tags!$V$157</definedName>
    <definedName name="OTHASS_1Q03">Tags_ols!$V$157</definedName>
    <definedName name="OTHASS_1Q04" localSheetId="10">Tags!$AA$157</definedName>
    <definedName name="OTHASS_1Q04">Tags_ols!$AA$157</definedName>
    <definedName name="OTHASS_1Q05" localSheetId="10">Tags!$AF$157</definedName>
    <definedName name="OTHASS_1Q05">Tags_ols!$AF$157</definedName>
    <definedName name="OTHASS_1Q06" localSheetId="10">Tags!$AK$157</definedName>
    <definedName name="OTHASS_1Q06">Tags_ols!$AK$157</definedName>
    <definedName name="OTHASS_1Q07" localSheetId="10">Tags!$AP$157</definedName>
    <definedName name="OTHASS_1Q07">Tags_ols!$AP$157</definedName>
    <definedName name="OTHASS_1Q08" localSheetId="10">Tags!$AU$157</definedName>
    <definedName name="OTHASS_1Q08">Tags_ols!$AU$157</definedName>
    <definedName name="OTHASS_1Q09" localSheetId="10">Tags!$AZ$157</definedName>
    <definedName name="OTHASS_1Q09">Tags_ols!$AZ$157</definedName>
    <definedName name="OTHASS_1Q10" localSheetId="10">Tags!$BE$157</definedName>
    <definedName name="OTHASS_1Q10">Tags_ols!$BE$157</definedName>
    <definedName name="OTHASS_1Q11" localSheetId="10">Tags!$BJ$157</definedName>
    <definedName name="OTHASS_1Q11">Tags_ols!$BJ$157</definedName>
    <definedName name="OTHASS_1Q12" localSheetId="10">Tags!$BO$157</definedName>
    <definedName name="OTHASS_1Q12">Tags_ols!$BO$157</definedName>
    <definedName name="OTHASS_1Q13" localSheetId="10">Tags!$BT$157</definedName>
    <definedName name="OTHASS_1Q13">Tags_ols!$BT$157</definedName>
    <definedName name="OTHASS_1Q14" localSheetId="10">Tags!$BY$157</definedName>
    <definedName name="OTHASS_1Q14">Tags_ols!$BY$157</definedName>
    <definedName name="OTHASS_1Q15" localSheetId="10">Tags!$CD$157</definedName>
    <definedName name="OTHASS_1Q15">Tags_ols!$CD$157</definedName>
    <definedName name="OTHASS_1Q16" localSheetId="10">Tags!$CI$157</definedName>
    <definedName name="OTHASS_1Q16">Tags_ols!$CI$157</definedName>
    <definedName name="OTHASS_1Q17" localSheetId="10">Tags!$CN$157</definedName>
    <definedName name="OTHASS_1Q17">Tags_ols!$CN$157</definedName>
    <definedName name="OTHASS_1Q18" localSheetId="10">Tags!$CS$157</definedName>
    <definedName name="OTHASS_1Q18">Tags_ols!$CS$157</definedName>
    <definedName name="OTHASS_1Q19" localSheetId="10">Tags!$CX$157</definedName>
    <definedName name="OTHASS_1Q19">Tags_ols!$CX$157</definedName>
    <definedName name="OTHASS_1Q20" localSheetId="10">Tags!$DC$157</definedName>
    <definedName name="OTHASS_1Q20">Tags_ols!$DC$157</definedName>
    <definedName name="OTHASS_1Q21">Tags!$DH$157</definedName>
    <definedName name="OTHASS_1Q22">Tags!$DM$157</definedName>
    <definedName name="OTHASS_1Q23">Tags!$DR$157</definedName>
    <definedName name="OTHASS_1Q24">Tags!$DW$157</definedName>
    <definedName name="OTHASS_2000" localSheetId="10">Tags!$K$157</definedName>
    <definedName name="OTHASS_2000">Tags_ols!$K$157</definedName>
    <definedName name="OTHASS_2001" localSheetId="10">Tags!$P$157</definedName>
    <definedName name="OTHASS_2001">Tags_ols!$P$157</definedName>
    <definedName name="OTHASS_2002" localSheetId="10">Tags!$U$157</definedName>
    <definedName name="OTHASS_2002">Tags_ols!$U$157</definedName>
    <definedName name="OTHASS_2003" localSheetId="10">Tags!$Z$157</definedName>
    <definedName name="OTHASS_2003">Tags_ols!$Z$157</definedName>
    <definedName name="OTHASS_2004" localSheetId="10">Tags!$AE$157</definedName>
    <definedName name="OTHASS_2004">Tags_ols!$AE$157</definedName>
    <definedName name="OTHASS_2005" localSheetId="10">Tags!$AJ$157</definedName>
    <definedName name="OTHASS_2005">Tags_ols!$AJ$157</definedName>
    <definedName name="OTHASS_2006" localSheetId="10">Tags!$AO$157</definedName>
    <definedName name="OTHASS_2006">Tags_ols!$AO$157</definedName>
    <definedName name="OTHASS_2007" localSheetId="10">Tags!$AT$157</definedName>
    <definedName name="OTHASS_2007">Tags_ols!$AT$157</definedName>
    <definedName name="OTHASS_2008" localSheetId="10">Tags!$AY$157</definedName>
    <definedName name="OTHASS_2008">Tags_ols!$AY$157</definedName>
    <definedName name="OTHASS_2009" localSheetId="10">Tags!$BD$157</definedName>
    <definedName name="OTHASS_2009">Tags_ols!$BD$157</definedName>
    <definedName name="OTHASS_2010" localSheetId="10">Tags!$BI$157</definedName>
    <definedName name="OTHASS_2010">Tags_ols!$BI$157</definedName>
    <definedName name="OTHASS_2011" localSheetId="10">Tags!$BN$157</definedName>
    <definedName name="OTHASS_2011">Tags_ols!$BN$157</definedName>
    <definedName name="OTHASS_2012" localSheetId="10">Tags!$BS$157</definedName>
    <definedName name="OTHASS_2012">Tags_ols!$BS$157</definedName>
    <definedName name="OTHASS_2013" localSheetId="10">Tags!$BX$157</definedName>
    <definedName name="OTHASS_2013">Tags_ols!$BX$157</definedName>
    <definedName name="OTHASS_2014" localSheetId="10">Tags!$CC$157</definedName>
    <definedName name="OTHASS_2014">Tags_ols!$CC$157</definedName>
    <definedName name="OTHASS_2015" localSheetId="10">Tags!#REF!</definedName>
    <definedName name="OTHASS_2015">Tags!$CH$157</definedName>
    <definedName name="OTHASS_2016" localSheetId="10">Tags!$CM$157</definedName>
    <definedName name="OTHASS_2016">Tags_ols!$CM$157</definedName>
    <definedName name="OTHASS_2017" localSheetId="10">Tags!$CR$157</definedName>
    <definedName name="OTHASS_2017">Tags_ols!$CR$157</definedName>
    <definedName name="OTHASS_2018" localSheetId="10">Tags!$CW$157</definedName>
    <definedName name="OTHASS_2018">Tags_ols!$CW$157</definedName>
    <definedName name="OTHASS_2019" localSheetId="10">Tags!$DB$157</definedName>
    <definedName name="OTHASS_2019">Tags_ols!$DB$157</definedName>
    <definedName name="OTHASS_2020" localSheetId="10">Tags!$DG$157</definedName>
    <definedName name="OTHASS_2020">Tags_ols!$DG$157</definedName>
    <definedName name="OTHASS_2021">Tags!$DL$157</definedName>
    <definedName name="OTHASS_2022">Tags!$DQ$157</definedName>
    <definedName name="OTHASS_2023">Tags!$DV$157</definedName>
    <definedName name="OTHASS_2024">Tags!$EA$157</definedName>
    <definedName name="OTHASS_2Q00" localSheetId="10">Tags!$H$157</definedName>
    <definedName name="OTHASS_2Q00">Tags_ols!$H$157</definedName>
    <definedName name="OTHASS_2Q01" localSheetId="10">Tags!$M$157</definedName>
    <definedName name="OTHASS_2Q01">Tags_ols!$M$157</definedName>
    <definedName name="OTHASS_2Q02" localSheetId="10">Tags!$R$157</definedName>
    <definedName name="OTHASS_2Q02">Tags_ols!$R$157</definedName>
    <definedName name="OTHASS_2Q03" localSheetId="10">Tags!$W$157</definedName>
    <definedName name="OTHASS_2Q03">Tags_ols!$W$157</definedName>
    <definedName name="OTHASS_2Q04" localSheetId="10">Tags!$AB$157</definedName>
    <definedName name="OTHASS_2Q04">Tags_ols!$AB$157</definedName>
    <definedName name="OTHASS_2Q05" localSheetId="10">Tags!$AG$157</definedName>
    <definedName name="OTHASS_2Q05">Tags_ols!$AG$157</definedName>
    <definedName name="OTHASS_2Q06" localSheetId="10">Tags!$AL$157</definedName>
    <definedName name="OTHASS_2Q06">Tags_ols!$AL$157</definedName>
    <definedName name="OTHASS_2Q07" localSheetId="10">Tags!$AQ$157</definedName>
    <definedName name="OTHASS_2Q07">Tags_ols!$AQ$157</definedName>
    <definedName name="OTHASS_2Q08" localSheetId="10">Tags!$AV$157</definedName>
    <definedName name="OTHASS_2Q08">Tags_ols!$AV$157</definedName>
    <definedName name="OTHASS_2Q09" localSheetId="10">Tags!$BA$157</definedName>
    <definedName name="OTHASS_2Q09">Tags_ols!$BA$157</definedName>
    <definedName name="OTHASS_2Q10" localSheetId="10">Tags!$BF$157</definedName>
    <definedName name="OTHASS_2Q10">Tags_ols!$BF$157</definedName>
    <definedName name="OTHASS_2Q11" localSheetId="10">Tags!$BK$157</definedName>
    <definedName name="OTHASS_2Q11">Tags_ols!$BK$157</definedName>
    <definedName name="OTHASS_2Q12" localSheetId="10">Tags!$BP$157</definedName>
    <definedName name="OTHASS_2Q12">Tags_ols!$BP$157</definedName>
    <definedName name="OTHASS_2Q13" localSheetId="10">Tags!$BU$157</definedName>
    <definedName name="OTHASS_2Q13">Tags_ols!$BU$157</definedName>
    <definedName name="OTHASS_2Q14" localSheetId="10">Tags!$BZ$157</definedName>
    <definedName name="OTHASS_2Q14">Tags_ols!$BZ$157</definedName>
    <definedName name="OTHASS_2Q15" localSheetId="10">Tags!$CE$157</definedName>
    <definedName name="OTHASS_2Q15">Tags_ols!$CE$157</definedName>
    <definedName name="OTHASS_2Q16" localSheetId="10">Tags!$CJ$157</definedName>
    <definedName name="OTHASS_2Q16">Tags_ols!$CJ$157</definedName>
    <definedName name="OTHASS_2Q17" localSheetId="10">Tags!$CO$157</definedName>
    <definedName name="OTHASS_2Q17">Tags_ols!$CO$157</definedName>
    <definedName name="OTHASS_2Q18" localSheetId="10">Tags!$CT$157</definedName>
    <definedName name="OTHASS_2Q18">Tags_ols!$CT$157</definedName>
    <definedName name="OTHASS_2Q19" localSheetId="10">Tags!$CY$157</definedName>
    <definedName name="OTHASS_2Q19">Tags_ols!$CY$157</definedName>
    <definedName name="OTHASS_2Q20" localSheetId="10">Tags!$DD$157</definedName>
    <definedName name="OTHASS_2Q20">Tags_ols!$DD$157</definedName>
    <definedName name="OTHASS_2Q21">Tags!$DI$157</definedName>
    <definedName name="OTHASS_2Q22">Tags!$DN$157</definedName>
    <definedName name="OTHASS_2Q23">Tags!$DS$157</definedName>
    <definedName name="OTHASS_2Q24">Tags!$DX$157</definedName>
    <definedName name="OTHASS_3Q00" localSheetId="10">Tags!$I$157</definedName>
    <definedName name="OTHASS_3Q00">Tags_ols!$I$157</definedName>
    <definedName name="OTHASS_3Q01" localSheetId="10">Tags!$N$157</definedName>
    <definedName name="OTHASS_3Q01">Tags_ols!$N$157</definedName>
    <definedName name="OTHASS_3Q02" localSheetId="10">Tags!$S$157</definedName>
    <definedName name="OTHASS_3Q02">Tags_ols!$S$157</definedName>
    <definedName name="OTHASS_3Q03" localSheetId="10">Tags!$X$157</definedName>
    <definedName name="OTHASS_3Q03">Tags_ols!$X$157</definedName>
    <definedName name="OTHASS_3Q04" localSheetId="10">Tags!$AC$157</definedName>
    <definedName name="OTHASS_3Q04">Tags_ols!$AC$157</definedName>
    <definedName name="OTHASS_3Q05" localSheetId="10">Tags!$AH$157</definedName>
    <definedName name="OTHASS_3Q05">Tags_ols!$AH$157</definedName>
    <definedName name="OTHASS_3Q06" localSheetId="10">Tags!$AM$157</definedName>
    <definedName name="OTHASS_3Q06">Tags_ols!$AM$157</definedName>
    <definedName name="OTHASS_3Q07" localSheetId="10">Tags!$AR$157</definedName>
    <definedName name="OTHASS_3Q07">Tags_ols!$AR$157</definedName>
    <definedName name="OTHASS_3Q08" localSheetId="10">Tags!$AW$157</definedName>
    <definedName name="OTHASS_3Q08">Tags_ols!$AW$157</definedName>
    <definedName name="OTHASS_3Q09" localSheetId="10">Tags!$BB$157</definedName>
    <definedName name="OTHASS_3Q09">Tags_ols!$BB$157</definedName>
    <definedName name="OTHASS_3Q10" localSheetId="10">Tags!$BG$157</definedName>
    <definedName name="OTHASS_3Q10">Tags_ols!$BG$157</definedName>
    <definedName name="OTHASS_3Q11" localSheetId="10">Tags!$BL$157</definedName>
    <definedName name="OTHASS_3Q11">Tags_ols!$BL$157</definedName>
    <definedName name="OTHASS_3Q12" localSheetId="10">Tags!$BQ$157</definedName>
    <definedName name="OTHASS_3Q12">Tags_ols!$BQ$157</definedName>
    <definedName name="OTHASS_3Q13" localSheetId="10">Tags!$BV$157</definedName>
    <definedName name="OTHASS_3Q13">Tags_ols!$BV$157</definedName>
    <definedName name="OTHASS_3Q14" localSheetId="10">Tags!$CA$157</definedName>
    <definedName name="OTHASS_3Q14">Tags_ols!$CA$157</definedName>
    <definedName name="OTHASS_3Q15" localSheetId="10">Tags!$CF$157</definedName>
    <definedName name="OTHASS_3Q15">Tags_ols!$CF$157</definedName>
    <definedName name="OTHASS_3Q16" localSheetId="10">Tags!$CK$157</definedName>
    <definedName name="OTHASS_3Q16">Tags_ols!$CK$157</definedName>
    <definedName name="OTHASS_3Q17" localSheetId="10">Tags!$CP$157</definedName>
    <definedName name="OTHASS_3Q17">Tags_ols!$CP$157</definedName>
    <definedName name="OTHASS_3Q18" localSheetId="10">Tags!$CU$157</definedName>
    <definedName name="OTHASS_3Q18">Tags_ols!$CU$157</definedName>
    <definedName name="OTHASS_3Q19" localSheetId="10">Tags!$CZ$157</definedName>
    <definedName name="OTHASS_3Q19">Tags_ols!$CZ$157</definedName>
    <definedName name="OTHASS_3Q20" localSheetId="10">Tags!$DE$157</definedName>
    <definedName name="OTHASS_3Q20">Tags_ols!$DE$157</definedName>
    <definedName name="OTHASS_3Q21">Tags!$DJ$157</definedName>
    <definedName name="OTHASS_3Q22">Tags!$DO$157</definedName>
    <definedName name="OTHASS_3Q23">Tags!$DT$157</definedName>
    <definedName name="OTHASS_3Q24">Tags!$DY$157</definedName>
    <definedName name="OTHASS_4Q00" localSheetId="10">Tags!$J$157</definedName>
    <definedName name="OTHASS_4Q00">Tags_ols!$J$157</definedName>
    <definedName name="OTHASS_4Q01" localSheetId="10">Tags!$O$157</definedName>
    <definedName name="OTHASS_4Q01">Tags_ols!$O$157</definedName>
    <definedName name="OTHASS_4Q02" localSheetId="10">Tags!$T$157</definedName>
    <definedName name="OTHASS_4Q02">Tags_ols!$T$157</definedName>
    <definedName name="OTHASS_4Q03" localSheetId="10">Tags!$Y$157</definedName>
    <definedName name="OTHASS_4Q03">Tags_ols!$Y$157</definedName>
    <definedName name="OTHASS_4Q04" localSheetId="10">Tags!$AD$157</definedName>
    <definedName name="OTHASS_4Q04">Tags_ols!$AD$157</definedName>
    <definedName name="OTHASS_4Q05" localSheetId="10">Tags!$AI$157</definedName>
    <definedName name="OTHASS_4Q05">Tags_ols!$AI$157</definedName>
    <definedName name="OTHASS_4Q06" localSheetId="10">Tags!$AN$157</definedName>
    <definedName name="OTHASS_4Q06">Tags_ols!$AN$157</definedName>
    <definedName name="OTHASS_4Q07" localSheetId="10">Tags!$AS$157</definedName>
    <definedName name="OTHASS_4Q07">Tags_ols!$AS$157</definedName>
    <definedName name="OTHASS_4Q08" localSheetId="10">Tags!$AX$157</definedName>
    <definedName name="OTHASS_4Q08">Tags_ols!$AX$157</definedName>
    <definedName name="OTHASS_4Q09" localSheetId="10">Tags!$BC$157</definedName>
    <definedName name="OTHASS_4Q09">Tags_ols!$BC$157</definedName>
    <definedName name="OTHASS_4Q10" localSheetId="10">Tags!$BH$157</definedName>
    <definedName name="OTHASS_4Q10">Tags_ols!$BH$157</definedName>
    <definedName name="OTHASS_4Q11" localSheetId="10">Tags!$BM$157</definedName>
    <definedName name="OTHASS_4Q11">Tags_ols!$BM$157</definedName>
    <definedName name="OTHASS_4Q12" localSheetId="10">Tags!$BR$157</definedName>
    <definedName name="OTHASS_4Q12">Tags_ols!$BR$157</definedName>
    <definedName name="OTHASS_4Q13" localSheetId="10">Tags!$BW$157</definedName>
    <definedName name="OTHASS_4Q13">Tags_ols!$BW$157</definedName>
    <definedName name="OTHASS_4Q14" localSheetId="10">Tags!$CB$157</definedName>
    <definedName name="OTHASS_4Q14">Tags_ols!$CB$157</definedName>
    <definedName name="OTHASS_4Q15" localSheetId="10">Tags!$CG$157</definedName>
    <definedName name="OTHASS_4Q15">Tags_ols!$CG$157</definedName>
    <definedName name="OTHASS_4Q16" localSheetId="10">Tags!$CL$157</definedName>
    <definedName name="OTHASS_4Q16">Tags_ols!$CL$157</definedName>
    <definedName name="OTHASS_4Q17" localSheetId="10">Tags!$CQ$157</definedName>
    <definedName name="OTHASS_4Q17">Tags_ols!$CQ$157</definedName>
    <definedName name="OTHASS_4Q18" localSheetId="10">Tags!$CV$157</definedName>
    <definedName name="OTHASS_4Q18">Tags_ols!$CV$157</definedName>
    <definedName name="OTHASS_4Q19" localSheetId="10">Tags!$DA$157</definedName>
    <definedName name="OTHASS_4Q19">Tags_ols!$DA$157</definedName>
    <definedName name="OTHASS_4Q20" localSheetId="10">Tags!$DF$157</definedName>
    <definedName name="OTHASS_4Q20">Tags_ols!$DF$157</definedName>
    <definedName name="OTHASS_4Q21">Tags!$DK$157</definedName>
    <definedName name="OTHASS_4Q22">Tags!$DP$157</definedName>
    <definedName name="OTHASS_4Q23">Tags!$DU$157</definedName>
    <definedName name="OTHASS_4Q24">Tags!$DZ$157</definedName>
    <definedName name="OTHDIV_1995">Tags_ols!$B$28</definedName>
    <definedName name="OTHDIV_1996">Tags_ols!$C$28</definedName>
    <definedName name="OTHDIV_1997">Tags_ols!$D$28</definedName>
    <definedName name="OTHDIV_1998">Tags_ols!$E$28</definedName>
    <definedName name="OTHDIV_1999">Tags_ols!$F$28</definedName>
    <definedName name="OTHDIV_1Q00" localSheetId="10">Tags!$G$28</definedName>
    <definedName name="OTHDIV_1Q00">Tags_ols!$G$28</definedName>
    <definedName name="OTHDIV_1Q01" localSheetId="10">Tags!$L$28</definedName>
    <definedName name="OTHDIV_1Q01">Tags_ols!$L$28</definedName>
    <definedName name="OTHDIV_1Q02" localSheetId="10">Tags!$Q$28</definedName>
    <definedName name="OTHDIV_1Q02">Tags_ols!$Q$28</definedName>
    <definedName name="OTHDIV_1Q03" localSheetId="10">Tags!$V$28</definedName>
    <definedName name="OTHDIV_1Q03">Tags_ols!$V$28</definedName>
    <definedName name="OTHDIV_1Q04" localSheetId="10">Tags!$AA$28</definedName>
    <definedName name="OTHDIV_1Q04">Tags_ols!$AA$28</definedName>
    <definedName name="OTHDIV_1Q05" localSheetId="10">Tags!$AF$28</definedName>
    <definedName name="OTHDIV_1Q05">Tags_ols!$AF$28</definedName>
    <definedName name="OTHDIV_1Q06" localSheetId="10">Tags!$AK$28</definedName>
    <definedName name="OTHDIV_1Q06">Tags_ols!$AK$28</definedName>
    <definedName name="OTHDIV_1Q07" localSheetId="10">Tags!$AP$28</definedName>
    <definedName name="OTHDIV_1Q07">Tags_ols!$AP$28</definedName>
    <definedName name="OTHDIV_1Q08" localSheetId="10">Tags!$AU$28</definedName>
    <definedName name="OTHDIV_1Q08">Tags_ols!$AU$28</definedName>
    <definedName name="OTHDIV_1Q09" localSheetId="10">Tags!$AZ$28</definedName>
    <definedName name="OTHDIV_1Q09">Tags_ols!$AZ$28</definedName>
    <definedName name="OTHDIV_1Q10" localSheetId="10">Tags!$BE$28</definedName>
    <definedName name="OTHDIV_1Q10">Tags_ols!$BE$28</definedName>
    <definedName name="OTHDIV_1Q11" localSheetId="10">Tags!$BJ$28</definedName>
    <definedName name="OTHDIV_1Q11">Tags_ols!$BJ$28</definedName>
    <definedName name="OTHDIV_1Q12" localSheetId="10">Tags!$BO$28</definedName>
    <definedName name="OTHDIV_1Q12">Tags_ols!$BO$28</definedName>
    <definedName name="OTHDIV_1Q13" localSheetId="10">Tags!$BT$28</definedName>
    <definedName name="OTHDIV_1Q13">Tags_ols!$BT$28</definedName>
    <definedName name="OTHDIV_1Q14" localSheetId="10">Tags!$BY$28</definedName>
    <definedName name="OTHDIV_1Q14">Tags_ols!$BY$28</definedName>
    <definedName name="OTHDIV_1Q15" localSheetId="10">Tags!$CD$28</definedName>
    <definedName name="OTHDIV_1Q15">Tags_ols!$CD$28</definedName>
    <definedName name="OTHDIV_1Q16" localSheetId="10">Tags!$CI$28</definedName>
    <definedName name="OTHDIV_1Q16">Tags_ols!$CI$28</definedName>
    <definedName name="OTHDIV_1Q17" localSheetId="10">Tags!$CN$28</definedName>
    <definedName name="OTHDIV_1Q17">Tags_ols!$CN$28</definedName>
    <definedName name="OTHDIV_1Q18" localSheetId="10">Tags!$CS$28</definedName>
    <definedName name="OTHDIV_1Q18">Tags_ols!$CS$28</definedName>
    <definedName name="OTHDIV_1Q19" localSheetId="10">Tags!$CX$28</definedName>
    <definedName name="OTHDIV_1Q19">Tags_ols!$CX$28</definedName>
    <definedName name="OTHDIV_1Q20" localSheetId="10">Tags!$DC$28</definedName>
    <definedName name="OTHDIV_1Q20">Tags_ols!$DC$28</definedName>
    <definedName name="OTHDIV_1Q21">Tags!$DH$28</definedName>
    <definedName name="OTHDIV_1Q22">Tags!$DM$28</definedName>
    <definedName name="OTHDIV_1Q23">Tags!$DR$28</definedName>
    <definedName name="OTHDIV_1Q24">Tags!$DW$28</definedName>
    <definedName name="OTHDIV_2000" localSheetId="10">Tags!$K$28</definedName>
    <definedName name="OTHDIV_2000">Tags_ols!$K$28</definedName>
    <definedName name="OTHDIV_2001" localSheetId="10">Tags!$P$28</definedName>
    <definedName name="OTHDIV_2001">Tags_ols!$P$28</definedName>
    <definedName name="OTHDIV_2002" localSheetId="10">Tags!$U$28</definedName>
    <definedName name="OTHDIV_2002">Tags_ols!$U$28</definedName>
    <definedName name="OTHDIV_2003" localSheetId="10">Tags!$Z$28</definedName>
    <definedName name="OTHDIV_2003">Tags_ols!$Z$28</definedName>
    <definedName name="OTHDIV_2004" localSheetId="10">Tags!$AE$28</definedName>
    <definedName name="OTHDIV_2004">Tags_ols!$AE$28</definedName>
    <definedName name="OTHDIV_2005" localSheetId="10">Tags!$AJ$28</definedName>
    <definedName name="OTHDIV_2005">Tags_ols!$AJ$28</definedName>
    <definedName name="OTHDIV_2006" localSheetId="10">Tags!$AO$28</definedName>
    <definedName name="OTHDIV_2006">Tags_ols!$AO$28</definedName>
    <definedName name="OTHDIV_2007" localSheetId="10">Tags!$AT$28</definedName>
    <definedName name="OTHDIV_2007">Tags_ols!$AT$28</definedName>
    <definedName name="OTHDIV_2008" localSheetId="10">Tags!$AY$28</definedName>
    <definedName name="OTHDIV_2008">Tags_ols!$AY$28</definedName>
    <definedName name="OTHDIV_2009" localSheetId="10">Tags!$BD$28</definedName>
    <definedName name="OTHDIV_2009">Tags_ols!$BD$28</definedName>
    <definedName name="OTHDIV_2010" localSheetId="10">Tags!$BI$28</definedName>
    <definedName name="OTHDIV_2010">Tags_ols!$BI$28</definedName>
    <definedName name="OTHDIV_2011" localSheetId="10">Tags!$BN$28</definedName>
    <definedName name="OTHDIV_2011">Tags_ols!$BN$28</definedName>
    <definedName name="OTHDIV_2012" localSheetId="10">Tags!$BS$28</definedName>
    <definedName name="OTHDIV_2012">Tags_ols!$BS$28</definedName>
    <definedName name="OTHDIV_2013" localSheetId="10">Tags!$BX$28</definedName>
    <definedName name="OTHDIV_2013">Tags_ols!$BX$28</definedName>
    <definedName name="OTHDIV_2014" localSheetId="10">Tags!$CC$28</definedName>
    <definedName name="OTHDIV_2014">Tags_ols!$CC$28</definedName>
    <definedName name="OTHDIV_2015" localSheetId="10">Tags!#REF!</definedName>
    <definedName name="OTHDIV_2015">Tags!$CH$28</definedName>
    <definedName name="OTHDIV_2016" localSheetId="10">Tags!$CM$28</definedName>
    <definedName name="OTHDIV_2016">Tags_ols!$CM$28</definedName>
    <definedName name="OTHDIV_2017" localSheetId="10">Tags!$CR$28</definedName>
    <definedName name="OTHDIV_2017">Tags_ols!$CR$28</definedName>
    <definedName name="OTHDIV_2018" localSheetId="10">Tags!$CW$28</definedName>
    <definedName name="OTHDIV_2018">Tags_ols!$CW$28</definedName>
    <definedName name="OTHDIV_2019" localSheetId="10">Tags!$DB$28</definedName>
    <definedName name="OTHDIV_2019">Tags_ols!$DB$28</definedName>
    <definedName name="OTHDIV_2020" localSheetId="10">Tags!$DG$28</definedName>
    <definedName name="OTHDIV_2020">Tags_ols!$DG$28</definedName>
    <definedName name="OTHDIV_2021">Tags!$DL$28</definedName>
    <definedName name="OTHDIV_2022">Tags!$DQ$28</definedName>
    <definedName name="OTHDIV_2023">Tags!$DV$28</definedName>
    <definedName name="OTHDIV_2024">Tags!$EA$28</definedName>
    <definedName name="OTHDIV_2Q00" localSheetId="10">Tags!$H$28</definedName>
    <definedName name="OTHDIV_2Q00">Tags_ols!$H$28</definedName>
    <definedName name="OTHDIV_2Q01" localSheetId="10">Tags!$M$28</definedName>
    <definedName name="OTHDIV_2Q01">Tags_ols!$M$28</definedName>
    <definedName name="OTHDIV_2Q02" localSheetId="10">Tags!$R$28</definedName>
    <definedName name="OTHDIV_2Q02">Tags_ols!$R$28</definedName>
    <definedName name="OTHDIV_2Q03" localSheetId="10">Tags!$W$28</definedName>
    <definedName name="OTHDIV_2Q03">Tags_ols!$W$28</definedName>
    <definedName name="OTHDIV_2Q04" localSheetId="10">Tags!$AB$28</definedName>
    <definedName name="OTHDIV_2Q04">Tags_ols!$AB$28</definedName>
    <definedName name="OTHDIV_2Q05" localSheetId="10">Tags!$AG$28</definedName>
    <definedName name="OTHDIV_2Q05">Tags_ols!$AG$28</definedName>
    <definedName name="OTHDIV_2Q06" localSheetId="10">Tags!$AL$28</definedName>
    <definedName name="OTHDIV_2Q06">Tags_ols!$AL$28</definedName>
    <definedName name="OTHDIV_2Q07" localSheetId="10">Tags!$AQ$28</definedName>
    <definedName name="OTHDIV_2Q07">Tags_ols!$AQ$28</definedName>
    <definedName name="OTHDIV_2Q08" localSheetId="10">Tags!$AV$28</definedName>
    <definedName name="OTHDIV_2Q08">Tags_ols!$AV$28</definedName>
    <definedName name="OTHDIV_2Q09" localSheetId="10">Tags!$BA$28</definedName>
    <definedName name="OTHDIV_2Q09">Tags_ols!$BA$28</definedName>
    <definedName name="OTHDIV_2Q10" localSheetId="10">Tags!$BF$28</definedName>
    <definedName name="OTHDIV_2Q10">Tags_ols!$BF$28</definedName>
    <definedName name="OTHDIV_2Q11" localSheetId="10">Tags!$BK$28</definedName>
    <definedName name="OTHDIV_2Q11">Tags_ols!$BK$28</definedName>
    <definedName name="OTHDIV_2Q12" localSheetId="10">Tags!$BP$28</definedName>
    <definedName name="OTHDIV_2Q12">Tags_ols!$BP$28</definedName>
    <definedName name="OTHDIV_2Q13" localSheetId="10">Tags!$BU$28</definedName>
    <definedName name="OTHDIV_2Q13">Tags_ols!$BU$28</definedName>
    <definedName name="OTHDIV_2Q14" localSheetId="10">Tags!$BZ$28</definedName>
    <definedName name="OTHDIV_2Q14">Tags_ols!$BZ$28</definedName>
    <definedName name="OTHDIV_2Q15" localSheetId="10">Tags!$CE$28</definedName>
    <definedName name="OTHDIV_2Q15">Tags_ols!$CE$28</definedName>
    <definedName name="OTHDIV_2Q16" localSheetId="10">Tags!$CJ$28</definedName>
    <definedName name="OTHDIV_2Q16">Tags_ols!$CJ$28</definedName>
    <definedName name="OTHDIV_2Q17" localSheetId="10">Tags!$CO$28</definedName>
    <definedName name="OTHDIV_2Q17">Tags_ols!$CO$28</definedName>
    <definedName name="OTHDIV_2Q18" localSheetId="10">Tags!$CT$28</definedName>
    <definedName name="OTHDIV_2Q18">Tags_ols!$CT$28</definedName>
    <definedName name="OTHDIV_2Q19" localSheetId="10">Tags!$CY$28</definedName>
    <definedName name="OTHDIV_2Q19">Tags_ols!$CY$28</definedName>
    <definedName name="OTHDIV_2Q20" localSheetId="10">Tags!$DD$28</definedName>
    <definedName name="OTHDIV_2Q20">Tags_ols!$DD$28</definedName>
    <definedName name="OTHDIV_2Q21">Tags!$DI$28</definedName>
    <definedName name="OTHDIV_2Q22">Tags!$DN$28</definedName>
    <definedName name="OTHDIV_2Q23">Tags!$DS$28</definedName>
    <definedName name="OTHDIV_2Q24">Tags!$DX$28</definedName>
    <definedName name="OTHDIV_3Q00" localSheetId="10">Tags!$I$28</definedName>
    <definedName name="OTHDIV_3Q00">Tags_ols!$I$28</definedName>
    <definedName name="OTHDIV_3Q01" localSheetId="10">Tags!$N$28</definedName>
    <definedName name="OTHDIV_3Q01">Tags_ols!$N$28</definedName>
    <definedName name="OTHDIV_3Q02" localSheetId="10">Tags!$S$28</definedName>
    <definedName name="OTHDIV_3Q02">Tags_ols!$S$28</definedName>
    <definedName name="OTHDIV_3Q03" localSheetId="10">Tags!$X$28</definedName>
    <definedName name="OTHDIV_3Q03">Tags_ols!$X$28</definedName>
    <definedName name="OTHDIV_3Q04" localSheetId="10">Tags!$AC$28</definedName>
    <definedName name="OTHDIV_3Q04">Tags_ols!$AC$28</definedName>
    <definedName name="OTHDIV_3Q05" localSheetId="10">Tags!$AH$28</definedName>
    <definedName name="OTHDIV_3Q05">Tags_ols!$AH$28</definedName>
    <definedName name="OTHDIV_3Q06" localSheetId="10">Tags!$AM$28</definedName>
    <definedName name="OTHDIV_3Q06">Tags_ols!$AM$28</definedName>
    <definedName name="OTHDIV_3Q07" localSheetId="10">Tags!$AR$28</definedName>
    <definedName name="OTHDIV_3Q07">Tags_ols!$AR$28</definedName>
    <definedName name="OTHDIV_3Q08" localSheetId="10">Tags!$AW$28</definedName>
    <definedName name="OTHDIV_3Q08">Tags_ols!$AW$28</definedName>
    <definedName name="OTHDIV_3Q09" localSheetId="10">Tags!$BB$28</definedName>
    <definedName name="OTHDIV_3Q09">Tags_ols!$BB$28</definedName>
    <definedName name="OTHDIV_3Q10" localSheetId="10">Tags!$BG$28</definedName>
    <definedName name="OTHDIV_3Q10">Tags_ols!$BG$28</definedName>
    <definedName name="OTHDIV_3Q11" localSheetId="10">Tags!$BL$28</definedName>
    <definedName name="OTHDIV_3Q11">Tags_ols!$BL$28</definedName>
    <definedName name="OTHDIV_3Q12" localSheetId="10">Tags!$BQ$28</definedName>
    <definedName name="OTHDIV_3Q12">Tags_ols!$BQ$28</definedName>
    <definedName name="OTHDIV_3Q13" localSheetId="10">Tags!$BV$28</definedName>
    <definedName name="OTHDIV_3Q13">Tags_ols!$BV$28</definedName>
    <definedName name="OTHDIV_3Q14" localSheetId="10">Tags!$CA$28</definedName>
    <definedName name="OTHDIV_3Q14">Tags_ols!$CA$28</definedName>
    <definedName name="OTHDIV_3Q15" localSheetId="10">Tags!$CF$28</definedName>
    <definedName name="OTHDIV_3Q15">Tags_ols!$CF$28</definedName>
    <definedName name="OTHDIV_3Q16" localSheetId="10">Tags!$CK$28</definedName>
    <definedName name="OTHDIV_3Q16">Tags_ols!$CK$28</definedName>
    <definedName name="OTHDIV_3Q17" localSheetId="10">Tags!$CP$28</definedName>
    <definedName name="OTHDIV_3Q17">Tags_ols!$CP$28</definedName>
    <definedName name="OTHDIV_3Q18" localSheetId="10">Tags!$CU$28</definedName>
    <definedName name="OTHDIV_3Q18">Tags_ols!$CU$28</definedName>
    <definedName name="OTHDIV_3Q19" localSheetId="10">Tags!$CZ$28</definedName>
    <definedName name="OTHDIV_3Q19">Tags_ols!$CZ$28</definedName>
    <definedName name="OTHDIV_3Q20" localSheetId="10">Tags!$DE$28</definedName>
    <definedName name="OTHDIV_3Q20">Tags_ols!$DE$28</definedName>
    <definedName name="OTHDIV_3Q21">Tags!$DJ$28</definedName>
    <definedName name="OTHDIV_3Q22">Tags!$DO$28</definedName>
    <definedName name="OTHDIV_3Q23">Tags!$DT$28</definedName>
    <definedName name="OTHDIV_3Q24">Tags!$DY$28</definedName>
    <definedName name="OTHDIV_4Q00" localSheetId="10">Tags!$J$28</definedName>
    <definedName name="OTHDIV_4Q00">Tags_ols!$J$28</definedName>
    <definedName name="OTHDIV_4Q01" localSheetId="10">Tags!$O$28</definedName>
    <definedName name="OTHDIV_4Q01">Tags_ols!$O$28</definedName>
    <definedName name="OTHDIV_4Q02" localSheetId="10">Tags!$T$28</definedName>
    <definedName name="OTHDIV_4Q02">Tags_ols!$T$28</definedName>
    <definedName name="OTHDIV_4Q03" localSheetId="10">Tags!$Y$28</definedName>
    <definedName name="OTHDIV_4Q03">Tags_ols!$Y$28</definedName>
    <definedName name="OTHDIV_4Q04" localSheetId="10">Tags!$AD$28</definedName>
    <definedName name="OTHDIV_4Q04">Tags_ols!$AD$28</definedName>
    <definedName name="OTHDIV_4Q05" localSheetId="10">Tags!$AI$28</definedName>
    <definedName name="OTHDIV_4Q05">Tags_ols!$AI$28</definedName>
    <definedName name="OTHDIV_4Q06" localSheetId="10">Tags!$AN$28</definedName>
    <definedName name="OTHDIV_4Q06">Tags_ols!$AN$28</definedName>
    <definedName name="OTHDIV_4Q07" localSheetId="10">Tags!$AS$28</definedName>
    <definedName name="OTHDIV_4Q07">Tags_ols!$AS$28</definedName>
    <definedName name="OTHDIV_4Q08" localSheetId="10">Tags!$AX$28</definedName>
    <definedName name="OTHDIV_4Q08">Tags_ols!$AX$28</definedName>
    <definedName name="OTHDIV_4Q09" localSheetId="10">Tags!$BC$28</definedName>
    <definedName name="OTHDIV_4Q09">Tags_ols!$BC$28</definedName>
    <definedName name="OTHDIV_4Q10" localSheetId="10">Tags!$BH$28</definedName>
    <definedName name="OTHDIV_4Q10">Tags_ols!$BH$28</definedName>
    <definedName name="OTHDIV_4Q11" localSheetId="10">Tags!$BM$28</definedName>
    <definedName name="OTHDIV_4Q11">Tags_ols!$BM$28</definedName>
    <definedName name="OTHDIV_4Q12" localSheetId="10">Tags!$BR$28</definedName>
    <definedName name="OTHDIV_4Q12">Tags_ols!$BR$28</definedName>
    <definedName name="OTHDIV_4Q13" localSheetId="10">Tags!$BW$28</definedName>
    <definedName name="OTHDIV_4Q13">Tags_ols!$BW$28</definedName>
    <definedName name="OTHDIV_4Q14" localSheetId="10">Tags!$CB$28</definedName>
    <definedName name="OTHDIV_4Q14">Tags_ols!$CB$28</definedName>
    <definedName name="OTHDIV_4Q15" localSheetId="10">Tags!$CG$28</definedName>
    <definedName name="OTHDIV_4Q15">Tags_ols!$CG$28</definedName>
    <definedName name="OTHDIV_4Q16" localSheetId="10">Tags!$CL$28</definedName>
    <definedName name="OTHDIV_4Q16">Tags_ols!$CL$28</definedName>
    <definedName name="OTHDIV_4Q17" localSheetId="10">Tags!$CQ$28</definedName>
    <definedName name="OTHDIV_4Q17">Tags_ols!$CQ$28</definedName>
    <definedName name="OTHDIV_4Q18" localSheetId="10">Tags!$CV$28</definedName>
    <definedName name="OTHDIV_4Q18">Tags_ols!$CV$28</definedName>
    <definedName name="OTHDIV_4Q19" localSheetId="10">Tags!$DA$28</definedName>
    <definedName name="OTHDIV_4Q19">Tags_ols!$DA$28</definedName>
    <definedName name="OTHDIV_4Q20" localSheetId="10">Tags!$DF$28</definedName>
    <definedName name="OTHDIV_4Q20">Tags_ols!$DF$28</definedName>
    <definedName name="OTHDIV_4Q21">Tags!$DK$28</definedName>
    <definedName name="OTHDIV_4Q22">Tags!$DP$28</definedName>
    <definedName name="OTHDIV_4Q23">Tags!$DU$28</definedName>
    <definedName name="OTHDIV_4Q24">Tags!$DZ$28</definedName>
    <definedName name="Other_Cash_From_Financing_1995">Tags_ols!$B$341</definedName>
    <definedName name="Other_Cash_From_Financing_1996">Tags_ols!$C$341</definedName>
    <definedName name="Other_Cash_From_Financing_1997">Tags_ols!$D$341</definedName>
    <definedName name="Other_Cash_From_Financing_1998">Tags_ols!$E$341</definedName>
    <definedName name="Other_Cash_From_Financing_1999">Tags_ols!$F$341</definedName>
    <definedName name="OTHER_CASH_FROM_FINANCING_1Q00" localSheetId="10">Tags!$G$341</definedName>
    <definedName name="Other_Cash_From_Financing_1Q00">Tags_ols!$G$341</definedName>
    <definedName name="OTHER_CASH_FROM_FINANCING_1Q01" localSheetId="10">Tags!$L$341</definedName>
    <definedName name="Other_Cash_From_Financing_1Q01">Tags_ols!$L$341</definedName>
    <definedName name="OTHER_CASH_FROM_FINANCING_1Q02" localSheetId="10">Tags!$Q$341</definedName>
    <definedName name="Other_Cash_From_Financing_1Q02">Tags_ols!$Q$341</definedName>
    <definedName name="OTHER_CASH_FROM_FINANCING_1Q03" localSheetId="10">Tags!$V$341</definedName>
    <definedName name="Other_Cash_From_Financing_1Q03">Tags_ols!$V$341</definedName>
    <definedName name="OTHER_CASH_FROM_FINANCING_1Q04" localSheetId="10">Tags!$AA$341</definedName>
    <definedName name="Other_Cash_From_Financing_1Q04">Tags_ols!$AA$341</definedName>
    <definedName name="OTHER_CASH_FROM_FINANCING_1Q05" localSheetId="10">Tags!$AF$341</definedName>
    <definedName name="Other_Cash_From_Financing_1Q05">Tags_ols!$AF$341</definedName>
    <definedName name="OTHER_CASH_FROM_FINANCING_1Q06" localSheetId="10">Tags!$AK$341</definedName>
    <definedName name="Other_Cash_From_Financing_1Q06">Tags_ols!$AK$341</definedName>
    <definedName name="OTHER_CASH_FROM_FINANCING_1Q07" localSheetId="10">Tags!$AP$341</definedName>
    <definedName name="Other_Cash_From_Financing_1Q07">Tags_ols!$AP$341</definedName>
    <definedName name="OTHER_CASH_FROM_FINANCING_1Q08" localSheetId="10">Tags!$AU$341</definedName>
    <definedName name="Other_Cash_From_Financing_1Q08">Tags_ols!$AU$341</definedName>
    <definedName name="OTHER_CASH_FROM_FINANCING_1Q09" localSheetId="10">Tags!$AZ$341</definedName>
    <definedName name="Other_Cash_From_Financing_1Q09">Tags_ols!$AZ$341</definedName>
    <definedName name="OTHER_CASH_FROM_FINANCING_1Q10" localSheetId="10">Tags!$BE$341</definedName>
    <definedName name="Other_Cash_From_Financing_1Q10">Tags_ols!$BE$341</definedName>
    <definedName name="OTHER_CASH_FROM_FINANCING_1Q11" localSheetId="10">Tags!$BJ$341</definedName>
    <definedName name="Other_Cash_From_Financing_1Q11">Tags_ols!$BJ$341</definedName>
    <definedName name="OTHER_CASH_FROM_FINANCING_1Q12" localSheetId="10">Tags!$BO$341</definedName>
    <definedName name="Other_Cash_From_Financing_1Q12">Tags_ols!$BO$341</definedName>
    <definedName name="OTHER_CASH_FROM_FINANCING_1Q13" localSheetId="10">Tags!$BT$341</definedName>
    <definedName name="Other_Cash_From_Financing_1Q13">Tags_ols!$BT$341</definedName>
    <definedName name="OTHER_CASH_FROM_FINANCING_1Q14" localSheetId="10">Tags!$BY$341</definedName>
    <definedName name="Other_Cash_From_Financing_1Q14">Tags_ols!$BY$341</definedName>
    <definedName name="OTHER_CASH_FROM_FINANCING_1Q15" localSheetId="10">Tags!$CD$341</definedName>
    <definedName name="Other_Cash_From_Financing_1Q15">Tags_ols!$CD$341</definedName>
    <definedName name="OTHER_CASH_FROM_FINANCING_1Q16" localSheetId="10">Tags!$CI$341</definedName>
    <definedName name="Other_Cash_From_Financing_1Q16">Tags_ols!$CI$341</definedName>
    <definedName name="OTHER_CASH_FROM_FINANCING_1Q17" localSheetId="10">Tags!$CN$341</definedName>
    <definedName name="Other_Cash_From_Financing_1Q17">Tags_ols!$CN$341</definedName>
    <definedName name="OTHER_CASH_FROM_FINANCING_1Q18" localSheetId="10">Tags!$CS$341</definedName>
    <definedName name="Other_Cash_From_Financing_1Q18">Tags_ols!$CS$341</definedName>
    <definedName name="OTHER_CASH_FROM_FINANCING_1Q19" localSheetId="10">Tags!$CX$341</definedName>
    <definedName name="Other_Cash_From_Financing_1Q19">Tags_ols!$CX$341</definedName>
    <definedName name="OTHER_CASH_FROM_FINANCING_1Q20" localSheetId="10">Tags!$DC$341</definedName>
    <definedName name="Other_Cash_From_Financing_1Q20">Tags_ols!$DC$341</definedName>
    <definedName name="OTHER_CASH_FROM_FINANCING_1Q21">Tags!$DH$341</definedName>
    <definedName name="OTHER_CASH_FROM_FINANCING_1Q22">Tags!$DM$341</definedName>
    <definedName name="OTHER_CASH_FROM_FINANCING_1Q23">Tags!$DR$341</definedName>
    <definedName name="OTHER_CASH_FROM_FINANCING_1Q24">Tags!$DW$341</definedName>
    <definedName name="OTHER_CASH_FROM_FINANCING_2000" localSheetId="10">Tags!$K$341</definedName>
    <definedName name="Other_Cash_From_Financing_2000">Tags_ols!$K$341</definedName>
    <definedName name="OTHER_CASH_FROM_FINANCING_2001" localSheetId="10">Tags!$P$341</definedName>
    <definedName name="Other_Cash_From_Financing_2001">Tags_ols!$P$341</definedName>
    <definedName name="OTHER_CASH_FROM_FINANCING_2002" localSheetId="10">Tags!$U$341</definedName>
    <definedName name="Other_Cash_From_Financing_2002">Tags_ols!$U$341</definedName>
    <definedName name="OTHER_CASH_FROM_FINANCING_2003" localSheetId="10">Tags!$Z$341</definedName>
    <definedName name="Other_Cash_From_Financing_2003">Tags_ols!$Z$341</definedName>
    <definedName name="OTHER_CASH_FROM_FINANCING_2004" localSheetId="10">Tags!$AE$341</definedName>
    <definedName name="Other_Cash_From_Financing_2004">Tags_ols!$AE$341</definedName>
    <definedName name="OTHER_CASH_FROM_FINANCING_2005" localSheetId="10">Tags!$AJ$341</definedName>
    <definedName name="Other_Cash_From_Financing_2005">Tags_ols!$AJ$341</definedName>
    <definedName name="OTHER_CASH_FROM_FINANCING_2006" localSheetId="10">Tags!$AO$341</definedName>
    <definedName name="Other_Cash_From_Financing_2006">Tags_ols!$AO$341</definedName>
    <definedName name="OTHER_CASH_FROM_FINANCING_2007" localSheetId="10">Tags!$AT$341</definedName>
    <definedName name="Other_Cash_From_Financing_2007">Tags_ols!$AT$341</definedName>
    <definedName name="OTHER_CASH_FROM_FINANCING_2008" localSheetId="10">Tags!$AY$341</definedName>
    <definedName name="Other_Cash_From_Financing_2008">Tags_ols!$AY$341</definedName>
    <definedName name="OTHER_CASH_FROM_FINANCING_2009" localSheetId="10">Tags!$BD$341</definedName>
    <definedName name="Other_Cash_From_Financing_2009">Tags_ols!$BD$341</definedName>
    <definedName name="OTHER_CASH_FROM_FINANCING_2010" localSheetId="10">Tags!$BI$341</definedName>
    <definedName name="Other_Cash_From_Financing_2010">Tags_ols!$BI$341</definedName>
    <definedName name="OTHER_CASH_FROM_FINANCING_2011" localSheetId="10">Tags!$BN$341</definedName>
    <definedName name="Other_Cash_From_Financing_2011">Tags_ols!$BN$341</definedName>
    <definedName name="OTHER_CASH_FROM_FINANCING_2012" localSheetId="10">Tags!$BS$341</definedName>
    <definedName name="Other_Cash_From_Financing_2012">Tags_ols!$BS$341</definedName>
    <definedName name="OTHER_CASH_FROM_FINANCING_2013" localSheetId="10">Tags!$BX$341</definedName>
    <definedName name="Other_Cash_From_Financing_2013">Tags_ols!$BX$341</definedName>
    <definedName name="OTHER_CASH_FROM_FINANCING_2014" localSheetId="10">Tags!$CC$341</definedName>
    <definedName name="Other_Cash_From_Financing_2014">Tags_ols!$CC$341</definedName>
    <definedName name="OTHER_CASH_FROM_FINANCING_2015" localSheetId="10">Tags!#REF!</definedName>
    <definedName name="Other_Cash_From_Financing_2015">Tags!$CH$341</definedName>
    <definedName name="OTHER_CASH_FROM_FINANCING_2016" localSheetId="10">Tags!$CM$341</definedName>
    <definedName name="Other_Cash_From_Financing_2016">Tags_ols!$CM$341</definedName>
    <definedName name="OTHER_CASH_FROM_FINANCING_2017" localSheetId="10">Tags!$CR$341</definedName>
    <definedName name="Other_Cash_From_Financing_2017">Tags_ols!$CR$341</definedName>
    <definedName name="OTHER_CASH_FROM_FINANCING_2018" localSheetId="10">Tags!$CW$341</definedName>
    <definedName name="Other_Cash_From_Financing_2018">Tags_ols!$CW$341</definedName>
    <definedName name="OTHER_CASH_FROM_FINANCING_2019" localSheetId="10">Tags!$DB$341</definedName>
    <definedName name="Other_Cash_From_Financing_2019">Tags_ols!$DB$341</definedName>
    <definedName name="OTHER_CASH_FROM_FINANCING_2020" localSheetId="10">Tags!$DG$341</definedName>
    <definedName name="Other_Cash_From_Financing_2020">Tags_ols!$DG$341</definedName>
    <definedName name="OTHER_CASH_FROM_FINANCING_2021">Tags!$DL$341</definedName>
    <definedName name="OTHER_CASH_FROM_FINANCING_2022">Tags!$DQ$341</definedName>
    <definedName name="OTHER_CASH_FROM_FINANCING_2023">Tags!$DV$341</definedName>
    <definedName name="OTHER_CASH_FROM_FINANCING_2024">Tags!$EA$341</definedName>
    <definedName name="OTHER_CASH_FROM_FINANCING_2Q00" localSheetId="10">Tags!$H$341</definedName>
    <definedName name="Other_Cash_From_Financing_2Q00">Tags_ols!$H$341</definedName>
    <definedName name="OTHER_CASH_FROM_FINANCING_2Q01" localSheetId="10">Tags!$M$341</definedName>
    <definedName name="Other_Cash_From_Financing_2Q01">Tags_ols!$M$341</definedName>
    <definedName name="OTHER_CASH_FROM_FINANCING_2Q02" localSheetId="10">Tags!$R$341</definedName>
    <definedName name="Other_Cash_From_Financing_2Q02">Tags_ols!$R$341</definedName>
    <definedName name="OTHER_CASH_FROM_FINANCING_2Q03" localSheetId="10">Tags!$W$341</definedName>
    <definedName name="Other_Cash_From_Financing_2Q03">Tags_ols!$W$341</definedName>
    <definedName name="OTHER_CASH_FROM_FINANCING_2Q04" localSheetId="10">Tags!$AB$341</definedName>
    <definedName name="Other_Cash_From_Financing_2Q04">Tags_ols!$AB$341</definedName>
    <definedName name="OTHER_CASH_FROM_FINANCING_2Q05" localSheetId="10">Tags!$AG$341</definedName>
    <definedName name="Other_Cash_From_Financing_2Q05">Tags_ols!$AG$341</definedName>
    <definedName name="OTHER_CASH_FROM_FINANCING_2Q06" localSheetId="10">Tags!$AL$341</definedName>
    <definedName name="Other_Cash_From_Financing_2Q06">Tags_ols!$AL$341</definedName>
    <definedName name="OTHER_CASH_FROM_FINANCING_2Q07" localSheetId="10">Tags!$AQ$341</definedName>
    <definedName name="Other_Cash_From_Financing_2Q07">Tags_ols!$AQ$341</definedName>
    <definedName name="OTHER_CASH_FROM_FINANCING_2Q08" localSheetId="10">Tags!$AV$341</definedName>
    <definedName name="Other_Cash_From_Financing_2Q08">Tags_ols!$AV$341</definedName>
    <definedName name="OTHER_CASH_FROM_FINANCING_2Q09" localSheetId="10">Tags!$BA$341</definedName>
    <definedName name="Other_Cash_From_Financing_2Q09">Tags_ols!$BA$341</definedName>
    <definedName name="OTHER_CASH_FROM_FINANCING_2Q10" localSheetId="10">Tags!$BF$341</definedName>
    <definedName name="Other_Cash_From_Financing_2Q10">Tags_ols!$BF$341</definedName>
    <definedName name="OTHER_CASH_FROM_FINANCING_2Q11" localSheetId="10">Tags!$BK$341</definedName>
    <definedName name="Other_Cash_From_Financing_2Q11">Tags_ols!$BK$341</definedName>
    <definedName name="OTHER_CASH_FROM_FINANCING_2Q12" localSheetId="10">Tags!$BP$341</definedName>
    <definedName name="Other_Cash_From_Financing_2Q12">Tags_ols!$BP$341</definedName>
    <definedName name="OTHER_CASH_FROM_FINANCING_2Q13" localSheetId="10">Tags!$BU$341</definedName>
    <definedName name="Other_Cash_From_Financing_2Q13">Tags_ols!$BU$341</definedName>
    <definedName name="OTHER_CASH_FROM_FINANCING_2Q14" localSheetId="10">Tags!$BZ$341</definedName>
    <definedName name="Other_Cash_From_Financing_2Q14">Tags_ols!$BZ$341</definedName>
    <definedName name="OTHER_CASH_FROM_FINANCING_2Q15" localSheetId="10">Tags!$CE$341</definedName>
    <definedName name="Other_Cash_From_Financing_2Q15">Tags_ols!$CE$341</definedName>
    <definedName name="OTHER_CASH_FROM_FINANCING_2Q16" localSheetId="10">Tags!$CJ$341</definedName>
    <definedName name="Other_Cash_From_Financing_2Q16">Tags_ols!$CJ$341</definedName>
    <definedName name="OTHER_CASH_FROM_FINANCING_2Q17" localSheetId="10">Tags!$CO$341</definedName>
    <definedName name="Other_Cash_From_Financing_2Q17">Tags_ols!$CO$341</definedName>
    <definedName name="OTHER_CASH_FROM_FINANCING_2Q18" localSheetId="10">Tags!$CT$341</definedName>
    <definedName name="Other_Cash_From_Financing_2Q18">Tags_ols!$CT$341</definedName>
    <definedName name="OTHER_CASH_FROM_FINANCING_2Q19" localSheetId="10">Tags!$CY$341</definedName>
    <definedName name="Other_Cash_From_Financing_2Q19">Tags_ols!$CY$341</definedName>
    <definedName name="OTHER_CASH_FROM_FINANCING_2Q20" localSheetId="10">Tags!$DD$341</definedName>
    <definedName name="Other_Cash_From_Financing_2Q20">Tags_ols!$DD$341</definedName>
    <definedName name="OTHER_CASH_FROM_FINANCING_2Q21">Tags!$DI$341</definedName>
    <definedName name="OTHER_CASH_FROM_FINANCING_2Q22">Tags!$DN$341</definedName>
    <definedName name="OTHER_CASH_FROM_FINANCING_2Q23">Tags!$DS$341</definedName>
    <definedName name="OTHER_CASH_FROM_FINANCING_2Q24">Tags!$DX$341</definedName>
    <definedName name="OTHER_CASH_FROM_FINANCING_3Q00" localSheetId="10">Tags!$I$341</definedName>
    <definedName name="Other_Cash_From_Financing_3Q00">Tags_ols!$I$341</definedName>
    <definedName name="OTHER_CASH_FROM_FINANCING_3Q01" localSheetId="10">Tags!$N$341</definedName>
    <definedName name="Other_Cash_From_Financing_3Q01">Tags_ols!$N$341</definedName>
    <definedName name="OTHER_CASH_FROM_FINANCING_3Q02" localSheetId="10">Tags!$S$341</definedName>
    <definedName name="Other_Cash_From_Financing_3Q02">Tags_ols!$S$341</definedName>
    <definedName name="OTHER_CASH_FROM_FINANCING_3Q03" localSheetId="10">Tags!$X$341</definedName>
    <definedName name="Other_Cash_From_Financing_3Q03">Tags_ols!$X$341</definedName>
    <definedName name="OTHER_CASH_FROM_FINANCING_3Q04" localSheetId="10">Tags!$AC$341</definedName>
    <definedName name="Other_Cash_From_Financing_3Q04">Tags_ols!$AC$341</definedName>
    <definedName name="OTHER_CASH_FROM_FINANCING_3Q05" localSheetId="10">Tags!$AH$341</definedName>
    <definedName name="Other_Cash_From_Financing_3Q05">Tags_ols!$AH$341</definedName>
    <definedName name="OTHER_CASH_FROM_FINANCING_3Q06" localSheetId="10">Tags!$AM$341</definedName>
    <definedName name="Other_Cash_From_Financing_3Q06">Tags_ols!$AM$341</definedName>
    <definedName name="OTHER_CASH_FROM_FINANCING_3Q07" localSheetId="10">Tags!$AR$341</definedName>
    <definedName name="Other_Cash_From_Financing_3Q07">Tags_ols!$AR$341</definedName>
    <definedName name="OTHER_CASH_FROM_FINANCING_3Q08" localSheetId="10">Tags!$AW$341</definedName>
    <definedName name="Other_Cash_From_Financing_3Q08">Tags_ols!$AW$341</definedName>
    <definedName name="OTHER_CASH_FROM_FINANCING_3Q09" localSheetId="10">Tags!$BB$341</definedName>
    <definedName name="Other_Cash_From_Financing_3Q09">Tags_ols!$BB$341</definedName>
    <definedName name="OTHER_CASH_FROM_FINANCING_3Q10" localSheetId="10">Tags!$BG$341</definedName>
    <definedName name="Other_Cash_From_Financing_3Q10">Tags_ols!$BG$341</definedName>
    <definedName name="OTHER_CASH_FROM_FINANCING_3Q11" localSheetId="10">Tags!$BL$341</definedName>
    <definedName name="Other_Cash_From_Financing_3Q11">Tags_ols!$BL$341</definedName>
    <definedName name="OTHER_CASH_FROM_FINANCING_3Q12" localSheetId="10">Tags!$BQ$341</definedName>
    <definedName name="Other_Cash_From_Financing_3Q12">Tags_ols!$BQ$341</definedName>
    <definedName name="OTHER_CASH_FROM_FINANCING_3Q13" localSheetId="10">Tags!$BV$341</definedName>
    <definedName name="Other_Cash_From_Financing_3Q13">Tags_ols!$BV$341</definedName>
    <definedName name="OTHER_CASH_FROM_FINANCING_3Q14" localSheetId="10">Tags!$CA$341</definedName>
    <definedName name="Other_Cash_From_Financing_3Q14">Tags_ols!$CA$341</definedName>
    <definedName name="OTHER_CASH_FROM_FINANCING_3Q15" localSheetId="10">Tags!$CF$341</definedName>
    <definedName name="Other_Cash_From_Financing_3Q15">Tags_ols!$CF$341</definedName>
    <definedName name="OTHER_CASH_FROM_FINANCING_3Q16" localSheetId="10">Tags!$CK$341</definedName>
    <definedName name="Other_Cash_From_Financing_3Q16">Tags_ols!$CK$341</definedName>
    <definedName name="OTHER_CASH_FROM_FINANCING_3Q17" localSheetId="10">Tags!$CP$341</definedName>
    <definedName name="Other_Cash_From_Financing_3Q17">Tags_ols!$CP$341</definedName>
    <definedName name="OTHER_CASH_FROM_FINANCING_3Q18" localSheetId="10">Tags!$CU$341</definedName>
    <definedName name="Other_Cash_From_Financing_3Q18">Tags_ols!$CU$341</definedName>
    <definedName name="OTHER_CASH_FROM_FINANCING_3Q19" localSheetId="10">Tags!$CZ$341</definedName>
    <definedName name="Other_Cash_From_Financing_3Q19">Tags_ols!$CZ$341</definedName>
    <definedName name="OTHER_CASH_FROM_FINANCING_3Q20" localSheetId="10">Tags!$DE$341</definedName>
    <definedName name="Other_Cash_From_Financing_3Q20">Tags_ols!$DE$341</definedName>
    <definedName name="OTHER_CASH_FROM_FINANCING_3Q21">Tags!$DJ$341</definedName>
    <definedName name="OTHER_CASH_FROM_FINANCING_3Q22">Tags!$DO$341</definedName>
    <definedName name="OTHER_CASH_FROM_FINANCING_3Q23">Tags!$DT$341</definedName>
    <definedName name="OTHER_CASH_FROM_FINANCING_3Q24">Tags!$DY$341</definedName>
    <definedName name="OTHER_CASH_FROM_FINANCING_4Q00" localSheetId="10">Tags!$J$341</definedName>
    <definedName name="Other_Cash_From_Financing_4Q00">Tags_ols!$J$341</definedName>
    <definedName name="OTHER_CASH_FROM_FINANCING_4Q01" localSheetId="10">Tags!$O$341</definedName>
    <definedName name="Other_Cash_From_Financing_4Q01">Tags_ols!$O$341</definedName>
    <definedName name="OTHER_CASH_FROM_FINANCING_4Q02" localSheetId="10">Tags!$T$341</definedName>
    <definedName name="Other_Cash_From_Financing_4Q02">Tags_ols!$T$341</definedName>
    <definedName name="OTHER_CASH_FROM_FINANCING_4Q03" localSheetId="10">Tags!$Y$341</definedName>
    <definedName name="Other_Cash_From_Financing_4Q03">Tags_ols!$Y$341</definedName>
    <definedName name="OTHER_CASH_FROM_FINANCING_4Q04" localSheetId="10">Tags!$AD$341</definedName>
    <definedName name="Other_Cash_From_Financing_4Q04">Tags_ols!$AD$341</definedName>
    <definedName name="OTHER_CASH_FROM_FINANCING_4Q05" localSheetId="10">Tags!$AI$341</definedName>
    <definedName name="Other_Cash_From_Financing_4Q05">Tags_ols!$AI$341</definedName>
    <definedName name="OTHER_CASH_FROM_FINANCING_4Q06" localSheetId="10">Tags!$AN$341</definedName>
    <definedName name="Other_Cash_From_Financing_4Q06">Tags_ols!$AN$341</definedName>
    <definedName name="OTHER_CASH_FROM_FINANCING_4Q07" localSheetId="10">Tags!$AS$341</definedName>
    <definedName name="Other_Cash_From_Financing_4Q07">Tags_ols!$AS$341</definedName>
    <definedName name="OTHER_CASH_FROM_FINANCING_4Q08" localSheetId="10">Tags!$AX$341</definedName>
    <definedName name="Other_Cash_From_Financing_4Q08">Tags_ols!$AX$341</definedName>
    <definedName name="OTHER_CASH_FROM_FINANCING_4Q09" localSheetId="10">Tags!$BC$341</definedName>
    <definedName name="Other_Cash_From_Financing_4Q09">Tags_ols!$BC$341</definedName>
    <definedName name="OTHER_CASH_FROM_FINANCING_4Q10" localSheetId="10">Tags!$BH$341</definedName>
    <definedName name="Other_Cash_From_Financing_4Q10">Tags_ols!$BH$341</definedName>
    <definedName name="OTHER_CASH_FROM_FINANCING_4Q11" localSheetId="10">Tags!$BM$341</definedName>
    <definedName name="Other_Cash_From_Financing_4Q11">Tags_ols!$BM$341</definedName>
    <definedName name="OTHER_CASH_FROM_FINANCING_4Q12" localSheetId="10">Tags!$BR$341</definedName>
    <definedName name="Other_Cash_From_Financing_4Q12">Tags_ols!$BR$341</definedName>
    <definedName name="OTHER_CASH_FROM_FINANCING_4Q13" localSheetId="10">Tags!$BW$341</definedName>
    <definedName name="Other_Cash_From_Financing_4Q13">Tags_ols!$BW$341</definedName>
    <definedName name="OTHER_CASH_FROM_FINANCING_4Q14" localSheetId="10">Tags!$CB$341</definedName>
    <definedName name="Other_Cash_From_Financing_4Q14">Tags_ols!$CB$341</definedName>
    <definedName name="OTHER_CASH_FROM_FINANCING_4Q15" localSheetId="10">Tags!$CG$341</definedName>
    <definedName name="Other_Cash_From_Financing_4Q15">Tags_ols!$CG$341</definedName>
    <definedName name="OTHER_CASH_FROM_FINANCING_4Q16" localSheetId="10">Tags!$CL$341</definedName>
    <definedName name="Other_Cash_From_Financing_4Q16">Tags_ols!$CL$341</definedName>
    <definedName name="OTHER_CASH_FROM_FINANCING_4Q17" localSheetId="10">Tags!$CQ$341</definedName>
    <definedName name="Other_Cash_From_Financing_4Q17">Tags_ols!$CQ$341</definedName>
    <definedName name="OTHER_CASH_FROM_FINANCING_4Q18" localSheetId="10">Tags!$CV$341</definedName>
    <definedName name="Other_Cash_From_Financing_4Q18">Tags_ols!$CV$341</definedName>
    <definedName name="OTHER_CASH_FROM_FINANCING_4Q19" localSheetId="10">Tags!$DA$341</definedName>
    <definedName name="Other_Cash_From_Financing_4Q19">Tags_ols!$DA$341</definedName>
    <definedName name="OTHER_CASH_FROM_FINANCING_4Q20" localSheetId="10">Tags!$DF$341</definedName>
    <definedName name="Other_Cash_From_Financing_4Q20">Tags_ols!$DF$341</definedName>
    <definedName name="OTHER_CASH_FROM_FINANCING_4Q21">Tags!$DK$341</definedName>
    <definedName name="OTHER_CASH_FROM_FINANCING_4Q22">Tags!$DP$341</definedName>
    <definedName name="OTHER_CASH_FROM_FINANCING_4Q23">Tags!$DU$341</definedName>
    <definedName name="OTHER_CASH_FROM_FINANCING_4Q24">Tags!$DZ$341</definedName>
    <definedName name="OTHINB_1995">Tags_ols!$B$156</definedName>
    <definedName name="OTHINB_1996">Tags_ols!$C$156</definedName>
    <definedName name="OTHINB_1997">Tags_ols!$D$156</definedName>
    <definedName name="OTHINB_1998">Tags_ols!$E$156</definedName>
    <definedName name="OTHINB_1999">Tags_ols!$F$156</definedName>
    <definedName name="OTHINB_1Q00" localSheetId="10">Tags!$G$156</definedName>
    <definedName name="OTHINB_1Q00">Tags_ols!$G$156</definedName>
    <definedName name="OTHINB_1Q01" localSheetId="10">Tags!$L$156</definedName>
    <definedName name="OTHINB_1Q01">Tags_ols!$L$156</definedName>
    <definedName name="OTHINB_1Q02" localSheetId="10">Tags!$Q$156</definedName>
    <definedName name="OTHINB_1Q02">Tags_ols!$Q$156</definedName>
    <definedName name="OTHINB_1Q03" localSheetId="10">Tags!$V$156</definedName>
    <definedName name="OTHINB_1Q03">Tags_ols!$V$156</definedName>
    <definedName name="OTHINB_1Q04" localSheetId="10">Tags!$AA$156</definedName>
    <definedName name="OTHINB_1Q04">Tags_ols!$AA$156</definedName>
    <definedName name="OTHINB_1Q05" localSheetId="10">Tags!$AF$156</definedName>
    <definedName name="OTHINB_1Q05">Tags_ols!$AF$156</definedName>
    <definedName name="OTHINB_1Q06" localSheetId="10">Tags!$AK$156</definedName>
    <definedName name="OTHINB_1Q06">Tags_ols!$AK$156</definedName>
    <definedName name="OTHINB_1Q07" localSheetId="10">Tags!$AP$156</definedName>
    <definedName name="OTHINB_1Q07">Tags_ols!$AP$156</definedName>
    <definedName name="OTHINB_1Q08" localSheetId="10">Tags!$AU$156</definedName>
    <definedName name="OTHINB_1Q08">Tags_ols!$AU$156</definedName>
    <definedName name="OTHINB_1Q09" localSheetId="10">Tags!$AZ$156</definedName>
    <definedName name="OTHINB_1Q09">Tags_ols!$AZ$156</definedName>
    <definedName name="OTHINB_1Q10" localSheetId="10">Tags!$BE$156</definedName>
    <definedName name="OTHINB_1Q10">Tags_ols!$BE$156</definedName>
    <definedName name="OTHINB_1Q11" localSheetId="10">Tags!$BJ$156</definedName>
    <definedName name="OTHINB_1Q11">Tags_ols!$BJ$156</definedName>
    <definedName name="OTHINB_1Q12" localSheetId="10">Tags!$BO$156</definedName>
    <definedName name="OTHINB_1Q12">Tags_ols!$BO$156</definedName>
    <definedName name="OTHINB_1Q13" localSheetId="10">Tags!$BT$156</definedName>
    <definedName name="OTHINB_1Q13">Tags_ols!$BT$156</definedName>
    <definedName name="OTHINB_1Q14" localSheetId="10">Tags!$BY$156</definedName>
    <definedName name="OTHINB_1Q14">Tags_ols!$BY$156</definedName>
    <definedName name="OTHINB_1Q15" localSheetId="10">Tags!$CD$156</definedName>
    <definedName name="OTHINB_1Q15">Tags_ols!$CD$156</definedName>
    <definedName name="OTHINB_1Q16" localSheetId="10">Tags!$CI$156</definedName>
    <definedName name="OTHINB_1Q16">Tags_ols!$CI$156</definedName>
    <definedName name="OTHINB_1Q17" localSheetId="10">Tags!$CN$156</definedName>
    <definedName name="OTHINB_1Q17">Tags_ols!$CN$156</definedName>
    <definedName name="OTHINB_1Q18" localSheetId="10">Tags!$CS$156</definedName>
    <definedName name="OTHINB_1Q18">Tags_ols!$CS$156</definedName>
    <definedName name="OTHINB_1Q19" localSheetId="10">Tags!$CX$156</definedName>
    <definedName name="OTHINB_1Q19">Tags_ols!$CX$156</definedName>
    <definedName name="OTHINB_1Q20" localSheetId="10">Tags!$DC$156</definedName>
    <definedName name="OTHINB_1Q20">Tags_ols!$DC$156</definedName>
    <definedName name="OTHINB_1Q21">Tags!$DH$156</definedName>
    <definedName name="OTHINB_1Q22">Tags!$DM$156</definedName>
    <definedName name="OTHINB_1Q23">Tags!$DR$156</definedName>
    <definedName name="OTHINB_1Q24">Tags!$DW$156</definedName>
    <definedName name="OTHINB_2000" localSheetId="10">Tags!$K$156</definedName>
    <definedName name="OTHINB_2000">Tags_ols!$K$156</definedName>
    <definedName name="OTHINB_2001" localSheetId="10">Tags!$P$156</definedName>
    <definedName name="OTHINB_2001">Tags_ols!$P$156</definedName>
    <definedName name="OTHINB_2002" localSheetId="10">Tags!$U$156</definedName>
    <definedName name="OTHINB_2002">Tags_ols!$U$156</definedName>
    <definedName name="OTHINB_2003" localSheetId="10">Tags!$Z$156</definedName>
    <definedName name="OTHINB_2003">Tags_ols!$Z$156</definedName>
    <definedName name="OTHINB_2004" localSheetId="10">Tags!$AE$156</definedName>
    <definedName name="OTHINB_2004">Tags_ols!$AE$156</definedName>
    <definedName name="OTHINB_2005" localSheetId="10">Tags!$AJ$156</definedName>
    <definedName name="OTHINB_2005">Tags_ols!$AJ$156</definedName>
    <definedName name="OTHINB_2006" localSheetId="10">Tags!$AO$156</definedName>
    <definedName name="OTHINB_2006">Tags_ols!$AO$156</definedName>
    <definedName name="OTHINB_2007" localSheetId="10">Tags!$AT$156</definedName>
    <definedName name="OTHINB_2007">Tags_ols!$AT$156</definedName>
    <definedName name="OTHINB_2008" localSheetId="10">Tags!$AY$156</definedName>
    <definedName name="OTHINB_2008">Tags_ols!$AY$156</definedName>
    <definedName name="OTHINB_2009" localSheetId="10">Tags!$BD$156</definedName>
    <definedName name="OTHINB_2009">Tags_ols!$BD$156</definedName>
    <definedName name="OTHINB_2010" localSheetId="10">Tags!$BI$156</definedName>
    <definedName name="OTHINB_2010">Tags_ols!$BI$156</definedName>
    <definedName name="OTHINB_2011" localSheetId="10">Tags!$BN$156</definedName>
    <definedName name="OTHINB_2011">Tags_ols!$BN$156</definedName>
    <definedName name="OTHINB_2012" localSheetId="10">Tags!$BS$156</definedName>
    <definedName name="OTHINB_2012">Tags_ols!$BS$156</definedName>
    <definedName name="OTHINB_2013" localSheetId="10">Tags!$BX$156</definedName>
    <definedName name="OTHINB_2013">Tags_ols!$BX$156</definedName>
    <definedName name="OTHINB_2014" localSheetId="10">Tags!$CC$156</definedName>
    <definedName name="OTHINB_2014">Tags_ols!$CC$156</definedName>
    <definedName name="OTHINB_2015" localSheetId="10">Tags!#REF!</definedName>
    <definedName name="OTHINB_2015">Tags!$CH$156</definedName>
    <definedName name="OTHINB_2016" localSheetId="10">Tags!$CM$156</definedName>
    <definedName name="OTHINB_2016">Tags_ols!$CM$156</definedName>
    <definedName name="OTHINB_2017" localSheetId="10">Tags!$CR$156</definedName>
    <definedName name="OTHINB_2017">Tags_ols!$CR$156</definedName>
    <definedName name="OTHINB_2018" localSheetId="10">Tags!$CW$156</definedName>
    <definedName name="OTHINB_2018">Tags_ols!$CW$156</definedName>
    <definedName name="OTHINB_2019" localSheetId="10">Tags!$DB$156</definedName>
    <definedName name="OTHINB_2019">Tags_ols!$DB$156</definedName>
    <definedName name="OTHINB_2020" localSheetId="10">Tags!$DG$156</definedName>
    <definedName name="OTHINB_2020">Tags_ols!$DG$156</definedName>
    <definedName name="OTHINB_2021">Tags!$DL$156</definedName>
    <definedName name="OTHINB_2022">Tags!$DQ$156</definedName>
    <definedName name="OTHINB_2023">Tags!$DV$156</definedName>
    <definedName name="OTHINB_2024">Tags!$EA$156</definedName>
    <definedName name="OTHINB_2Q00" localSheetId="10">Tags!$H$156</definedName>
    <definedName name="OTHINB_2Q00">Tags_ols!$H$156</definedName>
    <definedName name="OTHINB_2Q01" localSheetId="10">Tags!$M$156</definedName>
    <definedName name="OTHINB_2Q01">Tags_ols!$M$156</definedName>
    <definedName name="OTHINB_2Q02" localSheetId="10">Tags!$R$156</definedName>
    <definedName name="OTHINB_2Q02">Tags_ols!$R$156</definedName>
    <definedName name="OTHINB_2Q03" localSheetId="10">Tags!$W$156</definedName>
    <definedName name="OTHINB_2Q03">Tags_ols!$W$156</definedName>
    <definedName name="OTHINB_2Q04" localSheetId="10">Tags!$AB$156</definedName>
    <definedName name="OTHINB_2Q04">Tags_ols!$AB$156</definedName>
    <definedName name="OTHINB_2Q05" localSheetId="10">Tags!$AG$156</definedName>
    <definedName name="OTHINB_2Q05">Tags_ols!$AG$156</definedName>
    <definedName name="OTHINB_2Q06" localSheetId="10">Tags!$AL$156</definedName>
    <definedName name="OTHINB_2Q06">Tags_ols!$AL$156</definedName>
    <definedName name="OTHINB_2Q07" localSheetId="10">Tags!$AQ$156</definedName>
    <definedName name="OTHINB_2Q07">Tags_ols!$AQ$156</definedName>
    <definedName name="OTHINB_2Q08" localSheetId="10">Tags!$AV$156</definedName>
    <definedName name="OTHINB_2Q08">Tags_ols!$AV$156</definedName>
    <definedName name="OTHINB_2Q09" localSheetId="10">Tags!$BA$156</definedName>
    <definedName name="OTHINB_2Q09">Tags_ols!$BA$156</definedName>
    <definedName name="OTHINB_2Q10" localSheetId="10">Tags!$BF$156</definedName>
    <definedName name="OTHINB_2Q10">Tags_ols!$BF$156</definedName>
    <definedName name="OTHINB_2Q11" localSheetId="10">Tags!$BK$156</definedName>
    <definedName name="OTHINB_2Q11">Tags_ols!$BK$156</definedName>
    <definedName name="OTHINB_2Q12" localSheetId="10">Tags!$BP$156</definedName>
    <definedName name="OTHINB_2Q12">Tags_ols!$BP$156</definedName>
    <definedName name="OTHINB_2Q13" localSheetId="10">Tags!$BU$156</definedName>
    <definedName name="OTHINB_2Q13">Tags_ols!$BU$156</definedName>
    <definedName name="OTHINB_2Q14" localSheetId="10">Tags!$BZ$156</definedName>
    <definedName name="OTHINB_2Q14">Tags_ols!$BZ$156</definedName>
    <definedName name="OTHINB_2Q15" localSheetId="10">Tags!$CE$156</definedName>
    <definedName name="OTHINB_2Q15">Tags_ols!$CE$156</definedName>
    <definedName name="OTHINB_2Q16" localSheetId="10">Tags!$CJ$156</definedName>
    <definedName name="OTHINB_2Q16">Tags_ols!$CJ$156</definedName>
    <definedName name="OTHINB_2Q17" localSheetId="10">Tags!$CO$156</definedName>
    <definedName name="OTHINB_2Q17">Tags_ols!$CO$156</definedName>
    <definedName name="OTHINB_2Q18" localSheetId="10">Tags!$CT$156</definedName>
    <definedName name="OTHINB_2Q18">Tags_ols!$CT$156</definedName>
    <definedName name="OTHINB_2Q19" localSheetId="10">Tags!$CY$156</definedName>
    <definedName name="OTHINB_2Q19">Tags_ols!$CY$156</definedName>
    <definedName name="OTHINB_2Q20" localSheetId="10">Tags!$DD$156</definedName>
    <definedName name="OTHINB_2Q20">Tags_ols!$DD$156</definedName>
    <definedName name="OTHINB_2Q21">Tags!$DI$156</definedName>
    <definedName name="OTHINB_2Q22">Tags!$DN$156</definedName>
    <definedName name="OTHINB_2Q23">Tags!$DS$156</definedName>
    <definedName name="OTHINB_2Q24">Tags!$DX$156</definedName>
    <definedName name="OTHINB_3Q00" localSheetId="10">Tags!$I$156</definedName>
    <definedName name="OTHINB_3Q00">Tags_ols!$I$156</definedName>
    <definedName name="OTHINB_3Q01" localSheetId="10">Tags!$N$156</definedName>
    <definedName name="OTHINB_3Q01">Tags_ols!$N$156</definedName>
    <definedName name="OTHINB_3Q02" localSheetId="10">Tags!$S$156</definedName>
    <definedName name="OTHINB_3Q02">Tags_ols!$S$156</definedName>
    <definedName name="OTHINB_3Q03" localSheetId="10">Tags!$X$156</definedName>
    <definedName name="OTHINB_3Q03">Tags_ols!$X$156</definedName>
    <definedName name="OTHINB_3Q04" localSheetId="10">Tags!$AC$156</definedName>
    <definedName name="OTHINB_3Q04">Tags_ols!$AC$156</definedName>
    <definedName name="OTHINB_3Q05" localSheetId="10">Tags!$AH$156</definedName>
    <definedName name="OTHINB_3Q05">Tags_ols!$AH$156</definedName>
    <definedName name="OTHINB_3Q06" localSheetId="10">Tags!$AM$156</definedName>
    <definedName name="OTHINB_3Q06">Tags_ols!$AM$156</definedName>
    <definedName name="OTHINB_3Q07" localSheetId="10">Tags!$AR$156</definedName>
    <definedName name="OTHINB_3Q07">Tags_ols!$AR$156</definedName>
    <definedName name="OTHINB_3Q08" localSheetId="10">Tags!$AW$156</definedName>
    <definedName name="OTHINB_3Q08">Tags_ols!$AW$156</definedName>
    <definedName name="OTHINB_3Q09" localSheetId="10">Tags!$BB$156</definedName>
    <definedName name="OTHINB_3Q09">Tags_ols!$BB$156</definedName>
    <definedName name="OTHINB_3Q10" localSheetId="10">Tags!$BG$156</definedName>
    <definedName name="OTHINB_3Q10">Tags_ols!$BG$156</definedName>
    <definedName name="OTHINB_3Q11" localSheetId="10">Tags!$BL$156</definedName>
    <definedName name="OTHINB_3Q11">Tags_ols!$BL$156</definedName>
    <definedName name="OTHINB_3Q12" localSheetId="10">Tags!$BQ$156</definedName>
    <definedName name="OTHINB_3Q12">Tags_ols!$BQ$156</definedName>
    <definedName name="OTHINB_3Q13" localSheetId="10">Tags!$BV$156</definedName>
    <definedName name="OTHINB_3Q13">Tags_ols!$BV$156</definedName>
    <definedName name="OTHINB_3Q14" localSheetId="10">Tags!$CA$156</definedName>
    <definedName name="OTHINB_3Q14">Tags_ols!$CA$156</definedName>
    <definedName name="OTHINB_3Q15" localSheetId="10">Tags!$CF$156</definedName>
    <definedName name="OTHINB_3Q15">Tags_ols!$CF$156</definedName>
    <definedName name="OTHINB_3Q16" localSheetId="10">Tags!$CK$156</definedName>
    <definedName name="OTHINB_3Q16">Tags_ols!$CK$156</definedName>
    <definedName name="OTHINB_3Q17" localSheetId="10">Tags!$CP$156</definedName>
    <definedName name="OTHINB_3Q17">Tags_ols!$CP$156</definedName>
    <definedName name="OTHINB_3Q18" localSheetId="10">Tags!$CU$156</definedName>
    <definedName name="OTHINB_3Q18">Tags_ols!$CU$156</definedName>
    <definedName name="OTHINB_3Q19" localSheetId="10">Tags!$CZ$156</definedName>
    <definedName name="OTHINB_3Q19">Tags_ols!$CZ$156</definedName>
    <definedName name="OTHINB_3Q20" localSheetId="10">Tags!$DE$156</definedName>
    <definedName name="OTHINB_3Q20">Tags_ols!$DE$156</definedName>
    <definedName name="OTHINB_3Q21">Tags!$DJ$156</definedName>
    <definedName name="OTHINB_3Q22">Tags!$DO$156</definedName>
    <definedName name="OTHINB_3Q23">Tags!$DT$156</definedName>
    <definedName name="OTHINB_3Q24">Tags!$DY$156</definedName>
    <definedName name="OTHINB_4Q00" localSheetId="10">Tags!$J$156</definedName>
    <definedName name="OTHINB_4Q00">Tags_ols!$J$156</definedName>
    <definedName name="OTHINB_4Q01" localSheetId="10">Tags!$O$156</definedName>
    <definedName name="OTHINB_4Q01">Tags_ols!$O$156</definedName>
    <definedName name="OTHINB_4Q02" localSheetId="10">Tags!$T$156</definedName>
    <definedName name="OTHINB_4Q02">Tags_ols!$T$156</definedName>
    <definedName name="OTHINB_4Q03" localSheetId="10">Tags!$Y$156</definedName>
    <definedName name="OTHINB_4Q03">Tags_ols!$Y$156</definedName>
    <definedName name="OTHINB_4Q04" localSheetId="10">Tags!$AD$156</definedName>
    <definedName name="OTHINB_4Q04">Tags_ols!$AD$156</definedName>
    <definedName name="OTHINB_4Q05" localSheetId="10">Tags!$AI$156</definedName>
    <definedName name="OTHINB_4Q05">Tags_ols!$AI$156</definedName>
    <definedName name="OTHINB_4Q06" localSheetId="10">Tags!$AN$156</definedName>
    <definedName name="OTHINB_4Q06">Tags_ols!$AN$156</definedName>
    <definedName name="OTHINB_4Q07" localSheetId="10">Tags!$AS$156</definedName>
    <definedName name="OTHINB_4Q07">Tags_ols!$AS$156</definedName>
    <definedName name="OTHINB_4Q08" localSheetId="10">Tags!$AX$156</definedName>
    <definedName name="OTHINB_4Q08">Tags_ols!$AX$156</definedName>
    <definedName name="OTHINB_4Q09" localSheetId="10">Tags!$BC$156</definedName>
    <definedName name="OTHINB_4Q09">Tags_ols!$BC$156</definedName>
    <definedName name="OTHINB_4Q10" localSheetId="10">Tags!$BH$156</definedName>
    <definedName name="OTHINB_4Q10">Tags_ols!$BH$156</definedName>
    <definedName name="OTHINB_4Q11" localSheetId="10">Tags!$BM$156</definedName>
    <definedName name="OTHINB_4Q11">Tags_ols!$BM$156</definedName>
    <definedName name="OTHINB_4Q12" localSheetId="10">Tags!$BR$156</definedName>
    <definedName name="OTHINB_4Q12">Tags_ols!$BR$156</definedName>
    <definedName name="OTHINB_4Q13" localSheetId="10">Tags!$BW$156</definedName>
    <definedName name="OTHINB_4Q13">Tags_ols!$BW$156</definedName>
    <definedName name="OTHINB_4Q14" localSheetId="10">Tags!$CB$156</definedName>
    <definedName name="OTHINB_4Q14">Tags_ols!$CB$156</definedName>
    <definedName name="OTHINB_4Q15" localSheetId="10">Tags!$CG$156</definedName>
    <definedName name="OTHINB_4Q15">Tags_ols!$CG$156</definedName>
    <definedName name="OTHINB_4Q16" localSheetId="10">Tags!$CL$156</definedName>
    <definedName name="OTHINB_4Q16">Tags_ols!$CL$156</definedName>
    <definedName name="OTHINB_4Q17" localSheetId="10">Tags!$CQ$156</definedName>
    <definedName name="OTHINB_4Q17">Tags_ols!$CQ$156</definedName>
    <definedName name="OTHINB_4Q18" localSheetId="10">Tags!$CV$156</definedName>
    <definedName name="OTHINB_4Q18">Tags_ols!$CV$156</definedName>
    <definedName name="OTHINB_4Q19" localSheetId="10">Tags!$DA$156</definedName>
    <definedName name="OTHINB_4Q19">Tags_ols!$DA$156</definedName>
    <definedName name="OTHINB_4Q20" localSheetId="10">Tags!$DF$156</definedName>
    <definedName name="OTHINB_4Q20">Tags_ols!$DF$156</definedName>
    <definedName name="OTHINB_4Q21">Tags!$DK$156</definedName>
    <definedName name="OTHINB_4Q22">Tags!$DP$156</definedName>
    <definedName name="OTHINB_4Q23">Tags!$DU$156</definedName>
    <definedName name="OTHINB_4Q24">Tags!$DZ$156</definedName>
    <definedName name="OTHINC_1995">Tags_ols!$B$7</definedName>
    <definedName name="OTHINC_1996">Tags_ols!$C$7</definedName>
    <definedName name="OTHINC_1997">Tags_ols!$D$7</definedName>
    <definedName name="OTHINC_1998">Tags_ols!$E$7</definedName>
    <definedName name="OTHINC_1999">Tags_ols!$F$7</definedName>
    <definedName name="OTHINC_1Q00" localSheetId="10">Tags!$G$7</definedName>
    <definedName name="OTHINC_1Q00">Tags_ols!$G$7</definedName>
    <definedName name="OTHINC_1Q01" localSheetId="10">Tags!$L$7</definedName>
    <definedName name="OTHINC_1Q01">Tags_ols!$L$7</definedName>
    <definedName name="OTHINC_1Q02" localSheetId="10">Tags!$Q$7</definedName>
    <definedName name="OTHINC_1Q02">Tags_ols!$Q$7</definedName>
    <definedName name="OTHINC_1Q03" localSheetId="10">Tags!$V$7</definedName>
    <definedName name="OTHINC_1Q03">Tags_ols!$V$7</definedName>
    <definedName name="OTHINC_1Q04" localSheetId="10">Tags!$AA$7</definedName>
    <definedName name="OTHINC_1Q04">Tags_ols!$AA$7</definedName>
    <definedName name="OTHINC_1Q05" localSheetId="10">Tags!$AF$7</definedName>
    <definedName name="OTHINC_1Q05">Tags_ols!$AF$7</definedName>
    <definedName name="OTHINC_1Q06" localSheetId="10">Tags!$AK$7</definedName>
    <definedName name="OTHINC_1Q06">Tags_ols!$AK$7</definedName>
    <definedName name="OTHINC_1Q07" localSheetId="10">Tags!$AP$7</definedName>
    <definedName name="OTHINC_1Q07">Tags_ols!$AP$7</definedName>
    <definedName name="OTHINC_1Q08" localSheetId="10">Tags!$AU$7</definedName>
    <definedName name="OTHINC_1Q08">Tags_ols!$AU$7</definedName>
    <definedName name="OTHINC_1Q09" localSheetId="10">Tags!$AZ$7</definedName>
    <definedName name="OTHINC_1Q09">Tags_ols!$AZ$7</definedName>
    <definedName name="OTHINC_1Q10" localSheetId="10">Tags!$BE$7</definedName>
    <definedName name="OTHINC_1Q10">Tags_ols!$BE$7</definedName>
    <definedName name="OTHINC_1Q11" localSheetId="10">Tags!$BJ$7</definedName>
    <definedName name="OTHINC_1Q11">Tags_ols!$BJ$7</definedName>
    <definedName name="OTHINC_1Q12" localSheetId="10">Tags!$BO$7</definedName>
    <definedName name="OTHINC_1Q12">Tags_ols!$BO$7</definedName>
    <definedName name="OTHINC_1Q13" localSheetId="10">Tags!$BT$7</definedName>
    <definedName name="OTHINC_1Q13">Tags_ols!$BT$7</definedName>
    <definedName name="OTHINC_1Q14" localSheetId="10">Tags!$BY$7</definedName>
    <definedName name="OTHINC_1Q14">Tags_ols!$BY$7</definedName>
    <definedName name="OTHINC_1Q15" localSheetId="10">Tags!$CD$7</definedName>
    <definedName name="OTHINC_1Q15">Tags_ols!$CD$7</definedName>
    <definedName name="OTHINC_1Q16" localSheetId="10">Tags!$CI$7</definedName>
    <definedName name="OTHINC_1Q16">Tags_ols!$CI$7</definedName>
    <definedName name="OTHINC_1Q17" localSheetId="10">Tags!$CN$7</definedName>
    <definedName name="OTHINC_1Q17">Tags_ols!$CN$7</definedName>
    <definedName name="OTHINC_1Q18" localSheetId="10">Tags!$CS$7</definedName>
    <definedName name="OTHINC_1Q18">Tags_ols!$CS$7</definedName>
    <definedName name="OTHINC_1Q19" localSheetId="10">Tags!$CX$7</definedName>
    <definedName name="OTHINC_1Q19">Tags_ols!$CX$7</definedName>
    <definedName name="OTHINC_1Q20" localSheetId="10">Tags!$DC$7</definedName>
    <definedName name="OTHINC_1Q20">Tags_ols!$DC$7</definedName>
    <definedName name="OTHINC_1Q21">Tags!$DH$7</definedName>
    <definedName name="OTHINC_1Q22">Tags!$DM$7</definedName>
    <definedName name="OTHINC_1Q23">Tags!$DR$7</definedName>
    <definedName name="OTHINC_1Q24">Tags!$DW$7</definedName>
    <definedName name="OTHINC_2000" localSheetId="10">Tags!$K$7</definedName>
    <definedName name="OTHINC_2000">Tags_ols!$K$7</definedName>
    <definedName name="OTHINC_2001" localSheetId="10">Tags!$P$7</definedName>
    <definedName name="OTHINC_2001">Tags_ols!$P$7</definedName>
    <definedName name="OTHINC_2002" localSheetId="10">Tags!$U$7</definedName>
    <definedName name="OTHINC_2002">Tags_ols!$U$7</definedName>
    <definedName name="OTHINC_2003" localSheetId="10">Tags!$Z$7</definedName>
    <definedName name="OTHINC_2003">Tags_ols!$Z$7</definedName>
    <definedName name="OTHINC_2004" localSheetId="10">Tags!$AE$7</definedName>
    <definedName name="OTHINC_2004">Tags_ols!$AE$7</definedName>
    <definedName name="OTHINC_2005" localSheetId="10">Tags!$AJ$7</definedName>
    <definedName name="OTHINC_2005">Tags_ols!$AJ$7</definedName>
    <definedName name="OTHINC_2006" localSheetId="10">Tags!$AO$7</definedName>
    <definedName name="OTHINC_2006">Tags_ols!$AO$7</definedName>
    <definedName name="OTHINC_2007" localSheetId="10">Tags!$AT$7</definedName>
    <definedName name="OTHINC_2007">Tags_ols!$AT$7</definedName>
    <definedName name="OTHINC_2008" localSheetId="10">Tags!$AY$7</definedName>
    <definedName name="OTHINC_2008">Tags_ols!$AY$7</definedName>
    <definedName name="OTHINC_2009" localSheetId="10">Tags!$BD$7</definedName>
    <definedName name="OTHINC_2009">Tags_ols!$BD$7</definedName>
    <definedName name="OTHINC_2010" localSheetId="10">Tags!$BI$7</definedName>
    <definedName name="OTHINC_2010">Tags_ols!$BI$7</definedName>
    <definedName name="OTHINC_2011" localSheetId="10">Tags!$BN$7</definedName>
    <definedName name="OTHINC_2011">Tags_ols!$BN$7</definedName>
    <definedName name="OTHINC_2012" localSheetId="10">Tags!$BS$7</definedName>
    <definedName name="OTHINC_2012">Tags_ols!$BS$7</definedName>
    <definedName name="OTHINC_2013" localSheetId="10">Tags!$BX$7</definedName>
    <definedName name="OTHINC_2013">Tags_ols!$BX$7</definedName>
    <definedName name="OTHINC_2014" localSheetId="10">Tags!$CC$7</definedName>
    <definedName name="OTHINC_2014">Tags_ols!$CC$7</definedName>
    <definedName name="OTHINC_2015" localSheetId="10">Tags!#REF!</definedName>
    <definedName name="OTHINC_2015">Tags!$CH$7</definedName>
    <definedName name="OTHINC_2016" localSheetId="10">Tags!$CM$7</definedName>
    <definedName name="OTHINC_2016">Tags_ols!$CM$7</definedName>
    <definedName name="OTHINC_2017" localSheetId="10">Tags!$CR$7</definedName>
    <definedName name="OTHINC_2017">Tags_ols!$CR$7</definedName>
    <definedName name="OTHINC_2018" localSheetId="10">Tags!$CW$7</definedName>
    <definedName name="OTHINC_2018">Tags_ols!$CW$7</definedName>
    <definedName name="OTHINC_2019" localSheetId="10">Tags!$DB$7</definedName>
    <definedName name="OTHINC_2019">Tags_ols!$DB$7</definedName>
    <definedName name="OTHINC_2020" localSheetId="10">Tags!$DG$7</definedName>
    <definedName name="OTHINC_2020">Tags_ols!$DG$7</definedName>
    <definedName name="OTHINC_2021">Tags!$DL$7</definedName>
    <definedName name="OTHINC_2022">Tags!$DQ$7</definedName>
    <definedName name="OTHINC_2023">Tags!$DV$7</definedName>
    <definedName name="OTHINC_2024">Tags!$EA$7</definedName>
    <definedName name="OTHINC_2Q00" localSheetId="10">Tags!$H$7</definedName>
    <definedName name="OTHINC_2Q00">Tags_ols!$H$7</definedName>
    <definedName name="OTHINC_2Q01" localSheetId="10">Tags!$M$7</definedName>
    <definedName name="OTHINC_2Q01">Tags_ols!$M$7</definedName>
    <definedName name="OTHINC_2Q02" localSheetId="10">Tags!$R$7</definedName>
    <definedName name="OTHINC_2Q02">Tags_ols!$R$7</definedName>
    <definedName name="OTHINC_2Q03" localSheetId="10">Tags!$W$7</definedName>
    <definedName name="OTHINC_2Q03">Tags_ols!$W$7</definedName>
    <definedName name="OTHINC_2Q04" localSheetId="10">Tags!$AB$7</definedName>
    <definedName name="OTHINC_2Q04">Tags_ols!$AB$7</definedName>
    <definedName name="OTHINC_2Q05" localSheetId="10">Tags!$AG$7</definedName>
    <definedName name="OTHINC_2Q05">Tags_ols!$AG$7</definedName>
    <definedName name="OTHINC_2Q06" localSheetId="10">Tags!$AL$7</definedName>
    <definedName name="OTHINC_2Q06">Tags_ols!$AL$7</definedName>
    <definedName name="OTHINC_2Q07" localSheetId="10">Tags!$AQ$7</definedName>
    <definedName name="OTHINC_2Q07">Tags_ols!$AQ$7</definedName>
    <definedName name="OTHINC_2Q08" localSheetId="10">Tags!$AV$7</definedName>
    <definedName name="OTHINC_2Q08">Tags_ols!$AV$7</definedName>
    <definedName name="OTHINC_2Q09" localSheetId="10">Tags!$BA$7</definedName>
    <definedName name="OTHINC_2Q09">Tags_ols!$BA$7</definedName>
    <definedName name="OTHINC_2Q10" localSheetId="10">Tags!$BF$7</definedName>
    <definedName name="OTHINC_2Q10">Tags_ols!$BF$7</definedName>
    <definedName name="OTHINC_2Q11" localSheetId="10">Tags!$BK$7</definedName>
    <definedName name="OTHINC_2Q11">Tags_ols!$BK$7</definedName>
    <definedName name="OTHINC_2Q12" localSheetId="10">Tags!$BP$7</definedName>
    <definedName name="OTHINC_2Q12">Tags_ols!$BP$7</definedName>
    <definedName name="OTHINC_2Q13" localSheetId="10">Tags!$BU$7</definedName>
    <definedName name="OTHINC_2Q13">Tags_ols!$BU$7</definedName>
    <definedName name="OTHINC_2Q14" localSheetId="10">Tags!$BZ$7</definedName>
    <definedName name="OTHINC_2Q14">Tags_ols!$BZ$7</definedName>
    <definedName name="OTHINC_2Q15" localSheetId="10">Tags!$CE$7</definedName>
    <definedName name="OTHINC_2Q15">Tags_ols!$CE$7</definedName>
    <definedName name="OTHINC_2Q16" localSheetId="10">Tags!$CJ$7</definedName>
    <definedName name="OTHINC_2Q16">Tags_ols!$CJ$7</definedName>
    <definedName name="OTHINC_2Q17" localSheetId="10">Tags!$CO$7</definedName>
    <definedName name="OTHINC_2Q17">Tags_ols!$CO$7</definedName>
    <definedName name="OTHINC_2Q18" localSheetId="10">Tags!$CT$7</definedName>
    <definedName name="OTHINC_2Q18">Tags_ols!$CT$7</definedName>
    <definedName name="OTHINC_2Q19" localSheetId="10">Tags!$CY$7</definedName>
    <definedName name="OTHINC_2Q19">Tags_ols!$CY$7</definedName>
    <definedName name="OTHINC_2Q20" localSheetId="10">Tags!$DD$7</definedName>
    <definedName name="OTHINC_2Q20">Tags_ols!$DD$7</definedName>
    <definedName name="OTHINC_2Q21">Tags!$DI$7</definedName>
    <definedName name="OTHINC_2Q22">Tags!$DN$7</definedName>
    <definedName name="OTHINC_2Q23">Tags!$DS$7</definedName>
    <definedName name="OTHINC_2Q24">Tags!$DX$7</definedName>
    <definedName name="OTHINC_3Q00" localSheetId="10">Tags!$I$7</definedName>
    <definedName name="OTHINC_3Q00">Tags_ols!$I$7</definedName>
    <definedName name="OTHINC_3Q01" localSheetId="10">Tags!$N$7</definedName>
    <definedName name="OTHINC_3Q01">Tags_ols!$N$7</definedName>
    <definedName name="OTHINC_3Q02" localSheetId="10">Tags!$S$7</definedName>
    <definedName name="OTHINC_3Q02">Tags_ols!$S$7</definedName>
    <definedName name="OTHINC_3Q03" localSheetId="10">Tags!$X$7</definedName>
    <definedName name="OTHINC_3Q03">Tags_ols!$X$7</definedName>
    <definedName name="OTHINC_3Q04" localSheetId="10">Tags!$AC$7</definedName>
    <definedName name="OTHINC_3Q04">Tags_ols!$AC$7</definedName>
    <definedName name="OTHINC_3Q05" localSheetId="10">Tags!$AH$7</definedName>
    <definedName name="OTHINC_3Q05">Tags_ols!$AH$7</definedName>
    <definedName name="OTHINC_3Q06" localSheetId="10">Tags!$AM$7</definedName>
    <definedName name="OTHINC_3Q06">Tags_ols!$AM$7</definedName>
    <definedName name="OTHINC_3Q07" localSheetId="10">Tags!$AR$7</definedName>
    <definedName name="OTHINC_3Q07">Tags_ols!$AR$7</definedName>
    <definedName name="OTHINC_3Q08" localSheetId="10">Tags!$AW$7</definedName>
    <definedName name="OTHINC_3Q08">Tags_ols!$AW$7</definedName>
    <definedName name="OTHINC_3Q09" localSheetId="10">Tags!$BB$7</definedName>
    <definedName name="OTHINC_3Q09">Tags_ols!$BB$7</definedName>
    <definedName name="OTHINC_3Q10" localSheetId="10">Tags!$BG$7</definedName>
    <definedName name="OTHINC_3Q10">Tags_ols!$BG$7</definedName>
    <definedName name="OTHINC_3Q11" localSheetId="10">Tags!$BL$7</definedName>
    <definedName name="OTHINC_3Q11">Tags_ols!$BL$7</definedName>
    <definedName name="OTHINC_3Q12" localSheetId="10">Tags!$BQ$7</definedName>
    <definedName name="OTHINC_3Q12">Tags_ols!$BQ$7</definedName>
    <definedName name="OTHINC_3Q13" localSheetId="10">Tags!$BV$7</definedName>
    <definedName name="OTHINC_3Q13">Tags_ols!$BV$7</definedName>
    <definedName name="OTHINC_3Q14" localSheetId="10">Tags!$CA$7</definedName>
    <definedName name="OTHINC_3Q14">Tags_ols!$CA$7</definedName>
    <definedName name="OTHINC_3Q15" localSheetId="10">Tags!$CF$7</definedName>
    <definedName name="OTHINC_3Q15">Tags_ols!$CF$7</definedName>
    <definedName name="OTHINC_3Q16" localSheetId="10">Tags!$CK$7</definedName>
    <definedName name="OTHINC_3Q16">Tags_ols!$CK$7</definedName>
    <definedName name="OTHINC_3Q17" localSheetId="10">Tags!$CP$7</definedName>
    <definedName name="OTHINC_3Q17">Tags_ols!$CP$7</definedName>
    <definedName name="OTHINC_3Q18" localSheetId="10">Tags!$CU$7</definedName>
    <definedName name="OTHINC_3Q18">Tags_ols!$CU$7</definedName>
    <definedName name="OTHINC_3Q19" localSheetId="10">Tags!$CZ$7</definedName>
    <definedName name="OTHINC_3Q19">Tags_ols!$CZ$7</definedName>
    <definedName name="OTHINC_3Q20" localSheetId="10">Tags!$DE$7</definedName>
    <definedName name="OTHINC_3Q20">Tags_ols!$DE$7</definedName>
    <definedName name="OTHINC_3Q21">Tags!$DJ$7</definedName>
    <definedName name="OTHINC_3Q22">Tags!$DO$7</definedName>
    <definedName name="OTHINC_3Q23">Tags!$DT$7</definedName>
    <definedName name="OTHINC_3Q24">Tags!$DY$7</definedName>
    <definedName name="OTHINC_4Q00" localSheetId="10">Tags!$J$7</definedName>
    <definedName name="OTHINC_4Q00">Tags_ols!$J$7</definedName>
    <definedName name="OTHINC_4Q01" localSheetId="10">Tags!$O$7</definedName>
    <definedName name="OTHINC_4Q01">Tags_ols!$O$7</definedName>
    <definedName name="OTHINC_4Q02" localSheetId="10">Tags!$T$7</definedName>
    <definedName name="OTHINC_4Q02">Tags_ols!$T$7</definedName>
    <definedName name="OTHINC_4Q03" localSheetId="10">Tags!$Y$7</definedName>
    <definedName name="OTHINC_4Q03">Tags_ols!$Y$7</definedName>
    <definedName name="OTHINC_4Q04" localSheetId="10">Tags!$AD$7</definedName>
    <definedName name="OTHINC_4Q04">Tags_ols!$AD$7</definedName>
    <definedName name="OTHINC_4Q05" localSheetId="10">Tags!$AI$7</definedName>
    <definedName name="OTHINC_4Q05">Tags_ols!$AI$7</definedName>
    <definedName name="OTHINC_4Q06" localSheetId="10">Tags!$AN$7</definedName>
    <definedName name="OTHINC_4Q06">Tags_ols!$AN$7</definedName>
    <definedName name="OTHINC_4Q07" localSheetId="10">Tags!$AS$7</definedName>
    <definedName name="OTHINC_4Q07">Tags_ols!$AS$7</definedName>
    <definedName name="OTHINC_4Q08" localSheetId="10">Tags!$AX$7</definedName>
    <definedName name="OTHINC_4Q08">Tags_ols!$AX$7</definedName>
    <definedName name="OTHINC_4Q09" localSheetId="10">Tags!$BC$7</definedName>
    <definedName name="OTHINC_4Q09">Tags_ols!$BC$7</definedName>
    <definedName name="OTHINC_4Q10" localSheetId="10">Tags!$BH$7</definedName>
    <definedName name="OTHINC_4Q10">Tags_ols!$BH$7</definedName>
    <definedName name="OTHINC_4Q11" localSheetId="10">Tags!$BM$7</definedName>
    <definedName name="OTHINC_4Q11">Tags_ols!$BM$7</definedName>
    <definedName name="OTHINC_4Q12" localSheetId="10">Tags!$BR$7</definedName>
    <definedName name="OTHINC_4Q12">Tags_ols!$BR$7</definedName>
    <definedName name="OTHINC_4Q13" localSheetId="10">Tags!$BW$7</definedName>
    <definedName name="OTHINC_4Q13">Tags_ols!$BW$7</definedName>
    <definedName name="OTHINC_4Q14" localSheetId="10">Tags!$CB$7</definedName>
    <definedName name="OTHINC_4Q14">Tags_ols!$CB$7</definedName>
    <definedName name="OTHINC_4Q15" localSheetId="10">Tags!$CG$7</definedName>
    <definedName name="OTHINC_4Q15">Tags_ols!$CG$7</definedName>
    <definedName name="OTHINC_4Q16" localSheetId="10">Tags!$CL$7</definedName>
    <definedName name="OTHINC_4Q16">Tags_ols!$CL$7</definedName>
    <definedName name="OTHINC_4Q17" localSheetId="10">Tags!$CQ$7</definedName>
    <definedName name="OTHINC_4Q17">Tags_ols!$CQ$7</definedName>
    <definedName name="OTHINC_4Q18" localSheetId="10">Tags!$CV$7</definedName>
    <definedName name="OTHINC_4Q18">Tags_ols!$CV$7</definedName>
    <definedName name="OTHINC_4Q19" localSheetId="10">Tags!$DA$7</definedName>
    <definedName name="OTHINC_4Q19">Tags_ols!$DA$7</definedName>
    <definedName name="OTHINC_4Q20" localSheetId="10">Tags!$DF$7</definedName>
    <definedName name="OTHINC_4Q20">Tags_ols!$DF$7</definedName>
    <definedName name="OTHINC_4Q21">Tags!$DK$7</definedName>
    <definedName name="OTHINC_4Q22">Tags!$DP$7</definedName>
    <definedName name="OTHINC_4Q23">Tags!$DU$7</definedName>
    <definedName name="OTHINC_4Q24">Tags!$DZ$7</definedName>
    <definedName name="OTHINV_1995">Tags_ols!$B$331</definedName>
    <definedName name="OTHINV_1996">Tags_ols!$C$331</definedName>
    <definedName name="OTHINV_1997">Tags_ols!$D$331</definedName>
    <definedName name="OTHINV_1998">Tags_ols!$E$331</definedName>
    <definedName name="OTHINV_1999">Tags_ols!$F$331</definedName>
    <definedName name="OTHINV_1Q00" localSheetId="10">Tags!$G$331</definedName>
    <definedName name="OTHINV_1Q00">Tags_ols!$G$331</definedName>
    <definedName name="OTHINV_1Q01" localSheetId="10">Tags!$L$331</definedName>
    <definedName name="OTHINV_1Q01">Tags_ols!$L$331</definedName>
    <definedName name="OTHINV_1Q02" localSheetId="10">Tags!$Q$331</definedName>
    <definedName name="OTHINV_1Q02">Tags_ols!$Q$331</definedName>
    <definedName name="OTHINV_1Q03" localSheetId="10">Tags!$V$331</definedName>
    <definedName name="OTHINV_1Q03">Tags_ols!$V$331</definedName>
    <definedName name="OTHINV_1Q04" localSheetId="10">Tags!$AA$331</definedName>
    <definedName name="OTHINV_1Q04">Tags_ols!$AA$331</definedName>
    <definedName name="OTHINV_1Q05" localSheetId="10">Tags!$AF$331</definedName>
    <definedName name="OTHINV_1Q05">Tags_ols!$AF$331</definedName>
    <definedName name="OTHINV_1Q06" localSheetId="10">Tags!$AK$331</definedName>
    <definedName name="OTHINV_1Q06">Tags_ols!$AK$331</definedName>
    <definedName name="OTHINV_1Q07" localSheetId="10">Tags!$AP$331</definedName>
    <definedName name="OTHINV_1Q07">Tags_ols!$AP$331</definedName>
    <definedName name="OTHINV_1Q08" localSheetId="10">Tags!$AU$331</definedName>
    <definedName name="OTHINV_1Q08">Tags_ols!$AU$331</definedName>
    <definedName name="OTHINV_1Q09" localSheetId="10">Tags!$AZ$331</definedName>
    <definedName name="OTHINV_1Q09">Tags_ols!$AZ$331</definedName>
    <definedName name="OTHINV_1Q10" localSheetId="10">Tags!$BE$331</definedName>
    <definedName name="OTHINV_1Q10">Tags_ols!$BE$331</definedName>
    <definedName name="OTHINV_1Q11" localSheetId="10">Tags!$BJ$331</definedName>
    <definedName name="OTHINV_1Q11">Tags_ols!$BJ$331</definedName>
    <definedName name="OTHINV_1Q12" localSheetId="10">Tags!$BO$331</definedName>
    <definedName name="OTHINV_1Q12">Tags_ols!$BO$331</definedName>
    <definedName name="OTHINV_1Q13" localSheetId="10">Tags!$BT$331</definedName>
    <definedName name="OTHINV_1Q13">Tags_ols!$BT$331</definedName>
    <definedName name="OTHINV_1Q14" localSheetId="10">Tags!$BY$331</definedName>
    <definedName name="OTHINV_1Q14">Tags_ols!$BY$331</definedName>
    <definedName name="OTHINV_1Q15" localSheetId="10">Tags!$CD$331</definedName>
    <definedName name="OTHINV_1Q15">Tags_ols!$CD$331</definedName>
    <definedName name="OTHINV_1Q16" localSheetId="10">Tags!$CI$331</definedName>
    <definedName name="OTHINV_1Q16">Tags_ols!$CI$331</definedName>
    <definedName name="OTHINV_1Q17" localSheetId="10">Tags!$CN$331</definedName>
    <definedName name="OTHINV_1Q17">Tags_ols!$CN$331</definedName>
    <definedName name="OTHINV_1Q18" localSheetId="10">Tags!$CS$331</definedName>
    <definedName name="OTHINV_1Q18">Tags_ols!$CS$331</definedName>
    <definedName name="OTHINV_1Q19" localSheetId="10">Tags!$CX$331</definedName>
    <definedName name="OTHINV_1Q19">Tags_ols!$CX$331</definedName>
    <definedName name="OTHINV_1Q20" localSheetId="10">Tags!$DC$331</definedName>
    <definedName name="OTHINV_1Q20">Tags_ols!$DC$331</definedName>
    <definedName name="OTHINV_1Q21">Tags!$DH$331</definedName>
    <definedName name="OTHINV_1Q22">Tags!$DM$331</definedName>
    <definedName name="OTHINV_1Q23">Tags!$DR$331</definedName>
    <definedName name="OTHINV_1Q24">Tags!$DW$331</definedName>
    <definedName name="OTHINV_2000" localSheetId="10">Tags!$K$331</definedName>
    <definedName name="OTHINV_2000">Tags_ols!$K$331</definedName>
    <definedName name="OTHINV_2001" localSheetId="10">Tags!$P$331</definedName>
    <definedName name="OTHINV_2001">Tags_ols!$P$331</definedName>
    <definedName name="OTHINV_2002" localSheetId="10">Tags!$U$331</definedName>
    <definedName name="OTHINV_2002">Tags_ols!$U$331</definedName>
    <definedName name="OTHINV_2003" localSheetId="10">Tags!$Z$331</definedName>
    <definedName name="OTHINV_2003">Tags_ols!$Z$331</definedName>
    <definedName name="OTHINV_2004" localSheetId="10">Tags!$AE$331</definedName>
    <definedName name="OTHINV_2004">Tags_ols!$AE$331</definedName>
    <definedName name="OTHINV_2005" localSheetId="10">Tags!$AJ$331</definedName>
    <definedName name="OTHINV_2005">Tags_ols!$AJ$331</definedName>
    <definedName name="OTHINV_2006" localSheetId="10">Tags!$AO$331</definedName>
    <definedName name="OTHINV_2006">Tags_ols!$AO$331</definedName>
    <definedName name="OTHINV_2007" localSheetId="10">Tags!$AT$331</definedName>
    <definedName name="OTHINV_2007">Tags_ols!$AT$331</definedName>
    <definedName name="OTHINV_2008" localSheetId="10">Tags!$AY$331</definedName>
    <definedName name="OTHINV_2008">Tags_ols!$AY$331</definedName>
    <definedName name="OTHINV_2009" localSheetId="10">Tags!$BD$331</definedName>
    <definedName name="OTHINV_2009">Tags_ols!$BD$331</definedName>
    <definedName name="OTHINV_2010" localSheetId="10">Tags!$BI$331</definedName>
    <definedName name="OTHINV_2010">Tags_ols!$BI$331</definedName>
    <definedName name="OTHINV_2011" localSheetId="10">Tags!$BN$331</definedName>
    <definedName name="OTHINV_2011">Tags_ols!$BN$331</definedName>
    <definedName name="OTHINV_2012" localSheetId="10">Tags!$BS$331</definedName>
    <definedName name="OTHINV_2012">Tags_ols!$BS$331</definedName>
    <definedName name="OTHINV_2013" localSheetId="10">Tags!$BX$331</definedName>
    <definedName name="OTHINV_2013">Tags_ols!$BX$331</definedName>
    <definedName name="OTHINV_2014" localSheetId="10">Tags!$CC$331</definedName>
    <definedName name="OTHINV_2014">Tags_ols!$CC$331</definedName>
    <definedName name="OTHINV_2015" localSheetId="10">Tags!#REF!</definedName>
    <definedName name="OTHINV_2015">Tags!$CH$331</definedName>
    <definedName name="OTHINV_2016" localSheetId="10">Tags!$CM$331</definedName>
    <definedName name="OTHINV_2016">Tags_ols!$CM$331</definedName>
    <definedName name="OTHINV_2017" localSheetId="10">Tags!$CR$331</definedName>
    <definedName name="OTHINV_2017">Tags_ols!$CR$331</definedName>
    <definedName name="OTHINV_2018" localSheetId="10">Tags!$CW$331</definedName>
    <definedName name="OTHINV_2018">Tags_ols!$CW$331</definedName>
    <definedName name="OTHINV_2019" localSheetId="10">Tags!$DB$331</definedName>
    <definedName name="OTHINV_2019">Tags_ols!$DB$331</definedName>
    <definedName name="OTHINV_2020" localSheetId="10">Tags!$DG$331</definedName>
    <definedName name="OTHINV_2020">Tags_ols!$DG$331</definedName>
    <definedName name="OTHINV_2021">Tags!$DL$331</definedName>
    <definedName name="OTHINV_2022">Tags!$DQ$331</definedName>
    <definedName name="OTHINV_2023">Tags!$DV$331</definedName>
    <definedName name="OTHINV_2024">Tags!$EA$331</definedName>
    <definedName name="OTHINV_2Q00" localSheetId="10">Tags!$H$331</definedName>
    <definedName name="OTHINV_2Q00">Tags_ols!$H$331</definedName>
    <definedName name="OTHINV_2Q01" localSheetId="10">Tags!$M$331</definedName>
    <definedName name="OTHINV_2Q01">Tags_ols!$M$331</definedName>
    <definedName name="OTHINV_2Q02" localSheetId="10">Tags!$R$331</definedName>
    <definedName name="OTHINV_2Q02">Tags_ols!$R$331</definedName>
    <definedName name="OTHINV_2Q03" localSheetId="10">Tags!$W$331</definedName>
    <definedName name="OTHINV_2Q03">Tags_ols!$W$331</definedName>
    <definedName name="OTHINV_2Q04" localSheetId="10">Tags!$AB$331</definedName>
    <definedName name="OTHINV_2Q04">Tags_ols!$AB$331</definedName>
    <definedName name="OTHINV_2Q05" localSheetId="10">Tags!$AG$331</definedName>
    <definedName name="OTHINV_2Q05">Tags_ols!$AG$331</definedName>
    <definedName name="OTHINV_2Q06" localSheetId="10">Tags!$AL$331</definedName>
    <definedName name="OTHINV_2Q06">Tags_ols!$AL$331</definedName>
    <definedName name="OTHINV_2Q07" localSheetId="10">Tags!$AQ$331</definedName>
    <definedName name="OTHINV_2Q07">Tags_ols!$AQ$331</definedName>
    <definedName name="OTHINV_2Q08" localSheetId="10">Tags!$AV$331</definedName>
    <definedName name="OTHINV_2Q08">Tags_ols!$AV$331</definedName>
    <definedName name="OTHINV_2Q09" localSheetId="10">Tags!$BA$331</definedName>
    <definedName name="OTHINV_2Q09">Tags_ols!$BA$331</definedName>
    <definedName name="OTHINV_2Q10" localSheetId="10">Tags!$BF$331</definedName>
    <definedName name="OTHINV_2Q10">Tags_ols!$BF$331</definedName>
    <definedName name="OTHINV_2Q11" localSheetId="10">Tags!$BK$331</definedName>
    <definedName name="OTHINV_2Q11">Tags_ols!$BK$331</definedName>
    <definedName name="OTHINV_2Q12" localSheetId="10">Tags!$BP$331</definedName>
    <definedName name="OTHINV_2Q12">Tags_ols!$BP$331</definedName>
    <definedName name="OTHINV_2Q13" localSheetId="10">Tags!$BU$331</definedName>
    <definedName name="OTHINV_2Q13">Tags_ols!$BU$331</definedName>
    <definedName name="OTHINV_2Q14" localSheetId="10">Tags!$BZ$331</definedName>
    <definedName name="OTHINV_2Q14">Tags_ols!$BZ$331</definedName>
    <definedName name="OTHINV_2Q15" localSheetId="10">Tags!$CE$331</definedName>
    <definedName name="OTHINV_2Q15">Tags_ols!$CE$331</definedName>
    <definedName name="OTHINV_2Q16" localSheetId="10">Tags!$CJ$331</definedName>
    <definedName name="OTHINV_2Q16">Tags_ols!$CJ$331</definedName>
    <definedName name="OTHINV_2Q17" localSheetId="10">Tags!$CO$331</definedName>
    <definedName name="OTHINV_2Q17">Tags_ols!$CO$331</definedName>
    <definedName name="OTHINV_2Q18" localSheetId="10">Tags!$CT$331</definedName>
    <definedName name="OTHINV_2Q18">Tags_ols!$CT$331</definedName>
    <definedName name="OTHINV_2Q19" localSheetId="10">Tags!$CY$331</definedName>
    <definedName name="OTHINV_2Q19">Tags_ols!$CY$331</definedName>
    <definedName name="OTHINV_2Q20" localSheetId="10">Tags!$DD$331</definedName>
    <definedName name="OTHINV_2Q20">Tags_ols!$DD$331</definedName>
    <definedName name="OTHINV_2Q21">Tags!$DI$331</definedName>
    <definedName name="OTHINV_2Q22">Tags!$DN$331</definedName>
    <definedName name="OTHINV_2Q23">Tags!$DS$331</definedName>
    <definedName name="OTHINV_2Q24">Tags!$DX$331</definedName>
    <definedName name="OTHINV_3Q00" localSheetId="10">Tags!$I$331</definedName>
    <definedName name="OTHINV_3Q00">Tags_ols!$I$331</definedName>
    <definedName name="OTHINV_3Q01" localSheetId="10">Tags!$N$331</definedName>
    <definedName name="OTHINV_3Q01">Tags_ols!$N$331</definedName>
    <definedName name="OTHINV_3Q02" localSheetId="10">Tags!$S$331</definedName>
    <definedName name="OTHINV_3Q02">Tags_ols!$S$331</definedName>
    <definedName name="OTHINV_3Q03" localSheetId="10">Tags!$X$331</definedName>
    <definedName name="OTHINV_3Q03">Tags_ols!$X$331</definedName>
    <definedName name="OTHINV_3Q04" localSheetId="10">Tags!$AC$331</definedName>
    <definedName name="OTHINV_3Q04">Tags_ols!$AC$331</definedName>
    <definedName name="OTHINV_3Q05" localSheetId="10">Tags!$AH$331</definedName>
    <definedName name="OTHINV_3Q05">Tags_ols!$AH$331</definedName>
    <definedName name="OTHINV_3Q06" localSheetId="10">Tags!$AM$331</definedName>
    <definedName name="OTHINV_3Q06">Tags_ols!$AM$331</definedName>
    <definedName name="OTHINV_3Q07" localSheetId="10">Tags!$AR$331</definedName>
    <definedName name="OTHINV_3Q07">Tags_ols!$AR$331</definedName>
    <definedName name="OTHINV_3Q08" localSheetId="10">Tags!$AW$331</definedName>
    <definedName name="OTHINV_3Q08">Tags_ols!$AW$331</definedName>
    <definedName name="OTHINV_3Q09" localSheetId="10">Tags!$BB$331</definedName>
    <definedName name="OTHINV_3Q09">Tags_ols!$BB$331</definedName>
    <definedName name="OTHINV_3Q10" localSheetId="10">Tags!$BG$331</definedName>
    <definedName name="OTHINV_3Q10">Tags_ols!$BG$331</definedName>
    <definedName name="OTHINV_3Q11" localSheetId="10">Tags!$BL$331</definedName>
    <definedName name="OTHINV_3Q11">Tags_ols!$BL$331</definedName>
    <definedName name="OTHINV_3Q12" localSheetId="10">Tags!$BQ$331</definedName>
    <definedName name="OTHINV_3Q12">Tags_ols!$BQ$331</definedName>
    <definedName name="OTHINV_3Q13" localSheetId="10">Tags!$BV$331</definedName>
    <definedName name="OTHINV_3Q13">Tags_ols!$BV$331</definedName>
    <definedName name="OTHINV_3Q14" localSheetId="10">Tags!$CA$331</definedName>
    <definedName name="OTHINV_3Q14">Tags_ols!$CA$331</definedName>
    <definedName name="OTHINV_3Q15" localSheetId="10">Tags!$CF$331</definedName>
    <definedName name="OTHINV_3Q15">Tags_ols!$CF$331</definedName>
    <definedName name="OTHINV_3Q16" localSheetId="10">Tags!$CK$331</definedName>
    <definedName name="OTHINV_3Q16">Tags_ols!$CK$331</definedName>
    <definedName name="OTHINV_3Q17" localSheetId="10">Tags!$CP$331</definedName>
    <definedName name="OTHINV_3Q17">Tags_ols!$CP$331</definedName>
    <definedName name="OTHINV_3Q18" localSheetId="10">Tags!$CU$331</definedName>
    <definedName name="OTHINV_3Q18">Tags_ols!$CU$331</definedName>
    <definedName name="OTHINV_3Q19" localSheetId="10">Tags!$CZ$331</definedName>
    <definedName name="OTHINV_3Q19">Tags_ols!$CZ$331</definedName>
    <definedName name="OTHINV_3Q20" localSheetId="10">Tags!$DE$331</definedName>
    <definedName name="OTHINV_3Q20">Tags_ols!$DE$331</definedName>
    <definedName name="OTHINV_3Q21">Tags!$DJ$331</definedName>
    <definedName name="OTHINV_3Q22">Tags!$DO$331</definedName>
    <definedName name="OTHINV_3Q23">Tags!$DT$331</definedName>
    <definedName name="OTHINV_3Q24">Tags!$DY$331</definedName>
    <definedName name="OTHINV_4Q00" localSheetId="10">Tags!$J$331</definedName>
    <definedName name="OTHINV_4Q00">Tags_ols!$J$331</definedName>
    <definedName name="OTHINV_4Q01" localSheetId="10">Tags!$O$331</definedName>
    <definedName name="OTHINV_4Q01">Tags_ols!$O$331</definedName>
    <definedName name="OTHINV_4Q02" localSheetId="10">Tags!$T$331</definedName>
    <definedName name="OTHINV_4Q02">Tags_ols!$T$331</definedName>
    <definedName name="OTHINV_4Q03" localSheetId="10">Tags!$Y$331</definedName>
    <definedName name="OTHINV_4Q03">Tags_ols!$Y$331</definedName>
    <definedName name="OTHINV_4Q04" localSheetId="10">Tags!$AD$331</definedName>
    <definedName name="OTHINV_4Q04">Tags_ols!$AD$331</definedName>
    <definedName name="OTHINV_4Q05" localSheetId="10">Tags!$AI$331</definedName>
    <definedName name="OTHINV_4Q05">Tags_ols!$AI$331</definedName>
    <definedName name="OTHINV_4Q06" localSheetId="10">Tags!$AN$331</definedName>
    <definedName name="OTHINV_4Q06">Tags_ols!$AN$331</definedName>
    <definedName name="OTHINV_4Q07" localSheetId="10">Tags!$AS$331</definedName>
    <definedName name="OTHINV_4Q07">Tags_ols!$AS$331</definedName>
    <definedName name="OTHINV_4Q08" localSheetId="10">Tags!$AX$331</definedName>
    <definedName name="OTHINV_4Q08">Tags_ols!$AX$331</definedName>
    <definedName name="OTHINV_4Q09" localSheetId="10">Tags!$BC$331</definedName>
    <definedName name="OTHINV_4Q09">Tags_ols!$BC$331</definedName>
    <definedName name="OTHINV_4Q10" localSheetId="10">Tags!$BH$331</definedName>
    <definedName name="OTHINV_4Q10">Tags_ols!$BH$331</definedName>
    <definedName name="OTHINV_4Q11" localSheetId="10">Tags!$BM$331</definedName>
    <definedName name="OTHINV_4Q11">Tags_ols!$BM$331</definedName>
    <definedName name="OTHINV_4Q12" localSheetId="10">Tags!$BR$331</definedName>
    <definedName name="OTHINV_4Q12">Tags_ols!$BR$331</definedName>
    <definedName name="OTHINV_4Q13" localSheetId="10">Tags!$BW$331</definedName>
    <definedName name="OTHINV_4Q13">Tags_ols!$BW$331</definedName>
    <definedName name="OTHINV_4Q14" localSheetId="10">Tags!$CB$331</definedName>
    <definedName name="OTHINV_4Q14">Tags_ols!$CB$331</definedName>
    <definedName name="OTHINV_4Q15" localSheetId="10">Tags!$CG$331</definedName>
    <definedName name="OTHINV_4Q15">Tags_ols!$CG$331</definedName>
    <definedName name="OTHINV_4Q16" localSheetId="10">Tags!$CL$331</definedName>
    <definedName name="OTHINV_4Q16">Tags_ols!$CL$331</definedName>
    <definedName name="OTHINV_4Q17" localSheetId="10">Tags!$CQ$331</definedName>
    <definedName name="OTHINV_4Q17">Tags_ols!$CQ$331</definedName>
    <definedName name="OTHINV_4Q18" localSheetId="10">Tags!$CV$331</definedName>
    <definedName name="OTHINV_4Q18">Tags_ols!$CV$331</definedName>
    <definedName name="OTHINV_4Q19" localSheetId="10">Tags!$DA$331</definedName>
    <definedName name="OTHINV_4Q19">Tags_ols!$DA$331</definedName>
    <definedName name="OTHINV_4Q20" localSheetId="10">Tags!$DF$331</definedName>
    <definedName name="OTHINV_4Q20">Tags_ols!$DF$331</definedName>
    <definedName name="OTHINV_4Q21">Tags!$DK$331</definedName>
    <definedName name="OTHINV_4Q22">Tags!$DP$331</definedName>
    <definedName name="OTHINV_4Q23">Tags!$DU$331</definedName>
    <definedName name="OTHINV_4Q24">Tags!$DZ$331</definedName>
    <definedName name="OTHNIB_1995">Tags_ols!$B$311</definedName>
    <definedName name="OTHNIB_1996">Tags_ols!$C$311</definedName>
    <definedName name="OTHNIB_1997">Tags_ols!$D$311</definedName>
    <definedName name="OTHNIB_1998">Tags_ols!$E$311</definedName>
    <definedName name="OTHNIB_1999">Tags_ols!$F$311</definedName>
    <definedName name="OTHNIB_1Q00" localSheetId="10">Tags!$G$311</definedName>
    <definedName name="OTHNIB_1Q00">Tags_ols!$G$311</definedName>
    <definedName name="OTHNIB_1Q01" localSheetId="10">Tags!$L$311</definedName>
    <definedName name="OTHNIB_1Q01">Tags_ols!$L$311</definedName>
    <definedName name="OTHNIB_1Q02" localSheetId="10">Tags!$Q$311</definedName>
    <definedName name="OTHNIB_1Q02">Tags_ols!$Q$311</definedName>
    <definedName name="OTHNIB_1Q03" localSheetId="10">Tags!$V$311</definedName>
    <definedName name="OTHNIB_1Q03">Tags_ols!$V$311</definedName>
    <definedName name="OTHNIB_1Q04" localSheetId="10">Tags!$AA$311</definedName>
    <definedName name="OTHNIB_1Q04">Tags_ols!$AA$311</definedName>
    <definedName name="OTHNIB_1Q05" localSheetId="10">Tags!$AF$311</definedName>
    <definedName name="OTHNIB_1Q05">Tags_ols!$AF$311</definedName>
    <definedName name="OTHNIB_1Q06" localSheetId="10">Tags!$AK$311</definedName>
    <definedName name="OTHNIB_1Q06">Tags_ols!$AK$311</definedName>
    <definedName name="OTHNIB_1Q07" localSheetId="10">Tags!$AP$311</definedName>
    <definedName name="OTHNIB_1Q07">Tags_ols!$AP$311</definedName>
    <definedName name="OTHNIB_1Q08" localSheetId="10">Tags!$AU$311</definedName>
    <definedName name="OTHNIB_1Q08">Tags_ols!$AU$311</definedName>
    <definedName name="OTHNIB_1Q09" localSheetId="10">Tags!$AZ$311</definedName>
    <definedName name="OTHNIB_1Q09">Tags_ols!$AZ$311</definedName>
    <definedName name="OTHNIB_1Q10" localSheetId="10">Tags!$BE$311</definedName>
    <definedName name="OTHNIB_1Q10">Tags_ols!$BE$311</definedName>
    <definedName name="OTHNIB_1Q11" localSheetId="10">Tags!$BJ$311</definedName>
    <definedName name="OTHNIB_1Q11">Tags_ols!$BJ$311</definedName>
    <definedName name="OTHNIB_1Q12" localSheetId="10">Tags!$BO$311</definedName>
    <definedName name="OTHNIB_1Q12">Tags_ols!$BO$311</definedName>
    <definedName name="OTHNIB_1Q13" localSheetId="10">Tags!$BT$311</definedName>
    <definedName name="OTHNIB_1Q13">Tags_ols!$BT$311</definedName>
    <definedName name="OTHNIB_1Q14" localSheetId="10">Tags!$BY$311</definedName>
    <definedName name="OTHNIB_1Q14">Tags_ols!$BY$311</definedName>
    <definedName name="OTHNIB_1Q15" localSheetId="10">Tags!$CD$311</definedName>
    <definedName name="OTHNIB_1Q15">Tags_ols!$CD$311</definedName>
    <definedName name="OTHNIB_1Q16" localSheetId="10">Tags!$CI$311</definedName>
    <definedName name="OTHNIB_1Q16">Tags_ols!$CI$311</definedName>
    <definedName name="OTHNIB_1Q17" localSheetId="10">Tags!$CN$311</definedName>
    <definedName name="OTHNIB_1Q17">Tags_ols!$CN$311</definedName>
    <definedName name="OTHNIB_1Q18" localSheetId="10">Tags!$CS$311</definedName>
    <definedName name="OTHNIB_1Q18">Tags_ols!$CS$311</definedName>
    <definedName name="OTHNIB_1Q19" localSheetId="10">Tags!$CX$311</definedName>
    <definedName name="OTHNIB_1Q19">Tags_ols!$CX$311</definedName>
    <definedName name="OTHNIB_1Q20" localSheetId="10">Tags!$DC$311</definedName>
    <definedName name="OTHNIB_1Q20">Tags_ols!$DC$311</definedName>
    <definedName name="OTHNIB_1Q21">Tags!$DH$311</definedName>
    <definedName name="OTHNIB_1Q22">Tags!$DM$311</definedName>
    <definedName name="OTHNIB_1Q23">Tags!$DR$311</definedName>
    <definedName name="OTHNIB_1Q24">Tags!$DW$311</definedName>
    <definedName name="OTHNIB_2000" localSheetId="10">Tags!$K$311</definedName>
    <definedName name="OTHNIB_2000">Tags_ols!$K$311</definedName>
    <definedName name="OTHNIB_2001" localSheetId="10">Tags!$P$311</definedName>
    <definedName name="OTHNIB_2001">Tags_ols!$P$311</definedName>
    <definedName name="OTHNIB_2002" localSheetId="10">Tags!$U$311</definedName>
    <definedName name="OTHNIB_2002">Tags_ols!$U$311</definedName>
    <definedName name="OTHNIB_2003" localSheetId="10">Tags!$Z$311</definedName>
    <definedName name="OTHNIB_2003">Tags_ols!$Z$311</definedName>
    <definedName name="OTHNIB_2004" localSheetId="10">Tags!$AE$311</definedName>
    <definedName name="OTHNIB_2004">Tags_ols!$AE$311</definedName>
    <definedName name="OTHNIB_2005" localSheetId="10">Tags!$AJ$311</definedName>
    <definedName name="OTHNIB_2005">Tags_ols!$AJ$311</definedName>
    <definedName name="OTHNIB_2006" localSheetId="10">Tags!$AO$311</definedName>
    <definedName name="OTHNIB_2006">Tags_ols!$AO$311</definedName>
    <definedName name="OTHNIB_2007" localSheetId="10">Tags!$AT$311</definedName>
    <definedName name="OTHNIB_2007">Tags_ols!$AT$311</definedName>
    <definedName name="OTHNIB_2008" localSheetId="10">Tags!$AY$311</definedName>
    <definedName name="OTHNIB_2008">Tags_ols!$AY$311</definedName>
    <definedName name="OTHNIB_2009" localSheetId="10">Tags!$BD$311</definedName>
    <definedName name="OTHNIB_2009">Tags_ols!$BD$311</definedName>
    <definedName name="OTHNIB_2010" localSheetId="10">Tags!$BI$311</definedName>
    <definedName name="OTHNIB_2010">Tags_ols!$BI$311</definedName>
    <definedName name="OTHNIB_2011" localSheetId="10">Tags!$BN$311</definedName>
    <definedName name="OTHNIB_2011">Tags_ols!$BN$311</definedName>
    <definedName name="OTHNIB_2012" localSheetId="10">Tags!$BS$311</definedName>
    <definedName name="OTHNIB_2012">Tags_ols!$BS$311</definedName>
    <definedName name="OTHNIB_2013" localSheetId="10">Tags!$BX$311</definedName>
    <definedName name="OTHNIB_2013">Tags_ols!$BX$311</definedName>
    <definedName name="OTHNIB_2014" localSheetId="10">Tags!$CC$311</definedName>
    <definedName name="OTHNIB_2014">Tags_ols!$CC$311</definedName>
    <definedName name="OTHNIB_2015" localSheetId="10">Tags!#REF!</definedName>
    <definedName name="OTHNIB_2015">Tags!$CH$311</definedName>
    <definedName name="OTHNIB_2016" localSheetId="10">Tags!$CM$311</definedName>
    <definedName name="OTHNIB_2016">Tags_ols!$CM$311</definedName>
    <definedName name="OTHNIB_2017" localSheetId="10">Tags!$CR$311</definedName>
    <definedName name="OTHNIB_2017">Tags_ols!$CR$311</definedName>
    <definedName name="OTHNIB_2018" localSheetId="10">Tags!$CW$311</definedName>
    <definedName name="OTHNIB_2018">Tags_ols!$CW$311</definedName>
    <definedName name="OTHNIB_2019" localSheetId="10">Tags!$DB$311</definedName>
    <definedName name="OTHNIB_2019">Tags_ols!$DB$311</definedName>
    <definedName name="OTHNIB_2020" localSheetId="10">Tags!$DG$311</definedName>
    <definedName name="OTHNIB_2020">Tags_ols!$DG$311</definedName>
    <definedName name="OTHNIB_2021">Tags!$DL$311</definedName>
    <definedName name="OTHNIB_2022">Tags!$DQ$311</definedName>
    <definedName name="OTHNIB_2023">Tags!$DV$311</definedName>
    <definedName name="OTHNIB_2024">Tags!$EA$311</definedName>
    <definedName name="OTHNIB_2Q00" localSheetId="10">Tags!$H$311</definedName>
    <definedName name="OTHNIB_2Q00">Tags_ols!$H$311</definedName>
    <definedName name="OTHNIB_2Q01" localSheetId="10">Tags!$M$311</definedName>
    <definedName name="OTHNIB_2Q01">Tags_ols!$M$311</definedName>
    <definedName name="OTHNIB_2Q02" localSheetId="10">Tags!$R$311</definedName>
    <definedName name="OTHNIB_2Q02">Tags_ols!$R$311</definedName>
    <definedName name="OTHNIB_2Q03" localSheetId="10">Tags!$W$311</definedName>
    <definedName name="OTHNIB_2Q03">Tags_ols!$W$311</definedName>
    <definedName name="OTHNIB_2Q04" localSheetId="10">Tags!$AB$311</definedName>
    <definedName name="OTHNIB_2Q04">Tags_ols!$AB$311</definedName>
    <definedName name="OTHNIB_2Q05" localSheetId="10">Tags!$AG$311</definedName>
    <definedName name="OTHNIB_2Q05">Tags_ols!$AG$311</definedName>
    <definedName name="OTHNIB_2Q06" localSheetId="10">Tags!$AL$311</definedName>
    <definedName name="OTHNIB_2Q06">Tags_ols!$AL$311</definedName>
    <definedName name="OTHNIB_2Q07" localSheetId="10">Tags!$AQ$311</definedName>
    <definedName name="OTHNIB_2Q07">Tags_ols!$AQ$311</definedName>
    <definedName name="OTHNIB_2Q08" localSheetId="10">Tags!$AV$311</definedName>
    <definedName name="OTHNIB_2Q08">Tags_ols!$AV$311</definedName>
    <definedName name="OTHNIB_2Q09" localSheetId="10">Tags!$BA$311</definedName>
    <definedName name="OTHNIB_2Q09">Tags_ols!$BA$311</definedName>
    <definedName name="OTHNIB_2Q10" localSheetId="10">Tags!$BF$311</definedName>
    <definedName name="OTHNIB_2Q10">Tags_ols!$BF$311</definedName>
    <definedName name="OTHNIB_2Q11" localSheetId="10">Tags!$BK$311</definedName>
    <definedName name="OTHNIB_2Q11">Tags_ols!$BK$311</definedName>
    <definedName name="OTHNIB_2Q12" localSheetId="10">Tags!$BP$311</definedName>
    <definedName name="OTHNIB_2Q12">Tags_ols!$BP$311</definedName>
    <definedName name="OTHNIB_2Q13" localSheetId="10">Tags!$BU$311</definedName>
    <definedName name="OTHNIB_2Q13">Tags_ols!$BU$311</definedName>
    <definedName name="OTHNIB_2Q14" localSheetId="10">Tags!$BZ$311</definedName>
    <definedName name="OTHNIB_2Q14">Tags_ols!$BZ$311</definedName>
    <definedName name="OTHNIB_2Q15" localSheetId="10">Tags!$CE$311</definedName>
    <definedName name="OTHNIB_2Q15">Tags_ols!$CE$311</definedName>
    <definedName name="OTHNIB_2Q16" localSheetId="10">Tags!$CJ$311</definedName>
    <definedName name="OTHNIB_2Q16">Tags_ols!$CJ$311</definedName>
    <definedName name="OTHNIB_2Q17" localSheetId="10">Tags!$CO$311</definedName>
    <definedName name="OTHNIB_2Q17">Tags_ols!$CO$311</definedName>
    <definedName name="OTHNIB_2Q18" localSheetId="10">Tags!$CT$311</definedName>
    <definedName name="OTHNIB_2Q18">Tags_ols!$CT$311</definedName>
    <definedName name="OTHNIB_2Q19" localSheetId="10">Tags!$CY$311</definedName>
    <definedName name="OTHNIB_2Q19">Tags_ols!$CY$311</definedName>
    <definedName name="OTHNIB_2Q20" localSheetId="10">Tags!$DD$311</definedName>
    <definedName name="OTHNIB_2Q20">Tags_ols!$DD$311</definedName>
    <definedName name="OTHNIB_2Q21">Tags!$DI$311</definedName>
    <definedName name="OTHNIB_2Q22">Tags!$DN$311</definedName>
    <definedName name="OTHNIB_2Q23">Tags!$DS$311</definedName>
    <definedName name="OTHNIB_2Q24">Tags!$DX$311</definedName>
    <definedName name="OTHNIB_3Q00" localSheetId="10">Tags!$I$311</definedName>
    <definedName name="OTHNIB_3Q00">Tags_ols!$I$311</definedName>
    <definedName name="OTHNIB_3Q01" localSheetId="10">Tags!$N$311</definedName>
    <definedName name="OTHNIB_3Q01">Tags_ols!$N$311</definedName>
    <definedName name="OTHNIB_3Q02" localSheetId="10">Tags!$S$311</definedName>
    <definedName name="OTHNIB_3Q02">Tags_ols!$S$311</definedName>
    <definedName name="OTHNIB_3Q03" localSheetId="10">Tags!$X$311</definedName>
    <definedName name="OTHNIB_3Q03">Tags_ols!$X$311</definedName>
    <definedName name="OTHNIB_3Q04" localSheetId="10">Tags!$AC$311</definedName>
    <definedName name="OTHNIB_3Q04">Tags_ols!$AC$311</definedName>
    <definedName name="OTHNIB_3Q05" localSheetId="10">Tags!$AH$311</definedName>
    <definedName name="OTHNIB_3Q05">Tags_ols!$AH$311</definedName>
    <definedName name="OTHNIB_3Q06" localSheetId="10">Tags!$AM$311</definedName>
    <definedName name="OTHNIB_3Q06">Tags_ols!$AM$311</definedName>
    <definedName name="OTHNIB_3Q07" localSheetId="10">Tags!$AR$311</definedName>
    <definedName name="OTHNIB_3Q07">Tags_ols!$AR$311</definedName>
    <definedName name="OTHNIB_3Q08" localSheetId="10">Tags!$AW$311</definedName>
    <definedName name="OTHNIB_3Q08">Tags_ols!$AW$311</definedName>
    <definedName name="OTHNIB_3Q09" localSheetId="10">Tags!$BB$311</definedName>
    <definedName name="OTHNIB_3Q09">Tags_ols!$BB$311</definedName>
    <definedName name="OTHNIB_3Q10" localSheetId="10">Tags!$BG$311</definedName>
    <definedName name="OTHNIB_3Q10">Tags_ols!$BG$311</definedName>
    <definedName name="OTHNIB_3Q11" localSheetId="10">Tags!$BL$311</definedName>
    <definedName name="OTHNIB_3Q11">Tags_ols!$BL$311</definedName>
    <definedName name="OTHNIB_3Q12" localSheetId="10">Tags!$BQ$311</definedName>
    <definedName name="OTHNIB_3Q12">Tags_ols!$BQ$311</definedName>
    <definedName name="OTHNIB_3Q13" localSheetId="10">Tags!$BV$311</definedName>
    <definedName name="OTHNIB_3Q13">Tags_ols!$BV$311</definedName>
    <definedName name="OTHNIB_3Q14" localSheetId="10">Tags!$CA$311</definedName>
    <definedName name="OTHNIB_3Q14">Tags_ols!$CA$311</definedName>
    <definedName name="OTHNIB_3Q15" localSheetId="10">Tags!$CF$311</definedName>
    <definedName name="OTHNIB_3Q15">Tags_ols!$CF$311</definedName>
    <definedName name="OTHNIB_3Q16" localSheetId="10">Tags!$CK$311</definedName>
    <definedName name="OTHNIB_3Q16">Tags_ols!$CK$311</definedName>
    <definedName name="OTHNIB_3Q17" localSheetId="10">Tags!$CP$311</definedName>
    <definedName name="OTHNIB_3Q17">Tags_ols!$CP$311</definedName>
    <definedName name="OTHNIB_3Q18" localSheetId="10">Tags!$CU$311</definedName>
    <definedName name="OTHNIB_3Q18">Tags_ols!$CU$311</definedName>
    <definedName name="OTHNIB_3Q19" localSheetId="10">Tags!$CZ$311</definedName>
    <definedName name="OTHNIB_3Q19">Tags_ols!$CZ$311</definedName>
    <definedName name="OTHNIB_3Q20" localSheetId="10">Tags!$DE$311</definedName>
    <definedName name="OTHNIB_3Q20">Tags_ols!$DE$311</definedName>
    <definedName name="OTHNIB_3Q21">Tags!$DJ$311</definedName>
    <definedName name="OTHNIB_3Q22">Tags!$DO$311</definedName>
    <definedName name="OTHNIB_3Q23">Tags!$DT$311</definedName>
    <definedName name="OTHNIB_3Q24">Tags!$DY$311</definedName>
    <definedName name="OTHNIB_4Q00" localSheetId="10">Tags!$J$311</definedName>
    <definedName name="OTHNIB_4Q00">Tags_ols!$J$311</definedName>
    <definedName name="OTHNIB_4Q01" localSheetId="10">Tags!$O$311</definedName>
    <definedName name="OTHNIB_4Q01">Tags_ols!$O$311</definedName>
    <definedName name="OTHNIB_4Q02" localSheetId="10">Tags!$T$311</definedName>
    <definedName name="OTHNIB_4Q02">Tags_ols!$T$311</definedName>
    <definedName name="OTHNIB_4Q03" localSheetId="10">Tags!$Y$311</definedName>
    <definedName name="OTHNIB_4Q03">Tags_ols!$Y$311</definedName>
    <definedName name="OTHNIB_4Q04" localSheetId="10">Tags!$AD$311</definedName>
    <definedName name="OTHNIB_4Q04">Tags_ols!$AD$311</definedName>
    <definedName name="OTHNIB_4Q05" localSheetId="10">Tags!$AI$311</definedName>
    <definedName name="OTHNIB_4Q05">Tags_ols!$AI$311</definedName>
    <definedName name="OTHNIB_4Q06" localSheetId="10">Tags!$AN$311</definedName>
    <definedName name="OTHNIB_4Q06">Tags_ols!$AN$311</definedName>
    <definedName name="OTHNIB_4Q07" localSheetId="10">Tags!$AS$311</definedName>
    <definedName name="OTHNIB_4Q07">Tags_ols!$AS$311</definedName>
    <definedName name="OTHNIB_4Q08" localSheetId="10">Tags!$AX$311</definedName>
    <definedName name="OTHNIB_4Q08">Tags_ols!$AX$311</definedName>
    <definedName name="OTHNIB_4Q09" localSheetId="10">Tags!$BC$311</definedName>
    <definedName name="OTHNIB_4Q09">Tags_ols!$BC$311</definedName>
    <definedName name="OTHNIB_4Q10" localSheetId="10">Tags!$BH$311</definedName>
    <definedName name="OTHNIB_4Q10">Tags_ols!$BH$311</definedName>
    <definedName name="OTHNIB_4Q11" localSheetId="10">Tags!$BM$311</definedName>
    <definedName name="OTHNIB_4Q11">Tags_ols!$BM$311</definedName>
    <definedName name="OTHNIB_4Q12" localSheetId="10">Tags!$BR$311</definedName>
    <definedName name="OTHNIB_4Q12">Tags_ols!$BR$311</definedName>
    <definedName name="OTHNIB_4Q13" localSheetId="10">Tags!$BW$311</definedName>
    <definedName name="OTHNIB_4Q13">Tags_ols!$BW$311</definedName>
    <definedName name="OTHNIB_4Q14" localSheetId="10">Tags!$CB$311</definedName>
    <definedName name="OTHNIB_4Q14">Tags_ols!$CB$311</definedName>
    <definedName name="OTHNIB_4Q15" localSheetId="10">Tags!$CG$311</definedName>
    <definedName name="OTHNIB_4Q15">Tags_ols!$CG$311</definedName>
    <definedName name="OTHNIB_4Q16" localSheetId="10">Tags!$CL$311</definedName>
    <definedName name="OTHNIB_4Q16">Tags_ols!$CL$311</definedName>
    <definedName name="OTHNIB_4Q17" localSheetId="10">Tags!$CQ$311</definedName>
    <definedName name="OTHNIB_4Q17">Tags_ols!$CQ$311</definedName>
    <definedName name="OTHNIB_4Q18" localSheetId="10">Tags!$CV$311</definedName>
    <definedName name="OTHNIB_4Q18">Tags_ols!$CV$311</definedName>
    <definedName name="OTHNIB_4Q19" localSheetId="10">Tags!$DA$311</definedName>
    <definedName name="OTHNIB_4Q19">Tags_ols!$DA$311</definedName>
    <definedName name="OTHNIB_4Q20" localSheetId="10">Tags!$DF$311</definedName>
    <definedName name="OTHNIB_4Q20">Tags_ols!$DF$311</definedName>
    <definedName name="OTHNIB_4Q21">Tags!$DK$311</definedName>
    <definedName name="OTHNIB_4Q22">Tags!$DP$311</definedName>
    <definedName name="OTHNIB_4Q23">Tags!$DU$311</definedName>
    <definedName name="OTHNIB_4Q24">Tags!$DZ$311</definedName>
    <definedName name="OTIT_1995">Tags_ols!$B$10</definedName>
    <definedName name="OTIT_1996">Tags_ols!$C$10</definedName>
    <definedName name="OTIT_1997">Tags_ols!$D$10</definedName>
    <definedName name="OTIT_1998">Tags_ols!$E$10</definedName>
    <definedName name="OTIT_1999">Tags_ols!$F$10</definedName>
    <definedName name="OTIT_1Q00" localSheetId="10">Tags!$G$10</definedName>
    <definedName name="OTIT_1Q00">Tags_ols!$G$10</definedName>
    <definedName name="OTIT_1Q01" localSheetId="10">Tags!$L$10</definedName>
    <definedName name="OTIT_1Q01">Tags_ols!$L$10</definedName>
    <definedName name="OTIT_1Q02" localSheetId="10">Tags!$Q$10</definedName>
    <definedName name="OTIT_1Q02">Tags_ols!$Q$10</definedName>
    <definedName name="OTIT_1Q03" localSheetId="10">Tags!$V$10</definedName>
    <definedName name="OTIT_1Q03">Tags_ols!$V$10</definedName>
    <definedName name="OTIT_1Q04" localSheetId="10">Tags!$AA$10</definedName>
    <definedName name="OTIT_1Q04">Tags_ols!$AA$10</definedName>
    <definedName name="OTIT_1Q05" localSheetId="10">Tags!$AF$10</definedName>
    <definedName name="OTIT_1Q05">Tags_ols!$AF$10</definedName>
    <definedName name="OTIT_1Q06" localSheetId="10">Tags!$AK$10</definedName>
    <definedName name="OTIT_1Q06">Tags_ols!$AK$10</definedName>
    <definedName name="OTIT_1Q07" localSheetId="10">Tags!$AP$10</definedName>
    <definedName name="OTIT_1Q07">Tags_ols!$AP$10</definedName>
    <definedName name="OTIT_1Q08" localSheetId="10">Tags!$AU$10</definedName>
    <definedName name="OTIT_1Q08">Tags_ols!$AU$10</definedName>
    <definedName name="OTIT_1Q09" localSheetId="10">Tags!$AZ$10</definedName>
    <definedName name="OTIT_1Q09">Tags_ols!$AZ$10</definedName>
    <definedName name="OTIT_1Q10" localSheetId="10">Tags!$BE$10</definedName>
    <definedName name="OTIT_1Q10">Tags_ols!$BE$10</definedName>
    <definedName name="OTIT_1Q11" localSheetId="10">Tags!$BJ$10</definedName>
    <definedName name="OTIT_1Q11">Tags_ols!$BJ$10</definedName>
    <definedName name="OTIT_1Q12" localSheetId="10">Tags!$BO$10</definedName>
    <definedName name="OTIT_1Q12">Tags_ols!$BO$10</definedName>
    <definedName name="OTIT_1Q13" localSheetId="10">Tags!$BT$10</definedName>
    <definedName name="OTIT_1Q13">Tags_ols!$BT$10</definedName>
    <definedName name="OTIT_1Q14" localSheetId="10">Tags!$BY$10</definedName>
    <definedName name="OTIT_1Q14">Tags_ols!$BY$10</definedName>
    <definedName name="OTIT_1Q15" localSheetId="10">Tags!$CD$10</definedName>
    <definedName name="OTIT_1Q15">Tags_ols!$CD$10</definedName>
    <definedName name="OTIT_1Q16" localSheetId="10">Tags!$CI$10</definedName>
    <definedName name="OTIT_1Q16">Tags_ols!$CI$10</definedName>
    <definedName name="OTIT_1Q17" localSheetId="10">Tags!$CN$10</definedName>
    <definedName name="OTIT_1Q17">Tags_ols!$CN$10</definedName>
    <definedName name="OTIT_1Q18" localSheetId="10">Tags!$CS$10</definedName>
    <definedName name="OTIT_1Q18">Tags_ols!$CS$10</definedName>
    <definedName name="OTIT_1Q19" localSheetId="10">Tags!$CX$10</definedName>
    <definedName name="OTIT_1Q19">Tags_ols!$CX$10</definedName>
    <definedName name="OTIT_1Q20" localSheetId="10">Tags!$DC$10</definedName>
    <definedName name="OTIT_1Q20">Tags_ols!$DC$10</definedName>
    <definedName name="OTIT_1Q21">Tags!$DH$10</definedName>
    <definedName name="OTIT_1Q22">Tags!$DM$10</definedName>
    <definedName name="OTIT_1Q23">Tags!$DR$10</definedName>
    <definedName name="OTIT_1Q24">Tags!$DW$10</definedName>
    <definedName name="OTIT_2000" localSheetId="10">Tags!$K$10</definedName>
    <definedName name="OTIT_2000">Tags_ols!$K$10</definedName>
    <definedName name="OTIT_2001" localSheetId="10">Tags!$P$10</definedName>
    <definedName name="OTIT_2001">Tags_ols!$P$10</definedName>
    <definedName name="OTIT_2002" localSheetId="10">Tags!$U$10</definedName>
    <definedName name="OTIT_2002">Tags_ols!$U$10</definedName>
    <definedName name="OTIT_2003" localSheetId="10">Tags!$Z$10</definedName>
    <definedName name="OTIT_2003">Tags_ols!$Z$10</definedName>
    <definedName name="OTIT_2004" localSheetId="10">Tags!$AE$10</definedName>
    <definedName name="OTIT_2004">Tags_ols!$AE$10</definedName>
    <definedName name="OTIT_2005" localSheetId="10">Tags!$AJ$10</definedName>
    <definedName name="OTIT_2005">Tags_ols!$AJ$10</definedName>
    <definedName name="OTIT_2006" localSheetId="10">Tags!$AO$10</definedName>
    <definedName name="OTIT_2006">Tags_ols!$AO$10</definedName>
    <definedName name="OTIT_2007" localSheetId="10">Tags!$AT$10</definedName>
    <definedName name="OTIT_2007">Tags_ols!$AT$10</definedName>
    <definedName name="OTIT_2008" localSheetId="10">Tags!$AY$10</definedName>
    <definedName name="OTIT_2008">Tags_ols!$AY$10</definedName>
    <definedName name="OTIT_2009" localSheetId="10">Tags!$BD$10</definedName>
    <definedName name="OTIT_2009">Tags_ols!$BD$10</definedName>
    <definedName name="OTIT_2010" localSheetId="10">Tags!$BI$10</definedName>
    <definedName name="OTIT_2010">Tags_ols!$BI$10</definedName>
    <definedName name="OTIT_2011" localSheetId="10">Tags!$BN$10</definedName>
    <definedName name="OTIT_2011">Tags_ols!$BN$10</definedName>
    <definedName name="OTIT_2012" localSheetId="10">Tags!$BS$10</definedName>
    <definedName name="OTIT_2012">Tags_ols!$BS$10</definedName>
    <definedName name="OTIT_2013" localSheetId="10">Tags!$BX$10</definedName>
    <definedName name="OTIT_2013">Tags_ols!$BX$10</definedName>
    <definedName name="OTIT_2014" localSheetId="10">Tags!$CC$10</definedName>
    <definedName name="OTIT_2014">Tags_ols!$CC$10</definedName>
    <definedName name="OTIT_2015" localSheetId="10">Tags!#REF!</definedName>
    <definedName name="OTIT_2015">Tags!$CH$10</definedName>
    <definedName name="OTIT_2016" localSheetId="10">Tags!$CM$10</definedName>
    <definedName name="OTIT_2016">Tags_ols!$CM$10</definedName>
    <definedName name="OTIT_2017" localSheetId="10">Tags!$CR$10</definedName>
    <definedName name="OTIT_2017">Tags_ols!$CR$10</definedName>
    <definedName name="OTIT_2018" localSheetId="10">Tags!$CW$10</definedName>
    <definedName name="OTIT_2018">Tags_ols!$CW$10</definedName>
    <definedName name="OTIT_2019" localSheetId="10">Tags!$DB$10</definedName>
    <definedName name="OTIT_2019">Tags_ols!$DB$10</definedName>
    <definedName name="OTIT_2020" localSheetId="10">Tags!$DG$10</definedName>
    <definedName name="OTIT_2020">Tags_ols!$DG$10</definedName>
    <definedName name="OTIT_2021">Tags!$DL$10</definedName>
    <definedName name="OTIT_2022">Tags!$DQ$10</definedName>
    <definedName name="OTIT_2023">Tags!$DV$10</definedName>
    <definedName name="OTIT_2024">Tags!$EA$10</definedName>
    <definedName name="OTIT_2Q00" localSheetId="10">Tags!$H$10</definedName>
    <definedName name="OTIT_2Q00">Tags_ols!$H$10</definedName>
    <definedName name="OTIT_2Q01" localSheetId="10">Tags!$M$10</definedName>
    <definedName name="OTIT_2Q01">Tags_ols!$M$10</definedName>
    <definedName name="OTIT_2Q02" localSheetId="10">Tags!$R$10</definedName>
    <definedName name="OTIT_2Q02">Tags_ols!$R$10</definedName>
    <definedName name="OTIT_2Q03" localSheetId="10">Tags!$W$10</definedName>
    <definedName name="OTIT_2Q03">Tags_ols!$W$10</definedName>
    <definedName name="OTIT_2Q04" localSheetId="10">Tags!$AB$10</definedName>
    <definedName name="OTIT_2Q04">Tags_ols!$AB$10</definedName>
    <definedName name="OTIT_2Q05" localSheetId="10">Tags!$AG$10</definedName>
    <definedName name="OTIT_2Q05">Tags_ols!$AG$10</definedName>
    <definedName name="OTIT_2Q06" localSheetId="10">Tags!$AL$10</definedName>
    <definedName name="OTIT_2Q06">Tags_ols!$AL$10</definedName>
    <definedName name="OTIT_2Q07" localSheetId="10">Tags!$AQ$10</definedName>
    <definedName name="OTIT_2Q07">Tags_ols!$AQ$10</definedName>
    <definedName name="OTIT_2Q08" localSheetId="10">Tags!$AV$10</definedName>
    <definedName name="OTIT_2Q08">Tags_ols!$AV$10</definedName>
    <definedName name="OTIT_2Q09" localSheetId="10">Tags!$BA$10</definedName>
    <definedName name="OTIT_2Q09">Tags_ols!$BA$10</definedName>
    <definedName name="OTIT_2Q10" localSheetId="10">Tags!$BF$10</definedName>
    <definedName name="OTIT_2Q10">Tags_ols!$BF$10</definedName>
    <definedName name="OTIT_2Q11" localSheetId="10">Tags!$BK$10</definedName>
    <definedName name="OTIT_2Q11">Tags_ols!$BK$10</definedName>
    <definedName name="OTIT_2Q12" localSheetId="10">Tags!$BP$10</definedName>
    <definedName name="OTIT_2Q12">Tags_ols!$BP$10</definedName>
    <definedName name="OTIT_2Q13" localSheetId="10">Tags!$BU$10</definedName>
    <definedName name="OTIT_2Q13">Tags_ols!$BU$10</definedName>
    <definedName name="OTIT_2Q14" localSheetId="10">Tags!$BZ$10</definedName>
    <definedName name="OTIT_2Q14">Tags_ols!$BZ$10</definedName>
    <definedName name="OTIT_2Q15" localSheetId="10">Tags!$CE$10</definedName>
    <definedName name="OTIT_2Q15">Tags_ols!$CE$10</definedName>
    <definedName name="OTIT_2Q16" localSheetId="10">Tags!$CJ$10</definedName>
    <definedName name="OTIT_2Q16">Tags_ols!$CJ$10</definedName>
    <definedName name="OTIT_2Q17" localSheetId="10">Tags!$CO$10</definedName>
    <definedName name="OTIT_2Q17">Tags_ols!$CO$10</definedName>
    <definedName name="OTIT_2Q18" localSheetId="10">Tags!$CT$10</definedName>
    <definedName name="OTIT_2Q18">Tags_ols!$CT$10</definedName>
    <definedName name="OTIT_2Q19" localSheetId="10">Tags!$CY$10</definedName>
    <definedName name="OTIT_2Q19">Tags_ols!$CY$10</definedName>
    <definedName name="OTIT_2Q20" localSheetId="10">Tags!$DD$10</definedName>
    <definedName name="OTIT_2Q20">Tags_ols!$DD$10</definedName>
    <definedName name="OTIT_2Q21">Tags!$DI$10</definedName>
    <definedName name="OTIT_2Q22">Tags!$DN$10</definedName>
    <definedName name="OTIT_2Q23">Tags!$DS$10</definedName>
    <definedName name="OTIT_2Q24">Tags!$DX$10</definedName>
    <definedName name="OTIT_3Q00" localSheetId="10">Tags!$I$10</definedName>
    <definedName name="OTIT_3Q00">Tags_ols!$I$10</definedName>
    <definedName name="OTIT_3Q01" localSheetId="10">Tags!$N$10</definedName>
    <definedName name="OTIT_3Q01">Tags_ols!$N$10</definedName>
    <definedName name="OTIT_3Q02" localSheetId="10">Tags!$S$10</definedName>
    <definedName name="OTIT_3Q02">Tags_ols!$S$10</definedName>
    <definedName name="OTIT_3Q03" localSheetId="10">Tags!$X$10</definedName>
    <definedName name="OTIT_3Q03">Tags_ols!$X$10</definedName>
    <definedName name="OTIT_3Q04" localSheetId="10">Tags!$AC$10</definedName>
    <definedName name="OTIT_3Q04">Tags_ols!$AC$10</definedName>
    <definedName name="OTIT_3Q05" localSheetId="10">Tags!$AH$10</definedName>
    <definedName name="OTIT_3Q05">Tags_ols!$AH$10</definedName>
    <definedName name="OTIT_3Q06" localSheetId="10">Tags!$AM$10</definedName>
    <definedName name="OTIT_3Q06">Tags_ols!$AM$10</definedName>
    <definedName name="OTIT_3Q07" localSheetId="10">Tags!$AR$10</definedName>
    <definedName name="OTIT_3Q07">Tags_ols!$AR$10</definedName>
    <definedName name="OTIT_3Q08" localSheetId="10">Tags!$AW$10</definedName>
    <definedName name="OTIT_3Q08">Tags_ols!$AW$10</definedName>
    <definedName name="OTIT_3Q09" localSheetId="10">Tags!$BB$10</definedName>
    <definedName name="OTIT_3Q09">Tags_ols!$BB$10</definedName>
    <definedName name="OTIT_3Q10" localSheetId="10">Tags!$BG$10</definedName>
    <definedName name="OTIT_3Q10">Tags_ols!$BG$10</definedName>
    <definedName name="OTIT_3Q11" localSheetId="10">Tags!$BL$10</definedName>
    <definedName name="OTIT_3Q11">Tags_ols!$BL$10</definedName>
    <definedName name="OTIT_3Q12" localSheetId="10">Tags!$BQ$10</definedName>
    <definedName name="OTIT_3Q12">Tags_ols!$BQ$10</definedName>
    <definedName name="OTIT_3Q13" localSheetId="10">Tags!$BV$10</definedName>
    <definedName name="OTIT_3Q13">Tags_ols!$BV$10</definedName>
    <definedName name="OTIT_3Q14" localSheetId="10">Tags!$CA$10</definedName>
    <definedName name="OTIT_3Q14">Tags_ols!$CA$10</definedName>
    <definedName name="OTIT_3Q15" localSheetId="10">Tags!$CF$10</definedName>
    <definedName name="OTIT_3Q15">Tags_ols!$CF$10</definedName>
    <definedName name="OTIT_3Q16" localSheetId="10">Tags!$CK$10</definedName>
    <definedName name="OTIT_3Q16">Tags_ols!$CK$10</definedName>
    <definedName name="OTIT_3Q17" localSheetId="10">Tags!$CP$10</definedName>
    <definedName name="OTIT_3Q17">Tags_ols!$CP$10</definedName>
    <definedName name="OTIT_3Q18" localSheetId="10">Tags!$CU$10</definedName>
    <definedName name="OTIT_3Q18">Tags_ols!$CU$10</definedName>
    <definedName name="OTIT_3Q19" localSheetId="10">Tags!$CZ$10</definedName>
    <definedName name="OTIT_3Q19">Tags_ols!$CZ$10</definedName>
    <definedName name="OTIT_3Q20" localSheetId="10">Tags!$DE$10</definedName>
    <definedName name="OTIT_3Q20">Tags_ols!$DE$10</definedName>
    <definedName name="OTIT_3Q21">Tags!$DJ$10</definedName>
    <definedName name="OTIT_3Q22">Tags!$DO$10</definedName>
    <definedName name="OTIT_3Q23">Tags!$DT$10</definedName>
    <definedName name="OTIT_3Q24">Tags!$DY$10</definedName>
    <definedName name="OTIT_4Q00" localSheetId="10">Tags!$J$10</definedName>
    <definedName name="OTIT_4Q00">Tags_ols!$J$10</definedName>
    <definedName name="OTIT_4Q01" localSheetId="10">Tags!$O$10</definedName>
    <definedName name="OTIT_4Q01">Tags_ols!$O$10</definedName>
    <definedName name="OTIT_4Q02" localSheetId="10">Tags!$T$10</definedName>
    <definedName name="OTIT_4Q02">Tags_ols!$T$10</definedName>
    <definedName name="OTIT_4Q03" localSheetId="10">Tags!$Y$10</definedName>
    <definedName name="OTIT_4Q03">Tags_ols!$Y$10</definedName>
    <definedName name="OTIT_4Q04" localSheetId="10">Tags!$AD$10</definedName>
    <definedName name="OTIT_4Q04">Tags_ols!$AD$10</definedName>
    <definedName name="OTIT_4Q05" localSheetId="10">Tags!$AI$10</definedName>
    <definedName name="OTIT_4Q05">Tags_ols!$AI$10</definedName>
    <definedName name="OTIT_4Q06" localSheetId="10">Tags!$AN$10</definedName>
    <definedName name="OTIT_4Q06">Tags_ols!$AN$10</definedName>
    <definedName name="OTIT_4Q07" localSheetId="10">Tags!$AS$10</definedName>
    <definedName name="OTIT_4Q07">Tags_ols!$AS$10</definedName>
    <definedName name="OTIT_4Q08" localSheetId="10">Tags!$AX$10</definedName>
    <definedName name="OTIT_4Q08">Tags_ols!$AX$10</definedName>
    <definedName name="OTIT_4Q09" localSheetId="10">Tags!$BC$10</definedName>
    <definedName name="OTIT_4Q09">Tags_ols!$BC$10</definedName>
    <definedName name="OTIT_4Q10" localSheetId="10">Tags!$BH$10</definedName>
    <definedName name="OTIT_4Q10">Tags_ols!$BH$10</definedName>
    <definedName name="OTIT_4Q11" localSheetId="10">Tags!$BM$10</definedName>
    <definedName name="OTIT_4Q11">Tags_ols!$BM$10</definedName>
    <definedName name="OTIT_4Q12" localSheetId="10">Tags!$BR$10</definedName>
    <definedName name="OTIT_4Q12">Tags_ols!$BR$10</definedName>
    <definedName name="OTIT_4Q13" localSheetId="10">Tags!$BW$10</definedName>
    <definedName name="OTIT_4Q13">Tags_ols!$BW$10</definedName>
    <definedName name="OTIT_4Q14" localSheetId="10">Tags!$CB$10</definedName>
    <definedName name="OTIT_4Q14">Tags_ols!$CB$10</definedName>
    <definedName name="OTIT_4Q15" localSheetId="10">Tags!$CG$10</definedName>
    <definedName name="OTIT_4Q15">Tags_ols!$CG$10</definedName>
    <definedName name="OTIT_4Q16" localSheetId="10">Tags!$CL$10</definedName>
    <definedName name="OTIT_4Q16">Tags_ols!$CL$10</definedName>
    <definedName name="OTIT_4Q17" localSheetId="10">Tags!$CQ$10</definedName>
    <definedName name="OTIT_4Q17">Tags_ols!$CQ$10</definedName>
    <definedName name="OTIT_4Q18" localSheetId="10">Tags!$CV$10</definedName>
    <definedName name="OTIT_4Q18">Tags_ols!$CV$10</definedName>
    <definedName name="OTIT_4Q19" localSheetId="10">Tags!$DA$10</definedName>
    <definedName name="OTIT_4Q19">Tags_ols!$DA$10</definedName>
    <definedName name="OTIT_4Q20" localSheetId="10">Tags!$DF$10</definedName>
    <definedName name="OTIT_4Q20">Tags_ols!$DF$10</definedName>
    <definedName name="OTIT_4Q21">Tags!$DK$10</definedName>
    <definedName name="OTIT_4Q22">Tags!$DP$10</definedName>
    <definedName name="OTIT_4Q23">Tags!$DU$10</definedName>
    <definedName name="OTIT_4Q24">Tags!$DZ$10</definedName>
    <definedName name="PasteSpecial">#REF!</definedName>
    <definedName name="pbFileName">MID(CELL("filename"),FIND("[",CELL("FILENAME"))+1,(FIND("]",CELL("FILENAME"))) - (FIND("[",CELL("FILENAME"))+1))</definedName>
    <definedName name="pbPrinterFormat">"Acrobat PDFWriter on LPT1:"</definedName>
    <definedName name="pbStartPageNumber">1</definedName>
    <definedName name="pbUpdatePageNumbering">TRUE</definedName>
    <definedName name="PEBEAS_1995">Tags_ols!$B$227</definedName>
    <definedName name="PEBEAS_1996">Tags_ols!$C$227</definedName>
    <definedName name="PEBEAS_1997">Tags_ols!$D$227</definedName>
    <definedName name="PEBEAS_1998">Tags_ols!$E$227</definedName>
    <definedName name="PEBEAS_1999">Tags_ols!$F$227</definedName>
    <definedName name="PEBEAS_1Q00" localSheetId="10">Tags!$G$227</definedName>
    <definedName name="PEBEAS_1Q00">Tags_ols!$G$227</definedName>
    <definedName name="PEBEAS_1Q01" localSheetId="10">Tags!$L$227</definedName>
    <definedName name="PEBEAS_1Q01">Tags_ols!$L$227</definedName>
    <definedName name="PEBEAS_1Q02" localSheetId="10">Tags!$Q$227</definedName>
    <definedName name="PEBEAS_1Q02">Tags_ols!$Q$227</definedName>
    <definedName name="PEBEAS_1Q03" localSheetId="10">Tags!$V$227</definedName>
    <definedName name="PEBEAS_1Q03">Tags_ols!$V$227</definedName>
    <definedName name="PEBEAS_1Q04" localSheetId="10">Tags!$AA$227</definedName>
    <definedName name="PEBEAS_1Q04">Tags_ols!$AA$227</definedName>
    <definedName name="PEBEAS_1Q05" localSheetId="10">Tags!$AF$227</definedName>
    <definedName name="PEBEAS_1Q05">Tags_ols!$AF$227</definedName>
    <definedName name="PEBEAS_1Q06" localSheetId="10">Tags!$AK$227</definedName>
    <definedName name="PEBEAS_1Q06">Tags_ols!$AK$227</definedName>
    <definedName name="PEBEAS_1Q07" localSheetId="10">Tags!$AP$227</definedName>
    <definedName name="PEBEAS_1Q07">Tags_ols!$AP$227</definedName>
    <definedName name="PEBEAS_1Q08" localSheetId="10">Tags!$AU$227</definedName>
    <definedName name="PEBEAS_1Q08">Tags_ols!$AU$227</definedName>
    <definedName name="PEBEAS_1Q09" localSheetId="10">Tags!$AZ$227</definedName>
    <definedName name="PEBEAS_1Q09">Tags_ols!$AZ$227</definedName>
    <definedName name="PEBEAS_1Q10" localSheetId="10">Tags!$BE$227</definedName>
    <definedName name="PEBEAS_1Q10">Tags_ols!$BE$227</definedName>
    <definedName name="PEBEAS_1Q11" localSheetId="10">Tags!$BJ$227</definedName>
    <definedName name="PEBEAS_1Q11">Tags_ols!$BJ$227</definedName>
    <definedName name="PEBEAS_1Q12" localSheetId="10">Tags!$BO$227</definedName>
    <definedName name="PEBEAS_1Q12">Tags_ols!$BO$227</definedName>
    <definedName name="PEBEAS_1Q13" localSheetId="10">Tags!$BT$227</definedName>
    <definedName name="PEBEAS_1Q13">Tags_ols!$BT$227</definedName>
    <definedName name="PEBEAS_1Q14" localSheetId="10">Tags!$BY$227</definedName>
    <definedName name="PEBEAS_1Q14">Tags_ols!$BY$227</definedName>
    <definedName name="PEBEAS_1Q15" localSheetId="10">Tags!$CD$227</definedName>
    <definedName name="PEBEAS_1Q15">Tags_ols!$CD$227</definedName>
    <definedName name="PEBEAS_1Q16" localSheetId="10">Tags!$CI$227</definedName>
    <definedName name="PEBEAS_1Q16">Tags_ols!$CI$227</definedName>
    <definedName name="PEBEAS_1Q17" localSheetId="10">Tags!$CN$227</definedName>
    <definedName name="PEBEAS_1Q17">Tags_ols!$CN$227</definedName>
    <definedName name="PEBEAS_1Q18" localSheetId="10">Tags!$CS$227</definedName>
    <definedName name="PEBEAS_1Q18">Tags_ols!$CS$227</definedName>
    <definedName name="PEBEAS_1Q19" localSheetId="10">Tags!$CX$227</definedName>
    <definedName name="PEBEAS_1Q19">Tags_ols!$CX$227</definedName>
    <definedName name="PEBEAS_1Q20" localSheetId="10">Tags!$DC$227</definedName>
    <definedName name="PEBEAS_1Q20">Tags_ols!$DC$227</definedName>
    <definedName name="PEBEAS_1Q21">Tags!$DH$227</definedName>
    <definedName name="PEBEAS_1Q22">Tags!$DM$227</definedName>
    <definedName name="PEBEAS_1Q23">Tags!$DR$227</definedName>
    <definedName name="PEBEAS_1Q24">Tags!$DW$227</definedName>
    <definedName name="PEBEAS_2000" localSheetId="10">Tags!$K$227</definedName>
    <definedName name="PEBEAS_2000">Tags_ols!$K$227</definedName>
    <definedName name="PEBEAS_2001" localSheetId="10">Tags!$P$227</definedName>
    <definedName name="PEBEAS_2001">Tags_ols!$P$227</definedName>
    <definedName name="PEBEAS_2002" localSheetId="10">Tags!$U$227</definedName>
    <definedName name="PEBEAS_2002">Tags_ols!$U$227</definedName>
    <definedName name="PEBEAS_2003" localSheetId="10">Tags!$Z$227</definedName>
    <definedName name="PEBEAS_2003">Tags_ols!$Z$227</definedName>
    <definedName name="PEBEAS_2004" localSheetId="10">Tags!$AE$227</definedName>
    <definedName name="PEBEAS_2004">Tags_ols!$AE$227</definedName>
    <definedName name="PEBEAS_2005" localSheetId="10">Tags!$AJ$227</definedName>
    <definedName name="PEBEAS_2005">Tags_ols!$AJ$227</definedName>
    <definedName name="PEBEAS_2006" localSheetId="10">Tags!$AO$227</definedName>
    <definedName name="PEBEAS_2006">Tags_ols!$AO$227</definedName>
    <definedName name="PEBEAS_2007" localSheetId="10">Tags!$AT$227</definedName>
    <definedName name="PEBEAS_2007">Tags_ols!$AT$227</definedName>
    <definedName name="PEBEAS_2008" localSheetId="10">Tags!$AY$227</definedName>
    <definedName name="PEBEAS_2008">Tags_ols!$AY$227</definedName>
    <definedName name="PEBEAS_2009" localSheetId="10">Tags!$BD$227</definedName>
    <definedName name="PEBEAS_2009">Tags_ols!$BD$227</definedName>
    <definedName name="PEBEAS_2010" localSheetId="10">Tags!$BI$227</definedName>
    <definedName name="PEBEAS_2010">Tags_ols!$BI$227</definedName>
    <definedName name="PEBEAS_2011" localSheetId="10">Tags!$BN$227</definedName>
    <definedName name="PEBEAS_2011">Tags_ols!$BN$227</definedName>
    <definedName name="PEBEAS_2012" localSheetId="10">Tags!$BS$227</definedName>
    <definedName name="PEBEAS_2012">Tags_ols!$BS$227</definedName>
    <definedName name="PEBEAS_2013" localSheetId="10">Tags!$BX$227</definedName>
    <definedName name="PEBEAS_2013">Tags_ols!$BX$227</definedName>
    <definedName name="PEBEAS_2014" localSheetId="10">Tags!$CC$227</definedName>
    <definedName name="PEBEAS_2014">Tags_ols!$CC$227</definedName>
    <definedName name="PEBEAS_2015" localSheetId="10">Tags!#REF!</definedName>
    <definedName name="PEBEAS_2015">Tags!$CH$227</definedName>
    <definedName name="PEBEAS_2016" localSheetId="10">Tags!$CM$227</definedName>
    <definedName name="PEBEAS_2016">Tags_ols!$CM$227</definedName>
    <definedName name="PEBEAS_2017" localSheetId="10">Tags!$CR$227</definedName>
    <definedName name="PEBEAS_2017">Tags_ols!$CR$227</definedName>
    <definedName name="PEBEAS_2018" localSheetId="10">Tags!$CW$227</definedName>
    <definedName name="PEBEAS_2018">Tags_ols!$CW$227</definedName>
    <definedName name="PEBEAS_2019" localSheetId="10">Tags!$DB$227</definedName>
    <definedName name="PEBEAS_2019">Tags_ols!$DB$227</definedName>
    <definedName name="PEBEAS_2020" localSheetId="10">Tags!$DG$227</definedName>
    <definedName name="PEBEAS_2020">Tags_ols!$DG$227</definedName>
    <definedName name="PEBEAS_2021">Tags!$DL$227</definedName>
    <definedName name="PEBEAS_2022">Tags!$DQ$227</definedName>
    <definedName name="PEBEAS_2023">Tags!$DV$227</definedName>
    <definedName name="PEBEAS_2024">Tags!$EA$227</definedName>
    <definedName name="PEBEAS_2Q00" localSheetId="10">Tags!$H$227</definedName>
    <definedName name="PEBEAS_2Q00">Tags_ols!$H$227</definedName>
    <definedName name="PEBEAS_2Q01" localSheetId="10">Tags!$M$227</definedName>
    <definedName name="PEBEAS_2Q01">Tags_ols!$M$227</definedName>
    <definedName name="PEBEAS_2Q02" localSheetId="10">Tags!$R$227</definedName>
    <definedName name="PEBEAS_2Q02">Tags_ols!$R$227</definedName>
    <definedName name="PEBEAS_2Q03" localSheetId="10">Tags!$W$227</definedName>
    <definedName name="PEBEAS_2Q03">Tags_ols!$W$227</definedName>
    <definedName name="PEBEAS_2Q04" localSheetId="10">Tags!$AB$227</definedName>
    <definedName name="PEBEAS_2Q04">Tags_ols!$AB$227</definedName>
    <definedName name="PEBEAS_2Q05" localSheetId="10">Tags!$AG$227</definedName>
    <definedName name="PEBEAS_2Q05">Tags_ols!$AG$227</definedName>
    <definedName name="PEBEAS_2Q06" localSheetId="10">Tags!$AL$227</definedName>
    <definedName name="PEBEAS_2Q06">Tags_ols!$AL$227</definedName>
    <definedName name="PEBEAS_2Q07" localSheetId="10">Tags!$AQ$227</definedName>
    <definedName name="PEBEAS_2Q07">Tags_ols!$AQ$227</definedName>
    <definedName name="PEBEAS_2Q08" localSheetId="10">Tags!$AV$227</definedName>
    <definedName name="PEBEAS_2Q08">Tags_ols!$AV$227</definedName>
    <definedName name="PEBEAS_2Q09" localSheetId="10">Tags!$BA$227</definedName>
    <definedName name="PEBEAS_2Q09">Tags_ols!$BA$227</definedName>
    <definedName name="PEBEAS_2Q10" localSheetId="10">Tags!$BF$227</definedName>
    <definedName name="PEBEAS_2Q10">Tags_ols!$BF$227</definedName>
    <definedName name="PEBEAS_2Q11" localSheetId="10">Tags!$BK$227</definedName>
    <definedName name="PEBEAS_2Q11">Tags_ols!$BK$227</definedName>
    <definedName name="PEBEAS_2Q12" localSheetId="10">Tags!$BP$227</definedName>
    <definedName name="PEBEAS_2Q12">Tags_ols!$BP$227</definedName>
    <definedName name="PEBEAS_2Q13" localSheetId="10">Tags!$BU$227</definedName>
    <definedName name="PEBEAS_2Q13">Tags_ols!$BU$227</definedName>
    <definedName name="PEBEAS_2Q14" localSheetId="10">Tags!$BZ$227</definedName>
    <definedName name="PEBEAS_2Q14">Tags_ols!$BZ$227</definedName>
    <definedName name="PEBEAS_2Q15" localSheetId="10">Tags!$CE$227</definedName>
    <definedName name="PEBEAS_2Q15">Tags_ols!$CE$227</definedName>
    <definedName name="PEBEAS_2Q16" localSheetId="10">Tags!$CJ$227</definedName>
    <definedName name="PEBEAS_2Q16">Tags_ols!$CJ$227</definedName>
    <definedName name="PEBEAS_2Q17" localSheetId="10">Tags!$CO$227</definedName>
    <definedName name="PEBEAS_2Q17">Tags_ols!$CO$227</definedName>
    <definedName name="PEBEAS_2Q18" localSheetId="10">Tags!$CT$227</definedName>
    <definedName name="PEBEAS_2Q18">Tags_ols!$CT$227</definedName>
    <definedName name="PEBEAS_2Q19" localSheetId="10">Tags!$CY$227</definedName>
    <definedName name="PEBEAS_2Q19">Tags_ols!$CY$227</definedName>
    <definedName name="PEBEAS_2Q20" localSheetId="10">Tags!$DD$227</definedName>
    <definedName name="PEBEAS_2Q20">Tags_ols!$DD$227</definedName>
    <definedName name="PEBEAS_2Q21">Tags!$DI$227</definedName>
    <definedName name="PEBEAS_2Q22">Tags!$DN$227</definedName>
    <definedName name="PEBEAS_2Q23">Tags!$DS$227</definedName>
    <definedName name="PEBEAS_2Q24">Tags!$DX$227</definedName>
    <definedName name="PEBEAS_3Q00" localSheetId="10">Tags!$I$227</definedName>
    <definedName name="PEBEAS_3Q00">Tags_ols!$I$227</definedName>
    <definedName name="PEBEAS_3Q01" localSheetId="10">Tags!$N$227</definedName>
    <definedName name="PEBEAS_3Q01">Tags_ols!$N$227</definedName>
    <definedName name="PEBEAS_3Q02" localSheetId="10">Tags!$S$227</definedName>
    <definedName name="PEBEAS_3Q02">Tags_ols!$S$227</definedName>
    <definedName name="PEBEAS_3Q03" localSheetId="10">Tags!$X$227</definedName>
    <definedName name="PEBEAS_3Q03">Tags_ols!$X$227</definedName>
    <definedName name="PEBEAS_3Q04" localSheetId="10">Tags!$AC$227</definedName>
    <definedName name="PEBEAS_3Q04">Tags_ols!$AC$227</definedName>
    <definedName name="PEBEAS_3Q05" localSheetId="10">Tags!$AH$227</definedName>
    <definedName name="PEBEAS_3Q05">Tags_ols!$AH$227</definedName>
    <definedName name="PEBEAS_3Q06" localSheetId="10">Tags!$AM$227</definedName>
    <definedName name="PEBEAS_3Q06">Tags_ols!$AM$227</definedName>
    <definedName name="PEBEAS_3Q07" localSheetId="10">Tags!$AR$227</definedName>
    <definedName name="PEBEAS_3Q07">Tags_ols!$AR$227</definedName>
    <definedName name="PEBEAS_3Q08" localSheetId="10">Tags!$AW$227</definedName>
    <definedName name="PEBEAS_3Q08">Tags_ols!$AW$227</definedName>
    <definedName name="PEBEAS_3Q09" localSheetId="10">Tags!$BB$227</definedName>
    <definedName name="PEBEAS_3Q09">Tags_ols!$BB$227</definedName>
    <definedName name="PEBEAS_3Q10" localSheetId="10">Tags!$BG$227</definedName>
    <definedName name="PEBEAS_3Q10">Tags_ols!$BG$227</definedName>
    <definedName name="PEBEAS_3Q11" localSheetId="10">Tags!$BL$227</definedName>
    <definedName name="PEBEAS_3Q11">Tags_ols!$BL$227</definedName>
    <definedName name="PEBEAS_3Q12" localSheetId="10">Tags!$BQ$227</definedName>
    <definedName name="PEBEAS_3Q12">Tags_ols!$BQ$227</definedName>
    <definedName name="PEBEAS_3Q13" localSheetId="10">Tags!$BV$227</definedName>
    <definedName name="PEBEAS_3Q13">Tags_ols!$BV$227</definedName>
    <definedName name="PEBEAS_3Q14" localSheetId="10">Tags!$CA$227</definedName>
    <definedName name="PEBEAS_3Q14">Tags_ols!$CA$227</definedName>
    <definedName name="PEBEAS_3Q15" localSheetId="10">Tags!$CF$227</definedName>
    <definedName name="PEBEAS_3Q15">Tags_ols!$CF$227</definedName>
    <definedName name="PEBEAS_3Q16" localSheetId="10">Tags!$CK$227</definedName>
    <definedName name="PEBEAS_3Q16">Tags_ols!$CK$227</definedName>
    <definedName name="PEBEAS_3Q17" localSheetId="10">Tags!$CP$227</definedName>
    <definedName name="PEBEAS_3Q17">Tags_ols!$CP$227</definedName>
    <definedName name="PEBEAS_3Q18" localSheetId="10">Tags!$CU$227</definedName>
    <definedName name="PEBEAS_3Q18">Tags_ols!$CU$227</definedName>
    <definedName name="PEBEAS_3Q19" localSheetId="10">Tags!$CZ$227</definedName>
    <definedName name="PEBEAS_3Q19">Tags_ols!$CZ$227</definedName>
    <definedName name="PEBEAS_3Q20" localSheetId="10">Tags!$DE$227</definedName>
    <definedName name="PEBEAS_3Q20">Tags_ols!$DE$227</definedName>
    <definedName name="PEBEAS_3Q21">Tags!$DJ$227</definedName>
    <definedName name="PEBEAS_3Q22">Tags!$DO$227</definedName>
    <definedName name="PEBEAS_3Q23">Tags!$DT$227</definedName>
    <definedName name="PEBEAS_3Q24">Tags!$DY$227</definedName>
    <definedName name="PEBEAS_4Q00" localSheetId="10">Tags!$J$227</definedName>
    <definedName name="PEBEAS_4Q00">Tags_ols!$J$227</definedName>
    <definedName name="PEBEAS_4Q01" localSheetId="10">Tags!$O$227</definedName>
    <definedName name="PEBEAS_4Q01">Tags_ols!$O$227</definedName>
    <definedName name="PEBEAS_4Q02" localSheetId="10">Tags!$T$227</definedName>
    <definedName name="PEBEAS_4Q02">Tags_ols!$T$227</definedName>
    <definedName name="PEBEAS_4Q03" localSheetId="10">Tags!$Y$227</definedName>
    <definedName name="PEBEAS_4Q03">Tags_ols!$Y$227</definedName>
    <definedName name="PEBEAS_4Q04" localSheetId="10">Tags!$AD$227</definedName>
    <definedName name="PEBEAS_4Q04">Tags_ols!$AD$227</definedName>
    <definedName name="PEBEAS_4Q05" localSheetId="10">Tags!$AI$227</definedName>
    <definedName name="PEBEAS_4Q05">Tags_ols!$AI$227</definedName>
    <definedName name="PEBEAS_4Q06" localSheetId="10">Tags!$AN$227</definedName>
    <definedName name="PEBEAS_4Q06">Tags_ols!$AN$227</definedName>
    <definedName name="PEBEAS_4Q07" localSheetId="10">Tags!$AS$227</definedName>
    <definedName name="PEBEAS_4Q07">Tags_ols!$AS$227</definedName>
    <definedName name="PEBEAS_4Q08" localSheetId="10">Tags!$AX$227</definedName>
    <definedName name="PEBEAS_4Q08">Tags_ols!$AX$227</definedName>
    <definedName name="PEBEAS_4Q09" localSheetId="10">Tags!$BC$227</definedName>
    <definedName name="PEBEAS_4Q09">Tags_ols!$BC$227</definedName>
    <definedName name="PEBEAS_4Q10" localSheetId="10">Tags!$BH$227</definedName>
    <definedName name="PEBEAS_4Q10">Tags_ols!$BH$227</definedName>
    <definedName name="PEBEAS_4Q11" localSheetId="10">Tags!$BM$227</definedName>
    <definedName name="PEBEAS_4Q11">Tags_ols!$BM$227</definedName>
    <definedName name="PEBEAS_4Q12" localSheetId="10">Tags!$BR$227</definedName>
    <definedName name="PEBEAS_4Q12">Tags_ols!$BR$227</definedName>
    <definedName name="PEBEAS_4Q13" localSheetId="10">Tags!$BW$227</definedName>
    <definedName name="PEBEAS_4Q13">Tags_ols!$BW$227</definedName>
    <definedName name="PEBEAS_4Q14" localSheetId="10">Tags!$CB$227</definedName>
    <definedName name="PEBEAS_4Q14">Tags_ols!$CB$227</definedName>
    <definedName name="PEBEAS_4Q15" localSheetId="10">Tags!$CG$227</definedName>
    <definedName name="PEBEAS_4Q15">Tags_ols!$CG$227</definedName>
    <definedName name="PEBEAS_4Q16" localSheetId="10">Tags!$CL$227</definedName>
    <definedName name="PEBEAS_4Q16">Tags_ols!$CL$227</definedName>
    <definedName name="PEBEAS_4Q17" localSheetId="10">Tags!$CQ$227</definedName>
    <definedName name="PEBEAS_4Q17">Tags_ols!$CQ$227</definedName>
    <definedName name="PEBEAS_4Q18" localSheetId="10">Tags!$CV$227</definedName>
    <definedName name="PEBEAS_4Q18">Tags_ols!$CV$227</definedName>
    <definedName name="PEBEAS_4Q19" localSheetId="10">Tags!$DA$227</definedName>
    <definedName name="PEBEAS_4Q19">Tags_ols!$DA$227</definedName>
    <definedName name="PEBEAS_4Q20" localSheetId="10">Tags!$DF$227</definedName>
    <definedName name="PEBEAS_4Q20">Tags_ols!$DF$227</definedName>
    <definedName name="PEBEAS_4Q21">Tags!$DK$227</definedName>
    <definedName name="PEBEAS_4Q22">Tags!$DP$227</definedName>
    <definedName name="PEBEAS_4Q23">Tags!$DU$227</definedName>
    <definedName name="PEBEAS_4Q24">Tags!$DZ$227</definedName>
    <definedName name="PEBELI_1995">Tags_ols!$B$228</definedName>
    <definedName name="PEBELI_1996">Tags_ols!$C$228</definedName>
    <definedName name="PEBELI_1997">Tags_ols!$D$228</definedName>
    <definedName name="PEBELI_1998">Tags_ols!$E$228</definedName>
    <definedName name="PEBELI_1999">Tags_ols!$F$228</definedName>
    <definedName name="PEBELI_1Q00" localSheetId="10">Tags!$G$228</definedName>
    <definedName name="PEBELI_1Q00">Tags_ols!$G$228</definedName>
    <definedName name="PEBELI_1Q01" localSheetId="10">Tags!$L$228</definedName>
    <definedName name="PEBELI_1Q01">Tags_ols!$L$228</definedName>
    <definedName name="PEBELI_1Q02" localSheetId="10">Tags!$Q$228</definedName>
    <definedName name="PEBELI_1Q02">Tags_ols!$Q$228</definedName>
    <definedName name="PEBELI_1Q03" localSheetId="10">Tags!$V$228</definedName>
    <definedName name="PEBELI_1Q03">Tags_ols!$V$228</definedName>
    <definedName name="PEBELI_1Q04" localSheetId="10">Tags!$AA$228</definedName>
    <definedName name="PEBELI_1Q04">Tags_ols!$AA$228</definedName>
    <definedName name="PEBELI_1Q05" localSheetId="10">Tags!$AF$228</definedName>
    <definedName name="PEBELI_1Q05">Tags_ols!$AF$228</definedName>
    <definedName name="PEBELI_1Q06" localSheetId="10">Tags!$AK$228</definedName>
    <definedName name="PEBELI_1Q06">Tags_ols!$AK$228</definedName>
    <definedName name="PEBELI_1Q07" localSheetId="10">Tags!$AP$228</definedName>
    <definedName name="PEBELI_1Q07">Tags_ols!$AP$228</definedName>
    <definedName name="PEBELI_1Q08" localSheetId="10">Tags!$AU$228</definedName>
    <definedName name="PEBELI_1Q08">Tags_ols!$AU$228</definedName>
    <definedName name="PEBELI_1Q09" localSheetId="10">Tags!$AZ$228</definedName>
    <definedName name="PEBELI_1Q09">Tags_ols!$AZ$228</definedName>
    <definedName name="PEBELI_1Q10" localSheetId="10">Tags!$BE$228</definedName>
    <definedName name="PEBELI_1Q10">Tags_ols!$BE$228</definedName>
    <definedName name="PEBELI_1Q11" localSheetId="10">Tags!$BJ$228</definedName>
    <definedName name="PEBELI_1Q11">Tags_ols!$BJ$228</definedName>
    <definedName name="PEBELI_1Q12" localSheetId="10">Tags!$BO$228</definedName>
    <definedName name="PEBELI_1Q12">Tags_ols!$BO$228</definedName>
    <definedName name="PEBELI_1Q13" localSheetId="10">Tags!$BT$228</definedName>
    <definedName name="PEBELI_1Q13">Tags_ols!$BT$228</definedName>
    <definedName name="PEBELI_1Q14" localSheetId="10">Tags!$BY$228</definedName>
    <definedName name="PEBELI_1Q14">Tags_ols!$BY$228</definedName>
    <definedName name="PEBELI_1Q15" localSheetId="10">Tags!$CD$228</definedName>
    <definedName name="PEBELI_1Q15">Tags_ols!$CD$228</definedName>
    <definedName name="PEBELI_1Q16" localSheetId="10">Tags!$CI$228</definedName>
    <definedName name="PEBELI_1Q16">Tags_ols!$CI$228</definedName>
    <definedName name="PEBELI_1Q17" localSheetId="10">Tags!$CN$228</definedName>
    <definedName name="PEBELI_1Q17">Tags_ols!$CN$228</definedName>
    <definedName name="PEBELI_1Q18" localSheetId="10">Tags!$CS$228</definedName>
    <definedName name="PEBELI_1Q18">Tags_ols!$CS$228</definedName>
    <definedName name="PEBELI_1Q19" localSheetId="10">Tags!$CX$228</definedName>
    <definedName name="PEBELI_1Q19">Tags_ols!$CX$228</definedName>
    <definedName name="PEBELI_1Q20" localSheetId="10">Tags!$DC$228</definedName>
    <definedName name="PEBELI_1Q20">Tags_ols!$DC$228</definedName>
    <definedName name="PEBELI_1Q21">Tags!$DH$228</definedName>
    <definedName name="PEBELI_1Q22">Tags!$DM$228</definedName>
    <definedName name="PEBELI_1Q23">Tags!$DR$228</definedName>
    <definedName name="PEBELI_1Q24">Tags!$DW$228</definedName>
    <definedName name="PEBELI_2000" localSheetId="10">Tags!$K$228</definedName>
    <definedName name="PEBELI_2000">Tags_ols!$K$228</definedName>
    <definedName name="PEBELI_2001" localSheetId="10">Tags!$P$228</definedName>
    <definedName name="PEBELI_2001">Tags_ols!$P$228</definedName>
    <definedName name="PEBELI_2002" localSheetId="10">Tags!$U$228</definedName>
    <definedName name="PEBELI_2002">Tags_ols!$U$228</definedName>
    <definedName name="PEBELI_2003" localSheetId="10">Tags!$Z$228</definedName>
    <definedName name="PEBELI_2003">Tags_ols!$Z$228</definedName>
    <definedName name="PEBELI_2004" localSheetId="10">Tags!$AE$228</definedName>
    <definedName name="PEBELI_2004">Tags_ols!$AE$228</definedName>
    <definedName name="PEBELI_2005" localSheetId="10">Tags!$AJ$228</definedName>
    <definedName name="PEBELI_2005">Tags_ols!$AJ$228</definedName>
    <definedName name="PEBELI_2006" localSheetId="10">Tags!$AO$228</definedName>
    <definedName name="PEBELI_2006">Tags_ols!$AO$228</definedName>
    <definedName name="PEBELI_2007" localSheetId="10">Tags!$AT$228</definedName>
    <definedName name="PEBELI_2007">Tags_ols!$AT$228</definedName>
    <definedName name="PEBELI_2008" localSheetId="10">Tags!$AY$228</definedName>
    <definedName name="PEBELI_2008">Tags_ols!$AY$228</definedName>
    <definedName name="PEBELI_2009" localSheetId="10">Tags!$BD$228</definedName>
    <definedName name="PEBELI_2009">Tags_ols!$BD$228</definedName>
    <definedName name="PEBELI_2010" localSheetId="10">Tags!$BI$228</definedName>
    <definedName name="PEBELI_2010">Tags_ols!$BI$228</definedName>
    <definedName name="PEBELI_2011" localSheetId="10">Tags!$BN$228</definedName>
    <definedName name="PEBELI_2011">Tags_ols!$BN$228</definedName>
    <definedName name="PEBELI_2012" localSheetId="10">Tags!$BS$228</definedName>
    <definedName name="PEBELI_2012">Tags_ols!$BS$228</definedName>
    <definedName name="PEBELI_2013" localSheetId="10">Tags!$BX$228</definedName>
    <definedName name="PEBELI_2013">Tags_ols!$BX$228</definedName>
    <definedName name="PEBELI_2014" localSheetId="10">Tags!$CC$228</definedName>
    <definedName name="PEBELI_2014">Tags_ols!$CC$228</definedName>
    <definedName name="PEBELI_2015" localSheetId="10">Tags!#REF!</definedName>
    <definedName name="PEBELI_2015">Tags!$CH$228</definedName>
    <definedName name="PEBELI_2016" localSheetId="10">Tags!$CM$228</definedName>
    <definedName name="PEBELI_2016">Tags_ols!$CM$228</definedName>
    <definedName name="PEBELI_2017" localSheetId="10">Tags!$CR$228</definedName>
    <definedName name="PEBELI_2017">Tags_ols!$CR$228</definedName>
    <definedName name="PEBELI_2018" localSheetId="10">Tags!$CW$228</definedName>
    <definedName name="PEBELI_2018">Tags_ols!$CW$228</definedName>
    <definedName name="PEBELI_2019" localSheetId="10">Tags!$DB$228</definedName>
    <definedName name="PEBELI_2019">Tags_ols!$DB$228</definedName>
    <definedName name="PEBELI_2020" localSheetId="10">Tags!$DG$228</definedName>
    <definedName name="PEBELI_2020">Tags_ols!$DG$228</definedName>
    <definedName name="PEBELI_2021">Tags!$DL$228</definedName>
    <definedName name="PEBELI_2022">Tags!$DQ$228</definedName>
    <definedName name="PEBELI_2023">Tags!$DV$228</definedName>
    <definedName name="PEBELI_2024">Tags!$EA$228</definedName>
    <definedName name="PEBELI_2Q00" localSheetId="10">Tags!$H$228</definedName>
    <definedName name="PEBELI_2Q00">Tags_ols!$H$228</definedName>
    <definedName name="PEBELI_2Q01" localSheetId="10">Tags!$M$228</definedName>
    <definedName name="PEBELI_2Q01">Tags_ols!$M$228</definedName>
    <definedName name="PEBELI_2Q02" localSheetId="10">Tags!$R$228</definedName>
    <definedName name="PEBELI_2Q02">Tags_ols!$R$228</definedName>
    <definedName name="PEBELI_2Q03" localSheetId="10">Tags!$W$228</definedName>
    <definedName name="PEBELI_2Q03">Tags_ols!$W$228</definedName>
    <definedName name="PEBELI_2Q04" localSheetId="10">Tags!$AB$228</definedName>
    <definedName name="PEBELI_2Q04">Tags_ols!$AB$228</definedName>
    <definedName name="PEBELI_2Q05" localSheetId="10">Tags!$AG$228</definedName>
    <definedName name="PEBELI_2Q05">Tags_ols!$AG$228</definedName>
    <definedName name="PEBELI_2Q06" localSheetId="10">Tags!$AL$228</definedName>
    <definedName name="PEBELI_2Q06">Tags_ols!$AL$228</definedName>
    <definedName name="PEBELI_2Q07" localSheetId="10">Tags!$AQ$228</definedName>
    <definedName name="PEBELI_2Q07">Tags_ols!$AQ$228</definedName>
    <definedName name="PEBELI_2Q08" localSheetId="10">Tags!$AV$228</definedName>
    <definedName name="PEBELI_2Q08">Tags_ols!$AV$228</definedName>
    <definedName name="PEBELI_2Q09" localSheetId="10">Tags!$BA$228</definedName>
    <definedName name="PEBELI_2Q09">Tags_ols!$BA$228</definedName>
    <definedName name="PEBELI_2Q10" localSheetId="10">Tags!$BF$228</definedName>
    <definedName name="PEBELI_2Q10">Tags_ols!$BF$228</definedName>
    <definedName name="PEBELI_2Q11" localSheetId="10">Tags!$BK$228</definedName>
    <definedName name="PEBELI_2Q11">Tags_ols!$BK$228</definedName>
    <definedName name="PEBELI_2Q12" localSheetId="10">Tags!$BP$228</definedName>
    <definedName name="PEBELI_2Q12">Tags_ols!$BP$228</definedName>
    <definedName name="PEBELI_2Q13" localSheetId="10">Tags!$BU$228</definedName>
    <definedName name="PEBELI_2Q13">Tags_ols!$BU$228</definedName>
    <definedName name="PEBELI_2Q14" localSheetId="10">Tags!$BZ$228</definedName>
    <definedName name="PEBELI_2Q14">Tags_ols!$BZ$228</definedName>
    <definedName name="PEBELI_2Q15" localSheetId="10">Tags!$CE$228</definedName>
    <definedName name="PEBELI_2Q15">Tags_ols!$CE$228</definedName>
    <definedName name="PEBELI_2Q16" localSheetId="10">Tags!$CJ$228</definedName>
    <definedName name="PEBELI_2Q16">Tags_ols!$CJ$228</definedName>
    <definedName name="PEBELI_2Q17" localSheetId="10">Tags!$CO$228</definedName>
    <definedName name="PEBELI_2Q17">Tags_ols!$CO$228</definedName>
    <definedName name="PEBELI_2Q18" localSheetId="10">Tags!$CT$228</definedName>
    <definedName name="PEBELI_2Q18">Tags_ols!$CT$228</definedName>
    <definedName name="PEBELI_2Q19" localSheetId="10">Tags!$CY$228</definedName>
    <definedName name="PEBELI_2Q19">Tags_ols!$CY$228</definedName>
    <definedName name="PEBELI_2Q20" localSheetId="10">Tags!$DD$228</definedName>
    <definedName name="PEBELI_2Q20">Tags_ols!$DD$228</definedName>
    <definedName name="PEBELI_2Q21">Tags!$DI$228</definedName>
    <definedName name="PEBELI_2Q22">Tags!$DN$228</definedName>
    <definedName name="PEBELI_2Q23">Tags!$DS$228</definedName>
    <definedName name="PEBELI_2Q24">Tags!$DX$228</definedName>
    <definedName name="PEBELI_3Q00" localSheetId="10">Tags!$I$228</definedName>
    <definedName name="PEBELI_3Q00">Tags_ols!$I$228</definedName>
    <definedName name="PEBELI_3Q01" localSheetId="10">Tags!$N$228</definedName>
    <definedName name="PEBELI_3Q01">Tags_ols!$N$228</definedName>
    <definedName name="PEBELI_3Q02" localSheetId="10">Tags!$S$228</definedName>
    <definedName name="PEBELI_3Q02">Tags_ols!$S$228</definedName>
    <definedName name="PEBELI_3Q03" localSheetId="10">Tags!$X$228</definedName>
    <definedName name="PEBELI_3Q03">Tags_ols!$X$228</definedName>
    <definedName name="PEBELI_3Q04" localSheetId="10">Tags!$AC$228</definedName>
    <definedName name="PEBELI_3Q04">Tags_ols!$AC$228</definedName>
    <definedName name="PEBELI_3Q05" localSheetId="10">Tags!$AH$228</definedName>
    <definedName name="PEBELI_3Q05">Tags_ols!$AH$228</definedName>
    <definedName name="PEBELI_3Q06" localSheetId="10">Tags!$AM$228</definedName>
    <definedName name="PEBELI_3Q06">Tags_ols!$AM$228</definedName>
    <definedName name="PEBELI_3Q07" localSheetId="10">Tags!$AR$228</definedName>
    <definedName name="PEBELI_3Q07">Tags_ols!$AR$228</definedName>
    <definedName name="PEBELI_3Q08" localSheetId="10">Tags!$AW$228</definedName>
    <definedName name="PEBELI_3Q08">Tags_ols!$AW$228</definedName>
    <definedName name="PEBELI_3Q09" localSheetId="10">Tags!$BB$228</definedName>
    <definedName name="PEBELI_3Q09">Tags_ols!$BB$228</definedName>
    <definedName name="PEBELI_3Q10" localSheetId="10">Tags!$BG$228</definedName>
    <definedName name="PEBELI_3Q10">Tags_ols!$BG$228</definedName>
    <definedName name="PEBELI_3Q11" localSheetId="10">Tags!$BL$228</definedName>
    <definedName name="PEBELI_3Q11">Tags_ols!$BL$228</definedName>
    <definedName name="PEBELI_3Q12" localSheetId="10">Tags!$BQ$228</definedName>
    <definedName name="PEBELI_3Q12">Tags_ols!$BQ$228</definedName>
    <definedName name="PEBELI_3Q13" localSheetId="10">Tags!$BV$228</definedName>
    <definedName name="PEBELI_3Q13">Tags_ols!$BV$228</definedName>
    <definedName name="PEBELI_3Q14" localSheetId="10">Tags!$CA$228</definedName>
    <definedName name="PEBELI_3Q14">Tags_ols!$CA$228</definedName>
    <definedName name="PEBELI_3Q15" localSheetId="10">Tags!$CF$228</definedName>
    <definedName name="PEBELI_3Q15">Tags_ols!$CF$228</definedName>
    <definedName name="PEBELI_3Q16" localSheetId="10">Tags!$CK$228</definedName>
    <definedName name="PEBELI_3Q16">Tags_ols!$CK$228</definedName>
    <definedName name="PEBELI_3Q17" localSheetId="10">Tags!$CP$228</definedName>
    <definedName name="PEBELI_3Q17">Tags_ols!$CP$228</definedName>
    <definedName name="PEBELI_3Q18" localSheetId="10">Tags!$CU$228</definedName>
    <definedName name="PEBELI_3Q18">Tags_ols!$CU$228</definedName>
    <definedName name="PEBELI_3Q19" localSheetId="10">Tags!$CZ$228</definedName>
    <definedName name="PEBELI_3Q19">Tags_ols!$CZ$228</definedName>
    <definedName name="PEBELI_3Q20" localSheetId="10">Tags!$DE$228</definedName>
    <definedName name="PEBELI_3Q20">Tags_ols!$DE$228</definedName>
    <definedName name="PEBELI_3Q21">Tags!$DJ$228</definedName>
    <definedName name="PEBELI_3Q22">Tags!$DO$228</definedName>
    <definedName name="PEBELI_3Q23">Tags!$DT$228</definedName>
    <definedName name="PEBELI_3Q24">Tags!$DY$228</definedName>
    <definedName name="PEBELI_4Q00" localSheetId="10">Tags!$J$228</definedName>
    <definedName name="PEBELI_4Q00">Tags_ols!$J$228</definedName>
    <definedName name="PEBELI_4Q01" localSheetId="10">Tags!$O$228</definedName>
    <definedName name="PEBELI_4Q01">Tags_ols!$O$228</definedName>
    <definedName name="PEBELI_4Q02" localSheetId="10">Tags!$T$228</definedName>
    <definedName name="PEBELI_4Q02">Tags_ols!$T$228</definedName>
    <definedName name="PEBELI_4Q03" localSheetId="10">Tags!$Y$228</definedName>
    <definedName name="PEBELI_4Q03">Tags_ols!$Y$228</definedName>
    <definedName name="PEBELI_4Q04" localSheetId="10">Tags!$AD$228</definedName>
    <definedName name="PEBELI_4Q04">Tags_ols!$AD$228</definedName>
    <definedName name="PEBELI_4Q05" localSheetId="10">Tags!$AI$228</definedName>
    <definedName name="PEBELI_4Q05">Tags_ols!$AI$228</definedName>
    <definedName name="PEBELI_4Q06" localSheetId="10">Tags!$AN$228</definedName>
    <definedName name="PEBELI_4Q06">Tags_ols!$AN$228</definedName>
    <definedName name="PEBELI_4Q07" localSheetId="10">Tags!$AS$228</definedName>
    <definedName name="PEBELI_4Q07">Tags_ols!$AS$228</definedName>
    <definedName name="PEBELI_4Q08" localSheetId="10">Tags!$AX$228</definedName>
    <definedName name="PEBELI_4Q08">Tags_ols!$AX$228</definedName>
    <definedName name="PEBELI_4Q09" localSheetId="10">Tags!$BC$228</definedName>
    <definedName name="PEBELI_4Q09">Tags_ols!$BC$228</definedName>
    <definedName name="PEBELI_4Q10" localSheetId="10">Tags!$BH$228</definedName>
    <definedName name="PEBELI_4Q10">Tags_ols!$BH$228</definedName>
    <definedName name="PEBELI_4Q11" localSheetId="10">Tags!$BM$228</definedName>
    <definedName name="PEBELI_4Q11">Tags_ols!$BM$228</definedName>
    <definedName name="PEBELI_4Q12" localSheetId="10">Tags!$BR$228</definedName>
    <definedName name="PEBELI_4Q12">Tags_ols!$BR$228</definedName>
    <definedName name="PEBELI_4Q13" localSheetId="10">Tags!$BW$228</definedName>
    <definedName name="PEBELI_4Q13">Tags_ols!$BW$228</definedName>
    <definedName name="PEBELI_4Q14" localSheetId="10">Tags!$CB$228</definedName>
    <definedName name="PEBELI_4Q14">Tags_ols!$CB$228</definedName>
    <definedName name="PEBELI_4Q15" localSheetId="10">Tags!$CG$228</definedName>
    <definedName name="PEBELI_4Q15">Tags_ols!$CG$228</definedName>
    <definedName name="PEBELI_4Q16" localSheetId="10">Tags!$CL$228</definedName>
    <definedName name="PEBELI_4Q16">Tags_ols!$CL$228</definedName>
    <definedName name="PEBELI_4Q17" localSheetId="10">Tags!$CQ$228</definedName>
    <definedName name="PEBELI_4Q17">Tags_ols!$CQ$228</definedName>
    <definedName name="PEBELI_4Q18" localSheetId="10">Tags!$CV$228</definedName>
    <definedName name="PEBELI_4Q18">Tags_ols!$CV$228</definedName>
    <definedName name="PEBELI_4Q19" localSheetId="10">Tags!$DA$228</definedName>
    <definedName name="PEBELI_4Q19">Tags_ols!$DA$228</definedName>
    <definedName name="PEBELI_4Q20" localSheetId="10">Tags!$DF$228</definedName>
    <definedName name="PEBELI_4Q20">Tags_ols!$DF$228</definedName>
    <definedName name="PEBELI_4Q21">Tags!$DK$228</definedName>
    <definedName name="PEBELI_4Q22">Tags!$DP$228</definedName>
    <definedName name="PEBELI_4Q23">Tags!$DU$228</definedName>
    <definedName name="PEBELI_4Q24">Tags!$DZ$228</definedName>
    <definedName name="pedro" localSheetId="4" hidden="1">{#N/A,"30% Success",TRUE,"Sales Forecast";#N/A,#N/A,TRUE,"Sheet2"}</definedName>
    <definedName name="pedro" localSheetId="6" hidden="1">{#N/A,"30% Success",TRUE,"Sales Forecast";#N/A,#N/A,TRUE,"Sheet2"}</definedName>
    <definedName name="pedro" localSheetId="0" hidden="1">{#N/A,"30% Success",TRUE,"Sales Forecast";#N/A,#N/A,TRUE,"Sheet2"}</definedName>
    <definedName name="pedro" localSheetId="9" hidden="1">{#N/A,"30% Success",TRUE,"Sales Forecast";#N/A,#N/A,TRUE,"Sheet2"}</definedName>
    <definedName name="pedro" localSheetId="5" hidden="1">{#N/A,"30% Success",TRUE,"Sales Forecast";#N/A,#N/A,TRUE,"Sheet2"}</definedName>
    <definedName name="pedro" hidden="1">{#N/A,"30% Success",TRUE,"Sales Forecast";#N/A,#N/A,TRUE,"Sheet2"}</definedName>
    <definedName name="PeerNames">#REF!</definedName>
    <definedName name="PeerTickers">#REF!</definedName>
    <definedName name="PEFIRE_1995">Tags_ols!$B$11</definedName>
    <definedName name="PEFIRE_1996">Tags_ols!$C$11</definedName>
    <definedName name="PEFIRE_1997">Tags_ols!$D$11</definedName>
    <definedName name="PEFIRE_1998">Tags_ols!$E$11</definedName>
    <definedName name="PEFIRE_1999">Tags_ols!$F$11</definedName>
    <definedName name="PEFIRE_1Q00" localSheetId="10">Tags!$G$11</definedName>
    <definedName name="PEFIRE_1Q00">Tags_ols!$G$11</definedName>
    <definedName name="PEFIRE_1Q01" localSheetId="10">Tags!$L$11</definedName>
    <definedName name="PEFIRE_1Q01">Tags_ols!$L$11</definedName>
    <definedName name="PEFIRE_1Q02" localSheetId="10">Tags!$Q$11</definedName>
    <definedName name="PEFIRE_1Q02">Tags_ols!$Q$11</definedName>
    <definedName name="PEFIRE_1Q03" localSheetId="10">Tags!$V$11</definedName>
    <definedName name="PEFIRE_1Q03">Tags_ols!$V$11</definedName>
    <definedName name="PEFIRE_1Q04" localSheetId="10">Tags!$AA$11</definedName>
    <definedName name="PEFIRE_1Q04">Tags_ols!$AA$11</definedName>
    <definedName name="PEFIRE_1Q05" localSheetId="10">Tags!$AF$11</definedName>
    <definedName name="PEFIRE_1Q05">Tags_ols!$AF$11</definedName>
    <definedName name="PEFIRE_1Q06" localSheetId="10">Tags!$AK$11</definedName>
    <definedName name="PEFIRE_1Q06">Tags_ols!$AK$11</definedName>
    <definedName name="PEFIRE_1Q07" localSheetId="10">Tags!$AP$11</definedName>
    <definedName name="PEFIRE_1Q07">Tags_ols!$AP$11</definedName>
    <definedName name="PEFIRE_1Q08" localSheetId="10">Tags!$AU$11</definedName>
    <definedName name="PEFIRE_1Q08">Tags_ols!$AU$11</definedName>
    <definedName name="PEFIRE_1Q09" localSheetId="10">Tags!$AZ$11</definedName>
    <definedName name="PEFIRE_1Q09">Tags_ols!$AZ$11</definedName>
    <definedName name="PEFIRE_1Q10" localSheetId="10">Tags!$BE$11</definedName>
    <definedName name="PEFIRE_1Q10">Tags_ols!$BE$11</definedName>
    <definedName name="PEFIRE_1Q11" localSheetId="10">Tags!$BJ$11</definedName>
    <definedName name="PEFIRE_1Q11">Tags_ols!$BJ$11</definedName>
    <definedName name="PEFIRE_1Q12" localSheetId="10">Tags!$BO$11</definedName>
    <definedName name="PEFIRE_1Q12">Tags_ols!$BO$11</definedName>
    <definedName name="PEFIRE_1Q13" localSheetId="10">Tags!$BT$11</definedName>
    <definedName name="PEFIRE_1Q13">Tags_ols!$BT$11</definedName>
    <definedName name="PEFIRE_1Q14" localSheetId="10">Tags!$BY$11</definedName>
    <definedName name="PEFIRE_1Q14">Tags_ols!$BY$11</definedName>
    <definedName name="PEFIRE_1Q15" localSheetId="10">Tags!$CD$11</definedName>
    <definedName name="PEFIRE_1Q15">Tags_ols!$CD$11</definedName>
    <definedName name="PEFIRE_1Q16" localSheetId="10">Tags!$CI$11</definedName>
    <definedName name="PEFIRE_1Q16">Tags_ols!$CI$11</definedName>
    <definedName name="PEFIRE_1Q17" localSheetId="10">Tags!$CN$11</definedName>
    <definedName name="PEFIRE_1Q17">Tags_ols!$CN$11</definedName>
    <definedName name="PEFIRE_1Q18" localSheetId="10">Tags!$CS$11</definedName>
    <definedName name="PEFIRE_1Q18">Tags_ols!$CS$11</definedName>
    <definedName name="PEFIRE_1Q19" localSheetId="10">Tags!$CX$11</definedName>
    <definedName name="PEFIRE_1Q19">Tags_ols!$CX$11</definedName>
    <definedName name="PEFIRE_1Q20" localSheetId="10">Tags!$DC$11</definedName>
    <definedName name="PEFIRE_1Q20">Tags_ols!$DC$11</definedName>
    <definedName name="PEFIRE_1Q21">Tags!$DH$11</definedName>
    <definedName name="PEFIRE_1Q22">Tags!$DM$11</definedName>
    <definedName name="PEFIRE_1Q23">Tags!$DR$11</definedName>
    <definedName name="PEFIRE_1Q24">Tags!$DW$11</definedName>
    <definedName name="PEFIRE_2000" localSheetId="10">Tags!$K$11</definedName>
    <definedName name="PEFIRE_2000">Tags_ols!$K$11</definedName>
    <definedName name="PEFIRE_2001" localSheetId="10">Tags!$P$11</definedName>
    <definedName name="PEFIRE_2001">Tags_ols!$P$11</definedName>
    <definedName name="PEFIRE_2002" localSheetId="10">Tags!$U$11</definedName>
    <definedName name="PEFIRE_2002">Tags_ols!$U$11</definedName>
    <definedName name="PEFIRE_2003" localSheetId="10">Tags!$Z$11</definedName>
    <definedName name="PEFIRE_2003">Tags_ols!$Z$11</definedName>
    <definedName name="PEFIRE_2004" localSheetId="10">Tags!$AE$11</definedName>
    <definedName name="PEFIRE_2004">Tags_ols!$AE$11</definedName>
    <definedName name="PEFIRE_2005" localSheetId="10">Tags!$AJ$11</definedName>
    <definedName name="PEFIRE_2005">Tags_ols!$AJ$11</definedName>
    <definedName name="PEFIRE_2006" localSheetId="10">Tags!$AO$11</definedName>
    <definedName name="PEFIRE_2006">Tags_ols!$AO$11</definedName>
    <definedName name="PEFIRE_2007" localSheetId="10">Tags!$AT$11</definedName>
    <definedName name="PEFIRE_2007">Tags_ols!$AT$11</definedName>
    <definedName name="PEFIRE_2008" localSheetId="10">Tags!$AY$11</definedName>
    <definedName name="PEFIRE_2008">Tags_ols!$AY$11</definedName>
    <definedName name="PEFIRE_2009" localSheetId="10">Tags!$BD$11</definedName>
    <definedName name="PEFIRE_2009">Tags_ols!$BD$11</definedName>
    <definedName name="PEFIRE_2010" localSheetId="10">Tags!$BI$11</definedName>
    <definedName name="PEFIRE_2010">Tags_ols!$BI$11</definedName>
    <definedName name="PEFIRE_2011" localSheetId="10">Tags!$BN$11</definedName>
    <definedName name="PEFIRE_2011">Tags_ols!$BN$11</definedName>
    <definedName name="PEFIRE_2012" localSheetId="10">Tags!$BS$11</definedName>
    <definedName name="PEFIRE_2012">Tags_ols!$BS$11</definedName>
    <definedName name="PEFIRE_2013" localSheetId="10">Tags!$BX$11</definedName>
    <definedName name="PEFIRE_2013">Tags_ols!$BX$11</definedName>
    <definedName name="PEFIRE_2014" localSheetId="10">Tags!$CC$11</definedName>
    <definedName name="PEFIRE_2014">Tags_ols!$CC$11</definedName>
    <definedName name="PEFIRE_2015" localSheetId="10">Tags!#REF!</definedName>
    <definedName name="PEFIRE_2015">Tags!$CH$11</definedName>
    <definedName name="PEFIRE_2016" localSheetId="10">Tags!$CM$11</definedName>
    <definedName name="PEFIRE_2016">Tags_ols!$CM$11</definedName>
    <definedName name="PEFIRE_2017" localSheetId="10">Tags!$CR$11</definedName>
    <definedName name="PEFIRE_2017">Tags_ols!$CR$11</definedName>
    <definedName name="PEFIRE_2018" localSheetId="10">Tags!$CW$11</definedName>
    <definedName name="PEFIRE_2018">Tags_ols!$CW$11</definedName>
    <definedName name="PEFIRE_2019" localSheetId="10">Tags!$DB$11</definedName>
    <definedName name="PEFIRE_2019">Tags_ols!$DB$11</definedName>
    <definedName name="PEFIRE_2020" localSheetId="10">Tags!$DG$11</definedName>
    <definedName name="PEFIRE_2020">Tags_ols!$DG$11</definedName>
    <definedName name="PEFIRE_2021">Tags!$DL$11</definedName>
    <definedName name="PEFIRE_2022">Tags!$DQ$11</definedName>
    <definedName name="PEFIRE_2023">Tags!$DV$11</definedName>
    <definedName name="PEFIRE_2024">Tags!$EA$11</definedName>
    <definedName name="PEFIRE_2Q00" localSheetId="10">Tags!$H$11</definedName>
    <definedName name="PEFIRE_2Q00">Tags_ols!$H$11</definedName>
    <definedName name="PEFIRE_2Q01" localSheetId="10">Tags!$M$11</definedName>
    <definedName name="PEFIRE_2Q01">Tags_ols!$M$11</definedName>
    <definedName name="PEFIRE_2Q02" localSheetId="10">Tags!$R$11</definedName>
    <definedName name="PEFIRE_2Q02">Tags_ols!$R$11</definedName>
    <definedName name="PEFIRE_2Q03" localSheetId="10">Tags!$W$11</definedName>
    <definedName name="PEFIRE_2Q03">Tags_ols!$W$11</definedName>
    <definedName name="PEFIRE_2Q04" localSheetId="10">Tags!$AB$11</definedName>
    <definedName name="PEFIRE_2Q04">Tags_ols!$AB$11</definedName>
    <definedName name="PEFIRE_2Q05" localSheetId="10">Tags!$AG$11</definedName>
    <definedName name="PEFIRE_2Q05">Tags_ols!$AG$11</definedName>
    <definedName name="PEFIRE_2Q06" localSheetId="10">Tags!$AL$11</definedName>
    <definedName name="PEFIRE_2Q06">Tags_ols!$AL$11</definedName>
    <definedName name="PEFIRE_2Q07" localSheetId="10">Tags!$AQ$11</definedName>
    <definedName name="PEFIRE_2Q07">Tags_ols!$AQ$11</definedName>
    <definedName name="PEFIRE_2Q08" localSheetId="10">Tags!$AV$11</definedName>
    <definedName name="PEFIRE_2Q08">Tags_ols!$AV$11</definedName>
    <definedName name="PEFIRE_2Q09" localSheetId="10">Tags!$BA$11</definedName>
    <definedName name="PEFIRE_2Q09">Tags_ols!$BA$11</definedName>
    <definedName name="PEFIRE_2Q10" localSheetId="10">Tags!$BF$11</definedName>
    <definedName name="PEFIRE_2Q10">Tags_ols!$BF$11</definedName>
    <definedName name="PEFIRE_2Q11" localSheetId="10">Tags!$BK$11</definedName>
    <definedName name="PEFIRE_2Q11">Tags_ols!$BK$11</definedName>
    <definedName name="PEFIRE_2Q12" localSheetId="10">Tags!$BP$11</definedName>
    <definedName name="PEFIRE_2Q12">Tags_ols!$BP$11</definedName>
    <definedName name="PEFIRE_2Q13" localSheetId="10">Tags!$BU$11</definedName>
    <definedName name="PEFIRE_2Q13">Tags_ols!$BU$11</definedName>
    <definedName name="PEFIRE_2Q14" localSheetId="10">Tags!$BZ$11</definedName>
    <definedName name="PEFIRE_2Q14">Tags_ols!$BZ$11</definedName>
    <definedName name="PEFIRE_2Q15" localSheetId="10">Tags!$CE$11</definedName>
    <definedName name="PEFIRE_2Q15">Tags_ols!$CE$11</definedName>
    <definedName name="PEFIRE_2Q16" localSheetId="10">Tags!$CJ$11</definedName>
    <definedName name="PEFIRE_2Q16">Tags_ols!$CJ$11</definedName>
    <definedName name="PEFIRE_2Q17" localSheetId="10">Tags!$CO$11</definedName>
    <definedName name="PEFIRE_2Q17">Tags_ols!$CO$11</definedName>
    <definedName name="PEFIRE_2Q18" localSheetId="10">Tags!$CT$11</definedName>
    <definedName name="PEFIRE_2Q18">Tags_ols!$CT$11</definedName>
    <definedName name="PEFIRE_2Q19" localSheetId="10">Tags!$CY$11</definedName>
    <definedName name="PEFIRE_2Q19">Tags_ols!$CY$11</definedName>
    <definedName name="PEFIRE_2Q20" localSheetId="10">Tags!$DD$11</definedName>
    <definedName name="PEFIRE_2Q20">Tags_ols!$DD$11</definedName>
    <definedName name="PEFIRE_2Q21">Tags!$DI$11</definedName>
    <definedName name="PEFIRE_2Q22">Tags!$DN$11</definedName>
    <definedName name="PEFIRE_2Q23">Tags!$DS$11</definedName>
    <definedName name="PEFIRE_2Q24">Tags!$DX$11</definedName>
    <definedName name="PEFIRE_3Q00" localSheetId="10">Tags!$I$11</definedName>
    <definedName name="PEFIRE_3Q00">Tags_ols!$I$11</definedName>
    <definedName name="PEFIRE_3Q01" localSheetId="10">Tags!$N$11</definedName>
    <definedName name="PEFIRE_3Q01">Tags_ols!$N$11</definedName>
    <definedName name="PEFIRE_3Q02" localSheetId="10">Tags!$S$11</definedName>
    <definedName name="PEFIRE_3Q02">Tags_ols!$S$11</definedName>
    <definedName name="PEFIRE_3Q03" localSheetId="10">Tags!$X$11</definedName>
    <definedName name="PEFIRE_3Q03">Tags_ols!$X$11</definedName>
    <definedName name="PEFIRE_3Q04" localSheetId="10">Tags!$AC$11</definedName>
    <definedName name="PEFIRE_3Q04">Tags_ols!$AC$11</definedName>
    <definedName name="PEFIRE_3Q05" localSheetId="10">Tags!$AH$11</definedName>
    <definedName name="PEFIRE_3Q05">Tags_ols!$AH$11</definedName>
    <definedName name="PEFIRE_3Q06" localSheetId="10">Tags!$AM$11</definedName>
    <definedName name="PEFIRE_3Q06">Tags_ols!$AM$11</definedName>
    <definedName name="PEFIRE_3Q07" localSheetId="10">Tags!$AR$11</definedName>
    <definedName name="PEFIRE_3Q07">Tags_ols!$AR$11</definedName>
    <definedName name="PEFIRE_3Q08" localSheetId="10">Tags!$AW$11</definedName>
    <definedName name="PEFIRE_3Q08">Tags_ols!$AW$11</definedName>
    <definedName name="PEFIRE_3Q09" localSheetId="10">Tags!$BB$11</definedName>
    <definedName name="PEFIRE_3Q09">Tags_ols!$BB$11</definedName>
    <definedName name="PEFIRE_3Q10" localSheetId="10">Tags!$BG$11</definedName>
    <definedName name="PEFIRE_3Q10">Tags_ols!$BG$11</definedName>
    <definedName name="PEFIRE_3Q11" localSheetId="10">Tags!$BL$11</definedName>
    <definedName name="PEFIRE_3Q11">Tags_ols!$BL$11</definedName>
    <definedName name="PEFIRE_3Q12" localSheetId="10">Tags!$BQ$11</definedName>
    <definedName name="PEFIRE_3Q12">Tags_ols!$BQ$11</definedName>
    <definedName name="PEFIRE_3Q13" localSheetId="10">Tags!$BV$11</definedName>
    <definedName name="PEFIRE_3Q13">Tags_ols!$BV$11</definedName>
    <definedName name="PEFIRE_3Q14" localSheetId="10">Tags!$CA$11</definedName>
    <definedName name="PEFIRE_3Q14">Tags_ols!$CA$11</definedName>
    <definedName name="PEFIRE_3Q15" localSheetId="10">Tags!$CF$11</definedName>
    <definedName name="PEFIRE_3Q15">Tags_ols!$CF$11</definedName>
    <definedName name="PEFIRE_3Q16" localSheetId="10">Tags!$CK$11</definedName>
    <definedName name="PEFIRE_3Q16">Tags_ols!$CK$11</definedName>
    <definedName name="PEFIRE_3Q17" localSheetId="10">Tags!$CP$11</definedName>
    <definedName name="PEFIRE_3Q17">Tags_ols!$CP$11</definedName>
    <definedName name="PEFIRE_3Q18" localSheetId="10">Tags!$CU$11</definedName>
    <definedName name="PEFIRE_3Q18">Tags_ols!$CU$11</definedName>
    <definedName name="PEFIRE_3Q19" localSheetId="10">Tags!$CZ$11</definedName>
    <definedName name="PEFIRE_3Q19">Tags_ols!$CZ$11</definedName>
    <definedName name="PEFIRE_3Q20" localSheetId="10">Tags!$DE$11</definedName>
    <definedName name="PEFIRE_3Q20">Tags_ols!$DE$11</definedName>
    <definedName name="PEFIRE_3Q21">Tags!$DJ$11</definedName>
    <definedName name="PEFIRE_3Q22">Tags!$DO$11</definedName>
    <definedName name="PEFIRE_3Q23">Tags!$DT$11</definedName>
    <definedName name="PEFIRE_3Q24">Tags!$DY$11</definedName>
    <definedName name="PEFIRE_4Q00" localSheetId="10">Tags!$J$11</definedName>
    <definedName name="PEFIRE_4Q00">Tags_ols!$J$11</definedName>
    <definedName name="PEFIRE_4Q01" localSheetId="10">Tags!$O$11</definedName>
    <definedName name="PEFIRE_4Q01">Tags_ols!$O$11</definedName>
    <definedName name="PEFIRE_4Q02" localSheetId="10">Tags!$T$11</definedName>
    <definedName name="PEFIRE_4Q02">Tags_ols!$T$11</definedName>
    <definedName name="PEFIRE_4Q03" localSheetId="10">Tags!$Y$11</definedName>
    <definedName name="PEFIRE_4Q03">Tags_ols!$Y$11</definedName>
    <definedName name="PEFIRE_4Q04" localSheetId="10">Tags!$AD$11</definedName>
    <definedName name="PEFIRE_4Q04">Tags_ols!$AD$11</definedName>
    <definedName name="PEFIRE_4Q05" localSheetId="10">Tags!$AI$11</definedName>
    <definedName name="PEFIRE_4Q05">Tags_ols!$AI$11</definedName>
    <definedName name="PEFIRE_4Q06" localSheetId="10">Tags!$AN$11</definedName>
    <definedName name="PEFIRE_4Q06">Tags_ols!$AN$11</definedName>
    <definedName name="PEFIRE_4Q07" localSheetId="10">Tags!$AS$11</definedName>
    <definedName name="PEFIRE_4Q07">Tags_ols!$AS$11</definedName>
    <definedName name="PEFIRE_4Q08" localSheetId="10">Tags!$AX$11</definedName>
    <definedName name="PEFIRE_4Q08">Tags_ols!$AX$11</definedName>
    <definedName name="PEFIRE_4Q09" localSheetId="10">Tags!$BC$11</definedName>
    <definedName name="PEFIRE_4Q09">Tags_ols!$BC$11</definedName>
    <definedName name="PEFIRE_4Q10" localSheetId="10">Tags!$BH$11</definedName>
    <definedName name="PEFIRE_4Q10">Tags_ols!$BH$11</definedName>
    <definedName name="PEFIRE_4Q11" localSheetId="10">Tags!$BM$11</definedName>
    <definedName name="PEFIRE_4Q11">Tags_ols!$BM$11</definedName>
    <definedName name="PEFIRE_4Q12" localSheetId="10">Tags!$BR$11</definedName>
    <definedName name="PEFIRE_4Q12">Tags_ols!$BR$11</definedName>
    <definedName name="PEFIRE_4Q13" localSheetId="10">Tags!$BW$11</definedName>
    <definedName name="PEFIRE_4Q13">Tags_ols!$BW$11</definedName>
    <definedName name="PEFIRE_4Q14" localSheetId="10">Tags!$CB$11</definedName>
    <definedName name="PEFIRE_4Q14">Tags_ols!$CB$11</definedName>
    <definedName name="PEFIRE_4Q15" localSheetId="10">Tags!$CG$11</definedName>
    <definedName name="PEFIRE_4Q15">Tags_ols!$CG$11</definedName>
    <definedName name="PEFIRE_4Q16" localSheetId="10">Tags!$CL$11</definedName>
    <definedName name="PEFIRE_4Q16">Tags_ols!$CL$11</definedName>
    <definedName name="PEFIRE_4Q17" localSheetId="10">Tags!$CQ$11</definedName>
    <definedName name="PEFIRE_4Q17">Tags_ols!$CQ$11</definedName>
    <definedName name="PEFIRE_4Q18" localSheetId="10">Tags!$CV$11</definedName>
    <definedName name="PEFIRE_4Q18">Tags_ols!$CV$11</definedName>
    <definedName name="PEFIRE_4Q19" localSheetId="10">Tags!$DA$11</definedName>
    <definedName name="PEFIRE_4Q19">Tags_ols!$DA$11</definedName>
    <definedName name="PEFIRE_4Q20" localSheetId="10">Tags!$DF$11</definedName>
    <definedName name="PEFIRE_4Q20">Tags_ols!$DF$11</definedName>
    <definedName name="PEFIRE_4Q21">Tags!$DK$11</definedName>
    <definedName name="PEFIRE_4Q22">Tags!$DP$11</definedName>
    <definedName name="PEFIRE_4Q23">Tags!$DU$11</definedName>
    <definedName name="PEFIRE_4Q24">Tags!$DZ$11</definedName>
    <definedName name="PERCOS_1995">Tags_ols!$B$51</definedName>
    <definedName name="PERCOS_1996">Tags_ols!$C$51</definedName>
    <definedName name="PERCOS_1997">Tags_ols!$D$51</definedName>
    <definedName name="PERCOS_1998">Tags_ols!$E$51</definedName>
    <definedName name="PERCOS_1999">Tags_ols!$F$51</definedName>
    <definedName name="PERCOS_1Q00" localSheetId="10">Tags!$G$51</definedName>
    <definedName name="PERCOS_1Q00">Tags_ols!$G$51</definedName>
    <definedName name="PERCOS_1Q01" localSheetId="10">Tags!$L$51</definedName>
    <definedName name="PERCOS_1Q01">Tags_ols!$L$51</definedName>
    <definedName name="PERCOS_1Q02" localSheetId="10">Tags!$Q$51</definedName>
    <definedName name="PERCOS_1Q02">Tags_ols!$Q$51</definedName>
    <definedName name="PERCOS_1Q03" localSheetId="10">Tags!$V$51</definedName>
    <definedName name="PERCOS_1Q03">Tags_ols!$V$51</definedName>
    <definedName name="PERCOS_1Q04" localSheetId="10">Tags!$AA$51</definedName>
    <definedName name="PERCOS_1Q04">Tags_ols!$AA$51</definedName>
    <definedName name="PERCOS_1Q05" localSheetId="10">Tags!$AF$51</definedName>
    <definedName name="PERCOS_1Q05">Tags_ols!$AF$51</definedName>
    <definedName name="PERCOS_1Q06" localSheetId="10">Tags!$AK$51</definedName>
    <definedName name="PERCOS_1Q06">Tags_ols!$AK$51</definedName>
    <definedName name="PERCOS_1Q07" localSheetId="10">Tags!$AP$51</definedName>
    <definedName name="PERCOS_1Q07">Tags_ols!$AP$51</definedName>
    <definedName name="PERCOS_1Q08" localSheetId="10">Tags!$AU$51</definedName>
    <definedName name="PERCOS_1Q08">Tags_ols!$AU$51</definedName>
    <definedName name="PERCOS_1Q09" localSheetId="10">Tags!$AZ$51</definedName>
    <definedName name="PERCOS_1Q09">Tags_ols!$AZ$51</definedName>
    <definedName name="PERCOS_1Q10" localSheetId="10">Tags!$BE$51</definedName>
    <definedName name="PERCOS_1Q10">Tags_ols!$BE$51</definedName>
    <definedName name="PERCOS_1Q11" localSheetId="10">Tags!$BJ$51</definedName>
    <definedName name="PERCOS_1Q11">Tags_ols!$BJ$51</definedName>
    <definedName name="PERCOS_1Q12" localSheetId="10">Tags!$BO$51</definedName>
    <definedName name="PERCOS_1Q12">Tags_ols!$BO$51</definedName>
    <definedName name="PERCOS_1Q13" localSheetId="10">Tags!$BT$51</definedName>
    <definedName name="PERCOS_1Q13">Tags_ols!$BT$51</definedName>
    <definedName name="PERCOS_1Q14" localSheetId="10">Tags!$BY$51</definedName>
    <definedName name="PERCOS_1Q14">Tags_ols!$BY$51</definedName>
    <definedName name="PERCOS_1Q15" localSheetId="10">Tags!$CD$51</definedName>
    <definedName name="PERCOS_1Q15">Tags_ols!$CD$51</definedName>
    <definedName name="PERCOS_1Q16" localSheetId="10">Tags!$CI$51</definedName>
    <definedName name="PERCOS_1Q16">Tags_ols!$CI$51</definedName>
    <definedName name="PERCOS_1Q17" localSheetId="10">Tags!$CN$51</definedName>
    <definedName name="PERCOS_1Q17">Tags_ols!$CN$51</definedName>
    <definedName name="PERCOS_1Q18" localSheetId="10">Tags!$CS$51</definedName>
    <definedName name="PERCOS_1Q18">Tags_ols!$CS$51</definedName>
    <definedName name="PERCOS_1Q19" localSheetId="10">Tags!$CX$51</definedName>
    <definedName name="PERCOS_1Q19">Tags_ols!$CX$51</definedName>
    <definedName name="PERCOS_1Q20" localSheetId="10">Tags!$DC$51</definedName>
    <definedName name="PERCOS_1Q20">Tags_ols!$DC$51</definedName>
    <definedName name="PERCOS_1Q21">Tags!$DH$51</definedName>
    <definedName name="PERCOS_1Q22">Tags!$DM$51</definedName>
    <definedName name="PERCOS_1Q23">Tags!$DR$51</definedName>
    <definedName name="PERCOS_1Q24">Tags!$DW$51</definedName>
    <definedName name="PERCOS_2000" localSheetId="10">Tags!$K$51</definedName>
    <definedName name="PERCOS_2000">Tags_ols!$K$51</definedName>
    <definedName name="PERCOS_2001" localSheetId="10">Tags!$P$51</definedName>
    <definedName name="PERCOS_2001">Tags_ols!$P$51</definedName>
    <definedName name="PERCOS_2002" localSheetId="10">Tags!$U$51</definedName>
    <definedName name="PERCOS_2002">Tags_ols!$U$51</definedName>
    <definedName name="PERCOS_2003" localSheetId="10">Tags!$Z$51</definedName>
    <definedName name="PERCOS_2003">Tags_ols!$Z$51</definedName>
    <definedName name="PERCOS_2004" localSheetId="10">Tags!$AE$51</definedName>
    <definedName name="PERCOS_2004">Tags_ols!$AE$51</definedName>
    <definedName name="PERCOS_2005" localSheetId="10">Tags!$AJ$51</definedName>
    <definedName name="PERCOS_2005">Tags_ols!$AJ$51</definedName>
    <definedName name="PERCOS_2006" localSheetId="10">Tags!$AO$51</definedName>
    <definedName name="PERCOS_2006">Tags_ols!$AO$51</definedName>
    <definedName name="PERCOS_2007" localSheetId="10">Tags!$AT$51</definedName>
    <definedName name="PERCOS_2007">Tags_ols!$AT$51</definedName>
    <definedName name="PERCOS_2008" localSheetId="10">Tags!$AY$51</definedName>
    <definedName name="PERCOS_2008">Tags_ols!$AY$51</definedName>
    <definedName name="PERCOS_2009" localSheetId="10">Tags!$BD$51</definedName>
    <definedName name="PERCOS_2009">Tags_ols!$BD$51</definedName>
    <definedName name="PERCOS_2010" localSheetId="10">Tags!$BI$51</definedName>
    <definedName name="PERCOS_2010">Tags_ols!$BI$51</definedName>
    <definedName name="PERCOS_2011" localSheetId="10">Tags!$BN$51</definedName>
    <definedName name="PERCOS_2011">Tags_ols!$BN$51</definedName>
    <definedName name="PERCOS_2012" localSheetId="10">Tags!$BS$51</definedName>
    <definedName name="PERCOS_2012">Tags_ols!$BS$51</definedName>
    <definedName name="PERCOS_2013" localSheetId="10">Tags!$BX$51</definedName>
    <definedName name="PERCOS_2013">Tags_ols!$BX$51</definedName>
    <definedName name="PERCOS_2014" localSheetId="10">Tags!$CC$51</definedName>
    <definedName name="PERCOS_2014">Tags_ols!$CC$51</definedName>
    <definedName name="PERCOS_2015" localSheetId="10">Tags!#REF!</definedName>
    <definedName name="PERCOS_2015">Tags!$CH$51</definedName>
    <definedName name="PERCOS_2016" localSheetId="10">Tags!$CM$51</definedName>
    <definedName name="PERCOS_2016">Tags_ols!$CM$51</definedName>
    <definedName name="PERCOS_2017" localSheetId="10">Tags!$CR$51</definedName>
    <definedName name="PERCOS_2017">Tags_ols!$CR$51</definedName>
    <definedName name="PERCOS_2018" localSheetId="10">Tags!$CW$51</definedName>
    <definedName name="PERCOS_2018">Tags_ols!$CW$51</definedName>
    <definedName name="PERCOS_2019" localSheetId="10">Tags!$DB$51</definedName>
    <definedName name="PERCOS_2019">Tags_ols!$DB$51</definedName>
    <definedName name="PERCOS_2020" localSheetId="10">Tags!$DG$51</definedName>
    <definedName name="PERCOS_2020">Tags_ols!$DG$51</definedName>
    <definedName name="PERCOS_2021">Tags!$DL$51</definedName>
    <definedName name="PERCOS_2022">Tags!$DQ$51</definedName>
    <definedName name="PERCOS_2023">Tags!$DV$51</definedName>
    <definedName name="PERCOS_2024">Tags!$EA$51</definedName>
    <definedName name="PERCOS_2Q00" localSheetId="10">Tags!$H$51</definedName>
    <definedName name="PERCOS_2Q00">Tags_ols!$H$51</definedName>
    <definedName name="PERCOS_2Q01" localSheetId="10">Tags!$M$51</definedName>
    <definedName name="PERCOS_2Q01">Tags_ols!$M$51</definedName>
    <definedName name="PERCOS_2Q02" localSheetId="10">Tags!$R$51</definedName>
    <definedName name="PERCOS_2Q02">Tags_ols!$R$51</definedName>
    <definedName name="PERCOS_2Q03" localSheetId="10">Tags!$W$51</definedName>
    <definedName name="PERCOS_2Q03">Tags_ols!$W$51</definedName>
    <definedName name="PERCOS_2Q04" localSheetId="10">Tags!$AB$51</definedName>
    <definedName name="PERCOS_2Q04">Tags_ols!$AB$51</definedName>
    <definedName name="PERCOS_2Q05" localSheetId="10">Tags!$AG$51</definedName>
    <definedName name="PERCOS_2Q05">Tags_ols!$AG$51</definedName>
    <definedName name="PERCOS_2Q06" localSheetId="10">Tags!$AL$51</definedName>
    <definedName name="PERCOS_2Q06">Tags_ols!$AL$51</definedName>
    <definedName name="PERCOS_2Q07" localSheetId="10">Tags!$AQ$51</definedName>
    <definedName name="PERCOS_2Q07">Tags_ols!$AQ$51</definedName>
    <definedName name="PERCOS_2Q08" localSheetId="10">Tags!$AV$51</definedName>
    <definedName name="PERCOS_2Q08">Tags_ols!$AV$51</definedName>
    <definedName name="PERCOS_2Q09" localSheetId="10">Tags!$BA$51</definedName>
    <definedName name="PERCOS_2Q09">Tags_ols!$BA$51</definedName>
    <definedName name="PERCOS_2Q10" localSheetId="10">Tags!$BF$51</definedName>
    <definedName name="PERCOS_2Q10">Tags_ols!$BF$51</definedName>
    <definedName name="PERCOS_2Q11" localSheetId="10">Tags!$BK$51</definedName>
    <definedName name="PERCOS_2Q11">Tags_ols!$BK$51</definedName>
    <definedName name="PERCOS_2Q12" localSheetId="10">Tags!$BP$51</definedName>
    <definedName name="PERCOS_2Q12">Tags_ols!$BP$51</definedName>
    <definedName name="PERCOS_2Q13" localSheetId="10">Tags!$BU$51</definedName>
    <definedName name="PERCOS_2Q13">Tags_ols!$BU$51</definedName>
    <definedName name="PERCOS_2Q14" localSheetId="10">Tags!$BZ$51</definedName>
    <definedName name="PERCOS_2Q14">Tags_ols!$BZ$51</definedName>
    <definedName name="PERCOS_2Q15" localSheetId="10">Tags!$CE$51</definedName>
    <definedName name="PERCOS_2Q15">Tags_ols!$CE$51</definedName>
    <definedName name="PERCOS_2Q16" localSheetId="10">Tags!$CJ$51</definedName>
    <definedName name="PERCOS_2Q16">Tags_ols!$CJ$51</definedName>
    <definedName name="PERCOS_2Q17" localSheetId="10">Tags!$CO$51</definedName>
    <definedName name="PERCOS_2Q17">Tags_ols!$CO$51</definedName>
    <definedName name="PERCOS_2Q18" localSheetId="10">Tags!$CT$51</definedName>
    <definedName name="PERCOS_2Q18">Tags_ols!$CT$51</definedName>
    <definedName name="PERCOS_2Q19" localSheetId="10">Tags!$CY$51</definedName>
    <definedName name="PERCOS_2Q19">Tags_ols!$CY$51</definedName>
    <definedName name="PERCOS_2Q20" localSheetId="10">Tags!$DD$51</definedName>
    <definedName name="PERCOS_2Q20">Tags_ols!$DD$51</definedName>
    <definedName name="PERCOS_2Q21">Tags!$DI$51</definedName>
    <definedName name="PERCOS_2Q22">Tags!$DN$51</definedName>
    <definedName name="PERCOS_2Q23">Tags!$DS$51</definedName>
    <definedName name="PERCOS_2Q24">Tags!$DX$51</definedName>
    <definedName name="PERCOS_3Q00" localSheetId="10">Tags!$I$51</definedName>
    <definedName name="PERCOS_3Q00">Tags_ols!$I$51</definedName>
    <definedName name="PERCOS_3Q01" localSheetId="10">Tags!$N$51</definedName>
    <definedName name="PERCOS_3Q01">Tags_ols!$N$51</definedName>
    <definedName name="PERCOS_3Q02" localSheetId="10">Tags!$S$51</definedName>
    <definedName name="PERCOS_3Q02">Tags_ols!$S$51</definedName>
    <definedName name="PERCOS_3Q03" localSheetId="10">Tags!$X$51</definedName>
    <definedName name="PERCOS_3Q03">Tags_ols!$X$51</definedName>
    <definedName name="PERCOS_3Q04" localSheetId="10">Tags!$AC$51</definedName>
    <definedName name="PERCOS_3Q04">Tags_ols!$AC$51</definedName>
    <definedName name="PERCOS_3Q05" localSheetId="10">Tags!$AH$51</definedName>
    <definedName name="PERCOS_3Q05">Tags_ols!$AH$51</definedName>
    <definedName name="PERCOS_3Q06" localSheetId="10">Tags!$AM$51</definedName>
    <definedName name="PERCOS_3Q06">Tags_ols!$AM$51</definedName>
    <definedName name="PERCOS_3Q07" localSheetId="10">Tags!$AR$51</definedName>
    <definedName name="PERCOS_3Q07">Tags_ols!$AR$51</definedName>
    <definedName name="PERCOS_3Q08" localSheetId="10">Tags!$AW$51</definedName>
    <definedName name="PERCOS_3Q08">Tags_ols!$AW$51</definedName>
    <definedName name="PERCOS_3Q09" localSheetId="10">Tags!$BB$51</definedName>
    <definedName name="PERCOS_3Q09">Tags_ols!$BB$51</definedName>
    <definedName name="PERCOS_3Q10" localSheetId="10">Tags!$BG$51</definedName>
    <definedName name="PERCOS_3Q10">Tags_ols!$BG$51</definedName>
    <definedName name="PERCOS_3Q11" localSheetId="10">Tags!$BL$51</definedName>
    <definedName name="PERCOS_3Q11">Tags_ols!$BL$51</definedName>
    <definedName name="PERCOS_3Q12" localSheetId="10">Tags!$BQ$51</definedName>
    <definedName name="PERCOS_3Q12">Tags_ols!$BQ$51</definedName>
    <definedName name="PERCOS_3Q13" localSheetId="10">Tags!$BV$51</definedName>
    <definedName name="PERCOS_3Q13">Tags_ols!$BV$51</definedName>
    <definedName name="PERCOS_3Q14" localSheetId="10">Tags!$CA$51</definedName>
    <definedName name="PERCOS_3Q14">Tags_ols!$CA$51</definedName>
    <definedName name="PERCOS_3Q15" localSheetId="10">Tags!$CF$51</definedName>
    <definedName name="PERCOS_3Q15">Tags_ols!$CF$51</definedName>
    <definedName name="PERCOS_3Q16" localSheetId="10">Tags!$CK$51</definedName>
    <definedName name="PERCOS_3Q16">Tags_ols!$CK$51</definedName>
    <definedName name="PERCOS_3Q17" localSheetId="10">Tags!$CP$51</definedName>
    <definedName name="PERCOS_3Q17">Tags_ols!$CP$51</definedName>
    <definedName name="PERCOS_3Q18" localSheetId="10">Tags!$CU$51</definedName>
    <definedName name="PERCOS_3Q18">Tags_ols!$CU$51</definedName>
    <definedName name="PERCOS_3Q19" localSheetId="10">Tags!$CZ$51</definedName>
    <definedName name="PERCOS_3Q19">Tags_ols!$CZ$51</definedName>
    <definedName name="PERCOS_3Q20" localSheetId="10">Tags!$DE$51</definedName>
    <definedName name="PERCOS_3Q20">Tags_ols!$DE$51</definedName>
    <definedName name="PERCOS_3Q21">Tags!$DJ$51</definedName>
    <definedName name="PERCOS_3Q22">Tags!$DO$51</definedName>
    <definedName name="PERCOS_3Q23">Tags!$DT$51</definedName>
    <definedName name="PERCOS_3Q24">Tags!$DY$51</definedName>
    <definedName name="PERCOS_4Q00" localSheetId="10">Tags!$J$51</definedName>
    <definedName name="PERCOS_4Q00">Tags_ols!$J$51</definedName>
    <definedName name="PERCOS_4Q01" localSheetId="10">Tags!$O$51</definedName>
    <definedName name="PERCOS_4Q01">Tags_ols!$O$51</definedName>
    <definedName name="PERCOS_4Q02" localSheetId="10">Tags!$T$51</definedName>
    <definedName name="PERCOS_4Q02">Tags_ols!$T$51</definedName>
    <definedName name="PERCOS_4Q03" localSheetId="10">Tags!$Y$51</definedName>
    <definedName name="PERCOS_4Q03">Tags_ols!$Y$51</definedName>
    <definedName name="PERCOS_4Q04" localSheetId="10">Tags!$AD$51</definedName>
    <definedName name="PERCOS_4Q04">Tags_ols!$AD$51</definedName>
    <definedName name="PERCOS_4Q05" localSheetId="10">Tags!$AI$51</definedName>
    <definedName name="PERCOS_4Q05">Tags_ols!$AI$51</definedName>
    <definedName name="PERCOS_4Q06" localSheetId="10">Tags!$AN$51</definedName>
    <definedName name="PERCOS_4Q06">Tags_ols!$AN$51</definedName>
    <definedName name="PERCOS_4Q07" localSheetId="10">Tags!$AS$51</definedName>
    <definedName name="PERCOS_4Q07">Tags_ols!$AS$51</definedName>
    <definedName name="PERCOS_4Q08" localSheetId="10">Tags!$AX$51</definedName>
    <definedName name="PERCOS_4Q08">Tags_ols!$AX$51</definedName>
    <definedName name="PERCOS_4Q09" localSheetId="10">Tags!$BC$51</definedName>
    <definedName name="PERCOS_4Q09">Tags_ols!$BC$51</definedName>
    <definedName name="PERCOS_4Q10" localSheetId="10">Tags!$BH$51</definedName>
    <definedName name="PERCOS_4Q10">Tags_ols!$BH$51</definedName>
    <definedName name="PERCOS_4Q11" localSheetId="10">Tags!$BM$51</definedName>
    <definedName name="PERCOS_4Q11">Tags_ols!$BM$51</definedName>
    <definedName name="PERCOS_4Q12" localSheetId="10">Tags!$BR$51</definedName>
    <definedName name="PERCOS_4Q12">Tags_ols!$BR$51</definedName>
    <definedName name="PERCOS_4Q13" localSheetId="10">Tags!$BW$51</definedName>
    <definedName name="PERCOS_4Q13">Tags_ols!$BW$51</definedName>
    <definedName name="PERCOS_4Q14" localSheetId="10">Tags!$CB$51</definedName>
    <definedName name="PERCOS_4Q14">Tags_ols!$CB$51</definedName>
    <definedName name="PERCOS_4Q15" localSheetId="10">Tags!$CG$51</definedName>
    <definedName name="PERCOS_4Q15">Tags_ols!$CG$51</definedName>
    <definedName name="PERCOS_4Q16" localSheetId="10">Tags!$CL$51</definedName>
    <definedName name="PERCOS_4Q16">Tags_ols!$CL$51</definedName>
    <definedName name="PERCOS_4Q17" localSheetId="10">Tags!$CQ$51</definedName>
    <definedName name="PERCOS_4Q17">Tags_ols!$CQ$51</definedName>
    <definedName name="PERCOS_4Q18" localSheetId="10">Tags!$CV$51</definedName>
    <definedName name="PERCOS_4Q18">Tags_ols!$CV$51</definedName>
    <definedName name="PERCOS_4Q19" localSheetId="10">Tags!$DA$51</definedName>
    <definedName name="PERCOS_4Q19">Tags_ols!$DA$51</definedName>
    <definedName name="PERCOS_4Q20" localSheetId="10">Tags!$DF$51</definedName>
    <definedName name="PERCOS_4Q20">Tags_ols!$DF$51</definedName>
    <definedName name="PERCOS_4Q21">Tags!$DK$51</definedName>
    <definedName name="PERCOS_4Q22">Tags!$DP$51</definedName>
    <definedName name="PERCOS_4Q23">Tags!$DU$51</definedName>
    <definedName name="PERCOS_4Q24">Tags!$DZ$51</definedName>
    <definedName name="PerEndDateSerial" localSheetId="5">#REF!</definedName>
    <definedName name="PerEndDateSerial">#REF!</definedName>
    <definedName name="Pie" localSheetId="9">Word</definedName>
    <definedName name="Pie" localSheetId="5">Word</definedName>
    <definedName name="Pie">Word</definedName>
    <definedName name="PPtMatrix">#REF!</definedName>
    <definedName name="Pre_Tax_Income" localSheetId="5">#REF!</definedName>
    <definedName name="Pre_Tax_Income">#REF!</definedName>
    <definedName name="PREFDV_1995">Tags_ols!$B$21</definedName>
    <definedName name="PREFDV_1996">Tags_ols!$C$21</definedName>
    <definedName name="PREFDV_1997">Tags_ols!$D$21</definedName>
    <definedName name="PREFDV_1998">Tags_ols!$E$21</definedName>
    <definedName name="PREFDV_1999">Tags_ols!$F$21</definedName>
    <definedName name="PREFDV_1Q00" localSheetId="10">Tags!$G$21</definedName>
    <definedName name="PREFDV_1Q00">Tags_ols!$G$21</definedName>
    <definedName name="PREFDV_1Q01" localSheetId="10">Tags!$L$21</definedName>
    <definedName name="PREFDV_1Q01">Tags_ols!$L$21</definedName>
    <definedName name="PREFDV_1Q02" localSheetId="10">Tags!$Q$21</definedName>
    <definedName name="PREFDV_1Q02">Tags_ols!$Q$21</definedName>
    <definedName name="PREFDV_1Q03" localSheetId="10">Tags!$V$21</definedName>
    <definedName name="PREFDV_1Q03">Tags_ols!$V$21</definedName>
    <definedName name="PREFDV_1Q04" localSheetId="10">Tags!$AA$21</definedName>
    <definedName name="PREFDV_1Q04">Tags_ols!$AA$21</definedName>
    <definedName name="PREFDV_1Q05" localSheetId="10">Tags!$AF$21</definedName>
    <definedName name="PREFDV_1Q05">Tags_ols!$AF$21</definedName>
    <definedName name="PREFDV_1Q06" localSheetId="10">Tags!$AK$21</definedName>
    <definedName name="PREFDV_1Q06">Tags_ols!$AK$21</definedName>
    <definedName name="PREFDV_1Q07" localSheetId="10">Tags!$AP$21</definedName>
    <definedName name="PREFDV_1Q07">Tags_ols!$AP$21</definedName>
    <definedName name="PREFDV_1Q08" localSheetId="10">Tags!$AU$21</definedName>
    <definedName name="PREFDV_1Q08">Tags_ols!$AU$21</definedName>
    <definedName name="PREFDV_1Q09" localSheetId="10">Tags!$AZ$21</definedName>
    <definedName name="PREFDV_1Q09">Tags_ols!$AZ$21</definedName>
    <definedName name="PREFDV_1Q10" localSheetId="10">Tags!$BE$21</definedName>
    <definedName name="PREFDV_1Q10">Tags_ols!$BE$21</definedName>
    <definedName name="PREFDV_1Q11" localSheetId="10">Tags!$BJ$21</definedName>
    <definedName name="PREFDV_1Q11">Tags_ols!$BJ$21</definedName>
    <definedName name="PREFDV_1Q12" localSheetId="10">Tags!$BO$21</definedName>
    <definedName name="PREFDV_1Q12">Tags_ols!$BO$21</definedName>
    <definedName name="PREFDV_1Q13" localSheetId="10">Tags!$BT$21</definedName>
    <definedName name="PREFDV_1Q13">Tags_ols!$BT$21</definedName>
    <definedName name="PREFDV_1Q14" localSheetId="10">Tags!$BY$21</definedName>
    <definedName name="PREFDV_1Q14">Tags_ols!$BY$21</definedName>
    <definedName name="PREFDV_1Q15" localSheetId="10">Tags!$CD$21</definedName>
    <definedName name="PREFDV_1Q15">Tags_ols!$CD$21</definedName>
    <definedName name="PREFDV_1Q16" localSheetId="10">Tags!$CI$21</definedName>
    <definedName name="PREFDV_1Q16">Tags_ols!$CI$21</definedName>
    <definedName name="PREFDV_1Q17" localSheetId="10">Tags!$CN$21</definedName>
    <definedName name="PREFDV_1Q17">Tags_ols!$CN$21</definedName>
    <definedName name="PREFDV_1Q18" localSheetId="10">Tags!$CS$21</definedName>
    <definedName name="PREFDV_1Q18">Tags_ols!$CS$21</definedName>
    <definedName name="PREFDV_1Q19" localSheetId="10">Tags!$CX$21</definedName>
    <definedName name="PREFDV_1Q19">Tags_ols!$CX$21</definedName>
    <definedName name="PREFDV_1Q20" localSheetId="10">Tags!$DC$21</definedName>
    <definedName name="PREFDV_1Q20">Tags_ols!$DC$21</definedName>
    <definedName name="PREFDV_1Q21">Tags!$DH$21</definedName>
    <definedName name="PREFDV_1Q22">Tags!$DM$21</definedName>
    <definedName name="PREFDV_1Q23">Tags!$DR$21</definedName>
    <definedName name="PREFDV_1Q24">Tags!$DW$21</definedName>
    <definedName name="PREFDV_2000" localSheetId="10">Tags!$K$21</definedName>
    <definedName name="PREFDV_2000">Tags_ols!$K$21</definedName>
    <definedName name="PREFDV_2001" localSheetId="10">Tags!$P$21</definedName>
    <definedName name="PREFDV_2001">Tags_ols!$P$21</definedName>
    <definedName name="PREFDV_2002" localSheetId="10">Tags!$U$21</definedName>
    <definedName name="PREFDV_2002">Tags_ols!$U$21</definedName>
    <definedName name="PREFDV_2003" localSheetId="10">Tags!$Z$21</definedName>
    <definedName name="PREFDV_2003">Tags_ols!$Z$21</definedName>
    <definedName name="PREFDV_2004" localSheetId="10">Tags!$AE$21</definedName>
    <definedName name="PREFDV_2004">Tags_ols!$AE$21</definedName>
    <definedName name="PREFDV_2005" localSheetId="10">Tags!$AJ$21</definedName>
    <definedName name="PREFDV_2005">Tags_ols!$AJ$21</definedName>
    <definedName name="PREFDV_2006" localSheetId="10">Tags!$AO$21</definedName>
    <definedName name="PREFDV_2006">Tags_ols!$AO$21</definedName>
    <definedName name="PREFDV_2007" localSheetId="10">Tags!$AT$21</definedName>
    <definedName name="PREFDV_2007">Tags_ols!$AT$21</definedName>
    <definedName name="PREFDV_2008" localSheetId="10">Tags!$AY$21</definedName>
    <definedName name="PREFDV_2008">Tags_ols!$AY$21</definedName>
    <definedName name="PREFDV_2009" localSheetId="10">Tags!$BD$21</definedName>
    <definedName name="PREFDV_2009">Tags_ols!$BD$21</definedName>
    <definedName name="PREFDV_2010" localSheetId="10">Tags!$BI$21</definedName>
    <definedName name="PREFDV_2010">Tags_ols!$BI$21</definedName>
    <definedName name="PREFDV_2011" localSheetId="10">Tags!$BN$21</definedName>
    <definedName name="PREFDV_2011">Tags_ols!$BN$21</definedName>
    <definedName name="PREFDV_2012" localSheetId="10">Tags!$BS$21</definedName>
    <definedName name="PREFDV_2012">Tags_ols!$BS$21</definedName>
    <definedName name="PREFDV_2013" localSheetId="10">Tags!$BX$21</definedName>
    <definedName name="PREFDV_2013">Tags_ols!$BX$21</definedName>
    <definedName name="PREFDV_2014" localSheetId="10">Tags!$CC$21</definedName>
    <definedName name="PREFDV_2014">Tags_ols!$CC$21</definedName>
    <definedName name="PREFDV_2015" localSheetId="10">Tags!#REF!</definedName>
    <definedName name="PREFDV_2015">Tags!$CH$21</definedName>
    <definedName name="PREFDV_2016" localSheetId="10">Tags!$CM$21</definedName>
    <definedName name="PREFDV_2016">Tags_ols!$CM$21</definedName>
    <definedName name="PREFDV_2017" localSheetId="10">Tags!$CR$21</definedName>
    <definedName name="PREFDV_2017">Tags_ols!$CR$21</definedName>
    <definedName name="PREFDV_2018" localSheetId="10">Tags!$CW$21</definedName>
    <definedName name="PREFDV_2018">Tags_ols!$CW$21</definedName>
    <definedName name="PREFDV_2019" localSheetId="10">Tags!$DB$21</definedName>
    <definedName name="PREFDV_2019">Tags_ols!$DB$21</definedName>
    <definedName name="PREFDV_2020" localSheetId="10">Tags!$DG$21</definedName>
    <definedName name="PREFDV_2020">Tags_ols!$DG$21</definedName>
    <definedName name="PREFDV_2021">Tags!$DL$21</definedName>
    <definedName name="PREFDV_2022">Tags!$DQ$21</definedName>
    <definedName name="PREFDV_2023">Tags!$DV$21</definedName>
    <definedName name="PREFDV_2024">Tags!$EA$21</definedName>
    <definedName name="PREFDV_2Q00" localSheetId="10">Tags!$H$21</definedName>
    <definedName name="PREFDV_2Q00">Tags_ols!$H$21</definedName>
    <definedName name="PREFDV_2Q01" localSheetId="10">Tags!$M$21</definedName>
    <definedName name="PREFDV_2Q01">Tags_ols!$M$21</definedName>
    <definedName name="PREFDV_2Q02" localSheetId="10">Tags!$R$21</definedName>
    <definedName name="PREFDV_2Q02">Tags_ols!$R$21</definedName>
    <definedName name="PREFDV_2Q03" localSheetId="10">Tags!$W$21</definedName>
    <definedName name="PREFDV_2Q03">Tags_ols!$W$21</definedName>
    <definedName name="PREFDV_2Q04" localSheetId="10">Tags!$AB$21</definedName>
    <definedName name="PREFDV_2Q04">Tags_ols!$AB$21</definedName>
    <definedName name="PREFDV_2Q05" localSheetId="10">Tags!$AG$21</definedName>
    <definedName name="PREFDV_2Q05">Tags_ols!$AG$21</definedName>
    <definedName name="PREFDV_2Q06" localSheetId="10">Tags!$AL$21</definedName>
    <definedName name="PREFDV_2Q06">Tags_ols!$AL$21</definedName>
    <definedName name="PREFDV_2Q07" localSheetId="10">Tags!$AQ$21</definedName>
    <definedName name="PREFDV_2Q07">Tags_ols!$AQ$21</definedName>
    <definedName name="PREFDV_2Q08" localSheetId="10">Tags!$AV$21</definedName>
    <definedName name="PREFDV_2Q08">Tags_ols!$AV$21</definedName>
    <definedName name="PREFDV_2Q09" localSheetId="10">Tags!$BA$21</definedName>
    <definedName name="PREFDV_2Q09">Tags_ols!$BA$21</definedName>
    <definedName name="PREFDV_2Q10" localSheetId="10">Tags!$BF$21</definedName>
    <definedName name="PREFDV_2Q10">Tags_ols!$BF$21</definedName>
    <definedName name="PREFDV_2Q11" localSheetId="10">Tags!$BK$21</definedName>
    <definedName name="PREFDV_2Q11">Tags_ols!$BK$21</definedName>
    <definedName name="PREFDV_2Q12" localSheetId="10">Tags!$BP$21</definedName>
    <definedName name="PREFDV_2Q12">Tags_ols!$BP$21</definedName>
    <definedName name="PREFDV_2Q13" localSheetId="10">Tags!$BU$21</definedName>
    <definedName name="PREFDV_2Q13">Tags_ols!$BU$21</definedName>
    <definedName name="PREFDV_2Q14" localSheetId="10">Tags!$BZ$21</definedName>
    <definedName name="PREFDV_2Q14">Tags_ols!$BZ$21</definedName>
    <definedName name="PREFDV_2Q15" localSheetId="10">Tags!$CE$21</definedName>
    <definedName name="PREFDV_2Q15">Tags_ols!$CE$21</definedName>
    <definedName name="PREFDV_2Q16" localSheetId="10">Tags!$CJ$21</definedName>
    <definedName name="PREFDV_2Q16">Tags_ols!$CJ$21</definedName>
    <definedName name="PREFDV_2Q17" localSheetId="10">Tags!$CO$21</definedName>
    <definedName name="PREFDV_2Q17">Tags_ols!$CO$21</definedName>
    <definedName name="PREFDV_2Q18" localSheetId="10">Tags!$CT$21</definedName>
    <definedName name="PREFDV_2Q18">Tags_ols!$CT$21</definedName>
    <definedName name="PREFDV_2Q19" localSheetId="10">Tags!$CY$21</definedName>
    <definedName name="PREFDV_2Q19">Tags_ols!$CY$21</definedName>
    <definedName name="PREFDV_2Q20" localSheetId="10">Tags!$DD$21</definedName>
    <definedName name="PREFDV_2Q20">Tags_ols!$DD$21</definedName>
    <definedName name="PREFDV_2Q21">Tags!$DI$21</definedName>
    <definedName name="PREFDV_2Q22">Tags!$DN$21</definedName>
    <definedName name="PREFDV_2Q23">Tags!$DS$21</definedName>
    <definedName name="PREFDV_2Q24">Tags!$DX$21</definedName>
    <definedName name="PREFDV_3Q00" localSheetId="10">Tags!$I$21</definedName>
    <definedName name="PREFDV_3Q00">Tags_ols!$I$21</definedName>
    <definedName name="PREFDV_3Q01" localSheetId="10">Tags!$N$21</definedName>
    <definedName name="PREFDV_3Q01">Tags_ols!$N$21</definedName>
    <definedName name="PREFDV_3Q02" localSheetId="10">Tags!$S$21</definedName>
    <definedName name="PREFDV_3Q02">Tags_ols!$S$21</definedName>
    <definedName name="PREFDV_3Q03" localSheetId="10">Tags!$X$21</definedName>
    <definedName name="PREFDV_3Q03">Tags_ols!$X$21</definedName>
    <definedName name="PREFDV_3Q04" localSheetId="10">Tags!$AC$21</definedName>
    <definedName name="PREFDV_3Q04">Tags_ols!$AC$21</definedName>
    <definedName name="PREFDV_3Q05" localSheetId="10">Tags!$AH$21</definedName>
    <definedName name="PREFDV_3Q05">Tags_ols!$AH$21</definedName>
    <definedName name="PREFDV_3Q06" localSheetId="10">Tags!$AM$21</definedName>
    <definedName name="PREFDV_3Q06">Tags_ols!$AM$21</definedName>
    <definedName name="PREFDV_3Q07" localSheetId="10">Tags!$AR$21</definedName>
    <definedName name="PREFDV_3Q07">Tags_ols!$AR$21</definedName>
    <definedName name="PREFDV_3Q08" localSheetId="10">Tags!$AW$21</definedName>
    <definedName name="PREFDV_3Q08">Tags_ols!$AW$21</definedName>
    <definedName name="PREFDV_3Q09" localSheetId="10">Tags!$BB$21</definedName>
    <definedName name="PREFDV_3Q09">Tags_ols!$BB$21</definedName>
    <definedName name="PREFDV_3Q10" localSheetId="10">Tags!$BG$21</definedName>
    <definedName name="PREFDV_3Q10">Tags_ols!$BG$21</definedName>
    <definedName name="PREFDV_3Q11" localSheetId="10">Tags!$BL$21</definedName>
    <definedName name="PREFDV_3Q11">Tags_ols!$BL$21</definedName>
    <definedName name="PREFDV_3Q12" localSheetId="10">Tags!$BQ$21</definedName>
    <definedName name="PREFDV_3Q12">Tags_ols!$BQ$21</definedName>
    <definedName name="PREFDV_3Q13" localSheetId="10">Tags!$BV$21</definedName>
    <definedName name="PREFDV_3Q13">Tags_ols!$BV$21</definedName>
    <definedName name="PREFDV_3Q14" localSheetId="10">Tags!$CA$21</definedName>
    <definedName name="PREFDV_3Q14">Tags_ols!$CA$21</definedName>
    <definedName name="PREFDV_3Q15" localSheetId="10">Tags!$CF$21</definedName>
    <definedName name="PREFDV_3Q15">Tags_ols!$CF$21</definedName>
    <definedName name="PREFDV_3Q16" localSheetId="10">Tags!$CK$21</definedName>
    <definedName name="PREFDV_3Q16">Tags_ols!$CK$21</definedName>
    <definedName name="PREFDV_3Q17" localSheetId="10">Tags!$CP$21</definedName>
    <definedName name="PREFDV_3Q17">Tags_ols!$CP$21</definedName>
    <definedName name="PREFDV_3Q18" localSheetId="10">Tags!$CU$21</definedName>
    <definedName name="PREFDV_3Q18">Tags_ols!$CU$21</definedName>
    <definedName name="PREFDV_3Q19" localSheetId="10">Tags!$CZ$21</definedName>
    <definedName name="PREFDV_3Q19">Tags_ols!$CZ$21</definedName>
    <definedName name="PREFDV_3Q20" localSheetId="10">Tags!$DE$21</definedName>
    <definedName name="PREFDV_3Q20">Tags_ols!$DE$21</definedName>
    <definedName name="PREFDV_3Q21">Tags!$DJ$21</definedName>
    <definedName name="PREFDV_3Q22">Tags!$DO$21</definedName>
    <definedName name="PREFDV_3Q23">Tags!$DT$21</definedName>
    <definedName name="PREFDV_3Q24">Tags!$DY$21</definedName>
    <definedName name="PREFDV_4Q00" localSheetId="10">Tags!$J$21</definedName>
    <definedName name="PREFDV_4Q00">Tags_ols!$J$21</definedName>
    <definedName name="PREFDV_4Q01" localSheetId="10">Tags!$O$21</definedName>
    <definedName name="PREFDV_4Q01">Tags_ols!$O$21</definedName>
    <definedName name="PREFDV_4Q02" localSheetId="10">Tags!$T$21</definedName>
    <definedName name="PREFDV_4Q02">Tags_ols!$T$21</definedName>
    <definedName name="PREFDV_4Q03" localSheetId="10">Tags!$Y$21</definedName>
    <definedName name="PREFDV_4Q03">Tags_ols!$Y$21</definedName>
    <definedName name="PREFDV_4Q04" localSheetId="10">Tags!$AD$21</definedName>
    <definedName name="PREFDV_4Q04">Tags_ols!$AD$21</definedName>
    <definedName name="PREFDV_4Q05" localSheetId="10">Tags!$AI$21</definedName>
    <definedName name="PREFDV_4Q05">Tags_ols!$AI$21</definedName>
    <definedName name="PREFDV_4Q06" localSheetId="10">Tags!$AN$21</definedName>
    <definedName name="PREFDV_4Q06">Tags_ols!$AN$21</definedName>
    <definedName name="PREFDV_4Q07" localSheetId="10">Tags!$AS$21</definedName>
    <definedName name="PREFDV_4Q07">Tags_ols!$AS$21</definedName>
    <definedName name="PREFDV_4Q08" localSheetId="10">Tags!$AX$21</definedName>
    <definedName name="PREFDV_4Q08">Tags_ols!$AX$21</definedName>
    <definedName name="PREFDV_4Q09" localSheetId="10">Tags!$BC$21</definedName>
    <definedName name="PREFDV_4Q09">Tags_ols!$BC$21</definedName>
    <definedName name="PREFDV_4Q10" localSheetId="10">Tags!$BH$21</definedName>
    <definedName name="PREFDV_4Q10">Tags_ols!$BH$21</definedName>
    <definedName name="PREFDV_4Q11" localSheetId="10">Tags!$BM$21</definedName>
    <definedName name="PREFDV_4Q11">Tags_ols!$BM$21</definedName>
    <definedName name="PREFDV_4Q12" localSheetId="10">Tags!$BR$21</definedName>
    <definedName name="PREFDV_4Q12">Tags_ols!$BR$21</definedName>
    <definedName name="PREFDV_4Q13" localSheetId="10">Tags!$BW$21</definedName>
    <definedName name="PREFDV_4Q13">Tags_ols!$BW$21</definedName>
    <definedName name="PREFDV_4Q14" localSheetId="10">Tags!$CB$21</definedName>
    <definedName name="PREFDV_4Q14">Tags_ols!$CB$21</definedName>
    <definedName name="PREFDV_4Q15" localSheetId="10">Tags!$CG$21</definedName>
    <definedName name="PREFDV_4Q15">Tags_ols!$CG$21</definedName>
    <definedName name="PREFDV_4Q16" localSheetId="10">Tags!$CL$21</definedName>
    <definedName name="PREFDV_4Q16">Tags_ols!$CL$21</definedName>
    <definedName name="PREFDV_4Q17" localSheetId="10">Tags!$CQ$21</definedName>
    <definedName name="PREFDV_4Q17">Tags_ols!$CQ$21</definedName>
    <definedName name="PREFDV_4Q18" localSheetId="10">Tags!$CV$21</definedName>
    <definedName name="PREFDV_4Q18">Tags_ols!$CV$21</definedName>
    <definedName name="PREFDV_4Q19" localSheetId="10">Tags!$DA$21</definedName>
    <definedName name="PREFDV_4Q19">Tags_ols!$DA$21</definedName>
    <definedName name="PREFDV_4Q20" localSheetId="10">Tags!$DF$21</definedName>
    <definedName name="PREFDV_4Q20">Tags_ols!$DF$21</definedName>
    <definedName name="PREFDV_4Q21">Tags!$DK$21</definedName>
    <definedName name="PREFDV_4Q22">Tags!$DP$21</definedName>
    <definedName name="PREFDV_4Q23">Tags!$DU$21</definedName>
    <definedName name="PREFDV_4Q24">Tags!$DZ$21</definedName>
    <definedName name="PREFSC_1995">Tags_ols!$B$170</definedName>
    <definedName name="PREFSC_1996">Tags_ols!$C$170</definedName>
    <definedName name="PREFSC_1997">Tags_ols!$D$170</definedName>
    <definedName name="PREFSC_1998">Tags_ols!$E$170</definedName>
    <definedName name="PREFSC_1999">Tags_ols!$F$170</definedName>
    <definedName name="PREFSC_1Q00" localSheetId="10">Tags!$G$170</definedName>
    <definedName name="PREFSC_1Q00">Tags_ols!$G$170</definedName>
    <definedName name="PREFSC_1Q01" localSheetId="10">Tags!$L$170</definedName>
    <definedName name="PREFSC_1Q01">Tags_ols!$L$170</definedName>
    <definedName name="PREFSC_1Q02" localSheetId="10">Tags!$Q$170</definedName>
    <definedName name="PREFSC_1Q02">Tags_ols!$Q$170</definedName>
    <definedName name="PREFSC_1Q03" localSheetId="10">Tags!$V$170</definedName>
    <definedName name="PREFSC_1Q03">Tags_ols!$V$170</definedName>
    <definedName name="PREFSC_1Q04" localSheetId="10">Tags!$AA$170</definedName>
    <definedName name="PREFSC_1Q04">Tags_ols!$AA$170</definedName>
    <definedName name="PREFSC_1Q05" localSheetId="10">Tags!$AF$170</definedName>
    <definedName name="PREFSC_1Q05">Tags_ols!$AF$170</definedName>
    <definedName name="PREFSC_1Q06" localSheetId="10">Tags!$AK$170</definedName>
    <definedName name="PREFSC_1Q06">Tags_ols!$AK$170</definedName>
    <definedName name="PREFSC_1Q07" localSheetId="10">Tags!$AP$170</definedName>
    <definedName name="PREFSC_1Q07">Tags_ols!$AP$170</definedName>
    <definedName name="PREFSC_1Q08" localSheetId="10">Tags!$AU$170</definedName>
    <definedName name="PREFSC_1Q08">Tags_ols!$AU$170</definedName>
    <definedName name="PREFSC_1Q09" localSheetId="10">Tags!$AZ$170</definedName>
    <definedName name="PREFSC_1Q09">Tags_ols!$AZ$170</definedName>
    <definedName name="PREFSC_1Q10" localSheetId="10">Tags!$BE$170</definedName>
    <definedName name="PREFSC_1Q10">Tags_ols!$BE$170</definedName>
    <definedName name="PREFSC_1Q11" localSheetId="10">Tags!$BJ$170</definedName>
    <definedName name="PREFSC_1Q11">Tags_ols!$BJ$170</definedName>
    <definedName name="PREFSC_1Q12" localSheetId="10">Tags!$BO$170</definedName>
    <definedName name="PREFSC_1Q12">Tags_ols!$BO$170</definedName>
    <definedName name="PREFSC_1Q13" localSheetId="10">Tags!$BT$170</definedName>
    <definedName name="PREFSC_1Q13">Tags_ols!$BT$170</definedName>
    <definedName name="PREFSC_1Q14" localSheetId="10">Tags!$BY$170</definedName>
    <definedName name="PREFSC_1Q14">Tags_ols!$BY$170</definedName>
    <definedName name="PREFSC_1Q15" localSheetId="10">Tags!$CD$170</definedName>
    <definedName name="PREFSC_1Q15">Tags_ols!$CD$170</definedName>
    <definedName name="PREFSC_1Q16" localSheetId="10">Tags!$CI$170</definedName>
    <definedName name="PREFSC_1Q16">Tags_ols!$CI$170</definedName>
    <definedName name="PREFSC_1Q17" localSheetId="10">Tags!$CN$170</definedName>
    <definedName name="PREFSC_1Q17">Tags_ols!$CN$170</definedName>
    <definedName name="PREFSC_1Q18" localSheetId="10">Tags!$CS$170</definedName>
    <definedName name="PREFSC_1Q18">Tags_ols!$CS$170</definedName>
    <definedName name="PREFSC_1Q19" localSheetId="10">Tags!$CX$170</definedName>
    <definedName name="PREFSC_1Q19">Tags_ols!$CX$170</definedName>
    <definedName name="PREFSC_1Q20" localSheetId="10">Tags!$DC$170</definedName>
    <definedName name="PREFSC_1Q20">Tags_ols!$DC$170</definedName>
    <definedName name="PREFSC_1Q21">Tags!$DH$170</definedName>
    <definedName name="PREFSC_1Q22">Tags!$DM$170</definedName>
    <definedName name="PREFSC_1Q23">Tags!$DR$170</definedName>
    <definedName name="PREFSC_1Q24">Tags!$DW$170</definedName>
    <definedName name="PREFSC_2000" localSheetId="10">Tags!$K$170</definedName>
    <definedName name="PREFSC_2000">Tags_ols!$K$170</definedName>
    <definedName name="PREFSC_2001" localSheetId="10">Tags!$P$170</definedName>
    <definedName name="PREFSC_2001">Tags_ols!$P$170</definedName>
    <definedName name="PREFSC_2002" localSheetId="10">Tags!$U$170</definedName>
    <definedName name="PREFSC_2002">Tags_ols!$U$170</definedName>
    <definedName name="PREFSC_2003" localSheetId="10">Tags!$Z$170</definedName>
    <definedName name="PREFSC_2003">Tags_ols!$Z$170</definedName>
    <definedName name="PREFSC_2004" localSheetId="10">Tags!$AE$170</definedName>
    <definedName name="PREFSC_2004">Tags_ols!$AE$170</definedName>
    <definedName name="PREFSC_2005" localSheetId="10">Tags!$AJ$170</definedName>
    <definedName name="PREFSC_2005">Tags_ols!$AJ$170</definedName>
    <definedName name="PREFSC_2006" localSheetId="10">Tags!$AO$170</definedName>
    <definedName name="PREFSC_2006">Tags_ols!$AO$170</definedName>
    <definedName name="PREFSC_2007" localSheetId="10">Tags!$AT$170</definedName>
    <definedName name="PREFSC_2007">Tags_ols!$AT$170</definedName>
    <definedName name="PREFSC_2008" localSheetId="10">Tags!$AY$170</definedName>
    <definedName name="PREFSC_2008">Tags_ols!$AY$170</definedName>
    <definedName name="PREFSC_2009" localSheetId="10">Tags!$BD$170</definedName>
    <definedName name="PREFSC_2009">Tags_ols!$BD$170</definedName>
    <definedName name="PREFSC_2010" localSheetId="10">Tags!$BI$170</definedName>
    <definedName name="PREFSC_2010">Tags_ols!$BI$170</definedName>
    <definedName name="PREFSC_2011" localSheetId="10">Tags!$BN$170</definedName>
    <definedName name="PREFSC_2011">Tags_ols!$BN$170</definedName>
    <definedName name="PREFSC_2012" localSheetId="10">Tags!$BS$170</definedName>
    <definedName name="PREFSC_2012">Tags_ols!$BS$170</definedName>
    <definedName name="PREFSC_2013" localSheetId="10">Tags!$BX$170</definedName>
    <definedName name="PREFSC_2013">Tags_ols!$BX$170</definedName>
    <definedName name="PREFSC_2014" localSheetId="10">Tags!$CC$170</definedName>
    <definedName name="PREFSC_2014">Tags_ols!$CC$170</definedName>
    <definedName name="PREFSC_2015" localSheetId="10">Tags!#REF!</definedName>
    <definedName name="PREFSC_2015">Tags!$CH$170</definedName>
    <definedName name="PREFSC_2016" localSheetId="10">Tags!$CM$170</definedName>
    <definedName name="PREFSC_2016">Tags_ols!$CM$170</definedName>
    <definedName name="PREFSC_2017" localSheetId="10">Tags!$CR$170</definedName>
    <definedName name="PREFSC_2017">Tags_ols!$CR$170</definedName>
    <definedName name="PREFSC_2018" localSheetId="10">Tags!$CW$170</definedName>
    <definedName name="PREFSC_2018">Tags_ols!$CW$170</definedName>
    <definedName name="PREFSC_2019" localSheetId="10">Tags!$DB$170</definedName>
    <definedName name="PREFSC_2019">Tags_ols!$DB$170</definedName>
    <definedName name="PREFSC_2020" localSheetId="10">Tags!$DG$170</definedName>
    <definedName name="PREFSC_2020">Tags_ols!$DG$170</definedName>
    <definedName name="PREFSC_2021">Tags!$DL$170</definedName>
    <definedName name="PREFSC_2022">Tags!$DQ$170</definedName>
    <definedName name="PREFSC_2023">Tags!$DV$170</definedName>
    <definedName name="PREFSC_2024">Tags!$EA$170</definedName>
    <definedName name="PREFSC_2Q00" localSheetId="10">Tags!$H$170</definedName>
    <definedName name="PREFSC_2Q00">Tags_ols!$H$170</definedName>
    <definedName name="PREFSC_2Q01" localSheetId="10">Tags!$M$170</definedName>
    <definedName name="PREFSC_2Q01">Tags_ols!$M$170</definedName>
    <definedName name="PREFSC_2Q02" localSheetId="10">Tags!$R$170</definedName>
    <definedName name="PREFSC_2Q02">Tags_ols!$R$170</definedName>
    <definedName name="PREFSC_2Q03" localSheetId="10">Tags!$W$170</definedName>
    <definedName name="PREFSC_2Q03">Tags_ols!$W$170</definedName>
    <definedName name="PREFSC_2Q04" localSheetId="10">Tags!$AB$170</definedName>
    <definedName name="PREFSC_2Q04">Tags_ols!$AB$170</definedName>
    <definedName name="PREFSC_2Q05" localSheetId="10">Tags!$AG$170</definedName>
    <definedName name="PREFSC_2Q05">Tags_ols!$AG$170</definedName>
    <definedName name="PREFSC_2Q06" localSheetId="10">Tags!$AL$170</definedName>
    <definedName name="PREFSC_2Q06">Tags_ols!$AL$170</definedName>
    <definedName name="PREFSC_2Q07" localSheetId="10">Tags!$AQ$170</definedName>
    <definedName name="PREFSC_2Q07">Tags_ols!$AQ$170</definedName>
    <definedName name="PREFSC_2Q08" localSheetId="10">Tags!$AV$170</definedName>
    <definedName name="PREFSC_2Q08">Tags_ols!$AV$170</definedName>
    <definedName name="PREFSC_2Q09" localSheetId="10">Tags!$BA$170</definedName>
    <definedName name="PREFSC_2Q09">Tags_ols!$BA$170</definedName>
    <definedName name="PREFSC_2Q10" localSheetId="10">Tags!$BF$170</definedName>
    <definedName name="PREFSC_2Q10">Tags_ols!$BF$170</definedName>
    <definedName name="PREFSC_2Q11" localSheetId="10">Tags!$BK$170</definedName>
    <definedName name="PREFSC_2Q11">Tags_ols!$BK$170</definedName>
    <definedName name="PREFSC_2Q12" localSheetId="10">Tags!$BP$170</definedName>
    <definedName name="PREFSC_2Q12">Tags_ols!$BP$170</definedName>
    <definedName name="PREFSC_2Q13" localSheetId="10">Tags!$BU$170</definedName>
    <definedName name="PREFSC_2Q13">Tags_ols!$BU$170</definedName>
    <definedName name="PREFSC_2Q14" localSheetId="10">Tags!$BZ$170</definedName>
    <definedName name="PREFSC_2Q14">Tags_ols!$BZ$170</definedName>
    <definedName name="PREFSC_2Q15" localSheetId="10">Tags!$CE$170</definedName>
    <definedName name="PREFSC_2Q15">Tags_ols!$CE$170</definedName>
    <definedName name="PREFSC_2Q16" localSheetId="10">Tags!$CJ$170</definedName>
    <definedName name="PREFSC_2Q16">Tags_ols!$CJ$170</definedName>
    <definedName name="PREFSC_2Q17" localSheetId="10">Tags!$CO$170</definedName>
    <definedName name="PREFSC_2Q17">Tags_ols!$CO$170</definedName>
    <definedName name="PREFSC_2Q18" localSheetId="10">Tags!$CT$170</definedName>
    <definedName name="PREFSC_2Q18">Tags_ols!$CT$170</definedName>
    <definedName name="PREFSC_2Q19" localSheetId="10">Tags!$CY$170</definedName>
    <definedName name="PREFSC_2Q19">Tags_ols!$CY$170</definedName>
    <definedName name="PREFSC_2Q20" localSheetId="10">Tags!$DD$170</definedName>
    <definedName name="PREFSC_2Q20">Tags_ols!$DD$170</definedName>
    <definedName name="PREFSC_2Q21">Tags!$DI$170</definedName>
    <definedName name="PREFSC_2Q22">Tags!$DN$170</definedName>
    <definedName name="PREFSC_2Q23">Tags!$DS$170</definedName>
    <definedName name="PREFSC_2Q24">Tags!$DX$170</definedName>
    <definedName name="PREFSC_3Q00" localSheetId="10">Tags!$I$170</definedName>
    <definedName name="PREFSC_3Q00">Tags_ols!$I$170</definedName>
    <definedName name="PREFSC_3Q01" localSheetId="10">Tags!$N$170</definedName>
    <definedName name="PREFSC_3Q01">Tags_ols!$N$170</definedName>
    <definedName name="PREFSC_3Q02" localSheetId="10">Tags!$S$170</definedName>
    <definedName name="PREFSC_3Q02">Tags_ols!$S$170</definedName>
    <definedName name="PREFSC_3Q03" localSheetId="10">Tags!$X$170</definedName>
    <definedName name="PREFSC_3Q03">Tags_ols!$X$170</definedName>
    <definedName name="PREFSC_3Q04" localSheetId="10">Tags!$AC$170</definedName>
    <definedName name="PREFSC_3Q04">Tags_ols!$AC$170</definedName>
    <definedName name="PREFSC_3Q05" localSheetId="10">Tags!$AH$170</definedName>
    <definedName name="PREFSC_3Q05">Tags_ols!$AH$170</definedName>
    <definedName name="PREFSC_3Q06" localSheetId="10">Tags!$AM$170</definedName>
    <definedName name="PREFSC_3Q06">Tags_ols!$AM$170</definedName>
    <definedName name="PREFSC_3Q07" localSheetId="10">Tags!$AR$170</definedName>
    <definedName name="PREFSC_3Q07">Tags_ols!$AR$170</definedName>
    <definedName name="PREFSC_3Q08" localSheetId="10">Tags!$AW$170</definedName>
    <definedName name="PREFSC_3Q08">Tags_ols!$AW$170</definedName>
    <definedName name="PREFSC_3Q09" localSheetId="10">Tags!$BB$170</definedName>
    <definedName name="PREFSC_3Q09">Tags_ols!$BB$170</definedName>
    <definedName name="PREFSC_3Q10" localSheetId="10">Tags!$BG$170</definedName>
    <definedName name="PREFSC_3Q10">Tags_ols!$BG$170</definedName>
    <definedName name="PREFSC_3Q11" localSheetId="10">Tags!$BL$170</definedName>
    <definedName name="PREFSC_3Q11">Tags_ols!$BL$170</definedName>
    <definedName name="PREFSC_3Q12" localSheetId="10">Tags!$BQ$170</definedName>
    <definedName name="PREFSC_3Q12">Tags_ols!$BQ$170</definedName>
    <definedName name="PREFSC_3Q13" localSheetId="10">Tags!$BV$170</definedName>
    <definedName name="PREFSC_3Q13">Tags_ols!$BV$170</definedName>
    <definedName name="PREFSC_3Q14" localSheetId="10">Tags!$CA$170</definedName>
    <definedName name="PREFSC_3Q14">Tags_ols!$CA$170</definedName>
    <definedName name="PREFSC_3Q15" localSheetId="10">Tags!$CF$170</definedName>
    <definedName name="PREFSC_3Q15">Tags_ols!$CF$170</definedName>
    <definedName name="PREFSC_3Q16" localSheetId="10">Tags!$CK$170</definedName>
    <definedName name="PREFSC_3Q16">Tags_ols!$CK$170</definedName>
    <definedName name="PREFSC_3Q17" localSheetId="10">Tags!$CP$170</definedName>
    <definedName name="PREFSC_3Q17">Tags_ols!$CP$170</definedName>
    <definedName name="PREFSC_3Q18" localSheetId="10">Tags!$CU$170</definedName>
    <definedName name="PREFSC_3Q18">Tags_ols!$CU$170</definedName>
    <definedName name="PREFSC_3Q19" localSheetId="10">Tags!$CZ$170</definedName>
    <definedName name="PREFSC_3Q19">Tags_ols!$CZ$170</definedName>
    <definedName name="PREFSC_3Q20" localSheetId="10">Tags!$DE$170</definedName>
    <definedName name="PREFSC_3Q20">Tags_ols!$DE$170</definedName>
    <definedName name="PREFSC_3Q21">Tags!$DJ$170</definedName>
    <definedName name="PREFSC_3Q22">Tags!$DO$170</definedName>
    <definedName name="PREFSC_3Q23">Tags!$DT$170</definedName>
    <definedName name="PREFSC_3Q24">Tags!$DY$170</definedName>
    <definedName name="PREFSC_4Q00" localSheetId="10">Tags!$J$170</definedName>
    <definedName name="PREFSC_4Q00">Tags_ols!$J$170</definedName>
    <definedName name="PREFSC_4Q01" localSheetId="10">Tags!$O$170</definedName>
    <definedName name="PREFSC_4Q01">Tags_ols!$O$170</definedName>
    <definedName name="PREFSC_4Q02" localSheetId="10">Tags!$T$170</definedName>
    <definedName name="PREFSC_4Q02">Tags_ols!$T$170</definedName>
    <definedName name="PREFSC_4Q03" localSheetId="10">Tags!$Y$170</definedName>
    <definedName name="PREFSC_4Q03">Tags_ols!$Y$170</definedName>
    <definedName name="PREFSC_4Q04" localSheetId="10">Tags!$AD$170</definedName>
    <definedName name="PREFSC_4Q04">Tags_ols!$AD$170</definedName>
    <definedName name="PREFSC_4Q05" localSheetId="10">Tags!$AI$170</definedName>
    <definedName name="PREFSC_4Q05">Tags_ols!$AI$170</definedName>
    <definedName name="PREFSC_4Q06" localSheetId="10">Tags!$AN$170</definedName>
    <definedName name="PREFSC_4Q06">Tags_ols!$AN$170</definedName>
    <definedName name="PREFSC_4Q07" localSheetId="10">Tags!$AS$170</definedName>
    <definedName name="PREFSC_4Q07">Tags_ols!$AS$170</definedName>
    <definedName name="PREFSC_4Q08" localSheetId="10">Tags!$AX$170</definedName>
    <definedName name="PREFSC_4Q08">Tags_ols!$AX$170</definedName>
    <definedName name="PREFSC_4Q09" localSheetId="10">Tags!$BC$170</definedName>
    <definedName name="PREFSC_4Q09">Tags_ols!$BC$170</definedName>
    <definedName name="PREFSC_4Q10" localSheetId="10">Tags!$BH$170</definedName>
    <definedName name="PREFSC_4Q10">Tags_ols!$BH$170</definedName>
    <definedName name="PREFSC_4Q11" localSheetId="10">Tags!$BM$170</definedName>
    <definedName name="PREFSC_4Q11">Tags_ols!$BM$170</definedName>
    <definedName name="PREFSC_4Q12" localSheetId="10">Tags!$BR$170</definedName>
    <definedName name="PREFSC_4Q12">Tags_ols!$BR$170</definedName>
    <definedName name="PREFSC_4Q13" localSheetId="10">Tags!$BW$170</definedName>
    <definedName name="PREFSC_4Q13">Tags_ols!$BW$170</definedName>
    <definedName name="PREFSC_4Q14" localSheetId="10">Tags!$CB$170</definedName>
    <definedName name="PREFSC_4Q14">Tags_ols!$CB$170</definedName>
    <definedName name="PREFSC_4Q15" localSheetId="10">Tags!$CG$170</definedName>
    <definedName name="PREFSC_4Q15">Tags_ols!$CG$170</definedName>
    <definedName name="PREFSC_4Q16" localSheetId="10">Tags!$CL$170</definedName>
    <definedName name="PREFSC_4Q16">Tags_ols!$CL$170</definedName>
    <definedName name="PREFSC_4Q17" localSheetId="10">Tags!$CQ$170</definedName>
    <definedName name="PREFSC_4Q17">Tags_ols!$CQ$170</definedName>
    <definedName name="PREFSC_4Q18" localSheetId="10">Tags!$CV$170</definedName>
    <definedName name="PREFSC_4Q18">Tags_ols!$CV$170</definedName>
    <definedName name="PREFSC_4Q19" localSheetId="10">Tags!$DA$170</definedName>
    <definedName name="PREFSC_4Q19">Tags_ols!$DA$170</definedName>
    <definedName name="PREFSC_4Q20" localSheetId="10">Tags!$DF$170</definedName>
    <definedName name="PREFSC_4Q20">Tags_ols!$DF$170</definedName>
    <definedName name="PREFSC_4Q21">Tags!$DK$170</definedName>
    <definedName name="PREFSC_4Q22">Tags!$DP$170</definedName>
    <definedName name="PREFSC_4Q23">Tags!$DU$170</definedName>
    <definedName name="PREFSC_4Q24">Tags!$DZ$170</definedName>
    <definedName name="PreTax_Income_Adj" localSheetId="5">#REF!</definedName>
    <definedName name="PreTax_Income_Adj">#REF!</definedName>
    <definedName name="_xlnm.Print_Area" localSheetId="2">'Balance Sheet'!$A$2:$BN$57</definedName>
    <definedName name="_xlnm.Print_Area" localSheetId="3">Forecasts!$A$3:$BI$53</definedName>
    <definedName name="_xlnm.Print_Area" localSheetId="1">'Income Statement'!$A$2:$BN$75</definedName>
    <definedName name="_xlnm.Print_Area">#REF!</definedName>
    <definedName name="PrintGraph">#REF!</definedName>
    <definedName name="PrintTitle1">#REF!</definedName>
    <definedName name="ProImportExport.ImportFile" localSheetId="9">Tags_ols!ProImportExport.ImportFile</definedName>
    <definedName name="ProImportExport.ImportFile" localSheetId="5">'TP Calculation'!ProImportExport.ImportFile</definedName>
    <definedName name="ProImportExport.ImportFile">Tags_ols!ProImportExport.ImportFile</definedName>
    <definedName name="ProImportExport.SaveNewFile" localSheetId="9">Tags_ols!ProImportExport.SaveNewFile</definedName>
    <definedName name="ProImportExport.SaveNewFile" localSheetId="5">'TP Calculation'!ProImportExport.SaveNewFile</definedName>
    <definedName name="ProImportExport.SaveNewFile">Tags_ols!ProImportExport.SaveNewFile</definedName>
    <definedName name="ProjectName">#REF!</definedName>
    <definedName name="PROVBL_1995">Tags_ols!$B$167</definedName>
    <definedName name="PROVBL_1996">Tags_ols!$C$167</definedName>
    <definedName name="PROVBL_1997">Tags_ols!$D$167</definedName>
    <definedName name="PROVBL_1998">Tags_ols!$E$167</definedName>
    <definedName name="PROVBL_1999">Tags_ols!$F$167</definedName>
    <definedName name="PROVBL_1Q00" localSheetId="10">Tags!$G$167</definedName>
    <definedName name="PROVBL_1Q00">Tags_ols!$G$167</definedName>
    <definedName name="PROVBL_1Q01" localSheetId="10">Tags!$L$167</definedName>
    <definedName name="PROVBL_1Q01">Tags_ols!$L$167</definedName>
    <definedName name="PROVBL_1Q02" localSheetId="10">Tags!$Q$167</definedName>
    <definedName name="PROVBL_1Q02">Tags_ols!$Q$167</definedName>
    <definedName name="PROVBL_1Q03" localSheetId="10">Tags!$V$167</definedName>
    <definedName name="PROVBL_1Q03">Tags_ols!$V$167</definedName>
    <definedName name="PROVBL_1Q04" localSheetId="10">Tags!$AA$167</definedName>
    <definedName name="PROVBL_1Q04">Tags_ols!$AA$167</definedName>
    <definedName name="PROVBL_1Q05" localSheetId="10">Tags!$AF$167</definedName>
    <definedName name="PROVBL_1Q05">Tags_ols!$AF$167</definedName>
    <definedName name="PROVBL_1Q06" localSheetId="10">Tags!$AK$167</definedName>
    <definedName name="PROVBL_1Q06">Tags_ols!$AK$167</definedName>
    <definedName name="PROVBL_1Q07" localSheetId="10">Tags!$AP$167</definedName>
    <definedName name="PROVBL_1Q07">Tags_ols!$AP$167</definedName>
    <definedName name="PROVBL_1Q08" localSheetId="10">Tags!$AU$167</definedName>
    <definedName name="PROVBL_1Q08">Tags_ols!$AU$167</definedName>
    <definedName name="PROVBL_1Q09" localSheetId="10">Tags!$AZ$167</definedName>
    <definedName name="PROVBL_1Q09">Tags_ols!$AZ$167</definedName>
    <definedName name="PROVBL_1Q10" localSheetId="10">Tags!$BE$167</definedName>
    <definedName name="PROVBL_1Q10">Tags_ols!$BE$167</definedName>
    <definedName name="PROVBL_1Q11" localSheetId="10">Tags!$BJ$167</definedName>
    <definedName name="PROVBL_1Q11">Tags_ols!$BJ$167</definedName>
    <definedName name="PROVBL_1Q12" localSheetId="10">Tags!$BO$167</definedName>
    <definedName name="PROVBL_1Q12">Tags_ols!$BO$167</definedName>
    <definedName name="PROVBL_1Q13" localSheetId="10">Tags!$BT$167</definedName>
    <definedName name="PROVBL_1Q13">Tags_ols!$BT$167</definedName>
    <definedName name="PROVBL_1Q14" localSheetId="10">Tags!$BY$167</definedName>
    <definedName name="PROVBL_1Q14">Tags_ols!$BY$167</definedName>
    <definedName name="PROVBL_1Q15" localSheetId="10">Tags!$CD$167</definedName>
    <definedName name="PROVBL_1Q15">Tags_ols!$CD$167</definedName>
    <definedName name="PROVBL_1Q16" localSheetId="10">Tags!$CI$167</definedName>
    <definedName name="PROVBL_1Q16">Tags_ols!$CI$167</definedName>
    <definedName name="PROVBL_1Q17" localSheetId="10">Tags!$CN$167</definedName>
    <definedName name="PROVBL_1Q17">Tags_ols!$CN$167</definedName>
    <definedName name="PROVBL_1Q18" localSheetId="10">Tags!$CS$167</definedName>
    <definedName name="PROVBL_1Q18">Tags_ols!$CS$167</definedName>
    <definedName name="PROVBL_1Q19" localSheetId="10">Tags!$CX$167</definedName>
    <definedName name="PROVBL_1Q19">Tags_ols!$CX$167</definedName>
    <definedName name="PROVBL_1Q20" localSheetId="10">Tags!$DC$167</definedName>
    <definedName name="PROVBL_1Q20">Tags_ols!$DC$167</definedName>
    <definedName name="PROVBL_1Q21">Tags!$DH$167</definedName>
    <definedName name="PROVBL_1Q22">Tags!$DM$167</definedName>
    <definedName name="PROVBL_1Q23">Tags!$DR$167</definedName>
    <definedName name="PROVBL_1Q24">Tags!$DW$167</definedName>
    <definedName name="PROVBL_2000" localSheetId="10">Tags!$K$167</definedName>
    <definedName name="PROVBL_2000">Tags_ols!$K$167</definedName>
    <definedName name="PROVBL_2001" localSheetId="10">Tags!$P$167</definedName>
    <definedName name="PROVBL_2001">Tags_ols!$P$167</definedName>
    <definedName name="PROVBL_2002" localSheetId="10">Tags!$U$167</definedName>
    <definedName name="PROVBL_2002">Tags_ols!$U$167</definedName>
    <definedName name="PROVBL_2003" localSheetId="10">Tags!$Z$167</definedName>
    <definedName name="PROVBL_2003">Tags_ols!$Z$167</definedName>
    <definedName name="PROVBL_2004" localSheetId="10">Tags!$AE$167</definedName>
    <definedName name="PROVBL_2004">Tags_ols!$AE$167</definedName>
    <definedName name="PROVBL_2005" localSheetId="10">Tags!$AJ$167</definedName>
    <definedName name="PROVBL_2005">Tags_ols!$AJ$167</definedName>
    <definedName name="PROVBL_2006" localSheetId="10">Tags!$AO$167</definedName>
    <definedName name="PROVBL_2006">Tags_ols!$AO$167</definedName>
    <definedName name="PROVBL_2007" localSheetId="10">Tags!$AT$167</definedName>
    <definedName name="PROVBL_2007">Tags_ols!$AT$167</definedName>
    <definedName name="PROVBL_2008" localSheetId="10">Tags!$AY$167</definedName>
    <definedName name="PROVBL_2008">Tags_ols!$AY$167</definedName>
    <definedName name="PROVBL_2009" localSheetId="10">Tags!$BD$167</definedName>
    <definedName name="PROVBL_2009">Tags_ols!$BD$167</definedName>
    <definedName name="PROVBL_2010" localSheetId="10">Tags!$BI$167</definedName>
    <definedName name="PROVBL_2010">Tags_ols!$BI$167</definedName>
    <definedName name="PROVBL_2011" localSheetId="10">Tags!$BN$167</definedName>
    <definedName name="PROVBL_2011">Tags_ols!$BN$167</definedName>
    <definedName name="PROVBL_2012" localSheetId="10">Tags!$BS$167</definedName>
    <definedName name="PROVBL_2012">Tags_ols!$BS$167</definedName>
    <definedName name="PROVBL_2013" localSheetId="10">Tags!$BX$167</definedName>
    <definedName name="PROVBL_2013">Tags_ols!$BX$167</definedName>
    <definedName name="PROVBL_2014" localSheetId="10">Tags!$CC$167</definedName>
    <definedName name="PROVBL_2014">Tags_ols!$CC$167</definedName>
    <definedName name="PROVBL_2015" localSheetId="10">Tags!#REF!</definedName>
    <definedName name="PROVBL_2015">Tags!$CH$167</definedName>
    <definedName name="PROVBL_2016" localSheetId="10">Tags!$CM$167</definedName>
    <definedName name="PROVBL_2016">Tags_ols!$CM$167</definedName>
    <definedName name="PROVBL_2017" localSheetId="10">Tags!$CR$167</definedName>
    <definedName name="PROVBL_2017">Tags_ols!$CR$167</definedName>
    <definedName name="PROVBL_2018" localSheetId="10">Tags!$CW$167</definedName>
    <definedName name="PROVBL_2018">Tags_ols!$CW$167</definedName>
    <definedName name="PROVBL_2019" localSheetId="10">Tags!$DB$167</definedName>
    <definedName name="PROVBL_2019">Tags_ols!$DB$167</definedName>
    <definedName name="PROVBL_2020" localSheetId="10">Tags!$DG$167</definedName>
    <definedName name="PROVBL_2020">Tags_ols!$DG$167</definedName>
    <definedName name="PROVBL_2021">Tags!$DL$167</definedName>
    <definedName name="PROVBL_2022">Tags!$DQ$167</definedName>
    <definedName name="PROVBL_2023">Tags!$DV$167</definedName>
    <definedName name="PROVBL_2024">Tags!$EA$167</definedName>
    <definedName name="PROVBL_2Q00" localSheetId="10">Tags!$H$167</definedName>
    <definedName name="PROVBL_2Q00">Tags_ols!$H$167</definedName>
    <definedName name="PROVBL_2Q01" localSheetId="10">Tags!$M$167</definedName>
    <definedName name="PROVBL_2Q01">Tags_ols!$M$167</definedName>
    <definedName name="PROVBL_2Q02" localSheetId="10">Tags!$R$167</definedName>
    <definedName name="PROVBL_2Q02">Tags_ols!$R$167</definedName>
    <definedName name="PROVBL_2Q03" localSheetId="10">Tags!$W$167</definedName>
    <definedName name="PROVBL_2Q03">Tags_ols!$W$167</definedName>
    <definedName name="PROVBL_2Q04" localSheetId="10">Tags!$AB$167</definedName>
    <definedName name="PROVBL_2Q04">Tags_ols!$AB$167</definedName>
    <definedName name="PROVBL_2Q05" localSheetId="10">Tags!$AG$167</definedName>
    <definedName name="PROVBL_2Q05">Tags_ols!$AG$167</definedName>
    <definedName name="PROVBL_2Q06" localSheetId="10">Tags!$AL$167</definedName>
    <definedName name="PROVBL_2Q06">Tags_ols!$AL$167</definedName>
    <definedName name="PROVBL_2Q07" localSheetId="10">Tags!$AQ$167</definedName>
    <definedName name="PROVBL_2Q07">Tags_ols!$AQ$167</definedName>
    <definedName name="PROVBL_2Q08" localSheetId="10">Tags!$AV$167</definedName>
    <definedName name="PROVBL_2Q08">Tags_ols!$AV$167</definedName>
    <definedName name="PROVBL_2Q09" localSheetId="10">Tags!$BA$167</definedName>
    <definedName name="PROVBL_2Q09">Tags_ols!$BA$167</definedName>
    <definedName name="PROVBL_2Q10" localSheetId="10">Tags!$BF$167</definedName>
    <definedName name="PROVBL_2Q10">Tags_ols!$BF$167</definedName>
    <definedName name="PROVBL_2Q11" localSheetId="10">Tags!$BK$167</definedName>
    <definedName name="PROVBL_2Q11">Tags_ols!$BK$167</definedName>
    <definedName name="PROVBL_2Q12" localSheetId="10">Tags!$BP$167</definedName>
    <definedName name="PROVBL_2Q12">Tags_ols!$BP$167</definedName>
    <definedName name="PROVBL_2Q13" localSheetId="10">Tags!$BU$167</definedName>
    <definedName name="PROVBL_2Q13">Tags_ols!$BU$167</definedName>
    <definedName name="PROVBL_2Q14" localSheetId="10">Tags!$BZ$167</definedName>
    <definedName name="PROVBL_2Q14">Tags_ols!$BZ$167</definedName>
    <definedName name="PROVBL_2Q15" localSheetId="10">Tags!$CE$167</definedName>
    <definedName name="PROVBL_2Q15">Tags_ols!$CE$167</definedName>
    <definedName name="PROVBL_2Q16" localSheetId="10">Tags!$CJ$167</definedName>
    <definedName name="PROVBL_2Q16">Tags_ols!$CJ$167</definedName>
    <definedName name="PROVBL_2Q17" localSheetId="10">Tags!$CO$167</definedName>
    <definedName name="PROVBL_2Q17">Tags_ols!$CO$167</definedName>
    <definedName name="PROVBL_2Q18" localSheetId="10">Tags!$CT$167</definedName>
    <definedName name="PROVBL_2Q18">Tags_ols!$CT$167</definedName>
    <definedName name="PROVBL_2Q19" localSheetId="10">Tags!$CY$167</definedName>
    <definedName name="PROVBL_2Q19">Tags_ols!$CY$167</definedName>
    <definedName name="PROVBL_2Q20" localSheetId="10">Tags!$DD$167</definedName>
    <definedName name="PROVBL_2Q20">Tags_ols!$DD$167</definedName>
    <definedName name="PROVBL_2Q21">Tags!$DI$167</definedName>
    <definedName name="PROVBL_2Q22">Tags!$DN$167</definedName>
    <definedName name="PROVBL_2Q23">Tags!$DS$167</definedName>
    <definedName name="PROVBL_2Q24">Tags!$DX$167</definedName>
    <definedName name="PROVBL_3Q00" localSheetId="10">Tags!$I$167</definedName>
    <definedName name="PROVBL_3Q00">Tags_ols!$I$167</definedName>
    <definedName name="PROVBL_3Q01" localSheetId="10">Tags!$N$167</definedName>
    <definedName name="PROVBL_3Q01">Tags_ols!$N$167</definedName>
    <definedName name="PROVBL_3Q02" localSheetId="10">Tags!$S$167</definedName>
    <definedName name="PROVBL_3Q02">Tags_ols!$S$167</definedName>
    <definedName name="PROVBL_3Q03" localSheetId="10">Tags!$X$167</definedName>
    <definedName name="PROVBL_3Q03">Tags_ols!$X$167</definedName>
    <definedName name="PROVBL_3Q04" localSheetId="10">Tags!$AC$167</definedName>
    <definedName name="PROVBL_3Q04">Tags_ols!$AC$167</definedName>
    <definedName name="PROVBL_3Q05" localSheetId="10">Tags!$AH$167</definedName>
    <definedName name="PROVBL_3Q05">Tags_ols!$AH$167</definedName>
    <definedName name="PROVBL_3Q06" localSheetId="10">Tags!$AM$167</definedName>
    <definedName name="PROVBL_3Q06">Tags_ols!$AM$167</definedName>
    <definedName name="PROVBL_3Q07" localSheetId="10">Tags!$AR$167</definedName>
    <definedName name="PROVBL_3Q07">Tags_ols!$AR$167</definedName>
    <definedName name="PROVBL_3Q08" localSheetId="10">Tags!$AW$167</definedName>
    <definedName name="PROVBL_3Q08">Tags_ols!$AW$167</definedName>
    <definedName name="PROVBL_3Q09" localSheetId="10">Tags!$BB$167</definedName>
    <definedName name="PROVBL_3Q09">Tags_ols!$BB$167</definedName>
    <definedName name="PROVBL_3Q10" localSheetId="10">Tags!$BG$167</definedName>
    <definedName name="PROVBL_3Q10">Tags_ols!$BG$167</definedName>
    <definedName name="PROVBL_3Q11" localSheetId="10">Tags!$BL$167</definedName>
    <definedName name="PROVBL_3Q11">Tags_ols!$BL$167</definedName>
    <definedName name="PROVBL_3Q12" localSheetId="10">Tags!$BQ$167</definedName>
    <definedName name="PROVBL_3Q12">Tags_ols!$BQ$167</definedName>
    <definedName name="PROVBL_3Q13" localSheetId="10">Tags!$BV$167</definedName>
    <definedName name="PROVBL_3Q13">Tags_ols!$BV$167</definedName>
    <definedName name="PROVBL_3Q14" localSheetId="10">Tags!$CA$167</definedName>
    <definedName name="PROVBL_3Q14">Tags_ols!$CA$167</definedName>
    <definedName name="PROVBL_3Q15" localSheetId="10">Tags!$CF$167</definedName>
    <definedName name="PROVBL_3Q15">Tags_ols!$CF$167</definedName>
    <definedName name="PROVBL_3Q16" localSheetId="10">Tags!$CK$167</definedName>
    <definedName name="PROVBL_3Q16">Tags_ols!$CK$167</definedName>
    <definedName name="PROVBL_3Q17" localSheetId="10">Tags!$CP$167</definedName>
    <definedName name="PROVBL_3Q17">Tags_ols!$CP$167</definedName>
    <definedName name="PROVBL_3Q18" localSheetId="10">Tags!$CU$167</definedName>
    <definedName name="PROVBL_3Q18">Tags_ols!$CU$167</definedName>
    <definedName name="PROVBL_3Q19" localSheetId="10">Tags!$CZ$167</definedName>
    <definedName name="PROVBL_3Q19">Tags_ols!$CZ$167</definedName>
    <definedName name="PROVBL_3Q20" localSheetId="10">Tags!$DE$167</definedName>
    <definedName name="PROVBL_3Q20">Tags_ols!$DE$167</definedName>
    <definedName name="PROVBL_3Q21">Tags!$DJ$167</definedName>
    <definedName name="PROVBL_3Q22">Tags!$DO$167</definedName>
    <definedName name="PROVBL_3Q23">Tags!$DT$167</definedName>
    <definedName name="PROVBL_3Q24">Tags!$DY$167</definedName>
    <definedName name="PROVBL_4Q00" localSheetId="10">Tags!$J$167</definedName>
    <definedName name="PROVBL_4Q00">Tags_ols!$J$167</definedName>
    <definedName name="PROVBL_4Q01" localSheetId="10">Tags!$O$167</definedName>
    <definedName name="PROVBL_4Q01">Tags_ols!$O$167</definedName>
    <definedName name="PROVBL_4Q02" localSheetId="10">Tags!$T$167</definedName>
    <definedName name="PROVBL_4Q02">Tags_ols!$T$167</definedName>
    <definedName name="PROVBL_4Q03" localSheetId="10">Tags!$Y$167</definedName>
    <definedName name="PROVBL_4Q03">Tags_ols!$Y$167</definedName>
    <definedName name="PROVBL_4Q04" localSheetId="10">Tags!$AD$167</definedName>
    <definedName name="PROVBL_4Q04">Tags_ols!$AD$167</definedName>
    <definedName name="PROVBL_4Q05" localSheetId="10">Tags!$AI$167</definedName>
    <definedName name="PROVBL_4Q05">Tags_ols!$AI$167</definedName>
    <definedName name="PROVBL_4Q06" localSheetId="10">Tags!$AN$167</definedName>
    <definedName name="PROVBL_4Q06">Tags_ols!$AN$167</definedName>
    <definedName name="PROVBL_4Q07" localSheetId="10">Tags!$AS$167</definedName>
    <definedName name="PROVBL_4Q07">Tags_ols!$AS$167</definedName>
    <definedName name="PROVBL_4Q08" localSheetId="10">Tags!$AX$167</definedName>
    <definedName name="PROVBL_4Q08">Tags_ols!$AX$167</definedName>
    <definedName name="PROVBL_4Q09" localSheetId="10">Tags!$BC$167</definedName>
    <definedName name="PROVBL_4Q09">Tags_ols!$BC$167</definedName>
    <definedName name="PROVBL_4Q10" localSheetId="10">Tags!$BH$167</definedName>
    <definedName name="PROVBL_4Q10">Tags_ols!$BH$167</definedName>
    <definedName name="PROVBL_4Q11" localSheetId="10">Tags!$BM$167</definedName>
    <definedName name="PROVBL_4Q11">Tags_ols!$BM$167</definedName>
    <definedName name="PROVBL_4Q12" localSheetId="10">Tags!$BR$167</definedName>
    <definedName name="PROVBL_4Q12">Tags_ols!$BR$167</definedName>
    <definedName name="PROVBL_4Q13" localSheetId="10">Tags!$BW$167</definedName>
    <definedName name="PROVBL_4Q13">Tags_ols!$BW$167</definedName>
    <definedName name="PROVBL_4Q14" localSheetId="10">Tags!$CB$167</definedName>
    <definedName name="PROVBL_4Q14">Tags_ols!$CB$167</definedName>
    <definedName name="PROVBL_4Q15" localSheetId="10">Tags!$CG$167</definedName>
    <definedName name="PROVBL_4Q15">Tags_ols!$CG$167</definedName>
    <definedName name="PROVBL_4Q16" localSheetId="10">Tags!$CL$167</definedName>
    <definedName name="PROVBL_4Q16">Tags_ols!$CL$167</definedName>
    <definedName name="PROVBL_4Q17" localSheetId="10">Tags!$CQ$167</definedName>
    <definedName name="PROVBL_4Q17">Tags_ols!$CQ$167</definedName>
    <definedName name="PROVBL_4Q18" localSheetId="10">Tags!$CV$167</definedName>
    <definedName name="PROVBL_4Q18">Tags_ols!$CV$167</definedName>
    <definedName name="PROVBL_4Q19" localSheetId="10">Tags!$DA$167</definedName>
    <definedName name="PROVBL_4Q19">Tags_ols!$DA$167</definedName>
    <definedName name="PROVBL_4Q20" localSheetId="10">Tags!$DF$167</definedName>
    <definedName name="PROVBL_4Q20">Tags_ols!$DF$167</definedName>
    <definedName name="PROVBL_4Q21">Tags!$DK$167</definedName>
    <definedName name="PROVBL_4Q22">Tags!$DP$167</definedName>
    <definedName name="PROVBL_4Q23">Tags!$DU$167</definedName>
    <definedName name="PROVBL_4Q24">Tags!$DZ$167</definedName>
    <definedName name="PSCH_1995">Tags_ols!$B$337</definedName>
    <definedName name="PSCH_1996">Tags_ols!$C$337</definedName>
    <definedName name="PSCH_1997">Tags_ols!$D$337</definedName>
    <definedName name="PSCH_1998">Tags_ols!$E$337</definedName>
    <definedName name="PSCH_1999">Tags_ols!$F$337</definedName>
    <definedName name="PSCH_1Q00" localSheetId="10">Tags!$G$337</definedName>
    <definedName name="PSCH_1Q00">Tags_ols!$G$337</definedName>
    <definedName name="PSCH_1Q01" localSheetId="10">Tags!$L$337</definedName>
    <definedName name="PSCH_1Q01">Tags_ols!$L$337</definedName>
    <definedName name="PSCH_1Q02" localSheetId="10">Tags!$Q$337</definedName>
    <definedName name="PSCH_1Q02">Tags_ols!$Q$337</definedName>
    <definedName name="PSCH_1Q03" localSheetId="10">Tags!$V$337</definedName>
    <definedName name="PSCH_1Q03">Tags_ols!$V$337</definedName>
    <definedName name="PSCH_1Q04" localSheetId="10">Tags!$AA$337</definedName>
    <definedName name="PSCH_1Q04">Tags_ols!$AA$337</definedName>
    <definedName name="PSCH_1Q05" localSheetId="10">Tags!$AF$337</definedName>
    <definedName name="PSCH_1Q05">Tags_ols!$AF$337</definedName>
    <definedName name="PSCH_1Q06" localSheetId="10">Tags!$AK$337</definedName>
    <definedName name="PSCH_1Q06">Tags_ols!$AK$337</definedName>
    <definedName name="PSCH_1Q07" localSheetId="10">Tags!$AP$337</definedName>
    <definedName name="PSCH_1Q07">Tags_ols!$AP$337</definedName>
    <definedName name="PSCH_1Q08" localSheetId="10">Tags!$AU$337</definedName>
    <definedName name="PSCH_1Q08">Tags_ols!$AU$337</definedName>
    <definedName name="PSCH_1Q09" localSheetId="10">Tags!$AZ$337</definedName>
    <definedName name="PSCH_1Q09">Tags_ols!$AZ$337</definedName>
    <definedName name="PSCH_1Q10" localSheetId="10">Tags!$BE$337</definedName>
    <definedName name="PSCH_1Q10">Tags_ols!$BE$337</definedName>
    <definedName name="PSCH_1Q11" localSheetId="10">Tags!$BJ$337</definedName>
    <definedName name="PSCH_1Q11">Tags_ols!$BJ$337</definedName>
    <definedName name="PSCH_1Q12" localSheetId="10">Tags!$BO$337</definedName>
    <definedName name="PSCH_1Q12">Tags_ols!$BO$337</definedName>
    <definedName name="PSCH_1Q13" localSheetId="10">Tags!$BT$337</definedName>
    <definedName name="PSCH_1Q13">Tags_ols!$BT$337</definedName>
    <definedName name="PSCH_1Q14" localSheetId="10">Tags!$BY$337</definedName>
    <definedName name="PSCH_1Q14">Tags_ols!$BY$337</definedName>
    <definedName name="PSCH_1Q15" localSheetId="10">Tags!$CD$337</definedName>
    <definedName name="PSCH_1Q15">Tags_ols!$CD$337</definedName>
    <definedName name="PSCH_1Q16" localSheetId="10">Tags!$CI$337</definedName>
    <definedName name="PSCH_1Q16">Tags_ols!$CI$337</definedName>
    <definedName name="PSCH_1Q17" localSheetId="10">Tags!$CN$337</definedName>
    <definedName name="PSCH_1Q17">Tags_ols!$CN$337</definedName>
    <definedName name="PSCH_1Q18" localSheetId="10">Tags!$CS$337</definedName>
    <definedName name="PSCH_1Q18">Tags_ols!$CS$337</definedName>
    <definedName name="PSCH_1Q19" localSheetId="10">Tags!$CX$337</definedName>
    <definedName name="PSCH_1Q19">Tags_ols!$CX$337</definedName>
    <definedName name="PSCH_1Q20" localSheetId="10">Tags!$DC$337</definedName>
    <definedName name="PSCH_1Q20">Tags_ols!$DC$337</definedName>
    <definedName name="PSCH_1Q21">Tags!$DH$337</definedName>
    <definedName name="PSCH_1Q22">Tags!$DM$337</definedName>
    <definedName name="PSCH_1Q23">Tags!$DR$337</definedName>
    <definedName name="PSCH_1Q24">Tags!$DW$337</definedName>
    <definedName name="PSCH_2000" localSheetId="10">Tags!$K$337</definedName>
    <definedName name="PSCH_2000">Tags_ols!$K$337</definedName>
    <definedName name="PSCH_2001" localSheetId="10">Tags!$P$337</definedName>
    <definedName name="PSCH_2001">Tags_ols!$P$337</definedName>
    <definedName name="PSCH_2002" localSheetId="10">Tags!$U$337</definedName>
    <definedName name="PSCH_2002">Tags_ols!$U$337</definedName>
    <definedName name="PSCH_2003" localSheetId="10">Tags!$Z$337</definedName>
    <definedName name="PSCH_2003">Tags_ols!$Z$337</definedName>
    <definedName name="PSCH_2004" localSheetId="10">Tags!$AE$337</definedName>
    <definedName name="PSCH_2004">Tags_ols!$AE$337</definedName>
    <definedName name="PSCH_2005" localSheetId="10">Tags!$AJ$337</definedName>
    <definedName name="PSCH_2005">Tags_ols!$AJ$337</definedName>
    <definedName name="PSCH_2006" localSheetId="10">Tags!$AO$337</definedName>
    <definedName name="PSCH_2006">Tags_ols!$AO$337</definedName>
    <definedName name="PSCH_2007" localSheetId="10">Tags!$AT$337</definedName>
    <definedName name="PSCH_2007">Tags_ols!$AT$337</definedName>
    <definedName name="PSCH_2008" localSheetId="10">Tags!$AY$337</definedName>
    <definedName name="PSCH_2008">Tags_ols!$AY$337</definedName>
    <definedName name="PSCH_2009" localSheetId="10">Tags!$BD$337</definedName>
    <definedName name="PSCH_2009">Tags_ols!$BD$337</definedName>
    <definedName name="PSCH_2010" localSheetId="10">Tags!$BI$337</definedName>
    <definedName name="PSCH_2010">Tags_ols!$BI$337</definedName>
    <definedName name="PSCH_2011" localSheetId="10">Tags!$BN$337</definedName>
    <definedName name="PSCH_2011">Tags_ols!$BN$337</definedName>
    <definedName name="PSCH_2012" localSheetId="10">Tags!$BS$337</definedName>
    <definedName name="PSCH_2012">Tags_ols!$BS$337</definedName>
    <definedName name="PSCH_2013" localSheetId="10">Tags!$BX$337</definedName>
    <definedName name="PSCH_2013">Tags_ols!$BX$337</definedName>
    <definedName name="PSCH_2014" localSheetId="10">Tags!$CC$337</definedName>
    <definedName name="PSCH_2014">Tags_ols!$CC$337</definedName>
    <definedName name="PSCH_2015" localSheetId="10">Tags!#REF!</definedName>
    <definedName name="PSCH_2015">Tags!$CH$337</definedName>
    <definedName name="PSCH_2016" localSheetId="10">Tags!$CM$337</definedName>
    <definedName name="PSCH_2016">Tags_ols!$CM$337</definedName>
    <definedName name="PSCH_2017" localSheetId="10">Tags!$CR$337</definedName>
    <definedName name="PSCH_2017">Tags_ols!$CR$337</definedName>
    <definedName name="PSCH_2018" localSheetId="10">Tags!$CW$337</definedName>
    <definedName name="PSCH_2018">Tags_ols!$CW$337</definedName>
    <definedName name="PSCH_2019" localSheetId="10">Tags!$DB$337</definedName>
    <definedName name="PSCH_2019">Tags_ols!$DB$337</definedName>
    <definedName name="PSCH_2020" localSheetId="10">Tags!$DG$337</definedName>
    <definedName name="PSCH_2020">Tags_ols!$DG$337</definedName>
    <definedName name="PSCH_2021">Tags!$DL$337</definedName>
    <definedName name="PSCH_2022">Tags!$DQ$337</definedName>
    <definedName name="PSCH_2023">Tags!$DV$337</definedName>
    <definedName name="PSCH_2024">Tags!$EA$337</definedName>
    <definedName name="PSCH_2Q00" localSheetId="10">Tags!$H$337</definedName>
    <definedName name="PSCH_2Q00">Tags_ols!$H$337</definedName>
    <definedName name="PSCH_2Q01" localSheetId="10">Tags!$M$337</definedName>
    <definedName name="PSCH_2Q01">Tags_ols!$M$337</definedName>
    <definedName name="PSCH_2Q02" localSheetId="10">Tags!$R$337</definedName>
    <definedName name="PSCH_2Q02">Tags_ols!$R$337</definedName>
    <definedName name="PSCH_2Q03" localSheetId="10">Tags!$W$337</definedName>
    <definedName name="PSCH_2Q03">Tags_ols!$W$337</definedName>
    <definedName name="PSCH_2Q04" localSheetId="10">Tags!$AB$337</definedName>
    <definedName name="PSCH_2Q04">Tags_ols!$AB$337</definedName>
    <definedName name="PSCH_2Q05" localSheetId="10">Tags!$AG$337</definedName>
    <definedName name="PSCH_2Q05">Tags_ols!$AG$337</definedName>
    <definedName name="PSCH_2Q06" localSheetId="10">Tags!$AL$337</definedName>
    <definedName name="PSCH_2Q06">Tags_ols!$AL$337</definedName>
    <definedName name="PSCH_2Q07" localSheetId="10">Tags!$AQ$337</definedName>
    <definedName name="PSCH_2Q07">Tags_ols!$AQ$337</definedName>
    <definedName name="PSCH_2Q08" localSheetId="10">Tags!$AV$337</definedName>
    <definedName name="PSCH_2Q08">Tags_ols!$AV$337</definedName>
    <definedName name="PSCH_2Q09" localSheetId="10">Tags!$BA$337</definedName>
    <definedName name="PSCH_2Q09">Tags_ols!$BA$337</definedName>
    <definedName name="PSCH_2Q10" localSheetId="10">Tags!$BF$337</definedName>
    <definedName name="PSCH_2Q10">Tags_ols!$BF$337</definedName>
    <definedName name="PSCH_2Q11" localSheetId="10">Tags!$BK$337</definedName>
    <definedName name="PSCH_2Q11">Tags_ols!$BK$337</definedName>
    <definedName name="PSCH_2Q12" localSheetId="10">Tags!$BP$337</definedName>
    <definedName name="PSCH_2Q12">Tags_ols!$BP$337</definedName>
    <definedName name="PSCH_2Q13" localSheetId="10">Tags!$BU$337</definedName>
    <definedName name="PSCH_2Q13">Tags_ols!$BU$337</definedName>
    <definedName name="PSCH_2Q14" localSheetId="10">Tags!$BZ$337</definedName>
    <definedName name="PSCH_2Q14">Tags_ols!$BZ$337</definedName>
    <definedName name="PSCH_2Q15" localSheetId="10">Tags!$CE$337</definedName>
    <definedName name="PSCH_2Q15">Tags_ols!$CE$337</definedName>
    <definedName name="PSCH_2Q16" localSheetId="10">Tags!$CJ$337</definedName>
    <definedName name="PSCH_2Q16">Tags_ols!$CJ$337</definedName>
    <definedName name="PSCH_2Q17" localSheetId="10">Tags!$CO$337</definedName>
    <definedName name="PSCH_2Q17">Tags_ols!$CO$337</definedName>
    <definedName name="PSCH_2Q18" localSheetId="10">Tags!$CT$337</definedName>
    <definedName name="PSCH_2Q18">Tags_ols!$CT$337</definedName>
    <definedName name="PSCH_2Q19" localSheetId="10">Tags!$CY$337</definedName>
    <definedName name="PSCH_2Q19">Tags_ols!$CY$337</definedName>
    <definedName name="PSCH_2Q20" localSheetId="10">Tags!$DD$337</definedName>
    <definedName name="PSCH_2Q20">Tags_ols!$DD$337</definedName>
    <definedName name="PSCH_2Q21">Tags!$DI$337</definedName>
    <definedName name="PSCH_2Q22">Tags!$DN$337</definedName>
    <definedName name="PSCH_2Q23">Tags!$DS$337</definedName>
    <definedName name="PSCH_2Q24">Tags!$DX$337</definedName>
    <definedName name="PSCH_3Q00" localSheetId="10">Tags!$I$337</definedName>
    <definedName name="PSCH_3Q00">Tags_ols!$I$337</definedName>
    <definedName name="PSCH_3Q01" localSheetId="10">Tags!$N$337</definedName>
    <definedName name="PSCH_3Q01">Tags_ols!$N$337</definedName>
    <definedName name="PSCH_3Q02" localSheetId="10">Tags!$S$337</definedName>
    <definedName name="PSCH_3Q02">Tags_ols!$S$337</definedName>
    <definedName name="PSCH_3Q03" localSheetId="10">Tags!$X$337</definedName>
    <definedName name="PSCH_3Q03">Tags_ols!$X$337</definedName>
    <definedName name="PSCH_3Q04" localSheetId="10">Tags!$AC$337</definedName>
    <definedName name="PSCH_3Q04">Tags_ols!$AC$337</definedName>
    <definedName name="PSCH_3Q05" localSheetId="10">Tags!$AH$337</definedName>
    <definedName name="PSCH_3Q05">Tags_ols!$AH$337</definedName>
    <definedName name="PSCH_3Q06" localSheetId="10">Tags!$AM$337</definedName>
    <definedName name="PSCH_3Q06">Tags_ols!$AM$337</definedName>
    <definedName name="PSCH_3Q07" localSheetId="10">Tags!$AR$337</definedName>
    <definedName name="PSCH_3Q07">Tags_ols!$AR$337</definedName>
    <definedName name="PSCH_3Q08" localSheetId="10">Tags!$AW$337</definedName>
    <definedName name="PSCH_3Q08">Tags_ols!$AW$337</definedName>
    <definedName name="PSCH_3Q09" localSheetId="10">Tags!$BB$337</definedName>
    <definedName name="PSCH_3Q09">Tags_ols!$BB$337</definedName>
    <definedName name="PSCH_3Q10" localSheetId="10">Tags!$BG$337</definedName>
    <definedName name="PSCH_3Q10">Tags_ols!$BG$337</definedName>
    <definedName name="PSCH_3Q11" localSheetId="10">Tags!$BL$337</definedName>
    <definedName name="PSCH_3Q11">Tags_ols!$BL$337</definedName>
    <definedName name="PSCH_3Q12" localSheetId="10">Tags!$BQ$337</definedName>
    <definedName name="PSCH_3Q12">Tags_ols!$BQ$337</definedName>
    <definedName name="PSCH_3Q13" localSheetId="10">Tags!$BV$337</definedName>
    <definedName name="PSCH_3Q13">Tags_ols!$BV$337</definedName>
    <definedName name="PSCH_3Q14" localSheetId="10">Tags!$CA$337</definedName>
    <definedName name="PSCH_3Q14">Tags_ols!$CA$337</definedName>
    <definedName name="PSCH_3Q15" localSheetId="10">Tags!$CF$337</definedName>
    <definedName name="PSCH_3Q15">Tags_ols!$CF$337</definedName>
    <definedName name="PSCH_3Q16" localSheetId="10">Tags!$CK$337</definedName>
    <definedName name="PSCH_3Q16">Tags_ols!$CK$337</definedName>
    <definedName name="PSCH_3Q17" localSheetId="10">Tags!$CP$337</definedName>
    <definedName name="PSCH_3Q17">Tags_ols!$CP$337</definedName>
    <definedName name="PSCH_3Q18" localSheetId="10">Tags!$CU$337</definedName>
    <definedName name="PSCH_3Q18">Tags_ols!$CU$337</definedName>
    <definedName name="PSCH_3Q19" localSheetId="10">Tags!$CZ$337</definedName>
    <definedName name="PSCH_3Q19">Tags_ols!$CZ$337</definedName>
    <definedName name="PSCH_3Q20" localSheetId="10">Tags!$DE$337</definedName>
    <definedName name="PSCH_3Q20">Tags_ols!$DE$337</definedName>
    <definedName name="PSCH_3Q21">Tags!$DJ$337</definedName>
    <definedName name="PSCH_3Q22">Tags!$DO$337</definedName>
    <definedName name="PSCH_3Q23">Tags!$DT$337</definedName>
    <definedName name="PSCH_3Q24">Tags!$DY$337</definedName>
    <definedName name="PSCH_4Q00" localSheetId="10">Tags!$J$337</definedName>
    <definedName name="PSCH_4Q00">Tags_ols!$J$337</definedName>
    <definedName name="PSCH_4Q01" localSheetId="10">Tags!$O$337</definedName>
    <definedName name="PSCH_4Q01">Tags_ols!$O$337</definedName>
    <definedName name="PSCH_4Q02" localSheetId="10">Tags!$T$337</definedName>
    <definedName name="PSCH_4Q02">Tags_ols!$T$337</definedName>
    <definedName name="PSCH_4Q03" localSheetId="10">Tags!$Y$337</definedName>
    <definedName name="PSCH_4Q03">Tags_ols!$Y$337</definedName>
    <definedName name="PSCH_4Q04" localSheetId="10">Tags!$AD$337</definedName>
    <definedName name="PSCH_4Q04">Tags_ols!$AD$337</definedName>
    <definedName name="PSCH_4Q05" localSheetId="10">Tags!$AI$337</definedName>
    <definedName name="PSCH_4Q05">Tags_ols!$AI$337</definedName>
    <definedName name="PSCH_4Q06" localSheetId="10">Tags!$AN$337</definedName>
    <definedName name="PSCH_4Q06">Tags_ols!$AN$337</definedName>
    <definedName name="PSCH_4Q07" localSheetId="10">Tags!$AS$337</definedName>
    <definedName name="PSCH_4Q07">Tags_ols!$AS$337</definedName>
    <definedName name="PSCH_4Q08" localSheetId="10">Tags!$AX$337</definedName>
    <definedName name="PSCH_4Q08">Tags_ols!$AX$337</definedName>
    <definedName name="PSCH_4Q09" localSheetId="10">Tags!$BC$337</definedName>
    <definedName name="PSCH_4Q09">Tags_ols!$BC$337</definedName>
    <definedName name="PSCH_4Q10" localSheetId="10">Tags!$BH$337</definedName>
    <definedName name="PSCH_4Q10">Tags_ols!$BH$337</definedName>
    <definedName name="PSCH_4Q11" localSheetId="10">Tags!$BM$337</definedName>
    <definedName name="PSCH_4Q11">Tags_ols!$BM$337</definedName>
    <definedName name="PSCH_4Q12" localSheetId="10">Tags!$BR$337</definedName>
    <definedName name="PSCH_4Q12">Tags_ols!$BR$337</definedName>
    <definedName name="PSCH_4Q13" localSheetId="10">Tags!$BW$337</definedName>
    <definedName name="PSCH_4Q13">Tags_ols!$BW$337</definedName>
    <definedName name="PSCH_4Q14" localSheetId="10">Tags!$CB$337</definedName>
    <definedName name="PSCH_4Q14">Tags_ols!$CB$337</definedName>
    <definedName name="PSCH_4Q15" localSheetId="10">Tags!$CG$337</definedName>
    <definedName name="PSCH_4Q15">Tags_ols!$CG$337</definedName>
    <definedName name="PSCH_4Q16" localSheetId="10">Tags!$CL$337</definedName>
    <definedName name="PSCH_4Q16">Tags_ols!$CL$337</definedName>
    <definedName name="PSCH_4Q17" localSheetId="10">Tags!$CQ$337</definedName>
    <definedName name="PSCH_4Q17">Tags_ols!$CQ$337</definedName>
    <definedName name="PSCH_4Q18" localSheetId="10">Tags!$CV$337</definedName>
    <definedName name="PSCH_4Q18">Tags_ols!$CV$337</definedName>
    <definedName name="PSCH_4Q19" localSheetId="10">Tags!$DA$337</definedName>
    <definedName name="PSCH_4Q19">Tags_ols!$DA$337</definedName>
    <definedName name="PSCH_4Q20" localSheetId="10">Tags!$DF$337</definedName>
    <definedName name="PSCH_4Q20">Tags_ols!$DF$337</definedName>
    <definedName name="PSCH_4Q21">Tags!$DK$337</definedName>
    <definedName name="PSCH_4Q22">Tags!$DP$337</definedName>
    <definedName name="PSCH_4Q23">Tags!$DU$337</definedName>
    <definedName name="PSCH_4Q24">Tags!$DZ$337</definedName>
    <definedName name="Q1.2008.03" localSheetId="5">#REF!</definedName>
    <definedName name="Q1.2008.03">#REF!</definedName>
    <definedName name="Q1.2009.03" localSheetId="5">#REF!</definedName>
    <definedName name="Q1.2009.03">#REF!</definedName>
    <definedName name="Q2.2008.06" localSheetId="5">#REF!</definedName>
    <definedName name="Q2.2008.06">#REF!</definedName>
    <definedName name="Q2.2009.06">#REF!</definedName>
    <definedName name="Q3.2008.09">#REF!</definedName>
    <definedName name="Q3.2009.09">#REF!</definedName>
    <definedName name="Q4.2008.12">#REF!</definedName>
    <definedName name="Q4.2009.12">#REF!</definedName>
    <definedName name="QtrDate">#REF!</definedName>
    <definedName name="QtrShares">#REF!</definedName>
    <definedName name="Ratioswitch">#REF!</definedName>
    <definedName name="rCSPresetsPPt">#REF!</definedName>
    <definedName name="Recomᗭendation">#REF!</definedName>
    <definedName name="renato">#REF!</definedName>
    <definedName name="Reported_Net_Income" localSheetId="5">#REF!</definedName>
    <definedName name="Reported_Net_Income">#REF!</definedName>
    <definedName name="RESDEV_1995">Tags_ols!$B$45</definedName>
    <definedName name="RESDEV_1996">Tags_ols!$C$45</definedName>
    <definedName name="RESDEV_1997">Tags_ols!$D$45</definedName>
    <definedName name="RESDEV_1998">Tags_ols!$E$45</definedName>
    <definedName name="RESDEV_1999">Tags_ols!$F$45</definedName>
    <definedName name="RESDEV_1Q00" localSheetId="10">Tags!$G$45</definedName>
    <definedName name="RESDEV_1Q00">Tags_ols!$G$45</definedName>
    <definedName name="RESDEV_1Q01" localSheetId="10">Tags!$L$45</definedName>
    <definedName name="RESDEV_1Q01">Tags_ols!$L$45</definedName>
    <definedName name="RESDEV_1Q02" localSheetId="10">Tags!$Q$45</definedName>
    <definedName name="RESDEV_1Q02">Tags_ols!$Q$45</definedName>
    <definedName name="RESDEV_1Q03" localSheetId="10">Tags!$V$45</definedName>
    <definedName name="RESDEV_1Q03">Tags_ols!$V$45</definedName>
    <definedName name="RESDEV_1Q04" localSheetId="10">Tags!$AA$45</definedName>
    <definedName name="RESDEV_1Q04">Tags_ols!$AA$45</definedName>
    <definedName name="RESDEV_1Q05" localSheetId="10">Tags!$AF$45</definedName>
    <definedName name="RESDEV_1Q05">Tags_ols!$AF$45</definedName>
    <definedName name="RESDEV_1Q06" localSheetId="10">Tags!$AK$45</definedName>
    <definedName name="RESDEV_1Q06">Tags_ols!$AK$45</definedName>
    <definedName name="RESDEV_1Q07" localSheetId="10">Tags!$AP$45</definedName>
    <definedName name="RESDEV_1Q07">Tags_ols!$AP$45</definedName>
    <definedName name="RESDEV_1Q08" localSheetId="10">Tags!$AU$45</definedName>
    <definedName name="RESDEV_1Q08">Tags_ols!$AU$45</definedName>
    <definedName name="RESDEV_1Q09" localSheetId="10">Tags!$AZ$45</definedName>
    <definedName name="RESDEV_1Q09">Tags_ols!$AZ$45</definedName>
    <definedName name="RESDEV_1Q10" localSheetId="10">Tags!$BE$45</definedName>
    <definedName name="RESDEV_1Q10">Tags_ols!$BE$45</definedName>
    <definedName name="RESDEV_1Q11" localSheetId="10">Tags!$BJ$45</definedName>
    <definedName name="RESDEV_1Q11">Tags_ols!$BJ$45</definedName>
    <definedName name="RESDEV_1Q12" localSheetId="10">Tags!$BO$45</definedName>
    <definedName name="RESDEV_1Q12">Tags_ols!$BO$45</definedName>
    <definedName name="RESDEV_1Q13" localSheetId="10">Tags!$BT$45</definedName>
    <definedName name="RESDEV_1Q13">Tags_ols!$BT$45</definedName>
    <definedName name="RESDEV_1Q14" localSheetId="10">Tags!$BY$45</definedName>
    <definedName name="RESDEV_1Q14">Tags_ols!$BY$45</definedName>
    <definedName name="RESDEV_1Q15" localSheetId="10">Tags!$CD$45</definedName>
    <definedName name="RESDEV_1Q15">Tags_ols!$CD$45</definedName>
    <definedName name="RESDEV_1Q16" localSheetId="10">Tags!$CI$45</definedName>
    <definedName name="RESDEV_1Q16">Tags_ols!$CI$45</definedName>
    <definedName name="RESDEV_1Q17" localSheetId="10">Tags!$CN$45</definedName>
    <definedName name="RESDEV_1Q17">Tags_ols!$CN$45</definedName>
    <definedName name="RESDEV_1Q18" localSheetId="10">Tags!$CS$45</definedName>
    <definedName name="RESDEV_1Q18">Tags_ols!$CS$45</definedName>
    <definedName name="RESDEV_1Q19" localSheetId="10">Tags!$CX$45</definedName>
    <definedName name="RESDEV_1Q19">Tags_ols!$CX$45</definedName>
    <definedName name="RESDEV_1Q20" localSheetId="10">Tags!$DC$45</definedName>
    <definedName name="RESDEV_1Q20">Tags_ols!$DC$45</definedName>
    <definedName name="RESDEV_1Q21">Tags!$DH$45</definedName>
    <definedName name="RESDEV_1Q22">Tags!$DM$45</definedName>
    <definedName name="RESDEV_1Q23">Tags!$DR$45</definedName>
    <definedName name="RESDEV_1Q24">Tags!$DW$45</definedName>
    <definedName name="RESDEV_2000" localSheetId="10">Tags!$K$45</definedName>
    <definedName name="RESDEV_2000">Tags_ols!$K$45</definedName>
    <definedName name="RESDEV_2001" localSheetId="10">Tags!$P$45</definedName>
    <definedName name="RESDEV_2001">Tags_ols!$P$45</definedName>
    <definedName name="RESDEV_2002" localSheetId="10">Tags!$U$45</definedName>
    <definedName name="RESDEV_2002">Tags_ols!$U$45</definedName>
    <definedName name="RESDEV_2003" localSheetId="10">Tags!$Z$45</definedName>
    <definedName name="RESDEV_2003">Tags_ols!$Z$45</definedName>
    <definedName name="RESDEV_2004" localSheetId="10">Tags!$AE$45</definedName>
    <definedName name="RESDEV_2004">Tags_ols!$AE$45</definedName>
    <definedName name="RESDEV_2005" localSheetId="10">Tags!$AJ$45</definedName>
    <definedName name="RESDEV_2005">Tags_ols!$AJ$45</definedName>
    <definedName name="RESDEV_2006" localSheetId="10">Tags!$AO$45</definedName>
    <definedName name="RESDEV_2006">Tags_ols!$AO$45</definedName>
    <definedName name="RESDEV_2007" localSheetId="10">Tags!$AT$45</definedName>
    <definedName name="RESDEV_2007">Tags_ols!$AT$45</definedName>
    <definedName name="RESDEV_2008" localSheetId="10">Tags!$AY$45</definedName>
    <definedName name="RESDEV_2008">Tags_ols!$AY$45</definedName>
    <definedName name="RESDEV_2009" localSheetId="10">Tags!$BD$45</definedName>
    <definedName name="RESDEV_2009">Tags_ols!$BD$45</definedName>
    <definedName name="RESDEV_2010" localSheetId="10">Tags!$BI$45</definedName>
    <definedName name="RESDEV_2010">Tags_ols!$BI$45</definedName>
    <definedName name="RESDEV_2011" localSheetId="10">Tags!$BN$45</definedName>
    <definedName name="RESDEV_2011">Tags_ols!$BN$45</definedName>
    <definedName name="RESDEV_2012" localSheetId="10">Tags!$BS$45</definedName>
    <definedName name="RESDEV_2012">Tags_ols!$BS$45</definedName>
    <definedName name="RESDEV_2013" localSheetId="10">Tags!$BX$45</definedName>
    <definedName name="RESDEV_2013">Tags_ols!$BX$45</definedName>
    <definedName name="RESDEV_2014" localSheetId="10">Tags!$CC$45</definedName>
    <definedName name="RESDEV_2014">Tags_ols!$CC$45</definedName>
    <definedName name="RESDEV_2015" localSheetId="10">Tags!#REF!</definedName>
    <definedName name="RESDEV_2015">Tags!$CH$45</definedName>
    <definedName name="RESDEV_2016" localSheetId="10">Tags!$CM$45</definedName>
    <definedName name="RESDEV_2016">Tags_ols!$CM$45</definedName>
    <definedName name="RESDEV_2017" localSheetId="10">Tags!$CR$45</definedName>
    <definedName name="RESDEV_2017">Tags_ols!$CR$45</definedName>
    <definedName name="RESDEV_2018" localSheetId="10">Tags!$CW$45</definedName>
    <definedName name="RESDEV_2018">Tags_ols!$CW$45</definedName>
    <definedName name="RESDEV_2019" localSheetId="10">Tags!$DB$45</definedName>
    <definedName name="RESDEV_2019">Tags_ols!$DB$45</definedName>
    <definedName name="RESDEV_2020" localSheetId="10">Tags!$DG$45</definedName>
    <definedName name="RESDEV_2020">Tags_ols!$DG$45</definedName>
    <definedName name="RESDEV_2021">Tags!$DL$45</definedName>
    <definedName name="RESDEV_2022">Tags!$DQ$45</definedName>
    <definedName name="RESDEV_2023">Tags!$DV$45</definedName>
    <definedName name="RESDEV_2024">Tags!$EA$45</definedName>
    <definedName name="RESDEV_2Q00" localSheetId="10">Tags!$H$45</definedName>
    <definedName name="RESDEV_2Q00">Tags_ols!$H$45</definedName>
    <definedName name="RESDEV_2Q01" localSheetId="10">Tags!$M$45</definedName>
    <definedName name="RESDEV_2Q01">Tags_ols!$M$45</definedName>
    <definedName name="RESDEV_2Q02" localSheetId="10">Tags!$R$45</definedName>
    <definedName name="RESDEV_2Q02">Tags_ols!$R$45</definedName>
    <definedName name="RESDEV_2Q03" localSheetId="10">Tags!$W$45</definedName>
    <definedName name="RESDEV_2Q03">Tags_ols!$W$45</definedName>
    <definedName name="RESDEV_2Q04" localSheetId="10">Tags!$AB$45</definedName>
    <definedName name="RESDEV_2Q04">Tags_ols!$AB$45</definedName>
    <definedName name="RESDEV_2Q05" localSheetId="10">Tags!$AG$45</definedName>
    <definedName name="RESDEV_2Q05">Tags_ols!$AG$45</definedName>
    <definedName name="RESDEV_2Q06" localSheetId="10">Tags!$AL$45</definedName>
    <definedName name="RESDEV_2Q06">Tags_ols!$AL$45</definedName>
    <definedName name="RESDEV_2Q07" localSheetId="10">Tags!$AQ$45</definedName>
    <definedName name="RESDEV_2Q07">Tags_ols!$AQ$45</definedName>
    <definedName name="RESDEV_2Q08" localSheetId="10">Tags!$AV$45</definedName>
    <definedName name="RESDEV_2Q08">Tags_ols!$AV$45</definedName>
    <definedName name="RESDEV_2Q09" localSheetId="10">Tags!$BA$45</definedName>
    <definedName name="RESDEV_2Q09">Tags_ols!$BA$45</definedName>
    <definedName name="RESDEV_2Q10" localSheetId="10">Tags!$BF$45</definedName>
    <definedName name="RESDEV_2Q10">Tags_ols!$BF$45</definedName>
    <definedName name="RESDEV_2Q11" localSheetId="10">Tags!$BK$45</definedName>
    <definedName name="RESDEV_2Q11">Tags_ols!$BK$45</definedName>
    <definedName name="RESDEV_2Q12" localSheetId="10">Tags!$BP$45</definedName>
    <definedName name="RESDEV_2Q12">Tags_ols!$BP$45</definedName>
    <definedName name="RESDEV_2Q13" localSheetId="10">Tags!$BU$45</definedName>
    <definedName name="RESDEV_2Q13">Tags_ols!$BU$45</definedName>
    <definedName name="RESDEV_2Q14" localSheetId="10">Tags!$BZ$45</definedName>
    <definedName name="RESDEV_2Q14">Tags_ols!$BZ$45</definedName>
    <definedName name="RESDEV_2Q15" localSheetId="10">Tags!$CE$45</definedName>
    <definedName name="RESDEV_2Q15">Tags_ols!$CE$45</definedName>
    <definedName name="RESDEV_2Q16" localSheetId="10">Tags!$CJ$45</definedName>
    <definedName name="RESDEV_2Q16">Tags_ols!$CJ$45</definedName>
    <definedName name="RESDEV_2Q17" localSheetId="10">Tags!$CO$45</definedName>
    <definedName name="RESDEV_2Q17">Tags_ols!$CO$45</definedName>
    <definedName name="RESDEV_2Q18" localSheetId="10">Tags!$CT$45</definedName>
    <definedName name="RESDEV_2Q18">Tags_ols!$CT$45</definedName>
    <definedName name="RESDEV_2Q19" localSheetId="10">Tags!$CY$45</definedName>
    <definedName name="RESDEV_2Q19">Tags_ols!$CY$45</definedName>
    <definedName name="RESDEV_2Q20" localSheetId="10">Tags!$DD$45</definedName>
    <definedName name="RESDEV_2Q20">Tags_ols!$DD$45</definedName>
    <definedName name="RESDEV_2Q21">Tags!$DI$45</definedName>
    <definedName name="RESDEV_2Q22">Tags!$DN$45</definedName>
    <definedName name="RESDEV_2Q23">Tags!$DS$45</definedName>
    <definedName name="RESDEV_2Q24">Tags!$DX$45</definedName>
    <definedName name="RESDEV_3Q00" localSheetId="10">Tags!$I$45</definedName>
    <definedName name="RESDEV_3Q00">Tags_ols!$I$45</definedName>
    <definedName name="RESDEV_3Q01" localSheetId="10">Tags!$N$45</definedName>
    <definedName name="RESDEV_3Q01">Tags_ols!$N$45</definedName>
    <definedName name="RESDEV_3Q02" localSheetId="10">Tags!$S$45</definedName>
    <definedName name="RESDEV_3Q02">Tags_ols!$S$45</definedName>
    <definedName name="RESDEV_3Q03" localSheetId="10">Tags!$X$45</definedName>
    <definedName name="RESDEV_3Q03">Tags_ols!$X$45</definedName>
    <definedName name="RESDEV_3Q04" localSheetId="10">Tags!$AC$45</definedName>
    <definedName name="RESDEV_3Q04">Tags_ols!$AC$45</definedName>
    <definedName name="RESDEV_3Q05" localSheetId="10">Tags!$AH$45</definedName>
    <definedName name="RESDEV_3Q05">Tags_ols!$AH$45</definedName>
    <definedName name="RESDEV_3Q06" localSheetId="10">Tags!$AM$45</definedName>
    <definedName name="RESDEV_3Q06">Tags_ols!$AM$45</definedName>
    <definedName name="RESDEV_3Q07" localSheetId="10">Tags!$AR$45</definedName>
    <definedName name="RESDEV_3Q07">Tags_ols!$AR$45</definedName>
    <definedName name="RESDEV_3Q08" localSheetId="10">Tags!$AW$45</definedName>
    <definedName name="RESDEV_3Q08">Tags_ols!$AW$45</definedName>
    <definedName name="RESDEV_3Q09" localSheetId="10">Tags!$BB$45</definedName>
    <definedName name="RESDEV_3Q09">Tags_ols!$BB$45</definedName>
    <definedName name="RESDEV_3Q10" localSheetId="10">Tags!$BG$45</definedName>
    <definedName name="RESDEV_3Q10">Tags_ols!$BG$45</definedName>
    <definedName name="RESDEV_3Q11" localSheetId="10">Tags!$BL$45</definedName>
    <definedName name="RESDEV_3Q11">Tags_ols!$BL$45</definedName>
    <definedName name="RESDEV_3Q12" localSheetId="10">Tags!$BQ$45</definedName>
    <definedName name="RESDEV_3Q12">Tags_ols!$BQ$45</definedName>
    <definedName name="RESDEV_3Q13" localSheetId="10">Tags!$BV$45</definedName>
    <definedName name="RESDEV_3Q13">Tags_ols!$BV$45</definedName>
    <definedName name="RESDEV_3Q14" localSheetId="10">Tags!$CA$45</definedName>
    <definedName name="RESDEV_3Q14">Tags_ols!$CA$45</definedName>
    <definedName name="RESDEV_3Q15" localSheetId="10">Tags!$CF$45</definedName>
    <definedName name="RESDEV_3Q15">Tags_ols!$CF$45</definedName>
    <definedName name="RESDEV_3Q16" localSheetId="10">Tags!$CK$45</definedName>
    <definedName name="RESDEV_3Q16">Tags_ols!$CK$45</definedName>
    <definedName name="RESDEV_3Q17" localSheetId="10">Tags!$CP$45</definedName>
    <definedName name="RESDEV_3Q17">Tags_ols!$CP$45</definedName>
    <definedName name="RESDEV_3Q18" localSheetId="10">Tags!$CU$45</definedName>
    <definedName name="RESDEV_3Q18">Tags_ols!$CU$45</definedName>
    <definedName name="RESDEV_3Q19" localSheetId="10">Tags!$CZ$45</definedName>
    <definedName name="RESDEV_3Q19">Tags_ols!$CZ$45</definedName>
    <definedName name="RESDEV_3Q20" localSheetId="10">Tags!$DE$45</definedName>
    <definedName name="RESDEV_3Q20">Tags_ols!$DE$45</definedName>
    <definedName name="RESDEV_3Q21">Tags!$DJ$45</definedName>
    <definedName name="RESDEV_3Q22">Tags!$DO$45</definedName>
    <definedName name="RESDEV_3Q23">Tags!$DT$45</definedName>
    <definedName name="RESDEV_3Q24">Tags!$DY$45</definedName>
    <definedName name="RESDEV_4Q00" localSheetId="10">Tags!$J$45</definedName>
    <definedName name="RESDEV_4Q00">Tags_ols!$J$45</definedName>
    <definedName name="RESDEV_4Q01" localSheetId="10">Tags!$O$45</definedName>
    <definedName name="RESDEV_4Q01">Tags_ols!$O$45</definedName>
    <definedName name="RESDEV_4Q02" localSheetId="10">Tags!$T$45</definedName>
    <definedName name="RESDEV_4Q02">Tags_ols!$T$45</definedName>
    <definedName name="RESDEV_4Q03" localSheetId="10">Tags!$Y$45</definedName>
    <definedName name="RESDEV_4Q03">Tags_ols!$Y$45</definedName>
    <definedName name="RESDEV_4Q04" localSheetId="10">Tags!$AD$45</definedName>
    <definedName name="RESDEV_4Q04">Tags_ols!$AD$45</definedName>
    <definedName name="RESDEV_4Q05" localSheetId="10">Tags!$AI$45</definedName>
    <definedName name="RESDEV_4Q05">Tags_ols!$AI$45</definedName>
    <definedName name="RESDEV_4Q06" localSheetId="10">Tags!$AN$45</definedName>
    <definedName name="RESDEV_4Q06">Tags_ols!$AN$45</definedName>
    <definedName name="RESDEV_4Q07" localSheetId="10">Tags!$AS$45</definedName>
    <definedName name="RESDEV_4Q07">Tags_ols!$AS$45</definedName>
    <definedName name="RESDEV_4Q08" localSheetId="10">Tags!$AX$45</definedName>
    <definedName name="RESDEV_4Q08">Tags_ols!$AX$45</definedName>
    <definedName name="RESDEV_4Q09" localSheetId="10">Tags!$BC$45</definedName>
    <definedName name="RESDEV_4Q09">Tags_ols!$BC$45</definedName>
    <definedName name="RESDEV_4Q10" localSheetId="10">Tags!$BH$45</definedName>
    <definedName name="RESDEV_4Q10">Tags_ols!$BH$45</definedName>
    <definedName name="RESDEV_4Q11" localSheetId="10">Tags!$BM$45</definedName>
    <definedName name="RESDEV_4Q11">Tags_ols!$BM$45</definedName>
    <definedName name="RESDEV_4Q12" localSheetId="10">Tags!$BR$45</definedName>
    <definedName name="RESDEV_4Q12">Tags_ols!$BR$45</definedName>
    <definedName name="RESDEV_4Q13" localSheetId="10">Tags!$BW$45</definedName>
    <definedName name="RESDEV_4Q13">Tags_ols!$BW$45</definedName>
    <definedName name="RESDEV_4Q14" localSheetId="10">Tags!$CB$45</definedName>
    <definedName name="RESDEV_4Q14">Tags_ols!$CB$45</definedName>
    <definedName name="RESDEV_4Q15" localSheetId="10">Tags!$CG$45</definedName>
    <definedName name="RESDEV_4Q15">Tags_ols!$CG$45</definedName>
    <definedName name="RESDEV_4Q16" localSheetId="10">Tags!$CL$45</definedName>
    <definedName name="RESDEV_4Q16">Tags_ols!$CL$45</definedName>
    <definedName name="RESDEV_4Q17" localSheetId="10">Tags!$CQ$45</definedName>
    <definedName name="RESDEV_4Q17">Tags_ols!$CQ$45</definedName>
    <definedName name="RESDEV_4Q18" localSheetId="10">Tags!$CV$45</definedName>
    <definedName name="RESDEV_4Q18">Tags_ols!$CV$45</definedName>
    <definedName name="RESDEV_4Q19" localSheetId="10">Tags!$DA$45</definedName>
    <definedName name="RESDEV_4Q19">Tags_ols!$DA$45</definedName>
    <definedName name="RESDEV_4Q20" localSheetId="10">Tags!$DF$45</definedName>
    <definedName name="RESDEV_4Q20">Tags_ols!$DF$45</definedName>
    <definedName name="RESDEV_4Q21">Tags!$DK$45</definedName>
    <definedName name="RESDEV_4Q22">Tags!$DP$45</definedName>
    <definedName name="RESDEV_4Q23">Tags!$DU$45</definedName>
    <definedName name="RESDEV_4Q24">Tags!$DZ$45</definedName>
    <definedName name="restaure" localSheetId="9">Tags_ols!restaure</definedName>
    <definedName name="restaure" localSheetId="5">'TP Calculation'!restaure</definedName>
    <definedName name="restaure">Tags_ols!restaure</definedName>
    <definedName name="restaure2" localSheetId="9">Tags_ols!restaure2</definedName>
    <definedName name="restaure2" localSheetId="5">'TP Calculation'!restaure2</definedName>
    <definedName name="restaure2">Tags_ols!restaure2</definedName>
    <definedName name="rFSPresets">#REF!</definedName>
    <definedName name="RMT_DataBridge_Template_File">""</definedName>
    <definedName name="RMT_DataBridge_Template_Sheet">""</definedName>
    <definedName name="RMT_DataBridge_Template_Type">""</definedName>
    <definedName name="rng_Refresh">#REF!</definedName>
    <definedName name="s" localSheetId="9">Word</definedName>
    <definedName name="s" localSheetId="5">Word</definedName>
    <definedName name="s">Word</definedName>
    <definedName name="SaveNewFile" localSheetId="9">Tags_ols!SaveNewFile</definedName>
    <definedName name="SaveNewFile" localSheetId="5">'TP Calculation'!SaveNewFile</definedName>
    <definedName name="SaveNewFile">Tags_ols!SaveNewFile</definedName>
    <definedName name="sbenini" localSheetId="4" hidden="1">{#N/A,#N/A,FALSE,"Plan1";#N/A,#N/A,FALSE,"Plan2"}</definedName>
    <definedName name="sbenini" localSheetId="6" hidden="1">{#N/A,#N/A,FALSE,"Plan1";#N/A,#N/A,FALSE,"Plan2"}</definedName>
    <definedName name="sbenini" localSheetId="3" hidden="1">{#N/A,#N/A,FALSE,"Plan1";#N/A,#N/A,FALSE,"Plan2"}</definedName>
    <definedName name="sbenini" localSheetId="9" hidden="1">{#N/A,#N/A,FALSE,"Plan1";#N/A,#N/A,FALSE,"Plan2"}</definedName>
    <definedName name="sbenini" localSheetId="5" hidden="1">{#N/A,#N/A,FALSE,"Plan1";#N/A,#N/A,FALSE,"Plan2"}</definedName>
    <definedName name="sbenini" hidden="1">{#N/A,#N/A,FALSE,"Plan1";#N/A,#N/A,FALSE,"Plan2"}</definedName>
    <definedName name="SGA_1995">Tags_ols!$B$6</definedName>
    <definedName name="SGA_1996">Tags_ols!$C$6</definedName>
    <definedName name="SGA_1997">Tags_ols!$D$6</definedName>
    <definedName name="SGA_1998">Tags_ols!$E$6</definedName>
    <definedName name="SGA_1999">Tags_ols!$F$6</definedName>
    <definedName name="SGA_1Q00" localSheetId="10">Tags!$G$6</definedName>
    <definedName name="SGA_1Q00">Tags_ols!$G$6</definedName>
    <definedName name="SGA_1Q01" localSheetId="10">Tags!$L$6</definedName>
    <definedName name="SGA_1Q01">Tags_ols!$L$6</definedName>
    <definedName name="SGA_1Q02" localSheetId="10">Tags!$Q$6</definedName>
    <definedName name="SGA_1Q02">Tags_ols!$Q$6</definedName>
    <definedName name="SGA_1Q03" localSheetId="10">Tags!$V$6</definedName>
    <definedName name="SGA_1Q03">Tags_ols!$V$6</definedName>
    <definedName name="SGA_1Q04" localSheetId="10">Tags!$AA$6</definedName>
    <definedName name="SGA_1Q04">Tags_ols!$AA$6</definedName>
    <definedName name="SGA_1Q05" localSheetId="10">Tags!$AF$6</definedName>
    <definedName name="SGA_1Q05">Tags_ols!$AF$6</definedName>
    <definedName name="SGA_1Q06" localSheetId="10">Tags!$AK$6</definedName>
    <definedName name="SGA_1Q06">Tags_ols!$AK$6</definedName>
    <definedName name="SGA_1Q07" localSheetId="10">Tags!$AP$6</definedName>
    <definedName name="SGA_1Q07">Tags_ols!$AP$6</definedName>
    <definedName name="SGA_1Q08" localSheetId="10">Tags!$AU$6</definedName>
    <definedName name="SGA_1Q08">Tags_ols!$AU$6</definedName>
    <definedName name="SGA_1Q09" localSheetId="10">Tags!$AZ$6</definedName>
    <definedName name="SGA_1Q09">Tags_ols!$AZ$6</definedName>
    <definedName name="SGA_1Q10" localSheetId="10">Tags!$BE$6</definedName>
    <definedName name="SGA_1Q10">Tags_ols!$BE$6</definedName>
    <definedName name="SGA_1Q11" localSheetId="10">Tags!$BJ$6</definedName>
    <definedName name="SGA_1Q11">Tags_ols!$BJ$6</definedName>
    <definedName name="SGA_1Q12" localSheetId="10">Tags!$BO$6</definedName>
    <definedName name="SGA_1Q12">Tags_ols!$BO$6</definedName>
    <definedName name="SGA_1Q13" localSheetId="10">Tags!$BT$6</definedName>
    <definedName name="SGA_1Q13">Tags_ols!$BT$6</definedName>
    <definedName name="SGA_1Q14" localSheetId="10">Tags!$BY$6</definedName>
    <definedName name="SGA_1Q14">Tags_ols!$BY$6</definedName>
    <definedName name="SGA_1Q15" localSheetId="10">Tags!$CD$6</definedName>
    <definedName name="SGA_1Q15">Tags_ols!$CD$6</definedName>
    <definedName name="SGA_1Q16" localSheetId="10">Tags!$CI$6</definedName>
    <definedName name="SGA_1Q16">Tags_ols!$CI$6</definedName>
    <definedName name="SGA_1Q17" localSheetId="10">Tags!$CN$6</definedName>
    <definedName name="SGA_1Q17">Tags_ols!$CN$6</definedName>
    <definedName name="SGA_1Q18" localSheetId="10">Tags!$CS$6</definedName>
    <definedName name="SGA_1Q18">Tags_ols!$CS$6</definedName>
    <definedName name="SGA_1Q19" localSheetId="10">Tags!$CX$6</definedName>
    <definedName name="SGA_1Q19">Tags_ols!$CX$6</definedName>
    <definedName name="SGA_1Q20" localSheetId="10">Tags!$DC$6</definedName>
    <definedName name="SGA_1Q20">Tags_ols!$DC$6</definedName>
    <definedName name="SGA_1Q21">Tags!$DH$6</definedName>
    <definedName name="SGA_1Q22">Tags!$DM$6</definedName>
    <definedName name="SGA_1Q23">Tags!$DR$6</definedName>
    <definedName name="SGA_1Q24">Tags!$DW$6</definedName>
    <definedName name="SGA_2000" localSheetId="10">Tags!$K$6</definedName>
    <definedName name="SGA_2000">Tags_ols!$K$6</definedName>
    <definedName name="SGA_2001" localSheetId="10">Tags!$P$6</definedName>
    <definedName name="SGA_2001">Tags_ols!$P$6</definedName>
    <definedName name="SGA_2002" localSheetId="10">Tags!$U$6</definedName>
    <definedName name="SGA_2002">Tags_ols!$U$6</definedName>
    <definedName name="SGA_2003" localSheetId="10">Tags!$Z$6</definedName>
    <definedName name="SGA_2003">Tags_ols!$Z$6</definedName>
    <definedName name="SGA_2004" localSheetId="10">Tags!$AE$6</definedName>
    <definedName name="SGA_2004">Tags_ols!$AE$6</definedName>
    <definedName name="SGA_2005" localSheetId="10">Tags!$AJ$6</definedName>
    <definedName name="SGA_2005">Tags_ols!$AJ$6</definedName>
    <definedName name="SGA_2006" localSheetId="10">Tags!$AO$6</definedName>
    <definedName name="SGA_2006">Tags_ols!$AO$6</definedName>
    <definedName name="SGA_2007" localSheetId="10">Tags!$AT$6</definedName>
    <definedName name="SGA_2007">Tags_ols!$AT$6</definedName>
    <definedName name="SGA_2008" localSheetId="10">Tags!$AY$6</definedName>
    <definedName name="SGA_2008">Tags_ols!$AY$6</definedName>
    <definedName name="SGA_2009" localSheetId="10">Tags!$BD$6</definedName>
    <definedName name="SGA_2009">Tags_ols!$BD$6</definedName>
    <definedName name="SGA_2010" localSheetId="10">Tags!$BI$6</definedName>
    <definedName name="SGA_2010">Tags_ols!$BI$6</definedName>
    <definedName name="SGA_2011" localSheetId="10">Tags!$BN$6</definedName>
    <definedName name="SGA_2011">Tags_ols!$BN$6</definedName>
    <definedName name="SGA_2012" localSheetId="10">Tags!$BS$6</definedName>
    <definedName name="SGA_2012">Tags_ols!$BS$6</definedName>
    <definedName name="SGA_2013" localSheetId="10">Tags!$BX$6</definedName>
    <definedName name="SGA_2013">Tags_ols!$BX$6</definedName>
    <definedName name="SGA_2014" localSheetId="10">Tags!$CC$6</definedName>
    <definedName name="SGA_2014">Tags_ols!$CC$6</definedName>
    <definedName name="SGA_2015" localSheetId="10">Tags!#REF!</definedName>
    <definedName name="SGA_2015">Tags!$CH$6</definedName>
    <definedName name="SGA_2016" localSheetId="10">Tags!$CM$6</definedName>
    <definedName name="SGA_2016">Tags_ols!$CM$6</definedName>
    <definedName name="SGA_2017" localSheetId="10">Tags!$CR$6</definedName>
    <definedName name="SGA_2017">Tags_ols!$CR$6</definedName>
    <definedName name="SGA_2018" localSheetId="10">Tags!$CW$6</definedName>
    <definedName name="SGA_2018">Tags_ols!$CW$6</definedName>
    <definedName name="SGA_2019" localSheetId="10">Tags!$DB$6</definedName>
    <definedName name="SGA_2019">Tags_ols!$DB$6</definedName>
    <definedName name="SGA_2020" localSheetId="10">Tags!$DG$6</definedName>
    <definedName name="SGA_2020">Tags_ols!$DG$6</definedName>
    <definedName name="SGA_2021">Tags!$DL$6</definedName>
    <definedName name="SGA_2022">Tags!$DQ$6</definedName>
    <definedName name="SGA_2023">Tags!$DV$6</definedName>
    <definedName name="SGA_2024">Tags!$EA$6</definedName>
    <definedName name="SGA_2Q00" localSheetId="10">Tags!$H$6</definedName>
    <definedName name="SGA_2Q00">Tags_ols!$H$6</definedName>
    <definedName name="SGA_2Q01" localSheetId="10">Tags!$M$6</definedName>
    <definedName name="SGA_2Q01">Tags_ols!$M$6</definedName>
    <definedName name="SGA_2Q02" localSheetId="10">Tags!$R$6</definedName>
    <definedName name="SGA_2Q02">Tags_ols!$R$6</definedName>
    <definedName name="SGA_2Q03" localSheetId="10">Tags!$W$6</definedName>
    <definedName name="SGA_2Q03">Tags_ols!$W$6</definedName>
    <definedName name="SGA_2Q04" localSheetId="10">Tags!$AB$6</definedName>
    <definedName name="SGA_2Q04">Tags_ols!$AB$6</definedName>
    <definedName name="SGA_2Q05" localSheetId="10">Tags!$AG$6</definedName>
    <definedName name="SGA_2Q05">Tags_ols!$AG$6</definedName>
    <definedName name="SGA_2Q06" localSheetId="10">Tags!$AL$6</definedName>
    <definedName name="SGA_2Q06">Tags_ols!$AL$6</definedName>
    <definedName name="SGA_2Q07" localSheetId="10">Tags!$AQ$6</definedName>
    <definedName name="SGA_2Q07">Tags_ols!$AQ$6</definedName>
    <definedName name="SGA_2Q08" localSheetId="10">Tags!$AV$6</definedName>
    <definedName name="SGA_2Q08">Tags_ols!$AV$6</definedName>
    <definedName name="SGA_2Q09" localSheetId="10">Tags!$BA$6</definedName>
    <definedName name="SGA_2Q09">Tags_ols!$BA$6</definedName>
    <definedName name="SGA_2Q10" localSheetId="10">Tags!$BF$6</definedName>
    <definedName name="SGA_2Q10">Tags_ols!$BF$6</definedName>
    <definedName name="SGA_2Q11" localSheetId="10">Tags!$BK$6</definedName>
    <definedName name="SGA_2Q11">Tags_ols!$BK$6</definedName>
    <definedName name="SGA_2Q12" localSheetId="10">Tags!$BP$6</definedName>
    <definedName name="SGA_2Q12">Tags_ols!$BP$6</definedName>
    <definedName name="SGA_2Q13" localSheetId="10">Tags!$BU$6</definedName>
    <definedName name="SGA_2Q13">Tags_ols!$BU$6</definedName>
    <definedName name="SGA_2Q14" localSheetId="10">Tags!$BZ$6</definedName>
    <definedName name="SGA_2Q14">Tags_ols!$BZ$6</definedName>
    <definedName name="SGA_2Q15" localSheetId="10">Tags!$CE$6</definedName>
    <definedName name="SGA_2Q15">Tags_ols!$CE$6</definedName>
    <definedName name="SGA_2Q16" localSheetId="10">Tags!$CJ$6</definedName>
    <definedName name="SGA_2Q16">Tags_ols!$CJ$6</definedName>
    <definedName name="SGA_2Q17" localSheetId="10">Tags!$CO$6</definedName>
    <definedName name="SGA_2Q17">Tags_ols!$CO$6</definedName>
    <definedName name="SGA_2Q18" localSheetId="10">Tags!$CT$6</definedName>
    <definedName name="SGA_2Q18">Tags_ols!$CT$6</definedName>
    <definedName name="SGA_2Q19" localSheetId="10">Tags!$CY$6</definedName>
    <definedName name="SGA_2Q19">Tags_ols!$CY$6</definedName>
    <definedName name="SGA_2Q20" localSheetId="10">Tags!$DD$6</definedName>
    <definedName name="SGA_2Q20">Tags_ols!$DD$6</definedName>
    <definedName name="SGA_2Q21">Tags!$DI$6</definedName>
    <definedName name="SGA_2Q22">Tags!$DN$6</definedName>
    <definedName name="SGA_2Q23">Tags!$DS$6</definedName>
    <definedName name="SGA_2Q24">Tags!$DX$6</definedName>
    <definedName name="SGA_3Q00" localSheetId="10">Tags!$I$6</definedName>
    <definedName name="SGA_3Q00">Tags_ols!$I$6</definedName>
    <definedName name="SGA_3Q01" localSheetId="10">Tags!$N$6</definedName>
    <definedName name="SGA_3Q01">Tags_ols!$N$6</definedName>
    <definedName name="SGA_3Q02" localSheetId="10">Tags!$S$6</definedName>
    <definedName name="SGA_3Q02">Tags_ols!$S$6</definedName>
    <definedName name="SGA_3Q03" localSheetId="10">Tags!$X$6</definedName>
    <definedName name="SGA_3Q03">Tags_ols!$X$6</definedName>
    <definedName name="SGA_3Q04" localSheetId="10">Tags!$AC$6</definedName>
    <definedName name="SGA_3Q04">Tags_ols!$AC$6</definedName>
    <definedName name="SGA_3Q05" localSheetId="10">Tags!$AH$6</definedName>
    <definedName name="SGA_3Q05">Tags_ols!$AH$6</definedName>
    <definedName name="SGA_3Q06" localSheetId="10">Tags!$AM$6</definedName>
    <definedName name="SGA_3Q06">Tags_ols!$AM$6</definedName>
    <definedName name="SGA_3Q07" localSheetId="10">Tags!$AR$6</definedName>
    <definedName name="SGA_3Q07">Tags_ols!$AR$6</definedName>
    <definedName name="SGA_3Q08" localSheetId="10">Tags!$AW$6</definedName>
    <definedName name="SGA_3Q08">Tags_ols!$AW$6</definedName>
    <definedName name="SGA_3Q09" localSheetId="10">Tags!$BB$6</definedName>
    <definedName name="SGA_3Q09">Tags_ols!$BB$6</definedName>
    <definedName name="SGA_3Q10" localSheetId="10">Tags!$BG$6</definedName>
    <definedName name="SGA_3Q10">Tags_ols!$BG$6</definedName>
    <definedName name="SGA_3Q11" localSheetId="10">Tags!$BL$6</definedName>
    <definedName name="SGA_3Q11">Tags_ols!$BL$6</definedName>
    <definedName name="SGA_3Q12" localSheetId="10">Tags!$BQ$6</definedName>
    <definedName name="SGA_3Q12">Tags_ols!$BQ$6</definedName>
    <definedName name="SGA_3Q13" localSheetId="10">Tags!$BV$6</definedName>
    <definedName name="SGA_3Q13">Tags_ols!$BV$6</definedName>
    <definedName name="SGA_3Q14" localSheetId="10">Tags!$CA$6</definedName>
    <definedName name="SGA_3Q14">Tags_ols!$CA$6</definedName>
    <definedName name="SGA_3Q15" localSheetId="10">Tags!$CF$6</definedName>
    <definedName name="SGA_3Q15">Tags_ols!$CF$6</definedName>
    <definedName name="SGA_3Q16" localSheetId="10">Tags!$CK$6</definedName>
    <definedName name="SGA_3Q16">Tags_ols!$CK$6</definedName>
    <definedName name="SGA_3Q17" localSheetId="10">Tags!$CP$6</definedName>
    <definedName name="SGA_3Q17">Tags_ols!$CP$6</definedName>
    <definedName name="SGA_3Q18" localSheetId="10">Tags!$CU$6</definedName>
    <definedName name="SGA_3Q18">Tags_ols!$CU$6</definedName>
    <definedName name="SGA_3Q19" localSheetId="10">Tags!$CZ$6</definedName>
    <definedName name="SGA_3Q19">Tags_ols!$CZ$6</definedName>
    <definedName name="SGA_3Q20" localSheetId="10">Tags!$DE$6</definedName>
    <definedName name="SGA_3Q20">Tags_ols!$DE$6</definedName>
    <definedName name="SGA_3Q21">Tags!$DJ$6</definedName>
    <definedName name="SGA_3Q22">Tags!$DO$6</definedName>
    <definedName name="SGA_3Q23">Tags!$DT$6</definedName>
    <definedName name="SGA_3Q24">Tags!$DY$6</definedName>
    <definedName name="SGA_4Q00" localSheetId="10">Tags!$J$6</definedName>
    <definedName name="SGA_4Q00">Tags_ols!$J$6</definedName>
    <definedName name="SGA_4Q01" localSheetId="10">Tags!$O$6</definedName>
    <definedName name="SGA_4Q01">Tags_ols!$O$6</definedName>
    <definedName name="SGA_4Q02" localSheetId="10">Tags!$T$6</definedName>
    <definedName name="SGA_4Q02">Tags_ols!$T$6</definedName>
    <definedName name="SGA_4Q03" localSheetId="10">Tags!$Y$6</definedName>
    <definedName name="SGA_4Q03">Tags_ols!$Y$6</definedName>
    <definedName name="SGA_4Q04" localSheetId="10">Tags!$AD$6</definedName>
    <definedName name="SGA_4Q04">Tags_ols!$AD$6</definedName>
    <definedName name="SGA_4Q05" localSheetId="10">Tags!$AI$6</definedName>
    <definedName name="SGA_4Q05">Tags_ols!$AI$6</definedName>
    <definedName name="SGA_4Q06" localSheetId="10">Tags!$AN$6</definedName>
    <definedName name="SGA_4Q06">Tags_ols!$AN$6</definedName>
    <definedName name="SGA_4Q07" localSheetId="10">Tags!$AS$6</definedName>
    <definedName name="SGA_4Q07">Tags_ols!$AS$6</definedName>
    <definedName name="SGA_4Q08" localSheetId="10">Tags!$AX$6</definedName>
    <definedName name="SGA_4Q08">Tags_ols!$AX$6</definedName>
    <definedName name="SGA_4Q09" localSheetId="10">Tags!$BC$6</definedName>
    <definedName name="SGA_4Q09">Tags_ols!$BC$6</definedName>
    <definedName name="SGA_4Q10" localSheetId="10">Tags!$BH$6</definedName>
    <definedName name="SGA_4Q10">Tags_ols!$BH$6</definedName>
    <definedName name="SGA_4Q11" localSheetId="10">Tags!$BM$6</definedName>
    <definedName name="SGA_4Q11">Tags_ols!$BM$6</definedName>
    <definedName name="SGA_4Q12" localSheetId="10">Tags!$BR$6</definedName>
    <definedName name="SGA_4Q12">Tags_ols!$BR$6</definedName>
    <definedName name="SGA_4Q13" localSheetId="10">Tags!$BW$6</definedName>
    <definedName name="SGA_4Q13">Tags_ols!$BW$6</definedName>
    <definedName name="SGA_4Q14" localSheetId="10">Tags!$CB$6</definedName>
    <definedName name="SGA_4Q14">Tags_ols!$CB$6</definedName>
    <definedName name="SGA_4Q15" localSheetId="10">Tags!$CG$6</definedName>
    <definedName name="SGA_4Q15">Tags_ols!$CG$6</definedName>
    <definedName name="SGA_4Q16" localSheetId="10">Tags!$CL$6</definedName>
    <definedName name="SGA_4Q16">Tags_ols!$CL$6</definedName>
    <definedName name="SGA_4Q17" localSheetId="10">Tags!$CQ$6</definedName>
    <definedName name="SGA_4Q17">Tags_ols!$CQ$6</definedName>
    <definedName name="SGA_4Q18" localSheetId="10">Tags!$CV$6</definedName>
    <definedName name="SGA_4Q18">Tags_ols!$CV$6</definedName>
    <definedName name="SGA_4Q19" localSheetId="10">Tags!$DA$6</definedName>
    <definedName name="SGA_4Q19">Tags_ols!$DA$6</definedName>
    <definedName name="SGA_4Q20" localSheetId="10">Tags!$DF$6</definedName>
    <definedName name="SGA_4Q20">Tags_ols!$DF$6</definedName>
    <definedName name="SGA_4Q21">Tags!$DK$6</definedName>
    <definedName name="SGA_4Q22">Tags!$DP$6</definedName>
    <definedName name="SGA_4Q23">Tags!$DU$6</definedName>
    <definedName name="SGA_4Q24">Tags!$DZ$6</definedName>
    <definedName name="SOEEAT_1995">Tags_ols!$B$46</definedName>
    <definedName name="SOEEAT_1996">Tags_ols!$C$46</definedName>
    <definedName name="SOEEAT_1997">Tags_ols!$D$46</definedName>
    <definedName name="SOEEAT_1998">Tags_ols!$E$46</definedName>
    <definedName name="SOEEAT_1999">Tags_ols!$F$46</definedName>
    <definedName name="SOEEAT_1Q00" localSheetId="10">Tags!$G$46</definedName>
    <definedName name="SOEEAT_1Q00">Tags_ols!$G$46</definedName>
    <definedName name="SOEEAT_1Q01" localSheetId="10">Tags!$L$46</definedName>
    <definedName name="SOEEAT_1Q01">Tags_ols!$L$46</definedName>
    <definedName name="SOEEAT_1Q02" localSheetId="10">Tags!$Q$46</definedName>
    <definedName name="SOEEAT_1Q02">Tags_ols!$Q$46</definedName>
    <definedName name="SOEEAT_1Q03" localSheetId="10">Tags!$V$46</definedName>
    <definedName name="SOEEAT_1Q03">Tags_ols!$V$46</definedName>
    <definedName name="SOEEAT_1Q04" localSheetId="10">Tags!$AA$46</definedName>
    <definedName name="SOEEAT_1Q04">Tags_ols!$AA$46</definedName>
    <definedName name="SOEEAT_1Q05" localSheetId="10">Tags!$AF$46</definedName>
    <definedName name="SOEEAT_1Q05">Tags_ols!$AF$46</definedName>
    <definedName name="SOEEAT_1Q06" localSheetId="10">Tags!$AK$46</definedName>
    <definedName name="SOEEAT_1Q06">Tags_ols!$AK$46</definedName>
    <definedName name="SOEEAT_1Q07" localSheetId="10">Tags!$AP$46</definedName>
    <definedName name="SOEEAT_1Q07">Tags_ols!$AP$46</definedName>
    <definedName name="SOEEAT_1Q08" localSheetId="10">Tags!$AU$46</definedName>
    <definedName name="SOEEAT_1Q08">Tags_ols!$AU$46</definedName>
    <definedName name="SOEEAT_1Q09" localSheetId="10">Tags!$AZ$46</definedName>
    <definedName name="SOEEAT_1Q09">Tags_ols!$AZ$46</definedName>
    <definedName name="SOEEAT_1Q10" localSheetId="10">Tags!$BE$46</definedName>
    <definedName name="SOEEAT_1Q10">Tags_ols!$BE$46</definedName>
    <definedName name="SOEEAT_1Q11" localSheetId="10">Tags!$BJ$46</definedName>
    <definedName name="SOEEAT_1Q11">Tags_ols!$BJ$46</definedName>
    <definedName name="SOEEAT_1Q12" localSheetId="10">Tags!$BO$46</definedName>
    <definedName name="SOEEAT_1Q12">Tags_ols!$BO$46</definedName>
    <definedName name="SOEEAT_1Q13" localSheetId="10">Tags!$BT$46</definedName>
    <definedName name="SOEEAT_1Q13">Tags_ols!$BT$46</definedName>
    <definedName name="SOEEAT_1Q14" localSheetId="10">Tags!$BY$46</definedName>
    <definedName name="SOEEAT_1Q14">Tags_ols!$BY$46</definedName>
    <definedName name="SOEEAT_1Q15" localSheetId="10">Tags!$CD$46</definedName>
    <definedName name="SOEEAT_1Q15">Tags_ols!$CD$46</definedName>
    <definedName name="SOEEAT_1Q16" localSheetId="10">Tags!$CI$46</definedName>
    <definedName name="SOEEAT_1Q16">Tags_ols!$CI$46</definedName>
    <definedName name="SOEEAT_1Q17" localSheetId="10">Tags!$CN$46</definedName>
    <definedName name="SOEEAT_1Q17">Tags_ols!$CN$46</definedName>
    <definedName name="SOEEAT_1Q18" localSheetId="10">Tags!$CS$46</definedName>
    <definedName name="SOEEAT_1Q18">Tags_ols!$CS$46</definedName>
    <definedName name="SOEEAT_1Q19" localSheetId="10">Tags!$CX$46</definedName>
    <definedName name="SOEEAT_1Q19">Tags_ols!$CX$46</definedName>
    <definedName name="SOEEAT_1Q20" localSheetId="10">Tags!$DC$46</definedName>
    <definedName name="SOEEAT_1Q20">Tags_ols!$DC$46</definedName>
    <definedName name="SOEEAT_1Q21">Tags!$DH$46</definedName>
    <definedName name="SOEEAT_1Q22">Tags!$DM$46</definedName>
    <definedName name="SOEEAT_1Q23">Tags!$DR$46</definedName>
    <definedName name="SOEEAT_1Q24">Tags!$DW$46</definedName>
    <definedName name="SOEEAT_2000" localSheetId="10">Tags!$K$46</definedName>
    <definedName name="SOEEAT_2000">Tags_ols!$K$46</definedName>
    <definedName name="SOEEAT_2001" localSheetId="10">Tags!$P$46</definedName>
    <definedName name="SOEEAT_2001">Tags_ols!$P$46</definedName>
    <definedName name="SOEEAT_2002" localSheetId="10">Tags!$U$46</definedName>
    <definedName name="SOEEAT_2002">Tags_ols!$U$46</definedName>
    <definedName name="SOEEAT_2003" localSheetId="10">Tags!$Z$46</definedName>
    <definedName name="SOEEAT_2003">Tags_ols!$Z$46</definedName>
    <definedName name="SOEEAT_2004" localSheetId="10">Tags!$AE$46</definedName>
    <definedName name="SOEEAT_2004">Tags_ols!$AE$46</definedName>
    <definedName name="SOEEAT_2005" localSheetId="10">Tags!$AJ$46</definedName>
    <definedName name="SOEEAT_2005">Tags_ols!$AJ$46</definedName>
    <definedName name="SOEEAT_2006" localSheetId="10">Tags!$AO$46</definedName>
    <definedName name="SOEEAT_2006">Tags_ols!$AO$46</definedName>
    <definedName name="SOEEAT_2007" localSheetId="10">Tags!$AT$46</definedName>
    <definedName name="SOEEAT_2007">Tags_ols!$AT$46</definedName>
    <definedName name="SOEEAT_2008" localSheetId="10">Tags!$AY$46</definedName>
    <definedName name="SOEEAT_2008">Tags_ols!$AY$46</definedName>
    <definedName name="SOEEAT_2009" localSheetId="10">Tags!$BD$46</definedName>
    <definedName name="SOEEAT_2009">Tags_ols!$BD$46</definedName>
    <definedName name="SOEEAT_2010" localSheetId="10">Tags!$BI$46</definedName>
    <definedName name="SOEEAT_2010">Tags_ols!$BI$46</definedName>
    <definedName name="SOEEAT_2011" localSheetId="10">Tags!$BN$46</definedName>
    <definedName name="SOEEAT_2011">Tags_ols!$BN$46</definedName>
    <definedName name="SOEEAT_2012" localSheetId="10">Tags!$BS$46</definedName>
    <definedName name="SOEEAT_2012">Tags_ols!$BS$46</definedName>
    <definedName name="SOEEAT_2013" localSheetId="10">Tags!$BX$46</definedName>
    <definedName name="SOEEAT_2013">Tags_ols!$BX$46</definedName>
    <definedName name="SOEEAT_2014" localSheetId="10">Tags!$CC$46</definedName>
    <definedName name="SOEEAT_2014">Tags_ols!$CC$46</definedName>
    <definedName name="SOEEAT_2015" localSheetId="10">Tags!#REF!</definedName>
    <definedName name="SOEEAT_2015">Tags!$CH$46</definedName>
    <definedName name="SOEEAT_2016" localSheetId="10">Tags!$CM$46</definedName>
    <definedName name="SOEEAT_2016">Tags_ols!$CM$46</definedName>
    <definedName name="SOEEAT_2017" localSheetId="10">Tags!$CR$46</definedName>
    <definedName name="SOEEAT_2017">Tags_ols!$CR$46</definedName>
    <definedName name="SOEEAT_2018" localSheetId="10">Tags!$CW$46</definedName>
    <definedName name="SOEEAT_2018">Tags_ols!$CW$46</definedName>
    <definedName name="SOEEAT_2019" localSheetId="10">Tags!$DB$46</definedName>
    <definedName name="SOEEAT_2019">Tags_ols!$DB$46</definedName>
    <definedName name="SOEEAT_2020" localSheetId="10">Tags!$DG$46</definedName>
    <definedName name="SOEEAT_2020">Tags_ols!$DG$46</definedName>
    <definedName name="SOEEAT_2021">Tags!$DL$46</definedName>
    <definedName name="SOEEAT_2022">Tags!$DQ$46</definedName>
    <definedName name="SOEEAT_2023">Tags!$DV$46</definedName>
    <definedName name="SOEEAT_2024">Tags!$EA$46</definedName>
    <definedName name="SOEEAT_2Q00" localSheetId="10">Tags!$H$46</definedName>
    <definedName name="SOEEAT_2Q00">Tags_ols!$H$46</definedName>
    <definedName name="SOEEAT_2Q01" localSheetId="10">Tags!$M$46</definedName>
    <definedName name="SOEEAT_2Q01">Tags_ols!$M$46</definedName>
    <definedName name="SOEEAT_2Q02" localSheetId="10">Tags!$R$46</definedName>
    <definedName name="SOEEAT_2Q02">Tags_ols!$R$46</definedName>
    <definedName name="SOEEAT_2Q03" localSheetId="10">Tags!$W$46</definedName>
    <definedName name="SOEEAT_2Q03">Tags_ols!$W$46</definedName>
    <definedName name="SOEEAT_2Q04" localSheetId="10">Tags!$AB$46</definedName>
    <definedName name="SOEEAT_2Q04">Tags_ols!$AB$46</definedName>
    <definedName name="SOEEAT_2Q05" localSheetId="10">Tags!$AG$46</definedName>
    <definedName name="SOEEAT_2Q05">Tags_ols!$AG$46</definedName>
    <definedName name="SOEEAT_2Q06" localSheetId="10">Tags!$AL$46</definedName>
    <definedName name="SOEEAT_2Q06">Tags_ols!$AL$46</definedName>
    <definedName name="SOEEAT_2Q07" localSheetId="10">Tags!$AQ$46</definedName>
    <definedName name="SOEEAT_2Q07">Tags_ols!$AQ$46</definedName>
    <definedName name="SOEEAT_2Q08" localSheetId="10">Tags!$AV$46</definedName>
    <definedName name="SOEEAT_2Q08">Tags_ols!$AV$46</definedName>
    <definedName name="SOEEAT_2Q09" localSheetId="10">Tags!$BA$46</definedName>
    <definedName name="SOEEAT_2Q09">Tags_ols!$BA$46</definedName>
    <definedName name="SOEEAT_2Q10" localSheetId="10">Tags!$BF$46</definedName>
    <definedName name="SOEEAT_2Q10">Tags_ols!$BF$46</definedName>
    <definedName name="SOEEAT_2Q11" localSheetId="10">Tags!$BK$46</definedName>
    <definedName name="SOEEAT_2Q11">Tags_ols!$BK$46</definedName>
    <definedName name="SOEEAT_2Q12" localSheetId="10">Tags!$BP$46</definedName>
    <definedName name="SOEEAT_2Q12">Tags_ols!$BP$46</definedName>
    <definedName name="SOEEAT_2Q13" localSheetId="10">Tags!$BU$46</definedName>
    <definedName name="SOEEAT_2Q13">Tags_ols!$BU$46</definedName>
    <definedName name="SOEEAT_2Q14" localSheetId="10">Tags!$BZ$46</definedName>
    <definedName name="SOEEAT_2Q14">Tags_ols!$BZ$46</definedName>
    <definedName name="SOEEAT_2Q15" localSheetId="10">Tags!$CE$46</definedName>
    <definedName name="SOEEAT_2Q15">Tags_ols!$CE$46</definedName>
    <definedName name="SOEEAT_2Q16" localSheetId="10">Tags!$CJ$46</definedName>
    <definedName name="SOEEAT_2Q16">Tags_ols!$CJ$46</definedName>
    <definedName name="SOEEAT_2Q17" localSheetId="10">Tags!$CO$46</definedName>
    <definedName name="SOEEAT_2Q17">Tags_ols!$CO$46</definedName>
    <definedName name="SOEEAT_2Q18" localSheetId="10">Tags!$CT$46</definedName>
    <definedName name="SOEEAT_2Q18">Tags_ols!$CT$46</definedName>
    <definedName name="SOEEAT_2Q19" localSheetId="10">Tags!$CY$46</definedName>
    <definedName name="SOEEAT_2Q19">Tags_ols!$CY$46</definedName>
    <definedName name="SOEEAT_2Q20" localSheetId="10">Tags!$DD$46</definedName>
    <definedName name="SOEEAT_2Q20">Tags_ols!$DD$46</definedName>
    <definedName name="SOEEAT_2Q21">Tags!$DI$46</definedName>
    <definedName name="SOEEAT_2Q22">Tags!$DN$46</definedName>
    <definedName name="SOEEAT_2Q23">Tags!$DS$46</definedName>
    <definedName name="SOEEAT_2Q24">Tags!$DX$46</definedName>
    <definedName name="SOEEAT_3Q00" localSheetId="10">Tags!$I$46</definedName>
    <definedName name="SOEEAT_3Q00">Tags_ols!$I$46</definedName>
    <definedName name="SOEEAT_3Q01" localSheetId="10">Tags!$N$46</definedName>
    <definedName name="SOEEAT_3Q01">Tags_ols!$N$46</definedName>
    <definedName name="SOEEAT_3Q02" localSheetId="10">Tags!$S$46</definedName>
    <definedName name="SOEEAT_3Q02">Tags_ols!$S$46</definedName>
    <definedName name="SOEEAT_3Q03" localSheetId="10">Tags!$X$46</definedName>
    <definedName name="SOEEAT_3Q03">Tags_ols!$X$46</definedName>
    <definedName name="SOEEAT_3Q04" localSheetId="10">Tags!$AC$46</definedName>
    <definedName name="SOEEAT_3Q04">Tags_ols!$AC$46</definedName>
    <definedName name="SOEEAT_3Q05" localSheetId="10">Tags!$AH$46</definedName>
    <definedName name="SOEEAT_3Q05">Tags_ols!$AH$46</definedName>
    <definedName name="SOEEAT_3Q06" localSheetId="10">Tags!$AM$46</definedName>
    <definedName name="SOEEAT_3Q06">Tags_ols!$AM$46</definedName>
    <definedName name="SOEEAT_3Q07" localSheetId="10">Tags!$AR$46</definedName>
    <definedName name="SOEEAT_3Q07">Tags_ols!$AR$46</definedName>
    <definedName name="SOEEAT_3Q08" localSheetId="10">Tags!$AW$46</definedName>
    <definedName name="SOEEAT_3Q08">Tags_ols!$AW$46</definedName>
    <definedName name="SOEEAT_3Q09" localSheetId="10">Tags!$BB$46</definedName>
    <definedName name="SOEEAT_3Q09">Tags_ols!$BB$46</definedName>
    <definedName name="SOEEAT_3Q10" localSheetId="10">Tags!$BG$46</definedName>
    <definedName name="SOEEAT_3Q10">Tags_ols!$BG$46</definedName>
    <definedName name="SOEEAT_3Q11" localSheetId="10">Tags!$BL$46</definedName>
    <definedName name="SOEEAT_3Q11">Tags_ols!$BL$46</definedName>
    <definedName name="SOEEAT_3Q12" localSheetId="10">Tags!$BQ$46</definedName>
    <definedName name="SOEEAT_3Q12">Tags_ols!$BQ$46</definedName>
    <definedName name="SOEEAT_3Q13" localSheetId="10">Tags!$BV$46</definedName>
    <definedName name="SOEEAT_3Q13">Tags_ols!$BV$46</definedName>
    <definedName name="SOEEAT_3Q14" localSheetId="10">Tags!$CA$46</definedName>
    <definedName name="SOEEAT_3Q14">Tags_ols!$CA$46</definedName>
    <definedName name="SOEEAT_3Q15" localSheetId="10">Tags!$CF$46</definedName>
    <definedName name="SOEEAT_3Q15">Tags_ols!$CF$46</definedName>
    <definedName name="SOEEAT_3Q16" localSheetId="10">Tags!$CK$46</definedName>
    <definedName name="SOEEAT_3Q16">Tags_ols!$CK$46</definedName>
    <definedName name="SOEEAT_3Q17" localSheetId="10">Tags!$CP$46</definedName>
    <definedName name="SOEEAT_3Q17">Tags_ols!$CP$46</definedName>
    <definedName name="SOEEAT_3Q18" localSheetId="10">Tags!$CU$46</definedName>
    <definedName name="SOEEAT_3Q18">Tags_ols!$CU$46</definedName>
    <definedName name="SOEEAT_3Q19" localSheetId="10">Tags!$CZ$46</definedName>
    <definedName name="SOEEAT_3Q19">Tags_ols!$CZ$46</definedName>
    <definedName name="SOEEAT_3Q20" localSheetId="10">Tags!$DE$46</definedName>
    <definedName name="SOEEAT_3Q20">Tags_ols!$DE$46</definedName>
    <definedName name="SOEEAT_3Q21">Tags!$DJ$46</definedName>
    <definedName name="SOEEAT_3Q22">Tags!$DO$46</definedName>
    <definedName name="SOEEAT_3Q23">Tags!$DT$46</definedName>
    <definedName name="SOEEAT_3Q24">Tags!$DY$46</definedName>
    <definedName name="SOEEAT_4Q00" localSheetId="10">Tags!$J$46</definedName>
    <definedName name="SOEEAT_4Q00">Tags_ols!$J$46</definedName>
    <definedName name="SOEEAT_4Q01" localSheetId="10">Tags!$O$46</definedName>
    <definedName name="SOEEAT_4Q01">Tags_ols!$O$46</definedName>
    <definedName name="SOEEAT_4Q02" localSheetId="10">Tags!$T$46</definedName>
    <definedName name="SOEEAT_4Q02">Tags_ols!$T$46</definedName>
    <definedName name="SOEEAT_4Q03" localSheetId="10">Tags!$Y$46</definedName>
    <definedName name="SOEEAT_4Q03">Tags_ols!$Y$46</definedName>
    <definedName name="SOEEAT_4Q04" localSheetId="10">Tags!$AD$46</definedName>
    <definedName name="SOEEAT_4Q04">Tags_ols!$AD$46</definedName>
    <definedName name="SOEEAT_4Q05" localSheetId="10">Tags!$AI$46</definedName>
    <definedName name="SOEEAT_4Q05">Tags_ols!$AI$46</definedName>
    <definedName name="SOEEAT_4Q06" localSheetId="10">Tags!$AN$46</definedName>
    <definedName name="SOEEAT_4Q06">Tags_ols!$AN$46</definedName>
    <definedName name="SOEEAT_4Q07" localSheetId="10">Tags!$AS$46</definedName>
    <definedName name="SOEEAT_4Q07">Tags_ols!$AS$46</definedName>
    <definedName name="SOEEAT_4Q08" localSheetId="10">Tags!$AX$46</definedName>
    <definedName name="SOEEAT_4Q08">Tags_ols!$AX$46</definedName>
    <definedName name="SOEEAT_4Q09" localSheetId="10">Tags!$BC$46</definedName>
    <definedName name="SOEEAT_4Q09">Tags_ols!$BC$46</definedName>
    <definedName name="SOEEAT_4Q10" localSheetId="10">Tags!$BH$46</definedName>
    <definedName name="SOEEAT_4Q10">Tags_ols!$BH$46</definedName>
    <definedName name="SOEEAT_4Q11" localSheetId="10">Tags!$BM$46</definedName>
    <definedName name="SOEEAT_4Q11">Tags_ols!$BM$46</definedName>
    <definedName name="SOEEAT_4Q12" localSheetId="10">Tags!$BR$46</definedName>
    <definedName name="SOEEAT_4Q12">Tags_ols!$BR$46</definedName>
    <definedName name="SOEEAT_4Q13" localSheetId="10">Tags!$BW$46</definedName>
    <definedName name="SOEEAT_4Q13">Tags_ols!$BW$46</definedName>
    <definedName name="SOEEAT_4Q14" localSheetId="10">Tags!$CB$46</definedName>
    <definedName name="SOEEAT_4Q14">Tags_ols!$CB$46</definedName>
    <definedName name="SOEEAT_4Q15" localSheetId="10">Tags!$CG$46</definedName>
    <definedName name="SOEEAT_4Q15">Tags_ols!$CG$46</definedName>
    <definedName name="SOEEAT_4Q16" localSheetId="10">Tags!$CL$46</definedName>
    <definedName name="SOEEAT_4Q16">Tags_ols!$CL$46</definedName>
    <definedName name="SOEEAT_4Q17" localSheetId="10">Tags!$CQ$46</definedName>
    <definedName name="SOEEAT_4Q17">Tags_ols!$CQ$46</definedName>
    <definedName name="SOEEAT_4Q18" localSheetId="10">Tags!$CV$46</definedName>
    <definedName name="SOEEAT_4Q18">Tags_ols!$CV$46</definedName>
    <definedName name="SOEEAT_4Q19" localSheetId="10">Tags!$DA$46</definedName>
    <definedName name="SOEEAT_4Q19">Tags_ols!$DA$46</definedName>
    <definedName name="SOEEAT_4Q20" localSheetId="10">Tags!$DF$46</definedName>
    <definedName name="SOEEAT_4Q20">Tags_ols!$DF$46</definedName>
    <definedName name="SOEEAT_4Q21">Tags!$DK$46</definedName>
    <definedName name="SOEEAT_4Q22">Tags!$DP$46</definedName>
    <definedName name="SOEEAT_4Q23">Tags!$DU$46</definedName>
    <definedName name="SOEEAT_4Q24">Tags!$DZ$46</definedName>
    <definedName name="solver_lin" hidden="1">0</definedName>
    <definedName name="SPEDIV_1995">Tags_ols!$B$27</definedName>
    <definedName name="SPEDIV_1996">Tags_ols!$C$27</definedName>
    <definedName name="SPEDIV_1997">Tags_ols!$D$27</definedName>
    <definedName name="SPEDIV_1998">Tags_ols!$E$27</definedName>
    <definedName name="SPEDIV_1999">Tags_ols!$F$27</definedName>
    <definedName name="SPEDIV_1Q00" localSheetId="10">Tags!$G$27</definedName>
    <definedName name="SPEDIV_1Q00">Tags_ols!$G$27</definedName>
    <definedName name="SPEDIV_1Q01" localSheetId="10">Tags!$L$27</definedName>
    <definedName name="SPEDIV_1Q01">Tags_ols!$L$27</definedName>
    <definedName name="SPEDIV_1Q02" localSheetId="10">Tags!$Q$27</definedName>
    <definedName name="SPEDIV_1Q02">Tags_ols!$Q$27</definedName>
    <definedName name="SPEDIV_1Q03" localSheetId="10">Tags!$V$27</definedName>
    <definedName name="SPEDIV_1Q03">Tags_ols!$V$27</definedName>
    <definedName name="SPEDIV_1Q04" localSheetId="10">Tags!$AA$27</definedName>
    <definedName name="SPEDIV_1Q04">Tags_ols!$AA$27</definedName>
    <definedName name="SPEDIV_1Q05" localSheetId="10">Tags!$AF$27</definedName>
    <definedName name="SPEDIV_1Q05">Tags_ols!$AF$27</definedName>
    <definedName name="SPEDIV_1Q06" localSheetId="10">Tags!$AK$27</definedName>
    <definedName name="SPEDIV_1Q06">Tags_ols!$AK$27</definedName>
    <definedName name="SPEDIV_1Q07" localSheetId="10">Tags!$AP$27</definedName>
    <definedName name="SPEDIV_1Q07">Tags_ols!$AP$27</definedName>
    <definedName name="SPEDIV_1Q08" localSheetId="10">Tags!$AU$27</definedName>
    <definedName name="SPEDIV_1Q08">Tags_ols!$AU$27</definedName>
    <definedName name="SPEDIV_1Q09" localSheetId="10">Tags!$AZ$27</definedName>
    <definedName name="SPEDIV_1Q09">Tags_ols!$AZ$27</definedName>
    <definedName name="SPEDIV_1Q10" localSheetId="10">Tags!$BE$27</definedName>
    <definedName name="SPEDIV_1Q10">Tags_ols!$BE$27</definedName>
    <definedName name="SPEDIV_1Q11" localSheetId="10">Tags!$BJ$27</definedName>
    <definedName name="SPEDIV_1Q11">Tags_ols!$BJ$27</definedName>
    <definedName name="SPEDIV_1Q12" localSheetId="10">Tags!$BO$27</definedName>
    <definedName name="SPEDIV_1Q12">Tags_ols!$BO$27</definedName>
    <definedName name="SPEDIV_1Q13" localSheetId="10">Tags!$BT$27</definedName>
    <definedName name="SPEDIV_1Q13">Tags_ols!$BT$27</definedName>
    <definedName name="SPEDIV_1Q14" localSheetId="10">Tags!$BY$27</definedName>
    <definedName name="SPEDIV_1Q14">Tags_ols!$BY$27</definedName>
    <definedName name="SPEDIV_1Q15" localSheetId="10">Tags!$CD$27</definedName>
    <definedName name="SPEDIV_1Q15">Tags_ols!$CD$27</definedName>
    <definedName name="SPEDIV_1Q16" localSheetId="10">Tags!$CI$27</definedName>
    <definedName name="SPEDIV_1Q16">Tags_ols!$CI$27</definedName>
    <definedName name="SPEDIV_1Q17" localSheetId="10">Tags!$CN$27</definedName>
    <definedName name="SPEDIV_1Q17">Tags_ols!$CN$27</definedName>
    <definedName name="SPEDIV_1Q18" localSheetId="10">Tags!$CS$27</definedName>
    <definedName name="SPEDIV_1Q18">Tags_ols!$CS$27</definedName>
    <definedName name="SPEDIV_1Q19" localSheetId="10">Tags!$CX$27</definedName>
    <definedName name="SPEDIV_1Q19">Tags_ols!$CX$27</definedName>
    <definedName name="SPEDIV_1Q20" localSheetId="10">Tags!$DC$27</definedName>
    <definedName name="SPEDIV_1Q20">Tags_ols!$DC$27</definedName>
    <definedName name="SPEDIV_1Q21">Tags!$DH$27</definedName>
    <definedName name="SPEDIV_1Q22">Tags!$DM$27</definedName>
    <definedName name="SPEDIV_1Q23">Tags!$DR$27</definedName>
    <definedName name="SPEDIV_1Q24">Tags!$DW$27</definedName>
    <definedName name="SPEDIV_2000" localSheetId="10">Tags!$K$27</definedName>
    <definedName name="SPEDIV_2000">Tags_ols!$K$27</definedName>
    <definedName name="SPEDIV_2001" localSheetId="10">Tags!$P$27</definedName>
    <definedName name="SPEDIV_2001">Tags_ols!$P$27</definedName>
    <definedName name="SPEDIV_2002" localSheetId="10">Tags!$U$27</definedName>
    <definedName name="SPEDIV_2002">Tags_ols!$U$27</definedName>
    <definedName name="SPEDIV_2003" localSheetId="10">Tags!$Z$27</definedName>
    <definedName name="SPEDIV_2003">Tags_ols!$Z$27</definedName>
    <definedName name="SPEDIV_2004" localSheetId="10">Tags!$AE$27</definedName>
    <definedName name="SPEDIV_2004">Tags_ols!$AE$27</definedName>
    <definedName name="SPEDIV_2005" localSheetId="10">Tags!$AJ$27</definedName>
    <definedName name="SPEDIV_2005">Tags_ols!$AJ$27</definedName>
    <definedName name="SPEDIV_2006" localSheetId="10">Tags!$AO$27</definedName>
    <definedName name="SPEDIV_2006">Tags_ols!$AO$27</definedName>
    <definedName name="SPEDIV_2007" localSheetId="10">Tags!$AT$27</definedName>
    <definedName name="SPEDIV_2007">Tags_ols!$AT$27</definedName>
    <definedName name="SPEDIV_2008" localSheetId="10">Tags!$AY$27</definedName>
    <definedName name="SPEDIV_2008">Tags_ols!$AY$27</definedName>
    <definedName name="SPEDIV_2009" localSheetId="10">Tags!$BD$27</definedName>
    <definedName name="SPEDIV_2009">Tags_ols!$BD$27</definedName>
    <definedName name="SPEDIV_2010" localSheetId="10">Tags!$BI$27</definedName>
    <definedName name="SPEDIV_2010">Tags_ols!$BI$27</definedName>
    <definedName name="SPEDIV_2011" localSheetId="10">Tags!$BN$27</definedName>
    <definedName name="SPEDIV_2011">Tags_ols!$BN$27</definedName>
    <definedName name="SPEDIV_2012" localSheetId="10">Tags!$BS$27</definedName>
    <definedName name="SPEDIV_2012">Tags_ols!$BS$27</definedName>
    <definedName name="SPEDIV_2013" localSheetId="10">Tags!$BX$27</definedName>
    <definedName name="SPEDIV_2013">Tags_ols!$BX$27</definedName>
    <definedName name="SPEDIV_2014" localSheetId="10">Tags!$CC$27</definedName>
    <definedName name="SPEDIV_2014">Tags_ols!$CC$27</definedName>
    <definedName name="SPEDIV_2015" localSheetId="10">Tags!#REF!</definedName>
    <definedName name="SPEDIV_2015">Tags!$CH$27</definedName>
    <definedName name="SPEDIV_2016" localSheetId="10">Tags!$CM$27</definedName>
    <definedName name="SPEDIV_2016">Tags_ols!$CM$27</definedName>
    <definedName name="SPEDIV_2017" localSheetId="10">Tags!$CR$27</definedName>
    <definedName name="SPEDIV_2017">Tags_ols!$CR$27</definedName>
    <definedName name="SPEDIV_2018" localSheetId="10">Tags!$CW$27</definedName>
    <definedName name="SPEDIV_2018">Tags_ols!$CW$27</definedName>
    <definedName name="SPEDIV_2019" localSheetId="10">Tags!$DB$27</definedName>
    <definedName name="SPEDIV_2019">Tags_ols!$DB$27</definedName>
    <definedName name="SPEDIV_2020" localSheetId="10">Tags!$DG$27</definedName>
    <definedName name="SPEDIV_2020">Tags_ols!$DG$27</definedName>
    <definedName name="SPEDIV_2021">Tags!$DL$27</definedName>
    <definedName name="SPEDIV_2022">Tags!$DQ$27</definedName>
    <definedName name="SPEDIV_2023">Tags!$DV$27</definedName>
    <definedName name="SPEDIV_2024">Tags!$EA$27</definedName>
    <definedName name="SPEDIV_2Q00" localSheetId="10">Tags!$H$27</definedName>
    <definedName name="SPEDIV_2Q00">Tags_ols!$H$27</definedName>
    <definedName name="SPEDIV_2Q01" localSheetId="10">Tags!$M$27</definedName>
    <definedName name="SPEDIV_2Q01">Tags_ols!$M$27</definedName>
    <definedName name="SPEDIV_2Q02" localSheetId="10">Tags!$R$27</definedName>
    <definedName name="SPEDIV_2Q02">Tags_ols!$R$27</definedName>
    <definedName name="SPEDIV_2Q03" localSheetId="10">Tags!$W$27</definedName>
    <definedName name="SPEDIV_2Q03">Tags_ols!$W$27</definedName>
    <definedName name="SPEDIV_2Q04" localSheetId="10">Tags!$AB$27</definedName>
    <definedName name="SPEDIV_2Q04">Tags_ols!$AB$27</definedName>
    <definedName name="SPEDIV_2Q05" localSheetId="10">Tags!$AG$27</definedName>
    <definedName name="SPEDIV_2Q05">Tags_ols!$AG$27</definedName>
    <definedName name="SPEDIV_2Q06" localSheetId="10">Tags!$AL$27</definedName>
    <definedName name="SPEDIV_2Q06">Tags_ols!$AL$27</definedName>
    <definedName name="SPEDIV_2Q07" localSheetId="10">Tags!$AQ$27</definedName>
    <definedName name="SPEDIV_2Q07">Tags_ols!$AQ$27</definedName>
    <definedName name="SPEDIV_2Q08" localSheetId="10">Tags!$AV$27</definedName>
    <definedName name="SPEDIV_2Q08">Tags_ols!$AV$27</definedName>
    <definedName name="SPEDIV_2Q09" localSheetId="10">Tags!$BA$27</definedName>
    <definedName name="SPEDIV_2Q09">Tags_ols!$BA$27</definedName>
    <definedName name="SPEDIV_2Q10" localSheetId="10">Tags!$BF$27</definedName>
    <definedName name="SPEDIV_2Q10">Tags_ols!$BF$27</definedName>
    <definedName name="SPEDIV_2Q11" localSheetId="10">Tags!$BK$27</definedName>
    <definedName name="SPEDIV_2Q11">Tags_ols!$BK$27</definedName>
    <definedName name="SPEDIV_2Q12" localSheetId="10">Tags!$BP$27</definedName>
    <definedName name="SPEDIV_2Q12">Tags_ols!$BP$27</definedName>
    <definedName name="SPEDIV_2Q13" localSheetId="10">Tags!$BU$27</definedName>
    <definedName name="SPEDIV_2Q13">Tags_ols!$BU$27</definedName>
    <definedName name="SPEDIV_2Q14" localSheetId="10">Tags!$BZ$27</definedName>
    <definedName name="SPEDIV_2Q14">Tags_ols!$BZ$27</definedName>
    <definedName name="SPEDIV_2Q15" localSheetId="10">Tags!$CE$27</definedName>
    <definedName name="SPEDIV_2Q15">Tags_ols!$CE$27</definedName>
    <definedName name="SPEDIV_2Q16" localSheetId="10">Tags!$CJ$27</definedName>
    <definedName name="SPEDIV_2Q16">Tags_ols!$CJ$27</definedName>
    <definedName name="SPEDIV_2Q17" localSheetId="10">Tags!$CO$27</definedName>
    <definedName name="SPEDIV_2Q17">Tags_ols!$CO$27</definedName>
    <definedName name="SPEDIV_2Q18" localSheetId="10">Tags!$CT$27</definedName>
    <definedName name="SPEDIV_2Q18">Tags_ols!$CT$27</definedName>
    <definedName name="SPEDIV_2Q19" localSheetId="10">Tags!$CY$27</definedName>
    <definedName name="SPEDIV_2Q19">Tags_ols!$CY$27</definedName>
    <definedName name="SPEDIV_2Q20" localSheetId="10">Tags!$DD$27</definedName>
    <definedName name="SPEDIV_2Q20">Tags_ols!$DD$27</definedName>
    <definedName name="SPEDIV_2Q21">Tags!$DI$27</definedName>
    <definedName name="SPEDIV_2Q22">Tags!$DN$27</definedName>
    <definedName name="SPEDIV_2Q23">Tags!$DS$27</definedName>
    <definedName name="SPEDIV_2Q24">Tags!$DX$27</definedName>
    <definedName name="SPEDIV_3Q00" localSheetId="10">Tags!$I$27</definedName>
    <definedName name="SPEDIV_3Q00">Tags_ols!$I$27</definedName>
    <definedName name="SPEDIV_3Q01" localSheetId="10">Tags!$N$27</definedName>
    <definedName name="SPEDIV_3Q01">Tags_ols!$N$27</definedName>
    <definedName name="SPEDIV_3Q02" localSheetId="10">Tags!$S$27</definedName>
    <definedName name="SPEDIV_3Q02">Tags_ols!$S$27</definedName>
    <definedName name="SPEDIV_3Q03" localSheetId="10">Tags!$X$27</definedName>
    <definedName name="SPEDIV_3Q03">Tags_ols!$X$27</definedName>
    <definedName name="SPEDIV_3Q04" localSheetId="10">Tags!$AC$27</definedName>
    <definedName name="SPEDIV_3Q04">Tags_ols!$AC$27</definedName>
    <definedName name="SPEDIV_3Q05" localSheetId="10">Tags!$AH$27</definedName>
    <definedName name="SPEDIV_3Q05">Tags_ols!$AH$27</definedName>
    <definedName name="SPEDIV_3Q06" localSheetId="10">Tags!$AM$27</definedName>
    <definedName name="SPEDIV_3Q06">Tags_ols!$AM$27</definedName>
    <definedName name="SPEDIV_3Q07" localSheetId="10">Tags!$AR$27</definedName>
    <definedName name="SPEDIV_3Q07">Tags_ols!$AR$27</definedName>
    <definedName name="SPEDIV_3Q08" localSheetId="10">Tags!$AW$27</definedName>
    <definedName name="SPEDIV_3Q08">Tags_ols!$AW$27</definedName>
    <definedName name="SPEDIV_3Q09" localSheetId="10">Tags!$BB$27</definedName>
    <definedName name="SPEDIV_3Q09">Tags_ols!$BB$27</definedName>
    <definedName name="SPEDIV_3Q10" localSheetId="10">Tags!$BG$27</definedName>
    <definedName name="SPEDIV_3Q10">Tags_ols!$BG$27</definedName>
    <definedName name="SPEDIV_3Q11" localSheetId="10">Tags!$BL$27</definedName>
    <definedName name="SPEDIV_3Q11">Tags_ols!$BL$27</definedName>
    <definedName name="SPEDIV_3Q12" localSheetId="10">Tags!$BQ$27</definedName>
    <definedName name="SPEDIV_3Q12">Tags_ols!$BQ$27</definedName>
    <definedName name="SPEDIV_3Q13" localSheetId="10">Tags!$BV$27</definedName>
    <definedName name="SPEDIV_3Q13">Tags_ols!$BV$27</definedName>
    <definedName name="SPEDIV_3Q14" localSheetId="10">Tags!$CA$27</definedName>
    <definedName name="SPEDIV_3Q14">Tags_ols!$CA$27</definedName>
    <definedName name="SPEDIV_3Q15" localSheetId="10">Tags!$CF$27</definedName>
    <definedName name="SPEDIV_3Q15">Tags_ols!$CF$27</definedName>
    <definedName name="SPEDIV_3Q16" localSheetId="10">Tags!$CK$27</definedName>
    <definedName name="SPEDIV_3Q16">Tags_ols!$CK$27</definedName>
    <definedName name="SPEDIV_3Q17" localSheetId="10">Tags!$CP$27</definedName>
    <definedName name="SPEDIV_3Q17">Tags_ols!$CP$27</definedName>
    <definedName name="SPEDIV_3Q18" localSheetId="10">Tags!$CU$27</definedName>
    <definedName name="SPEDIV_3Q18">Tags_ols!$CU$27</definedName>
    <definedName name="SPEDIV_3Q19" localSheetId="10">Tags!$CZ$27</definedName>
    <definedName name="SPEDIV_3Q19">Tags_ols!$CZ$27</definedName>
    <definedName name="SPEDIV_3Q20" localSheetId="10">Tags!$DE$27</definedName>
    <definedName name="SPEDIV_3Q20">Tags_ols!$DE$27</definedName>
    <definedName name="SPEDIV_3Q21">Tags!$DJ$27</definedName>
    <definedName name="SPEDIV_3Q22">Tags!$DO$27</definedName>
    <definedName name="SPEDIV_3Q23">Tags!$DT$27</definedName>
    <definedName name="SPEDIV_3Q24">Tags!$DY$27</definedName>
    <definedName name="SPEDIV_4Q00" localSheetId="10">Tags!$J$27</definedName>
    <definedName name="SPEDIV_4Q00">Tags_ols!$J$27</definedName>
    <definedName name="SPEDIV_4Q01" localSheetId="10">Tags!$O$27</definedName>
    <definedName name="SPEDIV_4Q01">Tags_ols!$O$27</definedName>
    <definedName name="SPEDIV_4Q02" localSheetId="10">Tags!$T$27</definedName>
    <definedName name="SPEDIV_4Q02">Tags_ols!$T$27</definedName>
    <definedName name="SPEDIV_4Q03" localSheetId="10">Tags!$Y$27</definedName>
    <definedName name="SPEDIV_4Q03">Tags_ols!$Y$27</definedName>
    <definedName name="SPEDIV_4Q04" localSheetId="10">Tags!$AD$27</definedName>
    <definedName name="SPEDIV_4Q04">Tags_ols!$AD$27</definedName>
    <definedName name="SPEDIV_4Q05" localSheetId="10">Tags!$AI$27</definedName>
    <definedName name="SPEDIV_4Q05">Tags_ols!$AI$27</definedName>
    <definedName name="SPEDIV_4Q06" localSheetId="10">Tags!$AN$27</definedName>
    <definedName name="SPEDIV_4Q06">Tags_ols!$AN$27</definedName>
    <definedName name="SPEDIV_4Q07" localSheetId="10">Tags!$AS$27</definedName>
    <definedName name="SPEDIV_4Q07">Tags_ols!$AS$27</definedName>
    <definedName name="SPEDIV_4Q08" localSheetId="10">Tags!$AX$27</definedName>
    <definedName name="SPEDIV_4Q08">Tags_ols!$AX$27</definedName>
    <definedName name="SPEDIV_4Q09" localSheetId="10">Tags!$BC$27</definedName>
    <definedName name="SPEDIV_4Q09">Tags_ols!$BC$27</definedName>
    <definedName name="SPEDIV_4Q10" localSheetId="10">Tags!$BH$27</definedName>
    <definedName name="SPEDIV_4Q10">Tags_ols!$BH$27</definedName>
    <definedName name="SPEDIV_4Q11" localSheetId="10">Tags!$BM$27</definedName>
    <definedName name="SPEDIV_4Q11">Tags_ols!$BM$27</definedName>
    <definedName name="SPEDIV_4Q12" localSheetId="10">Tags!$BR$27</definedName>
    <definedName name="SPEDIV_4Q12">Tags_ols!$BR$27</definedName>
    <definedName name="SPEDIV_4Q13" localSheetId="10">Tags!$BW$27</definedName>
    <definedName name="SPEDIV_4Q13">Tags_ols!$BW$27</definedName>
    <definedName name="SPEDIV_4Q14" localSheetId="10">Tags!$CB$27</definedName>
    <definedName name="SPEDIV_4Q14">Tags_ols!$CB$27</definedName>
    <definedName name="SPEDIV_4Q15" localSheetId="10">Tags!$CG$27</definedName>
    <definedName name="SPEDIV_4Q15">Tags_ols!$CG$27</definedName>
    <definedName name="SPEDIV_4Q16" localSheetId="10">Tags!$CL$27</definedName>
    <definedName name="SPEDIV_4Q16">Tags_ols!$CL$27</definedName>
    <definedName name="SPEDIV_4Q17" localSheetId="10">Tags!$CQ$27</definedName>
    <definedName name="SPEDIV_4Q17">Tags_ols!$CQ$27</definedName>
    <definedName name="SPEDIV_4Q18" localSheetId="10">Tags!$CV$27</definedName>
    <definedName name="SPEDIV_4Q18">Tags_ols!$CV$27</definedName>
    <definedName name="SPEDIV_4Q19" localSheetId="10">Tags!$DA$27</definedName>
    <definedName name="SPEDIV_4Q19">Tags_ols!$DA$27</definedName>
    <definedName name="SPEDIV_4Q20" localSheetId="10">Tags!$DF$27</definedName>
    <definedName name="SPEDIV_4Q20">Tags_ols!$DF$27</definedName>
    <definedName name="SPEDIV_4Q21">Tags!$DK$27</definedName>
    <definedName name="SPEDIV_4Q22">Tags!$DP$27</definedName>
    <definedName name="SPEDIV_4Q23">Tags!$DU$27</definedName>
    <definedName name="SPEDIV_4Q24">Tags!$DZ$27</definedName>
    <definedName name="STDCH_1995">Tags_ols!$B$335</definedName>
    <definedName name="STDCH_1996">Tags_ols!$C$335</definedName>
    <definedName name="STDCH_1997">Tags_ols!$D$335</definedName>
    <definedName name="STDCH_1998">Tags_ols!$E$335</definedName>
    <definedName name="STDCH_1999">Tags_ols!$F$335</definedName>
    <definedName name="STDCH_1Q00" localSheetId="10">Tags!$G$335</definedName>
    <definedName name="STDCH_1Q00">Tags_ols!$G$335</definedName>
    <definedName name="STDCH_1Q01" localSheetId="10">Tags!$L$335</definedName>
    <definedName name="STDCH_1Q01">Tags_ols!$L$335</definedName>
    <definedName name="STDCH_1Q02" localSheetId="10">Tags!$Q$335</definedName>
    <definedName name="STDCH_1Q02">Tags_ols!$Q$335</definedName>
    <definedName name="STDCH_1Q03" localSheetId="10">Tags!$V$335</definedName>
    <definedName name="STDCH_1Q03">Tags_ols!$V$335</definedName>
    <definedName name="STDCH_1Q04" localSheetId="10">Tags!$AA$335</definedName>
    <definedName name="STDCH_1Q04">Tags_ols!$AA$335</definedName>
    <definedName name="STDCH_1Q05" localSheetId="10">Tags!$AF$335</definedName>
    <definedName name="STDCH_1Q05">Tags_ols!$AF$335</definedName>
    <definedName name="STDCH_1Q06" localSheetId="10">Tags!$AK$335</definedName>
    <definedName name="STDCH_1Q06">Tags_ols!$AK$335</definedName>
    <definedName name="STDCH_1Q07" localSheetId="10">Tags!$AP$335</definedName>
    <definedName name="STDCH_1Q07">Tags_ols!$AP$335</definedName>
    <definedName name="STDCH_1Q08" localSheetId="10">Tags!$AU$335</definedName>
    <definedName name="STDCH_1Q08">Tags_ols!$AU$335</definedName>
    <definedName name="STDCH_1Q09" localSheetId="10">Tags!$AZ$335</definedName>
    <definedName name="STDCH_1Q09">Tags_ols!$AZ$335</definedName>
    <definedName name="STDCH_1Q10" localSheetId="10">Tags!$BE$335</definedName>
    <definedName name="STDCH_1Q10">Tags_ols!$BE$335</definedName>
    <definedName name="STDCH_1Q11" localSheetId="10">Tags!$BJ$335</definedName>
    <definedName name="STDCH_1Q11">Tags_ols!$BJ$335</definedName>
    <definedName name="STDCH_1Q12" localSheetId="10">Tags!$BO$335</definedName>
    <definedName name="STDCH_1Q12">Tags_ols!$BO$335</definedName>
    <definedName name="STDCH_1Q13" localSheetId="10">Tags!$BT$335</definedName>
    <definedName name="STDCH_1Q13">Tags_ols!$BT$335</definedName>
    <definedName name="STDCH_1Q14" localSheetId="10">Tags!$BY$335</definedName>
    <definedName name="STDCH_1Q14">Tags_ols!$BY$335</definedName>
    <definedName name="STDCH_1Q15" localSheetId="10">Tags!$CD$335</definedName>
    <definedName name="STDCH_1Q15">Tags_ols!$CD$335</definedName>
    <definedName name="STDCH_1Q16" localSheetId="10">Tags!$CI$335</definedName>
    <definedName name="STDCH_1Q16">Tags_ols!$CI$335</definedName>
    <definedName name="STDCH_1Q17" localSheetId="10">Tags!$CN$335</definedName>
    <definedName name="STDCH_1Q17">Tags_ols!$CN$335</definedName>
    <definedName name="STDCH_1Q18" localSheetId="10">Tags!$CS$335</definedName>
    <definedName name="STDCH_1Q18">Tags_ols!$CS$335</definedName>
    <definedName name="STDCH_1Q19" localSheetId="10">Tags!$CX$335</definedName>
    <definedName name="STDCH_1Q19">Tags_ols!$CX$335</definedName>
    <definedName name="STDCH_1Q20" localSheetId="10">Tags!$DC$335</definedName>
    <definedName name="STDCH_1Q20">Tags_ols!$DC$335</definedName>
    <definedName name="STDCH_1Q21">Tags!$DH$335</definedName>
    <definedName name="STDCH_1Q22">Tags!$DM$335</definedName>
    <definedName name="STDCH_1Q23">Tags!$DR$335</definedName>
    <definedName name="STDCH_1Q24">Tags!$DW$335</definedName>
    <definedName name="STDCH_2000" localSheetId="10">Tags!$K$335</definedName>
    <definedName name="STDCH_2000">Tags_ols!$K$335</definedName>
    <definedName name="STDCH_2001" localSheetId="10">Tags!$P$335</definedName>
    <definedName name="STDCH_2001">Tags_ols!$P$335</definedName>
    <definedName name="STDCH_2002" localSheetId="10">Tags!$U$335</definedName>
    <definedName name="STDCH_2002">Tags_ols!$U$335</definedName>
    <definedName name="STDCH_2003" localSheetId="10">Tags!$Z$335</definedName>
    <definedName name="STDCH_2003">Tags_ols!$Z$335</definedName>
    <definedName name="STDCH_2004" localSheetId="10">Tags!$AE$335</definedName>
    <definedName name="STDCH_2004">Tags_ols!$AE$335</definedName>
    <definedName name="STDCH_2005" localSheetId="10">Tags!$AJ$335</definedName>
    <definedName name="STDCH_2005">Tags_ols!$AJ$335</definedName>
    <definedName name="STDCH_2006" localSheetId="10">Tags!$AO$335</definedName>
    <definedName name="STDCH_2006">Tags_ols!$AO$335</definedName>
    <definedName name="STDCH_2007" localSheetId="10">Tags!$AT$335</definedName>
    <definedName name="STDCH_2007">Tags_ols!$AT$335</definedName>
    <definedName name="STDCH_2008" localSheetId="10">Tags!$AY$335</definedName>
    <definedName name="STDCH_2008">Tags_ols!$AY$335</definedName>
    <definedName name="STDCH_2009" localSheetId="10">Tags!$BD$335</definedName>
    <definedName name="STDCH_2009">Tags_ols!$BD$335</definedName>
    <definedName name="STDCH_2010" localSheetId="10">Tags!$BI$335</definedName>
    <definedName name="STDCH_2010">Tags_ols!$BI$335</definedName>
    <definedName name="STDCH_2011" localSheetId="10">Tags!$BN$335</definedName>
    <definedName name="STDCH_2011">Tags_ols!$BN$335</definedName>
    <definedName name="STDCH_2012" localSheetId="10">Tags!$BS$335</definedName>
    <definedName name="STDCH_2012">Tags_ols!$BS$335</definedName>
    <definedName name="STDCH_2013" localSheetId="10">Tags!$BX$335</definedName>
    <definedName name="STDCH_2013">Tags_ols!$BX$335</definedName>
    <definedName name="STDCH_2014" localSheetId="10">Tags!$CC$335</definedName>
    <definedName name="STDCH_2014">Tags_ols!$CC$335</definedName>
    <definedName name="STDCH_2015" localSheetId="10">Tags!#REF!</definedName>
    <definedName name="STDCH_2015">Tags!$CH$335</definedName>
    <definedName name="STDCH_2016" localSheetId="10">Tags!$CM$335</definedName>
    <definedName name="STDCH_2016">Tags_ols!$CM$335</definedName>
    <definedName name="STDCH_2017" localSheetId="10">Tags!$CR$335</definedName>
    <definedName name="STDCH_2017">Tags_ols!$CR$335</definedName>
    <definedName name="STDCH_2018" localSheetId="10">Tags!$CW$335</definedName>
    <definedName name="STDCH_2018">Tags_ols!$CW$335</definedName>
    <definedName name="STDCH_2019" localSheetId="10">Tags!$DB$335</definedName>
    <definedName name="STDCH_2019">Tags_ols!$DB$335</definedName>
    <definedName name="STDCH_2020" localSheetId="10">Tags!$DG$335</definedName>
    <definedName name="STDCH_2020">Tags_ols!$DG$335</definedName>
    <definedName name="STDCH_2021">Tags!$DL$335</definedName>
    <definedName name="STDCH_2022">Tags!$DQ$335</definedName>
    <definedName name="STDCH_2023">Tags!$DV$335</definedName>
    <definedName name="STDCH_2024">Tags!$EA$335</definedName>
    <definedName name="STDCH_2Q00" localSheetId="10">Tags!$H$335</definedName>
    <definedName name="STDCH_2Q00">Tags_ols!$H$335</definedName>
    <definedName name="STDCH_2Q01" localSheetId="10">Tags!$M$335</definedName>
    <definedName name="STDCH_2Q01">Tags_ols!$M$335</definedName>
    <definedName name="STDCH_2Q02" localSheetId="10">Tags!$R$335</definedName>
    <definedName name="STDCH_2Q02">Tags_ols!$R$335</definedName>
    <definedName name="STDCH_2Q03" localSheetId="10">Tags!$W$335</definedName>
    <definedName name="STDCH_2Q03">Tags_ols!$W$335</definedName>
    <definedName name="STDCH_2Q04" localSheetId="10">Tags!$AB$335</definedName>
    <definedName name="STDCH_2Q04">Tags_ols!$AB$335</definedName>
    <definedName name="STDCH_2Q05" localSheetId="10">Tags!$AG$335</definedName>
    <definedName name="STDCH_2Q05">Tags_ols!$AG$335</definedName>
    <definedName name="STDCH_2Q06" localSheetId="10">Tags!$AL$335</definedName>
    <definedName name="STDCH_2Q06">Tags_ols!$AL$335</definedName>
    <definedName name="STDCH_2Q07" localSheetId="10">Tags!$AQ$335</definedName>
    <definedName name="STDCH_2Q07">Tags_ols!$AQ$335</definedName>
    <definedName name="STDCH_2Q08" localSheetId="10">Tags!$AV$335</definedName>
    <definedName name="STDCH_2Q08">Tags_ols!$AV$335</definedName>
    <definedName name="STDCH_2Q09" localSheetId="10">Tags!$BA$335</definedName>
    <definedName name="STDCH_2Q09">Tags_ols!$BA$335</definedName>
    <definedName name="STDCH_2Q10" localSheetId="10">Tags!$BF$335</definedName>
    <definedName name="STDCH_2Q10">Tags_ols!$BF$335</definedName>
    <definedName name="STDCH_2Q11" localSheetId="10">Tags!$BK$335</definedName>
    <definedName name="STDCH_2Q11">Tags_ols!$BK$335</definedName>
    <definedName name="STDCH_2Q12" localSheetId="10">Tags!$BP$335</definedName>
    <definedName name="STDCH_2Q12">Tags_ols!$BP$335</definedName>
    <definedName name="STDCH_2Q13" localSheetId="10">Tags!$BU$335</definedName>
    <definedName name="STDCH_2Q13">Tags_ols!$BU$335</definedName>
    <definedName name="STDCH_2Q14" localSheetId="10">Tags!$BZ$335</definedName>
    <definedName name="STDCH_2Q14">Tags_ols!$BZ$335</definedName>
    <definedName name="STDCH_2Q15" localSheetId="10">Tags!$CE$335</definedName>
    <definedName name="STDCH_2Q15">Tags_ols!$CE$335</definedName>
    <definedName name="STDCH_2Q16" localSheetId="10">Tags!$CJ$335</definedName>
    <definedName name="STDCH_2Q16">Tags_ols!$CJ$335</definedName>
    <definedName name="STDCH_2Q17" localSheetId="10">Tags!$CO$335</definedName>
    <definedName name="STDCH_2Q17">Tags_ols!$CO$335</definedName>
    <definedName name="STDCH_2Q18" localSheetId="10">Tags!$CT$335</definedName>
    <definedName name="STDCH_2Q18">Tags_ols!$CT$335</definedName>
    <definedName name="STDCH_2Q19" localSheetId="10">Tags!$CY$335</definedName>
    <definedName name="STDCH_2Q19">Tags_ols!$CY$335</definedName>
    <definedName name="STDCH_2Q20" localSheetId="10">Tags!$DD$335</definedName>
    <definedName name="STDCH_2Q20">Tags_ols!$DD$335</definedName>
    <definedName name="STDCH_2Q21">Tags!$DI$335</definedName>
    <definedName name="STDCH_2Q22">Tags!$DN$335</definedName>
    <definedName name="STDCH_2Q23">Tags!$DS$335</definedName>
    <definedName name="STDCH_2Q24">Tags!$DX$335</definedName>
    <definedName name="STDCH_3Q00" localSheetId="10">Tags!$I$335</definedName>
    <definedName name="STDCH_3Q00">Tags_ols!$I$335</definedName>
    <definedName name="STDCH_3Q01" localSheetId="10">Tags!$N$335</definedName>
    <definedName name="STDCH_3Q01">Tags_ols!$N$335</definedName>
    <definedName name="STDCH_3Q02" localSheetId="10">Tags!$S$335</definedName>
    <definedName name="STDCH_3Q02">Tags_ols!$S$335</definedName>
    <definedName name="STDCH_3Q03" localSheetId="10">Tags!$X$335</definedName>
    <definedName name="STDCH_3Q03">Tags_ols!$X$335</definedName>
    <definedName name="STDCH_3Q04" localSheetId="10">Tags!$AC$335</definedName>
    <definedName name="STDCH_3Q04">Tags_ols!$AC$335</definedName>
    <definedName name="STDCH_3Q05" localSheetId="10">Tags!$AH$335</definedName>
    <definedName name="STDCH_3Q05">Tags_ols!$AH$335</definedName>
    <definedName name="STDCH_3Q06" localSheetId="10">Tags!$AM$335</definedName>
    <definedName name="STDCH_3Q06">Tags_ols!$AM$335</definedName>
    <definedName name="STDCH_3Q07" localSheetId="10">Tags!$AR$335</definedName>
    <definedName name="STDCH_3Q07">Tags_ols!$AR$335</definedName>
    <definedName name="STDCH_3Q08" localSheetId="10">Tags!$AW$335</definedName>
    <definedName name="STDCH_3Q08">Tags_ols!$AW$335</definedName>
    <definedName name="STDCH_3Q09" localSheetId="10">Tags!$BB$335</definedName>
    <definedName name="STDCH_3Q09">Tags_ols!$BB$335</definedName>
    <definedName name="STDCH_3Q10" localSheetId="10">Tags!$BG$335</definedName>
    <definedName name="STDCH_3Q10">Tags_ols!$BG$335</definedName>
    <definedName name="STDCH_3Q11" localSheetId="10">Tags!$BL$335</definedName>
    <definedName name="STDCH_3Q11">Tags_ols!$BL$335</definedName>
    <definedName name="STDCH_3Q12" localSheetId="10">Tags!$BQ$335</definedName>
    <definedName name="STDCH_3Q12">Tags_ols!$BQ$335</definedName>
    <definedName name="STDCH_3Q13" localSheetId="10">Tags!$BV$335</definedName>
    <definedName name="STDCH_3Q13">Tags_ols!$BV$335</definedName>
    <definedName name="STDCH_3Q14" localSheetId="10">Tags!$CA$335</definedName>
    <definedName name="STDCH_3Q14">Tags_ols!$CA$335</definedName>
    <definedName name="STDCH_3Q15" localSheetId="10">Tags!$CF$335</definedName>
    <definedName name="STDCH_3Q15">Tags_ols!$CF$335</definedName>
    <definedName name="STDCH_3Q16" localSheetId="10">Tags!$CK$335</definedName>
    <definedName name="STDCH_3Q16">Tags_ols!$CK$335</definedName>
    <definedName name="STDCH_3Q17" localSheetId="10">Tags!$CP$335</definedName>
    <definedName name="STDCH_3Q17">Tags_ols!$CP$335</definedName>
    <definedName name="STDCH_3Q18" localSheetId="10">Tags!$CU$335</definedName>
    <definedName name="STDCH_3Q18">Tags_ols!$CU$335</definedName>
    <definedName name="STDCH_3Q19" localSheetId="10">Tags!$CZ$335</definedName>
    <definedName name="STDCH_3Q19">Tags_ols!$CZ$335</definedName>
    <definedName name="STDCH_3Q20" localSheetId="10">Tags!$DE$335</definedName>
    <definedName name="STDCH_3Q20">Tags_ols!$DE$335</definedName>
    <definedName name="STDCH_3Q21">Tags!$DJ$335</definedName>
    <definedName name="STDCH_3Q22">Tags!$DO$335</definedName>
    <definedName name="STDCH_3Q23">Tags!$DT$335</definedName>
    <definedName name="STDCH_3Q24">Tags!$DY$335</definedName>
    <definedName name="STDCH_4Q00" localSheetId="10">Tags!$J$335</definedName>
    <definedName name="STDCH_4Q00">Tags_ols!$J$335</definedName>
    <definedName name="STDCH_4Q01" localSheetId="10">Tags!$O$335</definedName>
    <definedName name="STDCH_4Q01">Tags_ols!$O$335</definedName>
    <definedName name="STDCH_4Q02" localSheetId="10">Tags!$T$335</definedName>
    <definedName name="STDCH_4Q02">Tags_ols!$T$335</definedName>
    <definedName name="STDCH_4Q03" localSheetId="10">Tags!$Y$335</definedName>
    <definedName name="STDCH_4Q03">Tags_ols!$Y$335</definedName>
    <definedName name="STDCH_4Q04" localSheetId="10">Tags!$AD$335</definedName>
    <definedName name="STDCH_4Q04">Tags_ols!$AD$335</definedName>
    <definedName name="STDCH_4Q05" localSheetId="10">Tags!$AI$335</definedName>
    <definedName name="STDCH_4Q05">Tags_ols!$AI$335</definedName>
    <definedName name="STDCH_4Q06" localSheetId="10">Tags!$AN$335</definedName>
    <definedName name="STDCH_4Q06">Tags_ols!$AN$335</definedName>
    <definedName name="STDCH_4Q07" localSheetId="10">Tags!$AS$335</definedName>
    <definedName name="STDCH_4Q07">Tags_ols!$AS$335</definedName>
    <definedName name="STDCH_4Q08" localSheetId="10">Tags!$AX$335</definedName>
    <definedName name="STDCH_4Q08">Tags_ols!$AX$335</definedName>
    <definedName name="STDCH_4Q09" localSheetId="10">Tags!$BC$335</definedName>
    <definedName name="STDCH_4Q09">Tags_ols!$BC$335</definedName>
    <definedName name="STDCH_4Q10" localSheetId="10">Tags!$BH$335</definedName>
    <definedName name="STDCH_4Q10">Tags_ols!$BH$335</definedName>
    <definedName name="STDCH_4Q11" localSheetId="10">Tags!$BM$335</definedName>
    <definedName name="STDCH_4Q11">Tags_ols!$BM$335</definedName>
    <definedName name="STDCH_4Q12" localSheetId="10">Tags!$BR$335</definedName>
    <definedName name="STDCH_4Q12">Tags_ols!$BR$335</definedName>
    <definedName name="STDCH_4Q13" localSheetId="10">Tags!$BW$335</definedName>
    <definedName name="STDCH_4Q13">Tags_ols!$BW$335</definedName>
    <definedName name="STDCH_4Q14" localSheetId="10">Tags!$CB$335</definedName>
    <definedName name="STDCH_4Q14">Tags_ols!$CB$335</definedName>
    <definedName name="STDCH_4Q15" localSheetId="10">Tags!$CG$335</definedName>
    <definedName name="STDCH_4Q15">Tags_ols!$CG$335</definedName>
    <definedName name="STDCH_4Q16" localSheetId="10">Tags!$CL$335</definedName>
    <definedName name="STDCH_4Q16">Tags_ols!$CL$335</definedName>
    <definedName name="STDCH_4Q17" localSheetId="10">Tags!$CQ$335</definedName>
    <definedName name="STDCH_4Q17">Tags_ols!$CQ$335</definedName>
    <definedName name="STDCH_4Q18" localSheetId="10">Tags!$CV$335</definedName>
    <definedName name="STDCH_4Q18">Tags_ols!$CV$335</definedName>
    <definedName name="STDCH_4Q19" localSheetId="10">Tags!$DA$335</definedName>
    <definedName name="STDCH_4Q19">Tags_ols!$DA$335</definedName>
    <definedName name="STDCH_4Q20" localSheetId="10">Tags!$DF$335</definedName>
    <definedName name="STDCH_4Q20">Tags_ols!$DF$335</definedName>
    <definedName name="STDCH_4Q21">Tags!$DK$335</definedName>
    <definedName name="STDCH_4Q22">Tags!$DP$335</definedName>
    <definedName name="STDCH_4Q23">Tags!$DU$335</definedName>
    <definedName name="STDCH_4Q24">Tags!$DZ$335</definedName>
    <definedName name="STDEBT_1995">Tags_ols!$B$164</definedName>
    <definedName name="STDEBT_1996">Tags_ols!$C$164</definedName>
    <definedName name="STDEBT_1997">Tags_ols!$D$164</definedName>
    <definedName name="STDEBT_1998">Tags_ols!$E$164</definedName>
    <definedName name="STDEBT_1999">Tags_ols!$F$164</definedName>
    <definedName name="STDEBT_1Q00" localSheetId="10">Tags!$G$164</definedName>
    <definedName name="STDEBT_1Q00">Tags_ols!$G$164</definedName>
    <definedName name="STDEBT_1Q01" localSheetId="10">Tags!$L$164</definedName>
    <definedName name="STDEBT_1Q01">Tags_ols!$L$164</definedName>
    <definedName name="STDEBT_1Q02" localSheetId="10">Tags!$Q$164</definedName>
    <definedName name="STDEBT_1Q02">Tags_ols!$Q$164</definedName>
    <definedName name="STDEBT_1Q03" localSheetId="10">Tags!$V$164</definedName>
    <definedName name="STDEBT_1Q03">Tags_ols!$V$164</definedName>
    <definedName name="STDEBT_1Q04" localSheetId="10">Tags!$AA$164</definedName>
    <definedName name="STDEBT_1Q04">Tags_ols!$AA$164</definedName>
    <definedName name="STDEBT_1Q05" localSheetId="10">Tags!$AF$164</definedName>
    <definedName name="STDEBT_1Q05">Tags_ols!$AF$164</definedName>
    <definedName name="STDEBT_1Q06" localSheetId="10">Tags!$AK$164</definedName>
    <definedName name="STDEBT_1Q06">Tags_ols!$AK$164</definedName>
    <definedName name="STDEBT_1Q07" localSheetId="10">Tags!$AP$164</definedName>
    <definedName name="STDEBT_1Q07">Tags_ols!$AP$164</definedName>
    <definedName name="STDEBT_1Q08" localSheetId="10">Tags!$AU$164</definedName>
    <definedName name="STDEBT_1Q08">Tags_ols!$AU$164</definedName>
    <definedName name="STDEBT_1Q09" localSheetId="10">Tags!$AZ$164</definedName>
    <definedName name="STDEBT_1Q09">Tags_ols!$AZ$164</definedName>
    <definedName name="STDEBT_1Q10" localSheetId="10">Tags!$BE$164</definedName>
    <definedName name="STDEBT_1Q10">Tags_ols!$BE$164</definedName>
    <definedName name="STDEBT_1Q11" localSheetId="10">Tags!$BJ$164</definedName>
    <definedName name="STDEBT_1Q11">Tags_ols!$BJ$164</definedName>
    <definedName name="STDEBT_1Q12" localSheetId="10">Tags!$BO$164</definedName>
    <definedName name="STDEBT_1Q12">Tags_ols!$BO$164</definedName>
    <definedName name="STDEBT_1Q13" localSheetId="10">Tags!$BT$164</definedName>
    <definedName name="STDEBT_1Q13">Tags_ols!$BT$164</definedName>
    <definedName name="STDEBT_1Q14" localSheetId="10">Tags!$BY$164</definedName>
    <definedName name="STDEBT_1Q14">Tags_ols!$BY$164</definedName>
    <definedName name="STDEBT_1Q15" localSheetId="10">Tags!$CD$164</definedName>
    <definedName name="STDEBT_1Q15">Tags_ols!$CD$164</definedName>
    <definedName name="STDEBT_1Q16" localSheetId="10">Tags!$CI$164</definedName>
    <definedName name="STDEBT_1Q16">Tags_ols!$CI$164</definedName>
    <definedName name="STDEBT_1Q17" localSheetId="10">Tags!$CN$164</definedName>
    <definedName name="STDEBT_1Q17">Tags_ols!$CN$164</definedName>
    <definedName name="STDEBT_1Q18" localSheetId="10">Tags!$CS$164</definedName>
    <definedName name="STDEBT_1Q18">Tags_ols!$CS$164</definedName>
    <definedName name="STDEBT_1Q19" localSheetId="10">Tags!$CX$164</definedName>
    <definedName name="STDEBT_1Q19">Tags_ols!$CX$164</definedName>
    <definedName name="STDEBT_1Q20" localSheetId="10">Tags!$DC$164</definedName>
    <definedName name="STDEBT_1Q20">Tags_ols!$DC$164</definedName>
    <definedName name="STDEBT_1Q21">Tags!$DH$164</definedName>
    <definedName name="STDEBT_1Q22">Tags!$DM$164</definedName>
    <definedName name="STDEBT_1Q23">Tags!$DR$164</definedName>
    <definedName name="STDEBT_1Q24">Tags!$DW$164</definedName>
    <definedName name="STDEBT_2000" localSheetId="10">Tags!$K$164</definedName>
    <definedName name="STDEBT_2000">Tags_ols!$K$164</definedName>
    <definedName name="STDEBT_2001" localSheetId="10">Tags!$P$164</definedName>
    <definedName name="STDEBT_2001">Tags_ols!$P$164</definedName>
    <definedName name="STDEBT_2002" localSheetId="10">Tags!$U$164</definedName>
    <definedName name="STDEBT_2002">Tags_ols!$U$164</definedName>
    <definedName name="STDEBT_2003" localSheetId="10">Tags!$Z$164</definedName>
    <definedName name="STDEBT_2003">Tags_ols!$Z$164</definedName>
    <definedName name="STDEBT_2004" localSheetId="10">Tags!$AE$164</definedName>
    <definedName name="STDEBT_2004">Tags_ols!$AE$164</definedName>
    <definedName name="STDEBT_2005" localSheetId="10">Tags!$AJ$164</definedName>
    <definedName name="STDEBT_2005">Tags_ols!$AJ$164</definedName>
    <definedName name="STDEBT_2006" localSheetId="10">Tags!$AO$164</definedName>
    <definedName name="STDEBT_2006">Tags_ols!$AO$164</definedName>
    <definedName name="STDEBT_2007" localSheetId="10">Tags!$AT$164</definedName>
    <definedName name="STDEBT_2007">Tags_ols!$AT$164</definedName>
    <definedName name="STDEBT_2008" localSheetId="10">Tags!$AY$164</definedName>
    <definedName name="STDEBT_2008">Tags_ols!$AY$164</definedName>
    <definedName name="STDEBT_2009" localSheetId="10">Tags!$BD$164</definedName>
    <definedName name="STDEBT_2009">Tags_ols!$BD$164</definedName>
    <definedName name="STDEBT_2010" localSheetId="10">Tags!$BI$164</definedName>
    <definedName name="STDEBT_2010">Tags_ols!$BI$164</definedName>
    <definedName name="STDEBT_2011" localSheetId="10">Tags!$BN$164</definedName>
    <definedName name="STDEBT_2011">Tags_ols!$BN$164</definedName>
    <definedName name="STDEBT_2012" localSheetId="10">Tags!$BS$164</definedName>
    <definedName name="STDEBT_2012">Tags_ols!$BS$164</definedName>
    <definedName name="STDEBT_2013" localSheetId="10">Tags!$BX$164</definedName>
    <definedName name="STDEBT_2013">Tags_ols!$BX$164</definedName>
    <definedName name="STDEBT_2014" localSheetId="10">Tags!$CC$164</definedName>
    <definedName name="STDEBT_2014">Tags_ols!$CC$164</definedName>
    <definedName name="STDEBT_2015" localSheetId="10">Tags!#REF!</definedName>
    <definedName name="STDEBT_2015">Tags!$CH$164</definedName>
    <definedName name="STDEBT_2016" localSheetId="10">Tags!$CM$164</definedName>
    <definedName name="STDEBT_2016">Tags_ols!$CM$164</definedName>
    <definedName name="STDEBT_2017" localSheetId="10">Tags!$CR$164</definedName>
    <definedName name="STDEBT_2017">Tags_ols!$CR$164</definedName>
    <definedName name="STDEBT_2018" localSheetId="10">Tags!$CW$164</definedName>
    <definedName name="STDEBT_2018">Tags_ols!$CW$164</definedName>
    <definedName name="STDEBT_2019" localSheetId="10">Tags!$DB$164</definedName>
    <definedName name="STDEBT_2019">Tags_ols!$DB$164</definedName>
    <definedName name="STDEBT_2020" localSheetId="10">Tags!$DG$164</definedName>
    <definedName name="STDEBT_2020">Tags_ols!$DG$164</definedName>
    <definedName name="STDEBT_2021">Tags!$DL$164</definedName>
    <definedName name="STDEBT_2022">Tags!$DQ$164</definedName>
    <definedName name="STDEBT_2023">Tags!$DV$164</definedName>
    <definedName name="STDEBT_2024">Tags!$EA$164</definedName>
    <definedName name="STDEBT_2Q00" localSheetId="10">Tags!$H$164</definedName>
    <definedName name="STDEBT_2Q00">Tags_ols!$H$164</definedName>
    <definedName name="STDEBT_2Q01" localSheetId="10">Tags!$M$164</definedName>
    <definedName name="STDEBT_2Q01">Tags_ols!$M$164</definedName>
    <definedName name="STDEBT_2Q02" localSheetId="10">Tags!$R$164</definedName>
    <definedName name="STDEBT_2Q02">Tags_ols!$R$164</definedName>
    <definedName name="STDEBT_2Q03" localSheetId="10">Tags!$W$164</definedName>
    <definedName name="STDEBT_2Q03">Tags_ols!$W$164</definedName>
    <definedName name="STDEBT_2Q04" localSheetId="10">Tags!$AB$164</definedName>
    <definedName name="STDEBT_2Q04">Tags_ols!$AB$164</definedName>
    <definedName name="STDEBT_2Q05" localSheetId="10">Tags!$AG$164</definedName>
    <definedName name="STDEBT_2Q05">Tags_ols!$AG$164</definedName>
    <definedName name="STDEBT_2Q06" localSheetId="10">Tags!$AL$164</definedName>
    <definedName name="STDEBT_2Q06">Tags_ols!$AL$164</definedName>
    <definedName name="STDEBT_2Q07" localSheetId="10">Tags!$AQ$164</definedName>
    <definedName name="STDEBT_2Q07">Tags_ols!$AQ$164</definedName>
    <definedName name="STDEBT_2Q08" localSheetId="10">Tags!$AV$164</definedName>
    <definedName name="STDEBT_2Q08">Tags_ols!$AV$164</definedName>
    <definedName name="STDEBT_2Q09" localSheetId="10">Tags!$BA$164</definedName>
    <definedName name="STDEBT_2Q09">Tags_ols!$BA$164</definedName>
    <definedName name="STDEBT_2Q10" localSheetId="10">Tags!$BF$164</definedName>
    <definedName name="STDEBT_2Q10">Tags_ols!$BF$164</definedName>
    <definedName name="STDEBT_2Q11" localSheetId="10">Tags!$BK$164</definedName>
    <definedName name="STDEBT_2Q11">Tags_ols!$BK$164</definedName>
    <definedName name="STDEBT_2Q12" localSheetId="10">Tags!$BP$164</definedName>
    <definedName name="STDEBT_2Q12">Tags_ols!$BP$164</definedName>
    <definedName name="STDEBT_2Q13" localSheetId="10">Tags!$BU$164</definedName>
    <definedName name="STDEBT_2Q13">Tags_ols!$BU$164</definedName>
    <definedName name="STDEBT_2Q14" localSheetId="10">Tags!$BZ$164</definedName>
    <definedName name="STDEBT_2Q14">Tags_ols!$BZ$164</definedName>
    <definedName name="STDEBT_2Q15" localSheetId="10">Tags!$CE$164</definedName>
    <definedName name="STDEBT_2Q15">Tags_ols!$CE$164</definedName>
    <definedName name="STDEBT_2Q16" localSheetId="10">Tags!$CJ$164</definedName>
    <definedName name="STDEBT_2Q16">Tags_ols!$CJ$164</definedName>
    <definedName name="STDEBT_2Q17" localSheetId="10">Tags!$CO$164</definedName>
    <definedName name="STDEBT_2Q17">Tags_ols!$CO$164</definedName>
    <definedName name="STDEBT_2Q18" localSheetId="10">Tags!$CT$164</definedName>
    <definedName name="STDEBT_2Q18">Tags_ols!$CT$164</definedName>
    <definedName name="STDEBT_2Q19" localSheetId="10">Tags!$CY$164</definedName>
    <definedName name="STDEBT_2Q19">Tags_ols!$CY$164</definedName>
    <definedName name="STDEBT_2Q20" localSheetId="10">Tags!$DD$164</definedName>
    <definedName name="STDEBT_2Q20">Tags_ols!$DD$164</definedName>
    <definedName name="STDEBT_2Q21">Tags!$DI$164</definedName>
    <definedName name="STDEBT_2Q22">Tags!$DN$164</definedName>
    <definedName name="STDEBT_2Q23">Tags!$DS$164</definedName>
    <definedName name="STDEBT_2Q24">Tags!$DX$164</definedName>
    <definedName name="STDEBT_3Q00" localSheetId="10">Tags!$I$164</definedName>
    <definedName name="STDEBT_3Q00">Tags_ols!$I$164</definedName>
    <definedName name="STDEBT_3Q01" localSheetId="10">Tags!$N$164</definedName>
    <definedName name="STDEBT_3Q01">Tags_ols!$N$164</definedName>
    <definedName name="STDEBT_3Q02" localSheetId="10">Tags!$S$164</definedName>
    <definedName name="STDEBT_3Q02">Tags_ols!$S$164</definedName>
    <definedName name="STDEBT_3Q03" localSheetId="10">Tags!$X$164</definedName>
    <definedName name="STDEBT_3Q03">Tags_ols!$X$164</definedName>
    <definedName name="STDEBT_3Q04" localSheetId="10">Tags!$AC$164</definedName>
    <definedName name="STDEBT_3Q04">Tags_ols!$AC$164</definedName>
    <definedName name="STDEBT_3Q05" localSheetId="10">Tags!$AH$164</definedName>
    <definedName name="STDEBT_3Q05">Tags_ols!$AH$164</definedName>
    <definedName name="STDEBT_3Q06" localSheetId="10">Tags!$AM$164</definedName>
    <definedName name="STDEBT_3Q06">Tags_ols!$AM$164</definedName>
    <definedName name="STDEBT_3Q07" localSheetId="10">Tags!$AR$164</definedName>
    <definedName name="STDEBT_3Q07">Tags_ols!$AR$164</definedName>
    <definedName name="STDEBT_3Q08" localSheetId="10">Tags!$AW$164</definedName>
    <definedName name="STDEBT_3Q08">Tags_ols!$AW$164</definedName>
    <definedName name="STDEBT_3Q09" localSheetId="10">Tags!$BB$164</definedName>
    <definedName name="STDEBT_3Q09">Tags_ols!$BB$164</definedName>
    <definedName name="STDEBT_3Q10" localSheetId="10">Tags!$BG$164</definedName>
    <definedName name="STDEBT_3Q10">Tags_ols!$BG$164</definedName>
    <definedName name="STDEBT_3Q11" localSheetId="10">Tags!$BL$164</definedName>
    <definedName name="STDEBT_3Q11">Tags_ols!$BL$164</definedName>
    <definedName name="STDEBT_3Q12" localSheetId="10">Tags!$BQ$164</definedName>
    <definedName name="STDEBT_3Q12">Tags_ols!$BQ$164</definedName>
    <definedName name="STDEBT_3Q13" localSheetId="10">Tags!$BV$164</definedName>
    <definedName name="STDEBT_3Q13">Tags_ols!$BV$164</definedName>
    <definedName name="STDEBT_3Q14" localSheetId="10">Tags!$CA$164</definedName>
    <definedName name="STDEBT_3Q14">Tags_ols!$CA$164</definedName>
    <definedName name="STDEBT_3Q15" localSheetId="10">Tags!$CF$164</definedName>
    <definedName name="STDEBT_3Q15">Tags_ols!$CF$164</definedName>
    <definedName name="STDEBT_3Q16" localSheetId="10">Tags!$CK$164</definedName>
    <definedName name="STDEBT_3Q16">Tags_ols!$CK$164</definedName>
    <definedName name="STDEBT_3Q17" localSheetId="10">Tags!$CP$164</definedName>
    <definedName name="STDEBT_3Q17">Tags_ols!$CP$164</definedName>
    <definedName name="STDEBT_3Q18" localSheetId="10">Tags!$CU$164</definedName>
    <definedName name="STDEBT_3Q18">Tags_ols!$CU$164</definedName>
    <definedName name="STDEBT_3Q19" localSheetId="10">Tags!$CZ$164</definedName>
    <definedName name="STDEBT_3Q19">Tags_ols!$CZ$164</definedName>
    <definedName name="STDEBT_3Q20" localSheetId="10">Tags!$DE$164</definedName>
    <definedName name="STDEBT_3Q20">Tags_ols!$DE$164</definedName>
    <definedName name="STDEBT_3Q21">Tags!$DJ$164</definedName>
    <definedName name="STDEBT_3Q22">Tags!$DO$164</definedName>
    <definedName name="STDEBT_3Q23">Tags!$DT$164</definedName>
    <definedName name="STDEBT_3Q24">Tags!$DY$164</definedName>
    <definedName name="STDEBT_4Q00" localSheetId="10">Tags!$J$164</definedName>
    <definedName name="STDEBT_4Q00">Tags_ols!$J$164</definedName>
    <definedName name="STDEBT_4Q01" localSheetId="10">Tags!$O$164</definedName>
    <definedName name="STDEBT_4Q01">Tags_ols!$O$164</definedName>
    <definedName name="STDEBT_4Q02" localSheetId="10">Tags!$T$164</definedName>
    <definedName name="STDEBT_4Q02">Tags_ols!$T$164</definedName>
    <definedName name="STDEBT_4Q03" localSheetId="10">Tags!$Y$164</definedName>
    <definedName name="STDEBT_4Q03">Tags_ols!$Y$164</definedName>
    <definedName name="STDEBT_4Q04" localSheetId="10">Tags!$AD$164</definedName>
    <definedName name="STDEBT_4Q04">Tags_ols!$AD$164</definedName>
    <definedName name="STDEBT_4Q05" localSheetId="10">Tags!$AI$164</definedName>
    <definedName name="STDEBT_4Q05">Tags_ols!$AI$164</definedName>
    <definedName name="STDEBT_4Q06" localSheetId="10">Tags!$AN$164</definedName>
    <definedName name="STDEBT_4Q06">Tags_ols!$AN$164</definedName>
    <definedName name="STDEBT_4Q07" localSheetId="10">Tags!$AS$164</definedName>
    <definedName name="STDEBT_4Q07">Tags_ols!$AS$164</definedName>
    <definedName name="STDEBT_4Q08" localSheetId="10">Tags!$AX$164</definedName>
    <definedName name="STDEBT_4Q08">Tags_ols!$AX$164</definedName>
    <definedName name="STDEBT_4Q09" localSheetId="10">Tags!$BC$164</definedName>
    <definedName name="STDEBT_4Q09">Tags_ols!$BC$164</definedName>
    <definedName name="STDEBT_4Q10" localSheetId="10">Tags!$BH$164</definedName>
    <definedName name="STDEBT_4Q10">Tags_ols!$BH$164</definedName>
    <definedName name="STDEBT_4Q11" localSheetId="10">Tags!$BM$164</definedName>
    <definedName name="STDEBT_4Q11">Tags_ols!$BM$164</definedName>
    <definedName name="STDEBT_4Q12" localSheetId="10">Tags!$BR$164</definedName>
    <definedName name="STDEBT_4Q12">Tags_ols!$BR$164</definedName>
    <definedName name="STDEBT_4Q13" localSheetId="10">Tags!$BW$164</definedName>
    <definedName name="STDEBT_4Q13">Tags_ols!$BW$164</definedName>
    <definedName name="STDEBT_4Q14" localSheetId="10">Tags!$CB$164</definedName>
    <definedName name="STDEBT_4Q14">Tags_ols!$CB$164</definedName>
    <definedName name="STDEBT_4Q15" localSheetId="10">Tags!$CG$164</definedName>
    <definedName name="STDEBT_4Q15">Tags_ols!$CG$164</definedName>
    <definedName name="STDEBT_4Q16" localSheetId="10">Tags!$CL$164</definedName>
    <definedName name="STDEBT_4Q16">Tags_ols!$CL$164</definedName>
    <definedName name="STDEBT_4Q17" localSheetId="10">Tags!$CQ$164</definedName>
    <definedName name="STDEBT_4Q17">Tags_ols!$CQ$164</definedName>
    <definedName name="STDEBT_4Q18" localSheetId="10">Tags!$CV$164</definedName>
    <definedName name="STDEBT_4Q18">Tags_ols!$CV$164</definedName>
    <definedName name="STDEBT_4Q19" localSheetId="10">Tags!$DA$164</definedName>
    <definedName name="STDEBT_4Q19">Tags_ols!$DA$164</definedName>
    <definedName name="STDEBT_4Q20" localSheetId="10">Tags!$DF$164</definedName>
    <definedName name="STDEBT_4Q20">Tags_ols!$DF$164</definedName>
    <definedName name="STDEBT_4Q21">Tags!$DK$164</definedName>
    <definedName name="STDEBT_4Q22">Tags!$DP$164</definedName>
    <definedName name="STDEBT_4Q23">Tags!$DU$164</definedName>
    <definedName name="STDEBT_4Q24">Tags!$DZ$164</definedName>
    <definedName name="Suzano">#REF!</definedName>
    <definedName name="SymbolOnOff">#REF!</definedName>
    <definedName name="synch">#REF!</definedName>
    <definedName name="TAX_1995">Tags_ols!$B$18</definedName>
    <definedName name="TAX_1996">Tags_ols!$C$18</definedName>
    <definedName name="TAX_1997">Tags_ols!$D$18</definedName>
    <definedName name="TAX_1998">Tags_ols!$E$18</definedName>
    <definedName name="TAX_1999">Tags_ols!$F$18</definedName>
    <definedName name="TAX_1Q00" localSheetId="10">Tags!$G$18</definedName>
    <definedName name="TAX_1Q00">Tags_ols!$G$18</definedName>
    <definedName name="TAX_1Q01" localSheetId="10">Tags!$L$18</definedName>
    <definedName name="TAX_1Q01">Tags_ols!$L$18</definedName>
    <definedName name="TAX_1Q02" localSheetId="10">Tags!$Q$18</definedName>
    <definedName name="TAX_1Q02">Tags_ols!$Q$18</definedName>
    <definedName name="TAX_1Q03" localSheetId="10">Tags!$V$18</definedName>
    <definedName name="TAX_1Q03">Tags_ols!$V$18</definedName>
    <definedName name="TAX_1Q04" localSheetId="10">Tags!$AA$18</definedName>
    <definedName name="TAX_1Q04">Tags_ols!$AA$18</definedName>
    <definedName name="TAX_1Q05" localSheetId="10">Tags!$AF$18</definedName>
    <definedName name="TAX_1Q05">Tags_ols!$AF$18</definedName>
    <definedName name="TAX_1Q06" localSheetId="10">Tags!$AK$18</definedName>
    <definedName name="TAX_1Q06" localSheetId="5">#REF!</definedName>
    <definedName name="TAX_1Q06">Tags_ols!$AK$18</definedName>
    <definedName name="TAX_1Q07" localSheetId="10">Tags!$AP$18</definedName>
    <definedName name="TAX_1Q07">Tags_ols!$AP$18</definedName>
    <definedName name="TAX_1Q08" localSheetId="10">Tags!$AU$18</definedName>
    <definedName name="TAX_1Q08">Tags_ols!$AU$18</definedName>
    <definedName name="TAX_1Q09" localSheetId="10">Tags!$AZ$18</definedName>
    <definedName name="TAX_1Q09">Tags_ols!$AZ$18</definedName>
    <definedName name="TAX_1Q10" localSheetId="10">Tags!$BE$18</definedName>
    <definedName name="TAX_1Q10">Tags_ols!$BE$18</definedName>
    <definedName name="TAX_1Q11" localSheetId="10">Tags!$BJ$18</definedName>
    <definedName name="TAX_1Q11">Tags_ols!$BJ$18</definedName>
    <definedName name="TAX_1Q12" localSheetId="10">Tags!$BO$18</definedName>
    <definedName name="TAX_1Q12">Tags_ols!$BO$18</definedName>
    <definedName name="TAX_1Q13" localSheetId="10">Tags!$BT$18</definedName>
    <definedName name="TAX_1Q13">Tags_ols!$BT$18</definedName>
    <definedName name="TAX_1Q14" localSheetId="10">Tags!$BY$18</definedName>
    <definedName name="TAX_1Q14">Tags_ols!$BY$18</definedName>
    <definedName name="TAX_1Q15" localSheetId="10">Tags!$CD$18</definedName>
    <definedName name="TAX_1Q15">Tags_ols!$CD$18</definedName>
    <definedName name="TAX_1Q16" localSheetId="10">Tags!$CI$18</definedName>
    <definedName name="TAX_1Q16">Tags_ols!$CI$18</definedName>
    <definedName name="TAX_1Q17" localSheetId="10">Tags!$CN$18</definedName>
    <definedName name="TAX_1Q17">Tags_ols!$CN$18</definedName>
    <definedName name="TAX_1Q18" localSheetId="10">Tags!$CS$18</definedName>
    <definedName name="TAX_1Q18">Tags_ols!$CS$18</definedName>
    <definedName name="TAX_1Q19" localSheetId="10">Tags!$CX$18</definedName>
    <definedName name="TAX_1Q19">Tags_ols!$CX$18</definedName>
    <definedName name="TAX_1Q20" localSheetId="10">Tags!$DC$18</definedName>
    <definedName name="TAX_1Q20">Tags_ols!$DC$18</definedName>
    <definedName name="TAX_1Q21">Tags!$DH$18</definedName>
    <definedName name="TAX_1Q22">Tags!$DM$18</definedName>
    <definedName name="TAX_1Q23">Tags!$DR$18</definedName>
    <definedName name="TAX_1Q24">Tags!$DW$18</definedName>
    <definedName name="TAX_2000" localSheetId="10">Tags!$K$18</definedName>
    <definedName name="TAX_2000">Tags_ols!$K$18</definedName>
    <definedName name="TAX_2001" localSheetId="10">Tags!$P$18</definedName>
    <definedName name="TAX_2001">Tags_ols!$P$18</definedName>
    <definedName name="TAX_2002" localSheetId="10">Tags!$U$18</definedName>
    <definedName name="TAX_2002">Tags_ols!$U$18</definedName>
    <definedName name="TAX_2003" localSheetId="10">Tags!$Z$18</definedName>
    <definedName name="TAX_2003">Tags_ols!$Z$18</definedName>
    <definedName name="TAX_2004" localSheetId="10">Tags!$AE$18</definedName>
    <definedName name="TAX_2004" localSheetId="5">#REF!</definedName>
    <definedName name="TAX_2004">Tags_ols!$AE$18</definedName>
    <definedName name="TAX_2005" localSheetId="10">Tags!$AJ$18</definedName>
    <definedName name="TAX_2005" localSheetId="5">#REF!</definedName>
    <definedName name="TAX_2005">Tags_ols!$AJ$18</definedName>
    <definedName name="TAX_2006" localSheetId="10">Tags!$AO$18</definedName>
    <definedName name="TAX_2006">Tags_ols!$AO$18</definedName>
    <definedName name="TAX_2007" localSheetId="10">Tags!$AT$18</definedName>
    <definedName name="TAX_2007">Tags_ols!$AT$18</definedName>
    <definedName name="TAX_2008" localSheetId="10">Tags!$AY$18</definedName>
    <definedName name="TAX_2008">Tags_ols!$AY$18</definedName>
    <definedName name="TAX_2009" localSheetId="10">Tags!$BD$18</definedName>
    <definedName name="TAX_2009">Tags_ols!$BD$18</definedName>
    <definedName name="TAX_2010" localSheetId="10">Tags!$BI$18</definedName>
    <definedName name="TAX_2010">Tags_ols!$BI$18</definedName>
    <definedName name="TAX_2011" localSheetId="10">Tags!$BN$18</definedName>
    <definedName name="TAX_2011">Tags_ols!$BN$18</definedName>
    <definedName name="TAX_2012" localSheetId="10">Tags!$BS$18</definedName>
    <definedName name="TAX_2012">Tags_ols!$BS$18</definedName>
    <definedName name="TAX_2013" localSheetId="10">Tags!$BX$18</definedName>
    <definedName name="TAX_2013">Tags_ols!$BX$18</definedName>
    <definedName name="TAX_2014" localSheetId="10">Tags!$CC$18</definedName>
    <definedName name="TAX_2014">Tags_ols!$CC$18</definedName>
    <definedName name="TAX_2015" localSheetId="10">Tags!#REF!</definedName>
    <definedName name="TAX_2015">Tags!$CH$18</definedName>
    <definedName name="TAX_2016" localSheetId="10">Tags!$CM$18</definedName>
    <definedName name="TAX_2016">Tags_ols!$CM$18</definedName>
    <definedName name="TAX_2017" localSheetId="10">Tags!$CR$18</definedName>
    <definedName name="TAX_2017">Tags_ols!$CR$18</definedName>
    <definedName name="TAX_2018" localSheetId="10">Tags!$CW$18</definedName>
    <definedName name="TAX_2018">Tags_ols!$CW$18</definedName>
    <definedName name="TAX_2019" localSheetId="10">Tags!$DB$18</definedName>
    <definedName name="TAX_2019">Tags_ols!$DB$18</definedName>
    <definedName name="TAX_2020" localSheetId="10">Tags!$DG$18</definedName>
    <definedName name="TAX_2020">Tags_ols!$DG$18</definedName>
    <definedName name="TAX_2021">Tags!$DL$18</definedName>
    <definedName name="TAX_2022">Tags!$DQ$18</definedName>
    <definedName name="TAX_2023">Tags!$DV$18</definedName>
    <definedName name="TAX_2024">Tags!$EA$18</definedName>
    <definedName name="TAX_2Q00" localSheetId="10">Tags!$H$18</definedName>
    <definedName name="TAX_2Q00">Tags_ols!$H$18</definedName>
    <definedName name="TAX_2Q01" localSheetId="10">Tags!$M$18</definedName>
    <definedName name="TAX_2Q01">Tags_ols!$M$18</definedName>
    <definedName name="TAX_2Q02" localSheetId="10">Tags!$R$18</definedName>
    <definedName name="TAX_2Q02">Tags_ols!$R$18</definedName>
    <definedName name="TAX_2Q03" localSheetId="10">Tags!$W$18</definedName>
    <definedName name="TAX_2Q03">Tags_ols!$W$18</definedName>
    <definedName name="TAX_2Q04" localSheetId="10">Tags!$AB$18</definedName>
    <definedName name="TAX_2Q04">Tags_ols!$AB$18</definedName>
    <definedName name="TAX_2Q05" localSheetId="10">Tags!$AG$18</definedName>
    <definedName name="TAX_2Q05">Tags_ols!$AG$18</definedName>
    <definedName name="TAX_2Q06" localSheetId="10">Tags!$AL$18</definedName>
    <definedName name="TAX_2Q06" localSheetId="5">#REF!</definedName>
    <definedName name="TAX_2Q06">Tags_ols!$AL$18</definedName>
    <definedName name="TAX_2Q07" localSheetId="10">Tags!$AQ$18</definedName>
    <definedName name="TAX_2Q07">Tags_ols!$AQ$18</definedName>
    <definedName name="TAX_2Q08" localSheetId="10">Tags!$AV$18</definedName>
    <definedName name="TAX_2Q08">Tags_ols!$AV$18</definedName>
    <definedName name="TAX_2Q09" localSheetId="10">Tags!$BA$18</definedName>
    <definedName name="TAX_2Q09">Tags_ols!$BA$18</definedName>
    <definedName name="TAX_2Q10" localSheetId="10">Tags!$BF$18</definedName>
    <definedName name="TAX_2Q10">Tags_ols!$BF$18</definedName>
    <definedName name="TAX_2Q11" localSheetId="10">Tags!$BK$18</definedName>
    <definedName name="TAX_2Q11">Tags_ols!$BK$18</definedName>
    <definedName name="TAX_2Q12" localSheetId="10">Tags!$BP$18</definedName>
    <definedName name="TAX_2Q12">Tags_ols!$BP$18</definedName>
    <definedName name="TAX_2Q13" localSheetId="10">Tags!$BU$18</definedName>
    <definedName name="TAX_2Q13">Tags_ols!$BU$18</definedName>
    <definedName name="TAX_2Q14" localSheetId="10">Tags!$BZ$18</definedName>
    <definedName name="TAX_2Q14">Tags_ols!$BZ$18</definedName>
    <definedName name="TAX_2Q15" localSheetId="10">Tags!$CE$18</definedName>
    <definedName name="TAX_2Q15">Tags_ols!$CE$18</definedName>
    <definedName name="TAX_2Q16" localSheetId="10">Tags!$CJ$18</definedName>
    <definedName name="TAX_2Q16">Tags_ols!$CJ$18</definedName>
    <definedName name="TAX_2Q17" localSheetId="10">Tags!$CO$18</definedName>
    <definedName name="TAX_2Q17">Tags_ols!$CO$18</definedName>
    <definedName name="TAX_2Q18" localSheetId="10">Tags!$CT$18</definedName>
    <definedName name="TAX_2Q18">Tags_ols!$CT$18</definedName>
    <definedName name="TAX_2Q19" localSheetId="10">Tags!$CY$18</definedName>
    <definedName name="TAX_2Q19">Tags_ols!$CY$18</definedName>
    <definedName name="TAX_2Q20" localSheetId="10">Tags!$DD$18</definedName>
    <definedName name="TAX_2Q20">Tags_ols!$DD$18</definedName>
    <definedName name="TAX_2Q21">Tags!$DI$18</definedName>
    <definedName name="TAX_2Q22">Tags!$DN$18</definedName>
    <definedName name="TAX_2Q23">Tags!$DS$18</definedName>
    <definedName name="TAX_2Q24">Tags!$DX$18</definedName>
    <definedName name="TAX_3Q00" localSheetId="10">Tags!$I$18</definedName>
    <definedName name="TAX_3Q00">Tags_ols!$I$18</definedName>
    <definedName name="TAX_3Q01" localSheetId="10">Tags!$N$18</definedName>
    <definedName name="TAX_3Q01">Tags_ols!$N$18</definedName>
    <definedName name="TAX_3Q02" localSheetId="10">Tags!$S$18</definedName>
    <definedName name="TAX_3Q02">Tags_ols!$S$18</definedName>
    <definedName name="TAX_3Q03" localSheetId="10">Tags!$X$18</definedName>
    <definedName name="TAX_3Q03">Tags_ols!$X$18</definedName>
    <definedName name="TAX_3Q04" localSheetId="10">Tags!$AC$18</definedName>
    <definedName name="TAX_3Q04">Tags_ols!$AC$18</definedName>
    <definedName name="TAX_3Q05" localSheetId="10">Tags!$AH$18</definedName>
    <definedName name="TAX_3Q05">Tags_ols!$AH$18</definedName>
    <definedName name="TAX_3Q06" localSheetId="10">Tags!$AM$18</definedName>
    <definedName name="TAX_3Q06" localSheetId="5">#REF!</definedName>
    <definedName name="TAX_3Q06">Tags_ols!$AM$18</definedName>
    <definedName name="TAX_3Q07" localSheetId="10">Tags!$AR$18</definedName>
    <definedName name="TAX_3Q07">Tags_ols!$AR$18</definedName>
    <definedName name="TAX_3Q08" localSheetId="10">Tags!$AW$18</definedName>
    <definedName name="TAX_3Q08">Tags_ols!$AW$18</definedName>
    <definedName name="TAX_3Q09" localSheetId="10">Tags!$BB$18</definedName>
    <definedName name="TAX_3Q09">Tags_ols!$BB$18</definedName>
    <definedName name="TAX_3Q10" localSheetId="10">Tags!$BG$18</definedName>
    <definedName name="TAX_3Q10">Tags_ols!$BG$18</definedName>
    <definedName name="TAX_3Q11" localSheetId="10">Tags!$BL$18</definedName>
    <definedName name="TAX_3Q11">Tags_ols!$BL$18</definedName>
    <definedName name="TAX_3Q12" localSheetId="10">Tags!$BQ$18</definedName>
    <definedName name="TAX_3Q12">Tags_ols!$BQ$18</definedName>
    <definedName name="TAX_3Q13" localSheetId="10">Tags!$BV$18</definedName>
    <definedName name="TAX_3Q13">Tags_ols!$BV$18</definedName>
    <definedName name="TAX_3Q14" localSheetId="10">Tags!$CA$18</definedName>
    <definedName name="TAX_3Q14">Tags_ols!$CA$18</definedName>
    <definedName name="TAX_3Q15" localSheetId="10">Tags!$CF$18</definedName>
    <definedName name="TAX_3Q15">Tags_ols!$CF$18</definedName>
    <definedName name="TAX_3Q16" localSheetId="10">Tags!$CK$18</definedName>
    <definedName name="TAX_3Q16">Tags_ols!$CK$18</definedName>
    <definedName name="TAX_3Q17" localSheetId="10">Tags!$CP$18</definedName>
    <definedName name="TAX_3Q17">Tags_ols!$CP$18</definedName>
    <definedName name="TAX_3Q18" localSheetId="10">Tags!$CU$18</definedName>
    <definedName name="TAX_3Q18">Tags_ols!$CU$18</definedName>
    <definedName name="TAX_3Q19" localSheetId="10">Tags!$CZ$18</definedName>
    <definedName name="TAX_3Q19">Tags_ols!$CZ$18</definedName>
    <definedName name="TAX_3Q20" localSheetId="10">Tags!$DE$18</definedName>
    <definedName name="TAX_3Q20">Tags_ols!$DE$18</definedName>
    <definedName name="TAX_3Q21">Tags!$DJ$18</definedName>
    <definedName name="TAX_3Q22">Tags!$DO$18</definedName>
    <definedName name="TAX_3Q23">Tags!$DT$18</definedName>
    <definedName name="TAX_3Q24">Tags!$DY$18</definedName>
    <definedName name="TAX_4Q00" localSheetId="10">Tags!$J$18</definedName>
    <definedName name="TAX_4Q00">Tags_ols!$J$18</definedName>
    <definedName name="TAX_4Q01" localSheetId="10">Tags!$O$18</definedName>
    <definedName name="TAX_4Q01">Tags_ols!$O$18</definedName>
    <definedName name="TAX_4Q02" localSheetId="10">Tags!$T$18</definedName>
    <definedName name="TAX_4Q02">Tags_ols!$T$18</definedName>
    <definedName name="TAX_4Q03" localSheetId="10">Tags!$Y$18</definedName>
    <definedName name="TAX_4Q03">Tags_ols!$Y$18</definedName>
    <definedName name="TAX_4Q04" localSheetId="10">Tags!$AD$18</definedName>
    <definedName name="TAX_4Q04">Tags_ols!$AD$18</definedName>
    <definedName name="TAX_4Q05" localSheetId="10">Tags!$AI$18</definedName>
    <definedName name="TAX_4Q05">Tags_ols!$AI$18</definedName>
    <definedName name="TAX_4Q06" localSheetId="10">Tags!$AN$18</definedName>
    <definedName name="TAX_4Q06" localSheetId="5">#REF!</definedName>
    <definedName name="TAX_4Q06">Tags_ols!$AN$18</definedName>
    <definedName name="TAX_4Q07" localSheetId="10">Tags!$AS$18</definedName>
    <definedName name="TAX_4Q07">Tags_ols!$AS$18</definedName>
    <definedName name="TAX_4Q08" localSheetId="10">Tags!$AX$18</definedName>
    <definedName name="TAX_4Q08">Tags_ols!$AX$18</definedName>
    <definedName name="TAX_4Q09" localSheetId="10">Tags!$BC$18</definedName>
    <definedName name="TAX_4Q09">Tags_ols!$BC$18</definedName>
    <definedName name="TAX_4Q10" localSheetId="10">Tags!$BH$18</definedName>
    <definedName name="TAX_4Q10">Tags_ols!$BH$18</definedName>
    <definedName name="TAX_4Q11" localSheetId="10">Tags!$BM$18</definedName>
    <definedName name="TAX_4Q11">Tags_ols!$BM$18</definedName>
    <definedName name="TAX_4Q12" localSheetId="10">Tags!$BR$18</definedName>
    <definedName name="TAX_4Q12">Tags_ols!$BR$18</definedName>
    <definedName name="TAX_4Q13" localSheetId="10">Tags!$BW$18</definedName>
    <definedName name="TAX_4Q13">Tags_ols!$BW$18</definedName>
    <definedName name="TAX_4Q14" localSheetId="10">Tags!$CB$18</definedName>
    <definedName name="TAX_4Q14">Tags_ols!$CB$18</definedName>
    <definedName name="TAX_4Q15" localSheetId="10">Tags!$CG$18</definedName>
    <definedName name="TAX_4Q15">Tags_ols!$CG$18</definedName>
    <definedName name="TAX_4Q16" localSheetId="10">Tags!$CL$18</definedName>
    <definedName name="TAX_4Q16">Tags_ols!$CL$18</definedName>
    <definedName name="TAX_4Q17" localSheetId="10">Tags!$CQ$18</definedName>
    <definedName name="TAX_4Q17">Tags_ols!$CQ$18</definedName>
    <definedName name="TAX_4Q18" localSheetId="10">Tags!$CV$18</definedName>
    <definedName name="TAX_4Q18">Tags_ols!$CV$18</definedName>
    <definedName name="TAX_4Q19" localSheetId="10">Tags!$DA$18</definedName>
    <definedName name="TAX_4Q19">Tags_ols!$DA$18</definedName>
    <definedName name="TAX_4Q20" localSheetId="10">Tags!$DF$18</definedName>
    <definedName name="TAX_4Q20">Tags_ols!$DF$18</definedName>
    <definedName name="TAX_4Q21">Tags!$DK$18</definedName>
    <definedName name="TAX_4Q22">Tags!$DP$18</definedName>
    <definedName name="TAX_4Q23">Tags!$DU$18</definedName>
    <definedName name="TAX_4Q24">Tags!$DZ$18</definedName>
    <definedName name="Tax_Summary_For_Valuation" localSheetId="9">Word</definedName>
    <definedName name="Tax_Summary_For_Valuation" localSheetId="5">Word</definedName>
    <definedName name="Tax_Summary_For_Valuation">Word</definedName>
    <definedName name="TAXPA_1995">Tags_ols!$B$313</definedName>
    <definedName name="TAXPA_1996">Tags_ols!$C$313</definedName>
    <definedName name="TAXPA_1997">Tags_ols!$D$313</definedName>
    <definedName name="TAXPA_1998">Tags_ols!$E$313</definedName>
    <definedName name="TAXPA_1999">Tags_ols!$F$313</definedName>
    <definedName name="TAXPA_1Q00" localSheetId="10">Tags!$G$313</definedName>
    <definedName name="TAXPA_1Q00">Tags_ols!$G$313</definedName>
    <definedName name="TAXPA_1Q01" localSheetId="10">Tags!$L$313</definedName>
    <definedName name="TAXPA_1Q01">Tags_ols!$L$313</definedName>
    <definedName name="TAXPA_1Q02" localSheetId="10">Tags!$Q$313</definedName>
    <definedName name="TAXPA_1Q02">Tags_ols!$Q$313</definedName>
    <definedName name="TAXPA_1Q03" localSheetId="10">Tags!$V$313</definedName>
    <definedName name="TAXPA_1Q03">Tags_ols!$V$313</definedName>
    <definedName name="TAXPA_1Q04" localSheetId="10">Tags!$AA$313</definedName>
    <definedName name="TAXPA_1Q04">Tags_ols!$AA$313</definedName>
    <definedName name="TAXPA_1Q05" localSheetId="10">Tags!$AF$313</definedName>
    <definedName name="TAXPA_1Q05">Tags_ols!$AF$313</definedName>
    <definedName name="TAXPA_1Q06" localSheetId="10">Tags!$AK$313</definedName>
    <definedName name="TAXPA_1Q06">Tags_ols!$AK$313</definedName>
    <definedName name="TAXPA_1Q07" localSheetId="10">Tags!$AP$313</definedName>
    <definedName name="TAXPA_1Q07">Tags_ols!$AP$313</definedName>
    <definedName name="TAXPA_1Q08" localSheetId="10">Tags!$AU$313</definedName>
    <definedName name="TAXPA_1Q08">Tags_ols!$AU$313</definedName>
    <definedName name="TAXPA_1Q09" localSheetId="10">Tags!$AZ$313</definedName>
    <definedName name="TAXPA_1Q09">Tags_ols!$AZ$313</definedName>
    <definedName name="TAXPA_1Q10" localSheetId="10">Tags!$BE$313</definedName>
    <definedName name="TAXPA_1Q10">Tags_ols!$BE$313</definedName>
    <definedName name="TAXPA_1Q11" localSheetId="10">Tags!$BJ$313</definedName>
    <definedName name="TAXPA_1Q11">Tags_ols!$BJ$313</definedName>
    <definedName name="TAXPA_1Q12" localSheetId="10">Tags!$BO$313</definedName>
    <definedName name="TAXPA_1Q12">Tags_ols!$BO$313</definedName>
    <definedName name="TAXPA_1Q13" localSheetId="10">Tags!$BT$313</definedName>
    <definedName name="TAXPA_1Q13">Tags_ols!$BT$313</definedName>
    <definedName name="TAXPA_1Q14" localSheetId="10">Tags!$BY$313</definedName>
    <definedName name="TAXPA_1Q14">Tags_ols!$BY$313</definedName>
    <definedName name="TAXPA_1Q15" localSheetId="10">Tags!$CD$313</definedName>
    <definedName name="TAXPA_1Q15">Tags_ols!$CD$313</definedName>
    <definedName name="TAXPA_1Q16" localSheetId="10">Tags!$CI$313</definedName>
    <definedName name="TAXPA_1Q16">Tags_ols!$CI$313</definedName>
    <definedName name="TAXPA_1Q17" localSheetId="10">Tags!$CN$313</definedName>
    <definedName name="TAXPA_1Q17">Tags_ols!$CN$313</definedName>
    <definedName name="TAXPA_1Q18" localSheetId="10">Tags!$CS$313</definedName>
    <definedName name="TAXPA_1Q18">Tags_ols!$CS$313</definedName>
    <definedName name="TAXPA_1Q19" localSheetId="10">Tags!$CX$313</definedName>
    <definedName name="TAXPA_1Q19">Tags_ols!$CX$313</definedName>
    <definedName name="TAXPA_1Q20" localSheetId="10">Tags!$DC$313</definedName>
    <definedName name="TAXPA_1Q20">Tags_ols!$DC$313</definedName>
    <definedName name="TAXPA_1Q21">Tags!$DH$313</definedName>
    <definedName name="TAXPA_1Q22">Tags!$DM$313</definedName>
    <definedName name="TAXPA_1Q23">Tags!$DR$313</definedName>
    <definedName name="TAXPA_1Q24">Tags!$DW$313</definedName>
    <definedName name="TAXPA_2000" localSheetId="10">Tags!$K$313</definedName>
    <definedName name="TAXPA_2000">Tags_ols!$K$313</definedName>
    <definedName name="TAXPA_2001" localSheetId="10">Tags!$P$313</definedName>
    <definedName name="TAXPA_2001">Tags_ols!$P$313</definedName>
    <definedName name="TAXPA_2002" localSheetId="10">Tags!$U$313</definedName>
    <definedName name="TAXPA_2002">Tags_ols!$U$313</definedName>
    <definedName name="TAXPA_2003" localSheetId="10">Tags!$Z$313</definedName>
    <definedName name="TAXPA_2003">Tags_ols!$Z$313</definedName>
    <definedName name="TAXPA_2004" localSheetId="10">Tags!$AE$313</definedName>
    <definedName name="TAXPA_2004">Tags_ols!$AE$313</definedName>
    <definedName name="TAXPA_2005" localSheetId="10">Tags!$AJ$313</definedName>
    <definedName name="TAXPA_2005">Tags_ols!$AJ$313</definedName>
    <definedName name="TAXPA_2006" localSheetId="10">Tags!$AO$313</definedName>
    <definedName name="TAXPA_2006">Tags_ols!$AO$313</definedName>
    <definedName name="TAXPA_2007" localSheetId="10">Tags!$AT$313</definedName>
    <definedName name="TAXPA_2007">Tags_ols!$AT$313</definedName>
    <definedName name="TAXPA_2008" localSheetId="10">Tags!$AY$313</definedName>
    <definedName name="TAXPA_2008">Tags_ols!$AY$313</definedName>
    <definedName name="TAXPA_2009" localSheetId="10">Tags!$BD$313</definedName>
    <definedName name="TAXPA_2009">Tags_ols!$BD$313</definedName>
    <definedName name="TAXPA_2010" localSheetId="10">Tags!$BI$313</definedName>
    <definedName name="TAXPA_2010">Tags_ols!$BI$313</definedName>
    <definedName name="TAXPA_2011" localSheetId="10">Tags!$BN$313</definedName>
    <definedName name="TAXPA_2011">Tags_ols!$BN$313</definedName>
    <definedName name="TAXPA_2012" localSheetId="10">Tags!$BS$313</definedName>
    <definedName name="TAXPA_2012">Tags_ols!$BS$313</definedName>
    <definedName name="TAXPA_2013" localSheetId="10">Tags!$BX$313</definedName>
    <definedName name="TAXPA_2013">Tags_ols!$BX$313</definedName>
    <definedName name="TAXPA_2014" localSheetId="10">Tags!$CC$313</definedName>
    <definedName name="TAXPA_2014">Tags_ols!$CC$313</definedName>
    <definedName name="TAXPA_2015" localSheetId="10">Tags!#REF!</definedName>
    <definedName name="TAXPA_2015">Tags!$CH$313</definedName>
    <definedName name="TAXPA_2016" localSheetId="10">Tags!$CM$313</definedName>
    <definedName name="TAXPA_2016">Tags_ols!$CM$313</definedName>
    <definedName name="TAXPA_2017" localSheetId="10">Tags!$CR$313</definedName>
    <definedName name="TAXPA_2017">Tags_ols!$CR$313</definedName>
    <definedName name="TAXPA_2018" localSheetId="10">Tags!$CW$313</definedName>
    <definedName name="TAXPA_2018">Tags_ols!$CW$313</definedName>
    <definedName name="TAXPA_2019" localSheetId="10">Tags!$DB$313</definedName>
    <definedName name="TAXPA_2019">Tags_ols!$DB$313</definedName>
    <definedName name="TAXPA_2020" localSheetId="10">Tags!$DG$313</definedName>
    <definedName name="TAXPA_2020">Tags_ols!$DG$313</definedName>
    <definedName name="TAXPA_2021">Tags!$DL$313</definedName>
    <definedName name="TAXPA_2022">Tags!$DQ$313</definedName>
    <definedName name="TAXPA_2023">Tags!$DV$313</definedName>
    <definedName name="TAXPA_2024">Tags!$EA$313</definedName>
    <definedName name="TAXPA_2Q00" localSheetId="10">Tags!$H$313</definedName>
    <definedName name="TAXPA_2Q00">Tags_ols!$H$313</definedName>
    <definedName name="TAXPA_2Q01" localSheetId="10">Tags!$M$313</definedName>
    <definedName name="TAXPA_2Q01">Tags_ols!$M$313</definedName>
    <definedName name="TAXPA_2Q02" localSheetId="10">Tags!$R$313</definedName>
    <definedName name="TAXPA_2Q02">Tags_ols!$R$313</definedName>
    <definedName name="TAXPA_2Q03" localSheetId="10">Tags!$W$313</definedName>
    <definedName name="TAXPA_2Q03">Tags_ols!$W$313</definedName>
    <definedName name="TAXPA_2Q04" localSheetId="10">Tags!$AB$313</definedName>
    <definedName name="TAXPA_2Q04">Tags_ols!$AB$313</definedName>
    <definedName name="TAXPA_2Q05" localSheetId="10">Tags!$AG$313</definedName>
    <definedName name="TAXPA_2Q05">Tags_ols!$AG$313</definedName>
    <definedName name="TAXPA_2Q06" localSheetId="10">Tags!$AL$313</definedName>
    <definedName name="TAXPA_2Q06">Tags_ols!$AL$313</definedName>
    <definedName name="TAXPA_2Q07" localSheetId="10">Tags!$AQ$313</definedName>
    <definedName name="TAXPA_2Q07">Tags_ols!$AQ$313</definedName>
    <definedName name="TAXPA_2Q08" localSheetId="10">Tags!$AV$313</definedName>
    <definedName name="TAXPA_2Q08">Tags_ols!$AV$313</definedName>
    <definedName name="TAXPA_2Q09" localSheetId="10">Tags!$BA$313</definedName>
    <definedName name="TAXPA_2Q09">Tags_ols!$BA$313</definedName>
    <definedName name="TAXPA_2Q10" localSheetId="10">Tags!$BF$313</definedName>
    <definedName name="TAXPA_2Q10">Tags_ols!$BF$313</definedName>
    <definedName name="TAXPA_2Q11" localSheetId="10">Tags!$BK$313</definedName>
    <definedName name="TAXPA_2Q11">Tags_ols!$BK$313</definedName>
    <definedName name="TAXPA_2Q12" localSheetId="10">Tags!$BP$313</definedName>
    <definedName name="TAXPA_2Q12">Tags_ols!$BP$313</definedName>
    <definedName name="TAXPA_2Q13" localSheetId="10">Tags!$BU$313</definedName>
    <definedName name="TAXPA_2Q13">Tags_ols!$BU$313</definedName>
    <definedName name="TAXPA_2Q14" localSheetId="10">Tags!$BZ$313</definedName>
    <definedName name="TAXPA_2Q14">Tags_ols!$BZ$313</definedName>
    <definedName name="TAXPA_2Q15" localSheetId="10">Tags!$CE$313</definedName>
    <definedName name="TAXPA_2Q15">Tags_ols!$CE$313</definedName>
    <definedName name="TAXPA_2Q16" localSheetId="10">Tags!$CJ$313</definedName>
    <definedName name="TAXPA_2Q16">Tags_ols!$CJ$313</definedName>
    <definedName name="TAXPA_2Q17" localSheetId="10">Tags!$CO$313</definedName>
    <definedName name="TAXPA_2Q17">Tags_ols!$CO$313</definedName>
    <definedName name="TAXPA_2Q18" localSheetId="10">Tags!$CT$313</definedName>
    <definedName name="TAXPA_2Q18">Tags_ols!$CT$313</definedName>
    <definedName name="TAXPA_2Q19" localSheetId="10">Tags!$CY$313</definedName>
    <definedName name="TAXPA_2Q19">Tags_ols!$CY$313</definedName>
    <definedName name="TAXPA_2Q20" localSheetId="10">Tags!$DD$313</definedName>
    <definedName name="TAXPA_2Q20">Tags_ols!$DD$313</definedName>
    <definedName name="TAXPA_2Q21">Tags!$DI$313</definedName>
    <definedName name="TAXPA_2Q22">Tags!$DN$313</definedName>
    <definedName name="TAXPA_2Q23">Tags!$DS$313</definedName>
    <definedName name="TAXPA_2Q24">Tags!$DX$313</definedName>
    <definedName name="TAXPA_3Q00" localSheetId="10">Tags!$I$313</definedName>
    <definedName name="TAXPA_3Q00">Tags_ols!$I$313</definedName>
    <definedName name="TAXPA_3Q01" localSheetId="10">Tags!$N$313</definedName>
    <definedName name="TAXPA_3Q01">Tags_ols!$N$313</definedName>
    <definedName name="TAXPA_3Q02" localSheetId="10">Tags!$S$313</definedName>
    <definedName name="TAXPA_3Q02">Tags_ols!$S$313</definedName>
    <definedName name="TAXPA_3Q03" localSheetId="10">Tags!$X$313</definedName>
    <definedName name="TAXPA_3Q03">Tags_ols!$X$313</definedName>
    <definedName name="TAXPA_3Q04" localSheetId="10">Tags!$AC$313</definedName>
    <definedName name="TAXPA_3Q04">Tags_ols!$AC$313</definedName>
    <definedName name="TAXPA_3Q05" localSheetId="10">Tags!$AH$313</definedName>
    <definedName name="TAXPA_3Q05">Tags_ols!$AH$313</definedName>
    <definedName name="TAXPA_3Q06" localSheetId="10">Tags!$AM$313</definedName>
    <definedName name="TAXPA_3Q06">Tags_ols!$AM$313</definedName>
    <definedName name="TAXPA_3Q07" localSheetId="10">Tags!$AR$313</definedName>
    <definedName name="TAXPA_3Q07">Tags_ols!$AR$313</definedName>
    <definedName name="TAXPA_3Q08" localSheetId="10">Tags!$AW$313</definedName>
    <definedName name="TAXPA_3Q08">Tags_ols!$AW$313</definedName>
    <definedName name="TAXPA_3Q09" localSheetId="10">Tags!$BB$313</definedName>
    <definedName name="TAXPA_3Q09">Tags_ols!$BB$313</definedName>
    <definedName name="TAXPA_3Q10" localSheetId="10">Tags!$BG$313</definedName>
    <definedName name="TAXPA_3Q10">Tags_ols!$BG$313</definedName>
    <definedName name="TAXPA_3Q11" localSheetId="10">Tags!$BL$313</definedName>
    <definedName name="TAXPA_3Q11">Tags_ols!$BL$313</definedName>
    <definedName name="TAXPA_3Q12" localSheetId="10">Tags!$BQ$313</definedName>
    <definedName name="TAXPA_3Q12">Tags_ols!$BQ$313</definedName>
    <definedName name="TAXPA_3Q13" localSheetId="10">Tags!$BV$313</definedName>
    <definedName name="TAXPA_3Q13">Tags_ols!$BV$313</definedName>
    <definedName name="TAXPA_3Q14" localSheetId="10">Tags!$CA$313</definedName>
    <definedName name="TAXPA_3Q14">Tags_ols!$CA$313</definedName>
    <definedName name="TAXPA_3Q15" localSheetId="10">Tags!$CF$313</definedName>
    <definedName name="TAXPA_3Q15">Tags_ols!$CF$313</definedName>
    <definedName name="TAXPA_3Q16" localSheetId="10">Tags!$CK$313</definedName>
    <definedName name="TAXPA_3Q16">Tags_ols!$CK$313</definedName>
    <definedName name="TAXPA_3Q17" localSheetId="10">Tags!$CP$313</definedName>
    <definedName name="TAXPA_3Q17">Tags_ols!$CP$313</definedName>
    <definedName name="TAXPA_3Q18" localSheetId="10">Tags!$CU$313</definedName>
    <definedName name="TAXPA_3Q18">Tags_ols!$CU$313</definedName>
    <definedName name="TAXPA_3Q19" localSheetId="10">Tags!$CZ$313</definedName>
    <definedName name="TAXPA_3Q19">Tags_ols!$CZ$313</definedName>
    <definedName name="TAXPA_3Q20" localSheetId="10">Tags!$DE$313</definedName>
    <definedName name="TAXPA_3Q20">Tags_ols!$DE$313</definedName>
    <definedName name="TAXPA_3Q21">Tags!$DJ$313</definedName>
    <definedName name="TAXPA_3Q22">Tags!$DO$313</definedName>
    <definedName name="TAXPA_3Q23">Tags!$DT$313</definedName>
    <definedName name="TAXPA_3Q24">Tags!$DY$313</definedName>
    <definedName name="TAXPA_4Q00" localSheetId="10">Tags!$J$313</definedName>
    <definedName name="TAXPA_4Q00">Tags_ols!$J$313</definedName>
    <definedName name="TAXPA_4Q01" localSheetId="10">Tags!$O$313</definedName>
    <definedName name="TAXPA_4Q01">Tags_ols!$O$313</definedName>
    <definedName name="TAXPA_4Q02" localSheetId="10">Tags!$T$313</definedName>
    <definedName name="TAXPA_4Q02">Tags_ols!$T$313</definedName>
    <definedName name="TAXPA_4Q03" localSheetId="10">Tags!$Y$313</definedName>
    <definedName name="TAXPA_4Q03">Tags_ols!$Y$313</definedName>
    <definedName name="TAXPA_4Q04" localSheetId="10">Tags!$AD$313</definedName>
    <definedName name="TAXPA_4Q04">Tags_ols!$AD$313</definedName>
    <definedName name="TAXPA_4Q05" localSheetId="10">Tags!$AI$313</definedName>
    <definedName name="TAXPA_4Q05">Tags_ols!$AI$313</definedName>
    <definedName name="TAXPA_4Q06" localSheetId="10">Tags!$AN$313</definedName>
    <definedName name="TAXPA_4Q06">Tags_ols!$AN$313</definedName>
    <definedName name="TAXPA_4Q07" localSheetId="10">Tags!$AS$313</definedName>
    <definedName name="TAXPA_4Q07">Tags_ols!$AS$313</definedName>
    <definedName name="TAXPA_4Q08" localSheetId="10">Tags!$AX$313</definedName>
    <definedName name="TAXPA_4Q08">Tags_ols!$AX$313</definedName>
    <definedName name="TAXPA_4Q09" localSheetId="10">Tags!$BC$313</definedName>
    <definedName name="TAXPA_4Q09">Tags_ols!$BC$313</definedName>
    <definedName name="TAXPA_4Q10" localSheetId="10">Tags!$BH$313</definedName>
    <definedName name="TAXPA_4Q10">Tags_ols!$BH$313</definedName>
    <definedName name="TAXPA_4Q11" localSheetId="10">Tags!$BM$313</definedName>
    <definedName name="TAXPA_4Q11">Tags_ols!$BM$313</definedName>
    <definedName name="TAXPA_4Q12" localSheetId="10">Tags!$BR$313</definedName>
    <definedName name="TAXPA_4Q12">Tags_ols!$BR$313</definedName>
    <definedName name="TAXPA_4Q13" localSheetId="10">Tags!$BW$313</definedName>
    <definedName name="TAXPA_4Q13">Tags_ols!$BW$313</definedName>
    <definedName name="TAXPA_4Q14" localSheetId="10">Tags!$CB$313</definedName>
    <definedName name="TAXPA_4Q14">Tags_ols!$CB$313</definedName>
    <definedName name="TAXPA_4Q15" localSheetId="10">Tags!$CG$313</definedName>
    <definedName name="TAXPA_4Q15">Tags_ols!$CG$313</definedName>
    <definedName name="TAXPA_4Q16" localSheetId="10">Tags!$CL$313</definedName>
    <definedName name="TAXPA_4Q16">Tags_ols!$CL$313</definedName>
    <definedName name="TAXPA_4Q17" localSheetId="10">Tags!$CQ$313</definedName>
    <definedName name="TAXPA_4Q17">Tags_ols!$CQ$313</definedName>
    <definedName name="TAXPA_4Q18" localSheetId="10">Tags!$CV$313</definedName>
    <definedName name="TAXPA_4Q18">Tags_ols!$CV$313</definedName>
    <definedName name="TAXPA_4Q19" localSheetId="10">Tags!$DA$313</definedName>
    <definedName name="TAXPA_4Q19">Tags_ols!$DA$313</definedName>
    <definedName name="TAXPA_4Q20" localSheetId="10">Tags!$DF$313</definedName>
    <definedName name="TAXPA_4Q20">Tags_ols!$DF$313</definedName>
    <definedName name="TAXPA_4Q21">Tags!$DK$313</definedName>
    <definedName name="TAXPA_4Q22">Tags!$DP$313</definedName>
    <definedName name="TAXPA_4Q23">Tags!$DU$313</definedName>
    <definedName name="TAXPA_4Q24">Tags!$DZ$313</definedName>
    <definedName name="TEMPAF_1995">Tags_ols!$B$117</definedName>
    <definedName name="TEMPAF_1996">Tags_ols!$C$117</definedName>
    <definedName name="TEMPAF_1997">Tags_ols!$D$117</definedName>
    <definedName name="TEMPAF_1998">Tags_ols!$E$117</definedName>
    <definedName name="TEMPAF_1999">Tags_ols!$F$117</definedName>
    <definedName name="TEMPAF_1Q00" localSheetId="10">Tags!$G$117</definedName>
    <definedName name="TEMPAF_1Q00">Tags_ols!$G$117</definedName>
    <definedName name="TEMPAF_1Q01" localSheetId="10">Tags!$L$117</definedName>
    <definedName name="TEMPAF_1Q01">Tags_ols!$L$117</definedName>
    <definedName name="TEMPAF_1Q02" localSheetId="10">Tags!$Q$117</definedName>
    <definedName name="TEMPAF_1Q02">Tags_ols!$Q$117</definedName>
    <definedName name="TEMPAF_1Q03" localSheetId="10">Tags!$V$117</definedName>
    <definedName name="TEMPAF_1Q03">Tags_ols!$V$117</definedName>
    <definedName name="TEMPAF_1Q04" localSheetId="10">Tags!$AA$117</definedName>
    <definedName name="TEMPAF_1Q04">Tags_ols!$AA$117</definedName>
    <definedName name="TEMPAF_1Q05" localSheetId="10">Tags!$AF$117</definedName>
    <definedName name="TEMPAF_1Q05">Tags_ols!$AF$117</definedName>
    <definedName name="TEMPAF_1Q06" localSheetId="10">Tags!$AK$117</definedName>
    <definedName name="TEMPAF_1Q06">Tags_ols!$AK$117</definedName>
    <definedName name="TEMPAF_1Q07" localSheetId="10">Tags!$AP$117</definedName>
    <definedName name="TEMPAF_1Q07">Tags_ols!$AP$117</definedName>
    <definedName name="TEMPAF_1Q08" localSheetId="10">Tags!$AU$117</definedName>
    <definedName name="TEMPAF_1Q08">Tags_ols!$AU$117</definedName>
    <definedName name="TEMPAF_1Q09" localSheetId="10">Tags!$AZ$117</definedName>
    <definedName name="TEMPAF_1Q09">Tags_ols!$AZ$117</definedName>
    <definedName name="TEMPAF_1Q10" localSheetId="10">Tags!$BE$117</definedName>
    <definedName name="TEMPAF_1Q10">Tags_ols!$BE$117</definedName>
    <definedName name="TEMPAF_1Q11" localSheetId="10">Tags!$BJ$117</definedName>
    <definedName name="TEMPAF_1Q11">Tags_ols!$BJ$117</definedName>
    <definedName name="TEMPAF_1Q12" localSheetId="10">Tags!$BO$117</definedName>
    <definedName name="TEMPAF_1Q12">Tags_ols!$BO$117</definedName>
    <definedName name="TEMPAF_1Q13" localSheetId="10">Tags!$BT$117</definedName>
    <definedName name="TEMPAF_1Q13">Tags_ols!$BT$117</definedName>
    <definedName name="TEMPAF_1Q14" localSheetId="10">Tags!$BY$117</definedName>
    <definedName name="TEMPAF_1Q14">Tags_ols!$BY$117</definedName>
    <definedName name="TEMPAF_1Q15" localSheetId="10">Tags!$CD$117</definedName>
    <definedName name="TEMPAF_1Q15">Tags_ols!$CD$117</definedName>
    <definedName name="TEMPAF_1Q16" localSheetId="10">Tags!$CI$117</definedName>
    <definedName name="TEMPAF_1Q16">Tags_ols!$CI$117</definedName>
    <definedName name="TEMPAF_1Q17" localSheetId="10">Tags!$CN$117</definedName>
    <definedName name="TEMPAF_1Q17">Tags_ols!$CN$117</definedName>
    <definedName name="TEMPAF_1Q18" localSheetId="10">Tags!$CS$117</definedName>
    <definedName name="TEMPAF_1Q18">Tags_ols!$CS$117</definedName>
    <definedName name="TEMPAF_1Q19" localSheetId="10">Tags!$CX$117</definedName>
    <definedName name="TEMPAF_1Q19">Tags_ols!$CX$117</definedName>
    <definedName name="TEMPAF_1Q20" localSheetId="10">Tags!$DC$117</definedName>
    <definedName name="TEMPAF_1Q20">Tags_ols!$DC$117</definedName>
    <definedName name="TEMPAF_1Q21">Tags!$DH$117</definedName>
    <definedName name="TEMPAF_1Q22">Tags!$DM$117</definedName>
    <definedName name="TEMPAF_1Q23">Tags!$DR$117</definedName>
    <definedName name="TEMPAF_1Q24">Tags!$DW$117</definedName>
    <definedName name="TEMPAF_2000" localSheetId="10">Tags!$K$117</definedName>
    <definedName name="TEMPAF_2000">Tags_ols!$K$117</definedName>
    <definedName name="TEMPAF_2001" localSheetId="10">Tags!$P$117</definedName>
    <definedName name="TEMPAF_2001">Tags_ols!$P$117</definedName>
    <definedName name="TEMPAF_2002" localSheetId="10">Tags!$U$117</definedName>
    <definedName name="TEMPAF_2002">Tags_ols!$U$117</definedName>
    <definedName name="TEMPAF_2003" localSheetId="10">Tags!$Z$117</definedName>
    <definedName name="TEMPAF_2003">Tags_ols!$Z$117</definedName>
    <definedName name="TEMPAF_2004" localSheetId="10">Tags!$AE$117</definedName>
    <definedName name="TEMPAF_2004">Tags_ols!$AE$117</definedName>
    <definedName name="TEMPAF_2005" localSheetId="10">Tags!$AJ$117</definedName>
    <definedName name="TEMPAF_2005">Tags_ols!$AJ$117</definedName>
    <definedName name="TEMPAF_2006" localSheetId="10">Tags!$AO$117</definedName>
    <definedName name="TEMPAF_2006">Tags_ols!$AO$117</definedName>
    <definedName name="TEMPAF_2007" localSheetId="10">Tags!$AT$117</definedName>
    <definedName name="TEMPAF_2007">Tags_ols!$AT$117</definedName>
    <definedName name="TEMPAF_2008" localSheetId="10">Tags!$AY$117</definedName>
    <definedName name="TEMPAF_2008">Tags_ols!$AY$117</definedName>
    <definedName name="TEMPAF_2009" localSheetId="10">Tags!$BD$117</definedName>
    <definedName name="TEMPAF_2009">Tags_ols!$BD$117</definedName>
    <definedName name="TEMPAF_2010" localSheetId="10">Tags!$BI$117</definedName>
    <definedName name="TEMPAF_2010">Tags_ols!$BI$117</definedName>
    <definedName name="TEMPAF_2011" localSheetId="10">Tags!$BN$117</definedName>
    <definedName name="TEMPAF_2011">Tags_ols!$BN$117</definedName>
    <definedName name="TEMPAF_2012" localSheetId="10">Tags!$BS$117</definedName>
    <definedName name="TEMPAF_2012">Tags_ols!$BS$117</definedName>
    <definedName name="TEMPAF_2013" localSheetId="10">Tags!$BX$117</definedName>
    <definedName name="TEMPAF_2013">Tags_ols!$BX$117</definedName>
    <definedName name="TEMPAF_2014" localSheetId="10">Tags!$CC$117</definedName>
    <definedName name="TEMPAF_2014">Tags_ols!$CC$117</definedName>
    <definedName name="TEMPAF_2015" localSheetId="10">Tags!#REF!</definedName>
    <definedName name="TEMPAF_2015">Tags!$CH$117</definedName>
    <definedName name="TEMPAF_2016" localSheetId="10">Tags!$CM$117</definedName>
    <definedName name="TEMPAF_2016">Tags_ols!$CM$117</definedName>
    <definedName name="TEMPAF_2017" localSheetId="10">Tags!$CR$117</definedName>
    <definedName name="TEMPAF_2017">Tags_ols!$CR$117</definedName>
    <definedName name="TEMPAF_2018" localSheetId="10">Tags!$CW$117</definedName>
    <definedName name="TEMPAF_2018">Tags_ols!$CW$117</definedName>
    <definedName name="TEMPAF_2019" localSheetId="10">Tags!$DB$117</definedName>
    <definedName name="TEMPAF_2019">Tags_ols!$DB$117</definedName>
    <definedName name="TEMPAF_2020" localSheetId="10">Tags!$DG$117</definedName>
    <definedName name="TEMPAF_2020">Tags_ols!$DG$117</definedName>
    <definedName name="TEMPAF_2021">Tags!$DL$117</definedName>
    <definedName name="TEMPAF_2022">Tags!$DQ$117</definedName>
    <definedName name="TEMPAF_2023">Tags!$DV$117</definedName>
    <definedName name="TEMPAF_2024">Tags!$EA$117</definedName>
    <definedName name="TEMPAF_2Q00" localSheetId="10">Tags!$H$117</definedName>
    <definedName name="TEMPAF_2Q00">Tags_ols!$H$117</definedName>
    <definedName name="TEMPAF_2Q01" localSheetId="10">Tags!$M$117</definedName>
    <definedName name="TEMPAF_2Q01">Tags_ols!$M$117</definedName>
    <definedName name="TEMPAF_2Q02" localSheetId="10">Tags!$R$117</definedName>
    <definedName name="TEMPAF_2Q02">Tags_ols!$R$117</definedName>
    <definedName name="TEMPAF_2Q03" localSheetId="10">Tags!$W$117</definedName>
    <definedName name="TEMPAF_2Q03">Tags_ols!$W$117</definedName>
    <definedName name="TEMPAF_2Q04" localSheetId="10">Tags!$AB$117</definedName>
    <definedName name="TEMPAF_2Q04">Tags_ols!$AB$117</definedName>
    <definedName name="TEMPAF_2Q05" localSheetId="10">Tags!$AG$117</definedName>
    <definedName name="TEMPAF_2Q05">Tags_ols!$AG$117</definedName>
    <definedName name="TEMPAF_2Q06" localSheetId="10">Tags!$AL$117</definedName>
    <definedName name="TEMPAF_2Q06">Tags_ols!$AL$117</definedName>
    <definedName name="TEMPAF_2Q07" localSheetId="10">Tags!$AQ$117</definedName>
    <definedName name="TEMPAF_2Q07">Tags_ols!$AQ$117</definedName>
    <definedName name="TEMPAF_2Q08" localSheetId="10">Tags!$AV$117</definedName>
    <definedName name="TEMPAF_2Q08">Tags_ols!$AV$117</definedName>
    <definedName name="TEMPAF_2Q09" localSheetId="10">Tags!$BA$117</definedName>
    <definedName name="TEMPAF_2Q09">Tags_ols!$BA$117</definedName>
    <definedName name="TEMPAF_2Q10" localSheetId="10">Tags!$BF$117</definedName>
    <definedName name="TEMPAF_2Q10">Tags_ols!$BF$117</definedName>
    <definedName name="TEMPAF_2Q11" localSheetId="10">Tags!$BK$117</definedName>
    <definedName name="TEMPAF_2Q11">Tags_ols!$BK$117</definedName>
    <definedName name="TEMPAF_2Q12" localSheetId="10">Tags!$BP$117</definedName>
    <definedName name="TEMPAF_2Q12">Tags_ols!$BP$117</definedName>
    <definedName name="TEMPAF_2Q13" localSheetId="10">Tags!$BU$117</definedName>
    <definedName name="TEMPAF_2Q13">Tags_ols!$BU$117</definedName>
    <definedName name="TEMPAF_2Q14" localSheetId="10">Tags!$BZ$117</definedName>
    <definedName name="TEMPAF_2Q14">Tags_ols!$BZ$117</definedName>
    <definedName name="TEMPAF_2Q15" localSheetId="10">Tags!$CE$117</definedName>
    <definedName name="TEMPAF_2Q15">Tags_ols!$CE$117</definedName>
    <definedName name="TEMPAF_2Q16" localSheetId="10">Tags!$CJ$117</definedName>
    <definedName name="TEMPAF_2Q16">Tags_ols!$CJ$117</definedName>
    <definedName name="TEMPAF_2Q17" localSheetId="10">Tags!$CO$117</definedName>
    <definedName name="TEMPAF_2Q17">Tags_ols!$CO$117</definedName>
    <definedName name="TEMPAF_2Q18" localSheetId="10">Tags!$CT$117</definedName>
    <definedName name="TEMPAF_2Q18">Tags_ols!$CT$117</definedName>
    <definedName name="TEMPAF_2Q19" localSheetId="10">Tags!$CY$117</definedName>
    <definedName name="TEMPAF_2Q19">Tags_ols!$CY$117</definedName>
    <definedName name="TEMPAF_2Q20" localSheetId="10">Tags!$DD$117</definedName>
    <definedName name="TEMPAF_2Q20">Tags_ols!$DD$117</definedName>
    <definedName name="TEMPAF_2Q21">Tags!$DI$117</definedName>
    <definedName name="TEMPAF_2Q22">Tags!$DN$117</definedName>
    <definedName name="TEMPAF_2Q23">Tags!$DS$117</definedName>
    <definedName name="TEMPAF_2Q24">Tags!$DX$117</definedName>
    <definedName name="TEMPAF_3Q00" localSheetId="10">Tags!$I$117</definedName>
    <definedName name="TEMPAF_3Q00">Tags_ols!$I$117</definedName>
    <definedName name="TEMPAF_3Q01" localSheetId="10">Tags!$N$117</definedName>
    <definedName name="TEMPAF_3Q01">Tags_ols!$N$117</definedName>
    <definedName name="TEMPAF_3Q02" localSheetId="10">Tags!$S$117</definedName>
    <definedName name="TEMPAF_3Q02">Tags_ols!$S$117</definedName>
    <definedName name="TEMPAF_3Q03" localSheetId="10">Tags!$X$117</definedName>
    <definedName name="TEMPAF_3Q03">Tags_ols!$X$117</definedName>
    <definedName name="TEMPAF_3Q04" localSheetId="10">Tags!$AC$117</definedName>
    <definedName name="TEMPAF_3Q04">Tags_ols!$AC$117</definedName>
    <definedName name="TEMPAF_3Q05" localSheetId="10">Tags!$AH$117</definedName>
    <definedName name="TEMPAF_3Q05">Tags_ols!$AH$117</definedName>
    <definedName name="TEMPAF_3Q06" localSheetId="10">Tags!$AM$117</definedName>
    <definedName name="TEMPAF_3Q06">Tags_ols!$AM$117</definedName>
    <definedName name="TEMPAF_3Q07" localSheetId="10">Tags!$AR$117</definedName>
    <definedName name="TEMPAF_3Q07">Tags_ols!$AR$117</definedName>
    <definedName name="TEMPAF_3Q08" localSheetId="10">Tags!$AW$117</definedName>
    <definedName name="TEMPAF_3Q08">Tags_ols!$AW$117</definedName>
    <definedName name="TEMPAF_3Q09" localSheetId="10">Tags!$BB$117</definedName>
    <definedName name="TEMPAF_3Q09">Tags_ols!$BB$117</definedName>
    <definedName name="TEMPAF_3Q10" localSheetId="10">Tags!$BG$117</definedName>
    <definedName name="TEMPAF_3Q10">Tags_ols!$BG$117</definedName>
    <definedName name="TEMPAF_3Q11" localSheetId="10">Tags!$BL$117</definedName>
    <definedName name="TEMPAF_3Q11">Tags_ols!$BL$117</definedName>
    <definedName name="TEMPAF_3Q12" localSheetId="10">Tags!$BQ$117</definedName>
    <definedName name="TEMPAF_3Q12">Tags_ols!$BQ$117</definedName>
    <definedName name="TEMPAF_3Q13" localSheetId="10">Tags!$BV$117</definedName>
    <definedName name="TEMPAF_3Q13">Tags_ols!$BV$117</definedName>
    <definedName name="TEMPAF_3Q14" localSheetId="10">Tags!$CA$117</definedName>
    <definedName name="TEMPAF_3Q14">Tags_ols!$CA$117</definedName>
    <definedName name="TEMPAF_3Q15" localSheetId="10">Tags!$CF$117</definedName>
    <definedName name="TEMPAF_3Q15">Tags_ols!$CF$117</definedName>
    <definedName name="TEMPAF_3Q16" localSheetId="10">Tags!$CK$117</definedName>
    <definedName name="TEMPAF_3Q16">Tags_ols!$CK$117</definedName>
    <definedName name="TEMPAF_3Q17" localSheetId="10">Tags!$CP$117</definedName>
    <definedName name="TEMPAF_3Q17">Tags_ols!$CP$117</definedName>
    <definedName name="TEMPAF_3Q18" localSheetId="10">Tags!$CU$117</definedName>
    <definedName name="TEMPAF_3Q18">Tags_ols!$CU$117</definedName>
    <definedName name="TEMPAF_3Q19" localSheetId="10">Tags!$CZ$117</definedName>
    <definedName name="TEMPAF_3Q19">Tags_ols!$CZ$117</definedName>
    <definedName name="TEMPAF_3Q20" localSheetId="10">Tags!$DE$117</definedName>
    <definedName name="TEMPAF_3Q20">Tags_ols!$DE$117</definedName>
    <definedName name="TEMPAF_3Q21">Tags!$DJ$117</definedName>
    <definedName name="TEMPAF_3Q22">Tags!$DO$117</definedName>
    <definedName name="TEMPAF_3Q23">Tags!$DT$117</definedName>
    <definedName name="TEMPAF_3Q24">Tags!$DY$117</definedName>
    <definedName name="TEMPAF_4Q00" localSheetId="10">Tags!$J$117</definedName>
    <definedName name="TEMPAF_4Q00">Tags_ols!$J$117</definedName>
    <definedName name="TEMPAF_4Q01" localSheetId="10">Tags!$O$117</definedName>
    <definedName name="TEMPAF_4Q01">Tags_ols!$O$117</definedName>
    <definedName name="TEMPAF_4Q02" localSheetId="10">Tags!$T$117</definedName>
    <definedName name="TEMPAF_4Q02">Tags_ols!$T$117</definedName>
    <definedName name="TEMPAF_4Q03" localSheetId="10">Tags!$Y$117</definedName>
    <definedName name="TEMPAF_4Q03">Tags_ols!$Y$117</definedName>
    <definedName name="TEMPAF_4Q04" localSheetId="10">Tags!$AD$117</definedName>
    <definedName name="TEMPAF_4Q04">Tags_ols!$AD$117</definedName>
    <definedName name="TEMPAF_4Q05" localSheetId="10">Tags!$AI$117</definedName>
    <definedName name="TEMPAF_4Q05">Tags_ols!$AI$117</definedName>
    <definedName name="TEMPAF_4Q06" localSheetId="10">Tags!$AN$117</definedName>
    <definedName name="TEMPAF_4Q06">Tags_ols!$AN$117</definedName>
    <definedName name="TEMPAF_4Q07" localSheetId="10">Tags!$AS$117</definedName>
    <definedName name="TEMPAF_4Q07">Tags_ols!$AS$117</definedName>
    <definedName name="TEMPAF_4Q08" localSheetId="10">Tags!$AX$117</definedName>
    <definedName name="TEMPAF_4Q08">Tags_ols!$AX$117</definedName>
    <definedName name="TEMPAF_4Q09" localSheetId="10">Tags!$BC$117</definedName>
    <definedName name="TEMPAF_4Q09">Tags_ols!$BC$117</definedName>
    <definedName name="TEMPAF_4Q10" localSheetId="10">Tags!$BH$117</definedName>
    <definedName name="TEMPAF_4Q10">Tags_ols!$BH$117</definedName>
    <definedName name="TEMPAF_4Q11" localSheetId="10">Tags!$BM$117</definedName>
    <definedName name="TEMPAF_4Q11">Tags_ols!$BM$117</definedName>
    <definedName name="TEMPAF_4Q12" localSheetId="10">Tags!$BR$117</definedName>
    <definedName name="TEMPAF_4Q12">Tags_ols!$BR$117</definedName>
    <definedName name="TEMPAF_4Q13" localSheetId="10">Tags!$BW$117</definedName>
    <definedName name="TEMPAF_4Q13">Tags_ols!$BW$117</definedName>
    <definedName name="TEMPAF_4Q14" localSheetId="10">Tags!$CB$117</definedName>
    <definedName name="TEMPAF_4Q14">Tags_ols!$CB$117</definedName>
    <definedName name="TEMPAF_4Q15" localSheetId="10">Tags!$CG$117</definedName>
    <definedName name="TEMPAF_4Q15">Tags_ols!$CG$117</definedName>
    <definedName name="TEMPAF_4Q16" localSheetId="10">Tags!$CL$117</definedName>
    <definedName name="TEMPAF_4Q16">Tags_ols!$CL$117</definedName>
    <definedName name="TEMPAF_4Q17" localSheetId="10">Tags!$CQ$117</definedName>
    <definedName name="TEMPAF_4Q17">Tags_ols!$CQ$117</definedName>
    <definedName name="TEMPAF_4Q18" localSheetId="10">Tags!$CV$117</definedName>
    <definedName name="TEMPAF_4Q18">Tags_ols!$CV$117</definedName>
    <definedName name="TEMPAF_4Q19" localSheetId="10">Tags!$DA$117</definedName>
    <definedName name="TEMPAF_4Q19">Tags_ols!$DA$117</definedName>
    <definedName name="TEMPAF_4Q20" localSheetId="10">Tags!$DF$117</definedName>
    <definedName name="TEMPAF_4Q20">Tags_ols!$DF$117</definedName>
    <definedName name="TEMPAF_4Q21">Tags!$DK$117</definedName>
    <definedName name="TEMPAF_4Q22">Tags!$DP$117</definedName>
    <definedName name="TEMPAF_4Q23">Tags!$DU$117</definedName>
    <definedName name="TEMPAF_4Q24">Tags!$DZ$117</definedName>
    <definedName name="Template.WIRE">"DBACCESS"</definedName>
    <definedName name="teste" localSheetId="9">Word</definedName>
    <definedName name="teste" localSheetId="5">Word</definedName>
    <definedName name="teste">Word</definedName>
    <definedName name="TFA_1995">Tags_ols!$B$151</definedName>
    <definedName name="TFA_1996">Tags_ols!$C$151</definedName>
    <definedName name="TFA_1997">Tags_ols!$D$151</definedName>
    <definedName name="TFA_1998">Tags_ols!$E$151</definedName>
    <definedName name="TFA_1999">Tags_ols!$F$151</definedName>
    <definedName name="TFA_1Q00" localSheetId="10">Tags!$G$151</definedName>
    <definedName name="TFA_1Q00">Tags_ols!$G$151</definedName>
    <definedName name="TFA_1Q01" localSheetId="10">Tags!$L$151</definedName>
    <definedName name="TFA_1Q01">Tags_ols!$L$151</definedName>
    <definedName name="TFA_1Q02" localSheetId="10">Tags!$Q$151</definedName>
    <definedName name="TFA_1Q02">Tags_ols!$Q$151</definedName>
    <definedName name="TFA_1Q03" localSheetId="10">Tags!$V$151</definedName>
    <definedName name="TFA_1Q03">Tags_ols!$V$151</definedName>
    <definedName name="TFA_1Q04" localSheetId="10">Tags!$AA$151</definedName>
    <definedName name="TFA_1Q04">Tags_ols!$AA$151</definedName>
    <definedName name="TFA_1Q05" localSheetId="10">Tags!$AF$151</definedName>
    <definedName name="TFA_1Q05">Tags_ols!$AF$151</definedName>
    <definedName name="TFA_1Q06" localSheetId="10">Tags!$AK$151</definedName>
    <definedName name="TFA_1Q06">Tags_ols!$AK$151</definedName>
    <definedName name="TFA_1Q07" localSheetId="10">Tags!$AP$151</definedName>
    <definedName name="TFA_1Q07">Tags_ols!$AP$151</definedName>
    <definedName name="TFA_1Q08" localSheetId="10">Tags!$AU$151</definedName>
    <definedName name="TFA_1Q08">Tags_ols!$AU$151</definedName>
    <definedName name="TFA_1Q09" localSheetId="10">Tags!$AZ$151</definedName>
    <definedName name="TFA_1Q09">Tags_ols!$AZ$151</definedName>
    <definedName name="TFA_1Q10" localSheetId="10">Tags!$BE$151</definedName>
    <definedName name="TFA_1Q10">Tags_ols!$BE$151</definedName>
    <definedName name="TFA_1Q11" localSheetId="10">Tags!$BJ$151</definedName>
    <definedName name="TFA_1Q11">Tags_ols!$BJ$151</definedName>
    <definedName name="TFA_1Q12" localSheetId="10">Tags!$BO$151</definedName>
    <definedName name="TFA_1Q12">Tags_ols!$BO$151</definedName>
    <definedName name="TFA_1Q13" localSheetId="10">Tags!$BT$151</definedName>
    <definedName name="TFA_1Q13">Tags_ols!$BT$151</definedName>
    <definedName name="TFA_1Q14" localSheetId="10">Tags!$BY$151</definedName>
    <definedName name="TFA_1Q14">Tags_ols!$BY$151</definedName>
    <definedName name="TFA_1Q15" localSheetId="10">Tags!$CD$151</definedName>
    <definedName name="TFA_1Q15">Tags_ols!$CD$151</definedName>
    <definedName name="TFA_1Q16" localSheetId="10">Tags!$CI$151</definedName>
    <definedName name="TFA_1Q16">Tags_ols!$CI$151</definedName>
    <definedName name="TFA_1Q17" localSheetId="10">Tags!$CN$151</definedName>
    <definedName name="TFA_1Q17">Tags_ols!$CN$151</definedName>
    <definedName name="TFA_1Q18" localSheetId="10">Tags!$CS$151</definedName>
    <definedName name="TFA_1Q18">Tags_ols!$CS$151</definedName>
    <definedName name="TFA_1Q19" localSheetId="10">Tags!$CX$151</definedName>
    <definedName name="TFA_1Q19">Tags_ols!$CX$151</definedName>
    <definedName name="TFA_1Q20" localSheetId="10">Tags!$DC$151</definedName>
    <definedName name="TFA_1Q20">Tags_ols!$DC$151</definedName>
    <definedName name="TFA_1Q21">Tags!$DH$151</definedName>
    <definedName name="TFA_1Q22">Tags!$DM$151</definedName>
    <definedName name="TFA_1Q23">Tags!$DR$151</definedName>
    <definedName name="TFA_1Q24">Tags!$DW$151</definedName>
    <definedName name="TFA_2000" localSheetId="10">Tags!$K$151</definedName>
    <definedName name="TFA_2000">Tags_ols!$K$151</definedName>
    <definedName name="TFA_2001" localSheetId="10">Tags!$P$151</definedName>
    <definedName name="TFA_2001">Tags_ols!$P$151</definedName>
    <definedName name="TFA_2002" localSheetId="10">Tags!$U$151</definedName>
    <definedName name="TFA_2002">Tags_ols!$U$151</definedName>
    <definedName name="TFA_2003" localSheetId="10">Tags!$Z$151</definedName>
    <definedName name="TFA_2003">Tags_ols!$Z$151</definedName>
    <definedName name="TFA_2004" localSheetId="10">Tags!$AE$151</definedName>
    <definedName name="TFA_2004">Tags_ols!$AE$151</definedName>
    <definedName name="TFA_2005" localSheetId="10">Tags!$AJ$151</definedName>
    <definedName name="TFA_2005">Tags_ols!$AJ$151</definedName>
    <definedName name="TFA_2006" localSheetId="10">Tags!$AO$151</definedName>
    <definedName name="TFA_2006">Tags_ols!$AO$151</definedName>
    <definedName name="TFA_2007" localSheetId="10">Tags!$AT$151</definedName>
    <definedName name="TFA_2007">Tags_ols!$AT$151</definedName>
    <definedName name="TFA_2008" localSheetId="10">Tags!$AY$151</definedName>
    <definedName name="TFA_2008">Tags_ols!$AY$151</definedName>
    <definedName name="TFA_2009" localSheetId="10">Tags!$BD$151</definedName>
    <definedName name="TFA_2009">Tags_ols!$BD$151</definedName>
    <definedName name="TFA_2010" localSheetId="10">Tags!$BI$151</definedName>
    <definedName name="TFA_2010">Tags_ols!$BI$151</definedName>
    <definedName name="TFA_2011" localSheetId="10">Tags!$BN$151</definedName>
    <definedName name="TFA_2011">Tags_ols!$BN$151</definedName>
    <definedName name="TFA_2012" localSheetId="10">Tags!$BS$151</definedName>
    <definedName name="TFA_2012">Tags_ols!$BS$151</definedName>
    <definedName name="TFA_2013" localSheetId="10">Tags!$BX$151</definedName>
    <definedName name="TFA_2013">Tags_ols!$BX$151</definedName>
    <definedName name="TFA_2014" localSheetId="10">Tags!$CC$151</definedName>
    <definedName name="TFA_2014">Tags_ols!$CC$151</definedName>
    <definedName name="TFA_2015" localSheetId="10">Tags!#REF!</definedName>
    <definedName name="TFA_2015">Tags!$CH$151</definedName>
    <definedName name="TFA_2016" localSheetId="10">Tags!$CM$151</definedName>
    <definedName name="TFA_2016">Tags_ols!$CM$151</definedName>
    <definedName name="TFA_2017" localSheetId="10">Tags!$CR$151</definedName>
    <definedName name="TFA_2017">Tags_ols!$CR$151</definedName>
    <definedName name="TFA_2018" localSheetId="10">Tags!$CW$151</definedName>
    <definedName name="TFA_2018">Tags_ols!$CW$151</definedName>
    <definedName name="TFA_2019" localSheetId="10">Tags!$DB$151</definedName>
    <definedName name="TFA_2019">Tags_ols!$DB$151</definedName>
    <definedName name="TFA_2020" localSheetId="10">Tags!$DG$151</definedName>
    <definedName name="TFA_2020">Tags_ols!$DG$151</definedName>
    <definedName name="TFA_2021">Tags!$DL$151</definedName>
    <definedName name="TFA_2022">Tags!$DQ$151</definedName>
    <definedName name="TFA_2023">Tags!$DV$151</definedName>
    <definedName name="TFA_2024">Tags!$EA$151</definedName>
    <definedName name="TFA_2Q00" localSheetId="10">Tags!$H$151</definedName>
    <definedName name="TFA_2Q00">Tags_ols!$H$151</definedName>
    <definedName name="TFA_2Q01" localSheetId="10">Tags!$M$151</definedName>
    <definedName name="TFA_2Q01">Tags_ols!$M$151</definedName>
    <definedName name="TFA_2Q02" localSheetId="10">Tags!$R$151</definedName>
    <definedName name="TFA_2Q02">Tags_ols!$R$151</definedName>
    <definedName name="TFA_2Q03" localSheetId="10">Tags!$W$151</definedName>
    <definedName name="TFA_2Q03">Tags_ols!$W$151</definedName>
    <definedName name="TFA_2Q04" localSheetId="10">Tags!$AB$151</definedName>
    <definedName name="TFA_2Q04">Tags_ols!$AB$151</definedName>
    <definedName name="TFA_2Q05" localSheetId="10">Tags!$AG$151</definedName>
    <definedName name="TFA_2Q05">Tags_ols!$AG$151</definedName>
    <definedName name="TFA_2Q06" localSheetId="10">Tags!$AL$151</definedName>
    <definedName name="TFA_2Q06">Tags_ols!$AL$151</definedName>
    <definedName name="TFA_2Q07" localSheetId="10">Tags!$AQ$151</definedName>
    <definedName name="TFA_2Q07">Tags_ols!$AQ$151</definedName>
    <definedName name="TFA_2Q08" localSheetId="10">Tags!$AV$151</definedName>
    <definedName name="TFA_2Q08">Tags_ols!$AV$151</definedName>
    <definedName name="TFA_2Q09" localSheetId="10">Tags!$BA$151</definedName>
    <definedName name="TFA_2Q09">Tags_ols!$BA$151</definedName>
    <definedName name="TFA_2Q10" localSheetId="10">Tags!$BF$151</definedName>
    <definedName name="TFA_2Q10">Tags_ols!$BF$151</definedName>
    <definedName name="TFA_2Q11" localSheetId="10">Tags!$BK$151</definedName>
    <definedName name="TFA_2Q11">Tags_ols!$BK$151</definedName>
    <definedName name="TFA_2Q12" localSheetId="10">Tags!$BP$151</definedName>
    <definedName name="TFA_2Q12">Tags_ols!$BP$151</definedName>
    <definedName name="TFA_2Q13" localSheetId="10">Tags!$BU$151</definedName>
    <definedName name="TFA_2Q13">Tags_ols!$BU$151</definedName>
    <definedName name="TFA_2Q14" localSheetId="10">Tags!$BZ$151</definedName>
    <definedName name="TFA_2Q14">Tags_ols!$BZ$151</definedName>
    <definedName name="TFA_2Q15" localSheetId="10">Tags!$CE$151</definedName>
    <definedName name="TFA_2Q15">Tags_ols!$CE$151</definedName>
    <definedName name="TFA_2Q16" localSheetId="10">Tags!$CJ$151</definedName>
    <definedName name="TFA_2Q16">Tags_ols!$CJ$151</definedName>
    <definedName name="TFA_2Q17" localSheetId="10">Tags!$CO$151</definedName>
    <definedName name="TFA_2Q17">Tags_ols!$CO$151</definedName>
    <definedName name="TFA_2Q18" localSheetId="10">Tags!$CT$151</definedName>
    <definedName name="TFA_2Q18">Tags_ols!$CT$151</definedName>
    <definedName name="TFA_2Q19" localSheetId="10">Tags!$CY$151</definedName>
    <definedName name="TFA_2Q19">Tags_ols!$CY$151</definedName>
    <definedName name="TFA_2Q20" localSheetId="10">Tags!$DD$151</definedName>
    <definedName name="TFA_2Q20">Tags_ols!$DD$151</definedName>
    <definedName name="TFA_2Q21">Tags!$DI$151</definedName>
    <definedName name="TFA_2Q22">Tags!$DN$151</definedName>
    <definedName name="TFA_2Q23">Tags!$DS$151</definedName>
    <definedName name="TFA_2Q24">Tags!$DX$151</definedName>
    <definedName name="TFA_3Q00" localSheetId="10">Tags!$I$151</definedName>
    <definedName name="TFA_3Q00">Tags_ols!$I$151</definedName>
    <definedName name="TFA_3Q01" localSheetId="10">Tags!$N$151</definedName>
    <definedName name="TFA_3Q01">Tags_ols!$N$151</definedName>
    <definedName name="TFA_3Q02" localSheetId="10">Tags!$S$151</definedName>
    <definedName name="TFA_3Q02">Tags_ols!$S$151</definedName>
    <definedName name="TFA_3Q03" localSheetId="10">Tags!$X$151</definedName>
    <definedName name="TFA_3Q03">Tags_ols!$X$151</definedName>
    <definedName name="TFA_3Q04" localSheetId="10">Tags!$AC$151</definedName>
    <definedName name="TFA_3Q04">Tags_ols!$AC$151</definedName>
    <definedName name="TFA_3Q05" localSheetId="10">Tags!$AH$151</definedName>
    <definedName name="TFA_3Q05">Tags_ols!$AH$151</definedName>
    <definedName name="TFA_3Q06" localSheetId="10">Tags!$AM$151</definedName>
    <definedName name="TFA_3Q06">Tags_ols!$AM$151</definedName>
    <definedName name="TFA_3Q07" localSheetId="10">Tags!$AR$151</definedName>
    <definedName name="TFA_3Q07">Tags_ols!$AR$151</definedName>
    <definedName name="TFA_3Q08" localSheetId="10">Tags!$AW$151</definedName>
    <definedName name="TFA_3Q08">Tags_ols!$AW$151</definedName>
    <definedName name="TFA_3Q09" localSheetId="10">Tags!$BB$151</definedName>
    <definedName name="TFA_3Q09">Tags_ols!$BB$151</definedName>
    <definedName name="TFA_3Q10" localSheetId="10">Tags!$BG$151</definedName>
    <definedName name="TFA_3Q10">Tags_ols!$BG$151</definedName>
    <definedName name="TFA_3Q11" localSheetId="10">Tags!$BL$151</definedName>
    <definedName name="TFA_3Q11">Tags_ols!$BL$151</definedName>
    <definedName name="TFA_3Q12" localSheetId="10">Tags!$BQ$151</definedName>
    <definedName name="TFA_3Q12">Tags_ols!$BQ$151</definedName>
    <definedName name="TFA_3Q13" localSheetId="10">Tags!$BV$151</definedName>
    <definedName name="TFA_3Q13">Tags_ols!$BV$151</definedName>
    <definedName name="TFA_3Q14" localSheetId="10">Tags!$CA$151</definedName>
    <definedName name="TFA_3Q14">Tags_ols!$CA$151</definedName>
    <definedName name="TFA_3Q15" localSheetId="10">Tags!$CF$151</definedName>
    <definedName name="TFA_3Q15">Tags_ols!$CF$151</definedName>
    <definedName name="TFA_3Q16" localSheetId="10">Tags!$CK$151</definedName>
    <definedName name="TFA_3Q16">Tags_ols!$CK$151</definedName>
    <definedName name="TFA_3Q17" localSheetId="10">Tags!$CP$151</definedName>
    <definedName name="TFA_3Q17">Tags_ols!$CP$151</definedName>
    <definedName name="TFA_3Q18" localSheetId="10">Tags!$CU$151</definedName>
    <definedName name="TFA_3Q18">Tags_ols!$CU$151</definedName>
    <definedName name="TFA_3Q19" localSheetId="10">Tags!$CZ$151</definedName>
    <definedName name="TFA_3Q19">Tags_ols!$CZ$151</definedName>
    <definedName name="TFA_3Q20" localSheetId="10">Tags!$DE$151</definedName>
    <definedName name="TFA_3Q20">Tags_ols!$DE$151</definedName>
    <definedName name="TFA_3Q21">Tags!$DJ$151</definedName>
    <definedName name="TFA_3Q22">Tags!$DO$151</definedName>
    <definedName name="TFA_3Q23">Tags!$DT$151</definedName>
    <definedName name="TFA_3Q24">Tags!$DY$151</definedName>
    <definedName name="TFA_4Q00" localSheetId="10">Tags!$J$151</definedName>
    <definedName name="TFA_4Q00">Tags_ols!$J$151</definedName>
    <definedName name="TFA_4Q01" localSheetId="10">Tags!$O$151</definedName>
    <definedName name="TFA_4Q01">Tags_ols!$O$151</definedName>
    <definedName name="TFA_4Q02" localSheetId="10">Tags!$T$151</definedName>
    <definedName name="TFA_4Q02">Tags_ols!$T$151</definedName>
    <definedName name="TFA_4Q03" localSheetId="10">Tags!$Y$151</definedName>
    <definedName name="TFA_4Q03">Tags_ols!$Y$151</definedName>
    <definedName name="TFA_4Q04" localSheetId="10">Tags!$AD$151</definedName>
    <definedName name="TFA_4Q04">Tags_ols!$AD$151</definedName>
    <definedName name="TFA_4Q05" localSheetId="10">Tags!$AI$151</definedName>
    <definedName name="TFA_4Q05">Tags_ols!$AI$151</definedName>
    <definedName name="TFA_4Q06" localSheetId="10">Tags!$AN$151</definedName>
    <definedName name="TFA_4Q06">Tags_ols!$AN$151</definedName>
    <definedName name="TFA_4Q07" localSheetId="10">Tags!$AS$151</definedName>
    <definedName name="TFA_4Q07">Tags_ols!$AS$151</definedName>
    <definedName name="TFA_4Q08" localSheetId="10">Tags!$AX$151</definedName>
    <definedName name="TFA_4Q08">Tags_ols!$AX$151</definedName>
    <definedName name="TFA_4Q09" localSheetId="10">Tags!$BC$151</definedName>
    <definedName name="TFA_4Q09">Tags_ols!$BC$151</definedName>
    <definedName name="TFA_4Q10" localSheetId="10">Tags!$BH$151</definedName>
    <definedName name="TFA_4Q10">Tags_ols!$BH$151</definedName>
    <definedName name="TFA_4Q11" localSheetId="10">Tags!$BM$151</definedName>
    <definedName name="TFA_4Q11">Tags_ols!$BM$151</definedName>
    <definedName name="TFA_4Q12" localSheetId="10">Tags!$BR$151</definedName>
    <definedName name="TFA_4Q12">Tags_ols!$BR$151</definedName>
    <definedName name="TFA_4Q13" localSheetId="10">Tags!$BW$151</definedName>
    <definedName name="TFA_4Q13">Tags_ols!$BW$151</definedName>
    <definedName name="TFA_4Q14" localSheetId="10">Tags!$CB$151</definedName>
    <definedName name="TFA_4Q14">Tags_ols!$CB$151</definedName>
    <definedName name="TFA_4Q15" localSheetId="10">Tags!$CG$151</definedName>
    <definedName name="TFA_4Q15">Tags_ols!$CG$151</definedName>
    <definedName name="TFA_4Q16" localSheetId="10">Tags!$CL$151</definedName>
    <definedName name="TFA_4Q16">Tags_ols!$CL$151</definedName>
    <definedName name="TFA_4Q17" localSheetId="10">Tags!$CQ$151</definedName>
    <definedName name="TFA_4Q17">Tags_ols!$CQ$151</definedName>
    <definedName name="TFA_4Q18" localSheetId="10">Tags!$CV$151</definedName>
    <definedName name="TFA_4Q18">Tags_ols!$CV$151</definedName>
    <definedName name="TFA_4Q19" localSheetId="10">Tags!$DA$151</definedName>
    <definedName name="TFA_4Q19">Tags_ols!$DA$151</definedName>
    <definedName name="TFA_4Q20" localSheetId="10">Tags!$DF$151</definedName>
    <definedName name="TFA_4Q20">Tags_ols!$DF$151</definedName>
    <definedName name="TFA_4Q21">Tags!$DK$151</definedName>
    <definedName name="TFA_4Q22">Tags!$DP$151</definedName>
    <definedName name="TFA_4Q23">Tags!$DU$151</definedName>
    <definedName name="TFA_4Q24">Tags!$DZ$151</definedName>
    <definedName name="TIBTAI_1995">Tags_ols!$B$37</definedName>
    <definedName name="TIBTAI_1996">Tags_ols!$C$37</definedName>
    <definedName name="TIBTAI_1997">Tags_ols!$D$37</definedName>
    <definedName name="TIBTAI_1998">Tags_ols!$E$37</definedName>
    <definedName name="TIBTAI_1999">Tags_ols!$F$37</definedName>
    <definedName name="TIBTAI_1Q00" localSheetId="10">Tags!$G$37</definedName>
    <definedName name="TIBTAI_1Q00">Tags_ols!$G$37</definedName>
    <definedName name="TIBTAI_1Q01" localSheetId="10">Tags!$L$37</definedName>
    <definedName name="TIBTAI_1Q01">Tags_ols!$L$37</definedName>
    <definedName name="TIBTAI_1Q02" localSheetId="10">Tags!$Q$37</definedName>
    <definedName name="TIBTAI_1Q02">Tags_ols!$Q$37</definedName>
    <definedName name="TIBTAI_1Q03" localSheetId="10">Tags!$V$37</definedName>
    <definedName name="TIBTAI_1Q03">Tags_ols!$V$37</definedName>
    <definedName name="TIBTAI_1Q04" localSheetId="10">Tags!$AA$37</definedName>
    <definedName name="TIBTAI_1Q04">Tags_ols!$AA$37</definedName>
    <definedName name="TIBTAI_1Q05" localSheetId="10">Tags!$AF$37</definedName>
    <definedName name="TIBTAI_1Q05">Tags_ols!$AF$37</definedName>
    <definedName name="TIBTAI_1Q06" localSheetId="10">Tags!$AK$37</definedName>
    <definedName name="TIBTAI_1Q06">Tags_ols!$AK$37</definedName>
    <definedName name="TIBTAI_1Q07" localSheetId="10">Tags!$AP$37</definedName>
    <definedName name="TIBTAI_1Q07">Tags_ols!$AP$37</definedName>
    <definedName name="TIBTAI_1Q08" localSheetId="10">Tags!$AU$37</definedName>
    <definedName name="TIBTAI_1Q08">Tags_ols!$AU$37</definedName>
    <definedName name="TIBTAI_1Q09" localSheetId="10">Tags!$AZ$37</definedName>
    <definedName name="TIBTAI_1Q09">Tags_ols!$AZ$37</definedName>
    <definedName name="TIBTAI_1Q10" localSheetId="10">Tags!$BE$37</definedName>
    <definedName name="TIBTAI_1Q10">Tags_ols!$BE$37</definedName>
    <definedName name="TIBTAI_1Q11" localSheetId="10">Tags!$BJ$37</definedName>
    <definedName name="TIBTAI_1Q11">Tags_ols!$BJ$37</definedName>
    <definedName name="TIBTAI_1Q12" localSheetId="10">Tags!$BO$37</definedName>
    <definedName name="TIBTAI_1Q12">Tags_ols!$BO$37</definedName>
    <definedName name="TIBTAI_1Q13" localSheetId="10">Tags!$BT$37</definedName>
    <definedName name="TIBTAI_1Q13">Tags_ols!$BT$37</definedName>
    <definedName name="TIBTAI_1Q14" localSheetId="10">Tags!$BY$37</definedName>
    <definedName name="TIBTAI_1Q14">Tags_ols!$BY$37</definedName>
    <definedName name="TIBTAI_1Q15" localSheetId="10">Tags!$CD$37</definedName>
    <definedName name="TIBTAI_1Q15">Tags_ols!$CD$37</definedName>
    <definedName name="TIBTAI_1Q16" localSheetId="10">Tags!$CI$37</definedName>
    <definedName name="TIBTAI_1Q16">Tags_ols!$CI$37</definedName>
    <definedName name="TIBTAI_1Q17" localSheetId="10">Tags!$CN$37</definedName>
    <definedName name="TIBTAI_1Q17">Tags_ols!$CN$37</definedName>
    <definedName name="TIBTAI_1Q18" localSheetId="10">Tags!$CS$37</definedName>
    <definedName name="TIBTAI_1Q18">Tags_ols!$CS$37</definedName>
    <definedName name="TIBTAI_1Q19" localSheetId="10">Tags!$CX$37</definedName>
    <definedName name="TIBTAI_1Q19">Tags_ols!$CX$37</definedName>
    <definedName name="TIBTAI_1Q20" localSheetId="10">Tags!$DC$37</definedName>
    <definedName name="TIBTAI_1Q20">Tags_ols!$DC$37</definedName>
    <definedName name="TIBTAI_1Q21">Tags!$DH$37</definedName>
    <definedName name="TIBTAI_1Q22">Tags!$DM$37</definedName>
    <definedName name="TIBTAI_1Q23">Tags!$DR$37</definedName>
    <definedName name="TIBTAI_1Q24">Tags!$DW$37</definedName>
    <definedName name="TIBTAI_2000" localSheetId="10">Tags!$K$37</definedName>
    <definedName name="TIBTAI_2000">Tags_ols!$K$37</definedName>
    <definedName name="TIBTAI_2001" localSheetId="10">Tags!$P$37</definedName>
    <definedName name="TIBTAI_2001">Tags_ols!$P$37</definedName>
    <definedName name="TIBTAI_2002" localSheetId="10">Tags!$U$37</definedName>
    <definedName name="TIBTAI_2002">Tags_ols!$U$37</definedName>
    <definedName name="TIBTAI_2003" localSheetId="10">Tags!$Z$37</definedName>
    <definedName name="TIBTAI_2003">Tags_ols!$Z$37</definedName>
    <definedName name="TIBTAI_2004" localSheetId="10">Tags!$AE$37</definedName>
    <definedName name="TIBTAI_2004">Tags_ols!$AE$37</definedName>
    <definedName name="TIBTAI_2005" localSheetId="10">Tags!$AJ$37</definedName>
    <definedName name="TIBTAI_2005">Tags_ols!$AJ$37</definedName>
    <definedName name="TIBTAI_2006" localSheetId="10">Tags!$AO$37</definedName>
    <definedName name="TIBTAI_2006">Tags_ols!$AO$37</definedName>
    <definedName name="TIBTAI_2007" localSheetId="10">Tags!$AT$37</definedName>
    <definedName name="TIBTAI_2007">Tags_ols!$AT$37</definedName>
    <definedName name="TIBTAI_2008" localSheetId="10">Tags!$AY$37</definedName>
    <definedName name="TIBTAI_2008">Tags_ols!$AY$37</definedName>
    <definedName name="TIBTAI_2009" localSheetId="10">Tags!$BD$37</definedName>
    <definedName name="TIBTAI_2009">Tags_ols!$BD$37</definedName>
    <definedName name="TIBTAI_2010" localSheetId="10">Tags!$BI$37</definedName>
    <definedName name="TIBTAI_2010">Tags_ols!$BI$37</definedName>
    <definedName name="TIBTAI_2011" localSheetId="10">Tags!$BN$37</definedName>
    <definedName name="TIBTAI_2011">Tags_ols!$BN$37</definedName>
    <definedName name="TIBTAI_2012" localSheetId="10">Tags!$BS$37</definedName>
    <definedName name="TIBTAI_2012">Tags_ols!$BS$37</definedName>
    <definedName name="TIBTAI_2013" localSheetId="10">Tags!$BX$37</definedName>
    <definedName name="TIBTAI_2013">Tags_ols!$BX$37</definedName>
    <definedName name="TIBTAI_2014" localSheetId="10">Tags!$CC$37</definedName>
    <definedName name="TIBTAI_2014">Tags_ols!$CC$37</definedName>
    <definedName name="TIBTAI_2015" localSheetId="10">Tags!#REF!</definedName>
    <definedName name="TIBTAI_2015">Tags!$CH$37</definedName>
    <definedName name="TIBTAI_2016" localSheetId="10">Tags!$CM$37</definedName>
    <definedName name="TIBTAI_2016">Tags_ols!$CM$37</definedName>
    <definedName name="TIBTAI_2017" localSheetId="10">Tags!$CR$37</definedName>
    <definedName name="TIBTAI_2017">Tags_ols!$CR$37</definedName>
    <definedName name="TIBTAI_2018" localSheetId="10">Tags!$CW$37</definedName>
    <definedName name="TIBTAI_2018">Tags_ols!$CW$37</definedName>
    <definedName name="TIBTAI_2019" localSheetId="10">Tags!$DB$37</definedName>
    <definedName name="TIBTAI_2019">Tags_ols!$DB$37</definedName>
    <definedName name="TIBTAI_2020" localSheetId="10">Tags!$DG$37</definedName>
    <definedName name="TIBTAI_2020">Tags_ols!$DG$37</definedName>
    <definedName name="TIBTAI_2021">Tags!$DL$37</definedName>
    <definedName name="TIBTAI_2022">Tags!$DQ$37</definedName>
    <definedName name="TIBTAI_2023">Tags!$DV$37</definedName>
    <definedName name="TIBTAI_2024">Tags!$EA$37</definedName>
    <definedName name="TIBTAI_2Q00" localSheetId="10">Tags!$H$37</definedName>
    <definedName name="TIBTAI_2Q00">Tags_ols!$H$37</definedName>
    <definedName name="TIBTAI_2Q01" localSheetId="10">Tags!$M$37</definedName>
    <definedName name="TIBTAI_2Q01">Tags_ols!$M$37</definedName>
    <definedName name="TIBTAI_2Q02" localSheetId="10">Tags!$R$37</definedName>
    <definedName name="TIBTAI_2Q02">Tags_ols!$R$37</definedName>
    <definedName name="TIBTAI_2Q03" localSheetId="10">Tags!$W$37</definedName>
    <definedName name="TIBTAI_2Q03">Tags_ols!$W$37</definedName>
    <definedName name="TIBTAI_2Q04" localSheetId="10">Tags!$AB$37</definedName>
    <definedName name="TIBTAI_2Q04">Tags_ols!$AB$37</definedName>
    <definedName name="TIBTAI_2Q05" localSheetId="10">Tags!$AG$37</definedName>
    <definedName name="TIBTAI_2Q05">Tags_ols!$AG$37</definedName>
    <definedName name="TIBTAI_2Q06" localSheetId="10">Tags!$AL$37</definedName>
    <definedName name="TIBTAI_2Q06">Tags_ols!$AL$37</definedName>
    <definedName name="TIBTAI_2Q07" localSheetId="10">Tags!$AQ$37</definedName>
    <definedName name="TIBTAI_2Q07">Tags_ols!$AQ$37</definedName>
    <definedName name="TIBTAI_2Q08" localSheetId="10">Tags!$AV$37</definedName>
    <definedName name="TIBTAI_2Q08">Tags_ols!$AV$37</definedName>
    <definedName name="TIBTAI_2Q09" localSheetId="10">Tags!$BA$37</definedName>
    <definedName name="TIBTAI_2Q09">Tags_ols!$BA$37</definedName>
    <definedName name="TIBTAI_2Q10" localSheetId="10">Tags!$BF$37</definedName>
    <definedName name="TIBTAI_2Q10">Tags_ols!$BF$37</definedName>
    <definedName name="TIBTAI_2Q11" localSheetId="10">Tags!$BK$37</definedName>
    <definedName name="TIBTAI_2Q11">Tags_ols!$BK$37</definedName>
    <definedName name="TIBTAI_2Q12" localSheetId="10">Tags!$BP$37</definedName>
    <definedName name="TIBTAI_2Q12">Tags_ols!$BP$37</definedName>
    <definedName name="TIBTAI_2Q13" localSheetId="10">Tags!$BU$37</definedName>
    <definedName name="TIBTAI_2Q13">Tags_ols!$BU$37</definedName>
    <definedName name="TIBTAI_2Q14" localSheetId="10">Tags!$BZ$37</definedName>
    <definedName name="TIBTAI_2Q14">Tags_ols!$BZ$37</definedName>
    <definedName name="TIBTAI_2Q15" localSheetId="10">Tags!$CE$37</definedName>
    <definedName name="TIBTAI_2Q15">Tags_ols!$CE$37</definedName>
    <definedName name="TIBTAI_2Q16" localSheetId="10">Tags!$CJ$37</definedName>
    <definedName name="TIBTAI_2Q16">Tags_ols!$CJ$37</definedName>
    <definedName name="TIBTAI_2Q17" localSheetId="10">Tags!$CO$37</definedName>
    <definedName name="TIBTAI_2Q17">Tags_ols!$CO$37</definedName>
    <definedName name="TIBTAI_2Q18" localSheetId="10">Tags!$CT$37</definedName>
    <definedName name="TIBTAI_2Q18">Tags_ols!$CT$37</definedName>
    <definedName name="TIBTAI_2Q19" localSheetId="10">Tags!$CY$37</definedName>
    <definedName name="TIBTAI_2Q19">Tags_ols!$CY$37</definedName>
    <definedName name="TIBTAI_2Q20" localSheetId="10">Tags!$DD$37</definedName>
    <definedName name="TIBTAI_2Q20">Tags_ols!$DD$37</definedName>
    <definedName name="TIBTAI_2Q21">Tags!$DI$37</definedName>
    <definedName name="TIBTAI_2Q22">Tags!$DN$37</definedName>
    <definedName name="TIBTAI_2Q23">Tags!$DS$37</definedName>
    <definedName name="TIBTAI_2Q24">Tags!$DX$37</definedName>
    <definedName name="TIBTAI_3Q00" localSheetId="10">Tags!$I$37</definedName>
    <definedName name="TIBTAI_3Q00">Tags_ols!$I$37</definedName>
    <definedName name="TIBTAI_3Q01" localSheetId="10">Tags!$N$37</definedName>
    <definedName name="TIBTAI_3Q01">Tags_ols!$N$37</definedName>
    <definedName name="TIBTAI_3Q02" localSheetId="10">Tags!$S$37</definedName>
    <definedName name="TIBTAI_3Q02">Tags_ols!$S$37</definedName>
    <definedName name="TIBTAI_3Q03" localSheetId="10">Tags!$X$37</definedName>
    <definedName name="TIBTAI_3Q03">Tags_ols!$X$37</definedName>
    <definedName name="TIBTAI_3Q04" localSheetId="10">Tags!$AC$37</definedName>
    <definedName name="TIBTAI_3Q04">Tags_ols!$AC$37</definedName>
    <definedName name="TIBTAI_3Q05" localSheetId="10">Tags!$AH$37</definedName>
    <definedName name="TIBTAI_3Q05">Tags_ols!$AH$37</definedName>
    <definedName name="TIBTAI_3Q06" localSheetId="10">Tags!$AM$37</definedName>
    <definedName name="TIBTAI_3Q06">Tags_ols!$AM$37</definedName>
    <definedName name="TIBTAI_3Q07" localSheetId="10">Tags!$AR$37</definedName>
    <definedName name="TIBTAI_3Q07">Tags_ols!$AR$37</definedName>
    <definedName name="TIBTAI_3Q08" localSheetId="10">Tags!$AW$37</definedName>
    <definedName name="TIBTAI_3Q08">Tags_ols!$AW$37</definedName>
    <definedName name="TIBTAI_3Q09" localSheetId="10">Tags!$BB$37</definedName>
    <definedName name="TIBTAI_3Q09">Tags_ols!$BB$37</definedName>
    <definedName name="TIBTAI_3Q10" localSheetId="10">Tags!$BG$37</definedName>
    <definedName name="TIBTAI_3Q10">Tags_ols!$BG$37</definedName>
    <definedName name="TIBTAI_3Q11" localSheetId="10">Tags!$BL$37</definedName>
    <definedName name="TIBTAI_3Q11">Tags_ols!$BL$37</definedName>
    <definedName name="TIBTAI_3Q12" localSheetId="10">Tags!$BQ$37</definedName>
    <definedName name="TIBTAI_3Q12">Tags_ols!$BQ$37</definedName>
    <definedName name="TIBTAI_3Q13" localSheetId="10">Tags!$BV$37</definedName>
    <definedName name="TIBTAI_3Q13">Tags_ols!$BV$37</definedName>
    <definedName name="TIBTAI_3Q14" localSheetId="10">Tags!$CA$37</definedName>
    <definedName name="TIBTAI_3Q14">Tags_ols!$CA$37</definedName>
    <definedName name="TIBTAI_3Q15" localSheetId="10">Tags!$CF$37</definedName>
    <definedName name="TIBTAI_3Q15">Tags_ols!$CF$37</definedName>
    <definedName name="TIBTAI_3Q16" localSheetId="10">Tags!$CK$37</definedName>
    <definedName name="TIBTAI_3Q16">Tags_ols!$CK$37</definedName>
    <definedName name="TIBTAI_3Q17" localSheetId="10">Tags!$CP$37</definedName>
    <definedName name="TIBTAI_3Q17">Tags_ols!$CP$37</definedName>
    <definedName name="TIBTAI_3Q18" localSheetId="10">Tags!$CU$37</definedName>
    <definedName name="TIBTAI_3Q18">Tags_ols!$CU$37</definedName>
    <definedName name="TIBTAI_3Q19" localSheetId="10">Tags!$CZ$37</definedName>
    <definedName name="TIBTAI_3Q19">Tags_ols!$CZ$37</definedName>
    <definedName name="TIBTAI_3Q20" localSheetId="10">Tags!$DE$37</definedName>
    <definedName name="TIBTAI_3Q20">Tags_ols!$DE$37</definedName>
    <definedName name="TIBTAI_3Q21">Tags!$DJ$37</definedName>
    <definedName name="TIBTAI_3Q22">Tags!$DO$37</definedName>
    <definedName name="TIBTAI_3Q23">Tags!$DT$37</definedName>
    <definedName name="TIBTAI_3Q24">Tags!$DY$37</definedName>
    <definedName name="TIBTAI_4Q00" localSheetId="10">Tags!$J$37</definedName>
    <definedName name="TIBTAI_4Q00">Tags_ols!$J$37</definedName>
    <definedName name="TIBTAI_4Q01" localSheetId="10">Tags!$O$37</definedName>
    <definedName name="TIBTAI_4Q01">Tags_ols!$O$37</definedName>
    <definedName name="TIBTAI_4Q02" localSheetId="10">Tags!$T$37</definedName>
    <definedName name="TIBTAI_4Q02">Tags_ols!$T$37</definedName>
    <definedName name="TIBTAI_4Q03" localSheetId="10">Tags!$Y$37</definedName>
    <definedName name="TIBTAI_4Q03">Tags_ols!$Y$37</definedName>
    <definedName name="TIBTAI_4Q04" localSheetId="10">Tags!$AD$37</definedName>
    <definedName name="TIBTAI_4Q04">Tags_ols!$AD$37</definedName>
    <definedName name="TIBTAI_4Q05" localSheetId="10">Tags!$AI$37</definedName>
    <definedName name="TIBTAI_4Q05">Tags_ols!$AI$37</definedName>
    <definedName name="TIBTAI_4Q06" localSheetId="10">Tags!$AN$37</definedName>
    <definedName name="TIBTAI_4Q06">Tags_ols!$AN$37</definedName>
    <definedName name="TIBTAI_4Q07" localSheetId="10">Tags!$AS$37</definedName>
    <definedName name="TIBTAI_4Q07">Tags_ols!$AS$37</definedName>
    <definedName name="TIBTAI_4Q08" localSheetId="10">Tags!$AX$37</definedName>
    <definedName name="TIBTAI_4Q08">Tags_ols!$AX$37</definedName>
    <definedName name="TIBTAI_4Q09" localSheetId="10">Tags!$BC$37</definedName>
    <definedName name="TIBTAI_4Q09">Tags_ols!$BC$37</definedName>
    <definedName name="TIBTAI_4Q10" localSheetId="10">Tags!$BH$37</definedName>
    <definedName name="TIBTAI_4Q10">Tags_ols!$BH$37</definedName>
    <definedName name="TIBTAI_4Q11" localSheetId="10">Tags!$BM$37</definedName>
    <definedName name="TIBTAI_4Q11">Tags_ols!$BM$37</definedName>
    <definedName name="TIBTAI_4Q12" localSheetId="10">Tags!$BR$37</definedName>
    <definedName name="TIBTAI_4Q12">Tags_ols!$BR$37</definedName>
    <definedName name="TIBTAI_4Q13" localSheetId="10">Tags!$BW$37</definedName>
    <definedName name="TIBTAI_4Q13">Tags_ols!$BW$37</definedName>
    <definedName name="TIBTAI_4Q14" localSheetId="10">Tags!$CB$37</definedName>
    <definedName name="TIBTAI_4Q14">Tags_ols!$CB$37</definedName>
    <definedName name="TIBTAI_4Q15" localSheetId="10">Tags!$CG$37</definedName>
    <definedName name="TIBTAI_4Q15">Tags_ols!$CG$37</definedName>
    <definedName name="TIBTAI_4Q16" localSheetId="10">Tags!$CL$37</definedName>
    <definedName name="TIBTAI_4Q16">Tags_ols!$CL$37</definedName>
    <definedName name="TIBTAI_4Q17" localSheetId="10">Tags!$CQ$37</definedName>
    <definedName name="TIBTAI_4Q17">Tags_ols!$CQ$37</definedName>
    <definedName name="TIBTAI_4Q18" localSheetId="10">Tags!$CV$37</definedName>
    <definedName name="TIBTAI_4Q18">Tags_ols!$CV$37</definedName>
    <definedName name="TIBTAI_4Q19" localSheetId="10">Tags!$DA$37</definedName>
    <definedName name="TIBTAI_4Q19">Tags_ols!$DA$37</definedName>
    <definedName name="TIBTAI_4Q20" localSheetId="10">Tags!$DF$37</definedName>
    <definedName name="TIBTAI_4Q20">Tags_ols!$DF$37</definedName>
    <definedName name="TIBTAI_4Q21">Tags!$DK$37</definedName>
    <definedName name="TIBTAI_4Q22">Tags!$DP$37</definedName>
    <definedName name="TIBTAI_4Q23">Tags!$DU$37</definedName>
    <definedName name="TIBTAI_4Q24">Tags!$DZ$37</definedName>
    <definedName name="TickerCell">#REF!</definedName>
    <definedName name="Title1">#REF!</definedName>
    <definedName name="Title2">#REF!</definedName>
    <definedName name="Title3">#REF!</definedName>
    <definedName name="Title4">#REF!</definedName>
    <definedName name="TotalVol">#REF!</definedName>
    <definedName name="TRAPAY_1995">Tags_ols!$B$162</definedName>
    <definedName name="TRAPAY_1996">Tags_ols!$C$162</definedName>
    <definedName name="TRAPAY_1997">Tags_ols!$D$162</definedName>
    <definedName name="TRAPAY_1998">Tags_ols!$E$162</definedName>
    <definedName name="TRAPAY_1999">Tags_ols!$F$162</definedName>
    <definedName name="TRAPAY_1Q00" localSheetId="10">Tags!$G$162</definedName>
    <definedName name="TRAPAY_1Q00">Tags_ols!$G$162</definedName>
    <definedName name="TRAPAY_1Q01" localSheetId="10">Tags!$L$162</definedName>
    <definedName name="TRAPAY_1Q01">Tags_ols!$L$162</definedName>
    <definedName name="TRAPAY_1Q02" localSheetId="10">Tags!$Q$162</definedName>
    <definedName name="TRAPAY_1Q02">Tags_ols!$Q$162</definedName>
    <definedName name="TRAPAY_1Q03" localSheetId="10">Tags!$V$162</definedName>
    <definedName name="TRAPAY_1Q03">Tags_ols!$V$162</definedName>
    <definedName name="TRAPAY_1Q04" localSheetId="10">Tags!$AA$162</definedName>
    <definedName name="TRAPAY_1Q04">Tags_ols!$AA$162</definedName>
    <definedName name="TRAPAY_1Q05" localSheetId="10">Tags!$AF$162</definedName>
    <definedName name="TRAPAY_1Q05">Tags_ols!$AF$162</definedName>
    <definedName name="TRAPAY_1Q06" localSheetId="10">Tags!$AK$162</definedName>
    <definedName name="TRAPAY_1Q06">Tags_ols!$AK$162</definedName>
    <definedName name="TRAPAY_1Q07" localSheetId="10">Tags!$AP$162</definedName>
    <definedName name="TRAPAY_1Q07">Tags_ols!$AP$162</definedName>
    <definedName name="TRAPAY_1Q08" localSheetId="10">Tags!$AU$162</definedName>
    <definedName name="TRAPAY_1Q08">Tags_ols!$AU$162</definedName>
    <definedName name="TRAPAY_1Q09" localSheetId="10">Tags!$AZ$162</definedName>
    <definedName name="TRAPAY_1Q09">Tags_ols!$AZ$162</definedName>
    <definedName name="TRAPAY_1Q10" localSheetId="10">Tags!$BE$162</definedName>
    <definedName name="TRAPAY_1Q10">Tags_ols!$BE$162</definedName>
    <definedName name="TRAPAY_1Q11" localSheetId="10">Tags!$BJ$162</definedName>
    <definedName name="TRAPAY_1Q11">Tags_ols!$BJ$162</definedName>
    <definedName name="TRAPAY_1Q12" localSheetId="10">Tags!$BO$162</definedName>
    <definedName name="TRAPAY_1Q12">Tags_ols!$BO$162</definedName>
    <definedName name="TRAPAY_1Q13" localSheetId="10">Tags!$BT$162</definedName>
    <definedName name="TRAPAY_1Q13">Tags_ols!$BT$162</definedName>
    <definedName name="TRAPAY_1Q14" localSheetId="10">Tags!$BY$162</definedName>
    <definedName name="TRAPAY_1Q14">Tags_ols!$BY$162</definedName>
    <definedName name="TRAPAY_1Q15" localSheetId="10">Tags!$CD$162</definedName>
    <definedName name="TRAPAY_1Q15">Tags_ols!$CD$162</definedName>
    <definedName name="TRAPAY_1Q16" localSheetId="10">Tags!$CI$162</definedName>
    <definedName name="TRAPAY_1Q16">Tags_ols!$CI$162</definedName>
    <definedName name="TRAPAY_1Q17" localSheetId="10">Tags!$CN$162</definedName>
    <definedName name="TRAPAY_1Q17">Tags_ols!$CN$162</definedName>
    <definedName name="TRAPAY_1Q18" localSheetId="10">Tags!$CS$162</definedName>
    <definedName name="TRAPAY_1Q18">Tags_ols!$CS$162</definedName>
    <definedName name="TRAPAY_1Q19" localSheetId="10">Tags!$CX$162</definedName>
    <definedName name="TRAPAY_1Q19">Tags_ols!$CX$162</definedName>
    <definedName name="TRAPAY_1Q20" localSheetId="10">Tags!$DC$162</definedName>
    <definedName name="TRAPAY_1Q20">Tags_ols!$DC$162</definedName>
    <definedName name="TRAPAY_1Q21">Tags!$DH$162</definedName>
    <definedName name="TRAPAY_1Q22">Tags!$DM$162</definedName>
    <definedName name="TRAPAY_1Q23">Tags!$DR$162</definedName>
    <definedName name="TRAPAY_1Q24">Tags!$DW$162</definedName>
    <definedName name="TRAPAY_2000" localSheetId="10">Tags!$K$162</definedName>
    <definedName name="TRAPAY_2000">Tags_ols!$K$162</definedName>
    <definedName name="TRAPAY_2001" localSheetId="10">Tags!$P$162</definedName>
    <definedName name="TRAPAY_2001">Tags_ols!$P$162</definedName>
    <definedName name="TRAPAY_2002" localSheetId="10">Tags!$U$162</definedName>
    <definedName name="TRAPAY_2002">Tags_ols!$U$162</definedName>
    <definedName name="TRAPAY_2003" localSheetId="10">Tags!$Z$162</definedName>
    <definedName name="TRAPAY_2003">Tags_ols!$Z$162</definedName>
    <definedName name="TRAPAY_2004" localSheetId="10">Tags!$AE$162</definedName>
    <definedName name="TRAPAY_2004">Tags_ols!$AE$162</definedName>
    <definedName name="TRAPAY_2005" localSheetId="10">Tags!$AJ$162</definedName>
    <definedName name="TRAPAY_2005">Tags_ols!$AJ$162</definedName>
    <definedName name="TRAPAY_2006" localSheetId="10">Tags!$AO$162</definedName>
    <definedName name="TRAPAY_2006">Tags_ols!$AO$162</definedName>
    <definedName name="TRAPAY_2007" localSheetId="10">Tags!$AT$162</definedName>
    <definedName name="TRAPAY_2007">Tags_ols!$AT$162</definedName>
    <definedName name="TRAPAY_2008" localSheetId="10">Tags!$AY$162</definedName>
    <definedName name="TRAPAY_2008">Tags_ols!$AY$162</definedName>
    <definedName name="TRAPAY_2009" localSheetId="10">Tags!$BD$162</definedName>
    <definedName name="TRAPAY_2009">Tags_ols!$BD$162</definedName>
    <definedName name="TRAPAY_2010" localSheetId="10">Tags!$BI$162</definedName>
    <definedName name="TRAPAY_2010">Tags_ols!$BI$162</definedName>
    <definedName name="TRAPAY_2011" localSheetId="10">Tags!$BN$162</definedName>
    <definedName name="TRAPAY_2011">Tags_ols!$BN$162</definedName>
    <definedName name="TRAPAY_2012" localSheetId="10">Tags!$BS$162</definedName>
    <definedName name="TRAPAY_2012">Tags_ols!$BS$162</definedName>
    <definedName name="TRAPAY_2013" localSheetId="10">Tags!$BX$162</definedName>
    <definedName name="TRAPAY_2013">Tags_ols!$BX$162</definedName>
    <definedName name="TRAPAY_2014" localSheetId="10">Tags!$CC$162</definedName>
    <definedName name="TRAPAY_2014">Tags_ols!$CC$162</definedName>
    <definedName name="TRAPAY_2015" localSheetId="10">Tags!#REF!</definedName>
    <definedName name="TRAPAY_2015">Tags!$CH$162</definedName>
    <definedName name="TRAPAY_2016" localSheetId="10">Tags!$CM$162</definedName>
    <definedName name="TRAPAY_2016">Tags_ols!$CM$162</definedName>
    <definedName name="TRAPAY_2017" localSheetId="10">Tags!$CR$162</definedName>
    <definedName name="TRAPAY_2017">Tags_ols!$CR$162</definedName>
    <definedName name="TRAPAY_2018" localSheetId="10">Tags!$CW$162</definedName>
    <definedName name="TRAPAY_2018">Tags_ols!$CW$162</definedName>
    <definedName name="TRAPAY_2019" localSheetId="10">Tags!$DB$162</definedName>
    <definedName name="TRAPAY_2019">Tags_ols!$DB$162</definedName>
    <definedName name="TRAPAY_2020" localSheetId="10">Tags!$DG$162</definedName>
    <definedName name="TRAPAY_2020">Tags_ols!$DG$162</definedName>
    <definedName name="TRAPAY_2021">Tags!$DL$162</definedName>
    <definedName name="TRAPAY_2022">Tags!$DQ$162</definedName>
    <definedName name="TRAPAY_2023">Tags!$DV$162</definedName>
    <definedName name="TRAPAY_2024">Tags!$EA$162</definedName>
    <definedName name="TRAPAY_2Q00" localSheetId="10">Tags!$H$162</definedName>
    <definedName name="TRAPAY_2Q00">Tags_ols!$H$162</definedName>
    <definedName name="TRAPAY_2Q01" localSheetId="10">Tags!$M$162</definedName>
    <definedName name="TRAPAY_2Q01">Tags_ols!$M$162</definedName>
    <definedName name="TRAPAY_2Q02" localSheetId="10">Tags!$R$162</definedName>
    <definedName name="TRAPAY_2Q02">Tags_ols!$R$162</definedName>
    <definedName name="TRAPAY_2Q03" localSheetId="10">Tags!$W$162</definedName>
    <definedName name="TRAPAY_2Q03">Tags_ols!$W$162</definedName>
    <definedName name="TRAPAY_2Q04" localSheetId="10">Tags!$AB$162</definedName>
    <definedName name="TRAPAY_2Q04">Tags_ols!$AB$162</definedName>
    <definedName name="TRAPAY_2Q05" localSheetId="10">Tags!$AG$162</definedName>
    <definedName name="TRAPAY_2Q05">Tags_ols!$AG$162</definedName>
    <definedName name="TRAPAY_2Q06" localSheetId="10">Tags!$AL$162</definedName>
    <definedName name="TRAPAY_2Q06">Tags_ols!$AL$162</definedName>
    <definedName name="TRAPAY_2Q07" localSheetId="10">Tags!$AQ$162</definedName>
    <definedName name="TRAPAY_2Q07">Tags_ols!$AQ$162</definedName>
    <definedName name="TRAPAY_2Q08" localSheetId="10">Tags!$AV$162</definedName>
    <definedName name="TRAPAY_2Q08">Tags_ols!$AV$162</definedName>
    <definedName name="TRAPAY_2Q09" localSheetId="10">Tags!$BA$162</definedName>
    <definedName name="TRAPAY_2Q09">Tags_ols!$BA$162</definedName>
    <definedName name="TRAPAY_2Q10" localSheetId="10">Tags!$BF$162</definedName>
    <definedName name="TRAPAY_2Q10">Tags_ols!$BF$162</definedName>
    <definedName name="TRAPAY_2Q11" localSheetId="10">Tags!$BK$162</definedName>
    <definedName name="TRAPAY_2Q11">Tags_ols!$BK$162</definedName>
    <definedName name="TRAPAY_2Q12" localSheetId="10">Tags!$BP$162</definedName>
    <definedName name="TRAPAY_2Q12">Tags_ols!$BP$162</definedName>
    <definedName name="TRAPAY_2Q13" localSheetId="10">Tags!$BU$162</definedName>
    <definedName name="TRAPAY_2Q13">Tags_ols!$BU$162</definedName>
    <definedName name="TRAPAY_2Q14" localSheetId="10">Tags!$BZ$162</definedName>
    <definedName name="TRAPAY_2Q14">Tags_ols!$BZ$162</definedName>
    <definedName name="TRAPAY_2Q15" localSheetId="10">Tags!$CE$162</definedName>
    <definedName name="TRAPAY_2Q15">Tags_ols!$CE$162</definedName>
    <definedName name="TRAPAY_2Q16" localSheetId="10">Tags!$CJ$162</definedName>
    <definedName name="TRAPAY_2Q16">Tags_ols!$CJ$162</definedName>
    <definedName name="TRAPAY_2Q17" localSheetId="10">Tags!$CO$162</definedName>
    <definedName name="TRAPAY_2Q17">Tags_ols!$CO$162</definedName>
    <definedName name="TRAPAY_2Q18" localSheetId="10">Tags!$CT$162</definedName>
    <definedName name="TRAPAY_2Q18">Tags_ols!$CT$162</definedName>
    <definedName name="TRAPAY_2Q19" localSheetId="10">Tags!$CY$162</definedName>
    <definedName name="TRAPAY_2Q19">Tags_ols!$CY$162</definedName>
    <definedName name="TRAPAY_2Q20" localSheetId="10">Tags!$DD$162</definedName>
    <definedName name="TRAPAY_2Q20">Tags_ols!$DD$162</definedName>
    <definedName name="TRAPAY_2Q21">Tags!$DI$162</definedName>
    <definedName name="TRAPAY_2Q22">Tags!$DN$162</definedName>
    <definedName name="TRAPAY_2Q23">Tags!$DS$162</definedName>
    <definedName name="TRAPAY_2Q24">Tags!$DX$162</definedName>
    <definedName name="TRAPAY_3Q00" localSheetId="10">Tags!$I$162</definedName>
    <definedName name="TRAPAY_3Q00">Tags_ols!$I$162</definedName>
    <definedName name="TRAPAY_3Q01" localSheetId="10">Tags!$N$162</definedName>
    <definedName name="TRAPAY_3Q01">Tags_ols!$N$162</definedName>
    <definedName name="TRAPAY_3Q02" localSheetId="10">Tags!$S$162</definedName>
    <definedName name="TRAPAY_3Q02">Tags_ols!$S$162</definedName>
    <definedName name="TRAPAY_3Q03" localSheetId="10">Tags!$X$162</definedName>
    <definedName name="TRAPAY_3Q03">Tags_ols!$X$162</definedName>
    <definedName name="TRAPAY_3Q04" localSheetId="10">Tags!$AC$162</definedName>
    <definedName name="TRAPAY_3Q04">Tags_ols!$AC$162</definedName>
    <definedName name="TRAPAY_3Q05" localSheetId="10">Tags!$AH$162</definedName>
    <definedName name="TRAPAY_3Q05">Tags_ols!$AH$162</definedName>
    <definedName name="TRAPAY_3Q06" localSheetId="10">Tags!$AM$162</definedName>
    <definedName name="TRAPAY_3Q06">Tags_ols!$AM$162</definedName>
    <definedName name="TRAPAY_3Q07" localSheetId="10">Tags!$AR$162</definedName>
    <definedName name="TRAPAY_3Q07">Tags_ols!$AR$162</definedName>
    <definedName name="TRAPAY_3Q08" localSheetId="10">Tags!$AW$162</definedName>
    <definedName name="TRAPAY_3Q08">Tags_ols!$AW$162</definedName>
    <definedName name="TRAPAY_3Q09" localSheetId="10">Tags!$BB$162</definedName>
    <definedName name="TRAPAY_3Q09">Tags_ols!$BB$162</definedName>
    <definedName name="TRAPAY_3Q10" localSheetId="10">Tags!$BG$162</definedName>
    <definedName name="TRAPAY_3Q10">Tags_ols!$BG$162</definedName>
    <definedName name="TRAPAY_3Q11" localSheetId="10">Tags!$BL$162</definedName>
    <definedName name="TRAPAY_3Q11">Tags_ols!$BL$162</definedName>
    <definedName name="TRAPAY_3Q12" localSheetId="10">Tags!$BQ$162</definedName>
    <definedName name="TRAPAY_3Q12">Tags_ols!$BQ$162</definedName>
    <definedName name="TRAPAY_3Q13" localSheetId="10">Tags!$BV$162</definedName>
    <definedName name="TRAPAY_3Q13">Tags_ols!$BV$162</definedName>
    <definedName name="TRAPAY_3Q14" localSheetId="10">Tags!$CA$162</definedName>
    <definedName name="TRAPAY_3Q14">Tags_ols!$CA$162</definedName>
    <definedName name="TRAPAY_3Q15" localSheetId="10">Tags!$CF$162</definedName>
    <definedName name="TRAPAY_3Q15">Tags_ols!$CF$162</definedName>
    <definedName name="TRAPAY_3Q16" localSheetId="10">Tags!$CK$162</definedName>
    <definedName name="TRAPAY_3Q16">Tags_ols!$CK$162</definedName>
    <definedName name="TRAPAY_3Q17" localSheetId="10">Tags!$CP$162</definedName>
    <definedName name="TRAPAY_3Q17">Tags_ols!$CP$162</definedName>
    <definedName name="TRAPAY_3Q18" localSheetId="10">Tags!$CU$162</definedName>
    <definedName name="TRAPAY_3Q18">Tags_ols!$CU$162</definedName>
    <definedName name="TRAPAY_3Q19" localSheetId="10">Tags!$CZ$162</definedName>
    <definedName name="TRAPAY_3Q19">Tags_ols!$CZ$162</definedName>
    <definedName name="TRAPAY_3Q20" localSheetId="10">Tags!$DE$162</definedName>
    <definedName name="TRAPAY_3Q20">Tags_ols!$DE$162</definedName>
    <definedName name="TRAPAY_3Q21">Tags!$DJ$162</definedName>
    <definedName name="TRAPAY_3Q22">Tags!$DO$162</definedName>
    <definedName name="TRAPAY_3Q23">Tags!$DT$162</definedName>
    <definedName name="TRAPAY_3Q24">Tags!$DY$162</definedName>
    <definedName name="TRAPAY_4Q00" localSheetId="10">Tags!$J$162</definedName>
    <definedName name="TRAPAY_4Q00">Tags_ols!$J$162</definedName>
    <definedName name="TRAPAY_4Q01" localSheetId="10">Tags!$O$162</definedName>
    <definedName name="TRAPAY_4Q01">Tags_ols!$O$162</definedName>
    <definedName name="TRAPAY_4Q02" localSheetId="10">Tags!$T$162</definedName>
    <definedName name="TRAPAY_4Q02">Tags_ols!$T$162</definedName>
    <definedName name="TRAPAY_4Q03" localSheetId="10">Tags!$Y$162</definedName>
    <definedName name="TRAPAY_4Q03">Tags_ols!$Y$162</definedName>
    <definedName name="TRAPAY_4Q04" localSheetId="10">Tags!$AD$162</definedName>
    <definedName name="TRAPAY_4Q04">Tags_ols!$AD$162</definedName>
    <definedName name="TRAPAY_4Q05" localSheetId="10">Tags!$AI$162</definedName>
    <definedName name="TRAPAY_4Q05">Tags_ols!$AI$162</definedName>
    <definedName name="TRAPAY_4Q06" localSheetId="10">Tags!$AN$162</definedName>
    <definedName name="TRAPAY_4Q06">Tags_ols!$AN$162</definedName>
    <definedName name="TRAPAY_4Q07" localSheetId="10">Tags!$AS$162</definedName>
    <definedName name="TRAPAY_4Q07">Tags_ols!$AS$162</definedName>
    <definedName name="TRAPAY_4Q08" localSheetId="10">Tags!$AX$162</definedName>
    <definedName name="TRAPAY_4Q08">Tags_ols!$AX$162</definedName>
    <definedName name="TRAPAY_4Q09" localSheetId="10">Tags!$BC$162</definedName>
    <definedName name="TRAPAY_4Q09">Tags_ols!$BC$162</definedName>
    <definedName name="TRAPAY_4Q10" localSheetId="10">Tags!$BH$162</definedName>
    <definedName name="TRAPAY_4Q10">Tags_ols!$BH$162</definedName>
    <definedName name="TRAPAY_4Q11" localSheetId="10">Tags!$BM$162</definedName>
    <definedName name="TRAPAY_4Q11">Tags_ols!$BM$162</definedName>
    <definedName name="TRAPAY_4Q12" localSheetId="10">Tags!$BR$162</definedName>
    <definedName name="TRAPAY_4Q12">Tags_ols!$BR$162</definedName>
    <definedName name="TRAPAY_4Q13" localSheetId="10">Tags!$BW$162</definedName>
    <definedName name="TRAPAY_4Q13">Tags_ols!$BW$162</definedName>
    <definedName name="TRAPAY_4Q14" localSheetId="10">Tags!$CB$162</definedName>
    <definedName name="TRAPAY_4Q14">Tags_ols!$CB$162</definedName>
    <definedName name="TRAPAY_4Q15" localSheetId="10">Tags!$CG$162</definedName>
    <definedName name="TRAPAY_4Q15">Tags_ols!$CG$162</definedName>
    <definedName name="TRAPAY_4Q16" localSheetId="10">Tags!$CL$162</definedName>
    <definedName name="TRAPAY_4Q16">Tags_ols!$CL$162</definedName>
    <definedName name="TRAPAY_4Q17" localSheetId="10">Tags!$CQ$162</definedName>
    <definedName name="TRAPAY_4Q17">Tags_ols!$CQ$162</definedName>
    <definedName name="TRAPAY_4Q18" localSheetId="10">Tags!$CV$162</definedName>
    <definedName name="TRAPAY_4Q18">Tags_ols!$CV$162</definedName>
    <definedName name="TRAPAY_4Q19" localSheetId="10">Tags!$DA$162</definedName>
    <definedName name="TRAPAY_4Q19">Tags_ols!$DA$162</definedName>
    <definedName name="TRAPAY_4Q20" localSheetId="10">Tags!$DF$162</definedName>
    <definedName name="TRAPAY_4Q20">Tags_ols!$DF$162</definedName>
    <definedName name="TRAPAY_4Q21">Tags!$DK$162</definedName>
    <definedName name="TRAPAY_4Q22">Tags!$DP$162</definedName>
    <definedName name="TRAPAY_4Q23">Tags!$DU$162</definedName>
    <definedName name="TRAPAY_4Q24">Tags!$DZ$162</definedName>
    <definedName name="TURN_1995">Tags_ols!$B$3</definedName>
    <definedName name="TURN_1996">Tags_ols!$C$3</definedName>
    <definedName name="TURN_1997">Tags_ols!$D$3</definedName>
    <definedName name="TURN_1998">Tags_ols!$E$3</definedName>
    <definedName name="TURN_1999">Tags_ols!$F$3</definedName>
    <definedName name="TURN_1Q00" localSheetId="10">Tags!$G$3</definedName>
    <definedName name="TURN_1Q00">Tags_ols!$G$3</definedName>
    <definedName name="TURN_1Q01" localSheetId="10">Tags!$L$3</definedName>
    <definedName name="TURN_1Q01">Tags_ols!$L$3</definedName>
    <definedName name="TURN_1Q02" localSheetId="10">Tags!$Q$3</definedName>
    <definedName name="TURN_1Q02">Tags_ols!$Q$3</definedName>
    <definedName name="TURN_1Q03" localSheetId="10">Tags!$V$3</definedName>
    <definedName name="TURN_1Q03">Tags_ols!$V$3</definedName>
    <definedName name="TURN_1Q04" localSheetId="10">Tags!$AA$3</definedName>
    <definedName name="TURN_1Q04">Tags_ols!$AA$3</definedName>
    <definedName name="TURN_1Q05" localSheetId="10">Tags!$AF$3</definedName>
    <definedName name="TURN_1Q05">Tags_ols!$AF$3</definedName>
    <definedName name="TURN_1Q06" localSheetId="10">Tags!$AK$3</definedName>
    <definedName name="TURN_1Q06">Tags_ols!$AK$3</definedName>
    <definedName name="TURN_1Q07" localSheetId="10">Tags!$AP$3</definedName>
    <definedName name="TURN_1Q07">Tags_ols!$AP$3</definedName>
    <definedName name="TURN_1Q08" localSheetId="10">Tags!$AU$3</definedName>
    <definedName name="TURN_1Q08">Tags_ols!$AU$3</definedName>
    <definedName name="TURN_1Q09" localSheetId="10">Tags!$AZ$3</definedName>
    <definedName name="TURN_1Q09">Tags_ols!$AZ$3</definedName>
    <definedName name="TURN_1Q10" localSheetId="10">Tags!$BE$3</definedName>
    <definedName name="TURN_1Q10">Tags_ols!$BE$3</definedName>
    <definedName name="TURN_1Q11" localSheetId="10">Tags!$BJ$3</definedName>
    <definedName name="TURN_1Q11">Tags_ols!$BJ$3</definedName>
    <definedName name="TURN_1Q12" localSheetId="10">Tags!$BO$3</definedName>
    <definedName name="TURN_1Q12">Tags_ols!$BO$3</definedName>
    <definedName name="TURN_1Q13" localSheetId="10">Tags!$BT$3</definedName>
    <definedName name="TURN_1Q13">Tags_ols!$BT$3</definedName>
    <definedName name="TURN_1Q14" localSheetId="10">Tags!$BY$3</definedName>
    <definedName name="TURN_1Q14">Tags_ols!$BY$3</definedName>
    <definedName name="TURN_1Q15" localSheetId="10">Tags!$CD$3</definedName>
    <definedName name="TURN_1Q15">Tags_ols!$CD$3</definedName>
    <definedName name="TURN_1Q16" localSheetId="10">Tags!$CI$3</definedName>
    <definedName name="TURN_1Q16">Tags_ols!$CI$3</definedName>
    <definedName name="TURN_1Q17" localSheetId="10">Tags!$CN$3</definedName>
    <definedName name="TURN_1Q17">Tags_ols!$CN$3</definedName>
    <definedName name="TURN_1Q18" localSheetId="10">Tags!$CS$3</definedName>
    <definedName name="TURN_1Q18">Tags_ols!$CS$3</definedName>
    <definedName name="TURN_1Q19" localSheetId="10">Tags!$CX$3</definedName>
    <definedName name="TURN_1Q19">Tags_ols!$CX$3</definedName>
    <definedName name="TURN_1Q20" localSheetId="10">Tags!$DC$3</definedName>
    <definedName name="TURN_1Q20">Tags_ols!$DC$3</definedName>
    <definedName name="TURN_1Q21">Tags!$DH$3</definedName>
    <definedName name="TURN_1Q22">Tags!$DM$3</definedName>
    <definedName name="TURN_1Q23">Tags!$DR$3</definedName>
    <definedName name="TURN_1Q24">Tags!$DW$3</definedName>
    <definedName name="TURN_2000" localSheetId="10">Tags!$K$3</definedName>
    <definedName name="TURN_2000">Tags_ols!$K$3</definedName>
    <definedName name="TURN_2001" localSheetId="10">Tags!$P$3</definedName>
    <definedName name="TURN_2001">Tags_ols!$P$3</definedName>
    <definedName name="TURN_2002" localSheetId="10">Tags!$U$3</definedName>
    <definedName name="TURN_2002">Tags_ols!$U$3</definedName>
    <definedName name="TURN_2003" localSheetId="10">Tags!$Z$3</definedName>
    <definedName name="TURN_2003">Tags_ols!$Z$3</definedName>
    <definedName name="TURN_2004" localSheetId="10">Tags!$AE$3</definedName>
    <definedName name="TURN_2004">Tags_ols!$AE$3</definedName>
    <definedName name="TURN_2005" localSheetId="10">Tags!$AJ$3</definedName>
    <definedName name="TURN_2005">Tags_ols!$AJ$3</definedName>
    <definedName name="TURN_2006" localSheetId="10">Tags!$AO$3</definedName>
    <definedName name="TURN_2006">Tags_ols!$AO$3</definedName>
    <definedName name="TURN_2007" localSheetId="10">Tags!$AT$3</definedName>
    <definedName name="TURN_2007">Tags_ols!$AT$3</definedName>
    <definedName name="TURN_2008" localSheetId="10">Tags!$AY$3</definedName>
    <definedName name="TURN_2008">Tags_ols!$AY$3</definedName>
    <definedName name="TURN_2009" localSheetId="10">Tags!$BD$3</definedName>
    <definedName name="TURN_2009">Tags_ols!$BD$3</definedName>
    <definedName name="TURN_2010" localSheetId="10">Tags!$BI$3</definedName>
    <definedName name="TURN_2010">Tags_ols!$BI$3</definedName>
    <definedName name="TURN_2011" localSheetId="10">Tags!$BN$3</definedName>
    <definedName name="TURN_2011">Tags_ols!$BN$3</definedName>
    <definedName name="TURN_2012" localSheetId="10">Tags!$BS$3</definedName>
    <definedName name="TURN_2012">Tags_ols!$BS$3</definedName>
    <definedName name="TURN_2013" localSheetId="10">Tags!$BX$3</definedName>
    <definedName name="TURN_2013">Tags_ols!$BX$3</definedName>
    <definedName name="TURN_2014" localSheetId="10">Tags!$CC$3</definedName>
    <definedName name="TURN_2014">Tags_ols!$CC$3</definedName>
    <definedName name="TURN_2015" localSheetId="10">Tags!#REF!</definedName>
    <definedName name="TURN_2015">Tags!$CH$3</definedName>
    <definedName name="TURN_2016" localSheetId="10">Tags!$CM$3</definedName>
    <definedName name="TURN_2016">Tags_ols!$CM$3</definedName>
    <definedName name="TURN_2017" localSheetId="10">Tags!$CR$3</definedName>
    <definedName name="TURN_2017">Tags_ols!$CR$3</definedName>
    <definedName name="TURN_2018" localSheetId="10">Tags!$CW$3</definedName>
    <definedName name="TURN_2018">Tags_ols!$CW$3</definedName>
    <definedName name="TURN_2019" localSheetId="10">Tags!$DB$3</definedName>
    <definedName name="TURN_2019">Tags_ols!$DB$3</definedName>
    <definedName name="TURN_2020" localSheetId="10">Tags!$DG$3</definedName>
    <definedName name="TURN_2020">Tags_ols!$DG$3</definedName>
    <definedName name="TURN_2021">Tags!$DL$3</definedName>
    <definedName name="TURN_2022">Tags!$DQ$3</definedName>
    <definedName name="TURN_2023">Tags!$DV$3</definedName>
    <definedName name="TURN_2024">Tags!$EA$3</definedName>
    <definedName name="TURN_2Q00" localSheetId="10">Tags!$H$3</definedName>
    <definedName name="TURN_2Q00">Tags_ols!$H$3</definedName>
    <definedName name="TURN_2Q01" localSheetId="10">Tags!$M$3</definedName>
    <definedName name="TURN_2Q01">Tags_ols!$M$3</definedName>
    <definedName name="TURN_2Q02" localSheetId="10">Tags!$R$3</definedName>
    <definedName name="TURN_2Q02">Tags_ols!$R$3</definedName>
    <definedName name="TURN_2Q03" localSheetId="10">Tags!$W$3</definedName>
    <definedName name="TURN_2Q03">Tags_ols!$W$3</definedName>
    <definedName name="TURN_2Q04" localSheetId="10">Tags!$AB$3</definedName>
    <definedName name="TURN_2Q04">Tags_ols!$AB$3</definedName>
    <definedName name="TURN_2Q05" localSheetId="10">Tags!$AG$3</definedName>
    <definedName name="TURN_2Q05">Tags_ols!$AG$3</definedName>
    <definedName name="TURN_2Q06" localSheetId="10">Tags!$AL$3</definedName>
    <definedName name="TURN_2Q06">Tags_ols!$AL$3</definedName>
    <definedName name="TURN_2Q07" localSheetId="10">Tags!$AQ$3</definedName>
    <definedName name="TURN_2Q07">Tags_ols!$AQ$3</definedName>
    <definedName name="TURN_2Q08" localSheetId="10">Tags!$AV$3</definedName>
    <definedName name="TURN_2Q08">Tags_ols!$AV$3</definedName>
    <definedName name="TURN_2Q09" localSheetId="10">Tags!$BA$3</definedName>
    <definedName name="TURN_2Q09">Tags_ols!$BA$3</definedName>
    <definedName name="TURN_2Q10" localSheetId="10">Tags!$BF$3</definedName>
    <definedName name="TURN_2Q10">Tags_ols!$BF$3</definedName>
    <definedName name="TURN_2Q11" localSheetId="10">Tags!$BK$3</definedName>
    <definedName name="TURN_2Q11">Tags_ols!$BK$3</definedName>
    <definedName name="TURN_2Q12" localSheetId="10">Tags!$BP$3</definedName>
    <definedName name="TURN_2Q12">Tags_ols!$BP$3</definedName>
    <definedName name="TURN_2Q13" localSheetId="10">Tags!$BU$3</definedName>
    <definedName name="TURN_2Q13">Tags_ols!$BU$3</definedName>
    <definedName name="TURN_2Q14" localSheetId="10">Tags!$BZ$3</definedName>
    <definedName name="TURN_2Q14">Tags_ols!$BZ$3</definedName>
    <definedName name="TURN_2Q15" localSheetId="10">Tags!$CE$3</definedName>
    <definedName name="TURN_2Q15">Tags_ols!$CE$3</definedName>
    <definedName name="TURN_2Q16" localSheetId="10">Tags!$CJ$3</definedName>
    <definedName name="TURN_2Q16">Tags_ols!$CJ$3</definedName>
    <definedName name="TURN_2Q17" localSheetId="10">Tags!$CO$3</definedName>
    <definedName name="TURN_2Q17">Tags_ols!$CO$3</definedName>
    <definedName name="TURN_2Q18" localSheetId="10">Tags!$CT$3</definedName>
    <definedName name="TURN_2Q18">Tags_ols!$CT$3</definedName>
    <definedName name="TURN_2Q19" localSheetId="10">Tags!$CY$3</definedName>
    <definedName name="TURN_2Q19">Tags_ols!$CY$3</definedName>
    <definedName name="TURN_2Q20" localSheetId="10">Tags!$DD$3</definedName>
    <definedName name="TURN_2Q20">Tags_ols!$DD$3</definedName>
    <definedName name="TURN_2Q21">Tags!$DI$3</definedName>
    <definedName name="TURN_2Q22">Tags!$DN$3</definedName>
    <definedName name="TURN_2Q23">Tags!$DS$3</definedName>
    <definedName name="TURN_2Q24">Tags!$DX$3</definedName>
    <definedName name="TURN_3Q00" localSheetId="10">Tags!$I$3</definedName>
    <definedName name="TURN_3Q00">Tags_ols!$I$3</definedName>
    <definedName name="TURN_3Q01" localSheetId="10">Tags!$N$3</definedName>
    <definedName name="TURN_3Q01">Tags_ols!$N$3</definedName>
    <definedName name="TURN_3Q02" localSheetId="10">Tags!$S$3</definedName>
    <definedName name="TURN_3Q02">Tags_ols!$S$3</definedName>
    <definedName name="TURN_3Q03" localSheetId="10">Tags!$X$3</definedName>
    <definedName name="TURN_3Q03">Tags_ols!$X$3</definedName>
    <definedName name="TURN_3Q04" localSheetId="10">Tags!$AC$3</definedName>
    <definedName name="TURN_3Q04">Tags_ols!$AC$3</definedName>
    <definedName name="TURN_3Q05" localSheetId="10">Tags!$AH$3</definedName>
    <definedName name="TURN_3Q05">Tags_ols!$AH$3</definedName>
    <definedName name="TURN_3Q06" localSheetId="10">Tags!$AM$3</definedName>
    <definedName name="TURN_3Q06">Tags_ols!$AM$3</definedName>
    <definedName name="TURN_3Q07" localSheetId="10">Tags!$AR$3</definedName>
    <definedName name="TURN_3Q07">Tags_ols!$AR$3</definedName>
    <definedName name="TURN_3Q08" localSheetId="10">Tags!$AW$3</definedName>
    <definedName name="TURN_3Q08">Tags_ols!$AW$3</definedName>
    <definedName name="TURN_3Q09" localSheetId="10">Tags!$BB$3</definedName>
    <definedName name="TURN_3Q09">Tags_ols!$BB$3</definedName>
    <definedName name="TURN_3Q10" localSheetId="10">Tags!$BG$3</definedName>
    <definedName name="TURN_3Q10">Tags_ols!$BG$3</definedName>
    <definedName name="TURN_3Q11" localSheetId="10">Tags!$BL$3</definedName>
    <definedName name="TURN_3Q11">Tags_ols!$BL$3</definedName>
    <definedName name="TURN_3Q12" localSheetId="10">Tags!$BQ$3</definedName>
    <definedName name="TURN_3Q12">Tags_ols!$BQ$3</definedName>
    <definedName name="TURN_3Q13" localSheetId="10">Tags!$BV$3</definedName>
    <definedName name="TURN_3Q13">Tags_ols!$BV$3</definedName>
    <definedName name="TURN_3Q14" localSheetId="10">Tags!$CA$3</definedName>
    <definedName name="TURN_3Q14">Tags_ols!$CA$3</definedName>
    <definedName name="TURN_3Q15" localSheetId="10">Tags!$CF$3</definedName>
    <definedName name="TURN_3Q15">Tags_ols!$CF$3</definedName>
    <definedName name="TURN_3Q16" localSheetId="10">Tags!$CK$3</definedName>
    <definedName name="TURN_3Q16">Tags_ols!$CK$3</definedName>
    <definedName name="TURN_3Q17" localSheetId="10">Tags!$CP$3</definedName>
    <definedName name="TURN_3Q17">Tags_ols!$CP$3</definedName>
    <definedName name="TURN_3Q18" localSheetId="10">Tags!$CU$3</definedName>
    <definedName name="TURN_3Q18">Tags_ols!$CU$3</definedName>
    <definedName name="TURN_3Q19" localSheetId="10">Tags!$CZ$3</definedName>
    <definedName name="TURN_3Q19">Tags_ols!$CZ$3</definedName>
    <definedName name="TURN_3Q20" localSheetId="10">Tags!$DE$3</definedName>
    <definedName name="TURN_3Q20">Tags_ols!$DE$3</definedName>
    <definedName name="TURN_3Q21">Tags!$DJ$3</definedName>
    <definedName name="TURN_3Q22">Tags!$DO$3</definedName>
    <definedName name="TURN_3Q23">Tags!$DT$3</definedName>
    <definedName name="TURN_3Q24">Tags!$DY$3</definedName>
    <definedName name="TURN_4Q00" localSheetId="10">Tags!$J$3</definedName>
    <definedName name="TURN_4Q00">Tags_ols!$J$3</definedName>
    <definedName name="TURN_4Q01" localSheetId="10">Tags!$O$3</definedName>
    <definedName name="TURN_4Q01">Tags_ols!$O$3</definedName>
    <definedName name="TURN_4Q02" localSheetId="10">Tags!$T$3</definedName>
    <definedName name="TURN_4Q02">Tags_ols!$T$3</definedName>
    <definedName name="TURN_4Q03" localSheetId="10">Tags!$Y$3</definedName>
    <definedName name="TURN_4Q03">Tags_ols!$Y$3</definedName>
    <definedName name="TURN_4Q04" localSheetId="10">Tags!$AD$3</definedName>
    <definedName name="TURN_4Q04">Tags_ols!$AD$3</definedName>
    <definedName name="TURN_4Q05" localSheetId="10">Tags!$AI$3</definedName>
    <definedName name="TURN_4Q05">Tags_ols!$AI$3</definedName>
    <definedName name="TURN_4Q06" localSheetId="10">Tags!$AN$3</definedName>
    <definedName name="TURN_4Q06">Tags_ols!$AN$3</definedName>
    <definedName name="TURN_4Q07" localSheetId="10">Tags!$AS$3</definedName>
    <definedName name="TURN_4Q07">Tags_ols!$AS$3</definedName>
    <definedName name="TURN_4Q08" localSheetId="10">Tags!$AX$3</definedName>
    <definedName name="TURN_4Q08">Tags_ols!$AX$3</definedName>
    <definedName name="TURN_4Q09" localSheetId="10">Tags!$BC$3</definedName>
    <definedName name="TURN_4Q09">Tags_ols!$BC$3</definedName>
    <definedName name="TURN_4Q10" localSheetId="10">Tags!$BH$3</definedName>
    <definedName name="TURN_4Q10">Tags_ols!$BH$3</definedName>
    <definedName name="TURN_4Q11" localSheetId="10">Tags!$BM$3</definedName>
    <definedName name="TURN_4Q11">Tags_ols!$BM$3</definedName>
    <definedName name="TURN_4Q12" localSheetId="10">Tags!$BR$3</definedName>
    <definedName name="TURN_4Q12">Tags_ols!$BR$3</definedName>
    <definedName name="TURN_4Q13" localSheetId="10">Tags!$BW$3</definedName>
    <definedName name="TURN_4Q13">Tags_ols!$BW$3</definedName>
    <definedName name="TURN_4Q14" localSheetId="10">Tags!$CB$3</definedName>
    <definedName name="TURN_4Q14">Tags_ols!$CB$3</definedName>
    <definedName name="TURN_4Q15" localSheetId="10">Tags!$CG$3</definedName>
    <definedName name="TURN_4Q15">Tags_ols!$CG$3</definedName>
    <definedName name="TURN_4Q16" localSheetId="10">Tags!$CL$3</definedName>
    <definedName name="TURN_4Q16">Tags_ols!$CL$3</definedName>
    <definedName name="TURN_4Q17" localSheetId="10">Tags!$CQ$3</definedName>
    <definedName name="TURN_4Q17">Tags_ols!$CQ$3</definedName>
    <definedName name="TURN_4Q18" localSheetId="10">Tags!$CV$3</definedName>
    <definedName name="TURN_4Q18">Tags_ols!$CV$3</definedName>
    <definedName name="TURN_4Q19" localSheetId="10">Tags!$DA$3</definedName>
    <definedName name="TURN_4Q19">Tags_ols!$DA$3</definedName>
    <definedName name="TURN_4Q20" localSheetId="10">Tags!$DF$3</definedName>
    <definedName name="TURN_4Q20">Tags_ols!$DF$3</definedName>
    <definedName name="TURN_4Q21">Tags!$DK$3</definedName>
    <definedName name="TURN_4Q22">Tags!$DP$3</definedName>
    <definedName name="TURN_4Q23">Tags!$DU$3</definedName>
    <definedName name="TURN_4Q24">Tags!$DZ$3</definedName>
    <definedName name="UAVSHA_1995">Tags_ols!$B$110</definedName>
    <definedName name="UAVSHA_1996">Tags_ols!$C$110</definedName>
    <definedName name="UAVSHA_1997">Tags_ols!$D$110</definedName>
    <definedName name="UAVSHA_1998">Tags_ols!$E$110</definedName>
    <definedName name="UAVSHA_1999">Tags_ols!$F$110</definedName>
    <definedName name="UAVSHA_1Q00" localSheetId="10">Tags!$G$110</definedName>
    <definedName name="UAVSHA_1Q00">Tags_ols!$G$110</definedName>
    <definedName name="UAVSHA_1Q01" localSheetId="10">Tags!$L$110</definedName>
    <definedName name="UAVSHA_1Q01">Tags_ols!$L$110</definedName>
    <definedName name="UAVSHA_1Q02" localSheetId="10">Tags!$Q$110</definedName>
    <definedName name="UAVSHA_1Q02">Tags_ols!$Q$110</definedName>
    <definedName name="UAVSHA_1Q03" localSheetId="10">Tags!$V$110</definedName>
    <definedName name="UAVSHA_1Q03">Tags_ols!$V$110</definedName>
    <definedName name="UAVSHA_1Q04" localSheetId="10">Tags!$AA$110</definedName>
    <definedName name="UAVSHA_1Q04">Tags_ols!$AA$110</definedName>
    <definedName name="UAVSHA_1Q05" localSheetId="10">Tags!$AF$110</definedName>
    <definedName name="UAVSHA_1Q05">Tags_ols!$AF$110</definedName>
    <definedName name="UAVSHA_1Q06" localSheetId="10">Tags!$AK$110</definedName>
    <definedName name="UAVSHA_1Q06" localSheetId="5">#REF!</definedName>
    <definedName name="UAVSHA_1Q06">Tags_ols!$AK$110</definedName>
    <definedName name="UAVSHA_1Q07" localSheetId="10">Tags!$AP$110</definedName>
    <definedName name="UAVSHA_1Q07">Tags_ols!$AP$110</definedName>
    <definedName name="UAVSHA_1Q08" localSheetId="10">Tags!$AU$110</definedName>
    <definedName name="UAVSHA_1Q08">Tags_ols!$AU$110</definedName>
    <definedName name="UAVSHA_1Q09" localSheetId="10">Tags!$AZ$110</definedName>
    <definedName name="UAVSHA_1Q09">Tags_ols!$AZ$110</definedName>
    <definedName name="UAVSHA_1Q10" localSheetId="10">Tags!$BE$110</definedName>
    <definedName name="UAVSHA_1Q10">Tags_ols!$BE$110</definedName>
    <definedName name="UAVSHA_1Q11" localSheetId="10">Tags!$BJ$110</definedName>
    <definedName name="UAVSHA_1Q11">Tags_ols!$BJ$110</definedName>
    <definedName name="UAVSHA_1Q12" localSheetId="10">Tags!$BO$110</definedName>
    <definedName name="UAVSHA_1Q12">Tags_ols!$BO$110</definedName>
    <definedName name="UAVSHA_1Q13" localSheetId="10">Tags!$BT$110</definedName>
    <definedName name="UAVSHA_1Q13">Tags_ols!$BT$110</definedName>
    <definedName name="UAVSHA_1Q14" localSheetId="10">Tags!$BY$110</definedName>
    <definedName name="UAVSHA_1Q14">Tags_ols!$BY$110</definedName>
    <definedName name="UAVSHA_1Q15" localSheetId="10">Tags!$CD$110</definedName>
    <definedName name="UAVSHA_1Q15">Tags_ols!$CD$110</definedName>
    <definedName name="UAVSHA_1Q16" localSheetId="10">Tags!$CI$110</definedName>
    <definedName name="UAVSHA_1Q16">Tags_ols!$CI$110</definedName>
    <definedName name="UAVSHA_1Q17" localSheetId="10">Tags!$CN$110</definedName>
    <definedName name="UAVSHA_1Q17">Tags_ols!$CN$110</definedName>
    <definedName name="UAVSHA_1Q18" localSheetId="10">Tags!$CS$110</definedName>
    <definedName name="UAVSHA_1Q18">Tags_ols!$CS$110</definedName>
    <definedName name="UAVSHA_1Q19" localSheetId="10">Tags!$CX$110</definedName>
    <definedName name="UAVSHA_1Q19">Tags_ols!$CX$110</definedName>
    <definedName name="UAVSHA_1Q20" localSheetId="10">Tags!$DC$110</definedName>
    <definedName name="UAVSHA_1Q20">Tags_ols!$DC$110</definedName>
    <definedName name="UAVSHA_1Q21">Tags!$DH$110</definedName>
    <definedName name="UAVSHA_1Q22">Tags!$DM$110</definedName>
    <definedName name="UAVSHA_1Q23">Tags!$DR$110</definedName>
    <definedName name="UAVSHA_1Q24">Tags!$DW$110</definedName>
    <definedName name="UAVSHA_2000" localSheetId="10">Tags!$K$110</definedName>
    <definedName name="UAVSHA_2000">Tags_ols!$K$110</definedName>
    <definedName name="UAVSHA_2001" localSheetId="10">Tags!$P$110</definedName>
    <definedName name="UAVSHA_2001">Tags_ols!$P$110</definedName>
    <definedName name="UAVSHA_2002" localSheetId="10">Tags!$U$110</definedName>
    <definedName name="UAVSHA_2002">Tags_ols!$U$110</definedName>
    <definedName name="UAVSHA_2003" localSheetId="10">Tags!$Z$110</definedName>
    <definedName name="UAVSHA_2003">Tags_ols!$Z$110</definedName>
    <definedName name="UAVSHA_2004" localSheetId="10">Tags!$AE$110</definedName>
    <definedName name="UAVSHA_2004" localSheetId="5">#REF!</definedName>
    <definedName name="UAVSHA_2004">Tags_ols!$AE$110</definedName>
    <definedName name="UAVSHA_2005" localSheetId="10">Tags!$AJ$110</definedName>
    <definedName name="UAVSHA_2005" localSheetId="5">#REF!</definedName>
    <definedName name="UAVSHA_2005">Tags_ols!$AJ$110</definedName>
    <definedName name="UAVSHA_2006" localSheetId="10">Tags!$AO$110</definedName>
    <definedName name="UAVSHA_2006">Tags_ols!$AO$110</definedName>
    <definedName name="UAVSHA_2007" localSheetId="10">Tags!$AT$110</definedName>
    <definedName name="UAVSHA_2007">Tags_ols!$AT$110</definedName>
    <definedName name="UAVSHA_2008" localSheetId="10">Tags!$AY$110</definedName>
    <definedName name="UAVSHA_2008">Tags_ols!$AY$110</definedName>
    <definedName name="UAVSHA_2009" localSheetId="10">Tags!$BD$110</definedName>
    <definedName name="UAVSHA_2009">Tags_ols!$BD$110</definedName>
    <definedName name="UAVSHA_2010" localSheetId="10">Tags!$BI$110</definedName>
    <definedName name="UAVSHA_2010">Tags_ols!$BI$110</definedName>
    <definedName name="UAVSHA_2011" localSheetId="10">Tags!$BN$110</definedName>
    <definedName name="UAVSHA_2011">Tags_ols!$BN$110</definedName>
    <definedName name="UAVSHA_2012" localSheetId="10">Tags!$BS$110</definedName>
    <definedName name="UAVSHA_2012">Tags_ols!$BS$110</definedName>
    <definedName name="UAVSHA_2013" localSheetId="10">Tags!$BX$110</definedName>
    <definedName name="UAVSHA_2013">Tags_ols!$BX$110</definedName>
    <definedName name="UAVSHA_2014" localSheetId="10">Tags!$CC$110</definedName>
    <definedName name="UAVSHA_2014">Tags_ols!$CC$110</definedName>
    <definedName name="UAVSHA_2015" localSheetId="10">Tags!#REF!</definedName>
    <definedName name="UAVSHA_2015">Tags!$CH$110</definedName>
    <definedName name="UAVSHA_2016" localSheetId="10">Tags!$CM$110</definedName>
    <definedName name="UAVSHA_2016">Tags_ols!$CM$110</definedName>
    <definedName name="UAVSHA_2017" localSheetId="10">Tags!$CR$110</definedName>
    <definedName name="UAVSHA_2017">Tags_ols!$CR$110</definedName>
    <definedName name="UAVSHA_2018" localSheetId="10">Tags!$CW$110</definedName>
    <definedName name="UAVSHA_2018">Tags_ols!$CW$110</definedName>
    <definedName name="UAVSHA_2019" localSheetId="10">Tags!$DB$110</definedName>
    <definedName name="UAVSHA_2019">Tags_ols!$DB$110</definedName>
    <definedName name="UAVSHA_2020" localSheetId="10">Tags!$DG$110</definedName>
    <definedName name="UAVSHA_2020">Tags_ols!$DG$110</definedName>
    <definedName name="UAVSHA_2021">Tags!$DL$110</definedName>
    <definedName name="UAVSHA_2022">Tags!$DQ$110</definedName>
    <definedName name="UAVSHA_2023">Tags!$DV$110</definedName>
    <definedName name="UAVSHA_2024">Tags!$EA$110</definedName>
    <definedName name="UAVSHA_2Q00" localSheetId="10">Tags!$H$110</definedName>
    <definedName name="UAVSHA_2Q00">Tags_ols!$H$110</definedName>
    <definedName name="UAVSHA_2Q01" localSheetId="10">Tags!$M$110</definedName>
    <definedName name="UAVSHA_2Q01">Tags_ols!$M$110</definedName>
    <definedName name="UAVSHA_2Q02" localSheetId="10">Tags!$R$110</definedName>
    <definedName name="UAVSHA_2Q02">Tags_ols!$R$110</definedName>
    <definedName name="UAVSHA_2Q03" localSheetId="10">Tags!$W$110</definedName>
    <definedName name="UAVSHA_2Q03">Tags_ols!$W$110</definedName>
    <definedName name="UAVSHA_2Q04" localSheetId="10">Tags!$AB$110</definedName>
    <definedName name="UAVSHA_2Q04">Tags_ols!$AB$110</definedName>
    <definedName name="UAVSHA_2Q05" localSheetId="10">Tags!$AG$110</definedName>
    <definedName name="UAVSHA_2Q05">Tags_ols!$AG$110</definedName>
    <definedName name="UAVSHA_2Q06" localSheetId="10">Tags!$AL$110</definedName>
    <definedName name="UAVSHA_2Q06" localSheetId="5">#REF!</definedName>
    <definedName name="UAVSHA_2Q06">Tags_ols!$AL$110</definedName>
    <definedName name="UAVSHA_2Q07" localSheetId="10">Tags!$AQ$110</definedName>
    <definedName name="UAVSHA_2Q07">Tags_ols!$AQ$110</definedName>
    <definedName name="UAVSHA_2Q08" localSheetId="10">Tags!$AV$110</definedName>
    <definedName name="UAVSHA_2Q08">Tags_ols!$AV$110</definedName>
    <definedName name="UAVSHA_2Q09" localSheetId="10">Tags!$BA$110</definedName>
    <definedName name="UAVSHA_2Q09">Tags_ols!$BA$110</definedName>
    <definedName name="UAVSHA_2Q10" localSheetId="10">Tags!$BF$110</definedName>
    <definedName name="UAVSHA_2Q10">Tags_ols!$BF$110</definedName>
    <definedName name="UAVSHA_2Q11" localSheetId="10">Tags!$BK$110</definedName>
    <definedName name="UAVSHA_2Q11">Tags_ols!$BK$110</definedName>
    <definedName name="UAVSHA_2Q12" localSheetId="10">Tags!$BP$110</definedName>
    <definedName name="UAVSHA_2Q12">Tags_ols!$BP$110</definedName>
    <definedName name="UAVSHA_2Q13" localSheetId="10">Tags!$BU$110</definedName>
    <definedName name="UAVSHA_2Q13">Tags_ols!$BU$110</definedName>
    <definedName name="UAVSHA_2Q14" localSheetId="10">Tags!$BZ$110</definedName>
    <definedName name="UAVSHA_2Q14">Tags_ols!$BZ$110</definedName>
    <definedName name="UAVSHA_2Q15" localSheetId="10">Tags!$CE$110</definedName>
    <definedName name="UAVSHA_2Q15">Tags_ols!$CE$110</definedName>
    <definedName name="UAVSHA_2Q16" localSheetId="10">Tags!$CJ$110</definedName>
    <definedName name="UAVSHA_2Q16">Tags_ols!$CJ$110</definedName>
    <definedName name="UAVSHA_2Q17" localSheetId="10">Tags!$CO$110</definedName>
    <definedName name="UAVSHA_2Q17">Tags_ols!$CO$110</definedName>
    <definedName name="UAVSHA_2Q18" localSheetId="10">Tags!$CT$110</definedName>
    <definedName name="UAVSHA_2Q18">Tags_ols!$CT$110</definedName>
    <definedName name="UAVSHA_2Q19" localSheetId="10">Tags!$CY$110</definedName>
    <definedName name="UAVSHA_2Q19">Tags_ols!$CY$110</definedName>
    <definedName name="UAVSHA_2Q20" localSheetId="10">Tags!$DD$110</definedName>
    <definedName name="UAVSHA_2Q20">Tags_ols!$DD$110</definedName>
    <definedName name="UAVSHA_2Q21">Tags!$DI$110</definedName>
    <definedName name="UAVSHA_2Q22">Tags!$DN$110</definedName>
    <definedName name="UAVSHA_2Q23">Tags!$DS$110</definedName>
    <definedName name="UAVSHA_2Q24">Tags!$DX$110</definedName>
    <definedName name="UAVSHA_3Q00" localSheetId="10">Tags!$I$110</definedName>
    <definedName name="UAVSHA_3Q00">Tags_ols!$I$110</definedName>
    <definedName name="UAVSHA_3Q01" localSheetId="10">Tags!$N$110</definedName>
    <definedName name="UAVSHA_3Q01">Tags_ols!$N$110</definedName>
    <definedName name="UAVSHA_3Q02" localSheetId="10">Tags!$S$110</definedName>
    <definedName name="UAVSHA_3Q02">Tags_ols!$S$110</definedName>
    <definedName name="UAVSHA_3Q03" localSheetId="10">Tags!$X$110</definedName>
    <definedName name="UAVSHA_3Q03">Tags_ols!$X$110</definedName>
    <definedName name="UAVSHA_3Q04" localSheetId="10">Tags!$AC$110</definedName>
    <definedName name="UAVSHA_3Q04">Tags_ols!$AC$110</definedName>
    <definedName name="UAVSHA_3Q05" localSheetId="10">Tags!$AH$110</definedName>
    <definedName name="UAVSHA_3Q05">Tags_ols!$AH$110</definedName>
    <definedName name="UAVSHA_3Q06" localSheetId="10">Tags!$AM$110</definedName>
    <definedName name="UAVSHA_3Q06" localSheetId="5">#REF!</definedName>
    <definedName name="UAVSHA_3Q06">Tags_ols!$AM$110</definedName>
    <definedName name="UAVSHA_3Q07" localSheetId="10">Tags!$AR$110</definedName>
    <definedName name="UAVSHA_3Q07">Tags_ols!$AR$110</definedName>
    <definedName name="UAVSHA_3Q08" localSheetId="10">Tags!$AW$110</definedName>
    <definedName name="UAVSHA_3Q08">Tags_ols!$AW$110</definedName>
    <definedName name="UAVSHA_3Q09" localSheetId="10">Tags!$BB$110</definedName>
    <definedName name="UAVSHA_3Q09">Tags_ols!$BB$110</definedName>
    <definedName name="UAVSHA_3Q10" localSheetId="10">Tags!$BG$110</definedName>
    <definedName name="UAVSHA_3Q10">Tags_ols!$BG$110</definedName>
    <definedName name="UAVSHA_3Q11" localSheetId="10">Tags!$BL$110</definedName>
    <definedName name="UAVSHA_3Q11">Tags_ols!$BL$110</definedName>
    <definedName name="UAVSHA_3Q12" localSheetId="10">Tags!$BQ$110</definedName>
    <definedName name="UAVSHA_3Q12">Tags_ols!$BQ$110</definedName>
    <definedName name="UAVSHA_3Q13" localSheetId="10">Tags!$BV$110</definedName>
    <definedName name="UAVSHA_3Q13">Tags_ols!$BV$110</definedName>
    <definedName name="UAVSHA_3Q14" localSheetId="10">Tags!$CA$110</definedName>
    <definedName name="UAVSHA_3Q14">Tags_ols!$CA$110</definedName>
    <definedName name="UAVSHA_3Q15" localSheetId="10">Tags!$CF$110</definedName>
    <definedName name="UAVSHA_3Q15">Tags_ols!$CF$110</definedName>
    <definedName name="UAVSHA_3Q16" localSheetId="10">Tags!$CK$110</definedName>
    <definedName name="UAVSHA_3Q16">Tags_ols!$CK$110</definedName>
    <definedName name="UAVSHA_3Q17" localSheetId="10">Tags!$CP$110</definedName>
    <definedName name="UAVSHA_3Q17">Tags_ols!$CP$110</definedName>
    <definedName name="UAVSHA_3Q18" localSheetId="10">Tags!$CU$110</definedName>
    <definedName name="UAVSHA_3Q18">Tags_ols!$CU$110</definedName>
    <definedName name="UAVSHA_3Q19" localSheetId="10">Tags!$CZ$110</definedName>
    <definedName name="UAVSHA_3Q19">Tags_ols!$CZ$110</definedName>
    <definedName name="UAVSHA_3Q20" localSheetId="10">Tags!$DE$110</definedName>
    <definedName name="UAVSHA_3Q20">Tags_ols!$DE$110</definedName>
    <definedName name="UAVSHA_3Q21">Tags!$DJ$110</definedName>
    <definedName name="UAVSHA_3Q22">Tags!$DO$110</definedName>
    <definedName name="UAVSHA_3Q23">Tags!$DT$110</definedName>
    <definedName name="UAVSHA_3Q24">Tags!$DY$110</definedName>
    <definedName name="UAVSHA_4Q00" localSheetId="10">Tags!$J$110</definedName>
    <definedName name="UAVSHA_4Q00">Tags_ols!$J$110</definedName>
    <definedName name="UAVSHA_4Q01" localSheetId="10">Tags!$O$110</definedName>
    <definedName name="UAVSHA_4Q01">Tags_ols!$O$110</definedName>
    <definedName name="UAVSHA_4Q02" localSheetId="10">Tags!$T$110</definedName>
    <definedName name="UAVSHA_4Q02">Tags_ols!$T$110</definedName>
    <definedName name="UAVSHA_4Q03" localSheetId="10">Tags!$Y$110</definedName>
    <definedName name="UAVSHA_4Q03">Tags_ols!$Y$110</definedName>
    <definedName name="UAVSHA_4Q04" localSheetId="10">Tags!$AD$110</definedName>
    <definedName name="UAVSHA_4Q04">Tags_ols!$AD$110</definedName>
    <definedName name="UAVSHA_4Q05" localSheetId="10">Tags!$AI$110</definedName>
    <definedName name="UAVSHA_4Q05">Tags_ols!$AI$110</definedName>
    <definedName name="UAVSHA_4Q06" localSheetId="10">Tags!$AN$110</definedName>
    <definedName name="UAVSHA_4Q06" localSheetId="5">#REF!</definedName>
    <definedName name="UAVSHA_4Q06">Tags_ols!$AN$110</definedName>
    <definedName name="UAVSHA_4Q07" localSheetId="10">Tags!$AS$110</definedName>
    <definedName name="UAVSHA_4Q07">Tags_ols!$AS$110</definedName>
    <definedName name="UAVSHA_4Q08" localSheetId="10">Tags!$AX$110</definedName>
    <definedName name="UAVSHA_4Q08">Tags_ols!$AX$110</definedName>
    <definedName name="UAVSHA_4Q09" localSheetId="10">Tags!$BC$110</definedName>
    <definedName name="UAVSHA_4Q09">Tags_ols!$BC$110</definedName>
    <definedName name="UAVSHA_4Q10" localSheetId="10">Tags!$BH$110</definedName>
    <definedName name="UAVSHA_4Q10">Tags_ols!$BH$110</definedName>
    <definedName name="UAVSHA_4Q11" localSheetId="10">Tags!$BM$110</definedName>
    <definedName name="UAVSHA_4Q11">Tags_ols!$BM$110</definedName>
    <definedName name="UAVSHA_4Q12" localSheetId="10">Tags!$BR$110</definedName>
    <definedName name="UAVSHA_4Q12">Tags_ols!$BR$110</definedName>
    <definedName name="UAVSHA_4Q13" localSheetId="10">Tags!$BW$110</definedName>
    <definedName name="UAVSHA_4Q13">Tags_ols!$BW$110</definedName>
    <definedName name="UAVSHA_4Q14" localSheetId="10">Tags!$CB$110</definedName>
    <definedName name="UAVSHA_4Q14">Tags_ols!$CB$110</definedName>
    <definedName name="UAVSHA_4Q15" localSheetId="10">Tags!$CG$110</definedName>
    <definedName name="UAVSHA_4Q15">Tags_ols!$CG$110</definedName>
    <definedName name="UAVSHA_4Q16" localSheetId="10">Tags!$CL$110</definedName>
    <definedName name="UAVSHA_4Q16">Tags_ols!$CL$110</definedName>
    <definedName name="UAVSHA_4Q17" localSheetId="10">Tags!$CQ$110</definedName>
    <definedName name="UAVSHA_4Q17">Tags_ols!$CQ$110</definedName>
    <definedName name="UAVSHA_4Q18" localSheetId="10">Tags!$CV$110</definedName>
    <definedName name="UAVSHA_4Q18">Tags_ols!$CV$110</definedName>
    <definedName name="UAVSHA_4Q19" localSheetId="10">Tags!$DA$110</definedName>
    <definedName name="UAVSHA_4Q19">Tags_ols!$DA$110</definedName>
    <definedName name="UAVSHA_4Q20" localSheetId="10">Tags!$DF$110</definedName>
    <definedName name="UAVSHA_4Q20">Tags_ols!$DF$110</definedName>
    <definedName name="UAVSHA_4Q21">Tags!$DK$110</definedName>
    <definedName name="UAVSHA_4Q22">Tags!$DP$110</definedName>
    <definedName name="UAVSHA_4Q23">Tags!$DU$110</definedName>
    <definedName name="UAVSHA_4Q24">Tags!$DZ$110</definedName>
    <definedName name="UBSHAR_1995">Tags_ols!$B$109</definedName>
    <definedName name="UBSHAR_1996">Tags_ols!$C$109</definedName>
    <definedName name="UBSHAR_1997">Tags_ols!$D$109</definedName>
    <definedName name="UBSHAR_1998">Tags_ols!$E$109</definedName>
    <definedName name="UBSHAR_1999">Tags_ols!$F$109</definedName>
    <definedName name="UBSHAR_1Q00" localSheetId="10">Tags!$G$109</definedName>
    <definedName name="UBSHAR_1Q00">Tags_ols!$G$109</definedName>
    <definedName name="UBSHAR_1Q01" localSheetId="10">Tags!$L$109</definedName>
    <definedName name="UBSHAR_1Q01">Tags_ols!$L$109</definedName>
    <definedName name="UBSHAR_1Q02" localSheetId="10">Tags!$Q$109</definedName>
    <definedName name="UBSHAR_1Q02">Tags_ols!$Q$109</definedName>
    <definedName name="UBSHAR_1Q03" localSheetId="10">Tags!$V$109</definedName>
    <definedName name="UBSHAR_1Q03">Tags_ols!$V$109</definedName>
    <definedName name="UBSHAR_1Q04" localSheetId="10">Tags!$AA$109</definedName>
    <definedName name="UBSHAR_1Q04">Tags_ols!$AA$109</definedName>
    <definedName name="UBSHAR_1Q05" localSheetId="10">Tags!$AF$109</definedName>
    <definedName name="UBSHAR_1Q05">Tags_ols!$AF$109</definedName>
    <definedName name="UBSHAR_1Q06" localSheetId="10">Tags!$AK$109</definedName>
    <definedName name="UBSHAR_1Q06" localSheetId="5">#REF!</definedName>
    <definedName name="UBSHAR_1Q06">Tags_ols!$AK$109</definedName>
    <definedName name="UBSHAR_1Q07" localSheetId="10">Tags!$AP$109</definedName>
    <definedName name="UBSHAR_1Q07">Tags_ols!$AP$109</definedName>
    <definedName name="UBSHAR_1Q08" localSheetId="10">Tags!$AU$109</definedName>
    <definedName name="UBSHAR_1Q08">Tags_ols!$AU$109</definedName>
    <definedName name="UBSHAR_1Q09" localSheetId="10">Tags!$AZ$109</definedName>
    <definedName name="UBSHAR_1Q09">Tags_ols!$AZ$109</definedName>
    <definedName name="UBSHAR_1Q10" localSheetId="10">Tags!$BE$109</definedName>
    <definedName name="UBSHAR_1Q10">Tags_ols!$BE$109</definedName>
    <definedName name="UBSHAR_1Q11" localSheetId="10">Tags!$BJ$109</definedName>
    <definedName name="UBSHAR_1Q11">Tags_ols!$BJ$109</definedName>
    <definedName name="UBSHAR_1Q12" localSheetId="10">Tags!$BO$109</definedName>
    <definedName name="UBSHAR_1Q12">Tags_ols!$BO$109</definedName>
    <definedName name="UBSHAR_1Q13" localSheetId="10">Tags!$BT$109</definedName>
    <definedName name="UBSHAR_1Q13">Tags_ols!$BT$109</definedName>
    <definedName name="UBSHAR_1Q14" localSheetId="10">Tags!$BY$109</definedName>
    <definedName name="UBSHAR_1Q14">Tags_ols!$BY$109</definedName>
    <definedName name="UBSHAR_1Q15" localSheetId="10">Tags!$CD$109</definedName>
    <definedName name="UBSHAR_1Q15">Tags_ols!$CD$109</definedName>
    <definedName name="UBSHAR_1Q16" localSheetId="10">Tags!$CI$109</definedName>
    <definedName name="UBSHAR_1Q16">Tags_ols!$CI$109</definedName>
    <definedName name="UBSHAR_1Q17" localSheetId="10">Tags!$CN$109</definedName>
    <definedName name="UBSHAR_1Q17">Tags_ols!$CN$109</definedName>
    <definedName name="UBSHAR_1Q18" localSheetId="10">Tags!$CS$109</definedName>
    <definedName name="UBSHAR_1Q18">Tags_ols!$CS$109</definedName>
    <definedName name="UBSHAR_1Q19" localSheetId="10">Tags!$CX$109</definedName>
    <definedName name="UBSHAR_1Q19">Tags_ols!$CX$109</definedName>
    <definedName name="UBSHAR_1Q20" localSheetId="10">Tags!$DC$109</definedName>
    <definedName name="UBSHAR_1Q20">Tags_ols!$DC$109</definedName>
    <definedName name="UBSHAR_1Q21">Tags!$DH$109</definedName>
    <definedName name="UBSHAR_1Q22">Tags!$DM$109</definedName>
    <definedName name="UBSHAR_1Q23">Tags!$DR$109</definedName>
    <definedName name="UBSHAR_1Q24">Tags!$DW$109</definedName>
    <definedName name="UBSHAR_2000" localSheetId="10">Tags!$K$109</definedName>
    <definedName name="UBSHAR_2000">Tags_ols!$K$109</definedName>
    <definedName name="UBSHAR_2001" localSheetId="10">Tags!$P$109</definedName>
    <definedName name="UBSHAR_2001">Tags_ols!$P$109</definedName>
    <definedName name="UBSHAR_2002" localSheetId="10">Tags!$U$109</definedName>
    <definedName name="UBSHAR_2002">Tags_ols!$U$109</definedName>
    <definedName name="UBSHAR_2003" localSheetId="10">Tags!$Z$109</definedName>
    <definedName name="UBSHAR_2003">Tags_ols!$Z$109</definedName>
    <definedName name="UBSHAR_2004" localSheetId="10">Tags!$AE$109</definedName>
    <definedName name="UBSHAR_2004" localSheetId="5">#REF!</definedName>
    <definedName name="UBSHAR_2004">Tags_ols!$AE$109</definedName>
    <definedName name="UBSHAR_2005" localSheetId="10">Tags!$AJ$109</definedName>
    <definedName name="UBSHAR_2005" localSheetId="5">#REF!</definedName>
    <definedName name="UBSHAR_2005">Tags_ols!$AJ$109</definedName>
    <definedName name="UBSHAR_2006" localSheetId="10">Tags!$AO$109</definedName>
    <definedName name="UBSHAR_2006">Tags_ols!$AO$109</definedName>
    <definedName name="UBSHAR_2007" localSheetId="10">Tags!$AT$109</definedName>
    <definedName name="UBSHAR_2007">Tags_ols!$AT$109</definedName>
    <definedName name="UBSHAR_2008" localSheetId="10">Tags!$AY$109</definedName>
    <definedName name="UBSHAR_2008">Tags_ols!$AY$109</definedName>
    <definedName name="UBSHAR_2009" localSheetId="10">Tags!$BD$109</definedName>
    <definedName name="UBSHAR_2009">Tags_ols!$BD$109</definedName>
    <definedName name="UBSHAR_2010" localSheetId="10">Tags!$BI$109</definedName>
    <definedName name="UBSHAR_2010">Tags_ols!$BI$109</definedName>
    <definedName name="UBSHAR_2011" localSheetId="10">Tags!$BN$109</definedName>
    <definedName name="UBSHAR_2011">Tags_ols!$BN$109</definedName>
    <definedName name="UBSHAR_2012" localSheetId="10">Tags!$BS$109</definedName>
    <definedName name="UBSHAR_2012">Tags_ols!$BS$109</definedName>
    <definedName name="UBSHAR_2013" localSheetId="10">Tags!$BX$109</definedName>
    <definedName name="UBSHAR_2013">Tags_ols!$BX$109</definedName>
    <definedName name="UBSHAR_2014" localSheetId="10">Tags!$CC$109</definedName>
    <definedName name="UBSHAR_2014">Tags_ols!$CC$109</definedName>
    <definedName name="UBSHAR_2015" localSheetId="10">Tags!#REF!</definedName>
    <definedName name="UBSHAR_2015">Tags!$CH$109</definedName>
    <definedName name="UBSHAR_2016" localSheetId="10">Tags!$CM$109</definedName>
    <definedName name="UBSHAR_2016">Tags_ols!$CM$109</definedName>
    <definedName name="UBSHAR_2017" localSheetId="10">Tags!$CR$109</definedName>
    <definedName name="UBSHAR_2017">Tags_ols!$CR$109</definedName>
    <definedName name="UBSHAR_2018" localSheetId="10">Tags!$CW$109</definedName>
    <definedName name="UBSHAR_2018">Tags_ols!$CW$109</definedName>
    <definedName name="UBSHAR_2019" localSheetId="10">Tags!$DB$109</definedName>
    <definedName name="UBSHAR_2019">Tags_ols!$DB$109</definedName>
    <definedName name="UBSHAR_2020" localSheetId="10">Tags!$DG$109</definedName>
    <definedName name="UBSHAR_2020">Tags_ols!$DG$109</definedName>
    <definedName name="UBSHAR_2021">Tags!$DL$109</definedName>
    <definedName name="UBSHAR_2022">Tags!$DQ$109</definedName>
    <definedName name="UBSHAR_2023">Tags!$DV$109</definedName>
    <definedName name="UBSHAR_2024">Tags!$EA$109</definedName>
    <definedName name="UBSHAR_2Q00" localSheetId="10">Tags!$H$109</definedName>
    <definedName name="UBSHAR_2Q00">Tags_ols!$H$109</definedName>
    <definedName name="UBSHAR_2Q01" localSheetId="10">Tags!$M$109</definedName>
    <definedName name="UBSHAR_2Q01">Tags_ols!$M$109</definedName>
    <definedName name="UBSHAR_2Q02" localSheetId="10">Tags!$R$109</definedName>
    <definedName name="UBSHAR_2Q02">Tags_ols!$R$109</definedName>
    <definedName name="UBSHAR_2Q03" localSheetId="10">Tags!$W$109</definedName>
    <definedName name="UBSHAR_2Q03">Tags_ols!$W$109</definedName>
    <definedName name="UBSHAR_2Q04" localSheetId="10">Tags!$AB$109</definedName>
    <definedName name="UBSHAR_2Q04">Tags_ols!$AB$109</definedName>
    <definedName name="UBSHAR_2Q05" localSheetId="10">Tags!$AG$109</definedName>
    <definedName name="UBSHAR_2Q05">Tags_ols!$AG$109</definedName>
    <definedName name="UBSHAR_2Q06" localSheetId="10">Tags!$AL$109</definedName>
    <definedName name="UBSHAR_2Q06" localSheetId="5">#REF!</definedName>
    <definedName name="UBSHAR_2Q06">Tags_ols!$AL$109</definedName>
    <definedName name="UBSHAR_2Q07" localSheetId="10">Tags!$AQ$109</definedName>
    <definedName name="UBSHAR_2Q07">Tags_ols!$AQ$109</definedName>
    <definedName name="UBSHAR_2Q08" localSheetId="10">Tags!$AV$109</definedName>
    <definedName name="UBSHAR_2Q08">Tags_ols!$AV$109</definedName>
    <definedName name="UBSHAR_2Q09" localSheetId="10">Tags!$BA$109</definedName>
    <definedName name="UBSHAR_2Q09">Tags_ols!$BA$109</definedName>
    <definedName name="UBSHAR_2Q10" localSheetId="10">Tags!$BF$109</definedName>
    <definedName name="UBSHAR_2Q10">Tags_ols!$BF$109</definedName>
    <definedName name="UBSHAR_2Q11" localSheetId="10">Tags!$BK$109</definedName>
    <definedName name="UBSHAR_2Q11">Tags_ols!$BK$109</definedName>
    <definedName name="UBSHAR_2Q12" localSheetId="10">Tags!$BP$109</definedName>
    <definedName name="UBSHAR_2Q12">Tags_ols!$BP$109</definedName>
    <definedName name="UBSHAR_2Q13" localSheetId="10">Tags!$BU$109</definedName>
    <definedName name="UBSHAR_2Q13">Tags_ols!$BU$109</definedName>
    <definedName name="UBSHAR_2Q14" localSheetId="10">Tags!$BZ$109</definedName>
    <definedName name="UBSHAR_2Q14">Tags_ols!$BZ$109</definedName>
    <definedName name="UBSHAR_2Q15" localSheetId="10">Tags!$CE$109</definedName>
    <definedName name="UBSHAR_2Q15">Tags_ols!$CE$109</definedName>
    <definedName name="UBSHAR_2Q16" localSheetId="10">Tags!$CJ$109</definedName>
    <definedName name="UBSHAR_2Q16">Tags_ols!$CJ$109</definedName>
    <definedName name="UBSHAR_2Q17" localSheetId="10">Tags!$CO$109</definedName>
    <definedName name="UBSHAR_2Q17">Tags_ols!$CO$109</definedName>
    <definedName name="UBSHAR_2Q18" localSheetId="10">Tags!$CT$109</definedName>
    <definedName name="UBSHAR_2Q18">Tags_ols!$CT$109</definedName>
    <definedName name="UBSHAR_2Q19" localSheetId="10">Tags!$CY$109</definedName>
    <definedName name="UBSHAR_2Q19">Tags_ols!$CY$109</definedName>
    <definedName name="UBSHAR_2Q20" localSheetId="10">Tags!$DD$109</definedName>
    <definedName name="UBSHAR_2Q20">Tags_ols!$DD$109</definedName>
    <definedName name="UBSHAR_2Q21">Tags!$DI$109</definedName>
    <definedName name="UBSHAR_2Q22">Tags!$DN$109</definedName>
    <definedName name="UBSHAR_2Q23">Tags!$DS$109</definedName>
    <definedName name="UBSHAR_2Q24">Tags!$DX$109</definedName>
    <definedName name="UBSHAR_3Q00" localSheetId="10">Tags!$I$109</definedName>
    <definedName name="UBSHAR_3Q00">Tags_ols!$I$109</definedName>
    <definedName name="UBSHAR_3Q01" localSheetId="10">Tags!$N$109</definedName>
    <definedName name="UBSHAR_3Q01">Tags_ols!$N$109</definedName>
    <definedName name="UBSHAR_3Q02" localSheetId="10">Tags!$S$109</definedName>
    <definedName name="UBSHAR_3Q02">Tags_ols!$S$109</definedName>
    <definedName name="UBSHAR_3Q03" localSheetId="10">Tags!$X$109</definedName>
    <definedName name="UBSHAR_3Q03">Tags_ols!$X$109</definedName>
    <definedName name="UBSHAR_3Q04" localSheetId="10">Tags!$AC$109</definedName>
    <definedName name="UBSHAR_3Q04">Tags_ols!$AC$109</definedName>
    <definedName name="UBSHAR_3Q05" localSheetId="10">Tags!$AH$109</definedName>
    <definedName name="UBSHAR_3Q05">Tags_ols!$AH$109</definedName>
    <definedName name="UBSHAR_3Q06" localSheetId="10">Tags!$AM$109</definedName>
    <definedName name="UBSHAR_3Q06" localSheetId="5">#REF!</definedName>
    <definedName name="UBSHAR_3Q06">Tags_ols!$AM$109</definedName>
    <definedName name="UBSHAR_3Q07" localSheetId="10">Tags!$AR$109</definedName>
    <definedName name="UBSHAR_3Q07">Tags_ols!$AR$109</definedName>
    <definedName name="UBSHAR_3Q08" localSheetId="10">Tags!$AW$109</definedName>
    <definedName name="UBSHAR_3Q08">Tags_ols!$AW$109</definedName>
    <definedName name="UBSHAR_3Q09" localSheetId="10">Tags!$BB$109</definedName>
    <definedName name="UBSHAR_3Q09">Tags_ols!$BB$109</definedName>
    <definedName name="UBSHAR_3Q10" localSheetId="10">Tags!$BG$109</definedName>
    <definedName name="UBSHAR_3Q10">Tags_ols!$BG$109</definedName>
    <definedName name="UBSHAR_3Q11" localSheetId="10">Tags!$BL$109</definedName>
    <definedName name="UBSHAR_3Q11">Tags_ols!$BL$109</definedName>
    <definedName name="UBSHAR_3Q12" localSheetId="10">Tags!$BQ$109</definedName>
    <definedName name="UBSHAR_3Q12">Tags_ols!$BQ$109</definedName>
    <definedName name="UBSHAR_3Q13" localSheetId="10">Tags!$BV$109</definedName>
    <definedName name="UBSHAR_3Q13">Tags_ols!$BV$109</definedName>
    <definedName name="UBSHAR_3Q14" localSheetId="10">Tags!$CA$109</definedName>
    <definedName name="UBSHAR_3Q14">Tags_ols!$CA$109</definedName>
    <definedName name="UBSHAR_3Q15" localSheetId="10">Tags!$CF$109</definedName>
    <definedName name="UBSHAR_3Q15">Tags_ols!$CF$109</definedName>
    <definedName name="UBSHAR_3Q16" localSheetId="10">Tags!$CK$109</definedName>
    <definedName name="UBSHAR_3Q16">Tags_ols!$CK$109</definedName>
    <definedName name="UBSHAR_3Q17" localSheetId="10">Tags!$CP$109</definedName>
    <definedName name="UBSHAR_3Q17">Tags_ols!$CP$109</definedName>
    <definedName name="UBSHAR_3Q18" localSheetId="10">Tags!$CU$109</definedName>
    <definedName name="UBSHAR_3Q18">Tags_ols!$CU$109</definedName>
    <definedName name="UBSHAR_3Q19" localSheetId="10">Tags!$CZ$109</definedName>
    <definedName name="UBSHAR_3Q19">Tags_ols!$CZ$109</definedName>
    <definedName name="UBSHAR_3Q20" localSheetId="10">Tags!$DE$109</definedName>
    <definedName name="UBSHAR_3Q20">Tags_ols!$DE$109</definedName>
    <definedName name="UBSHAR_3Q21">Tags!$DJ$109</definedName>
    <definedName name="UBSHAR_3Q22">Tags!$DO$109</definedName>
    <definedName name="UBSHAR_3Q23">Tags!$DT$109</definedName>
    <definedName name="UBSHAR_3Q24">Tags!$DY$109</definedName>
    <definedName name="UBSHAR_4Q00" localSheetId="10">Tags!$J$109</definedName>
    <definedName name="UBSHAR_4Q00">Tags_ols!$J$109</definedName>
    <definedName name="UBSHAR_4Q01" localSheetId="10">Tags!$O$109</definedName>
    <definedName name="UBSHAR_4Q01">Tags_ols!$O$109</definedName>
    <definedName name="UBSHAR_4Q02" localSheetId="10">Tags!$T$109</definedName>
    <definedName name="UBSHAR_4Q02">Tags_ols!$T$109</definedName>
    <definedName name="UBSHAR_4Q03" localSheetId="10">Tags!$Y$109</definedName>
    <definedName name="UBSHAR_4Q03">Tags_ols!$Y$109</definedName>
    <definedName name="UBSHAR_4Q04" localSheetId="10">Tags!$AD$109</definedName>
    <definedName name="UBSHAR_4Q04">Tags_ols!$AD$109</definedName>
    <definedName name="UBSHAR_4Q05" localSheetId="10">Tags!$AI$109</definedName>
    <definedName name="UBSHAR_4Q05">Tags_ols!$AI$109</definedName>
    <definedName name="UBSHAR_4Q06" localSheetId="10">Tags!$AN$109</definedName>
    <definedName name="UBSHAR_4Q06" localSheetId="5">#REF!</definedName>
    <definedName name="UBSHAR_4Q06">Tags_ols!$AN$109</definedName>
    <definedName name="UBSHAR_4Q07" localSheetId="10">Tags!$AS$109</definedName>
    <definedName name="UBSHAR_4Q07">Tags_ols!$AS$109</definedName>
    <definedName name="UBSHAR_4Q08" localSheetId="10">Tags!$AX$109</definedName>
    <definedName name="UBSHAR_4Q08">Tags_ols!$AX$109</definedName>
    <definedName name="UBSHAR_4Q09" localSheetId="10">Tags!$BC$109</definedName>
    <definedName name="UBSHAR_4Q09">Tags_ols!$BC$109</definedName>
    <definedName name="UBSHAR_4Q10" localSheetId="10">Tags!$BH$109</definedName>
    <definedName name="UBSHAR_4Q10">Tags_ols!$BH$109</definedName>
    <definedName name="UBSHAR_4Q11" localSheetId="10">Tags!$BM$109</definedName>
    <definedName name="UBSHAR_4Q11">Tags_ols!$BM$109</definedName>
    <definedName name="UBSHAR_4Q12" localSheetId="10">Tags!$BR$109</definedName>
    <definedName name="UBSHAR_4Q12">Tags_ols!$BR$109</definedName>
    <definedName name="UBSHAR_4Q13" localSheetId="10">Tags!$BW$109</definedName>
    <definedName name="UBSHAR_4Q13">Tags_ols!$BW$109</definedName>
    <definedName name="UBSHAR_4Q14" localSheetId="10">Tags!$CB$109</definedName>
    <definedName name="UBSHAR_4Q14">Tags_ols!$CB$109</definedName>
    <definedName name="UBSHAR_4Q15" localSheetId="10">Tags!$CG$109</definedName>
    <definedName name="UBSHAR_4Q15">Tags_ols!$CG$109</definedName>
    <definedName name="UBSHAR_4Q16" localSheetId="10">Tags!$CL$109</definedName>
    <definedName name="UBSHAR_4Q16">Tags_ols!$CL$109</definedName>
    <definedName name="UBSHAR_4Q17" localSheetId="10">Tags!$CQ$109</definedName>
    <definedName name="UBSHAR_4Q17">Tags_ols!$CQ$109</definedName>
    <definedName name="UBSHAR_4Q18" localSheetId="10">Tags!$CV$109</definedName>
    <definedName name="UBSHAR_4Q18">Tags_ols!$CV$109</definedName>
    <definedName name="UBSHAR_4Q19" localSheetId="10">Tags!$DA$109</definedName>
    <definedName name="UBSHAR_4Q19">Tags_ols!$DA$109</definedName>
    <definedName name="UBSHAR_4Q20" localSheetId="10">Tags!$DF$109</definedName>
    <definedName name="UBSHAR_4Q20">Tags_ols!$DF$109</definedName>
    <definedName name="UBSHAR_4Q21">Tags!$DK$109</definedName>
    <definedName name="UBSHAR_4Q22">Tags!$DP$109</definedName>
    <definedName name="UBSHAR_4Q23">Tags!$DU$109</definedName>
    <definedName name="UBSHAR_4Q24">Tags!$DZ$109</definedName>
    <definedName name="ufg">#REF!</definedName>
    <definedName name="UFSHAR_1995">Tags_ols!$B$111</definedName>
    <definedName name="UFSHAR_1996">Tags_ols!$C$111</definedName>
    <definedName name="UFSHAR_1997">Tags_ols!$D$111</definedName>
    <definedName name="UFSHAR_1998">Tags_ols!$E$111</definedName>
    <definedName name="UFSHAR_1999">Tags_ols!$F$111</definedName>
    <definedName name="UFSHAR_1Q00" localSheetId="10">Tags!$G$111</definedName>
    <definedName name="UFSHAR_1Q00">Tags_ols!$G$111</definedName>
    <definedName name="UFSHAR_1Q01" localSheetId="10">Tags!$L$111</definedName>
    <definedName name="UFSHAR_1Q01">Tags_ols!$L$111</definedName>
    <definedName name="UFSHAR_1Q02" localSheetId="10">Tags!$Q$111</definedName>
    <definedName name="UFSHAR_1Q02">Tags_ols!$Q$111</definedName>
    <definedName name="UFSHAR_1Q03" localSheetId="10">Tags!$V$111</definedName>
    <definedName name="UFSHAR_1Q03">Tags_ols!$V$111</definedName>
    <definedName name="UFSHAR_1Q04" localSheetId="10">Tags!$AA$111</definedName>
    <definedName name="UFSHAR_1Q04">Tags_ols!$AA$111</definedName>
    <definedName name="UFSHAR_1Q05" localSheetId="10">Tags!$AF$111</definedName>
    <definedName name="UFSHAR_1Q05">Tags_ols!$AF$111</definedName>
    <definedName name="UFSHAR_1Q06" localSheetId="10">Tags!$AK$111</definedName>
    <definedName name="UFSHAR_1Q06">Tags_ols!$AK$111</definedName>
    <definedName name="UFSHAR_1Q07" localSheetId="10">Tags!$AP$111</definedName>
    <definedName name="UFSHAR_1Q07">Tags_ols!$AP$111</definedName>
    <definedName name="UFSHAR_1Q08" localSheetId="10">Tags!$AU$111</definedName>
    <definedName name="UFSHAR_1Q08">Tags_ols!$AU$111</definedName>
    <definedName name="UFSHAR_1Q09" localSheetId="10">Tags!$AZ$111</definedName>
    <definedName name="UFSHAR_1Q09">Tags_ols!$AZ$111</definedName>
    <definedName name="UFSHAR_1Q10" localSheetId="10">Tags!$BE$111</definedName>
    <definedName name="UFSHAR_1Q10">Tags_ols!$BE$111</definedName>
    <definedName name="UFSHAR_1Q11" localSheetId="10">Tags!$BJ$111</definedName>
    <definedName name="UFSHAR_1Q11">Tags_ols!$BJ$111</definedName>
    <definedName name="UFSHAR_1Q12" localSheetId="10">Tags!$BO$111</definedName>
    <definedName name="UFSHAR_1Q12">Tags_ols!$BO$111</definedName>
    <definedName name="UFSHAR_1Q13" localSheetId="10">Tags!$BT$111</definedName>
    <definedName name="UFSHAR_1Q13">Tags_ols!$BT$111</definedName>
    <definedName name="UFSHAR_1Q14" localSheetId="10">Tags!$BY$111</definedName>
    <definedName name="UFSHAR_1Q14">Tags_ols!$BY$111</definedName>
    <definedName name="UFSHAR_1Q15" localSheetId="10">Tags!$CD$111</definedName>
    <definedName name="UFSHAR_1Q15">Tags_ols!$CD$111</definedName>
    <definedName name="UFSHAR_1Q16" localSheetId="10">Tags!$CI$111</definedName>
    <definedName name="UFSHAR_1Q16">Tags_ols!$CI$111</definedName>
    <definedName name="UFSHAR_1Q17" localSheetId="10">Tags!$CN$111</definedName>
    <definedName name="UFSHAR_1Q17">Tags_ols!$CN$111</definedName>
    <definedName name="UFSHAR_1Q18" localSheetId="10">Tags!$CS$111</definedName>
    <definedName name="UFSHAR_1Q18">Tags_ols!$CS$111</definedName>
    <definedName name="UFSHAR_1Q19" localSheetId="10">Tags!$CX$111</definedName>
    <definedName name="UFSHAR_1Q19">Tags_ols!$CX$111</definedName>
    <definedName name="UFSHAR_1Q20" localSheetId="10">Tags!$DC$111</definedName>
    <definedName name="UFSHAR_1Q20">Tags_ols!$DC$111</definedName>
    <definedName name="UFSHAR_1Q21">Tags!$DH$111</definedName>
    <definedName name="UFSHAR_1Q22">Tags!$DM$111</definedName>
    <definedName name="UFSHAR_1Q23">Tags!$DR$111</definedName>
    <definedName name="UFSHAR_1Q24">Tags!$DW$111</definedName>
    <definedName name="UFSHAR_2000" localSheetId="10">Tags!$K$111</definedName>
    <definedName name="UFSHAR_2000">Tags_ols!$K$111</definedName>
    <definedName name="UFSHAR_2001" localSheetId="10">Tags!$P$111</definedName>
    <definedName name="UFSHAR_2001">Tags_ols!$P$111</definedName>
    <definedName name="UFSHAR_2002" localSheetId="10">Tags!$U$111</definedName>
    <definedName name="UFSHAR_2002">Tags_ols!$U$111</definedName>
    <definedName name="UFSHAR_2003" localSheetId="10">Tags!$Z$111</definedName>
    <definedName name="UFSHAR_2003">Tags_ols!$Z$111</definedName>
    <definedName name="UFSHAR_2004" localSheetId="10">Tags!$AE$111</definedName>
    <definedName name="UFSHAR_2004">Tags_ols!$AE$111</definedName>
    <definedName name="UFSHAR_2005" localSheetId="10">Tags!$AJ$111</definedName>
    <definedName name="UFSHAR_2005">Tags_ols!$AJ$111</definedName>
    <definedName name="UFSHAR_2006" localSheetId="10">Tags!$AO$111</definedName>
    <definedName name="UFSHAR_2006">Tags_ols!$AO$111</definedName>
    <definedName name="UFSHAR_2007" localSheetId="10">Tags!$AT$111</definedName>
    <definedName name="UFSHAR_2007">Tags_ols!$AT$111</definedName>
    <definedName name="UFSHAR_2008" localSheetId="10">Tags!$AY$111</definedName>
    <definedName name="UFSHAR_2008">Tags_ols!$AY$111</definedName>
    <definedName name="UFSHAR_2009" localSheetId="10">Tags!$BD$111</definedName>
    <definedName name="UFSHAR_2009">Tags_ols!$BD$111</definedName>
    <definedName name="UFSHAR_2010" localSheetId="10">Tags!$BI$111</definedName>
    <definedName name="UFSHAR_2010">Tags_ols!$BI$111</definedName>
    <definedName name="UFSHAR_2011" localSheetId="10">Tags!$BN$111</definedName>
    <definedName name="UFSHAR_2011">Tags_ols!$BN$111</definedName>
    <definedName name="UFSHAR_2012" localSheetId="10">Tags!$BS$111</definedName>
    <definedName name="UFSHAR_2012">Tags_ols!$BS$111</definedName>
    <definedName name="UFSHAR_2013" localSheetId="10">Tags!$BX$111</definedName>
    <definedName name="UFSHAR_2013">Tags_ols!$BX$111</definedName>
    <definedName name="UFSHAR_2014" localSheetId="10">Tags!$CC$111</definedName>
    <definedName name="UFSHAR_2014">Tags_ols!$CC$111</definedName>
    <definedName name="UFSHAR_2015" localSheetId="10">Tags!#REF!</definedName>
    <definedName name="UFSHAR_2015">Tags!$CH$111</definedName>
    <definedName name="UFSHAR_2016" localSheetId="10">Tags!$CM$111</definedName>
    <definedName name="UFSHAR_2016">Tags_ols!$CM$111</definedName>
    <definedName name="UFSHAR_2017" localSheetId="10">Tags!$CR$111</definedName>
    <definedName name="UFSHAR_2017">Tags_ols!$CR$111</definedName>
    <definedName name="UFSHAR_2018" localSheetId="10">Tags!$CW$111</definedName>
    <definedName name="UFSHAR_2018">Tags_ols!$CW$111</definedName>
    <definedName name="UFSHAR_2019" localSheetId="10">Tags!$DB$111</definedName>
    <definedName name="UFSHAR_2019">Tags_ols!$DB$111</definedName>
    <definedName name="UFSHAR_2020" localSheetId="10">Tags!$DG$111</definedName>
    <definedName name="UFSHAR_2020">Tags_ols!$DG$111</definedName>
    <definedName name="UFSHAR_2021">Tags!$DL$111</definedName>
    <definedName name="UFSHAR_2022">Tags!$DQ$111</definedName>
    <definedName name="UFSHAR_2023">Tags!$DV$111</definedName>
    <definedName name="UFSHAR_2024">Tags!$EA$111</definedName>
    <definedName name="UFSHAR_2Q00" localSheetId="10">Tags!$H$111</definedName>
    <definedName name="UFSHAR_2Q00">Tags_ols!$H$111</definedName>
    <definedName name="UFSHAR_2Q01" localSheetId="10">Tags!$M$111</definedName>
    <definedName name="UFSHAR_2Q01">Tags_ols!$M$111</definedName>
    <definedName name="UFSHAR_2Q02" localSheetId="10">Tags!$R$111</definedName>
    <definedName name="UFSHAR_2Q02">Tags_ols!$R$111</definedName>
    <definedName name="UFSHAR_2Q03" localSheetId="10">Tags!$W$111</definedName>
    <definedName name="UFSHAR_2Q03">Tags_ols!$W$111</definedName>
    <definedName name="UFSHAR_2Q04" localSheetId="10">Tags!$AB$111</definedName>
    <definedName name="UFSHAR_2Q04">Tags_ols!$AB$111</definedName>
    <definedName name="UFSHAR_2Q05" localSheetId="10">Tags!$AG$111</definedName>
    <definedName name="UFSHAR_2Q05">Tags_ols!$AG$111</definedName>
    <definedName name="UFSHAR_2Q06" localSheetId="10">Tags!$AL$111</definedName>
    <definedName name="UFSHAR_2Q06">Tags_ols!$AL$111</definedName>
    <definedName name="UFSHAR_2Q07" localSheetId="10">Tags!$AQ$111</definedName>
    <definedName name="UFSHAR_2Q07">Tags_ols!$AQ$111</definedName>
    <definedName name="UFSHAR_2Q08" localSheetId="10">Tags!$AV$111</definedName>
    <definedName name="UFSHAR_2Q08">Tags_ols!$AV$111</definedName>
    <definedName name="UFSHAR_2Q09" localSheetId="10">Tags!$BA$111</definedName>
    <definedName name="UFSHAR_2Q09">Tags_ols!$BA$111</definedName>
    <definedName name="UFSHAR_2Q10" localSheetId="10">Tags!$BF$111</definedName>
    <definedName name="UFSHAR_2Q10">Tags_ols!$BF$111</definedName>
    <definedName name="UFSHAR_2Q11" localSheetId="10">Tags!$BK$111</definedName>
    <definedName name="UFSHAR_2Q11">Tags_ols!$BK$111</definedName>
    <definedName name="UFSHAR_2Q12" localSheetId="10">Tags!$BP$111</definedName>
    <definedName name="UFSHAR_2Q12">Tags_ols!$BP$111</definedName>
    <definedName name="UFSHAR_2Q13" localSheetId="10">Tags!$BU$111</definedName>
    <definedName name="UFSHAR_2Q13">Tags_ols!$BU$111</definedName>
    <definedName name="UFSHAR_2Q14" localSheetId="10">Tags!$BZ$111</definedName>
    <definedName name="UFSHAR_2Q14">Tags_ols!$BZ$111</definedName>
    <definedName name="UFSHAR_2Q15" localSheetId="10">Tags!$CE$111</definedName>
    <definedName name="UFSHAR_2Q15">Tags_ols!$CE$111</definedName>
    <definedName name="UFSHAR_2Q16" localSheetId="10">Tags!$CJ$111</definedName>
    <definedName name="UFSHAR_2Q16">Tags_ols!$CJ$111</definedName>
    <definedName name="UFSHAR_2Q17" localSheetId="10">Tags!$CO$111</definedName>
    <definedName name="UFSHAR_2Q17">Tags_ols!$CO$111</definedName>
    <definedName name="UFSHAR_2Q18" localSheetId="10">Tags!$CT$111</definedName>
    <definedName name="UFSHAR_2Q18">Tags_ols!$CT$111</definedName>
    <definedName name="UFSHAR_2Q19" localSheetId="10">Tags!$CY$111</definedName>
    <definedName name="UFSHAR_2Q19">Tags_ols!$CY$111</definedName>
    <definedName name="UFSHAR_2Q20" localSheetId="10">Tags!$DD$111</definedName>
    <definedName name="UFSHAR_2Q20">Tags_ols!$DD$111</definedName>
    <definedName name="UFSHAR_2Q21">Tags!$DI$111</definedName>
    <definedName name="UFSHAR_2Q22">Tags!$DN$111</definedName>
    <definedName name="UFSHAR_2Q23">Tags!$DS$111</definedName>
    <definedName name="UFSHAR_2Q24">Tags!$DX$111</definedName>
    <definedName name="UFSHAR_3Q00" localSheetId="10">Tags!$I$111</definedName>
    <definedName name="UFSHAR_3Q00">Tags_ols!$I$111</definedName>
    <definedName name="UFSHAR_3Q01" localSheetId="10">Tags!$N$111</definedName>
    <definedName name="UFSHAR_3Q01">Tags_ols!$N$111</definedName>
    <definedName name="UFSHAR_3Q02" localSheetId="10">Tags!$S$111</definedName>
    <definedName name="UFSHAR_3Q02">Tags_ols!$S$111</definedName>
    <definedName name="UFSHAR_3Q03" localSheetId="10">Tags!$X$111</definedName>
    <definedName name="UFSHAR_3Q03">Tags_ols!$X$111</definedName>
    <definedName name="UFSHAR_3Q04" localSheetId="10">Tags!$AC$111</definedName>
    <definedName name="UFSHAR_3Q04">Tags_ols!$AC$111</definedName>
    <definedName name="UFSHAR_3Q05" localSheetId="10">Tags!$AH$111</definedName>
    <definedName name="UFSHAR_3Q05">Tags_ols!$AH$111</definedName>
    <definedName name="UFSHAR_3Q06" localSheetId="10">Tags!$AM$111</definedName>
    <definedName name="UFSHAR_3Q06">Tags_ols!$AM$111</definedName>
    <definedName name="UFSHAR_3Q07" localSheetId="10">Tags!$AR$111</definedName>
    <definedName name="UFSHAR_3Q07">Tags_ols!$AR$111</definedName>
    <definedName name="UFSHAR_3Q08" localSheetId="10">Tags!$AW$111</definedName>
    <definedName name="UFSHAR_3Q08">Tags_ols!$AW$111</definedName>
    <definedName name="UFSHAR_3Q09" localSheetId="10">Tags!$BB$111</definedName>
    <definedName name="UFSHAR_3Q09">Tags_ols!$BB$111</definedName>
    <definedName name="UFSHAR_3Q10" localSheetId="10">Tags!$BG$111</definedName>
    <definedName name="UFSHAR_3Q10">Tags_ols!$BG$111</definedName>
    <definedName name="UFSHAR_3Q11" localSheetId="10">Tags!$BL$111</definedName>
    <definedName name="UFSHAR_3Q11">Tags_ols!$BL$111</definedName>
    <definedName name="UFSHAR_3Q12" localSheetId="10">Tags!$BQ$111</definedName>
    <definedName name="UFSHAR_3Q12">Tags_ols!$BQ$111</definedName>
    <definedName name="UFSHAR_3Q13" localSheetId="10">Tags!$BV$111</definedName>
    <definedName name="UFSHAR_3Q13">Tags_ols!$BV$111</definedName>
    <definedName name="UFSHAR_3Q14" localSheetId="10">Tags!$CA$111</definedName>
    <definedName name="UFSHAR_3Q14">Tags_ols!$CA$111</definedName>
    <definedName name="UFSHAR_3Q15" localSheetId="10">Tags!$CF$111</definedName>
    <definedName name="UFSHAR_3Q15">Tags_ols!$CF$111</definedName>
    <definedName name="UFSHAR_3Q16" localSheetId="10">Tags!$CK$111</definedName>
    <definedName name="UFSHAR_3Q16">Tags_ols!$CK$111</definedName>
    <definedName name="UFSHAR_3Q17" localSheetId="10">Tags!$CP$111</definedName>
    <definedName name="UFSHAR_3Q17">Tags_ols!$CP$111</definedName>
    <definedName name="UFSHAR_3Q18" localSheetId="10">Tags!$CU$111</definedName>
    <definedName name="UFSHAR_3Q18">Tags_ols!$CU$111</definedName>
    <definedName name="UFSHAR_3Q19" localSheetId="10">Tags!$CZ$111</definedName>
    <definedName name="UFSHAR_3Q19">Tags_ols!$CZ$111</definedName>
    <definedName name="UFSHAR_3Q20" localSheetId="10">Tags!$DE$111</definedName>
    <definedName name="UFSHAR_3Q20">Tags_ols!$DE$111</definedName>
    <definedName name="UFSHAR_3Q21">Tags!$DJ$111</definedName>
    <definedName name="UFSHAR_3Q22">Tags!$DO$111</definedName>
    <definedName name="UFSHAR_3Q23">Tags!$DT$111</definedName>
    <definedName name="UFSHAR_3Q24">Tags!$DY$111</definedName>
    <definedName name="UFSHAR_4Q00" localSheetId="10">Tags!$J$111</definedName>
    <definedName name="UFSHAR_4Q00">Tags_ols!$J$111</definedName>
    <definedName name="UFSHAR_4Q01" localSheetId="10">Tags!$O$111</definedName>
    <definedName name="UFSHAR_4Q01">Tags_ols!$O$111</definedName>
    <definedName name="UFSHAR_4Q02" localSheetId="10">Tags!$T$111</definedName>
    <definedName name="UFSHAR_4Q02">Tags_ols!$T$111</definedName>
    <definedName name="UFSHAR_4Q03" localSheetId="10">Tags!$Y$111</definedName>
    <definedName name="UFSHAR_4Q03">Tags_ols!$Y$111</definedName>
    <definedName name="UFSHAR_4Q04" localSheetId="10">Tags!$AD$111</definedName>
    <definedName name="UFSHAR_4Q04">Tags_ols!$AD$111</definedName>
    <definedName name="UFSHAR_4Q05" localSheetId="10">Tags!$AI$111</definedName>
    <definedName name="UFSHAR_4Q05">Tags_ols!$AI$111</definedName>
    <definedName name="UFSHAR_4Q06" localSheetId="10">Tags!$AN$111</definedName>
    <definedName name="UFSHAR_4Q06">Tags_ols!$AN$111</definedName>
    <definedName name="UFSHAR_4Q07" localSheetId="10">Tags!$AS$111</definedName>
    <definedName name="UFSHAR_4Q07">Tags_ols!$AS$111</definedName>
    <definedName name="UFSHAR_4Q08" localSheetId="10">Tags!$AX$111</definedName>
    <definedName name="UFSHAR_4Q08">Tags_ols!$AX$111</definedName>
    <definedName name="UFSHAR_4Q09" localSheetId="10">Tags!$BC$111</definedName>
    <definedName name="UFSHAR_4Q09">Tags_ols!$BC$111</definedName>
    <definedName name="UFSHAR_4Q10" localSheetId="10">Tags!$BH$111</definedName>
    <definedName name="UFSHAR_4Q10">Tags_ols!$BH$111</definedName>
    <definedName name="UFSHAR_4Q11" localSheetId="10">Tags!$BM$111</definedName>
    <definedName name="UFSHAR_4Q11">Tags_ols!$BM$111</definedName>
    <definedName name="UFSHAR_4Q12" localSheetId="10">Tags!$BR$111</definedName>
    <definedName name="UFSHAR_4Q12">Tags_ols!$BR$111</definedName>
    <definedName name="UFSHAR_4Q13" localSheetId="10">Tags!$BW$111</definedName>
    <definedName name="UFSHAR_4Q13">Tags_ols!$BW$111</definedName>
    <definedName name="UFSHAR_4Q14" localSheetId="10">Tags!$CB$111</definedName>
    <definedName name="UFSHAR_4Q14">Tags_ols!$CB$111</definedName>
    <definedName name="UFSHAR_4Q15" localSheetId="10">Tags!$CG$111</definedName>
    <definedName name="UFSHAR_4Q15">Tags_ols!$CG$111</definedName>
    <definedName name="UFSHAR_4Q16" localSheetId="10">Tags!$CL$111</definedName>
    <definedName name="UFSHAR_4Q16">Tags_ols!$CL$111</definedName>
    <definedName name="UFSHAR_4Q17" localSheetId="10">Tags!$CQ$111</definedName>
    <definedName name="UFSHAR_4Q17">Tags_ols!$CQ$111</definedName>
    <definedName name="UFSHAR_4Q18" localSheetId="10">Tags!$CV$111</definedName>
    <definedName name="UFSHAR_4Q18">Tags_ols!$CV$111</definedName>
    <definedName name="UFSHAR_4Q19" localSheetId="10">Tags!$DA$111</definedName>
    <definedName name="UFSHAR_4Q19">Tags_ols!$DA$111</definedName>
    <definedName name="UFSHAR_4Q20" localSheetId="10">Tags!$DF$111</definedName>
    <definedName name="UFSHAR_4Q20">Tags_ols!$DF$111</definedName>
    <definedName name="UFSHAR_4Q21">Tags!$DK$111</definedName>
    <definedName name="UFSHAR_4Q22">Tags!$DP$111</definedName>
    <definedName name="UFSHAR_4Q23">Tags!$DU$111</definedName>
    <definedName name="UFSHAR_4Q24">Tags!$DZ$111</definedName>
    <definedName name="UNDPS_1995">Tags_ols!$B$112</definedName>
    <definedName name="UNDPS_1996">Tags_ols!$C$112</definedName>
    <definedName name="UNDPS_1997">Tags_ols!$D$112</definedName>
    <definedName name="UNDPS_1998">Tags_ols!$E$112</definedName>
    <definedName name="UNDPS_1999">Tags_ols!$F$112</definedName>
    <definedName name="UNDPS_1Q00" localSheetId="10">Tags!$G$112</definedName>
    <definedName name="UNDPS_1Q00">Tags_ols!$G$112</definedName>
    <definedName name="UNDPS_1Q01" localSheetId="10">Tags!$L$112</definedName>
    <definedName name="UNDPS_1Q01">Tags_ols!$L$112</definedName>
    <definedName name="UNDPS_1Q02" localSheetId="10">Tags!$Q$112</definedName>
    <definedName name="UNDPS_1Q02">Tags_ols!$Q$112</definedName>
    <definedName name="UNDPS_1Q03" localSheetId="10">Tags!$V$112</definedName>
    <definedName name="UNDPS_1Q03">Tags_ols!$V$112</definedName>
    <definedName name="UNDPS_1Q04" localSheetId="10">Tags!$AA$112</definedName>
    <definedName name="UNDPS_1Q04">Tags_ols!$AA$112</definedName>
    <definedName name="UNDPS_1Q05" localSheetId="10">Tags!$AF$112</definedName>
    <definedName name="UNDPS_1Q05">Tags_ols!$AF$112</definedName>
    <definedName name="UNDPS_1Q06" localSheetId="10">Tags!$AK$112</definedName>
    <definedName name="UNDPS_1Q06">Tags_ols!$AK$112</definedName>
    <definedName name="UNDPS_1Q07" localSheetId="10">Tags!$AP$112</definedName>
    <definedName name="UNDPS_1Q07">Tags_ols!$AP$112</definedName>
    <definedName name="UNDPS_1Q08" localSheetId="10">Tags!$AU$112</definedName>
    <definedName name="UNDPS_1Q08">Tags_ols!$AU$112</definedName>
    <definedName name="UNDPS_1Q09" localSheetId="10">Tags!$AZ$112</definedName>
    <definedName name="UNDPS_1Q09">Tags_ols!$AZ$112</definedName>
    <definedName name="UNDPS_1Q10" localSheetId="10">Tags!$BE$112</definedName>
    <definedName name="UNDPS_1Q10">Tags_ols!$BE$112</definedName>
    <definedName name="UNDPS_1Q11" localSheetId="10">Tags!$BJ$112</definedName>
    <definedName name="UNDPS_1Q11">Tags_ols!$BJ$112</definedName>
    <definedName name="UNDPS_1Q12" localSheetId="10">Tags!$BO$112</definedName>
    <definedName name="UNDPS_1Q12">Tags_ols!$BO$112</definedName>
    <definedName name="UNDPS_1Q13" localSheetId="10">Tags!$BT$112</definedName>
    <definedName name="UNDPS_1Q13">Tags_ols!$BT$112</definedName>
    <definedName name="UNDPS_1Q14" localSheetId="10">Tags!$BY$112</definedName>
    <definedName name="UNDPS_1Q14">Tags_ols!$BY$112</definedName>
    <definedName name="UNDPS_1Q15" localSheetId="10">Tags!$CD$112</definedName>
    <definedName name="UNDPS_1Q15">Tags_ols!$CD$112</definedName>
    <definedName name="UNDPS_1Q16" localSheetId="10">Tags!$CI$112</definedName>
    <definedName name="UNDPS_1Q16">Tags_ols!$CI$112</definedName>
    <definedName name="UNDPS_1Q17" localSheetId="10">Tags!$CN$112</definedName>
    <definedName name="UNDPS_1Q17">Tags_ols!$CN$112</definedName>
    <definedName name="UNDPS_1Q18" localSheetId="10">Tags!$CS$112</definedName>
    <definedName name="UNDPS_1Q18">Tags_ols!$CS$112</definedName>
    <definedName name="UNDPS_1Q19" localSheetId="10">Tags!$CX$112</definedName>
    <definedName name="UNDPS_1Q19">Tags_ols!$CX$112</definedName>
    <definedName name="UNDPS_1Q20" localSheetId="10">Tags!$DC$112</definedName>
    <definedName name="UNDPS_1Q20">Tags_ols!$DC$112</definedName>
    <definedName name="UNDPS_1Q21">Tags!$DH$112</definedName>
    <definedName name="UNDPS_1Q22">Tags!$DM$112</definedName>
    <definedName name="UNDPS_1Q23">Tags!$DR$112</definedName>
    <definedName name="UNDPS_1Q24">Tags!$DW$112</definedName>
    <definedName name="UNDPS_2000" localSheetId="10">Tags!$K$112</definedName>
    <definedName name="UNDPS_2000">Tags_ols!$K$112</definedName>
    <definedName name="UNDPS_2001" localSheetId="10">Tags!$P$112</definedName>
    <definedName name="UNDPS_2001">Tags_ols!$P$112</definedName>
    <definedName name="UNDPS_2002" localSheetId="10">Tags!$U$112</definedName>
    <definedName name="UNDPS_2002">Tags_ols!$U$112</definedName>
    <definedName name="UNDPS_2003" localSheetId="10">Tags!$Z$112</definedName>
    <definedName name="UNDPS_2003">Tags_ols!$Z$112</definedName>
    <definedName name="UNDPS_2004" localSheetId="10">Tags!$AE$112</definedName>
    <definedName name="UNDPS_2004">Tags_ols!$AE$112</definedName>
    <definedName name="UNDPS_2005" localSheetId="10">Tags!$AJ$112</definedName>
    <definedName name="UNDPS_2005">Tags_ols!$AJ$112</definedName>
    <definedName name="UNDPS_2006" localSheetId="10">Tags!$AO$112</definedName>
    <definedName name="UNDPS_2006">Tags_ols!$AO$112</definedName>
    <definedName name="UNDPS_2007" localSheetId="10">Tags!$AT$112</definedName>
    <definedName name="UNDPS_2007">Tags_ols!$AT$112</definedName>
    <definedName name="UNDPS_2008" localSheetId="10">Tags!$AY$112</definedName>
    <definedName name="UNDPS_2008">Tags_ols!$AY$112</definedName>
    <definedName name="UNDPS_2009" localSheetId="10">Tags!$BD$112</definedName>
    <definedName name="UNDPS_2009">Tags_ols!$BD$112</definedName>
    <definedName name="UNDPS_2010" localSheetId="10">Tags!$BI$112</definedName>
    <definedName name="UNDPS_2010">Tags_ols!$BI$112</definedName>
    <definedName name="UNDPS_2011" localSheetId="10">Tags!$BN$112</definedName>
    <definedName name="UNDPS_2011">Tags_ols!$BN$112</definedName>
    <definedName name="UNDPS_2012" localSheetId="10">Tags!$BS$112</definedName>
    <definedName name="UNDPS_2012">Tags_ols!$BS$112</definedName>
    <definedName name="UNDPS_2013" localSheetId="10">Tags!$BX$112</definedName>
    <definedName name="UNDPS_2013">Tags_ols!$BX$112</definedName>
    <definedName name="UNDPS_2014" localSheetId="10">Tags!$CC$112</definedName>
    <definedName name="UNDPS_2014">Tags_ols!$CC$112</definedName>
    <definedName name="UNDPS_2015" localSheetId="10">Tags!#REF!</definedName>
    <definedName name="UNDPS_2015">Tags!$CH$112</definedName>
    <definedName name="UNDPS_2016" localSheetId="10">Tags!$CM$112</definedName>
    <definedName name="UNDPS_2016">Tags_ols!$CM$112</definedName>
    <definedName name="UNDPS_2017" localSheetId="10">Tags!$CR$112</definedName>
    <definedName name="UNDPS_2017">Tags_ols!$CR$112</definedName>
    <definedName name="UNDPS_2018" localSheetId="10">Tags!$CW$112</definedName>
    <definedName name="UNDPS_2018">Tags_ols!$CW$112</definedName>
    <definedName name="UNDPS_2019" localSheetId="10">Tags!$DB$112</definedName>
    <definedName name="UNDPS_2019">Tags_ols!$DB$112</definedName>
    <definedName name="UNDPS_2020" localSheetId="10">Tags!$DG$112</definedName>
    <definedName name="UNDPS_2020">Tags_ols!$DG$112</definedName>
    <definedName name="UNDPS_2021">Tags!$DL$112</definedName>
    <definedName name="UNDPS_2022">Tags!$DQ$112</definedName>
    <definedName name="UNDPS_2023">Tags!$DV$112</definedName>
    <definedName name="UNDPS_2024">Tags!$EA$112</definedName>
    <definedName name="UNDPS_2Q00" localSheetId="10">Tags!$H$112</definedName>
    <definedName name="UNDPS_2Q00">Tags_ols!$H$112</definedName>
    <definedName name="UNDPS_2Q01" localSheetId="10">Tags!$M$112</definedName>
    <definedName name="UNDPS_2Q01">Tags_ols!$M$112</definedName>
    <definedName name="UNDPS_2Q02" localSheetId="10">Tags!$R$112</definedName>
    <definedName name="UNDPS_2Q02">Tags_ols!$R$112</definedName>
    <definedName name="UNDPS_2Q03" localSheetId="10">Tags!$W$112</definedName>
    <definedName name="UNDPS_2Q03">Tags_ols!$W$112</definedName>
    <definedName name="UNDPS_2Q04" localSheetId="10">Tags!$AB$112</definedName>
    <definedName name="UNDPS_2Q04">Tags_ols!$AB$112</definedName>
    <definedName name="UNDPS_2Q05" localSheetId="10">Tags!$AG$112</definedName>
    <definedName name="UNDPS_2Q05">Tags_ols!$AG$112</definedName>
    <definedName name="UNDPS_2Q06" localSheetId="10">Tags!$AL$112</definedName>
    <definedName name="UNDPS_2Q06">Tags_ols!$AL$112</definedName>
    <definedName name="UNDPS_2Q07" localSheetId="10">Tags!$AQ$112</definedName>
    <definedName name="UNDPS_2Q07">Tags_ols!$AQ$112</definedName>
    <definedName name="UNDPS_2Q08" localSheetId="10">Tags!$AV$112</definedName>
    <definedName name="UNDPS_2Q08">Tags_ols!$AV$112</definedName>
    <definedName name="UNDPS_2Q09" localSheetId="10">Tags!$BA$112</definedName>
    <definedName name="UNDPS_2Q09">Tags_ols!$BA$112</definedName>
    <definedName name="UNDPS_2Q10" localSheetId="10">Tags!$BF$112</definedName>
    <definedName name="UNDPS_2Q10">Tags_ols!$BF$112</definedName>
    <definedName name="UNDPS_2Q11" localSheetId="10">Tags!$BK$112</definedName>
    <definedName name="UNDPS_2Q11">Tags_ols!$BK$112</definedName>
    <definedName name="UNDPS_2Q12" localSheetId="10">Tags!$BP$112</definedName>
    <definedName name="UNDPS_2Q12">Tags_ols!$BP$112</definedName>
    <definedName name="UNDPS_2Q13" localSheetId="10">Tags!$BU$112</definedName>
    <definedName name="UNDPS_2Q13">Tags_ols!$BU$112</definedName>
    <definedName name="UNDPS_2Q14" localSheetId="10">Tags!$BZ$112</definedName>
    <definedName name="UNDPS_2Q14">Tags_ols!$BZ$112</definedName>
    <definedName name="UNDPS_2Q15" localSheetId="10">Tags!$CE$112</definedName>
    <definedName name="UNDPS_2Q15">Tags_ols!$CE$112</definedName>
    <definedName name="UNDPS_2Q16" localSheetId="10">Tags!$CJ$112</definedName>
    <definedName name="UNDPS_2Q16">Tags_ols!$CJ$112</definedName>
    <definedName name="UNDPS_2Q17" localSheetId="10">Tags!$CO$112</definedName>
    <definedName name="UNDPS_2Q17">Tags_ols!$CO$112</definedName>
    <definedName name="UNDPS_2Q18" localSheetId="10">Tags!$CT$112</definedName>
    <definedName name="UNDPS_2Q18">Tags_ols!$CT$112</definedName>
    <definedName name="UNDPS_2Q19" localSheetId="10">Tags!$CY$112</definedName>
    <definedName name="UNDPS_2Q19">Tags_ols!$CY$112</definedName>
    <definedName name="UNDPS_2Q20" localSheetId="10">Tags!$DD$112</definedName>
    <definedName name="UNDPS_2Q20">Tags_ols!$DD$112</definedName>
    <definedName name="UNDPS_2Q21">Tags!$DI$112</definedName>
    <definedName name="UNDPS_2Q22">Tags!$DN$112</definedName>
    <definedName name="UNDPS_2Q23">Tags!$DS$112</definedName>
    <definedName name="UNDPS_2Q24">Tags!$DX$112</definedName>
    <definedName name="UNDPS_3Q00" localSheetId="10">Tags!$I$112</definedName>
    <definedName name="UNDPS_3Q00">Tags_ols!$I$112</definedName>
    <definedName name="UNDPS_3Q01" localSheetId="10">Tags!$N$112</definedName>
    <definedName name="UNDPS_3Q01">Tags_ols!$N$112</definedName>
    <definedName name="UNDPS_3Q02" localSheetId="10">Tags!$S$112</definedName>
    <definedName name="UNDPS_3Q02">Tags_ols!$S$112</definedName>
    <definedName name="UNDPS_3Q03" localSheetId="10">Tags!$X$112</definedName>
    <definedName name="UNDPS_3Q03">Tags_ols!$X$112</definedName>
    <definedName name="UNDPS_3Q04" localSheetId="10">Tags!$AC$112</definedName>
    <definedName name="UNDPS_3Q04">Tags_ols!$AC$112</definedName>
    <definedName name="UNDPS_3Q05" localSheetId="10">Tags!$AH$112</definedName>
    <definedName name="UNDPS_3Q05">Tags_ols!$AH$112</definedName>
    <definedName name="UNDPS_3Q06" localSheetId="10">Tags!$AM$112</definedName>
    <definedName name="UNDPS_3Q06">Tags_ols!$AM$112</definedName>
    <definedName name="UNDPS_3Q07" localSheetId="10">Tags!$AR$112</definedName>
    <definedName name="UNDPS_3Q07">Tags_ols!$AR$112</definedName>
    <definedName name="UNDPS_3Q08" localSheetId="10">Tags!$AW$112</definedName>
    <definedName name="UNDPS_3Q08">Tags_ols!$AW$112</definedName>
    <definedName name="UNDPS_3Q09" localSheetId="10">Tags!$BB$112</definedName>
    <definedName name="UNDPS_3Q09">Tags_ols!$BB$112</definedName>
    <definedName name="UNDPS_3Q10" localSheetId="10">Tags!$BG$112</definedName>
    <definedName name="UNDPS_3Q10">Tags_ols!$BG$112</definedName>
    <definedName name="UNDPS_3Q11" localSheetId="10">Tags!$BL$112</definedName>
    <definedName name="UNDPS_3Q11">Tags_ols!$BL$112</definedName>
    <definedName name="UNDPS_3Q12" localSheetId="10">Tags!$BQ$112</definedName>
    <definedName name="UNDPS_3Q12">Tags_ols!$BQ$112</definedName>
    <definedName name="UNDPS_3Q13" localSheetId="10">Tags!$BV$112</definedName>
    <definedName name="UNDPS_3Q13">Tags_ols!$BV$112</definedName>
    <definedName name="UNDPS_3Q14" localSheetId="10">Tags!$CA$112</definedName>
    <definedName name="UNDPS_3Q14">Tags_ols!$CA$112</definedName>
    <definedName name="UNDPS_3Q15" localSheetId="10">Tags!$CF$112</definedName>
    <definedName name="UNDPS_3Q15">Tags_ols!$CF$112</definedName>
    <definedName name="UNDPS_3Q16" localSheetId="10">Tags!$CK$112</definedName>
    <definedName name="UNDPS_3Q16">Tags_ols!$CK$112</definedName>
    <definedName name="UNDPS_3Q17" localSheetId="10">Tags!$CP$112</definedName>
    <definedName name="UNDPS_3Q17">Tags_ols!$CP$112</definedName>
    <definedName name="UNDPS_3Q18" localSheetId="10">Tags!$CU$112</definedName>
    <definedName name="UNDPS_3Q18">Tags_ols!$CU$112</definedName>
    <definedName name="UNDPS_3Q19" localSheetId="10">Tags!$CZ$112</definedName>
    <definedName name="UNDPS_3Q19">Tags_ols!$CZ$112</definedName>
    <definedName name="UNDPS_3Q20" localSheetId="10">Tags!$DE$112</definedName>
    <definedName name="UNDPS_3Q20">Tags_ols!$DE$112</definedName>
    <definedName name="UNDPS_3Q21">Tags!$DJ$112</definedName>
    <definedName name="UNDPS_3Q22">Tags!$DO$112</definedName>
    <definedName name="UNDPS_3Q23">Tags!$DT$112</definedName>
    <definedName name="UNDPS_3Q24">Tags!$DY$112</definedName>
    <definedName name="UNDPS_4Q00" localSheetId="10">Tags!$J$112</definedName>
    <definedName name="UNDPS_4Q00">Tags_ols!$J$112</definedName>
    <definedName name="UNDPS_4Q01" localSheetId="10">Tags!$O$112</definedName>
    <definedName name="UNDPS_4Q01">Tags_ols!$O$112</definedName>
    <definedName name="UNDPS_4Q02" localSheetId="10">Tags!$T$112</definedName>
    <definedName name="UNDPS_4Q02">Tags_ols!$T$112</definedName>
    <definedName name="UNDPS_4Q03" localSheetId="10">Tags!$Y$112</definedName>
    <definedName name="UNDPS_4Q03">Tags_ols!$Y$112</definedName>
    <definedName name="UNDPS_4Q04" localSheetId="10">Tags!$AD$112</definedName>
    <definedName name="UNDPS_4Q04">Tags_ols!$AD$112</definedName>
    <definedName name="UNDPS_4Q05" localSheetId="10">Tags!$AI$112</definedName>
    <definedName name="UNDPS_4Q05">Tags_ols!$AI$112</definedName>
    <definedName name="UNDPS_4Q06" localSheetId="10">Tags!$AN$112</definedName>
    <definedName name="UNDPS_4Q06">Tags_ols!$AN$112</definedName>
    <definedName name="UNDPS_4Q07" localSheetId="10">Tags!$AS$112</definedName>
    <definedName name="UNDPS_4Q07">Tags_ols!$AS$112</definedName>
    <definedName name="UNDPS_4Q08" localSheetId="10">Tags!$AX$112</definedName>
    <definedName name="UNDPS_4Q08">Tags_ols!$AX$112</definedName>
    <definedName name="UNDPS_4Q09" localSheetId="10">Tags!$BC$112</definedName>
    <definedName name="UNDPS_4Q09">Tags_ols!$BC$112</definedName>
    <definedName name="UNDPS_4Q10" localSheetId="10">Tags!$BH$112</definedName>
    <definedName name="UNDPS_4Q10">Tags_ols!$BH$112</definedName>
    <definedName name="UNDPS_4Q11" localSheetId="10">Tags!$BM$112</definedName>
    <definedName name="UNDPS_4Q11">Tags_ols!$BM$112</definedName>
    <definedName name="UNDPS_4Q12" localSheetId="10">Tags!$BR$112</definedName>
    <definedName name="UNDPS_4Q12">Tags_ols!$BR$112</definedName>
    <definedName name="UNDPS_4Q13" localSheetId="10">Tags!$BW$112</definedName>
    <definedName name="UNDPS_4Q13">Tags_ols!$BW$112</definedName>
    <definedName name="UNDPS_4Q14" localSheetId="10">Tags!$CB$112</definedName>
    <definedName name="UNDPS_4Q14">Tags_ols!$CB$112</definedName>
    <definedName name="UNDPS_4Q15" localSheetId="10">Tags!$CG$112</definedName>
    <definedName name="UNDPS_4Q15">Tags_ols!$CG$112</definedName>
    <definedName name="UNDPS_4Q16" localSheetId="10">Tags!$CL$112</definedName>
    <definedName name="UNDPS_4Q16">Tags_ols!$CL$112</definedName>
    <definedName name="UNDPS_4Q17" localSheetId="10">Tags!$CQ$112</definedName>
    <definedName name="UNDPS_4Q17">Tags_ols!$CQ$112</definedName>
    <definedName name="UNDPS_4Q18" localSheetId="10">Tags!$CV$112</definedName>
    <definedName name="UNDPS_4Q18">Tags_ols!$CV$112</definedName>
    <definedName name="UNDPS_4Q19" localSheetId="10">Tags!$DA$112</definedName>
    <definedName name="UNDPS_4Q19">Tags_ols!$DA$112</definedName>
    <definedName name="UNDPS_4Q20" localSheetId="10">Tags!$DF$112</definedName>
    <definedName name="UNDPS_4Q20">Tags_ols!$DF$112</definedName>
    <definedName name="UNDPS_4Q21">Tags!$DK$112</definedName>
    <definedName name="UNDPS_4Q22">Tags!$DP$112</definedName>
    <definedName name="UNDPS_4Q23">Tags!$DU$112</definedName>
    <definedName name="UNDPS_4Q24">Tags!$DZ$112</definedName>
    <definedName name="USOEAT_1995">Tags_ols!$B$41</definedName>
    <definedName name="USOEAT_1996">Tags_ols!$C$41</definedName>
    <definedName name="USOEAT_1997">Tags_ols!$D$41</definedName>
    <definedName name="USOEAT_1998">Tags_ols!$E$41</definedName>
    <definedName name="USOEAT_1999">Tags_ols!$F$41</definedName>
    <definedName name="USOEAT_1Q00" localSheetId="10">Tags!$G$41</definedName>
    <definedName name="USOEAT_1Q00">Tags_ols!$G$41</definedName>
    <definedName name="USOEAT_1Q01" localSheetId="10">Tags!$L$41</definedName>
    <definedName name="USOEAT_1Q01">Tags_ols!$L$41</definedName>
    <definedName name="USOEAT_1Q02" localSheetId="10">Tags!$Q$41</definedName>
    <definedName name="USOEAT_1Q02">Tags_ols!$Q$41</definedName>
    <definedName name="USOEAT_1Q03" localSheetId="10">Tags!$V$41</definedName>
    <definedName name="USOEAT_1Q03">Tags_ols!$V$41</definedName>
    <definedName name="USOEAT_1Q04" localSheetId="10">Tags!$AA$41</definedName>
    <definedName name="USOEAT_1Q04">Tags_ols!$AA$41</definedName>
    <definedName name="USOEAT_1Q05" localSheetId="10">Tags!$AF$41</definedName>
    <definedName name="USOEAT_1Q05">Tags_ols!$AF$41</definedName>
    <definedName name="USOEAT_1Q06" localSheetId="10">Tags!$AK$41</definedName>
    <definedName name="USOEAT_1Q06">Tags_ols!$AK$41</definedName>
    <definedName name="USOEAT_1Q07" localSheetId="10">Tags!$AP$41</definedName>
    <definedName name="USOEAT_1Q07">Tags_ols!$AP$41</definedName>
    <definedName name="USOEAT_1Q08" localSheetId="10">Tags!$AU$41</definedName>
    <definedName name="USOEAT_1Q08">Tags_ols!$AU$41</definedName>
    <definedName name="USOEAT_1Q09" localSheetId="10">Tags!$AZ$41</definedName>
    <definedName name="USOEAT_1Q09">Tags_ols!$AZ$41</definedName>
    <definedName name="USOEAT_1Q10" localSheetId="10">Tags!$BE$41</definedName>
    <definedName name="USOEAT_1Q10">Tags_ols!$BE$41</definedName>
    <definedName name="USOEAT_1Q11" localSheetId="10">Tags!$BJ$41</definedName>
    <definedName name="USOEAT_1Q11">Tags_ols!$BJ$41</definedName>
    <definedName name="USOEAT_1Q12" localSheetId="10">Tags!$BO$41</definedName>
    <definedName name="USOEAT_1Q12">Tags_ols!$BO$41</definedName>
    <definedName name="USOEAT_1Q13" localSheetId="10">Tags!$BT$41</definedName>
    <definedName name="USOEAT_1Q13">Tags_ols!$BT$41</definedName>
    <definedName name="USOEAT_1Q14" localSheetId="10">Tags!$BY$41</definedName>
    <definedName name="USOEAT_1Q14">Tags_ols!$BY$41</definedName>
    <definedName name="USOEAT_1Q15" localSheetId="10">Tags!$CD$41</definedName>
    <definedName name="USOEAT_1Q15">Tags_ols!$CD$41</definedName>
    <definedName name="USOEAT_1Q16" localSheetId="10">Tags!$CI$41</definedName>
    <definedName name="USOEAT_1Q16">Tags_ols!$CI$41</definedName>
    <definedName name="USOEAT_1Q17" localSheetId="10">Tags!$CN$41</definedName>
    <definedName name="USOEAT_1Q17">Tags_ols!$CN$41</definedName>
    <definedName name="USOEAT_1Q18" localSheetId="10">Tags!$CS$41</definedName>
    <definedName name="USOEAT_1Q18">Tags_ols!$CS$41</definedName>
    <definedName name="USOEAT_1Q19" localSheetId="10">Tags!$CX$41</definedName>
    <definedName name="USOEAT_1Q19">Tags_ols!$CX$41</definedName>
    <definedName name="USOEAT_1Q20" localSheetId="10">Tags!$DC$41</definedName>
    <definedName name="USOEAT_1Q20">Tags_ols!$DC$41</definedName>
    <definedName name="USOEAT_1Q21">Tags!$DH$41</definedName>
    <definedName name="USOEAT_1Q22">Tags!$DM$41</definedName>
    <definedName name="USOEAT_1Q23">Tags!$DR$41</definedName>
    <definedName name="USOEAT_1Q24">Tags!$DW$41</definedName>
    <definedName name="USOEAT_2000" localSheetId="10">Tags!$K$41</definedName>
    <definedName name="USOEAT_2000">Tags_ols!$K$41</definedName>
    <definedName name="USOEAT_2001" localSheetId="10">Tags!$P$41</definedName>
    <definedName name="USOEAT_2001">Tags_ols!$P$41</definedName>
    <definedName name="USOEAT_2002" localSheetId="10">Tags!$U$41</definedName>
    <definedName name="USOEAT_2002">Tags_ols!$U$41</definedName>
    <definedName name="USOEAT_2003" localSheetId="10">Tags!$Z$41</definedName>
    <definedName name="USOEAT_2003">Tags_ols!$Z$41</definedName>
    <definedName name="USOEAT_2004" localSheetId="10">Tags!$AE$41</definedName>
    <definedName name="USOEAT_2004">Tags_ols!$AE$41</definedName>
    <definedName name="USOEAT_2005" localSheetId="10">Tags!$AJ$41</definedName>
    <definedName name="USOEAT_2005">Tags_ols!$AJ$41</definedName>
    <definedName name="USOEAT_2006" localSheetId="10">Tags!$AO$41</definedName>
    <definedName name="USOEAT_2006">Tags_ols!$AO$41</definedName>
    <definedName name="USOEAT_2007" localSheetId="10">Tags!$AT$41</definedName>
    <definedName name="USOEAT_2007">Tags_ols!$AT$41</definedName>
    <definedName name="USOEAT_2008" localSheetId="10">Tags!$AY$41</definedName>
    <definedName name="USOEAT_2008">Tags_ols!$AY$41</definedName>
    <definedName name="USOEAT_2009" localSheetId="10">Tags!$BD$41</definedName>
    <definedName name="USOEAT_2009">Tags_ols!$BD$41</definedName>
    <definedName name="USOEAT_2010" localSheetId="10">Tags!$BI$41</definedName>
    <definedName name="USOEAT_2010">Tags_ols!$BI$41</definedName>
    <definedName name="USOEAT_2011" localSheetId="10">Tags!$BN$41</definedName>
    <definedName name="USOEAT_2011">Tags_ols!$BN$41</definedName>
    <definedName name="USOEAT_2012" localSheetId="10">Tags!$BS$41</definedName>
    <definedName name="USOEAT_2012">Tags_ols!$BS$41</definedName>
    <definedName name="USOEAT_2013" localSheetId="10">Tags!$BX$41</definedName>
    <definedName name="USOEAT_2013">Tags_ols!$BX$41</definedName>
    <definedName name="USOEAT_2014" localSheetId="10">Tags!$CC$41</definedName>
    <definedName name="USOEAT_2014">Tags_ols!$CC$41</definedName>
    <definedName name="USOEAT_2015" localSheetId="10">Tags!#REF!</definedName>
    <definedName name="USOEAT_2015">Tags!$CH$41</definedName>
    <definedName name="USOEAT_2016" localSheetId="10">Tags!$CM$41</definedName>
    <definedName name="USOEAT_2016">Tags_ols!$CM$41</definedName>
    <definedName name="USOEAT_2017" localSheetId="10">Tags!$CR$41</definedName>
    <definedName name="USOEAT_2017">Tags_ols!$CR$41</definedName>
    <definedName name="USOEAT_2018" localSheetId="10">Tags!$CW$41</definedName>
    <definedName name="USOEAT_2018">Tags_ols!$CW$41</definedName>
    <definedName name="USOEAT_2019" localSheetId="10">Tags!$DB$41</definedName>
    <definedName name="USOEAT_2019">Tags_ols!$DB$41</definedName>
    <definedName name="USOEAT_2020" localSheetId="10">Tags!$DG$41</definedName>
    <definedName name="USOEAT_2020">Tags_ols!$DG$41</definedName>
    <definedName name="USOEAT_2021">Tags!$DL$41</definedName>
    <definedName name="USOEAT_2022">Tags!$DQ$41</definedName>
    <definedName name="USOEAT_2023">Tags!$DV$41</definedName>
    <definedName name="USOEAT_2024">Tags!$EA$41</definedName>
    <definedName name="USOEAT_2Q00" localSheetId="10">Tags!$H$41</definedName>
    <definedName name="USOEAT_2Q00">Tags_ols!$H$41</definedName>
    <definedName name="USOEAT_2Q01" localSheetId="10">Tags!$M$41</definedName>
    <definedName name="USOEAT_2Q01">Tags_ols!$M$41</definedName>
    <definedName name="USOEAT_2Q02" localSheetId="10">Tags!$R$41</definedName>
    <definedName name="USOEAT_2Q02">Tags_ols!$R$41</definedName>
    <definedName name="USOEAT_2Q03" localSheetId="10">Tags!$W$41</definedName>
    <definedName name="USOEAT_2Q03">Tags_ols!$W$41</definedName>
    <definedName name="USOEAT_2Q04" localSheetId="10">Tags!$AB$41</definedName>
    <definedName name="USOEAT_2Q04">Tags_ols!$AB$41</definedName>
    <definedName name="USOEAT_2Q05" localSheetId="10">Tags!$AG$41</definedName>
    <definedName name="USOEAT_2Q05">Tags_ols!$AG$41</definedName>
    <definedName name="USOEAT_2Q06" localSheetId="10">Tags!$AL$41</definedName>
    <definedName name="USOEAT_2Q06">Tags_ols!$AL$41</definedName>
    <definedName name="USOEAT_2Q07" localSheetId="10">Tags!$AQ$41</definedName>
    <definedName name="USOEAT_2Q07">Tags_ols!$AQ$41</definedName>
    <definedName name="USOEAT_2Q08" localSheetId="10">Tags!$AV$41</definedName>
    <definedName name="USOEAT_2Q08">Tags_ols!$AV$41</definedName>
    <definedName name="USOEAT_2Q09" localSheetId="10">Tags!$BA$41</definedName>
    <definedName name="USOEAT_2Q09">Tags_ols!$BA$41</definedName>
    <definedName name="USOEAT_2Q10" localSheetId="10">Tags!$BF$41</definedName>
    <definedName name="USOEAT_2Q10">Tags_ols!$BF$41</definedName>
    <definedName name="USOEAT_2Q11" localSheetId="10">Tags!$BK$41</definedName>
    <definedName name="USOEAT_2Q11">Tags_ols!$BK$41</definedName>
    <definedName name="USOEAT_2Q12" localSheetId="10">Tags!$BP$41</definedName>
    <definedName name="USOEAT_2Q12">Tags_ols!$BP$41</definedName>
    <definedName name="USOEAT_2Q13" localSheetId="10">Tags!$BU$41</definedName>
    <definedName name="USOEAT_2Q13">Tags_ols!$BU$41</definedName>
    <definedName name="USOEAT_2Q14" localSheetId="10">Tags!$BZ$41</definedName>
    <definedName name="USOEAT_2Q14">Tags_ols!$BZ$41</definedName>
    <definedName name="USOEAT_2Q15" localSheetId="10">Tags!$CE$41</definedName>
    <definedName name="USOEAT_2Q15">Tags_ols!$CE$41</definedName>
    <definedName name="USOEAT_2Q16" localSheetId="10">Tags!$CJ$41</definedName>
    <definedName name="USOEAT_2Q16">Tags_ols!$CJ$41</definedName>
    <definedName name="USOEAT_2Q17" localSheetId="10">Tags!$CO$41</definedName>
    <definedName name="USOEAT_2Q17">Tags_ols!$CO$41</definedName>
    <definedName name="USOEAT_2Q18" localSheetId="10">Tags!$CT$41</definedName>
    <definedName name="USOEAT_2Q18">Tags_ols!$CT$41</definedName>
    <definedName name="USOEAT_2Q19" localSheetId="10">Tags!$CY$41</definedName>
    <definedName name="USOEAT_2Q19">Tags_ols!$CY$41</definedName>
    <definedName name="USOEAT_2Q20" localSheetId="10">Tags!$DD$41</definedName>
    <definedName name="USOEAT_2Q20">Tags_ols!$DD$41</definedName>
    <definedName name="USOEAT_2Q21">Tags!$DI$41</definedName>
    <definedName name="USOEAT_2Q22">Tags!$DN$41</definedName>
    <definedName name="USOEAT_2Q23">Tags!$DS$41</definedName>
    <definedName name="USOEAT_2Q24">Tags!$DX$41</definedName>
    <definedName name="USOEAT_3Q00" localSheetId="10">Tags!$I$41</definedName>
    <definedName name="USOEAT_3Q00">Tags_ols!$I$41</definedName>
    <definedName name="USOEAT_3Q01" localSheetId="10">Tags!$N$41</definedName>
    <definedName name="USOEAT_3Q01">Tags_ols!$N$41</definedName>
    <definedName name="USOEAT_3Q02" localSheetId="10">Tags!$S$41</definedName>
    <definedName name="USOEAT_3Q02">Tags_ols!$S$41</definedName>
    <definedName name="USOEAT_3Q03" localSheetId="10">Tags!$X$41</definedName>
    <definedName name="USOEAT_3Q03">Tags_ols!$X$41</definedName>
    <definedName name="USOEAT_3Q04" localSheetId="10">Tags!$AC$41</definedName>
    <definedName name="USOEAT_3Q04">Tags_ols!$AC$41</definedName>
    <definedName name="USOEAT_3Q05" localSheetId="10">Tags!$AH$41</definedName>
    <definedName name="USOEAT_3Q05">Tags_ols!$AH$41</definedName>
    <definedName name="USOEAT_3Q06" localSheetId="10">Tags!$AM$41</definedName>
    <definedName name="USOEAT_3Q06">Tags_ols!$AM$41</definedName>
    <definedName name="USOEAT_3Q07" localSheetId="10">Tags!$AR$41</definedName>
    <definedName name="USOEAT_3Q07">Tags_ols!$AR$41</definedName>
    <definedName name="USOEAT_3Q08" localSheetId="10">Tags!$AW$41</definedName>
    <definedName name="USOEAT_3Q08">Tags_ols!$AW$41</definedName>
    <definedName name="USOEAT_3Q09" localSheetId="10">Tags!$BB$41</definedName>
    <definedName name="USOEAT_3Q09">Tags_ols!$BB$41</definedName>
    <definedName name="USOEAT_3Q10" localSheetId="10">Tags!$BG$41</definedName>
    <definedName name="USOEAT_3Q10">Tags_ols!$BG$41</definedName>
    <definedName name="USOEAT_3Q11" localSheetId="10">Tags!$BL$41</definedName>
    <definedName name="USOEAT_3Q11">Tags_ols!$BL$41</definedName>
    <definedName name="USOEAT_3Q12" localSheetId="10">Tags!$BQ$41</definedName>
    <definedName name="USOEAT_3Q12">Tags_ols!$BQ$41</definedName>
    <definedName name="USOEAT_3Q13" localSheetId="10">Tags!$BV$41</definedName>
    <definedName name="USOEAT_3Q13">Tags_ols!$BV$41</definedName>
    <definedName name="USOEAT_3Q14" localSheetId="10">Tags!$CA$41</definedName>
    <definedName name="USOEAT_3Q14">Tags_ols!$CA$41</definedName>
    <definedName name="USOEAT_3Q15" localSheetId="10">Tags!$CF$41</definedName>
    <definedName name="USOEAT_3Q15">Tags_ols!$CF$41</definedName>
    <definedName name="USOEAT_3Q16" localSheetId="10">Tags!$CK$41</definedName>
    <definedName name="USOEAT_3Q16">Tags_ols!$CK$41</definedName>
    <definedName name="USOEAT_3Q17" localSheetId="10">Tags!$CP$41</definedName>
    <definedName name="USOEAT_3Q17">Tags_ols!$CP$41</definedName>
    <definedName name="USOEAT_3Q18" localSheetId="10">Tags!$CU$41</definedName>
    <definedName name="USOEAT_3Q18">Tags_ols!$CU$41</definedName>
    <definedName name="USOEAT_3Q19" localSheetId="10">Tags!$CZ$41</definedName>
    <definedName name="USOEAT_3Q19">Tags_ols!$CZ$41</definedName>
    <definedName name="USOEAT_3Q20" localSheetId="10">Tags!$DE$41</definedName>
    <definedName name="USOEAT_3Q20">Tags_ols!$DE$41</definedName>
    <definedName name="USOEAT_3Q21">Tags!$DJ$41</definedName>
    <definedName name="USOEAT_3Q22">Tags!$DO$41</definedName>
    <definedName name="USOEAT_3Q23">Tags!$DT$41</definedName>
    <definedName name="USOEAT_3Q24">Tags!$DY$41</definedName>
    <definedName name="USOEAT_4Q00" localSheetId="10">Tags!$J$41</definedName>
    <definedName name="USOEAT_4Q00">Tags_ols!$J$41</definedName>
    <definedName name="USOEAT_4Q01" localSheetId="10">Tags!$O$41</definedName>
    <definedName name="USOEAT_4Q01">Tags_ols!$O$41</definedName>
    <definedName name="USOEAT_4Q02" localSheetId="10">Tags!$T$41</definedName>
    <definedName name="USOEAT_4Q02">Tags_ols!$T$41</definedName>
    <definedName name="USOEAT_4Q03" localSheetId="10">Tags!$Y$41</definedName>
    <definedName name="USOEAT_4Q03">Tags_ols!$Y$41</definedName>
    <definedName name="USOEAT_4Q04" localSheetId="10">Tags!$AD$41</definedName>
    <definedName name="USOEAT_4Q04">Tags_ols!$AD$41</definedName>
    <definedName name="USOEAT_4Q05" localSheetId="10">Tags!$AI$41</definedName>
    <definedName name="USOEAT_4Q05">Tags_ols!$AI$41</definedName>
    <definedName name="USOEAT_4Q06" localSheetId="10">Tags!$AN$41</definedName>
    <definedName name="USOEAT_4Q06">Tags_ols!$AN$41</definedName>
    <definedName name="USOEAT_4Q07" localSheetId="10">Tags!$AS$41</definedName>
    <definedName name="USOEAT_4Q07">Tags_ols!$AS$41</definedName>
    <definedName name="USOEAT_4Q08" localSheetId="10">Tags!$AX$41</definedName>
    <definedName name="USOEAT_4Q08">Tags_ols!$AX$41</definedName>
    <definedName name="USOEAT_4Q09" localSheetId="10">Tags!$BC$41</definedName>
    <definedName name="USOEAT_4Q09">Tags_ols!$BC$41</definedName>
    <definedName name="USOEAT_4Q10" localSheetId="10">Tags!$BH$41</definedName>
    <definedName name="USOEAT_4Q10">Tags_ols!$BH$41</definedName>
    <definedName name="USOEAT_4Q11" localSheetId="10">Tags!$BM$41</definedName>
    <definedName name="USOEAT_4Q11">Tags_ols!$BM$41</definedName>
    <definedName name="USOEAT_4Q12" localSheetId="10">Tags!$BR$41</definedName>
    <definedName name="USOEAT_4Q12">Tags_ols!$BR$41</definedName>
    <definedName name="USOEAT_4Q13" localSheetId="10">Tags!$BW$41</definedName>
    <definedName name="USOEAT_4Q13">Tags_ols!$BW$41</definedName>
    <definedName name="USOEAT_4Q14" localSheetId="10">Tags!$CB$41</definedName>
    <definedName name="USOEAT_4Q14">Tags_ols!$CB$41</definedName>
    <definedName name="USOEAT_4Q15" localSheetId="10">Tags!$CG$41</definedName>
    <definedName name="USOEAT_4Q15">Tags_ols!$CG$41</definedName>
    <definedName name="USOEAT_4Q16" localSheetId="10">Tags!$CL$41</definedName>
    <definedName name="USOEAT_4Q16">Tags_ols!$CL$41</definedName>
    <definedName name="USOEAT_4Q17" localSheetId="10">Tags!$CQ$41</definedName>
    <definedName name="USOEAT_4Q17">Tags_ols!$CQ$41</definedName>
    <definedName name="USOEAT_4Q18" localSheetId="10">Tags!$CV$41</definedName>
    <definedName name="USOEAT_4Q18">Tags_ols!$CV$41</definedName>
    <definedName name="USOEAT_4Q19" localSheetId="10">Tags!$DA$41</definedName>
    <definedName name="USOEAT_4Q19">Tags_ols!$DA$41</definedName>
    <definedName name="USOEAT_4Q20" localSheetId="10">Tags!$DF$41</definedName>
    <definedName name="USOEAT_4Q20">Tags_ols!$DF$41</definedName>
    <definedName name="USOEAT_4Q21">Tags!$DK$41</definedName>
    <definedName name="USOEAT_4Q22">Tags!$DP$41</definedName>
    <definedName name="USOEAT_4Q23">Tags!$DU$41</definedName>
    <definedName name="USOEAT_4Q24">Tags!$DZ$41</definedName>
    <definedName name="Vail" localSheetId="4" hidden="1">{"PVGraph2",#N/A,FALSE,"PV Data"}</definedName>
    <definedName name="Vail" localSheetId="6" hidden="1">{"PVGraph2",#N/A,FALSE,"PV Data"}</definedName>
    <definedName name="Vail" localSheetId="0" hidden="1">{"PVGraph2",#N/A,FALSE,"PV Data"}</definedName>
    <definedName name="Vail" localSheetId="9" hidden="1">{"PVGraph2",#N/A,FALSE,"PV Data"}</definedName>
    <definedName name="Vail" localSheetId="5" hidden="1">{"PVGraph2",#N/A,FALSE,"PV Data"}</definedName>
    <definedName name="Vail" hidden="1">{"PVGraph2",#N/A,FALSE,"PV Data"}</definedName>
    <definedName name="VCP">#REF!</definedName>
    <definedName name="VCPADR">#REF!</definedName>
    <definedName name="Version.WIRE">1</definedName>
    <definedName name="VertPos">#REF!</definedName>
    <definedName name="VolumeCell">#REF!</definedName>
    <definedName name="VolumeComplement">#REF!</definedName>
    <definedName name="WACC_1995">Tags_ols!$B$625</definedName>
    <definedName name="WACC_1996">Tags_ols!$C$625</definedName>
    <definedName name="WACC_1997">Tags_ols!$D$625</definedName>
    <definedName name="WACC_1998">Tags_ols!$E$625</definedName>
    <definedName name="WACC_1999">Tags_ols!$F$625</definedName>
    <definedName name="WACC_1Q00" localSheetId="10">Tags!$G$625</definedName>
    <definedName name="WACC_1Q00">Tags_ols!$G$625</definedName>
    <definedName name="WACC_1Q01" localSheetId="10">Tags!$L$625</definedName>
    <definedName name="WACC_1Q01">Tags_ols!$L$625</definedName>
    <definedName name="WACC_1Q02" localSheetId="10">Tags!$Q$625</definedName>
    <definedName name="WACC_1Q02">Tags_ols!$Q$625</definedName>
    <definedName name="WACC_1Q03" localSheetId="10">Tags!$V$625</definedName>
    <definedName name="WACC_1Q03">Tags_ols!$V$625</definedName>
    <definedName name="WACC_1Q04" localSheetId="10">Tags!$AA$625</definedName>
    <definedName name="WACC_1Q04">Tags_ols!$AA$625</definedName>
    <definedName name="WACC_1Q05" localSheetId="10">Tags!$AF$625</definedName>
    <definedName name="WACC_1Q05">Tags_ols!$AF$625</definedName>
    <definedName name="WACC_1Q06" localSheetId="10">Tags!$AK$625</definedName>
    <definedName name="WACC_1Q06">Tags_ols!$AK$625</definedName>
    <definedName name="WACC_1Q07" localSheetId="10">Tags!$AP$625</definedName>
    <definedName name="WACC_1Q07">Tags_ols!$AP$625</definedName>
    <definedName name="WACC_1Q08" localSheetId="10">Tags!$AU$625</definedName>
    <definedName name="WACC_1Q08">Tags_ols!$AU$625</definedName>
    <definedName name="WACC_1Q09" localSheetId="10">Tags!$AZ$625</definedName>
    <definedName name="WACC_1Q09">Tags_ols!$AZ$625</definedName>
    <definedName name="WACC_1Q10" localSheetId="10">Tags!$BE$625</definedName>
    <definedName name="WACC_1Q10">Tags_ols!$BE$625</definedName>
    <definedName name="WACC_1Q11" localSheetId="10">Tags!$BJ$625</definedName>
    <definedName name="WACC_1Q11">Tags_ols!$BJ$625</definedName>
    <definedName name="WACC_1Q12" localSheetId="10">Tags!$BO$625</definedName>
    <definedName name="WACC_1Q12">Tags_ols!$BO$625</definedName>
    <definedName name="WACC_1Q13" localSheetId="10">Tags!$BT$625</definedName>
    <definedName name="WACC_1Q13">Tags_ols!$BT$625</definedName>
    <definedName name="WACC_1Q14" localSheetId="10">Tags!$BY$625</definedName>
    <definedName name="WACC_1Q14">Tags_ols!$BY$625</definedName>
    <definedName name="WACC_1Q15" localSheetId="10">Tags!$CD$625</definedName>
    <definedName name="WACC_1Q15">Tags_ols!$CD$625</definedName>
    <definedName name="WACC_1Q16" localSheetId="10">Tags!$CI$625</definedName>
    <definedName name="WACC_1Q16">Tags_ols!$CI$625</definedName>
    <definedName name="WACC_1Q17" localSheetId="10">Tags!$CN$625</definedName>
    <definedName name="WACC_1Q17">Tags_ols!$CN$625</definedName>
    <definedName name="WACC_1Q18" localSheetId="10">Tags!$CS$625</definedName>
    <definedName name="WACC_1Q18">Tags_ols!$CS$625</definedName>
    <definedName name="WACC_1Q19" localSheetId="10">Tags!$CX$625</definedName>
    <definedName name="WACC_1Q19">Tags_ols!$CX$625</definedName>
    <definedName name="WACC_1Q20" localSheetId="10">Tags!$DC$625</definedName>
    <definedName name="WACC_1Q20">Tags_ols!$DC$625</definedName>
    <definedName name="WACC_1Q21">Tags!$DH$625</definedName>
    <definedName name="WACC_1Q22">Tags!$DM$625</definedName>
    <definedName name="WACC_1Q23">Tags!$DR$625</definedName>
    <definedName name="WACC_1Q24">Tags!$DW$625</definedName>
    <definedName name="WACC_2000" localSheetId="10">Tags!$K$625</definedName>
    <definedName name="WACC_2000">Tags_ols!$K$625</definedName>
    <definedName name="WACC_2001" localSheetId="10">Tags!$P$625</definedName>
    <definedName name="WACC_2001">Tags_ols!$P$625</definedName>
    <definedName name="WACC_2002" localSheetId="10">Tags!$U$625</definedName>
    <definedName name="WACC_2002">Tags_ols!$U$625</definedName>
    <definedName name="WACC_2003" localSheetId="10">Tags!$Z$625</definedName>
    <definedName name="WACC_2003">Tags_ols!$Z$625</definedName>
    <definedName name="WACC_2004" localSheetId="10">Tags!$AE$625</definedName>
    <definedName name="WACC_2004">Tags_ols!$AE$625</definedName>
    <definedName name="WACC_2005" localSheetId="10">Tags!$AJ$625</definedName>
    <definedName name="WACC_2005">Tags_ols!$AJ$625</definedName>
    <definedName name="WACC_2006" localSheetId="10">Tags!$AO$625</definedName>
    <definedName name="WACC_2006">Tags_ols!$AO$625</definedName>
    <definedName name="WACC_2007" localSheetId="10">Tags!$AT$625</definedName>
    <definedName name="WACC_2007">Tags_ols!$AT$625</definedName>
    <definedName name="WACC_2008" localSheetId="10">Tags!$AY$625</definedName>
    <definedName name="WACC_2008">Tags_ols!$AY$625</definedName>
    <definedName name="WACC_2009" localSheetId="10">Tags!$BD$625</definedName>
    <definedName name="WACC_2009">Tags_ols!$BD$625</definedName>
    <definedName name="WACC_2010" localSheetId="10">Tags!$BI$625</definedName>
    <definedName name="WACC_2010">Tags_ols!$BI$625</definedName>
    <definedName name="WACC_2011" localSheetId="10">Tags!$BN$625</definedName>
    <definedName name="WACC_2011">Tags_ols!$BN$625</definedName>
    <definedName name="WACC_2012" localSheetId="10">Tags!$BS$625</definedName>
    <definedName name="WACC_2012">Tags_ols!$BS$625</definedName>
    <definedName name="WACC_2013" localSheetId="10">Tags!$BX$625</definedName>
    <definedName name="WACC_2013">Tags_ols!$BX$625</definedName>
    <definedName name="WACC_2014" localSheetId="10">Tags!$CC$625</definedName>
    <definedName name="WACC_2014">Tags_ols!$CC$625</definedName>
    <definedName name="WACC_2015" localSheetId="10">Tags!#REF!</definedName>
    <definedName name="WACC_2015">Tags!$CH$625</definedName>
    <definedName name="WACC_2016" localSheetId="10">Tags!$CM$625</definedName>
    <definedName name="WACC_2016">Tags_ols!$CM$625</definedName>
    <definedName name="WACC_2017" localSheetId="10">Tags!$CR$625</definedName>
    <definedName name="WACC_2017">Tags_ols!$CR$625</definedName>
    <definedName name="WACC_2018" localSheetId="10">Tags!$CW$625</definedName>
    <definedName name="WACC_2018">Tags_ols!$CW$625</definedName>
    <definedName name="WACC_2019" localSheetId="10">Tags!$DB$625</definedName>
    <definedName name="WACC_2019">Tags_ols!$DB$625</definedName>
    <definedName name="WACC_2020" localSheetId="10">Tags!$DG$625</definedName>
    <definedName name="WACC_2020">Tags_ols!$DG$625</definedName>
    <definedName name="WACC_2021">Tags!$DL$625</definedName>
    <definedName name="WACC_2022">Tags!$DQ$625</definedName>
    <definedName name="WACC_2023">Tags!$DV$625</definedName>
    <definedName name="WACC_2024">Tags!$EA$625</definedName>
    <definedName name="WACC_2Q00" localSheetId="10">Tags!$H$625</definedName>
    <definedName name="WACC_2Q00">Tags_ols!$H$625</definedName>
    <definedName name="WACC_2Q01" localSheetId="10">Tags!$M$625</definedName>
    <definedName name="WACC_2Q01">Tags_ols!$M$625</definedName>
    <definedName name="WACC_2Q02" localSheetId="10">Tags!$R$625</definedName>
    <definedName name="WACC_2Q02">Tags_ols!$R$625</definedName>
    <definedName name="WACC_2Q03" localSheetId="10">Tags!$W$625</definedName>
    <definedName name="WACC_2Q03">Tags_ols!$W$625</definedName>
    <definedName name="WACC_2Q04" localSheetId="10">Tags!$AB$625</definedName>
    <definedName name="WACC_2Q04">Tags_ols!$AB$625</definedName>
    <definedName name="WACC_2Q05" localSheetId="10">Tags!$AG$625</definedName>
    <definedName name="WACC_2Q05">Tags_ols!$AG$625</definedName>
    <definedName name="WACC_2Q06" localSheetId="10">Tags!$AL$625</definedName>
    <definedName name="WACC_2Q06">Tags_ols!$AL$625</definedName>
    <definedName name="WACC_2Q07" localSheetId="10">Tags!$AQ$625</definedName>
    <definedName name="WACC_2Q07">Tags_ols!$AQ$625</definedName>
    <definedName name="WACC_2Q08" localSheetId="10">Tags!$AV$625</definedName>
    <definedName name="WACC_2Q08">Tags_ols!$AV$625</definedName>
    <definedName name="WACC_2Q09" localSheetId="10">Tags!$BA$625</definedName>
    <definedName name="WACC_2Q09">Tags_ols!$BA$625</definedName>
    <definedName name="WACC_2Q10" localSheetId="10">Tags!$BF$625</definedName>
    <definedName name="WACC_2Q10">Tags_ols!$BF$625</definedName>
    <definedName name="WACC_2Q11" localSheetId="10">Tags!$BK$625</definedName>
    <definedName name="WACC_2Q11">Tags_ols!$BK$625</definedName>
    <definedName name="WACC_2Q12" localSheetId="10">Tags!$BP$625</definedName>
    <definedName name="WACC_2Q12">Tags_ols!$BP$625</definedName>
    <definedName name="WACC_2Q13" localSheetId="10">Tags!$BU$625</definedName>
    <definedName name="WACC_2Q13">Tags_ols!$BU$625</definedName>
    <definedName name="WACC_2Q14" localSheetId="10">Tags!$BZ$625</definedName>
    <definedName name="WACC_2Q14">Tags_ols!$BZ$625</definedName>
    <definedName name="WACC_2Q15" localSheetId="10">Tags!$CE$625</definedName>
    <definedName name="WACC_2Q15">Tags_ols!$CE$625</definedName>
    <definedName name="WACC_2Q16" localSheetId="10">Tags!$CJ$625</definedName>
    <definedName name="WACC_2Q16">Tags_ols!$CJ$625</definedName>
    <definedName name="WACC_2Q17" localSheetId="10">Tags!$CO$625</definedName>
    <definedName name="WACC_2Q17">Tags_ols!$CO$625</definedName>
    <definedName name="WACC_2Q18" localSheetId="10">Tags!$CT$625</definedName>
    <definedName name="WACC_2Q18">Tags_ols!$CT$625</definedName>
    <definedName name="WACC_2Q19" localSheetId="10">Tags!$CY$625</definedName>
    <definedName name="WACC_2Q19">Tags_ols!$CY$625</definedName>
    <definedName name="WACC_2Q20" localSheetId="10">Tags!$DD$625</definedName>
    <definedName name="WACC_2Q20">Tags_ols!$DD$625</definedName>
    <definedName name="WACC_2Q21">Tags!$DI$625</definedName>
    <definedName name="WACC_2Q22">Tags!$DN$625</definedName>
    <definedName name="WACC_2Q23">Tags!$DS$625</definedName>
    <definedName name="WACC_2Q24">Tags!$DX$625</definedName>
    <definedName name="WACC_3Q00" localSheetId="10">Tags!$I$625</definedName>
    <definedName name="WACC_3Q00">Tags_ols!$I$625</definedName>
    <definedName name="WACC_3Q01" localSheetId="10">Tags!$N$625</definedName>
    <definedName name="WACC_3Q01">Tags_ols!$N$625</definedName>
    <definedName name="WACC_3Q02" localSheetId="10">Tags!$S$625</definedName>
    <definedName name="WACC_3Q02">Tags_ols!$S$625</definedName>
    <definedName name="WACC_3Q03" localSheetId="10">Tags!$X$625</definedName>
    <definedName name="WACC_3Q03">Tags_ols!$X$625</definedName>
    <definedName name="WACC_3Q04" localSheetId="10">Tags!$AC$625</definedName>
    <definedName name="WACC_3Q04">Tags_ols!$AC$625</definedName>
    <definedName name="WACC_3Q05" localSheetId="10">Tags!$AH$625</definedName>
    <definedName name="WACC_3Q05">Tags_ols!$AH$625</definedName>
    <definedName name="WACC_3Q06" localSheetId="10">Tags!$AM$625</definedName>
    <definedName name="WACC_3Q06">Tags_ols!$AM$625</definedName>
    <definedName name="WACC_3Q07" localSheetId="10">Tags!$AR$625</definedName>
    <definedName name="WACC_3Q07">Tags_ols!$AR$625</definedName>
    <definedName name="WACC_3Q08" localSheetId="10">Tags!$AW$625</definedName>
    <definedName name="WACC_3Q08">Tags_ols!$AW$625</definedName>
    <definedName name="WACC_3Q09" localSheetId="10">Tags!$BB$625</definedName>
    <definedName name="WACC_3Q09">Tags_ols!$BB$625</definedName>
    <definedName name="WACC_3Q10" localSheetId="10">Tags!$BG$625</definedName>
    <definedName name="WACC_3Q10">Tags_ols!$BG$625</definedName>
    <definedName name="WACC_3Q11" localSheetId="10">Tags!$BL$625</definedName>
    <definedName name="WACC_3Q11">Tags_ols!$BL$625</definedName>
    <definedName name="WACC_3Q12" localSheetId="10">Tags!$BQ$625</definedName>
    <definedName name="WACC_3Q12">Tags_ols!$BQ$625</definedName>
    <definedName name="WACC_3Q13" localSheetId="10">Tags!$BV$625</definedName>
    <definedName name="WACC_3Q13">Tags_ols!$BV$625</definedName>
    <definedName name="WACC_3Q14" localSheetId="10">Tags!$CA$625</definedName>
    <definedName name="WACC_3Q14">Tags_ols!$CA$625</definedName>
    <definedName name="WACC_3Q15" localSheetId="10">Tags!$CF$625</definedName>
    <definedName name="WACC_3Q15">Tags_ols!$CF$625</definedName>
    <definedName name="WACC_3Q16" localSheetId="10">Tags!$CK$625</definedName>
    <definedName name="WACC_3Q16">Tags_ols!$CK$625</definedName>
    <definedName name="WACC_3Q17" localSheetId="10">Tags!$CP$625</definedName>
    <definedName name="WACC_3Q17">Tags_ols!$CP$625</definedName>
    <definedName name="WACC_3Q18" localSheetId="10">Tags!$CU$625</definedName>
    <definedName name="WACC_3Q18">Tags_ols!$CU$625</definedName>
    <definedName name="WACC_3Q19" localSheetId="10">Tags!$CZ$625</definedName>
    <definedName name="WACC_3Q19">Tags_ols!$CZ$625</definedName>
    <definedName name="WACC_3Q20" localSheetId="10">Tags!$DE$625</definedName>
    <definedName name="WACC_3Q20">Tags_ols!$DE$625</definedName>
    <definedName name="WACC_3Q21">Tags!$DJ$625</definedName>
    <definedName name="WACC_3Q22">Tags!$DO$625</definedName>
    <definedName name="WACC_3Q23">Tags!$DT$625</definedName>
    <definedName name="WACC_3Q24">Tags!$DY$625</definedName>
    <definedName name="WACC_4Q00" localSheetId="10">Tags!$J$625</definedName>
    <definedName name="WACC_4Q00">Tags_ols!$J$625</definedName>
    <definedName name="WACC_4Q01" localSheetId="10">Tags!$O$625</definedName>
    <definedName name="WACC_4Q01">Tags_ols!$O$625</definedName>
    <definedName name="WACC_4Q02" localSheetId="10">Tags!$T$625</definedName>
    <definedName name="WACC_4Q02">Tags_ols!$T$625</definedName>
    <definedName name="WACC_4Q03" localSheetId="10">Tags!$Y$625</definedName>
    <definedName name="WACC_4Q03">Tags_ols!$Y$625</definedName>
    <definedName name="WACC_4Q04" localSheetId="10">Tags!$AD$625</definedName>
    <definedName name="WACC_4Q04">Tags_ols!$AD$625</definedName>
    <definedName name="WACC_4Q05" localSheetId="10">Tags!$AI$625</definedName>
    <definedName name="WACC_4Q05">Tags_ols!$AI$625</definedName>
    <definedName name="WACC_4Q06" localSheetId="10">Tags!$AN$625</definedName>
    <definedName name="WACC_4Q06">Tags_ols!$AN$625</definedName>
    <definedName name="WACC_4Q07" localSheetId="10">Tags!$AS$625</definedName>
    <definedName name="WACC_4Q07">Tags_ols!$AS$625</definedName>
    <definedName name="WACC_4Q08" localSheetId="10">Tags!$AX$625</definedName>
    <definedName name="WACC_4Q08">Tags_ols!$AX$625</definedName>
    <definedName name="WACC_4Q09" localSheetId="10">Tags!$BC$625</definedName>
    <definedName name="WACC_4Q09">Tags_ols!$BC$625</definedName>
    <definedName name="WACC_4Q10" localSheetId="10">Tags!$BH$625</definedName>
    <definedName name="WACC_4Q10">Tags_ols!$BH$625</definedName>
    <definedName name="WACC_4Q11" localSheetId="10">Tags!$BM$625</definedName>
    <definedName name="WACC_4Q11">Tags_ols!$BM$625</definedName>
    <definedName name="WACC_4Q12" localSheetId="10">Tags!$BR$625</definedName>
    <definedName name="WACC_4Q12">Tags_ols!$BR$625</definedName>
    <definedName name="WACC_4Q13" localSheetId="10">Tags!$BW$625</definedName>
    <definedName name="WACC_4Q13">Tags_ols!$BW$625</definedName>
    <definedName name="WACC_4Q14" localSheetId="10">Tags!$CB$625</definedName>
    <definedName name="WACC_4Q14">Tags_ols!$CB$625</definedName>
    <definedName name="WACC_4Q15" localSheetId="10">Tags!$CG$625</definedName>
    <definedName name="WACC_4Q15">Tags_ols!$CG$625</definedName>
    <definedName name="WACC_4Q16" localSheetId="10">Tags!$CL$625</definedName>
    <definedName name="WACC_4Q16">Tags_ols!$CL$625</definedName>
    <definedName name="WACC_4Q17" localSheetId="10">Tags!$CQ$625</definedName>
    <definedName name="WACC_4Q17">Tags_ols!$CQ$625</definedName>
    <definedName name="WACC_4Q18" localSheetId="10">Tags!$CV$625</definedName>
    <definedName name="WACC_4Q18">Tags_ols!$CV$625</definedName>
    <definedName name="WACC_4Q19" localSheetId="10">Tags!$DA$625</definedName>
    <definedName name="WACC_4Q19">Tags_ols!$DA$625</definedName>
    <definedName name="WACC_4Q20" localSheetId="10">Tags!$DF$625</definedName>
    <definedName name="WACC_4Q20">Tags_ols!$DF$625</definedName>
    <definedName name="WACC_4Q21">Tags!$DK$625</definedName>
    <definedName name="WACC_4Q22">Tags!$DP$625</definedName>
    <definedName name="WACC_4Q23">Tags!$DU$625</definedName>
    <definedName name="WACC_4Q24">Tags!$DZ$625</definedName>
    <definedName name="WCAPCH_1995">Tags_ols!$B$310</definedName>
    <definedName name="WCAPCH_1996">Tags_ols!$C$310</definedName>
    <definedName name="WCAPCH_1997">Tags_ols!$D$310</definedName>
    <definedName name="WCAPCH_1998">Tags_ols!$E$310</definedName>
    <definedName name="WCAPCH_1999">Tags_ols!$F$310</definedName>
    <definedName name="WCAPCH_1Q00" localSheetId="10">Tags!$G$310</definedName>
    <definedName name="WCAPCH_1Q00">Tags_ols!$G$310</definedName>
    <definedName name="WCAPCH_1Q01" localSheetId="10">Tags!$L$310</definedName>
    <definedName name="WCAPCH_1Q01">Tags_ols!$L$310</definedName>
    <definedName name="WCAPCH_1Q02" localSheetId="10">Tags!$Q$310</definedName>
    <definedName name="WCAPCH_1Q02">Tags_ols!$Q$310</definedName>
    <definedName name="WCAPCH_1Q03" localSheetId="10">Tags!$V$310</definedName>
    <definedName name="WCAPCH_1Q03">Tags_ols!$V$310</definedName>
    <definedName name="WCAPCH_1Q04" localSheetId="10">Tags!$AA$310</definedName>
    <definedName name="WCAPCH_1Q04">Tags_ols!$AA$310</definedName>
    <definedName name="WCAPCH_1Q05" localSheetId="10">Tags!$AF$310</definedName>
    <definedName name="WCAPCH_1Q05">Tags_ols!$AF$310</definedName>
    <definedName name="WCAPCH_1Q06" localSheetId="10">Tags!$AK$310</definedName>
    <definedName name="WCAPCH_1Q06" localSheetId="5">#REF!</definedName>
    <definedName name="WCAPCH_1Q06">Tags_ols!$AK$310</definedName>
    <definedName name="WCAPCH_1Q07" localSheetId="10">Tags!$AP$310</definedName>
    <definedName name="WCAPCH_1Q07">Tags_ols!$AP$310</definedName>
    <definedName name="WCAPCH_1Q08" localSheetId="10">Tags!$AU$310</definedName>
    <definedName name="WCAPCH_1Q08">Tags_ols!$AU$310</definedName>
    <definedName name="WCAPCH_1Q09" localSheetId="10">Tags!$AZ$310</definedName>
    <definedName name="WCAPCH_1Q09">Tags_ols!$AZ$310</definedName>
    <definedName name="WCAPCH_1Q10" localSheetId="10">Tags!$BE$310</definedName>
    <definedName name="WCAPCH_1Q10">Tags_ols!$BE$310</definedName>
    <definedName name="WCAPCH_1Q11" localSheetId="10">Tags!$BJ$310</definedName>
    <definedName name="WCAPCH_1Q11">Tags_ols!$BJ$310</definedName>
    <definedName name="WCAPCH_1Q12" localSheetId="10">Tags!$BO$310</definedName>
    <definedName name="WCAPCH_1Q12">Tags_ols!$BO$310</definedName>
    <definedName name="WCAPCH_1Q13" localSheetId="10">Tags!$BT$310</definedName>
    <definedName name="WCAPCH_1Q13">Tags_ols!$BT$310</definedName>
    <definedName name="WCAPCH_1Q14" localSheetId="10">Tags!$BY$310</definedName>
    <definedName name="WCAPCH_1Q14">Tags_ols!$BY$310</definedName>
    <definedName name="WCAPCH_1Q15" localSheetId="10">Tags!$CD$310</definedName>
    <definedName name="WCAPCH_1Q15">Tags_ols!$CD$310</definedName>
    <definedName name="WCAPCH_1Q16" localSheetId="10">Tags!$CI$310</definedName>
    <definedName name="WCAPCH_1Q16">Tags_ols!$CI$310</definedName>
    <definedName name="WCAPCH_1Q17" localSheetId="10">Tags!$CN$310</definedName>
    <definedName name="WCAPCH_1Q17">Tags_ols!$CN$310</definedName>
    <definedName name="WCAPCH_1Q18" localSheetId="10">Tags!$CS$310</definedName>
    <definedName name="WCAPCH_1Q18">Tags_ols!$CS$310</definedName>
    <definedName name="WCAPCH_1Q19" localSheetId="10">Tags!$CX$310</definedName>
    <definedName name="WCAPCH_1Q19">Tags_ols!$CX$310</definedName>
    <definedName name="WCAPCH_1Q20" localSheetId="10">Tags!$DC$310</definedName>
    <definedName name="WCAPCH_1Q20">Tags_ols!$DC$310</definedName>
    <definedName name="WCAPCH_1Q21">Tags!$DH$310</definedName>
    <definedName name="WCAPCH_1Q22">Tags!$DM$310</definedName>
    <definedName name="WCAPCH_1Q23">Tags!$DR$310</definedName>
    <definedName name="WCAPCH_1Q24">Tags!$DW$310</definedName>
    <definedName name="WCAPCH_2000" localSheetId="10">Tags!$K$310</definedName>
    <definedName name="WCAPCH_2000">Tags_ols!$K$310</definedName>
    <definedName name="WCAPCH_2001" localSheetId="10">Tags!$P$310</definedName>
    <definedName name="WCAPCH_2001">Tags_ols!$P$310</definedName>
    <definedName name="WCAPCH_2002" localSheetId="10">Tags!$U$310</definedName>
    <definedName name="WCAPCH_2002">Tags_ols!$U$310</definedName>
    <definedName name="WCAPCH_2003" localSheetId="10">Tags!$Z$310</definedName>
    <definedName name="WCAPCH_2003">Tags_ols!$Z$310</definedName>
    <definedName name="WCAPCH_2004" localSheetId="10">Tags!$AE$310</definedName>
    <definedName name="WCAPCH_2004" localSheetId="5">#REF!</definedName>
    <definedName name="WCAPCH_2004">Tags_ols!$AE$310</definedName>
    <definedName name="WCAPCH_2005" localSheetId="10">Tags!$AJ$310</definedName>
    <definedName name="WCAPCH_2005" localSheetId="5">#REF!</definedName>
    <definedName name="WCAPCH_2005">Tags_ols!$AJ$310</definedName>
    <definedName name="WCAPCH_2006" localSheetId="10">Tags!$AO$310</definedName>
    <definedName name="WCAPCH_2006">Tags_ols!$AO$310</definedName>
    <definedName name="WCAPCH_2007" localSheetId="10">Tags!$AT$310</definedName>
    <definedName name="WCAPCH_2007">Tags_ols!$AT$310</definedName>
    <definedName name="WCAPCH_2008" localSheetId="10">Tags!$AY$310</definedName>
    <definedName name="WCAPCH_2008">Tags_ols!$AY$310</definedName>
    <definedName name="WCAPCH_2009" localSheetId="10">Tags!$BD$310</definedName>
    <definedName name="WCAPCH_2009">Tags_ols!$BD$310</definedName>
    <definedName name="WCAPCH_2010" localSheetId="10">Tags!$BI$310</definedName>
    <definedName name="WCAPCH_2010">Tags_ols!$BI$310</definedName>
    <definedName name="WCAPCH_2011" localSheetId="10">Tags!$BN$310</definedName>
    <definedName name="WCAPCH_2011">Tags_ols!$BN$310</definedName>
    <definedName name="WCAPCH_2012" localSheetId="10">Tags!$BS$310</definedName>
    <definedName name="WCAPCH_2012">Tags_ols!$BS$310</definedName>
    <definedName name="WCAPCH_2013" localSheetId="10">Tags!$BX$310</definedName>
    <definedName name="WCAPCH_2013">Tags_ols!$BX$310</definedName>
    <definedName name="WCAPCH_2014" localSheetId="10">Tags!$CC$310</definedName>
    <definedName name="WCAPCH_2014">Tags_ols!$CC$310</definedName>
    <definedName name="WCAPCH_2015" localSheetId="10">Tags!#REF!</definedName>
    <definedName name="WCAPCH_2015">Tags!$CH$310</definedName>
    <definedName name="WCAPCH_2016" localSheetId="10">Tags!$CM$310</definedName>
    <definedName name="WCAPCH_2016">Tags_ols!$CM$310</definedName>
    <definedName name="WCAPCH_2017" localSheetId="10">Tags!$CR$310</definedName>
    <definedName name="WCAPCH_2017">Tags_ols!$CR$310</definedName>
    <definedName name="WCAPCH_2018" localSheetId="10">Tags!$CW$310</definedName>
    <definedName name="WCAPCH_2018">Tags_ols!$CW$310</definedName>
    <definedName name="WCAPCH_2019" localSheetId="10">Tags!$DB$310</definedName>
    <definedName name="WCAPCH_2019">Tags_ols!$DB$310</definedName>
    <definedName name="WCAPCH_2020" localSheetId="10">Tags!$DG$310</definedName>
    <definedName name="WCAPCH_2020">Tags_ols!$DG$310</definedName>
    <definedName name="WCAPCH_2021">Tags!$DL$310</definedName>
    <definedName name="WCAPCH_2022">Tags!$DQ$310</definedName>
    <definedName name="WCAPCH_2023">Tags!$DV$310</definedName>
    <definedName name="WCAPCH_2024">Tags!$EA$310</definedName>
    <definedName name="WCAPCH_2Q00" localSheetId="10">Tags!$H$310</definedName>
    <definedName name="WCAPCH_2Q00">Tags_ols!$H$310</definedName>
    <definedName name="WCAPCH_2Q01" localSheetId="10">Tags!$M$310</definedName>
    <definedName name="WCAPCH_2Q01">Tags_ols!$M$310</definedName>
    <definedName name="WCAPCH_2Q02" localSheetId="10">Tags!$R$310</definedName>
    <definedName name="WCAPCH_2Q02">Tags_ols!$R$310</definedName>
    <definedName name="WCAPCH_2Q03" localSheetId="10">Tags!$W$310</definedName>
    <definedName name="WCAPCH_2Q03">Tags_ols!$W$310</definedName>
    <definedName name="WCAPCH_2Q04" localSheetId="10">Tags!$AB$310</definedName>
    <definedName name="WCAPCH_2Q04">Tags_ols!$AB$310</definedName>
    <definedName name="WCAPCH_2Q05" localSheetId="10">Tags!$AG$310</definedName>
    <definedName name="WCAPCH_2Q05">Tags_ols!$AG$310</definedName>
    <definedName name="WCAPCH_2Q06" localSheetId="10">Tags!$AL$310</definedName>
    <definedName name="WCAPCH_2Q06" localSheetId="5">#REF!</definedName>
    <definedName name="WCAPCH_2Q06">Tags_ols!$AL$310</definedName>
    <definedName name="WCAPCH_2Q07" localSheetId="10">Tags!$AQ$310</definedName>
    <definedName name="WCAPCH_2Q07">Tags_ols!$AQ$310</definedName>
    <definedName name="WCAPCH_2Q08" localSheetId="10">Tags!$AV$310</definedName>
    <definedName name="WCAPCH_2Q08">Tags_ols!$AV$310</definedName>
    <definedName name="WCAPCH_2Q09" localSheetId="10">Tags!$BA$310</definedName>
    <definedName name="WCAPCH_2Q09">Tags_ols!$BA$310</definedName>
    <definedName name="WCAPCH_2Q10" localSheetId="10">Tags!$BF$310</definedName>
    <definedName name="WCAPCH_2Q10">Tags_ols!$BF$310</definedName>
    <definedName name="WCAPCH_2Q11" localSheetId="10">Tags!$BK$310</definedName>
    <definedName name="WCAPCH_2Q11">Tags_ols!$BK$310</definedName>
    <definedName name="WCAPCH_2Q12" localSheetId="10">Tags!$BP$310</definedName>
    <definedName name="WCAPCH_2Q12">Tags_ols!$BP$310</definedName>
    <definedName name="WCAPCH_2Q13" localSheetId="10">Tags!$BU$310</definedName>
    <definedName name="WCAPCH_2Q13">Tags_ols!$BU$310</definedName>
    <definedName name="WCAPCH_2Q14" localSheetId="10">Tags!$BZ$310</definedName>
    <definedName name="WCAPCH_2Q14">Tags_ols!$BZ$310</definedName>
    <definedName name="WCAPCH_2Q15" localSheetId="10">Tags!$CE$310</definedName>
    <definedName name="WCAPCH_2Q15">Tags_ols!$CE$310</definedName>
    <definedName name="WCAPCH_2Q16" localSheetId="10">Tags!$CJ$310</definedName>
    <definedName name="WCAPCH_2Q16">Tags_ols!$CJ$310</definedName>
    <definedName name="WCAPCH_2Q17" localSheetId="10">Tags!$CO$310</definedName>
    <definedName name="WCAPCH_2Q17">Tags_ols!$CO$310</definedName>
    <definedName name="WCAPCH_2Q18" localSheetId="10">Tags!$CT$310</definedName>
    <definedName name="WCAPCH_2Q18">Tags_ols!$CT$310</definedName>
    <definedName name="WCAPCH_2Q19" localSheetId="10">Tags!$CY$310</definedName>
    <definedName name="WCAPCH_2Q19">Tags_ols!$CY$310</definedName>
    <definedName name="WCAPCH_2Q20" localSheetId="10">Tags!$DD$310</definedName>
    <definedName name="WCAPCH_2Q20">Tags_ols!$DD$310</definedName>
    <definedName name="WCAPCH_2Q21">Tags!$DI$310</definedName>
    <definedName name="WCAPCH_2Q22">Tags!$DN$310</definedName>
    <definedName name="WCAPCH_2Q23">Tags!$DS$310</definedName>
    <definedName name="WCAPCH_2Q24">Tags!$DX$310</definedName>
    <definedName name="WCAPCH_3Q00" localSheetId="10">Tags!$I$310</definedName>
    <definedName name="WCAPCH_3Q00">Tags_ols!$I$310</definedName>
    <definedName name="WCAPCH_3Q01" localSheetId="10">Tags!$N$310</definedName>
    <definedName name="WCAPCH_3Q01">Tags_ols!$N$310</definedName>
    <definedName name="WCAPCH_3Q02" localSheetId="10">Tags!$S$310</definedName>
    <definedName name="WCAPCH_3Q02">Tags_ols!$S$310</definedName>
    <definedName name="WCAPCH_3Q03" localSheetId="10">Tags!$X$310</definedName>
    <definedName name="WCAPCH_3Q03">Tags_ols!$X$310</definedName>
    <definedName name="WCAPCH_3Q04" localSheetId="10">Tags!$AC$310</definedName>
    <definedName name="WCAPCH_3Q04">Tags_ols!$AC$310</definedName>
    <definedName name="WCAPCH_3Q05" localSheetId="10">Tags!$AH$310</definedName>
    <definedName name="WCAPCH_3Q05">Tags_ols!$AH$310</definedName>
    <definedName name="WCAPCH_3Q06" localSheetId="10">Tags!$AM$310</definedName>
    <definedName name="WCAPCH_3Q06" localSheetId="5">#REF!</definedName>
    <definedName name="WCAPCH_3Q06">Tags_ols!$AM$310</definedName>
    <definedName name="WCAPCH_3Q07" localSheetId="10">Tags!$AR$310</definedName>
    <definedName name="WCAPCH_3Q07">Tags_ols!$AR$310</definedName>
    <definedName name="WCAPCH_3Q08" localSheetId="10">Tags!$AW$310</definedName>
    <definedName name="WCAPCH_3Q08">Tags_ols!$AW$310</definedName>
    <definedName name="WCAPCH_3Q09" localSheetId="10">Tags!$BB$310</definedName>
    <definedName name="WCAPCH_3Q09">Tags_ols!$BB$310</definedName>
    <definedName name="WCAPCH_3Q10" localSheetId="10">Tags!$BG$310</definedName>
    <definedName name="WCAPCH_3Q10">Tags_ols!$BG$310</definedName>
    <definedName name="WCAPCH_3Q11" localSheetId="10">Tags!$BL$310</definedName>
    <definedName name="WCAPCH_3Q11">Tags_ols!$BL$310</definedName>
    <definedName name="WCAPCH_3Q12" localSheetId="10">Tags!$BQ$310</definedName>
    <definedName name="WCAPCH_3Q12">Tags_ols!$BQ$310</definedName>
    <definedName name="WCAPCH_3Q13" localSheetId="10">Tags!$BV$310</definedName>
    <definedName name="WCAPCH_3Q13">Tags_ols!$BV$310</definedName>
    <definedName name="WCAPCH_3Q14" localSheetId="10">Tags!$CA$310</definedName>
    <definedName name="WCAPCH_3Q14">Tags_ols!$CA$310</definedName>
    <definedName name="WCAPCH_3Q15" localSheetId="10">Tags!$CF$310</definedName>
    <definedName name="WCAPCH_3Q15">Tags_ols!$CF$310</definedName>
    <definedName name="WCAPCH_3Q16" localSheetId="10">Tags!$CK$310</definedName>
    <definedName name="WCAPCH_3Q16">Tags_ols!$CK$310</definedName>
    <definedName name="WCAPCH_3Q17" localSheetId="10">Tags!$CP$310</definedName>
    <definedName name="WCAPCH_3Q17">Tags_ols!$CP$310</definedName>
    <definedName name="WCAPCH_3Q18" localSheetId="10">Tags!$CU$310</definedName>
    <definedName name="WCAPCH_3Q18">Tags_ols!$CU$310</definedName>
    <definedName name="WCAPCH_3Q19" localSheetId="10">Tags!$CZ$310</definedName>
    <definedName name="WCAPCH_3Q19">Tags_ols!$CZ$310</definedName>
    <definedName name="WCAPCH_3Q20" localSheetId="10">Tags!$DE$310</definedName>
    <definedName name="WCAPCH_3Q20">Tags_ols!$DE$310</definedName>
    <definedName name="WCAPCH_3Q21">Tags!$DJ$310</definedName>
    <definedName name="WCAPCH_3Q22">Tags!$DO$310</definedName>
    <definedName name="WCAPCH_3Q23">Tags!$DT$310</definedName>
    <definedName name="WCAPCH_3Q24">Tags!$DY$310</definedName>
    <definedName name="WCAPCH_4Q00" localSheetId="10">Tags!$J$310</definedName>
    <definedName name="WCAPCH_4Q00">Tags_ols!$J$310</definedName>
    <definedName name="WCAPCH_4Q01" localSheetId="10">Tags!$O$310</definedName>
    <definedName name="WCAPCH_4Q01">Tags_ols!$O$310</definedName>
    <definedName name="WCAPCH_4Q02" localSheetId="10">Tags!$T$310</definedName>
    <definedName name="WCAPCH_4Q02">Tags_ols!$T$310</definedName>
    <definedName name="WCAPCH_4Q03" localSheetId="10">Tags!$Y$310</definedName>
    <definedName name="WCAPCH_4Q03">Tags_ols!$Y$310</definedName>
    <definedName name="WCAPCH_4Q04" localSheetId="10">Tags!$AD$310</definedName>
    <definedName name="WCAPCH_4Q04">Tags_ols!$AD$310</definedName>
    <definedName name="WCAPCH_4Q05" localSheetId="10">Tags!$AI$310</definedName>
    <definedName name="WCAPCH_4Q05">Tags_ols!$AI$310</definedName>
    <definedName name="WCAPCH_4Q06" localSheetId="10">Tags!$AN$310</definedName>
    <definedName name="WCAPCH_4Q06" localSheetId="5">#REF!</definedName>
    <definedName name="WCAPCH_4Q06">Tags_ols!$AN$310</definedName>
    <definedName name="WCAPCH_4Q07" localSheetId="10">Tags!$AS$310</definedName>
    <definedName name="WCAPCH_4Q07">Tags_ols!$AS$310</definedName>
    <definedName name="WCAPCH_4Q08" localSheetId="10">Tags!$AX$310</definedName>
    <definedName name="WCAPCH_4Q08">Tags_ols!$AX$310</definedName>
    <definedName name="WCAPCH_4Q09" localSheetId="10">Tags!$BC$310</definedName>
    <definedName name="WCAPCH_4Q09">Tags_ols!$BC$310</definedName>
    <definedName name="WCAPCH_4Q10" localSheetId="10">Tags!$BH$310</definedName>
    <definedName name="WCAPCH_4Q10">Tags_ols!$BH$310</definedName>
    <definedName name="WCAPCH_4Q11" localSheetId="10">Tags!$BM$310</definedName>
    <definedName name="WCAPCH_4Q11">Tags_ols!$BM$310</definedName>
    <definedName name="WCAPCH_4Q12" localSheetId="10">Tags!$BR$310</definedName>
    <definedName name="WCAPCH_4Q12">Tags_ols!$BR$310</definedName>
    <definedName name="WCAPCH_4Q13" localSheetId="10">Tags!$BW$310</definedName>
    <definedName name="WCAPCH_4Q13">Tags_ols!$BW$310</definedName>
    <definedName name="WCAPCH_4Q14" localSheetId="10">Tags!$CB$310</definedName>
    <definedName name="WCAPCH_4Q14">Tags_ols!$CB$310</definedName>
    <definedName name="WCAPCH_4Q15" localSheetId="10">Tags!$CG$310</definedName>
    <definedName name="WCAPCH_4Q15">Tags_ols!$CG$310</definedName>
    <definedName name="WCAPCH_4Q16" localSheetId="10">Tags!$CL$310</definedName>
    <definedName name="WCAPCH_4Q16">Tags_ols!$CL$310</definedName>
    <definedName name="WCAPCH_4Q17" localSheetId="10">Tags!$CQ$310</definedName>
    <definedName name="WCAPCH_4Q17">Tags_ols!$CQ$310</definedName>
    <definedName name="WCAPCH_4Q18" localSheetId="10">Tags!$CV$310</definedName>
    <definedName name="WCAPCH_4Q18">Tags_ols!$CV$310</definedName>
    <definedName name="WCAPCH_4Q19" localSheetId="10">Tags!$DA$310</definedName>
    <definedName name="WCAPCH_4Q19">Tags_ols!$DA$310</definedName>
    <definedName name="WCAPCH_4Q20" localSheetId="10">Tags!$DF$310</definedName>
    <definedName name="WCAPCH_4Q20">Tags_ols!$DF$310</definedName>
    <definedName name="WCAPCH_4Q21">Tags!$DK$310</definedName>
    <definedName name="WCAPCH_4Q22">Tags!$DP$310</definedName>
    <definedName name="WCAPCH_4Q23">Tags!$DU$310</definedName>
    <definedName name="WCAPCH_4Q24">Tags!$DZ$310</definedName>
    <definedName name="Weight">#REF!</definedName>
    <definedName name="Weight_List">#REF!</definedName>
    <definedName name="Wellpont" localSheetId="9">Word</definedName>
    <definedName name="Wellpont" localSheetId="5">Word</definedName>
    <definedName name="Wellpont">Word</definedName>
    <definedName name="WordMatrix">#REF!</definedName>
    <definedName name="wrn.1." localSheetId="4" hidden="1">{"cover",#N/A,TRUE,"Cover";"toc1",#N/A,TRUE,"TOC";"ts1",#N/A,TRUE,"Transaction Summary";"ei",#N/A,TRUE,"Earnings Impact";"ad",#N/A,TRUE,"accretion dilution"}</definedName>
    <definedName name="wrn.1." localSheetId="6" hidden="1">{"cover",#N/A,TRUE,"Cover";"toc1",#N/A,TRUE,"TOC";"ts1",#N/A,TRUE,"Transaction Summary";"ei",#N/A,TRUE,"Earnings Impact";"ad",#N/A,TRUE,"accretion dilution"}</definedName>
    <definedName name="wrn.1." localSheetId="0" hidden="1">{"cover",#N/A,TRUE,"Cover";"toc1",#N/A,TRUE,"TOC";"ts1",#N/A,TRUE,"Transaction Summary";"ei",#N/A,TRUE,"Earnings Impact";"ad",#N/A,TRUE,"accretion dilution"}</definedName>
    <definedName name="wrn.1." localSheetId="9" hidden="1">{"cover",#N/A,TRUE,"Cover";"toc1",#N/A,TRUE,"TOC";"ts1",#N/A,TRUE,"Transaction Summary";"ei",#N/A,TRUE,"Earnings Impact";"ad",#N/A,TRUE,"accretion dilution"}</definedName>
    <definedName name="wrn.1." localSheetId="5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4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6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0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9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5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.Per._.Cent._.Success." localSheetId="4" hidden="1">{#N/A,"10% Success",FALSE,"Sales Forecast";#N/A,#N/A,FALSE,"Sheet2"}</definedName>
    <definedName name="wrn.10._.Per._.Cent._.Success." localSheetId="6" hidden="1">{#N/A,"10% Success",FALSE,"Sales Forecast";#N/A,#N/A,FALSE,"Sheet2"}</definedName>
    <definedName name="wrn.10._.Per._.Cent._.Success." localSheetId="0" hidden="1">{#N/A,"10% Success",FALSE,"Sales Forecast";#N/A,#N/A,FALSE,"Sheet2"}</definedName>
    <definedName name="wrn.10._.Per._.Cent._.Success." localSheetId="9" hidden="1">{#N/A,"10% Success",FALSE,"Sales Forecast";#N/A,#N/A,FALSE,"Sheet2"}</definedName>
    <definedName name="wrn.10._.Per._.Cent._.Success." localSheetId="5" hidden="1">{#N/A,"10% Success",FALSE,"Sales Forecast";#N/A,#N/A,FALSE,"Sheet2"}</definedName>
    <definedName name="wrn.10._.Per._.Cent._.Success." hidden="1">{#N/A,"10% Success",FALSE,"Sales Forecast";#N/A,#N/A,FALSE,"Sheet2"}</definedName>
    <definedName name="wrn.100._.Per._.Cent._.Success." localSheetId="4" hidden="1">{#N/A,"100% Success",TRUE,"Sales Forecast";#N/A,#N/A,TRUE,"Sheet2"}</definedName>
    <definedName name="wrn.100._.Per._.Cent._.Success." localSheetId="6" hidden="1">{#N/A,"100% Success",TRUE,"Sales Forecast";#N/A,#N/A,TRUE,"Sheet2"}</definedName>
    <definedName name="wrn.100._.Per._.Cent._.Success." localSheetId="0" hidden="1">{#N/A,"100% Success",TRUE,"Sales Forecast";#N/A,#N/A,TRUE,"Sheet2"}</definedName>
    <definedName name="wrn.100._.Per._.Cent._.Success." localSheetId="9" hidden="1">{#N/A,"100% Success",TRUE,"Sales Forecast";#N/A,#N/A,TRUE,"Sheet2"}</definedName>
    <definedName name="wrn.100._.Per._.Cent._.Success." localSheetId="5" hidden="1">{#N/A,"100% Success",TRUE,"Sales Forecast";#N/A,#N/A,TRUE,"Sheet2"}</definedName>
    <definedName name="wrn.100._.Per._.Cent._.Success." hidden="1">{#N/A,"100% Success",TRUE,"Sales Forecast";#N/A,#N/A,TRUE,"Sheet2"}</definedName>
    <definedName name="wrn.11." localSheetId="4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6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0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9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5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4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6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0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9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5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4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6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0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5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4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6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0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9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5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4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6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0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9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5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4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6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0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9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5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4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6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0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9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5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4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6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0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9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5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4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6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0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9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5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2." localSheetId="4" hidden="1">{"cover",#N/A,TRUE,"Cover";"toc1",#N/A,TRUE,"TOC";"ts1",#N/A,TRUE,"Transaction Summary";"ei1",#N/A,TRUE,"Earnings Impact";"ad1",#N/A,TRUE,"accretion dilution"}</definedName>
    <definedName name="wrn.2." localSheetId="6" hidden="1">{"cover",#N/A,TRUE,"Cover";"toc1",#N/A,TRUE,"TOC";"ts1",#N/A,TRUE,"Transaction Summary";"ei1",#N/A,TRUE,"Earnings Impact";"ad1",#N/A,TRUE,"accretion dilution"}</definedName>
    <definedName name="wrn.2." localSheetId="0" hidden="1">{"cover",#N/A,TRUE,"Cover";"toc1",#N/A,TRUE,"TOC";"ts1",#N/A,TRUE,"Transaction Summary";"ei1",#N/A,TRUE,"Earnings Impact";"ad1",#N/A,TRUE,"accretion dilution"}</definedName>
    <definedName name="wrn.2." localSheetId="9" hidden="1">{"cover",#N/A,TRUE,"Cover";"toc1",#N/A,TRUE,"TOC";"ts1",#N/A,TRUE,"Transaction Summary";"ei1",#N/A,TRUE,"Earnings Impact";"ad1",#N/A,TRUE,"accretion dilution"}</definedName>
    <definedName name="wrn.2." localSheetId="5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0." localSheetId="4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6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0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9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5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4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6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0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9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5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4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6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0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9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5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4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6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0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9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5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4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6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0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9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5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4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6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0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9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5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4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6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0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9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5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4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6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0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9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5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4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6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0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9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5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4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6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0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9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5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4" hidden="1">{"cover",#N/A,TRUE,"Cover";"toc1",#N/A,TRUE,"TOC";"ts1",#N/A,TRUE,"Transaction Summary";"ei2",#N/A,TRUE,"Earnings Impact";"ad2",#N/A,TRUE,"accretion dilution"}</definedName>
    <definedName name="wrn.3." localSheetId="6" hidden="1">{"cover",#N/A,TRUE,"Cover";"toc1",#N/A,TRUE,"TOC";"ts1",#N/A,TRUE,"Transaction Summary";"ei2",#N/A,TRUE,"Earnings Impact";"ad2",#N/A,TRUE,"accretion dilution"}</definedName>
    <definedName name="wrn.3." localSheetId="0" hidden="1">{"cover",#N/A,TRUE,"Cover";"toc1",#N/A,TRUE,"TOC";"ts1",#N/A,TRUE,"Transaction Summary";"ei2",#N/A,TRUE,"Earnings Impact";"ad2",#N/A,TRUE,"accretion dilution"}</definedName>
    <definedName name="wrn.3." localSheetId="9" hidden="1">{"cover",#N/A,TRUE,"Cover";"toc1",#N/A,TRUE,"TOC";"ts1",#N/A,TRUE,"Transaction Summary";"ei2",#N/A,TRUE,"Earnings Impact";"ad2",#N/A,TRUE,"accretion dilution"}</definedName>
    <definedName name="wrn.3." localSheetId="5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4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6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0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9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5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.Per._.Cent." localSheetId="4" hidden="1">{#N/A,"30% Success",TRUE,"Sales Forecast";#N/A,#N/A,TRUE,"Sheet2"}</definedName>
    <definedName name="wrn.30._.Per._.Cent." localSheetId="6" hidden="1">{#N/A,"30% Success",TRUE,"Sales Forecast";#N/A,#N/A,TRUE,"Sheet2"}</definedName>
    <definedName name="wrn.30._.Per._.Cent." localSheetId="0" hidden="1">{#N/A,"30% Success",TRUE,"Sales Forecast";#N/A,#N/A,TRUE,"Sheet2"}</definedName>
    <definedName name="wrn.30._.Per._.Cent." localSheetId="9" hidden="1">{#N/A,"30% Success",TRUE,"Sales Forecast";#N/A,#N/A,TRUE,"Sheet2"}</definedName>
    <definedName name="wrn.30._.Per._.Cent." localSheetId="5" hidden="1">{#N/A,"30% Success",TRUE,"Sales Forecast";#N/A,#N/A,TRUE,"Sheet2"}</definedName>
    <definedName name="wrn.30._.Per._.Cent." hidden="1">{#N/A,"30% Success",TRUE,"Sales Forecast";#N/A,#N/A,TRUE,"Sheet2"}</definedName>
    <definedName name="wrn.31." localSheetId="4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6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0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9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5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4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6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0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9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5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4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6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0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9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5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4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6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0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9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5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4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6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0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9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5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4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6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0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9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5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4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6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0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9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5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4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6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0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9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5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4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6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0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9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5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4" hidden="1">{"toc1",#N/A,FALSE,"TOC";"cover",#N/A,FALSE,"Cover";"ts1",#N/A,FALSE,"Transaction Summary";"ei3",#N/A,FALSE,"Earnings Impact";"ad3",#N/A,FALSE,"accretion dilution"}</definedName>
    <definedName name="wrn.4." localSheetId="6" hidden="1">{"toc1",#N/A,FALSE,"TOC";"cover",#N/A,FALSE,"Cover";"ts1",#N/A,FALSE,"Transaction Summary";"ei3",#N/A,FALSE,"Earnings Impact";"ad3",#N/A,FALSE,"accretion dilution"}</definedName>
    <definedName name="wrn.4." localSheetId="0" hidden="1">{"toc1",#N/A,FALSE,"TOC";"cover",#N/A,FALSE,"Cover";"ts1",#N/A,FALSE,"Transaction Summary";"ei3",#N/A,FALSE,"Earnings Impact";"ad3",#N/A,FALSE,"accretion dilution"}</definedName>
    <definedName name="wrn.4." localSheetId="9" hidden="1">{"toc1",#N/A,FALSE,"TOC";"cover",#N/A,FALSE,"Cover";"ts1",#N/A,FALSE,"Transaction Summary";"ei3",#N/A,FALSE,"Earnings Impact";"ad3",#N/A,FALSE,"accretion dilution"}</definedName>
    <definedName name="wrn.4." localSheetId="5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4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6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0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9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5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4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6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0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9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5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4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6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0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9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5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4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6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0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9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5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4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6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0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9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5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4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6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0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9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5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4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6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0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9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5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4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6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0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9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5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4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6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0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9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5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4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6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0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9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5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4" hidden="1">{"cover",#N/A,TRUE,"Cover";"toc2",#N/A,TRUE,"TOC";"ts1",#N/A,TRUE,"Transaction Summary";"ei",#N/A,TRUE,"Earnings Impact";"ad",#N/A,TRUE,"accretion dilution";"hg",#N/A,TRUE,"Has-Gets"}</definedName>
    <definedName name="wrn.5." localSheetId="6" hidden="1">{"cover",#N/A,TRUE,"Cover";"toc2",#N/A,TRUE,"TOC";"ts1",#N/A,TRUE,"Transaction Summary";"ei",#N/A,TRUE,"Earnings Impact";"ad",#N/A,TRUE,"accretion dilution";"hg",#N/A,TRUE,"Has-Gets"}</definedName>
    <definedName name="wrn.5." localSheetId="0" hidden="1">{"cover",#N/A,TRUE,"Cover";"toc2",#N/A,TRUE,"TOC";"ts1",#N/A,TRUE,"Transaction Summary";"ei",#N/A,TRUE,"Earnings Impact";"ad",#N/A,TRUE,"accretion dilution";"hg",#N/A,TRUE,"Has-Gets"}</definedName>
    <definedName name="wrn.5." localSheetId="9" hidden="1">{"cover",#N/A,TRUE,"Cover";"toc2",#N/A,TRUE,"TOC";"ts1",#N/A,TRUE,"Transaction Summary";"ei",#N/A,TRUE,"Earnings Impact";"ad",#N/A,TRUE,"accretion dilution";"hg",#N/A,TRUE,"Has-Gets"}</definedName>
    <definedName name="wrn.5." localSheetId="5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4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6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0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9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5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4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6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0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9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5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4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6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0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9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5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4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6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0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9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5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4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6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0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9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5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4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6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0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9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5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4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6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0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9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5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4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6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0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9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5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4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6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0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9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5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4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6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0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9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5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4" hidden="1">{"cover",#N/A,TRUE,"Cover";"toc2",#N/A,TRUE,"TOC";"ts1",#N/A,TRUE,"Transaction Summary";"ei1",#N/A,TRUE,"Earnings Impact";"ad1",#N/A,TRUE,"accretion dilution";"hg1",#N/A,TRUE,"Has-Gets"}</definedName>
    <definedName name="wrn.6." localSheetId="6" hidden="1">{"cover",#N/A,TRUE,"Cover";"toc2",#N/A,TRUE,"TOC";"ts1",#N/A,TRUE,"Transaction Summary";"ei1",#N/A,TRUE,"Earnings Impact";"ad1",#N/A,TRUE,"accretion dilution";"hg1",#N/A,TRUE,"Has-Gets"}</definedName>
    <definedName name="wrn.6." localSheetId="0" hidden="1">{"cover",#N/A,TRUE,"Cover";"toc2",#N/A,TRUE,"TOC";"ts1",#N/A,TRUE,"Transaction Summary";"ei1",#N/A,TRUE,"Earnings Impact";"ad1",#N/A,TRUE,"accretion dilution";"hg1",#N/A,TRUE,"Has-Gets"}</definedName>
    <definedName name="wrn.6." localSheetId="9" hidden="1">{"cover",#N/A,TRUE,"Cover";"toc2",#N/A,TRUE,"TOC";"ts1",#N/A,TRUE,"Transaction Summary";"ei1",#N/A,TRUE,"Earnings Impact";"ad1",#N/A,TRUE,"accretion dilution";"hg1",#N/A,TRUE,"Has-Gets"}</definedName>
    <definedName name="wrn.6." localSheetId="5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4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6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0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9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5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4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6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0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9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5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4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6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0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9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5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4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6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0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9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5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4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6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0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9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5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4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6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0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9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4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6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0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9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5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4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6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0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9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5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4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6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0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9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5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4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6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0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9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5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4" hidden="1">{"cover",#N/A,TRUE,"Cover";"toc2",#N/A,TRUE,"TOC";"ts1",#N/A,TRUE,"Transaction Summary";"ei2c",#N/A,TRUE,"Earnings Impact";"ad2",#N/A,TRUE,"accretion dilution";"hg2",#N/A,TRUE,"Has-Gets"}</definedName>
    <definedName name="wrn.7." localSheetId="6" hidden="1">{"cover",#N/A,TRUE,"Cover";"toc2",#N/A,TRUE,"TOC";"ts1",#N/A,TRUE,"Transaction Summary";"ei2c",#N/A,TRUE,"Earnings Impact";"ad2",#N/A,TRUE,"accretion dilution";"hg2",#N/A,TRUE,"Has-Gets"}</definedName>
    <definedName name="wrn.7." localSheetId="0" hidden="1">{"cover",#N/A,TRUE,"Cover";"toc2",#N/A,TRUE,"TOC";"ts1",#N/A,TRUE,"Transaction Summary";"ei2c",#N/A,TRUE,"Earnings Impact";"ad2",#N/A,TRUE,"accretion dilution";"hg2",#N/A,TRUE,"Has-Gets"}</definedName>
    <definedName name="wrn.7." localSheetId="9" hidden="1">{"cover",#N/A,TRUE,"Cover";"toc2",#N/A,TRUE,"TOC";"ts1",#N/A,TRUE,"Transaction Summary";"ei2c",#N/A,TRUE,"Earnings Impact";"ad2",#N/A,TRUE,"accretion dilution";"hg2",#N/A,TRUE,"Has-Gets"}</definedName>
    <definedName name="wrn.7." localSheetId="5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4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6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0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9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5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.Per._.Cent._.Success." localSheetId="4" hidden="1">{#N/A,"70% Success",FALSE,"Sales Forecast";#N/A,#N/A,FALSE,"Sheet2"}</definedName>
    <definedName name="wrn.70._.Per._.Cent._.Success." localSheetId="6" hidden="1">{#N/A,"70% Success",FALSE,"Sales Forecast";#N/A,#N/A,FALSE,"Sheet2"}</definedName>
    <definedName name="wrn.70._.Per._.Cent._.Success." localSheetId="0" hidden="1">{#N/A,"70% Success",FALSE,"Sales Forecast";#N/A,#N/A,FALSE,"Sheet2"}</definedName>
    <definedName name="wrn.70._.Per._.Cent._.Success." localSheetId="9" hidden="1">{#N/A,"70% Success",FALSE,"Sales Forecast";#N/A,#N/A,FALSE,"Sheet2"}</definedName>
    <definedName name="wrn.70._.Per._.Cent._.Success." localSheetId="5" hidden="1">{#N/A,"70% Success",FALSE,"Sales Forecast";#N/A,#N/A,FALSE,"Sheet2"}</definedName>
    <definedName name="wrn.70._.Per._.Cent._.Success." hidden="1">{#N/A,"70% Success",FALSE,"Sales Forecast";#N/A,#N/A,FALSE,"Sheet2"}</definedName>
    <definedName name="wrn.71." localSheetId="4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6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0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9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5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4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6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0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9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5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4" hidden="1">{"cover",#N/A,TRUE,"Cover";"toc2",#N/A,TRUE,"TOC";"ts1",#N/A,TRUE,"Transaction Summary";"ei3",#N/A,TRUE,"Earnings Impact";"ad3",#N/A,TRUE,"accretion dilution";"hg3",#N/A,TRUE,"Has-Gets"}</definedName>
    <definedName name="wrn.8." localSheetId="6" hidden="1">{"cover",#N/A,TRUE,"Cover";"toc2",#N/A,TRUE,"TOC";"ts1",#N/A,TRUE,"Transaction Summary";"ei3",#N/A,TRUE,"Earnings Impact";"ad3",#N/A,TRUE,"accretion dilution";"hg3",#N/A,TRUE,"Has-Gets"}</definedName>
    <definedName name="wrn.8." localSheetId="0" hidden="1">{"cover",#N/A,TRUE,"Cover";"toc2",#N/A,TRUE,"TOC";"ts1",#N/A,TRUE,"Transaction Summary";"ei3",#N/A,TRUE,"Earnings Impact";"ad3",#N/A,TRUE,"accretion dilution";"hg3",#N/A,TRUE,"Has-Gets"}</definedName>
    <definedName name="wrn.8." localSheetId="9" hidden="1">{"cover",#N/A,TRUE,"Cover";"toc2",#N/A,TRUE,"TOC";"ts1",#N/A,TRUE,"Transaction Summary";"ei3",#N/A,TRUE,"Earnings Impact";"ad3",#N/A,TRUE,"accretion dilution";"hg3",#N/A,TRUE,"Has-Gets"}</definedName>
    <definedName name="wrn.8." localSheetId="5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4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6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0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9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5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lligator." localSheetId="4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6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0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9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localSheetId="5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IMPRESSO." localSheetId="4" hidden="1">{#N/A,#N/A,FALSE,"Plan1";#N/A,#N/A,FALSE,"Plan2"}</definedName>
    <definedName name="wrn.IMPRESSO." localSheetId="6" hidden="1">{#N/A,#N/A,FALSE,"Plan1";#N/A,#N/A,FALSE,"Plan2"}</definedName>
    <definedName name="wrn.IMPRESSO." localSheetId="3" hidden="1">{#N/A,#N/A,FALSE,"Plan1";#N/A,#N/A,FALSE,"Plan2"}</definedName>
    <definedName name="wrn.IMPRESSO." localSheetId="9" hidden="1">{#N/A,#N/A,FALSE,"Plan1";#N/A,#N/A,FALSE,"Plan2"}</definedName>
    <definedName name="wrn.IMPRESSO." localSheetId="5" hidden="1">{#N/A,#N/A,FALSE,"Plan1";#N/A,#N/A,FALSE,"Plan2"}</definedName>
    <definedName name="wrn.IMPRESSO." hidden="1">{#N/A,#N/A,FALSE,"Plan1";#N/A,#N/A,FALSE,"Plan2"}</definedName>
    <definedName name="wrn.MergerModel." localSheetId="4" hidden="1">{"Deal",#N/A,FALSE,"Deal";"acquiror",#N/A,FALSE,"Acquiror";"Target",#N/A,FALSE,"Target"}</definedName>
    <definedName name="wrn.MergerModel." localSheetId="6" hidden="1">{"Deal",#N/A,FALSE,"Deal";"acquiror",#N/A,FALSE,"Acquiror";"Target",#N/A,FALSE,"Target"}</definedName>
    <definedName name="wrn.MergerModel." localSheetId="0" hidden="1">{"Deal",#N/A,FALSE,"Deal";"acquiror",#N/A,FALSE,"Acquiror";"Target",#N/A,FALSE,"Target"}</definedName>
    <definedName name="wrn.MergerModel." localSheetId="9" hidden="1">{"Deal",#N/A,FALSE,"Deal";"acquiror",#N/A,FALSE,"Acquiror";"Target",#N/A,FALSE,"Target"}</definedName>
    <definedName name="wrn.MergerModel." localSheetId="5" hidden="1">{"Deal",#N/A,FALSE,"Deal";"acquiror",#N/A,FALSE,"Acquiror";"Target",#N/A,FALSE,"Target"}</definedName>
    <definedName name="wrn.MergerModel." hidden="1">{"Deal",#N/A,FALSE,"Deal";"acquiror",#N/A,FALSE,"Acquiror";"Target",#N/A,FALSE,"Target"}</definedName>
    <definedName name="wrn.Nico." localSheetId="4" hidden="1">{#N/A,#N/A,TRUE,"Cover";#N/A,#N/A,TRUE,"Transaction Summary";#N/A,#N/A,TRUE,"Earnings Impact";#N/A,#N/A,TRUE,"accretion dilution"}</definedName>
    <definedName name="wrn.Nico." localSheetId="6" hidden="1">{#N/A,#N/A,TRUE,"Cover";#N/A,#N/A,TRUE,"Transaction Summary";#N/A,#N/A,TRUE,"Earnings Impact";#N/A,#N/A,TRUE,"accretion dilution"}</definedName>
    <definedName name="wrn.Nico." localSheetId="0" hidden="1">{#N/A,#N/A,TRUE,"Cover";#N/A,#N/A,TRUE,"Transaction Summary";#N/A,#N/A,TRUE,"Earnings Impact";#N/A,#N/A,TRUE,"accretion dilution"}</definedName>
    <definedName name="wrn.Nico." localSheetId="9" hidden="1">{#N/A,#N/A,TRUE,"Cover";#N/A,#N/A,TRUE,"Transaction Summary";#N/A,#N/A,TRUE,"Earnings Impact";#N/A,#N/A,TRUE,"accretion dilution"}</definedName>
    <definedName name="wrn.Nico." localSheetId="5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6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9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Year00">#REF!</definedName>
    <definedName name="Year0000">#REF!</definedName>
    <definedName name="Year01">#REF!</definedName>
    <definedName name="Year0101">#REF!</definedName>
    <definedName name="Year9797">#REF!</definedName>
    <definedName name="Year9898">#REF!</definedName>
    <definedName name="Year99">#REF!</definedName>
    <definedName name="Year9999">#REF!</definedName>
  </definedNames>
  <calcPr calcId="191029" calcMode="manual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4" i="9" l="1"/>
  <c r="DJ4" i="9"/>
  <c r="DI48" i="9"/>
  <c r="DI30" i="9"/>
  <c r="DI29" i="9"/>
  <c r="DI28" i="9"/>
  <c r="DI26" i="9"/>
  <c r="DI25" i="9"/>
  <c r="DI20" i="9"/>
  <c r="DI18" i="9"/>
  <c r="DI17" i="9"/>
  <c r="DI21" i="9" s="1"/>
  <c r="DI16" i="9"/>
  <c r="DI14" i="9"/>
  <c r="DI13" i="9"/>
  <c r="DI11" i="9"/>
  <c r="DI8" i="9"/>
  <c r="DI6" i="9"/>
  <c r="DI135" i="1"/>
  <c r="DI115" i="1"/>
  <c r="DI117" i="1" s="1"/>
  <c r="DI114" i="1"/>
  <c r="DI113" i="1"/>
  <c r="DI111" i="1"/>
  <c r="DI112" i="1" s="1"/>
  <c r="DI109" i="1"/>
  <c r="DI110" i="1" s="1"/>
  <c r="DI42" i="9"/>
  <c r="DI43" i="9" s="1"/>
  <c r="DI40" i="9"/>
  <c r="DI38" i="9"/>
  <c r="DI39" i="9" s="1"/>
  <c r="DI36" i="9"/>
  <c r="DI37" i="9" s="1"/>
  <c r="DI35" i="9"/>
  <c r="DI103" i="1"/>
  <c r="DI100" i="1"/>
  <c r="DI97" i="1"/>
  <c r="DI92" i="1"/>
  <c r="DI95" i="1" s="1"/>
  <c r="DI91" i="1"/>
  <c r="DI88" i="1"/>
  <c r="DI87" i="1"/>
  <c r="DI89" i="1" s="1"/>
  <c r="DI84" i="1"/>
  <c r="DI101" i="1" s="1"/>
  <c r="DI83" i="1"/>
  <c r="DI79" i="1"/>
  <c r="DI77" i="1"/>
  <c r="DI75" i="1"/>
  <c r="DI73" i="1"/>
  <c r="DI74" i="1" s="1"/>
  <c r="DI70" i="1"/>
  <c r="DI80" i="1" s="1"/>
  <c r="DI81" i="1" s="1"/>
  <c r="DI69" i="1"/>
  <c r="DI72" i="1" s="1"/>
  <c r="DI66" i="1"/>
  <c r="DI64" i="1"/>
  <c r="DI61" i="1"/>
  <c r="DI67" i="1" s="1"/>
  <c r="DI60" i="1"/>
  <c r="DI63" i="1" s="1"/>
  <c r="DI44" i="1"/>
  <c r="DI43" i="1"/>
  <c r="DI40" i="1" s="1"/>
  <c r="DI47" i="1"/>
  <c r="DI39" i="1"/>
  <c r="DI37" i="1"/>
  <c r="DI36" i="1"/>
  <c r="DI35" i="1"/>
  <c r="DI30" i="1"/>
  <c r="DI29" i="1"/>
  <c r="DI28" i="1"/>
  <c r="DI17" i="1"/>
  <c r="DI16" i="1"/>
  <c r="DI15" i="1"/>
  <c r="DI13" i="1"/>
  <c r="DI11" i="1" s="1"/>
  <c r="DI10" i="1"/>
  <c r="DI6" i="1"/>
  <c r="DI19" i="1"/>
  <c r="DI18" i="1" s="1"/>
  <c r="DI8" i="1"/>
  <c r="DI85" i="2"/>
  <c r="DI88" i="2" s="1"/>
  <c r="DI78" i="2"/>
  <c r="DI32" i="2"/>
  <c r="DI68" i="2"/>
  <c r="DI72" i="2"/>
  <c r="DI71" i="2"/>
  <c r="DI65" i="2"/>
  <c r="DI64" i="2"/>
  <c r="DI62" i="2"/>
  <c r="DI61" i="2"/>
  <c r="DI59" i="2" s="1"/>
  <c r="DI60" i="2"/>
  <c r="DI54" i="2"/>
  <c r="DI53" i="2"/>
  <c r="DI55" i="2" s="1"/>
  <c r="DI33" i="2"/>
  <c r="DI31" i="2" s="1"/>
  <c r="DI23" i="2"/>
  <c r="DI20" i="2"/>
  <c r="DI13" i="2"/>
  <c r="DI14" i="2"/>
  <c r="DI12" i="2"/>
  <c r="DI11" i="2" s="1"/>
  <c r="DI8" i="2"/>
  <c r="DI6" i="2"/>
  <c r="DI5" i="2"/>
  <c r="DI4" i="2" s="1"/>
  <c r="DI28" i="2"/>
  <c r="DI22" i="2"/>
  <c r="DI7" i="2"/>
  <c r="DK49" i="2"/>
  <c r="DL1" i="9"/>
  <c r="DL2" i="9"/>
  <c r="DJ2" i="9"/>
  <c r="DJ1" i="9"/>
  <c r="DJ11" i="9"/>
  <c r="DI98" i="1" l="1"/>
  <c r="DI85" i="1"/>
  <c r="DI104" i="1"/>
  <c r="DI116" i="1"/>
  <c r="DI118" i="1" s="1"/>
  <c r="DI93" i="1"/>
  <c r="DI62" i="1"/>
  <c r="DI71" i="1"/>
  <c r="DI65" i="1"/>
  <c r="DI70" i="2"/>
  <c r="DI10" i="2"/>
  <c r="DI15" i="2" s="1"/>
  <c r="DI9" i="2"/>
  <c r="DI43" i="2"/>
  <c r="DI56" i="2" s="1"/>
  <c r="DI57" i="2" s="1"/>
  <c r="DI16" i="2"/>
  <c r="DI58" i="2" l="1"/>
  <c r="DI73" i="2" s="1"/>
  <c r="DI74" i="2"/>
  <c r="DI21" i="2"/>
  <c r="DI42" i="2"/>
  <c r="DI18" i="2"/>
  <c r="DI36" i="2"/>
  <c r="DI38" i="2" s="1"/>
  <c r="DH48" i="9"/>
  <c r="DH42" i="9"/>
  <c r="DH43" i="9" s="1"/>
  <c r="DH40" i="9"/>
  <c r="DH113" i="1" s="1"/>
  <c r="DH114" i="1" s="1"/>
  <c r="DH36" i="9"/>
  <c r="DH38" i="9" s="1"/>
  <c r="DH39" i="9" s="1"/>
  <c r="DH35" i="9"/>
  <c r="DH34" i="9"/>
  <c r="DH33" i="9"/>
  <c r="DH28" i="9"/>
  <c r="DH30" i="9" s="1"/>
  <c r="DF51" i="1"/>
  <c r="DH135" i="1"/>
  <c r="DH110" i="1"/>
  <c r="DH109" i="1"/>
  <c r="DH103" i="1"/>
  <c r="DH100" i="1"/>
  <c r="DH97" i="1"/>
  <c r="DH92" i="1"/>
  <c r="DH95" i="1" s="1"/>
  <c r="DH91" i="1"/>
  <c r="DH89" i="1"/>
  <c r="DH88" i="1"/>
  <c r="DH87" i="1"/>
  <c r="DH84" i="1"/>
  <c r="DH85" i="1" s="1"/>
  <c r="DH83" i="1"/>
  <c r="DH80" i="1"/>
  <c r="DH81" i="1" s="1"/>
  <c r="DH79" i="1"/>
  <c r="DH77" i="1"/>
  <c r="DH75" i="1"/>
  <c r="DH76" i="1" s="1"/>
  <c r="DH73" i="1"/>
  <c r="DH72" i="1"/>
  <c r="DH70" i="1"/>
  <c r="DH71" i="1" s="1"/>
  <c r="DH69" i="1"/>
  <c r="DH66" i="1"/>
  <c r="DH64" i="1"/>
  <c r="DH61" i="1"/>
  <c r="DH67" i="1" s="1"/>
  <c r="DH60" i="1"/>
  <c r="DH63" i="1" s="1"/>
  <c r="DH29" i="1"/>
  <c r="DI44" i="2" l="1"/>
  <c r="DI46" i="2" s="1"/>
  <c r="DI63" i="2"/>
  <c r="DH111" i="1"/>
  <c r="DH112" i="1" s="1"/>
  <c r="DH116" i="1" s="1"/>
  <c r="DH118" i="1" s="1"/>
  <c r="DH37" i="9"/>
  <c r="DH104" i="1"/>
  <c r="DH98" i="1"/>
  <c r="DH101" i="1"/>
  <c r="DH115" i="1"/>
  <c r="DH117" i="1" s="1"/>
  <c r="DH93" i="1"/>
  <c r="DH62" i="1"/>
  <c r="DH65" i="1"/>
  <c r="DI47" i="2" l="1"/>
  <c r="DI66" i="2" s="1"/>
  <c r="DI75" i="2" s="1"/>
  <c r="DI67" i="2"/>
  <c r="DF30" i="1"/>
  <c r="DH47" i="1"/>
  <c r="DH43" i="1" s="1"/>
  <c r="DH40" i="1" s="1"/>
  <c r="DH44" i="1"/>
  <c r="DH39" i="1"/>
  <c r="DH37" i="1"/>
  <c r="DH36" i="1"/>
  <c r="DH35" i="1"/>
  <c r="DH30" i="1"/>
  <c r="DH18" i="1"/>
  <c r="DH17" i="1"/>
  <c r="DH16" i="1"/>
  <c r="DH15" i="1"/>
  <c r="DH13" i="1"/>
  <c r="DH11" i="1" s="1"/>
  <c r="DH10" i="1"/>
  <c r="DH6" i="1"/>
  <c r="DH28" i="1"/>
  <c r="DH50" i="1" s="1"/>
  <c r="DH19" i="1"/>
  <c r="DH8" i="1"/>
  <c r="DH27" i="1" l="1"/>
  <c r="DH5" i="1"/>
  <c r="DH94" i="2" l="1"/>
  <c r="DH95" i="2" s="1"/>
  <c r="DH85" i="2"/>
  <c r="DH88" i="2" s="1"/>
  <c r="DH78" i="2"/>
  <c r="DH81" i="2"/>
  <c r="DH80" i="2"/>
  <c r="DH79" i="2"/>
  <c r="DH32" i="2" l="1"/>
  <c r="DH31" i="2" s="1"/>
  <c r="DH23" i="2"/>
  <c r="DH68" i="2"/>
  <c r="DH72" i="2"/>
  <c r="DH71" i="2"/>
  <c r="DH65" i="2"/>
  <c r="DH64" i="2"/>
  <c r="DH62" i="2"/>
  <c r="DH61" i="2"/>
  <c r="DH60" i="2"/>
  <c r="DH59" i="2" s="1"/>
  <c r="DH54" i="2"/>
  <c r="DH53" i="2"/>
  <c r="DH55" i="2" s="1"/>
  <c r="DH12" i="2"/>
  <c r="DH11" i="2" s="1"/>
  <c r="DH5" i="2"/>
  <c r="DH33" i="2"/>
  <c r="DH20" i="2" s="1"/>
  <c r="DH56" i="2" s="1"/>
  <c r="DH28" i="2"/>
  <c r="DH22" i="2"/>
  <c r="DH7" i="2"/>
  <c r="DH4" i="2"/>
  <c r="DH70" i="2" l="1"/>
  <c r="DH57" i="2"/>
  <c r="DH16" i="2"/>
  <c r="DH9" i="2"/>
  <c r="DH10" i="2"/>
  <c r="DK42" i="2"/>
  <c r="DM42" i="2" s="1"/>
  <c r="CZ1" i="9"/>
  <c r="DA1" i="9"/>
  <c r="DH20" i="9"/>
  <c r="DH17" i="9"/>
  <c r="DH21" i="9" s="1"/>
  <c r="DH16" i="9"/>
  <c r="DH13" i="9"/>
  <c r="DH11" i="9"/>
  <c r="DH8" i="9"/>
  <c r="DH6" i="9"/>
  <c r="DF78" i="2"/>
  <c r="DF28" i="9"/>
  <c r="DF30" i="9" s="1"/>
  <c r="DF25" i="9"/>
  <c r="DF26" i="9" s="1"/>
  <c r="DF23" i="9"/>
  <c r="DF51" i="9"/>
  <c r="DF48" i="9"/>
  <c r="DF45" i="9"/>
  <c r="DH14" i="9" l="1"/>
  <c r="DH29" i="9"/>
  <c r="DH19" i="2"/>
  <c r="DH74" i="2"/>
  <c r="DH58" i="2"/>
  <c r="DH73" i="2" s="1"/>
  <c r="DH42" i="2"/>
  <c r="DJ42" i="2" s="1"/>
  <c r="DH18" i="2"/>
  <c r="DH15" i="2"/>
  <c r="DH36" i="2" s="1"/>
  <c r="DH38" i="2" s="1"/>
  <c r="DH21" i="2"/>
  <c r="DH44" i="2" l="1"/>
  <c r="DH48" i="2" s="1"/>
  <c r="DH63" i="2"/>
  <c r="DF42" i="9"/>
  <c r="DF43" i="9" s="1"/>
  <c r="DF40" i="9"/>
  <c r="DF36" i="9"/>
  <c r="DF38" i="9" s="1"/>
  <c r="DF39" i="9" s="1"/>
  <c r="DF35" i="9"/>
  <c r="DF33" i="9"/>
  <c r="DF32" i="9"/>
  <c r="DE78" i="2"/>
  <c r="DH46" i="2" l="1"/>
  <c r="DH47" i="2"/>
  <c r="DH66" i="2" s="1"/>
  <c r="DH67" i="2"/>
  <c r="DH75" i="2"/>
  <c r="DF37" i="9"/>
  <c r="DF44" i="1"/>
  <c r="DF135" i="1"/>
  <c r="DF130" i="1"/>
  <c r="DF113" i="1"/>
  <c r="DF114" i="1" s="1"/>
  <c r="DF111" i="1"/>
  <c r="DF112" i="1" s="1"/>
  <c r="DF109" i="1"/>
  <c r="DF110" i="1" s="1"/>
  <c r="DF106" i="1"/>
  <c r="DF103" i="1"/>
  <c r="DF100" i="1"/>
  <c r="DF97" i="1"/>
  <c r="DF95" i="1"/>
  <c r="DF93" i="1"/>
  <c r="DF92" i="1"/>
  <c r="DF91" i="1"/>
  <c r="DF88" i="1"/>
  <c r="DF87" i="1"/>
  <c r="DF89" i="1" s="1"/>
  <c r="DF84" i="1"/>
  <c r="DF98" i="1" s="1"/>
  <c r="DF83" i="1"/>
  <c r="DF80" i="1"/>
  <c r="DF81" i="1" s="1"/>
  <c r="DF79" i="1"/>
  <c r="DF77" i="1"/>
  <c r="DF76" i="1"/>
  <c r="DF75" i="1"/>
  <c r="DF73" i="1"/>
  <c r="DF74" i="1" s="1"/>
  <c r="DF70" i="1"/>
  <c r="DF71" i="1" s="1"/>
  <c r="DF69" i="1"/>
  <c r="DF72" i="1" s="1"/>
  <c r="DF66" i="1"/>
  <c r="DF64" i="1"/>
  <c r="DF63" i="1"/>
  <c r="DF61" i="1"/>
  <c r="DF62" i="1" s="1"/>
  <c r="DF60" i="1"/>
  <c r="DF59" i="1"/>
  <c r="DF57" i="1"/>
  <c r="DF52" i="1"/>
  <c r="DF47" i="1"/>
  <c r="DF43" i="1" s="1"/>
  <c r="DF39" i="1"/>
  <c r="DF37" i="1"/>
  <c r="DF36" i="1"/>
  <c r="DF35" i="1"/>
  <c r="DF29" i="1"/>
  <c r="DF41" i="1"/>
  <c r="DF28" i="1"/>
  <c r="DF50" i="1" s="1"/>
  <c r="DF53" i="1" s="1"/>
  <c r="DF49" i="1" s="1"/>
  <c r="DF25" i="1"/>
  <c r="DF17" i="1"/>
  <c r="DF16" i="1"/>
  <c r="DF15" i="1"/>
  <c r="DF13" i="1"/>
  <c r="DF10" i="1"/>
  <c r="DF6" i="1"/>
  <c r="DF19" i="1"/>
  <c r="DF11" i="1"/>
  <c r="DF8" i="1"/>
  <c r="DF3" i="1"/>
  <c r="DF84" i="2"/>
  <c r="DF83" i="2"/>
  <c r="DF79" i="2"/>
  <c r="DF81" i="2"/>
  <c r="DF77" i="2"/>
  <c r="DF75" i="2"/>
  <c r="DF74" i="2"/>
  <c r="DF73" i="2"/>
  <c r="DF72" i="2"/>
  <c r="DF71" i="2"/>
  <c r="DF70" i="2"/>
  <c r="DF32" i="2"/>
  <c r="DF68" i="2"/>
  <c r="DF65" i="2"/>
  <c r="DF64" i="2"/>
  <c r="DF62" i="2"/>
  <c r="DF61" i="2"/>
  <c r="DF60" i="2"/>
  <c r="DF59" i="2"/>
  <c r="DF55" i="2"/>
  <c r="DF54" i="2"/>
  <c r="DF53" i="2"/>
  <c r="DF52" i="2"/>
  <c r="DE32" i="2"/>
  <c r="DF33" i="2"/>
  <c r="DF20" i="2" s="1"/>
  <c r="DF45" i="2"/>
  <c r="DF41" i="2"/>
  <c r="DF39" i="2"/>
  <c r="DF35" i="2"/>
  <c r="DF27" i="2"/>
  <c r="DF25" i="2"/>
  <c r="DF23" i="2"/>
  <c r="DF22" i="2" s="1"/>
  <c r="DF17" i="2"/>
  <c r="DF13" i="2"/>
  <c r="DF14" i="2"/>
  <c r="DF12" i="2" s="1"/>
  <c r="DF11" i="2" s="1"/>
  <c r="DF8" i="2"/>
  <c r="DF6" i="2"/>
  <c r="DF5" i="2"/>
  <c r="DF4" i="2" s="1"/>
  <c r="DF28" i="2"/>
  <c r="DF3" i="2"/>
  <c r="BL67" i="19"/>
  <c r="BK67" i="19"/>
  <c r="BJ67" i="19"/>
  <c r="BI67" i="19"/>
  <c r="BL63" i="19"/>
  <c r="BK63" i="19"/>
  <c r="BJ63" i="19"/>
  <c r="BI63" i="19"/>
  <c r="BL58" i="19"/>
  <c r="BK58" i="19"/>
  <c r="BJ58" i="19"/>
  <c r="BI58" i="19"/>
  <c r="BI48" i="19"/>
  <c r="BI38" i="19"/>
  <c r="BL19" i="19"/>
  <c r="BK19" i="19"/>
  <c r="BJ19" i="19"/>
  <c r="BI19" i="19"/>
  <c r="BG80" i="19"/>
  <c r="BF80" i="19"/>
  <c r="BE80" i="19"/>
  <c r="BD80" i="19"/>
  <c r="BG67" i="19"/>
  <c r="BF67" i="19"/>
  <c r="BE67" i="19"/>
  <c r="BD67" i="19"/>
  <c r="BG63" i="19"/>
  <c r="BF63" i="19"/>
  <c r="BE63" i="19"/>
  <c r="BD63" i="19"/>
  <c r="BG58" i="19"/>
  <c r="BF58" i="19"/>
  <c r="BE58" i="19"/>
  <c r="BD58" i="19"/>
  <c r="BG48" i="19"/>
  <c r="BF48" i="19"/>
  <c r="BD48" i="19"/>
  <c r="BD21" i="19"/>
  <c r="BG19" i="19"/>
  <c r="BF19" i="19"/>
  <c r="BE19" i="19"/>
  <c r="BD17" i="19"/>
  <c r="BD7" i="19"/>
  <c r="DF104" i="1" l="1"/>
  <c r="DF85" i="1"/>
  <c r="DF101" i="1"/>
  <c r="DF116" i="1"/>
  <c r="DF118" i="1" s="1"/>
  <c r="DF115" i="1"/>
  <c r="DF117" i="1" s="1"/>
  <c r="DF65" i="1"/>
  <c r="DF67" i="1"/>
  <c r="DF56" i="1"/>
  <c r="DF55" i="1"/>
  <c r="DF54" i="1"/>
  <c r="DF40" i="1"/>
  <c r="DF27" i="1" s="1"/>
  <c r="DF26" i="1" s="1"/>
  <c r="DF18" i="1"/>
  <c r="DF5" i="1" s="1"/>
  <c r="DF4" i="1" s="1"/>
  <c r="DF85" i="2"/>
  <c r="DF80" i="2"/>
  <c r="DF9" i="2"/>
  <c r="DF43" i="2"/>
  <c r="DF56" i="2" s="1"/>
  <c r="DF57" i="2" s="1"/>
  <c r="DF58" i="2" s="1"/>
  <c r="DF7" i="2"/>
  <c r="DF10" i="2" s="1"/>
  <c r="DF88" i="2" l="1"/>
  <c r="DF15" i="2"/>
  <c r="DF18" i="2"/>
  <c r="DF21" i="2"/>
  <c r="DF42" i="2"/>
  <c r="N26" i="16"/>
  <c r="DF1" i="9"/>
  <c r="DF2" i="9"/>
  <c r="DE2" i="9"/>
  <c r="DF16" i="9"/>
  <c r="DF17" i="9" l="1"/>
  <c r="DF13" i="9"/>
  <c r="DF11" i="9"/>
  <c r="DF8" i="9"/>
  <c r="DF6" i="9"/>
  <c r="DE1" i="9"/>
  <c r="CN78" i="2"/>
  <c r="CO78" i="2"/>
  <c r="CP78" i="2"/>
  <c r="CQ78" i="2"/>
  <c r="CS78" i="2"/>
  <c r="CT78" i="2"/>
  <c r="CU78" i="2"/>
  <c r="CV78" i="2"/>
  <c r="CX78" i="2"/>
  <c r="CY78" i="2"/>
  <c r="CZ78" i="2"/>
  <c r="DA78" i="2"/>
  <c r="DC78" i="2"/>
  <c r="DD78" i="2"/>
  <c r="DE48" i="9"/>
  <c r="DE28" i="9"/>
  <c r="DE30" i="9" s="1"/>
  <c r="DE25" i="9"/>
  <c r="DE26" i="9" s="1"/>
  <c r="DF29" i="9" l="1"/>
  <c r="DF19" i="2"/>
  <c r="DF21" i="9"/>
  <c r="DF14" i="9"/>
  <c r="DF34" i="9" s="1"/>
  <c r="DF18" i="9"/>
  <c r="DE29" i="9"/>
  <c r="DE35" i="9"/>
  <c r="DE33" i="9"/>
  <c r="DF31" i="2"/>
  <c r="DF16" i="2" s="1"/>
  <c r="DF36" i="2" s="1"/>
  <c r="DF38" i="2" s="1"/>
  <c r="DE159" i="1"/>
  <c r="DE158" i="1"/>
  <c r="DE157" i="1"/>
  <c r="DE150" i="1"/>
  <c r="DE109" i="1"/>
  <c r="DE91" i="1"/>
  <c r="DE83" i="1"/>
  <c r="DE79" i="1"/>
  <c r="DE77" i="1"/>
  <c r="DE73" i="1"/>
  <c r="DE74" i="1" s="1"/>
  <c r="DE64" i="1"/>
  <c r="DE47" i="1"/>
  <c r="DE44" i="1"/>
  <c r="DE39" i="1"/>
  <c r="DE37" i="1"/>
  <c r="DE36" i="1"/>
  <c r="DE35" i="1"/>
  <c r="DE147" i="1" s="1"/>
  <c r="DE30" i="1"/>
  <c r="DE29" i="1"/>
  <c r="DE17" i="1"/>
  <c r="DE97" i="1" s="1"/>
  <c r="DE16" i="1"/>
  <c r="DE15" i="1"/>
  <c r="DE100" i="1" s="1"/>
  <c r="DE13" i="1"/>
  <c r="DE11" i="1" s="1"/>
  <c r="DE69" i="1" s="1"/>
  <c r="DE10" i="1"/>
  <c r="DE66" i="1" s="1"/>
  <c r="DE6" i="1"/>
  <c r="DE139" i="1" s="1"/>
  <c r="DE19" i="1"/>
  <c r="DE143" i="1" s="1"/>
  <c r="DF44" i="2" l="1"/>
  <c r="DF47" i="2" s="1"/>
  <c r="DF66" i="2" s="1"/>
  <c r="DF67" i="2" s="1"/>
  <c r="DF63" i="2"/>
  <c r="DE28" i="1"/>
  <c r="DE146" i="1" s="1"/>
  <c r="DE87" i="1"/>
  <c r="DE148" i="1"/>
  <c r="DE103" i="1"/>
  <c r="DE43" i="1"/>
  <c r="DE40" i="1" s="1"/>
  <c r="DE149" i="1" s="1"/>
  <c r="DE75" i="1"/>
  <c r="DE76" i="1" s="1"/>
  <c r="DE142" i="1"/>
  <c r="DE51" i="1"/>
  <c r="DE88" i="1"/>
  <c r="DE8" i="1"/>
  <c r="DE18" i="1" s="1"/>
  <c r="DE144" i="1" s="1"/>
  <c r="DE141" i="1"/>
  <c r="DE110" i="1"/>
  <c r="DF46" i="2" l="1"/>
  <c r="DE50" i="1"/>
  <c r="DE53" i="1" s="1"/>
  <c r="DE121" i="1"/>
  <c r="DE89" i="1"/>
  <c r="DE120" i="1"/>
  <c r="DE52" i="1"/>
  <c r="DE27" i="1"/>
  <c r="DE145" i="1"/>
  <c r="DE60" i="1"/>
  <c r="DE140" i="1"/>
  <c r="DE138" i="1" s="1"/>
  <c r="DE151" i="1" l="1"/>
  <c r="DE152" i="1" s="1"/>
  <c r="DE55" i="1"/>
  <c r="DE54" i="1"/>
  <c r="DE122" i="1"/>
  <c r="DE85" i="2"/>
  <c r="DE88" i="2" s="1"/>
  <c r="DE65" i="2"/>
  <c r="DE64" i="2"/>
  <c r="DE62" i="2"/>
  <c r="DE23" i="2"/>
  <c r="DE60" i="2" s="1"/>
  <c r="DE28" i="2"/>
  <c r="DE19" i="2"/>
  <c r="DE6" i="9"/>
  <c r="DE21" i="9"/>
  <c r="DE18" i="9"/>
  <c r="DE16" i="9"/>
  <c r="DE14" i="9"/>
  <c r="DE34" i="9" s="1"/>
  <c r="DE13" i="9"/>
  <c r="DE11" i="9"/>
  <c r="DE8" i="9"/>
  <c r="DE22" i="2" l="1"/>
  <c r="DE57" i="1"/>
  <c r="DE94" i="2"/>
  <c r="DE154" i="1"/>
  <c r="DE155" i="1" s="1"/>
  <c r="DD13" i="9"/>
  <c r="DD8" i="9"/>
  <c r="DD35" i="9"/>
  <c r="DD33" i="9"/>
  <c r="DE40" i="9" s="1"/>
  <c r="DA25" i="9"/>
  <c r="DD28" i="9"/>
  <c r="DD30" i="9" s="1"/>
  <c r="DD25" i="9"/>
  <c r="DD26" i="9" s="1"/>
  <c r="DE111" i="1" l="1"/>
  <c r="DE112" i="1" l="1"/>
  <c r="DD159" i="1" l="1"/>
  <c r="DD158" i="1"/>
  <c r="DD157" i="1"/>
  <c r="DD150" i="1"/>
  <c r="DD109" i="1"/>
  <c r="DD91" i="1"/>
  <c r="DD84" i="1"/>
  <c r="DD83" i="1"/>
  <c r="DD79" i="1"/>
  <c r="DD77" i="1"/>
  <c r="DD73" i="1"/>
  <c r="DD64" i="1"/>
  <c r="DC47" i="1"/>
  <c r="DD47" i="1"/>
  <c r="DD44" i="1"/>
  <c r="DD39" i="1"/>
  <c r="DD37" i="1"/>
  <c r="DD36" i="1"/>
  <c r="DD35" i="1"/>
  <c r="DD147" i="1" s="1"/>
  <c r="DD30" i="1"/>
  <c r="DD29" i="1"/>
  <c r="DD17" i="1"/>
  <c r="DD97" i="1" s="1"/>
  <c r="DD16" i="1"/>
  <c r="DD15" i="1"/>
  <c r="DD100" i="1" s="1"/>
  <c r="DD13" i="1"/>
  <c r="DD11" i="1" s="1"/>
  <c r="DD141" i="1" s="1"/>
  <c r="DD10" i="1"/>
  <c r="DD8" i="1" s="1"/>
  <c r="DD60" i="1" s="1"/>
  <c r="DE63" i="1" s="1"/>
  <c r="DD6" i="1"/>
  <c r="DD139" i="1" s="1"/>
  <c r="DD41" i="1"/>
  <c r="DE41" i="1" s="1"/>
  <c r="DE26" i="1" s="1"/>
  <c r="DD19" i="1"/>
  <c r="DD28" i="1" l="1"/>
  <c r="DD98" i="1"/>
  <c r="DD148" i="1"/>
  <c r="DD140" i="1"/>
  <c r="DD66" i="1"/>
  <c r="DD43" i="1"/>
  <c r="DD120" i="1" s="1"/>
  <c r="DD103" i="1"/>
  <c r="DD104" i="1" s="1"/>
  <c r="DD142" i="1"/>
  <c r="DD51" i="1"/>
  <c r="DD50" i="1"/>
  <c r="DD146" i="1"/>
  <c r="DD18" i="1"/>
  <c r="DD144" i="1" s="1"/>
  <c r="DD143" i="1"/>
  <c r="DD69" i="1"/>
  <c r="DE72" i="1" s="1"/>
  <c r="DD75" i="1"/>
  <c r="DD76" i="1" s="1"/>
  <c r="DD85" i="1"/>
  <c r="DD87" i="1"/>
  <c r="DD88" i="1"/>
  <c r="DD101" i="1"/>
  <c r="DD110" i="1"/>
  <c r="DD121" i="1" l="1"/>
  <c r="DD53" i="1"/>
  <c r="DD52" i="1"/>
  <c r="DD138" i="1"/>
  <c r="DD5" i="1"/>
  <c r="DD4" i="1" s="1"/>
  <c r="DD40" i="1"/>
  <c r="DD89" i="1"/>
  <c r="DD85" i="2"/>
  <c r="DD65" i="2"/>
  <c r="DD64" i="2"/>
  <c r="DD62" i="2"/>
  <c r="DD32" i="2"/>
  <c r="DD23" i="2"/>
  <c r="DD22" i="2" s="1"/>
  <c r="DD13" i="2"/>
  <c r="DD14" i="2"/>
  <c r="DE14" i="2" s="1"/>
  <c r="DD8" i="2"/>
  <c r="DD6" i="2"/>
  <c r="DE6" i="2" s="1"/>
  <c r="DE42" i="9" s="1"/>
  <c r="DD28" i="2"/>
  <c r="DD17" i="9"/>
  <c r="DD16" i="9"/>
  <c r="EJ20" i="9"/>
  <c r="EI20" i="9"/>
  <c r="DD57" i="1" l="1"/>
  <c r="DE81" i="2"/>
  <c r="DD94" i="2"/>
  <c r="DE72" i="2"/>
  <c r="DD122" i="1"/>
  <c r="DE49" i="1"/>
  <c r="DD7" i="2"/>
  <c r="DE8" i="2"/>
  <c r="DD61" i="2"/>
  <c r="DE13" i="2"/>
  <c r="DE61" i="2" s="1"/>
  <c r="DE59" i="2" s="1"/>
  <c r="DD54" i="1"/>
  <c r="DD55" i="1"/>
  <c r="DD149" i="1"/>
  <c r="DD145" i="1" s="1"/>
  <c r="DD27" i="1"/>
  <c r="DD26" i="1" s="1"/>
  <c r="DD72" i="2"/>
  <c r="DD60" i="2"/>
  <c r="DD42" i="9"/>
  <c r="DD18" i="9"/>
  <c r="DD29" i="9"/>
  <c r="DD19" i="2"/>
  <c r="DD88" i="2"/>
  <c r="DD14" i="9"/>
  <c r="DD34" i="9" s="1"/>
  <c r="DD21" i="9"/>
  <c r="EH20" i="9"/>
  <c r="EK20" i="9" s="1"/>
  <c r="EI24" i="9"/>
  <c r="EI26" i="9" s="1"/>
  <c r="EH24" i="9"/>
  <c r="EH26" i="9" s="1"/>
  <c r="DD59" i="2" l="1"/>
  <c r="DE7" i="2"/>
  <c r="DD11" i="9"/>
  <c r="DD6" i="9"/>
  <c r="DC48" i="9" l="1"/>
  <c r="DC42" i="9"/>
  <c r="DC33" i="9"/>
  <c r="DD40" i="9" s="1"/>
  <c r="DC109" i="1"/>
  <c r="DC110" i="1" s="1"/>
  <c r="DC91" i="1"/>
  <c r="DC84" i="1"/>
  <c r="DC83" i="1"/>
  <c r="DC79" i="1"/>
  <c r="DC77" i="1"/>
  <c r="DC73" i="1"/>
  <c r="DC64" i="1"/>
  <c r="DA47" i="1"/>
  <c r="DC44" i="1"/>
  <c r="DC43" i="1" s="1"/>
  <c r="DA44" i="1"/>
  <c r="DC39" i="1"/>
  <c r="DA39" i="1"/>
  <c r="DC37" i="1"/>
  <c r="DC36" i="1"/>
  <c r="DC103" i="1" s="1"/>
  <c r="DA36" i="1"/>
  <c r="DC35" i="1"/>
  <c r="DC87" i="1" s="1"/>
  <c r="DC30" i="1"/>
  <c r="DC29" i="1"/>
  <c r="DC17" i="1"/>
  <c r="DC97" i="1" s="1"/>
  <c r="DC16" i="1"/>
  <c r="DA16" i="1"/>
  <c r="DC15" i="1"/>
  <c r="DC100" i="1" s="1"/>
  <c r="DA15" i="1"/>
  <c r="DC13" i="1"/>
  <c r="DC11" i="1" s="1"/>
  <c r="DC69" i="1" s="1"/>
  <c r="DD72" i="1" s="1"/>
  <c r="DC10" i="1"/>
  <c r="DC8" i="1" s="1"/>
  <c r="DC6" i="1"/>
  <c r="DA6" i="1"/>
  <c r="DC19" i="1"/>
  <c r="DC85" i="2"/>
  <c r="DC88" i="2" s="1"/>
  <c r="DD81" i="2"/>
  <c r="DC72" i="2"/>
  <c r="DC32" i="2"/>
  <c r="DC68" i="2"/>
  <c r="DC65" i="2"/>
  <c r="DC64" i="2"/>
  <c r="DC62" i="2"/>
  <c r="DC61" i="2"/>
  <c r="DC23" i="2"/>
  <c r="DC22" i="2" s="1"/>
  <c r="DC12" i="2"/>
  <c r="DC5" i="2"/>
  <c r="DC28" i="2"/>
  <c r="DC7" i="2"/>
  <c r="DC28" i="1" l="1"/>
  <c r="DC50" i="1" s="1"/>
  <c r="DC85" i="1"/>
  <c r="DC4" i="2"/>
  <c r="DC9" i="2" s="1"/>
  <c r="DD5" i="2"/>
  <c r="DE5" i="2" s="1"/>
  <c r="DC11" i="2"/>
  <c r="DD12" i="2"/>
  <c r="DE12" i="2" s="1"/>
  <c r="DD111" i="1"/>
  <c r="DC33" i="2"/>
  <c r="DC31" i="2" s="1"/>
  <c r="DD68" i="2"/>
  <c r="DE68" i="2" s="1"/>
  <c r="DE92" i="1" s="1"/>
  <c r="DC101" i="1"/>
  <c r="DC104" i="1"/>
  <c r="DC98" i="1"/>
  <c r="DC25" i="9"/>
  <c r="DC26" i="9" s="1"/>
  <c r="DC6" i="9"/>
  <c r="DC40" i="1"/>
  <c r="DC92" i="1"/>
  <c r="DC95" i="1" s="1"/>
  <c r="DC66" i="1"/>
  <c r="DC74" i="1"/>
  <c r="DC75" i="1"/>
  <c r="DC76" i="1" s="1"/>
  <c r="DC60" i="1"/>
  <c r="DD63" i="1" s="1"/>
  <c r="DC18" i="1"/>
  <c r="DC5" i="1" s="1"/>
  <c r="DC4" i="1" s="1"/>
  <c r="DC36" i="9"/>
  <c r="DC43" i="9" s="1"/>
  <c r="DC54" i="2"/>
  <c r="DC71" i="2"/>
  <c r="DC94" i="2"/>
  <c r="DC60" i="2"/>
  <c r="DC59" i="2" s="1"/>
  <c r="DC88" i="1"/>
  <c r="DC89" i="1" s="1"/>
  <c r="DC17" i="9"/>
  <c r="DC11" i="9"/>
  <c r="DC13" i="9"/>
  <c r="DC8" i="9"/>
  <c r="DA48" i="9"/>
  <c r="DA35" i="9"/>
  <c r="DA33" i="9"/>
  <c r="DA28" i="9"/>
  <c r="DA30" i="9" s="1"/>
  <c r="DA26" i="9"/>
  <c r="DA43" i="1"/>
  <c r="DA37" i="1"/>
  <c r="DA35" i="1"/>
  <c r="DA87" i="1" s="1"/>
  <c r="DA30" i="1"/>
  <c r="DA29" i="1"/>
  <c r="DA17" i="1"/>
  <c r="DA97" i="1" s="1"/>
  <c r="DA13" i="1"/>
  <c r="DA88" i="1" s="1"/>
  <c r="DA10" i="1"/>
  <c r="DA8" i="1" s="1"/>
  <c r="DA51" i="1"/>
  <c r="DA109" i="1"/>
  <c r="DA103" i="1"/>
  <c r="DA100" i="1"/>
  <c r="DA91" i="1"/>
  <c r="DA84" i="1"/>
  <c r="DA83" i="1"/>
  <c r="DA79" i="1"/>
  <c r="DA77" i="1"/>
  <c r="DA73" i="1"/>
  <c r="DA64" i="1"/>
  <c r="DA19" i="1"/>
  <c r="DA45" i="2"/>
  <c r="DA41" i="2"/>
  <c r="DA39" i="2"/>
  <c r="DA35" i="2"/>
  <c r="DA62" i="2" s="1"/>
  <c r="DA25" i="2"/>
  <c r="DA27" i="2"/>
  <c r="DA17" i="2"/>
  <c r="DA84" i="2"/>
  <c r="DA28" i="2"/>
  <c r="CZ48" i="9"/>
  <c r="CZ35" i="9"/>
  <c r="CZ33" i="9"/>
  <c r="DA40" i="9" s="1"/>
  <c r="CZ28" i="9"/>
  <c r="CZ30" i="9" s="1"/>
  <c r="CZ25" i="9"/>
  <c r="CZ26" i="9" s="1"/>
  <c r="DA17" i="9"/>
  <c r="DA21" i="9" s="1"/>
  <c r="DA16" i="9"/>
  <c r="DA13" i="9"/>
  <c r="DA11" i="9"/>
  <c r="DA8" i="9"/>
  <c r="DA6" i="9"/>
  <c r="E7" i="21"/>
  <c r="E6" i="21"/>
  <c r="E24" i="21"/>
  <c r="E5" i="21"/>
  <c r="E17" i="21"/>
  <c r="DC27" i="1" l="1"/>
  <c r="DC26" i="1" s="1"/>
  <c r="DE11" i="2"/>
  <c r="DE54" i="2"/>
  <c r="DE71" i="2"/>
  <c r="DE113" i="1" s="1"/>
  <c r="DE4" i="2"/>
  <c r="DE10" i="2" s="1"/>
  <c r="DE36" i="9"/>
  <c r="DE95" i="1"/>
  <c r="DE93" i="1"/>
  <c r="DE9" i="2"/>
  <c r="DA60" i="1"/>
  <c r="DE20" i="9"/>
  <c r="DA28" i="1"/>
  <c r="DA50" i="1" s="1"/>
  <c r="DA53" i="1" s="1"/>
  <c r="DC20" i="2"/>
  <c r="DA11" i="1"/>
  <c r="DA69" i="1" s="1"/>
  <c r="DC10" i="2"/>
  <c r="DD33" i="2"/>
  <c r="DD92" i="1"/>
  <c r="DD112" i="1"/>
  <c r="DD11" i="2"/>
  <c r="DD54" i="2"/>
  <c r="DD71" i="2"/>
  <c r="DD113" i="1" s="1"/>
  <c r="DD114" i="1" s="1"/>
  <c r="DD36" i="9"/>
  <c r="DD4" i="2"/>
  <c r="DA74" i="1"/>
  <c r="DA75" i="1"/>
  <c r="DA76" i="1" s="1"/>
  <c r="DC93" i="1"/>
  <c r="DA85" i="1"/>
  <c r="DA98" i="1"/>
  <c r="DC53" i="2"/>
  <c r="DC55" i="2" s="1"/>
  <c r="DC70" i="2" s="1"/>
  <c r="DA85" i="2"/>
  <c r="DA88" i="2" s="1"/>
  <c r="DA111" i="1"/>
  <c r="DA112" i="1" s="1"/>
  <c r="DA65" i="2"/>
  <c r="DC21" i="9"/>
  <c r="DC19" i="2"/>
  <c r="DA101" i="1"/>
  <c r="DA104" i="1"/>
  <c r="DA19" i="2"/>
  <c r="DC16" i="9"/>
  <c r="DC14" i="9"/>
  <c r="DC34" i="9" s="1"/>
  <c r="DA29" i="9"/>
  <c r="DA57" i="1"/>
  <c r="DA120" i="1"/>
  <c r="DA40" i="1"/>
  <c r="DA52" i="1"/>
  <c r="DA121" i="1"/>
  <c r="DA89" i="1"/>
  <c r="DA66" i="1"/>
  <c r="DA110" i="1"/>
  <c r="DA64" i="2"/>
  <c r="DA14" i="9"/>
  <c r="DA34" i="9" s="1"/>
  <c r="DA18" i="9"/>
  <c r="E8" i="21"/>
  <c r="DE53" i="2" l="1"/>
  <c r="DE55" i="2" s="1"/>
  <c r="DE70" i="2" s="1"/>
  <c r="DA18" i="1"/>
  <c r="DA5" i="1" s="1"/>
  <c r="DA4" i="1" s="1"/>
  <c r="DE38" i="9"/>
  <c r="DE39" i="9" s="1"/>
  <c r="DE37" i="9"/>
  <c r="DE43" i="9"/>
  <c r="DE114" i="1"/>
  <c r="DE116" i="1" s="1"/>
  <c r="DE118" i="1" s="1"/>
  <c r="DE115" i="1"/>
  <c r="DE117" i="1" s="1"/>
  <c r="DC21" i="2"/>
  <c r="DE18" i="2"/>
  <c r="DE42" i="2"/>
  <c r="DE15" i="2"/>
  <c r="DC15" i="2"/>
  <c r="DC18" i="2"/>
  <c r="DC56" i="2"/>
  <c r="DC57" i="2" s="1"/>
  <c r="DC16" i="2"/>
  <c r="DC42" i="2"/>
  <c r="DA27" i="1"/>
  <c r="DD10" i="2"/>
  <c r="DD9" i="2"/>
  <c r="DD38" i="9"/>
  <c r="DD39" i="9" s="1"/>
  <c r="DD37" i="9"/>
  <c r="DD43" i="9"/>
  <c r="DD116" i="1"/>
  <c r="DD118" i="1" s="1"/>
  <c r="DD115" i="1"/>
  <c r="DD117" i="1" s="1"/>
  <c r="DD95" i="1"/>
  <c r="DD93" i="1"/>
  <c r="DD20" i="2"/>
  <c r="DD31" i="2"/>
  <c r="DA122" i="1"/>
  <c r="DA55" i="1"/>
  <c r="DA54" i="1"/>
  <c r="BD38" i="19" l="1"/>
  <c r="DC36" i="2"/>
  <c r="DC38" i="2" s="1"/>
  <c r="DD21" i="2"/>
  <c r="DD43" i="2"/>
  <c r="DD16" i="2"/>
  <c r="DD53" i="2"/>
  <c r="DD55" i="2" s="1"/>
  <c r="DD70" i="2" s="1"/>
  <c r="DD15" i="2"/>
  <c r="DD18" i="2"/>
  <c r="DD42" i="2"/>
  <c r="DC58" i="2"/>
  <c r="DC73" i="2" s="1"/>
  <c r="DC74" i="2"/>
  <c r="CZ29" i="1"/>
  <c r="DJ9" i="2" l="1"/>
  <c r="BE38" i="19"/>
  <c r="DD36" i="2"/>
  <c r="DD38" i="2" s="1"/>
  <c r="DD63" i="2" s="1"/>
  <c r="DD56" i="2"/>
  <c r="DD57" i="2" s="1"/>
  <c r="DC44" i="2"/>
  <c r="DC63" i="2"/>
  <c r="DD44" i="2"/>
  <c r="CZ159" i="1"/>
  <c r="CZ158" i="1"/>
  <c r="CZ157" i="1"/>
  <c r="CZ150" i="1"/>
  <c r="CZ109" i="1"/>
  <c r="CZ110" i="1" s="1"/>
  <c r="CZ91" i="1"/>
  <c r="CZ83" i="1"/>
  <c r="CZ79" i="1"/>
  <c r="CZ77" i="1"/>
  <c r="CZ73" i="1"/>
  <c r="CZ74" i="1" s="1"/>
  <c r="CZ64" i="1"/>
  <c r="CZ6" i="1"/>
  <c r="CZ51" i="1" s="1"/>
  <c r="CV6" i="1"/>
  <c r="CY6" i="1"/>
  <c r="CZ47" i="1"/>
  <c r="CY47" i="1"/>
  <c r="CY44" i="1"/>
  <c r="CZ44" i="1"/>
  <c r="CZ39" i="1"/>
  <c r="CZ37" i="1"/>
  <c r="CZ36" i="1"/>
  <c r="CZ35" i="1"/>
  <c r="CZ147" i="1" s="1"/>
  <c r="CZ30" i="1"/>
  <c r="CZ28" i="1" s="1"/>
  <c r="CZ17" i="1"/>
  <c r="CZ97" i="1" s="1"/>
  <c r="CZ16" i="1"/>
  <c r="CZ15" i="1"/>
  <c r="CZ100" i="1" s="1"/>
  <c r="CZ13" i="1"/>
  <c r="CZ11" i="1" s="1"/>
  <c r="CZ141" i="1" s="1"/>
  <c r="CZ10" i="1"/>
  <c r="CZ8" i="1" s="1"/>
  <c r="DD20" i="9" s="1"/>
  <c r="CZ19" i="1"/>
  <c r="CZ143" i="1" s="1"/>
  <c r="CZ32" i="2"/>
  <c r="CZ28" i="2"/>
  <c r="CZ23" i="2"/>
  <c r="CZ22" i="2" s="1"/>
  <c r="CZ85" i="2"/>
  <c r="CZ88" i="2" s="1"/>
  <c r="CZ65" i="2"/>
  <c r="CZ64" i="2"/>
  <c r="CZ62" i="2"/>
  <c r="DK9" i="2" l="1"/>
  <c r="BG38" i="19" s="1"/>
  <c r="BF38" i="19"/>
  <c r="CZ142" i="1"/>
  <c r="DC47" i="2"/>
  <c r="DC66" i="2" s="1"/>
  <c r="DC46" i="2"/>
  <c r="DD58" i="2"/>
  <c r="DD74" i="2"/>
  <c r="DD46" i="2"/>
  <c r="DD47" i="2"/>
  <c r="CZ148" i="1"/>
  <c r="CZ185" i="1"/>
  <c r="DA81" i="2"/>
  <c r="CY43" i="1"/>
  <c r="CZ139" i="1"/>
  <c r="CZ43" i="1"/>
  <c r="CZ40" i="1" s="1"/>
  <c r="CZ87" i="1"/>
  <c r="CZ103" i="1"/>
  <c r="CZ60" i="2"/>
  <c r="CZ50" i="1"/>
  <c r="CZ146" i="1"/>
  <c r="CZ60" i="1"/>
  <c r="DA63" i="1" s="1"/>
  <c r="CZ140" i="1"/>
  <c r="CZ88" i="1"/>
  <c r="CZ69" i="1"/>
  <c r="DA72" i="1" s="1"/>
  <c r="CZ94" i="2"/>
  <c r="CZ75" i="1"/>
  <c r="CZ76" i="1" s="1"/>
  <c r="CZ66" i="1"/>
  <c r="CZ18" i="1"/>
  <c r="DC75" i="2" l="1"/>
  <c r="DC79" i="2"/>
  <c r="DC95" i="2" s="1"/>
  <c r="DC67" i="2"/>
  <c r="DC80" i="2" s="1"/>
  <c r="DD66" i="2"/>
  <c r="DD161" i="1"/>
  <c r="DD73" i="2"/>
  <c r="DD56" i="1"/>
  <c r="DA26" i="2"/>
  <c r="DA86" i="2"/>
  <c r="CZ53" i="1"/>
  <c r="DA49" i="1" s="1"/>
  <c r="CZ89" i="1"/>
  <c r="CZ121" i="1"/>
  <c r="CZ52" i="1"/>
  <c r="CZ57" i="1"/>
  <c r="CZ120" i="1"/>
  <c r="CZ5" i="1"/>
  <c r="CZ4" i="1" s="1"/>
  <c r="CZ144" i="1"/>
  <c r="CZ138" i="1" s="1"/>
  <c r="CZ27" i="1"/>
  <c r="CZ149" i="1"/>
  <c r="CZ145" i="1" s="1"/>
  <c r="CZ17" i="9"/>
  <c r="CZ16" i="9"/>
  <c r="CZ13" i="9"/>
  <c r="CZ11" i="9"/>
  <c r="CZ8" i="9"/>
  <c r="CZ6" i="9"/>
  <c r="DD67" i="2" l="1"/>
  <c r="DD80" i="2" s="1"/>
  <c r="DD75" i="2"/>
  <c r="DD79" i="2"/>
  <c r="DD95" i="2" s="1"/>
  <c r="CZ122" i="1"/>
  <c r="CZ54" i="1"/>
  <c r="CZ55" i="1"/>
  <c r="CZ151" i="1"/>
  <c r="CZ165" i="1" s="1"/>
  <c r="CZ21" i="9"/>
  <c r="CZ29" i="9"/>
  <c r="CZ19" i="2"/>
  <c r="CZ14" i="9"/>
  <c r="CZ34" i="9" s="1"/>
  <c r="CZ18" i="9"/>
  <c r="CZ154" i="1" l="1"/>
  <c r="CZ155" i="1" s="1"/>
  <c r="CZ152" i="1"/>
  <c r="CZ184" i="1"/>
  <c r="CY28" i="9" l="1"/>
  <c r="CY30" i="9" s="1"/>
  <c r="CY25" i="9"/>
  <c r="CY26" i="9" s="1"/>
  <c r="CX25" i="9"/>
  <c r="CX26" i="9" s="1"/>
  <c r="CY35" i="9"/>
  <c r="CY33" i="9"/>
  <c r="CZ40" i="9" s="1"/>
  <c r="CZ111" i="1" l="1"/>
  <c r="CZ112" i="1" l="1"/>
  <c r="CY91" i="1"/>
  <c r="CY84" i="1"/>
  <c r="CY83" i="1"/>
  <c r="CY79" i="1"/>
  <c r="CY77" i="1"/>
  <c r="CY73" i="1"/>
  <c r="CY64" i="1"/>
  <c r="CY39" i="1"/>
  <c r="CY37" i="1"/>
  <c r="CY36" i="1"/>
  <c r="CY103" i="1" s="1"/>
  <c r="CY41" i="1"/>
  <c r="CZ41" i="1" s="1"/>
  <c r="CY35" i="1"/>
  <c r="CY87" i="1" s="1"/>
  <c r="CY30" i="1"/>
  <c r="CY29" i="1"/>
  <c r="CY17" i="1"/>
  <c r="CY97" i="1" s="1"/>
  <c r="CY16" i="1"/>
  <c r="CY15" i="1"/>
  <c r="CY100" i="1" s="1"/>
  <c r="CY13" i="1"/>
  <c r="CY75" i="1" s="1"/>
  <c r="CY10" i="1"/>
  <c r="CY8" i="1" s="1"/>
  <c r="CY109" i="1"/>
  <c r="CY110" i="1" s="1"/>
  <c r="CY85" i="2"/>
  <c r="CY88" i="2" s="1"/>
  <c r="CY32" i="2"/>
  <c r="CY13" i="2"/>
  <c r="CY23" i="2"/>
  <c r="CY22" i="2" s="1"/>
  <c r="CY28" i="2"/>
  <c r="CY14" i="2"/>
  <c r="CY8" i="2"/>
  <c r="CY6" i="2"/>
  <c r="CZ81" i="2"/>
  <c r="CY60" i="1" l="1"/>
  <c r="DC20" i="9"/>
  <c r="CZ8" i="2"/>
  <c r="CZ7" i="2" s="1"/>
  <c r="CZ14" i="2"/>
  <c r="DA14" i="2" s="1"/>
  <c r="CZ26" i="1"/>
  <c r="CZ48" i="1" s="1"/>
  <c r="DA41" i="1"/>
  <c r="DA26" i="1" s="1"/>
  <c r="DA48" i="1" s="1"/>
  <c r="CY72" i="2"/>
  <c r="CZ63" i="1"/>
  <c r="CY66" i="1"/>
  <c r="CZ6" i="2"/>
  <c r="DA6" i="2" s="1"/>
  <c r="DA42" i="9" s="1"/>
  <c r="CY42" i="9"/>
  <c r="CY88" i="1"/>
  <c r="CY89" i="1" s="1"/>
  <c r="CZ13" i="2"/>
  <c r="CY101" i="1"/>
  <c r="CY85" i="1"/>
  <c r="CY98" i="1"/>
  <c r="CY104" i="1"/>
  <c r="CY17" i="9"/>
  <c r="CY16" i="9"/>
  <c r="DA8" i="2" l="1"/>
  <c r="DA7" i="2" s="1"/>
  <c r="DA72" i="2"/>
  <c r="CZ61" i="2"/>
  <c r="CZ59" i="2" s="1"/>
  <c r="DA13" i="2"/>
  <c r="DA61" i="2" s="1"/>
  <c r="CY19" i="2"/>
  <c r="CY29" i="9"/>
  <c r="CZ72" i="2"/>
  <c r="CZ42" i="9"/>
  <c r="CY18" i="9"/>
  <c r="CY21" i="9"/>
  <c r="CY14" i="9"/>
  <c r="CY34" i="9" s="1"/>
  <c r="CY6" i="9"/>
  <c r="CY13" i="9"/>
  <c r="CY11" i="9"/>
  <c r="CY8" i="9"/>
  <c r="BD629" i="20" l="1"/>
  <c r="BC629" i="20"/>
  <c r="BB629" i="20"/>
  <c r="BA629" i="20"/>
  <c r="AZ629" i="20"/>
  <c r="AY629" i="20"/>
  <c r="AX629" i="20"/>
  <c r="AW629" i="20"/>
  <c r="AV629" i="20"/>
  <c r="AU629" i="20"/>
  <c r="AT629" i="20"/>
  <c r="AS629" i="20"/>
  <c r="AR629" i="20"/>
  <c r="AQ629" i="20"/>
  <c r="AP629" i="20"/>
  <c r="AO629" i="20"/>
  <c r="AN629" i="20"/>
  <c r="AM629" i="20"/>
  <c r="AL629" i="20"/>
  <c r="AK629" i="20"/>
  <c r="AJ629" i="20"/>
  <c r="AI629" i="20"/>
  <c r="AH629" i="20"/>
  <c r="AG629" i="20"/>
  <c r="AF629" i="20"/>
  <c r="AE629" i="20"/>
  <c r="AD629" i="20"/>
  <c r="AC629" i="20"/>
  <c r="AB629" i="20"/>
  <c r="AA629" i="20"/>
  <c r="BD627" i="20"/>
  <c r="BC627" i="20"/>
  <c r="BB627" i="20"/>
  <c r="BA627" i="20"/>
  <c r="AZ627" i="20"/>
  <c r="AY627" i="20"/>
  <c r="AX627" i="20"/>
  <c r="AW627" i="20"/>
  <c r="AV627" i="20"/>
  <c r="AU627" i="20"/>
  <c r="AT627" i="20"/>
  <c r="AS627" i="20"/>
  <c r="AR627" i="20"/>
  <c r="AQ627" i="20"/>
  <c r="AP627" i="20"/>
  <c r="AO627" i="20"/>
  <c r="AN627" i="20"/>
  <c r="AM627" i="20"/>
  <c r="AL627" i="20"/>
  <c r="AK627" i="20"/>
  <c r="AJ627" i="20"/>
  <c r="AI627" i="20"/>
  <c r="AH627" i="20"/>
  <c r="AG627" i="20"/>
  <c r="AF627" i="20"/>
  <c r="AE627" i="20"/>
  <c r="AD627" i="20"/>
  <c r="AC627" i="20"/>
  <c r="AB627" i="20"/>
  <c r="AA627" i="20"/>
  <c r="DW591" i="20"/>
  <c r="DU591" i="20"/>
  <c r="DT591" i="20"/>
  <c r="DS591" i="20"/>
  <c r="DR591" i="20"/>
  <c r="DP591" i="20"/>
  <c r="DO591" i="20"/>
  <c r="DN591" i="20"/>
  <c r="DM591" i="20"/>
  <c r="DK591" i="20"/>
  <c r="DJ591" i="20"/>
  <c r="DI591" i="20"/>
  <c r="DH591" i="20"/>
  <c r="DF591" i="20"/>
  <c r="DE591" i="20"/>
  <c r="DD591" i="20"/>
  <c r="DC591" i="20"/>
  <c r="DA591" i="20"/>
  <c r="CZ591" i="20"/>
  <c r="CY591" i="20"/>
  <c r="CV591" i="20"/>
  <c r="CU591" i="20"/>
  <c r="CT591" i="20"/>
  <c r="CS591" i="20"/>
  <c r="CQ591" i="20"/>
  <c r="CP591" i="20"/>
  <c r="CO591" i="20"/>
  <c r="CN591" i="20"/>
  <c r="CK591" i="20"/>
  <c r="CJ591" i="20"/>
  <c r="CI591" i="20"/>
  <c r="CG591" i="20"/>
  <c r="CF591" i="20"/>
  <c r="CE591" i="20"/>
  <c r="CD591" i="20"/>
  <c r="CB591" i="20"/>
  <c r="CA591" i="20"/>
  <c r="BZ591" i="20"/>
  <c r="BY591" i="20"/>
  <c r="BW591" i="20"/>
  <c r="BV591" i="20"/>
  <c r="BT591" i="20"/>
  <c r="BR591" i="20"/>
  <c r="BQ591" i="20"/>
  <c r="BP591" i="20"/>
  <c r="BO591" i="20"/>
  <c r="BM591" i="20"/>
  <c r="BL591" i="20"/>
  <c r="BK591" i="20"/>
  <c r="BJ591" i="20"/>
  <c r="BH591" i="20"/>
  <c r="BG591" i="20"/>
  <c r="BF591" i="20"/>
  <c r="BE591" i="20"/>
  <c r="BC591" i="20"/>
  <c r="BB591" i="20"/>
  <c r="BA591" i="20"/>
  <c r="AZ591" i="20"/>
  <c r="AY591" i="20"/>
  <c r="AX591" i="20"/>
  <c r="AW591" i="20"/>
  <c r="AV591" i="20"/>
  <c r="AU591" i="20"/>
  <c r="AT591" i="20"/>
  <c r="AO591" i="20"/>
  <c r="AN591" i="20"/>
  <c r="AM591" i="20"/>
  <c r="AL591" i="20"/>
  <c r="AK591" i="20"/>
  <c r="AJ591" i="20"/>
  <c r="AI591" i="20"/>
  <c r="AH591" i="20"/>
  <c r="AG591" i="20"/>
  <c r="AF591" i="20"/>
  <c r="AE591" i="20"/>
  <c r="AD591" i="20"/>
  <c r="AC591" i="20"/>
  <c r="AB591" i="20"/>
  <c r="AA591" i="20"/>
  <c r="DW590" i="20"/>
  <c r="DU590" i="20"/>
  <c r="DT590" i="20"/>
  <c r="DS590" i="20"/>
  <c r="DR590" i="20"/>
  <c r="DP590" i="20"/>
  <c r="DO590" i="20"/>
  <c r="DN590" i="20"/>
  <c r="DM590" i="20"/>
  <c r="DK590" i="20"/>
  <c r="DJ590" i="20"/>
  <c r="DI590" i="20"/>
  <c r="DH590" i="20"/>
  <c r="DF590" i="20"/>
  <c r="DE590" i="20"/>
  <c r="DD590" i="20"/>
  <c r="DC590" i="20"/>
  <c r="DA590" i="20"/>
  <c r="CZ590" i="20"/>
  <c r="CY590" i="20"/>
  <c r="CX590" i="20"/>
  <c r="CV590" i="20"/>
  <c r="CU590" i="20"/>
  <c r="CT590" i="20"/>
  <c r="CS590" i="20"/>
  <c r="CQ590" i="20"/>
  <c r="CP590" i="20"/>
  <c r="CO590" i="20"/>
  <c r="CN590" i="20"/>
  <c r="CL590" i="20"/>
  <c r="CK590" i="20"/>
  <c r="CJ590" i="20"/>
  <c r="CI590" i="20"/>
  <c r="CG590" i="20"/>
  <c r="CF590" i="20"/>
  <c r="CE590" i="20"/>
  <c r="CD590" i="20"/>
  <c r="CB590" i="20"/>
  <c r="CA590" i="20"/>
  <c r="BZ590" i="20"/>
  <c r="BY590" i="20"/>
  <c r="BW590" i="20"/>
  <c r="BV590" i="20"/>
  <c r="BT590" i="20"/>
  <c r="BQ590" i="20"/>
  <c r="BP590" i="20"/>
  <c r="BO590" i="20"/>
  <c r="BL590" i="20"/>
  <c r="BK590" i="20"/>
  <c r="BJ590" i="20"/>
  <c r="BH590" i="20"/>
  <c r="BF590" i="20"/>
  <c r="BE590" i="20"/>
  <c r="BD590" i="20"/>
  <c r="BC590" i="20"/>
  <c r="BB590" i="20"/>
  <c r="BA590" i="20"/>
  <c r="AZ590" i="20"/>
  <c r="AY590" i="20"/>
  <c r="AX590" i="20"/>
  <c r="AW590" i="20"/>
  <c r="AV590" i="20"/>
  <c r="AU590" i="20"/>
  <c r="AT590" i="20"/>
  <c r="AS590" i="20"/>
  <c r="AR590" i="20"/>
  <c r="AQ590" i="20"/>
  <c r="AP590" i="20"/>
  <c r="AO590" i="20"/>
  <c r="AN590" i="20"/>
  <c r="AM590" i="20"/>
  <c r="AL590" i="20"/>
  <c r="AK590" i="20"/>
  <c r="AJ590" i="20"/>
  <c r="AI590" i="20"/>
  <c r="AH590" i="20"/>
  <c r="AG590" i="20"/>
  <c r="AF590" i="20"/>
  <c r="AE590" i="20"/>
  <c r="AD590" i="20"/>
  <c r="AC590" i="20"/>
  <c r="AB590" i="20"/>
  <c r="AA590" i="20"/>
  <c r="DW588" i="20"/>
  <c r="DU588" i="20"/>
  <c r="DT588" i="20"/>
  <c r="DS588" i="20"/>
  <c r="DR588" i="20"/>
  <c r="DP588" i="20"/>
  <c r="DO588" i="20"/>
  <c r="DN588" i="20"/>
  <c r="DM588" i="20"/>
  <c r="DK588" i="20"/>
  <c r="DJ588" i="20"/>
  <c r="DI588" i="20"/>
  <c r="DH588" i="20"/>
  <c r="DF588" i="20"/>
  <c r="DE588" i="20"/>
  <c r="DD588" i="20"/>
  <c r="DC588" i="20"/>
  <c r="DA588" i="20"/>
  <c r="CZ588" i="20"/>
  <c r="CY588" i="20"/>
  <c r="CX588" i="20"/>
  <c r="CV588" i="20"/>
  <c r="CU588" i="20"/>
  <c r="CT588" i="20"/>
  <c r="CS588" i="20"/>
  <c r="CQ588" i="20"/>
  <c r="CP588" i="20"/>
  <c r="CO588" i="20"/>
  <c r="CN588" i="20"/>
  <c r="CL588" i="20"/>
  <c r="CK588" i="20"/>
  <c r="CJ588" i="20"/>
  <c r="CI588" i="20"/>
  <c r="CG588" i="20"/>
  <c r="CF588" i="20"/>
  <c r="CE588" i="20"/>
  <c r="CD588" i="20"/>
  <c r="CA588" i="20"/>
  <c r="BZ588" i="20"/>
  <c r="BY588" i="20"/>
  <c r="BV588" i="20"/>
  <c r="BQ588" i="20"/>
  <c r="BP588" i="20"/>
  <c r="BO588" i="20"/>
  <c r="BM588" i="20"/>
  <c r="BL588" i="20"/>
  <c r="BK588" i="20"/>
  <c r="BJ588" i="20"/>
  <c r="BH588" i="20"/>
  <c r="BG588" i="20"/>
  <c r="BF588" i="20"/>
  <c r="BE588" i="20"/>
  <c r="BC588" i="20"/>
  <c r="BB588" i="20"/>
  <c r="BA588" i="20"/>
  <c r="AZ588" i="20"/>
  <c r="AX588" i="20"/>
  <c r="AW588" i="20"/>
  <c r="AU588" i="20"/>
  <c r="AS588" i="20"/>
  <c r="AR588" i="20"/>
  <c r="AQ588" i="20"/>
  <c r="AP588" i="20"/>
  <c r="AL588" i="20"/>
  <c r="AK588" i="20"/>
  <c r="AI588" i="20"/>
  <c r="AH588" i="20"/>
  <c r="AG588" i="20"/>
  <c r="AF588" i="20"/>
  <c r="AD588" i="20"/>
  <c r="AC588" i="20"/>
  <c r="AB588" i="20"/>
  <c r="AA588" i="20"/>
  <c r="DW586" i="20"/>
  <c r="DU586" i="20"/>
  <c r="DT586" i="20"/>
  <c r="DS586" i="20"/>
  <c r="DR586" i="20"/>
  <c r="DP586" i="20"/>
  <c r="DO586" i="20"/>
  <c r="DN586" i="20"/>
  <c r="DM586" i="20"/>
  <c r="DK586" i="20"/>
  <c r="DJ586" i="20"/>
  <c r="DI586" i="20"/>
  <c r="DH586" i="20"/>
  <c r="DF586" i="20"/>
  <c r="DE586" i="20"/>
  <c r="DD586" i="20"/>
  <c r="DC586" i="20"/>
  <c r="DA586" i="20"/>
  <c r="CZ586" i="20"/>
  <c r="CY586" i="20"/>
  <c r="CX586" i="20"/>
  <c r="CV586" i="20"/>
  <c r="CU586" i="20"/>
  <c r="CT586" i="20"/>
  <c r="CS586" i="20"/>
  <c r="CQ586" i="20"/>
  <c r="CP586" i="20"/>
  <c r="CO586" i="20"/>
  <c r="CN586" i="20"/>
  <c r="CL586" i="20"/>
  <c r="CK586" i="20"/>
  <c r="CJ586" i="20"/>
  <c r="CI586" i="20"/>
  <c r="CG586" i="20"/>
  <c r="CF586" i="20"/>
  <c r="CE586" i="20"/>
  <c r="CD586" i="20"/>
  <c r="CA586" i="20"/>
  <c r="BZ586" i="20"/>
  <c r="BY586" i="20"/>
  <c r="BV586" i="20"/>
  <c r="BQ586" i="20"/>
  <c r="BP586" i="20"/>
  <c r="BO586" i="20"/>
  <c r="BM586" i="20"/>
  <c r="BL586" i="20"/>
  <c r="BK586" i="20"/>
  <c r="BJ586" i="20"/>
  <c r="BH586" i="20"/>
  <c r="BG586" i="20"/>
  <c r="BF586" i="20"/>
  <c r="BE586" i="20"/>
  <c r="BC586" i="20"/>
  <c r="BB586" i="20"/>
  <c r="BA586" i="20"/>
  <c r="AZ586" i="20"/>
  <c r="AX586" i="20"/>
  <c r="AW586" i="20"/>
  <c r="AU586" i="20"/>
  <c r="AS586" i="20"/>
  <c r="AR586" i="20"/>
  <c r="AQ586" i="20"/>
  <c r="AP586" i="20"/>
  <c r="AN586" i="20"/>
  <c r="AM586" i="20"/>
  <c r="AL586" i="20"/>
  <c r="AK586" i="20"/>
  <c r="AI586" i="20"/>
  <c r="AH586" i="20"/>
  <c r="AG586" i="20"/>
  <c r="AF586" i="20"/>
  <c r="DW580" i="20"/>
  <c r="DR580" i="20"/>
  <c r="DM580" i="20"/>
  <c r="DH580" i="20"/>
  <c r="DC580" i="20"/>
  <c r="CX580" i="20"/>
  <c r="CV580" i="20"/>
  <c r="CS580" i="20"/>
  <c r="CN580" i="20"/>
  <c r="CI580" i="20"/>
  <c r="CG580" i="20"/>
  <c r="CD580" i="20"/>
  <c r="BY580" i="20"/>
  <c r="BT580" i="20"/>
  <c r="BP580" i="20"/>
  <c r="BM580" i="20"/>
  <c r="BJ580" i="20"/>
  <c r="BE580" i="20"/>
  <c r="BA580" i="20"/>
  <c r="AZ580" i="20"/>
  <c r="AV580" i="20"/>
  <c r="AU580" i="20"/>
  <c r="AS580" i="20"/>
  <c r="AR580" i="20"/>
  <c r="AQ580" i="20"/>
  <c r="AP580" i="20"/>
  <c r="AN580" i="20"/>
  <c r="AM580" i="20"/>
  <c r="AL580" i="20"/>
  <c r="AK580" i="20"/>
  <c r="AJ580" i="20"/>
  <c r="AI580" i="20"/>
  <c r="AH580" i="20"/>
  <c r="AG580" i="20"/>
  <c r="AF580" i="20"/>
  <c r="AE580" i="20"/>
  <c r="AD580" i="20"/>
  <c r="AC580" i="20"/>
  <c r="AB580" i="20"/>
  <c r="AA580" i="20"/>
  <c r="DW577" i="20"/>
  <c r="DU577" i="20"/>
  <c r="DT577" i="20"/>
  <c r="DS577" i="20"/>
  <c r="DR577" i="20"/>
  <c r="DP577" i="20"/>
  <c r="DO577" i="20"/>
  <c r="DN577" i="20"/>
  <c r="DM577" i="20"/>
  <c r="DK577" i="20"/>
  <c r="DJ577" i="20"/>
  <c r="DI577" i="20"/>
  <c r="DH577" i="20"/>
  <c r="DF577" i="20"/>
  <c r="DE577" i="20"/>
  <c r="DD577" i="20"/>
  <c r="DC577" i="20"/>
  <c r="DA577" i="20"/>
  <c r="CZ577" i="20"/>
  <c r="CY577" i="20"/>
  <c r="CX577" i="20"/>
  <c r="CV577" i="20"/>
  <c r="CU577" i="20"/>
  <c r="CT577" i="20"/>
  <c r="CS577" i="20"/>
  <c r="CQ577" i="20"/>
  <c r="CP577" i="20"/>
  <c r="CO577" i="20"/>
  <c r="CN577" i="20"/>
  <c r="CL577" i="20"/>
  <c r="CK577" i="20"/>
  <c r="CJ577" i="20"/>
  <c r="CI577" i="20"/>
  <c r="CG577" i="20"/>
  <c r="CF577" i="20"/>
  <c r="CE577" i="20"/>
  <c r="CD577" i="20"/>
  <c r="CB577" i="20"/>
  <c r="CA577" i="20"/>
  <c r="BZ577" i="20"/>
  <c r="BY577" i="20"/>
  <c r="BW577" i="20"/>
  <c r="BR577" i="20"/>
  <c r="BQ577" i="20"/>
  <c r="BP577" i="20"/>
  <c r="BO577" i="20"/>
  <c r="BM577" i="20"/>
  <c r="BL577" i="20"/>
  <c r="BK577" i="20"/>
  <c r="DX575" i="20"/>
  <c r="DW575" i="20"/>
  <c r="DU575" i="20"/>
  <c r="DT575" i="20"/>
  <c r="DS575" i="20"/>
  <c r="DR575" i="20"/>
  <c r="DP575" i="20"/>
  <c r="DO575" i="20"/>
  <c r="DN575" i="20"/>
  <c r="DM575" i="20"/>
  <c r="DK575" i="20"/>
  <c r="DJ575" i="20"/>
  <c r="DI575" i="20"/>
  <c r="DH575" i="20"/>
  <c r="DF575" i="20"/>
  <c r="DE575" i="20"/>
  <c r="DD575" i="20"/>
  <c r="DC575" i="20"/>
  <c r="DA575" i="20"/>
  <c r="CZ575" i="20"/>
  <c r="CY575" i="20"/>
  <c r="CX575" i="20"/>
  <c r="CV575" i="20"/>
  <c r="CU575" i="20"/>
  <c r="CT575" i="20"/>
  <c r="CS575" i="20"/>
  <c r="CQ575" i="20"/>
  <c r="CP575" i="20"/>
  <c r="CL575" i="20"/>
  <c r="CK575" i="20"/>
  <c r="CJ575" i="20"/>
  <c r="CI575" i="20"/>
  <c r="CG575" i="20"/>
  <c r="CF575" i="20"/>
  <c r="CE575" i="20"/>
  <c r="CD575" i="20"/>
  <c r="CA575" i="20"/>
  <c r="BZ575" i="20"/>
  <c r="BY575" i="20"/>
  <c r="BV575" i="20"/>
  <c r="BT575" i="20"/>
  <c r="BR575" i="20"/>
  <c r="BQ575" i="20"/>
  <c r="BP575" i="20"/>
  <c r="BO575" i="20"/>
  <c r="BM575" i="20"/>
  <c r="BL575" i="20"/>
  <c r="BK575" i="20"/>
  <c r="BJ575" i="20"/>
  <c r="BH575" i="20"/>
  <c r="BG575" i="20"/>
  <c r="BF575" i="20"/>
  <c r="BE575" i="20"/>
  <c r="BC575" i="20"/>
  <c r="BB575" i="20"/>
  <c r="BA575" i="20"/>
  <c r="AZ575" i="20"/>
  <c r="AX575" i="20"/>
  <c r="AW575" i="20"/>
  <c r="AV575" i="20"/>
  <c r="AU575" i="20"/>
  <c r="AS575" i="20"/>
  <c r="AR575" i="20"/>
  <c r="AP575" i="20"/>
  <c r="AN575" i="20"/>
  <c r="AM575" i="20"/>
  <c r="DX574" i="20"/>
  <c r="DW574" i="20"/>
  <c r="DU574" i="20"/>
  <c r="DT574" i="20"/>
  <c r="DS574" i="20"/>
  <c r="DR574" i="20"/>
  <c r="DP574" i="20"/>
  <c r="DO574" i="20"/>
  <c r="DN574" i="20"/>
  <c r="DM574" i="20"/>
  <c r="DK574" i="20"/>
  <c r="DJ574" i="20"/>
  <c r="DI574" i="20"/>
  <c r="DH574" i="20"/>
  <c r="DF574" i="20"/>
  <c r="DE574" i="20"/>
  <c r="DD574" i="20"/>
  <c r="DC574" i="20"/>
  <c r="DA574" i="20"/>
  <c r="CZ574" i="20"/>
  <c r="CY574" i="20"/>
  <c r="CX574" i="20"/>
  <c r="CV574" i="20"/>
  <c r="CU574" i="20"/>
  <c r="CT574" i="20"/>
  <c r="CS574" i="20"/>
  <c r="CQ574" i="20"/>
  <c r="CP574" i="20"/>
  <c r="CO574" i="20"/>
  <c r="CN574" i="20"/>
  <c r="CL574" i="20"/>
  <c r="CK574" i="20"/>
  <c r="CJ574" i="20"/>
  <c r="CI574" i="20"/>
  <c r="CG574" i="20"/>
  <c r="CF574" i="20"/>
  <c r="CE574" i="20"/>
  <c r="CD574" i="20"/>
  <c r="CB574" i="20"/>
  <c r="CA574" i="20"/>
  <c r="BZ574" i="20"/>
  <c r="BY574" i="20"/>
  <c r="BV574" i="20"/>
  <c r="BT574" i="20"/>
  <c r="BR574" i="20"/>
  <c r="BQ574" i="20"/>
  <c r="BP574" i="20"/>
  <c r="BO574" i="20"/>
  <c r="BM574" i="20"/>
  <c r="BL574" i="20"/>
  <c r="BK574" i="20"/>
  <c r="BJ574" i="20"/>
  <c r="BH574" i="20"/>
  <c r="BG574" i="20"/>
  <c r="BF574" i="20"/>
  <c r="BE574" i="20"/>
  <c r="BC574" i="20"/>
  <c r="BB574" i="20"/>
  <c r="BA574" i="20"/>
  <c r="AZ574" i="20"/>
  <c r="AX574" i="20"/>
  <c r="AW574" i="20"/>
  <c r="AV574" i="20"/>
  <c r="AU574" i="20"/>
  <c r="AS574" i="20"/>
  <c r="AR574" i="20"/>
  <c r="AQ574" i="20"/>
  <c r="AP574" i="20"/>
  <c r="AN574" i="20"/>
  <c r="AM574" i="20"/>
  <c r="DW411" i="20"/>
  <c r="DU411" i="20"/>
  <c r="DT411" i="20"/>
  <c r="DS411" i="20"/>
  <c r="DR411" i="20"/>
  <c r="DP411" i="20"/>
  <c r="DO411" i="20"/>
  <c r="DN411" i="20"/>
  <c r="DM411" i="20"/>
  <c r="DK411" i="20"/>
  <c r="DJ411" i="20"/>
  <c r="DI411" i="20"/>
  <c r="DH411" i="20"/>
  <c r="DF411" i="20"/>
  <c r="DE411" i="20"/>
  <c r="DD411" i="20"/>
  <c r="DC411" i="20"/>
  <c r="DA411" i="20"/>
  <c r="CZ411" i="20"/>
  <c r="CY411" i="20"/>
  <c r="CX411" i="20"/>
  <c r="CV411" i="20"/>
  <c r="CU411" i="20"/>
  <c r="CT411" i="20"/>
  <c r="CS411" i="20"/>
  <c r="CQ411" i="20"/>
  <c r="CP411" i="20"/>
  <c r="CO411" i="20"/>
  <c r="CN411" i="20"/>
  <c r="CL411" i="20"/>
  <c r="CK411" i="20"/>
  <c r="CJ411" i="20"/>
  <c r="CI411" i="20"/>
  <c r="CG411" i="20"/>
  <c r="CF411" i="20"/>
  <c r="CE411" i="20"/>
  <c r="CD411" i="20"/>
  <c r="CB411" i="20"/>
  <c r="CA411" i="20"/>
  <c r="BZ411" i="20"/>
  <c r="BY411" i="20"/>
  <c r="BW411" i="20"/>
  <c r="BV411" i="20"/>
  <c r="BU411" i="20"/>
  <c r="BT411" i="20"/>
  <c r="BR411" i="20"/>
  <c r="BQ411" i="20"/>
  <c r="BP411" i="20"/>
  <c r="BO411" i="20"/>
  <c r="BM411" i="20"/>
  <c r="BL411" i="20"/>
  <c r="BK411" i="20"/>
  <c r="BJ411" i="20"/>
  <c r="BH411" i="20"/>
  <c r="BG411" i="20"/>
  <c r="BF411" i="20"/>
  <c r="BE411" i="20"/>
  <c r="BC411" i="20"/>
  <c r="BB411" i="20"/>
  <c r="BA411" i="20"/>
  <c r="AZ411" i="20"/>
  <c r="AX411" i="20"/>
  <c r="AW411" i="20"/>
  <c r="AV411" i="20"/>
  <c r="AU411" i="20"/>
  <c r="AS411" i="20"/>
  <c r="AR411" i="20"/>
  <c r="AQ411" i="20"/>
  <c r="AP411" i="20"/>
  <c r="AN411" i="20"/>
  <c r="AM411" i="20"/>
  <c r="AL411" i="20"/>
  <c r="AK411" i="20"/>
  <c r="AI411" i="20"/>
  <c r="AH411" i="20"/>
  <c r="AG411" i="20"/>
  <c r="AD411" i="20"/>
  <c r="AC411" i="20"/>
  <c r="AB411" i="20"/>
  <c r="AA411" i="20"/>
  <c r="BL338" i="20"/>
  <c r="BH338" i="20"/>
  <c r="BG338" i="20"/>
  <c r="BC338" i="20"/>
  <c r="AX338" i="20"/>
  <c r="AU338" i="20"/>
  <c r="AQ338" i="20"/>
  <c r="AP338" i="20"/>
  <c r="AL338" i="20"/>
  <c r="AI338" i="20"/>
  <c r="AH338" i="20"/>
  <c r="AG338" i="20"/>
  <c r="AD338" i="20"/>
  <c r="AC338" i="20"/>
  <c r="AB338" i="20"/>
  <c r="AA338" i="20"/>
  <c r="DW171" i="20"/>
  <c r="DU171" i="20"/>
  <c r="DT171" i="20"/>
  <c r="DS171" i="20"/>
  <c r="DR171" i="20"/>
  <c r="DP171" i="20"/>
  <c r="DO171" i="20"/>
  <c r="DN171" i="20"/>
  <c r="DM171" i="20"/>
  <c r="DK171" i="20"/>
  <c r="DJ171" i="20"/>
  <c r="DI171" i="20"/>
  <c r="DH171" i="20"/>
  <c r="DF171" i="20"/>
  <c r="DE171" i="20"/>
  <c r="DD171" i="20"/>
  <c r="DC171" i="20"/>
  <c r="DA171" i="20"/>
  <c r="CZ171" i="20"/>
  <c r="CY171" i="20"/>
  <c r="CX171" i="20"/>
  <c r="CV171" i="20"/>
  <c r="CU171" i="20"/>
  <c r="CT171" i="20"/>
  <c r="CS171" i="20"/>
  <c r="CQ171" i="20"/>
  <c r="CP171" i="20"/>
  <c r="CO171" i="20"/>
  <c r="CN171" i="20"/>
  <c r="CL171" i="20"/>
  <c r="CK171" i="20"/>
  <c r="CJ171" i="20"/>
  <c r="CI171" i="20"/>
  <c r="CG171" i="20"/>
  <c r="CF171" i="20"/>
  <c r="CE171" i="20"/>
  <c r="CD171" i="20"/>
  <c r="CB171" i="20"/>
  <c r="CA171" i="20"/>
  <c r="BZ171" i="20"/>
  <c r="BY171" i="20"/>
  <c r="BW171" i="20"/>
  <c r="BV171" i="20"/>
  <c r="BU171" i="20"/>
  <c r="BT171" i="20"/>
  <c r="BR171" i="20"/>
  <c r="BQ171" i="20"/>
  <c r="BP171" i="20"/>
  <c r="BO171" i="20"/>
  <c r="BM171" i="20"/>
  <c r="BL171" i="20"/>
  <c r="BK171" i="20"/>
  <c r="BJ171" i="20"/>
  <c r="BH171" i="20"/>
  <c r="BG171" i="20"/>
  <c r="BF171" i="20"/>
  <c r="BE171" i="20"/>
  <c r="BC171" i="20"/>
  <c r="BB171" i="20"/>
  <c r="BA171" i="20"/>
  <c r="AZ171" i="20"/>
  <c r="AX171" i="20"/>
  <c r="AW171" i="20"/>
  <c r="AV171" i="20"/>
  <c r="AU171" i="20"/>
  <c r="AS171" i="20"/>
  <c r="AR171" i="20"/>
  <c r="AQ171" i="20"/>
  <c r="AP171" i="20"/>
  <c r="AN171" i="20"/>
  <c r="AM171" i="20"/>
  <c r="AL171" i="20"/>
  <c r="AK171" i="20"/>
  <c r="AI171" i="20"/>
  <c r="AH171" i="20"/>
  <c r="AG171" i="20"/>
  <c r="AD171" i="20"/>
  <c r="AC171" i="20"/>
  <c r="AB171" i="20"/>
  <c r="AA171" i="20"/>
  <c r="DY167" i="20"/>
  <c r="DX167" i="20"/>
  <c r="DW167" i="20"/>
  <c r="DU167" i="20"/>
  <c r="DT167" i="20"/>
  <c r="DS167" i="20"/>
  <c r="DR167" i="20"/>
  <c r="DP167" i="20"/>
  <c r="DO167" i="20"/>
  <c r="DN167" i="20"/>
  <c r="DM167" i="20"/>
  <c r="DK167" i="20"/>
  <c r="DJ167" i="20"/>
  <c r="DI167" i="20"/>
  <c r="DH167" i="20"/>
  <c r="DF167" i="20"/>
  <c r="DE167" i="20"/>
  <c r="DD167" i="20"/>
  <c r="DC167" i="20"/>
  <c r="DA167" i="20"/>
  <c r="CZ167" i="20"/>
  <c r="CY167" i="20"/>
  <c r="CX167" i="20"/>
  <c r="CV167" i="20"/>
  <c r="CU167" i="20"/>
  <c r="CT167" i="20"/>
  <c r="CS167" i="20"/>
  <c r="CQ167" i="20"/>
  <c r="CP167" i="20"/>
  <c r="CO167" i="20"/>
  <c r="CN167" i="20"/>
  <c r="CL167" i="20"/>
  <c r="CK167" i="20"/>
  <c r="CJ167" i="20"/>
  <c r="CI167" i="20"/>
  <c r="CG167" i="20"/>
  <c r="CF167" i="20"/>
  <c r="CE167" i="20"/>
  <c r="CD167" i="20"/>
  <c r="CB167" i="20"/>
  <c r="CA167" i="20"/>
  <c r="BZ167" i="20"/>
  <c r="BV167" i="20"/>
  <c r="BU167" i="20"/>
  <c r="BT167" i="20"/>
  <c r="BR167" i="20"/>
  <c r="BQ167" i="20"/>
  <c r="BP167" i="20"/>
  <c r="BO167" i="20"/>
  <c r="BM167" i="20"/>
  <c r="BL167" i="20"/>
  <c r="BK167" i="20"/>
  <c r="BJ167" i="20"/>
  <c r="BH167" i="20"/>
  <c r="BG167" i="20"/>
  <c r="BF167" i="20"/>
  <c r="BE167" i="20"/>
  <c r="BC167" i="20"/>
  <c r="BB167" i="20"/>
  <c r="BA167" i="20"/>
  <c r="AZ167" i="20"/>
  <c r="AX167" i="20"/>
  <c r="AW167" i="20"/>
  <c r="AV167" i="20"/>
  <c r="AU167" i="20"/>
  <c r="AS167" i="20"/>
  <c r="AR167" i="20"/>
  <c r="AQ167" i="20"/>
  <c r="AP167" i="20"/>
  <c r="AN167" i="20"/>
  <c r="AM167" i="20"/>
  <c r="AL167" i="20"/>
  <c r="AK167" i="20"/>
  <c r="AI167" i="20"/>
  <c r="AH167" i="20"/>
  <c r="AG167" i="20"/>
  <c r="AD167" i="20"/>
  <c r="AC167" i="20"/>
  <c r="AB167" i="20"/>
  <c r="AA167" i="20"/>
  <c r="BJ166" i="20"/>
  <c r="BH166" i="20"/>
  <c r="AS166" i="20"/>
  <c r="AR166" i="20"/>
  <c r="AQ166" i="20"/>
  <c r="AP166" i="20"/>
  <c r="AN166" i="20"/>
  <c r="AM166" i="20"/>
  <c r="AL166" i="20"/>
  <c r="AK166" i="20"/>
  <c r="AI166" i="20"/>
  <c r="AH166" i="20"/>
  <c r="AG166" i="20"/>
  <c r="AF166" i="20"/>
  <c r="AD166" i="20"/>
  <c r="AC166" i="20"/>
  <c r="AB166" i="20"/>
  <c r="AA166" i="20"/>
  <c r="CP164" i="20"/>
  <c r="CO164" i="20"/>
  <c r="CN164" i="20"/>
  <c r="CL164" i="20"/>
  <c r="CK164" i="20"/>
  <c r="CJ164" i="20"/>
  <c r="CI164" i="20"/>
  <c r="CG164" i="20"/>
  <c r="CF164" i="20"/>
  <c r="CE164" i="20"/>
  <c r="CD164" i="20"/>
  <c r="CB164" i="20"/>
  <c r="CA164" i="20"/>
  <c r="BZ164" i="20"/>
  <c r="BY164" i="20"/>
  <c r="BW164" i="20"/>
  <c r="BV164" i="20"/>
  <c r="BU164" i="20"/>
  <c r="BR164" i="20"/>
  <c r="BP164" i="20"/>
  <c r="BJ164" i="20"/>
  <c r="BH164" i="20"/>
  <c r="BG164" i="20"/>
  <c r="BF164" i="20"/>
  <c r="BE164" i="20"/>
  <c r="BC164" i="20"/>
  <c r="BB164" i="20"/>
  <c r="BA164" i="20"/>
  <c r="AZ164" i="20"/>
  <c r="AX164" i="20"/>
  <c r="AW164" i="20"/>
  <c r="AV164" i="20"/>
  <c r="AU164" i="20"/>
  <c r="BB163" i="20"/>
  <c r="AD163" i="20"/>
  <c r="AW162" i="20"/>
  <c r="AV162" i="20"/>
  <c r="AU162" i="20"/>
  <c r="AS162" i="20"/>
  <c r="AR162" i="20"/>
  <c r="AQ162" i="20"/>
  <c r="AP162" i="20"/>
  <c r="AN162" i="20"/>
  <c r="AM162" i="20"/>
  <c r="AL162" i="20"/>
  <c r="AK162" i="20"/>
  <c r="AI162" i="20"/>
  <c r="AH162" i="20"/>
  <c r="AG162" i="20"/>
  <c r="AD162" i="20"/>
  <c r="AB162" i="20"/>
  <c r="DW155" i="20"/>
  <c r="DU155" i="20"/>
  <c r="DT155" i="20"/>
  <c r="DS155" i="20"/>
  <c r="DR155" i="20"/>
  <c r="DP155" i="20"/>
  <c r="DO155" i="20"/>
  <c r="DN155" i="20"/>
  <c r="DM155" i="20"/>
  <c r="DK155" i="20"/>
  <c r="DJ155" i="20"/>
  <c r="DI155" i="20"/>
  <c r="DH155" i="20"/>
  <c r="DF155" i="20"/>
  <c r="DE155" i="20"/>
  <c r="DD155" i="20"/>
  <c r="DC155" i="20"/>
  <c r="DA155" i="20"/>
  <c r="CZ155" i="20"/>
  <c r="CY155" i="20"/>
  <c r="CX155" i="20"/>
  <c r="CV155" i="20"/>
  <c r="CU155" i="20"/>
  <c r="CT155" i="20"/>
  <c r="CS155" i="20"/>
  <c r="CQ155" i="20"/>
  <c r="CP155" i="20"/>
  <c r="CO155" i="20"/>
  <c r="CN155" i="20"/>
  <c r="CL155" i="20"/>
  <c r="CK155" i="20"/>
  <c r="CJ155" i="20"/>
  <c r="CI155" i="20"/>
  <c r="CG155" i="20"/>
  <c r="CF155" i="20"/>
  <c r="CE155" i="20"/>
  <c r="CD155" i="20"/>
  <c r="CB155" i="20"/>
  <c r="CA155" i="20"/>
  <c r="BZ155" i="20"/>
  <c r="BY155" i="20"/>
  <c r="BW155" i="20"/>
  <c r="BV155" i="20"/>
  <c r="BU155" i="20"/>
  <c r="BT155" i="20"/>
  <c r="BR155" i="20"/>
  <c r="BQ155" i="20"/>
  <c r="BP155" i="20"/>
  <c r="BO155" i="20"/>
  <c r="BM155" i="20"/>
  <c r="BL155" i="20"/>
  <c r="BK155" i="20"/>
  <c r="BJ155" i="20"/>
  <c r="BH155" i="20"/>
  <c r="BG155" i="20"/>
  <c r="BF155" i="20"/>
  <c r="BE155" i="20"/>
  <c r="BC155" i="20"/>
  <c r="BB155" i="20"/>
  <c r="BA155" i="20"/>
  <c r="AZ155" i="20"/>
  <c r="AX155" i="20"/>
  <c r="AW155" i="20"/>
  <c r="AV155" i="20"/>
  <c r="AU155" i="20"/>
  <c r="AS155" i="20"/>
  <c r="AP155" i="20"/>
  <c r="AN155" i="20"/>
  <c r="AM155" i="20"/>
  <c r="AL155" i="20"/>
  <c r="AK155" i="20"/>
  <c r="AI155" i="20"/>
  <c r="AH155" i="20"/>
  <c r="AG155" i="20"/>
  <c r="AD155" i="20"/>
  <c r="AC155" i="20"/>
  <c r="AB155" i="20"/>
  <c r="AA155" i="20"/>
  <c r="DW153" i="20"/>
  <c r="DU153" i="20"/>
  <c r="DT153" i="20"/>
  <c r="DS153" i="20"/>
  <c r="DR153" i="20"/>
  <c r="DP153" i="20"/>
  <c r="DO153" i="20"/>
  <c r="DN153" i="20"/>
  <c r="DM153" i="20"/>
  <c r="DK153" i="20"/>
  <c r="DJ153" i="20"/>
  <c r="DI153" i="20"/>
  <c r="DH153" i="20"/>
  <c r="DF153" i="20"/>
  <c r="DE153" i="20"/>
  <c r="DD153" i="20"/>
  <c r="DC153" i="20"/>
  <c r="DA153" i="20"/>
  <c r="CZ153" i="20"/>
  <c r="CY153" i="20"/>
  <c r="CX153" i="20"/>
  <c r="CV153" i="20"/>
  <c r="CU153" i="20"/>
  <c r="CT153" i="20"/>
  <c r="CS153" i="20"/>
  <c r="CQ153" i="20"/>
  <c r="CP153" i="20"/>
  <c r="CO153" i="20"/>
  <c r="CN153" i="20"/>
  <c r="CL153" i="20"/>
  <c r="CK153" i="20"/>
  <c r="CJ153" i="20"/>
  <c r="CI153" i="20"/>
  <c r="CG153" i="20"/>
  <c r="CF153" i="20"/>
  <c r="CE153" i="20"/>
  <c r="CD153" i="20"/>
  <c r="CB153" i="20"/>
  <c r="CA153" i="20"/>
  <c r="BZ153" i="20"/>
  <c r="BY153" i="20"/>
  <c r="BW153" i="20"/>
  <c r="BV153" i="20"/>
  <c r="BU153" i="20"/>
  <c r="BT153" i="20"/>
  <c r="BR153" i="20"/>
  <c r="BQ153" i="20"/>
  <c r="BP153" i="20"/>
  <c r="BO153" i="20"/>
  <c r="BM153" i="20"/>
  <c r="BL153" i="20"/>
  <c r="BJ153" i="20"/>
  <c r="BH153" i="20"/>
  <c r="BG153" i="20"/>
  <c r="BF153" i="20"/>
  <c r="BE153" i="20"/>
  <c r="BC153" i="20"/>
  <c r="BB153" i="20"/>
  <c r="BA153" i="20"/>
  <c r="AZ153" i="20"/>
  <c r="AX153" i="20"/>
  <c r="AS153" i="20"/>
  <c r="AR153" i="20"/>
  <c r="AQ153" i="20"/>
  <c r="AP153" i="20"/>
  <c r="AN153" i="20"/>
  <c r="AM153" i="20"/>
  <c r="AL153" i="20"/>
  <c r="AK153" i="20"/>
  <c r="AI153" i="20"/>
  <c r="AH153" i="20"/>
  <c r="AG153" i="20"/>
  <c r="AD153" i="20"/>
  <c r="AC153" i="20"/>
  <c r="AB153" i="20"/>
  <c r="AA153" i="20"/>
  <c r="DW152" i="20"/>
  <c r="DU152" i="20"/>
  <c r="DT152" i="20"/>
  <c r="DS152" i="20"/>
  <c r="DR152" i="20"/>
  <c r="DP152" i="20"/>
  <c r="DO152" i="20"/>
  <c r="DN152" i="20"/>
  <c r="DM152" i="20"/>
  <c r="DK152" i="20"/>
  <c r="DJ152" i="20"/>
  <c r="DI152" i="20"/>
  <c r="DH152" i="20"/>
  <c r="DF152" i="20"/>
  <c r="DE152" i="20"/>
  <c r="DD152" i="20"/>
  <c r="DC152" i="20"/>
  <c r="DA152" i="20"/>
  <c r="CZ152" i="20"/>
  <c r="CY152" i="20"/>
  <c r="CX152" i="20"/>
  <c r="CV152" i="20"/>
  <c r="CU152" i="20"/>
  <c r="CT152" i="20"/>
  <c r="CS152" i="20"/>
  <c r="CQ152" i="20"/>
  <c r="CP152" i="20"/>
  <c r="CO152" i="20"/>
  <c r="CN152" i="20"/>
  <c r="CL152" i="20"/>
  <c r="CK152" i="20"/>
  <c r="CJ152" i="20"/>
  <c r="CI152" i="20"/>
  <c r="CG152" i="20"/>
  <c r="CF152" i="20"/>
  <c r="CE152" i="20"/>
  <c r="CD152" i="20"/>
  <c r="CB152" i="20"/>
  <c r="CA152" i="20"/>
  <c r="BZ152" i="20"/>
  <c r="BY152" i="20"/>
  <c r="BW152" i="20"/>
  <c r="BV152" i="20"/>
  <c r="BU152" i="20"/>
  <c r="BT152" i="20"/>
  <c r="BR152" i="20"/>
  <c r="BQ152" i="20"/>
  <c r="BP152" i="20"/>
  <c r="BO152" i="20"/>
  <c r="BM152" i="20"/>
  <c r="BL152" i="20"/>
  <c r="BK152" i="20"/>
  <c r="BJ152" i="20"/>
  <c r="BH152" i="20"/>
  <c r="BG152" i="20"/>
  <c r="BF152" i="20"/>
  <c r="BB152" i="20"/>
  <c r="BA152" i="20"/>
  <c r="AZ152" i="20"/>
  <c r="AX152" i="20"/>
  <c r="AW152" i="20"/>
  <c r="AV152" i="20"/>
  <c r="AU152" i="20"/>
  <c r="AS152" i="20"/>
  <c r="AR152" i="20"/>
  <c r="AQ152" i="20"/>
  <c r="AP152" i="20"/>
  <c r="AN152" i="20"/>
  <c r="AM152" i="20"/>
  <c r="AL152" i="20"/>
  <c r="AK152" i="20"/>
  <c r="AI152" i="20"/>
  <c r="AH152" i="20"/>
  <c r="AG152" i="20"/>
  <c r="AF152" i="20"/>
  <c r="AD152" i="20"/>
  <c r="AC152" i="20"/>
  <c r="AB152" i="20"/>
  <c r="AA152" i="20"/>
  <c r="DW151" i="20"/>
  <c r="DU151" i="20"/>
  <c r="DT151" i="20"/>
  <c r="DS151" i="20"/>
  <c r="DR151" i="20"/>
  <c r="DP151" i="20"/>
  <c r="DO151" i="20"/>
  <c r="DN151" i="20"/>
  <c r="DM151" i="20"/>
  <c r="DK151" i="20"/>
  <c r="DJ151" i="20"/>
  <c r="DI151" i="20"/>
  <c r="DH151" i="20"/>
  <c r="DF151" i="20"/>
  <c r="DE151" i="20"/>
  <c r="DD151" i="20"/>
  <c r="DC151" i="20"/>
  <c r="DA151" i="20"/>
  <c r="CZ151" i="20"/>
  <c r="CY151" i="20"/>
  <c r="CX151" i="20"/>
  <c r="CV151" i="20"/>
  <c r="CU151" i="20"/>
  <c r="CT151" i="20"/>
  <c r="CS151" i="20"/>
  <c r="CQ151" i="20"/>
  <c r="CP151" i="20"/>
  <c r="CO151" i="20"/>
  <c r="CN151" i="20"/>
  <c r="CL151" i="20"/>
  <c r="CK151" i="20"/>
  <c r="CJ151" i="20"/>
  <c r="CI151" i="20"/>
  <c r="CG151" i="20"/>
  <c r="CF151" i="20"/>
  <c r="CE151" i="20"/>
  <c r="CD151" i="20"/>
  <c r="CB151" i="20"/>
  <c r="CA151" i="20"/>
  <c r="BZ151" i="20"/>
  <c r="BY151" i="20"/>
  <c r="BW151" i="20"/>
  <c r="BV151" i="20"/>
  <c r="BU151" i="20"/>
  <c r="BT151" i="20"/>
  <c r="BR151" i="20"/>
  <c r="BQ151" i="20"/>
  <c r="BP151" i="20"/>
  <c r="BO151" i="20"/>
  <c r="BM151" i="20"/>
  <c r="BL151" i="20"/>
  <c r="BK151" i="20"/>
  <c r="BJ151" i="20"/>
  <c r="BH151" i="20"/>
  <c r="BG151" i="20"/>
  <c r="BF151" i="20"/>
  <c r="BE151" i="20"/>
  <c r="BC151" i="20"/>
  <c r="BB151" i="20"/>
  <c r="BA151" i="20"/>
  <c r="AZ151" i="20"/>
  <c r="AX151" i="20"/>
  <c r="AW151" i="20"/>
  <c r="AV151" i="20"/>
  <c r="AU151" i="20"/>
  <c r="AS151" i="20"/>
  <c r="AR151" i="20"/>
  <c r="AQ151" i="20"/>
  <c r="AP151" i="20"/>
  <c r="AN151" i="20"/>
  <c r="AM151" i="20"/>
  <c r="AL151" i="20"/>
  <c r="AK151" i="20"/>
  <c r="AI151" i="20"/>
  <c r="AD151" i="20"/>
  <c r="AC151" i="20"/>
  <c r="AB151" i="20"/>
  <c r="AA151" i="20"/>
  <c r="AV147" i="20"/>
  <c r="AU147" i="20"/>
  <c r="AS147" i="20"/>
  <c r="AN147" i="20"/>
  <c r="AM147" i="20"/>
  <c r="AL147" i="20"/>
  <c r="AK147" i="20"/>
  <c r="AI147" i="20"/>
  <c r="AH147" i="20"/>
  <c r="AG147" i="20"/>
  <c r="AD147" i="20"/>
  <c r="AC147" i="20"/>
  <c r="AB147" i="20"/>
  <c r="AA147" i="20"/>
  <c r="AR144" i="20"/>
  <c r="AQ144" i="20"/>
  <c r="AP144" i="20"/>
  <c r="AN144" i="20"/>
  <c r="AM144" i="20"/>
  <c r="AL144" i="20"/>
  <c r="AK144" i="20"/>
  <c r="AI144" i="20"/>
  <c r="AH144" i="20"/>
  <c r="AG144" i="20"/>
  <c r="AF144" i="20"/>
  <c r="AD144" i="20"/>
  <c r="AC144" i="20"/>
  <c r="AB144" i="20"/>
  <c r="AA144" i="20"/>
  <c r="BK111" i="20"/>
  <c r="BH111" i="20"/>
  <c r="BG111" i="20"/>
  <c r="BF111" i="20"/>
  <c r="AM111" i="20"/>
  <c r="AL111" i="20"/>
  <c r="AI111" i="20"/>
  <c r="AH111" i="20"/>
  <c r="AG111" i="20"/>
  <c r="AD111" i="20"/>
  <c r="AC111" i="20"/>
  <c r="AB111" i="20"/>
  <c r="AA111" i="20"/>
  <c r="BK110" i="20"/>
  <c r="BH110" i="20"/>
  <c r="BG110" i="20"/>
  <c r="BF110" i="20"/>
  <c r="AM110" i="20"/>
  <c r="AL110" i="20"/>
  <c r="AI110" i="20"/>
  <c r="AH110" i="20"/>
  <c r="AG110" i="20"/>
  <c r="AD110" i="20"/>
  <c r="AC110" i="20"/>
  <c r="AB110" i="20"/>
  <c r="AA110" i="20"/>
  <c r="BV109" i="20"/>
  <c r="BK109" i="20"/>
  <c r="BJ109" i="20"/>
  <c r="BH109" i="20"/>
  <c r="BG109" i="20"/>
  <c r="BF109" i="20"/>
  <c r="BE109" i="20"/>
  <c r="AM109" i="20"/>
  <c r="AL109" i="20"/>
  <c r="AK109" i="20"/>
  <c r="AI109" i="20"/>
  <c r="AH109" i="20"/>
  <c r="AG109" i="20"/>
  <c r="AF109" i="20"/>
  <c r="AD109" i="20"/>
  <c r="AC109" i="20"/>
  <c r="AB109" i="20"/>
  <c r="AA109" i="20"/>
  <c r="DW54" i="20"/>
  <c r="DT54" i="20"/>
  <c r="DS54" i="20"/>
  <c r="DR54" i="20"/>
  <c r="DO54" i="20"/>
  <c r="DN54" i="20"/>
  <c r="DM54" i="20"/>
  <c r="DJ54" i="20"/>
  <c r="DI54" i="20"/>
  <c r="DH54" i="20"/>
  <c r="DE54" i="20"/>
  <c r="DD54" i="20"/>
  <c r="DC54" i="20"/>
  <c r="CZ54" i="20"/>
  <c r="CY54" i="20"/>
  <c r="CX54" i="20"/>
  <c r="CU54" i="20"/>
  <c r="CT54" i="20"/>
  <c r="CS54" i="20"/>
  <c r="CP54" i="20"/>
  <c r="CO54" i="20"/>
  <c r="CN54" i="20"/>
  <c r="CK54" i="20"/>
  <c r="CJ54" i="20"/>
  <c r="CI54" i="20"/>
  <c r="CF54" i="20"/>
  <c r="CE54" i="20"/>
  <c r="CD54" i="20"/>
  <c r="CA54" i="20"/>
  <c r="BZ54" i="20"/>
  <c r="BY54" i="20"/>
  <c r="BV54" i="20"/>
  <c r="BU54" i="20"/>
  <c r="BQ54" i="20"/>
  <c r="BP54" i="20"/>
  <c r="BJ54" i="20"/>
  <c r="BH54" i="20"/>
  <c r="BG54" i="20"/>
  <c r="BF54" i="20"/>
  <c r="BE54" i="20"/>
  <c r="BC54" i="20"/>
  <c r="BB54" i="20"/>
  <c r="BA54" i="20"/>
  <c r="AZ54" i="20"/>
  <c r="AW54" i="20"/>
  <c r="AV54" i="20"/>
  <c r="AU54" i="20"/>
  <c r="AR54" i="20"/>
  <c r="AP54" i="20"/>
  <c r="AK54" i="20"/>
  <c r="AI54" i="20"/>
  <c r="AH54" i="20"/>
  <c r="AG54" i="20"/>
  <c r="AF54" i="20"/>
  <c r="AD54" i="20"/>
  <c r="AC54" i="20"/>
  <c r="AL53" i="20"/>
  <c r="AK53" i="20"/>
  <c r="AI53" i="20"/>
  <c r="AH53" i="20"/>
  <c r="AG53" i="20"/>
  <c r="AF53" i="20"/>
  <c r="AD53" i="20"/>
  <c r="AC53" i="20"/>
  <c r="DW52" i="20"/>
  <c r="DT52" i="20"/>
  <c r="DS52" i="20"/>
  <c r="DR52" i="20"/>
  <c r="DO52" i="20"/>
  <c r="DN52" i="20"/>
  <c r="DM52" i="20"/>
  <c r="DJ52" i="20"/>
  <c r="DI52" i="20"/>
  <c r="DH52" i="20"/>
  <c r="DE52" i="20"/>
  <c r="DD52" i="20"/>
  <c r="DC52" i="20"/>
  <c r="CZ52" i="20"/>
  <c r="CY52" i="20"/>
  <c r="CX52" i="20"/>
  <c r="CU52" i="20"/>
  <c r="CT52" i="20"/>
  <c r="CS52" i="20"/>
  <c r="CP52" i="20"/>
  <c r="CO52" i="20"/>
  <c r="CN52" i="20"/>
  <c r="CK52" i="20"/>
  <c r="CJ52" i="20"/>
  <c r="CI52" i="20"/>
  <c r="CF52" i="20"/>
  <c r="CE52" i="20"/>
  <c r="CD52" i="20"/>
  <c r="CA52" i="20"/>
  <c r="BZ52" i="20"/>
  <c r="BY52" i="20"/>
  <c r="BV52" i="20"/>
  <c r="BU52" i="20"/>
  <c r="BQ52" i="20"/>
  <c r="BP52" i="20"/>
  <c r="BL52" i="20"/>
  <c r="BK52" i="20"/>
  <c r="BJ52" i="20"/>
  <c r="BH52" i="20"/>
  <c r="BG52" i="20"/>
  <c r="BF52" i="20"/>
  <c r="BE52" i="20"/>
  <c r="BC52" i="20"/>
  <c r="BB52" i="20"/>
  <c r="BA52" i="20"/>
  <c r="AZ52" i="20"/>
  <c r="AW52" i="20"/>
  <c r="AV52" i="20"/>
  <c r="AU52" i="20"/>
  <c r="AR52" i="20"/>
  <c r="AP52" i="20"/>
  <c r="AL52" i="20"/>
  <c r="AK52" i="20"/>
  <c r="AI52" i="20"/>
  <c r="AH52" i="20"/>
  <c r="AG52" i="20"/>
  <c r="AF52" i="20"/>
  <c r="AD52" i="20"/>
  <c r="AC52" i="20"/>
  <c r="BL30" i="20"/>
  <c r="DY26" i="20"/>
  <c r="DX26" i="20"/>
  <c r="DW26" i="20"/>
  <c r="DU26" i="20"/>
  <c r="DT26" i="20"/>
  <c r="DS26" i="20"/>
  <c r="DR26" i="20"/>
  <c r="DP26" i="20"/>
  <c r="DO26" i="20"/>
  <c r="DN26" i="20"/>
  <c r="DM26" i="20"/>
  <c r="DK26" i="20"/>
  <c r="DJ26" i="20"/>
  <c r="DI26" i="20"/>
  <c r="DH26" i="20"/>
  <c r="DF26" i="20"/>
  <c r="DE26" i="20"/>
  <c r="DD26" i="20"/>
  <c r="DC26" i="20"/>
  <c r="DA26" i="20"/>
  <c r="CZ26" i="20"/>
  <c r="CY26" i="20"/>
  <c r="CX26" i="20"/>
  <c r="CV26" i="20"/>
  <c r="CU26" i="20"/>
  <c r="CT26" i="20"/>
  <c r="CS26" i="20"/>
  <c r="CQ26" i="20"/>
  <c r="CP26" i="20"/>
  <c r="CO26" i="20"/>
  <c r="CN26" i="20"/>
  <c r="CK26" i="20"/>
  <c r="CJ26" i="20"/>
  <c r="CI26" i="20"/>
  <c r="CG26" i="20"/>
  <c r="CF26" i="20"/>
  <c r="CE26" i="20"/>
  <c r="CD26" i="20"/>
  <c r="CB26" i="20"/>
  <c r="CA26" i="20"/>
  <c r="BZ26" i="20"/>
  <c r="BY26" i="20"/>
  <c r="BV26" i="20"/>
  <c r="BU26" i="20"/>
  <c r="BT26" i="20"/>
  <c r="BQ26" i="20"/>
  <c r="BP26" i="20"/>
  <c r="BO26" i="20"/>
  <c r="BM26" i="20"/>
  <c r="BL26" i="20"/>
  <c r="BK26" i="20"/>
  <c r="BJ26" i="20"/>
  <c r="BH26" i="20"/>
  <c r="BG26" i="20"/>
  <c r="BF26" i="20"/>
  <c r="BE26" i="20"/>
  <c r="BB26" i="20"/>
  <c r="BA26" i="20"/>
  <c r="AZ26" i="20"/>
  <c r="AX26" i="20"/>
  <c r="AW26" i="20"/>
  <c r="AV26" i="20"/>
  <c r="AU26" i="20"/>
  <c r="AS26" i="20"/>
  <c r="AR26" i="20"/>
  <c r="AQ26" i="20"/>
  <c r="AP26" i="20"/>
  <c r="AM26" i="20"/>
  <c r="AK26" i="20"/>
  <c r="AI26" i="20"/>
  <c r="AH26" i="20"/>
  <c r="AG26" i="20"/>
  <c r="AF26" i="20"/>
  <c r="AD26" i="20"/>
  <c r="AC26" i="20"/>
  <c r="AB26" i="20"/>
  <c r="AA26" i="20"/>
  <c r="DW20" i="20"/>
  <c r="DT20" i="20"/>
  <c r="DS20" i="20"/>
  <c r="DR20" i="20"/>
  <c r="DO20" i="20"/>
  <c r="DN20" i="20"/>
  <c r="DM20" i="20"/>
  <c r="DJ20" i="20"/>
  <c r="DI20" i="20"/>
  <c r="DH20" i="20"/>
  <c r="DE20" i="20"/>
  <c r="DD20" i="20"/>
  <c r="DC20" i="20"/>
  <c r="CZ20" i="20"/>
  <c r="CY20" i="20"/>
  <c r="CX20" i="20"/>
  <c r="CU20" i="20"/>
  <c r="CT20" i="20"/>
  <c r="CS20" i="20"/>
  <c r="CP20" i="20"/>
  <c r="CO20" i="20"/>
  <c r="CN20" i="20"/>
  <c r="CK20" i="20"/>
  <c r="CJ20" i="20"/>
  <c r="CI20" i="20"/>
  <c r="CF20" i="20"/>
  <c r="CE20" i="20"/>
  <c r="CD20" i="20"/>
  <c r="CA20" i="20"/>
  <c r="BZ20" i="20"/>
  <c r="BY20" i="20"/>
  <c r="BV20" i="20"/>
  <c r="BU20" i="20"/>
  <c r="BQ20" i="20"/>
  <c r="BP20" i="20"/>
  <c r="BL20" i="20"/>
  <c r="BK20" i="20"/>
  <c r="BJ20" i="20"/>
  <c r="BH20" i="20"/>
  <c r="BG20" i="20"/>
  <c r="BF20" i="20"/>
  <c r="BE20" i="20"/>
  <c r="BC20" i="20"/>
  <c r="BB20" i="20"/>
  <c r="BA20" i="20"/>
  <c r="AZ20" i="20"/>
  <c r="AW20" i="20"/>
  <c r="AV20" i="20"/>
  <c r="AU20" i="20"/>
  <c r="AR20" i="20"/>
  <c r="AP20" i="20"/>
  <c r="AL20" i="20"/>
  <c r="AK20" i="20"/>
  <c r="AF20" i="20"/>
  <c r="AD20" i="20"/>
  <c r="AC20" i="20"/>
  <c r="DW18" i="20"/>
  <c r="DT18" i="20"/>
  <c r="DS18" i="20"/>
  <c r="DR18" i="20"/>
  <c r="DO18" i="20"/>
  <c r="DN18" i="20"/>
  <c r="DM18" i="20"/>
  <c r="DJ18" i="20"/>
  <c r="DI18" i="20"/>
  <c r="DH18" i="20"/>
  <c r="DD18" i="20"/>
  <c r="DC18" i="20"/>
  <c r="CZ18" i="20"/>
  <c r="CY18" i="20"/>
  <c r="CX18" i="20"/>
  <c r="CU18" i="20"/>
  <c r="CT18" i="20"/>
  <c r="CS18" i="20"/>
  <c r="CP18" i="20"/>
  <c r="CO18" i="20"/>
  <c r="CN18" i="20"/>
  <c r="CK18" i="20"/>
  <c r="CJ18" i="20"/>
  <c r="CI18" i="20"/>
  <c r="CF18" i="20"/>
  <c r="CD18" i="20"/>
  <c r="CA18" i="20"/>
  <c r="BY18" i="20"/>
  <c r="BV18" i="20"/>
  <c r="BQ18" i="20"/>
  <c r="BP18" i="20"/>
  <c r="BL18" i="20"/>
  <c r="BK18" i="20"/>
  <c r="BJ18" i="20"/>
  <c r="BH18" i="20"/>
  <c r="BG18" i="20"/>
  <c r="BF18" i="20"/>
  <c r="BE18" i="20"/>
  <c r="BC18" i="20"/>
  <c r="BB18" i="20"/>
  <c r="BA18" i="20"/>
  <c r="AZ18" i="20"/>
  <c r="AW18" i="20"/>
  <c r="AV18" i="20"/>
  <c r="AU18" i="20"/>
  <c r="AR18" i="20"/>
  <c r="AP18" i="20"/>
  <c r="AL18" i="20"/>
  <c r="AK18" i="20"/>
  <c r="AI18" i="20"/>
  <c r="AH18" i="20"/>
  <c r="AG18" i="20"/>
  <c r="AF18" i="20"/>
  <c r="AD18" i="20"/>
  <c r="AC18" i="20"/>
  <c r="DZ15" i="20"/>
  <c r="DY15" i="20"/>
  <c r="DX15" i="20"/>
  <c r="DW15" i="20"/>
  <c r="DU15" i="20"/>
  <c r="DT15" i="20"/>
  <c r="DS15" i="20"/>
  <c r="DR15" i="20"/>
  <c r="DP15" i="20"/>
  <c r="DO15" i="20"/>
  <c r="DN15" i="20"/>
  <c r="DM15" i="20"/>
  <c r="DK15" i="20"/>
  <c r="DJ15" i="20"/>
  <c r="DI15" i="20"/>
  <c r="DH15" i="20"/>
  <c r="DF15" i="20"/>
  <c r="DE15" i="20"/>
  <c r="DD15" i="20"/>
  <c r="DC15" i="20"/>
  <c r="DA15" i="20"/>
  <c r="CZ15" i="20"/>
  <c r="CY15" i="20"/>
  <c r="CX15" i="20"/>
  <c r="CV15" i="20"/>
  <c r="CU15" i="20"/>
  <c r="CT15" i="20"/>
  <c r="CS15" i="20"/>
  <c r="CQ15" i="20"/>
  <c r="CP15" i="20"/>
  <c r="CO15" i="20"/>
  <c r="CN15" i="20"/>
  <c r="CL15" i="20"/>
  <c r="CK15" i="20"/>
  <c r="CJ15" i="20"/>
  <c r="CI15" i="20"/>
  <c r="CG15" i="20"/>
  <c r="CF15" i="20"/>
  <c r="CE15" i="20"/>
  <c r="CD15" i="20"/>
  <c r="CB15" i="20"/>
  <c r="CA15" i="20"/>
  <c r="BZ15" i="20"/>
  <c r="BY15" i="20"/>
  <c r="BW15" i="20"/>
  <c r="BV15" i="20"/>
  <c r="BU15" i="20"/>
  <c r="BT15" i="20"/>
  <c r="BR15" i="20"/>
  <c r="BQ15" i="20"/>
  <c r="BP15" i="20"/>
  <c r="BO15" i="20"/>
  <c r="BM15" i="20"/>
  <c r="BL15" i="20"/>
  <c r="BK15" i="20"/>
  <c r="BJ15" i="20"/>
  <c r="BH15" i="20"/>
  <c r="BG15" i="20"/>
  <c r="BF15" i="20"/>
  <c r="BE15" i="20"/>
  <c r="BC15" i="20"/>
  <c r="BB15" i="20"/>
  <c r="BA15" i="20"/>
  <c r="AZ15" i="20"/>
  <c r="AX15" i="20"/>
  <c r="AW15" i="20"/>
  <c r="AV15" i="20"/>
  <c r="AU15" i="20"/>
  <c r="AS15" i="20"/>
  <c r="AR15" i="20"/>
  <c r="AQ15" i="20"/>
  <c r="AP15" i="20"/>
  <c r="AN15" i="20"/>
  <c r="AM15" i="20"/>
  <c r="AL15" i="20"/>
  <c r="AK15" i="20"/>
  <c r="AI15" i="20"/>
  <c r="AH15" i="20"/>
  <c r="AG15" i="20"/>
  <c r="AF15" i="20"/>
  <c r="AD15" i="20"/>
  <c r="AC15" i="20"/>
  <c r="AB15" i="20"/>
  <c r="AA15" i="20"/>
  <c r="DW14" i="20"/>
  <c r="DU14" i="20"/>
  <c r="DT14" i="20"/>
  <c r="DS14" i="20"/>
  <c r="DR14" i="20"/>
  <c r="DP14" i="20"/>
  <c r="DO14" i="20"/>
  <c r="DN14" i="20"/>
  <c r="DM14" i="20"/>
  <c r="DK14" i="20"/>
  <c r="DJ14" i="20"/>
  <c r="DI14" i="20"/>
  <c r="DH14" i="20"/>
  <c r="DF14" i="20"/>
  <c r="DD14" i="20"/>
  <c r="DC14" i="20"/>
  <c r="CX14" i="20"/>
  <c r="BH14" i="20"/>
  <c r="BG14" i="20"/>
  <c r="BF14" i="20"/>
  <c r="BE14" i="20"/>
  <c r="BC14" i="20"/>
  <c r="BB14" i="20"/>
  <c r="BA14" i="20"/>
  <c r="AZ14" i="20"/>
  <c r="AX14" i="20"/>
  <c r="AW14" i="20"/>
  <c r="AV14" i="20"/>
  <c r="AU14" i="20"/>
  <c r="AS14" i="20"/>
  <c r="AR14" i="20"/>
  <c r="AQ14" i="20"/>
  <c r="AP14" i="20"/>
  <c r="AN14" i="20"/>
  <c r="AL14" i="20"/>
  <c r="AK14" i="20"/>
  <c r="AI14" i="20"/>
  <c r="AH14" i="20"/>
  <c r="AG14" i="20"/>
  <c r="AF14" i="20"/>
  <c r="AD14" i="20"/>
  <c r="AC14" i="20"/>
  <c r="AB14" i="20"/>
  <c r="AA14" i="20"/>
  <c r="DW9" i="20"/>
  <c r="DT9" i="20"/>
  <c r="DS9" i="20"/>
  <c r="DR9" i="20"/>
  <c r="DO9" i="20"/>
  <c r="DN9" i="20"/>
  <c r="DM9" i="20"/>
  <c r="DJ9" i="20"/>
  <c r="DI9" i="20"/>
  <c r="DH9" i="20"/>
  <c r="DD9" i="20"/>
  <c r="DC9" i="20"/>
  <c r="CY9" i="20"/>
  <c r="CX9" i="20"/>
  <c r="CU9" i="20"/>
  <c r="CT9" i="20"/>
  <c r="CS9" i="20"/>
  <c r="CN9" i="20"/>
  <c r="BF9" i="20"/>
  <c r="BC9" i="20"/>
  <c r="BB9" i="20"/>
  <c r="BA9" i="20"/>
  <c r="AZ9" i="20"/>
  <c r="AW9" i="20"/>
  <c r="AV9" i="20"/>
  <c r="AU9" i="20"/>
  <c r="AR9" i="20"/>
  <c r="AQ9" i="20"/>
  <c r="AP9" i="20"/>
  <c r="AL9" i="20"/>
  <c r="AK9" i="20"/>
  <c r="AI9" i="20"/>
  <c r="AH9" i="20"/>
  <c r="AG9" i="20"/>
  <c r="AF9" i="20"/>
  <c r="AD9" i="20"/>
  <c r="AC9" i="20"/>
  <c r="AB9" i="20"/>
  <c r="AA9" i="20"/>
  <c r="CO7" i="20"/>
  <c r="CN7" i="20"/>
  <c r="CK7" i="20"/>
  <c r="CJ7" i="20"/>
  <c r="CI7" i="20"/>
  <c r="CF7" i="20"/>
  <c r="CE7" i="20"/>
  <c r="CD7" i="20"/>
  <c r="CA7" i="20"/>
  <c r="BZ7" i="20"/>
  <c r="BY7" i="20"/>
  <c r="BV7" i="20"/>
  <c r="BQ7" i="20"/>
  <c r="BP7" i="20"/>
  <c r="BM7" i="20"/>
  <c r="BL7" i="20"/>
  <c r="BK7" i="20"/>
  <c r="BJ7" i="20"/>
  <c r="BH7" i="20"/>
  <c r="BG7" i="20"/>
  <c r="AI6" i="20"/>
  <c r="AH6" i="20"/>
  <c r="AG6" i="20"/>
  <c r="AF6" i="20"/>
  <c r="AD6" i="20"/>
  <c r="AC6" i="20"/>
  <c r="BD629" i="15"/>
  <c r="BC629" i="15"/>
  <c r="BB629" i="15"/>
  <c r="BA629" i="15"/>
  <c r="AZ629" i="15"/>
  <c r="AY629" i="15"/>
  <c r="AX629" i="15"/>
  <c r="AW629" i="15"/>
  <c r="AV629" i="15"/>
  <c r="AU629" i="15"/>
  <c r="AT629" i="15"/>
  <c r="AS629" i="15"/>
  <c r="AR629" i="15"/>
  <c r="AQ629" i="15"/>
  <c r="AP629" i="15"/>
  <c r="AO629" i="15"/>
  <c r="BD627" i="15"/>
  <c r="BC627" i="15"/>
  <c r="BB627" i="15"/>
  <c r="BA627" i="15"/>
  <c r="AZ627" i="15"/>
  <c r="AY627" i="15"/>
  <c r="AX627" i="15"/>
  <c r="AW627" i="15"/>
  <c r="AV627" i="15"/>
  <c r="AU627" i="15"/>
  <c r="AT627" i="15"/>
  <c r="AS627" i="15"/>
  <c r="AR627" i="15"/>
  <c r="AQ627" i="15"/>
  <c r="AP627" i="15"/>
  <c r="AO627" i="15"/>
  <c r="DF591" i="15"/>
  <c r="DE591" i="15"/>
  <c r="DD591" i="15"/>
  <c r="DC591" i="15"/>
  <c r="DA591" i="15"/>
  <c r="CZ591" i="15"/>
  <c r="CY591" i="15"/>
  <c r="CV591" i="15"/>
  <c r="CU591" i="15"/>
  <c r="CT591" i="15"/>
  <c r="CS591" i="15"/>
  <c r="CQ591" i="15"/>
  <c r="CP591" i="15"/>
  <c r="CO591" i="15"/>
  <c r="CN591" i="15"/>
  <c r="CK591" i="15"/>
  <c r="CJ591" i="15"/>
  <c r="CI591" i="15"/>
  <c r="CG591" i="15"/>
  <c r="CF591" i="15"/>
  <c r="CE591" i="15"/>
  <c r="CD591" i="15"/>
  <c r="CB591" i="15"/>
  <c r="CA591" i="15"/>
  <c r="BZ591" i="15"/>
  <c r="BY591" i="15"/>
  <c r="BW591" i="15"/>
  <c r="BV591" i="15"/>
  <c r="BT591" i="15"/>
  <c r="BR591" i="15"/>
  <c r="BQ591" i="15"/>
  <c r="BP591" i="15"/>
  <c r="BO591" i="15"/>
  <c r="BM591" i="15"/>
  <c r="BL591" i="15"/>
  <c r="BK591" i="15"/>
  <c r="BJ591" i="15"/>
  <c r="BH591" i="15"/>
  <c r="BG591" i="15"/>
  <c r="BF591" i="15"/>
  <c r="BE591" i="15"/>
  <c r="BC591" i="15"/>
  <c r="BB591" i="15"/>
  <c r="BA591" i="15"/>
  <c r="AZ591" i="15"/>
  <c r="AY591" i="15"/>
  <c r="AX591" i="15"/>
  <c r="AW591" i="15"/>
  <c r="AV591" i="15"/>
  <c r="AU591" i="15"/>
  <c r="AT591" i="15"/>
  <c r="AO591" i="15"/>
  <c r="DF590" i="15"/>
  <c r="DE590" i="15"/>
  <c r="DD590" i="15"/>
  <c r="DC590" i="15"/>
  <c r="DA590" i="15"/>
  <c r="CZ590" i="15"/>
  <c r="CY590" i="15"/>
  <c r="CX590" i="15"/>
  <c r="CV590" i="15"/>
  <c r="CU590" i="15"/>
  <c r="CT590" i="15"/>
  <c r="CS590" i="15"/>
  <c r="CQ590" i="15"/>
  <c r="CP590" i="15"/>
  <c r="CO590" i="15"/>
  <c r="CN590" i="15"/>
  <c r="CL590" i="15"/>
  <c r="CK590" i="15"/>
  <c r="CJ590" i="15"/>
  <c r="CI590" i="15"/>
  <c r="CG590" i="15"/>
  <c r="CF590" i="15"/>
  <c r="CE590" i="15"/>
  <c r="CD590" i="15"/>
  <c r="CB590" i="15"/>
  <c r="CA590" i="15"/>
  <c r="BZ590" i="15"/>
  <c r="BY590" i="15"/>
  <c r="BW590" i="15"/>
  <c r="BV590" i="15"/>
  <c r="BT590" i="15"/>
  <c r="BQ590" i="15"/>
  <c r="BP590" i="15"/>
  <c r="BO590" i="15"/>
  <c r="BL590" i="15"/>
  <c r="BK590" i="15"/>
  <c r="BJ590" i="15"/>
  <c r="BH590" i="15"/>
  <c r="BF590" i="15"/>
  <c r="BE590" i="15"/>
  <c r="BD590" i="15"/>
  <c r="BC590" i="15"/>
  <c r="BB590" i="15"/>
  <c r="BA590" i="15"/>
  <c r="AZ590" i="15"/>
  <c r="AY590" i="15"/>
  <c r="AX590" i="15"/>
  <c r="AW590" i="15"/>
  <c r="AV590" i="15"/>
  <c r="AU590" i="15"/>
  <c r="AT590" i="15"/>
  <c r="AS590" i="15"/>
  <c r="AR590" i="15"/>
  <c r="AQ590" i="15"/>
  <c r="AP590" i="15"/>
  <c r="AO590" i="15"/>
  <c r="DF588" i="15"/>
  <c r="DE588" i="15"/>
  <c r="DD588" i="15"/>
  <c r="DC588" i="15"/>
  <c r="DA588" i="15"/>
  <c r="CZ588" i="15"/>
  <c r="CY588" i="15"/>
  <c r="CX588" i="15"/>
  <c r="CV588" i="15"/>
  <c r="CU588" i="15"/>
  <c r="CT588" i="15"/>
  <c r="CS588" i="15"/>
  <c r="CQ588" i="15"/>
  <c r="CP588" i="15"/>
  <c r="CO588" i="15"/>
  <c r="CN588" i="15"/>
  <c r="CL588" i="15"/>
  <c r="CK588" i="15"/>
  <c r="CJ588" i="15"/>
  <c r="CI588" i="15"/>
  <c r="CG588" i="15"/>
  <c r="CF588" i="15"/>
  <c r="CE588" i="15"/>
  <c r="CD588" i="15"/>
  <c r="CA588" i="15"/>
  <c r="BZ588" i="15"/>
  <c r="BY588" i="15"/>
  <c r="BV588" i="15"/>
  <c r="BQ588" i="15"/>
  <c r="BP588" i="15"/>
  <c r="BO588" i="15"/>
  <c r="BM588" i="15"/>
  <c r="BL588" i="15"/>
  <c r="BK588" i="15"/>
  <c r="BJ588" i="15"/>
  <c r="BH588" i="15"/>
  <c r="BG588" i="15"/>
  <c r="BF588" i="15"/>
  <c r="BE588" i="15"/>
  <c r="BC588" i="15"/>
  <c r="BB588" i="15"/>
  <c r="BA588" i="15"/>
  <c r="AZ588" i="15"/>
  <c r="AX588" i="15"/>
  <c r="AW588" i="15"/>
  <c r="AU588" i="15"/>
  <c r="AS588" i="15"/>
  <c r="AR588" i="15"/>
  <c r="AQ588" i="15"/>
  <c r="AP588" i="15"/>
  <c r="DF586" i="15"/>
  <c r="DE586" i="15"/>
  <c r="DD586" i="15"/>
  <c r="DC586" i="15"/>
  <c r="DA586" i="15"/>
  <c r="CZ586" i="15"/>
  <c r="CY586" i="15"/>
  <c r="CX586" i="15"/>
  <c r="CV586" i="15"/>
  <c r="CU586" i="15"/>
  <c r="CT586" i="15"/>
  <c r="CS586" i="15"/>
  <c r="CQ586" i="15"/>
  <c r="CP586" i="15"/>
  <c r="CO586" i="15"/>
  <c r="CN586" i="15"/>
  <c r="CL586" i="15"/>
  <c r="CK586" i="15"/>
  <c r="CJ586" i="15"/>
  <c r="CI586" i="15"/>
  <c r="CG586" i="15"/>
  <c r="CF586" i="15"/>
  <c r="CE586" i="15"/>
  <c r="CD586" i="15"/>
  <c r="CA586" i="15"/>
  <c r="BZ586" i="15"/>
  <c r="BY586" i="15"/>
  <c r="BV586" i="15"/>
  <c r="BQ586" i="15"/>
  <c r="BP586" i="15"/>
  <c r="BO586" i="15"/>
  <c r="BM586" i="15"/>
  <c r="BL586" i="15"/>
  <c r="BK586" i="15"/>
  <c r="BJ586" i="15"/>
  <c r="BH586" i="15"/>
  <c r="BG586" i="15"/>
  <c r="BF586" i="15"/>
  <c r="BE586" i="15"/>
  <c r="BC586" i="15"/>
  <c r="BB586" i="15"/>
  <c r="BA586" i="15"/>
  <c r="AZ586" i="15"/>
  <c r="AX586" i="15"/>
  <c r="AW586" i="15"/>
  <c r="AU586" i="15"/>
  <c r="AS586" i="15"/>
  <c r="AR586" i="15"/>
  <c r="AQ586" i="15"/>
  <c r="AP586" i="15"/>
  <c r="DC580" i="15"/>
  <c r="CX580" i="15"/>
  <c r="CV580" i="15"/>
  <c r="CS580" i="15"/>
  <c r="CN580" i="15"/>
  <c r="CI580" i="15"/>
  <c r="CG580" i="15"/>
  <c r="CD580" i="15"/>
  <c r="BY580" i="15"/>
  <c r="BT580" i="15"/>
  <c r="BP580" i="15"/>
  <c r="BM580" i="15"/>
  <c r="BJ580" i="15"/>
  <c r="BE580" i="15"/>
  <c r="BA580" i="15"/>
  <c r="AZ580" i="15"/>
  <c r="AV580" i="15"/>
  <c r="AU580" i="15"/>
  <c r="AS580" i="15"/>
  <c r="AR580" i="15"/>
  <c r="AQ580" i="15"/>
  <c r="AP580" i="15"/>
  <c r="DF577" i="15"/>
  <c r="DE577" i="15"/>
  <c r="DD577" i="15"/>
  <c r="DC577" i="15"/>
  <c r="DA577" i="15"/>
  <c r="CZ577" i="15"/>
  <c r="CY577" i="15"/>
  <c r="CX577" i="15"/>
  <c r="CV577" i="15"/>
  <c r="CU577" i="15"/>
  <c r="CT577" i="15"/>
  <c r="CS577" i="15"/>
  <c r="CQ577" i="15"/>
  <c r="CP577" i="15"/>
  <c r="CO577" i="15"/>
  <c r="CN577" i="15"/>
  <c r="CL577" i="15"/>
  <c r="CK577" i="15"/>
  <c r="CJ577" i="15"/>
  <c r="CI577" i="15"/>
  <c r="CG577" i="15"/>
  <c r="CF577" i="15"/>
  <c r="CE577" i="15"/>
  <c r="CD577" i="15"/>
  <c r="CB577" i="15"/>
  <c r="CA577" i="15"/>
  <c r="BZ577" i="15"/>
  <c r="BY577" i="15"/>
  <c r="BW577" i="15"/>
  <c r="BR577" i="15"/>
  <c r="BQ577" i="15"/>
  <c r="BP577" i="15"/>
  <c r="BO577" i="15"/>
  <c r="BM577" i="15"/>
  <c r="BL577" i="15"/>
  <c r="BK577" i="15"/>
  <c r="DF575" i="15"/>
  <c r="DE575" i="15"/>
  <c r="DD575" i="15"/>
  <c r="DC575" i="15"/>
  <c r="DA575" i="15"/>
  <c r="CZ575" i="15"/>
  <c r="CY575" i="15"/>
  <c r="CX575" i="15"/>
  <c r="CV575" i="15"/>
  <c r="CU575" i="15"/>
  <c r="CT575" i="15"/>
  <c r="CS575" i="15"/>
  <c r="CQ575" i="15"/>
  <c r="CP575" i="15"/>
  <c r="CL575" i="15"/>
  <c r="CK575" i="15"/>
  <c r="CJ575" i="15"/>
  <c r="CI575" i="15"/>
  <c r="CG575" i="15"/>
  <c r="CF575" i="15"/>
  <c r="CE575" i="15"/>
  <c r="CD575" i="15"/>
  <c r="CA575" i="15"/>
  <c r="BZ575" i="15"/>
  <c r="BY575" i="15"/>
  <c r="BV575" i="15"/>
  <c r="BT575" i="15"/>
  <c r="BR575" i="15"/>
  <c r="BQ575" i="15"/>
  <c r="BP575" i="15"/>
  <c r="BO575" i="15"/>
  <c r="BM575" i="15"/>
  <c r="BL575" i="15"/>
  <c r="BK575" i="15"/>
  <c r="BJ575" i="15"/>
  <c r="BH575" i="15"/>
  <c r="BG575" i="15"/>
  <c r="BF575" i="15"/>
  <c r="BE575" i="15"/>
  <c r="BC575" i="15"/>
  <c r="BB575" i="15"/>
  <c r="BA575" i="15"/>
  <c r="AZ575" i="15"/>
  <c r="AX575" i="15"/>
  <c r="AW575" i="15"/>
  <c r="AV575" i="15"/>
  <c r="AU575" i="15"/>
  <c r="AS575" i="15"/>
  <c r="AR575" i="15"/>
  <c r="AP575" i="15"/>
  <c r="DF574" i="15"/>
  <c r="DE574" i="15"/>
  <c r="DD574" i="15"/>
  <c r="DC574" i="15"/>
  <c r="DA574" i="15"/>
  <c r="CZ574" i="15"/>
  <c r="CY574" i="15"/>
  <c r="CX574" i="15"/>
  <c r="CV574" i="15"/>
  <c r="CU574" i="15"/>
  <c r="CT574" i="15"/>
  <c r="CS574" i="15"/>
  <c r="CQ574" i="15"/>
  <c r="CP574" i="15"/>
  <c r="CO574" i="15"/>
  <c r="CN574" i="15"/>
  <c r="CL574" i="15"/>
  <c r="CK574" i="15"/>
  <c r="CJ574" i="15"/>
  <c r="CI574" i="15"/>
  <c r="CG574" i="15"/>
  <c r="CF574" i="15"/>
  <c r="CE574" i="15"/>
  <c r="CD574" i="15"/>
  <c r="CB574" i="15"/>
  <c r="CA574" i="15"/>
  <c r="BZ574" i="15"/>
  <c r="BY574" i="15"/>
  <c r="BV574" i="15"/>
  <c r="BT574" i="15"/>
  <c r="BR574" i="15"/>
  <c r="BQ574" i="15"/>
  <c r="BP574" i="15"/>
  <c r="BO574" i="15"/>
  <c r="BM574" i="15"/>
  <c r="BL574" i="15"/>
  <c r="BK574" i="15"/>
  <c r="BJ574" i="15"/>
  <c r="BH574" i="15"/>
  <c r="BG574" i="15"/>
  <c r="BF574" i="15"/>
  <c r="BE574" i="15"/>
  <c r="BC574" i="15"/>
  <c r="BB574" i="15"/>
  <c r="BA574" i="15"/>
  <c r="AZ574" i="15"/>
  <c r="AX574" i="15"/>
  <c r="AW574" i="15"/>
  <c r="AV574" i="15"/>
  <c r="AU574" i="15"/>
  <c r="AS574" i="15"/>
  <c r="AR574" i="15"/>
  <c r="AQ574" i="15"/>
  <c r="AP574" i="15"/>
  <c r="DF411" i="15"/>
  <c r="DE411" i="15"/>
  <c r="DD411" i="15"/>
  <c r="DC411" i="15"/>
  <c r="DA411" i="15"/>
  <c r="CZ411" i="15"/>
  <c r="CY411" i="15"/>
  <c r="CX411" i="15"/>
  <c r="CV411" i="15"/>
  <c r="CU411" i="15"/>
  <c r="CT411" i="15"/>
  <c r="CS411" i="15"/>
  <c r="CQ411" i="15"/>
  <c r="CP411" i="15"/>
  <c r="CO411" i="15"/>
  <c r="CN411" i="15"/>
  <c r="CL411" i="15"/>
  <c r="CK411" i="15"/>
  <c r="CJ411" i="15"/>
  <c r="CI411" i="15"/>
  <c r="CG411" i="15"/>
  <c r="CF411" i="15"/>
  <c r="CE411" i="15"/>
  <c r="CD411" i="15"/>
  <c r="CB411" i="15"/>
  <c r="CA411" i="15"/>
  <c r="BZ411" i="15"/>
  <c r="BY411" i="15"/>
  <c r="BW411" i="15"/>
  <c r="BV411" i="15"/>
  <c r="BU411" i="15"/>
  <c r="BT411" i="15"/>
  <c r="BR411" i="15"/>
  <c r="BQ411" i="15"/>
  <c r="BP411" i="15"/>
  <c r="BO411" i="15"/>
  <c r="BM411" i="15"/>
  <c r="BL411" i="15"/>
  <c r="BK411" i="15"/>
  <c r="BJ411" i="15"/>
  <c r="BH411" i="15"/>
  <c r="BG411" i="15"/>
  <c r="BF411" i="15"/>
  <c r="BE411" i="15"/>
  <c r="BC411" i="15"/>
  <c r="BB411" i="15"/>
  <c r="BA411" i="15"/>
  <c r="AZ411" i="15"/>
  <c r="AX411" i="15"/>
  <c r="AW411" i="15"/>
  <c r="AV411" i="15"/>
  <c r="AU411" i="15"/>
  <c r="AS411" i="15"/>
  <c r="AR411" i="15"/>
  <c r="AQ411" i="15"/>
  <c r="AP411" i="15"/>
  <c r="BH338" i="15"/>
  <c r="BG338" i="15"/>
  <c r="BF338" i="15"/>
  <c r="BC338" i="15"/>
  <c r="AS338" i="15"/>
  <c r="AR338" i="15"/>
  <c r="AQ338" i="15"/>
  <c r="DF171" i="15"/>
  <c r="DE171" i="15"/>
  <c r="DD171" i="15"/>
  <c r="DC171" i="15"/>
  <c r="DA171" i="15"/>
  <c r="CZ171" i="15"/>
  <c r="CY171" i="15"/>
  <c r="CX171" i="15"/>
  <c r="CV171" i="15"/>
  <c r="CU171" i="15"/>
  <c r="CT171" i="15"/>
  <c r="CS171" i="15"/>
  <c r="CQ171" i="15"/>
  <c r="CP171" i="15"/>
  <c r="CO171" i="15"/>
  <c r="CN171" i="15"/>
  <c r="CL171" i="15"/>
  <c r="CK171" i="15"/>
  <c r="CJ171" i="15"/>
  <c r="CI171" i="15"/>
  <c r="CG171" i="15"/>
  <c r="CF171" i="15"/>
  <c r="CE171" i="15"/>
  <c r="CD171" i="15"/>
  <c r="CB171" i="15"/>
  <c r="CA171" i="15"/>
  <c r="BZ171" i="15"/>
  <c r="BY171" i="15"/>
  <c r="BW171" i="15"/>
  <c r="BV171" i="15"/>
  <c r="BU171" i="15"/>
  <c r="BT171" i="15"/>
  <c r="BR171" i="15"/>
  <c r="BQ171" i="15"/>
  <c r="BP171" i="15"/>
  <c r="BO171" i="15"/>
  <c r="BM171" i="15"/>
  <c r="BL171" i="15"/>
  <c r="BK171" i="15"/>
  <c r="BJ171" i="15"/>
  <c r="BH171" i="15"/>
  <c r="BG171" i="15"/>
  <c r="BF171" i="15"/>
  <c r="BE171" i="15"/>
  <c r="BC171" i="15"/>
  <c r="BB171" i="15"/>
  <c r="BA171" i="15"/>
  <c r="AZ171" i="15"/>
  <c r="AX171" i="15"/>
  <c r="AW171" i="15"/>
  <c r="AV171" i="15"/>
  <c r="AU171" i="15"/>
  <c r="AS171" i="15"/>
  <c r="AR171" i="15"/>
  <c r="AQ171" i="15"/>
  <c r="AP171" i="15"/>
  <c r="DF167" i="15"/>
  <c r="DE167" i="15"/>
  <c r="DD167" i="15"/>
  <c r="DC167" i="15"/>
  <c r="DA167" i="15"/>
  <c r="CZ167" i="15"/>
  <c r="CY167" i="15"/>
  <c r="CX167" i="15"/>
  <c r="CV167" i="15"/>
  <c r="CU167" i="15"/>
  <c r="CT167" i="15"/>
  <c r="CS167" i="15"/>
  <c r="CQ167" i="15"/>
  <c r="CP167" i="15"/>
  <c r="CO167" i="15"/>
  <c r="CN167" i="15"/>
  <c r="CL167" i="15"/>
  <c r="CK167" i="15"/>
  <c r="CJ167" i="15"/>
  <c r="CI167" i="15"/>
  <c r="CG167" i="15"/>
  <c r="CF167" i="15"/>
  <c r="CE167" i="15"/>
  <c r="CD167" i="15"/>
  <c r="CB167" i="15"/>
  <c r="CA167" i="15"/>
  <c r="BZ167" i="15"/>
  <c r="BV167" i="15"/>
  <c r="BU167" i="15"/>
  <c r="BT167" i="15"/>
  <c r="BR167" i="15"/>
  <c r="BQ167" i="15"/>
  <c r="BP167" i="15"/>
  <c r="BO167" i="15"/>
  <c r="BM167" i="15"/>
  <c r="BL167" i="15"/>
  <c r="BK167" i="15"/>
  <c r="BJ167" i="15"/>
  <c r="BH167" i="15"/>
  <c r="BG167" i="15"/>
  <c r="BF167" i="15"/>
  <c r="BE167" i="15"/>
  <c r="BC167" i="15"/>
  <c r="BB167" i="15"/>
  <c r="BA167" i="15"/>
  <c r="AZ167" i="15"/>
  <c r="AX167" i="15"/>
  <c r="AW167" i="15"/>
  <c r="AV167" i="15"/>
  <c r="AU167" i="15"/>
  <c r="AS167" i="15"/>
  <c r="AR167" i="15"/>
  <c r="AQ167" i="15"/>
  <c r="AP167" i="15"/>
  <c r="BJ166" i="15"/>
  <c r="BH166" i="15"/>
  <c r="AS166" i="15"/>
  <c r="AR166" i="15"/>
  <c r="AQ166" i="15"/>
  <c r="AP166" i="15"/>
  <c r="CP164" i="15"/>
  <c r="CO164" i="15"/>
  <c r="CN164" i="15"/>
  <c r="CL164" i="15"/>
  <c r="CK164" i="15"/>
  <c r="CJ164" i="15"/>
  <c r="CI164" i="15"/>
  <c r="CG164" i="15"/>
  <c r="CF164" i="15"/>
  <c r="CE164" i="15"/>
  <c r="CD164" i="15"/>
  <c r="CB164" i="15"/>
  <c r="CA164" i="15"/>
  <c r="BZ164" i="15"/>
  <c r="BY164" i="15"/>
  <c r="BW164" i="15"/>
  <c r="BV164" i="15"/>
  <c r="BU164" i="15"/>
  <c r="BR164" i="15"/>
  <c r="BP164" i="15"/>
  <c r="BJ164" i="15"/>
  <c r="BH164" i="15"/>
  <c r="BG164" i="15"/>
  <c r="BF164" i="15"/>
  <c r="BE164" i="15"/>
  <c r="BC164" i="15"/>
  <c r="BB164" i="15"/>
  <c r="BA164" i="15"/>
  <c r="AZ164" i="15"/>
  <c r="AX164" i="15"/>
  <c r="AW164" i="15"/>
  <c r="AV164" i="15"/>
  <c r="AU164" i="15"/>
  <c r="BB163" i="15"/>
  <c r="AW162" i="15"/>
  <c r="AV162" i="15"/>
  <c r="AU162" i="15"/>
  <c r="AS162" i="15"/>
  <c r="AR162" i="15"/>
  <c r="AQ162" i="15"/>
  <c r="AP162" i="15"/>
  <c r="DF155" i="15"/>
  <c r="DE155" i="15"/>
  <c r="DD155" i="15"/>
  <c r="DC155" i="15"/>
  <c r="DA155" i="15"/>
  <c r="CZ155" i="15"/>
  <c r="CY155" i="15"/>
  <c r="CX155" i="15"/>
  <c r="CV155" i="15"/>
  <c r="CU155" i="15"/>
  <c r="CT155" i="15"/>
  <c r="CS155" i="15"/>
  <c r="CQ155" i="15"/>
  <c r="CP155" i="15"/>
  <c r="CO155" i="15"/>
  <c r="CN155" i="15"/>
  <c r="CL155" i="15"/>
  <c r="CK155" i="15"/>
  <c r="CJ155" i="15"/>
  <c r="CI155" i="15"/>
  <c r="CG155" i="15"/>
  <c r="CF155" i="15"/>
  <c r="CE155" i="15"/>
  <c r="CD155" i="15"/>
  <c r="CB155" i="15"/>
  <c r="CA155" i="15"/>
  <c r="BZ155" i="15"/>
  <c r="BY155" i="15"/>
  <c r="BW155" i="15"/>
  <c r="BV155" i="15"/>
  <c r="BU155" i="15"/>
  <c r="BT155" i="15"/>
  <c r="BR155" i="15"/>
  <c r="BQ155" i="15"/>
  <c r="BP155" i="15"/>
  <c r="BO155" i="15"/>
  <c r="BM155" i="15"/>
  <c r="BL155" i="15"/>
  <c r="BK155" i="15"/>
  <c r="BJ155" i="15"/>
  <c r="BH155" i="15"/>
  <c r="BG155" i="15"/>
  <c r="BF155" i="15"/>
  <c r="BE155" i="15"/>
  <c r="BC155" i="15"/>
  <c r="BB155" i="15"/>
  <c r="BA155" i="15"/>
  <c r="AZ155" i="15"/>
  <c r="AX155" i="15"/>
  <c r="AW155" i="15"/>
  <c r="AV155" i="15"/>
  <c r="AU155" i="15"/>
  <c r="AS155" i="15"/>
  <c r="AP155" i="15"/>
  <c r="DF153" i="15"/>
  <c r="DE153" i="15"/>
  <c r="DD153" i="15"/>
  <c r="DC153" i="15"/>
  <c r="DA153" i="15"/>
  <c r="CZ153" i="15"/>
  <c r="CY153" i="15"/>
  <c r="CX153" i="15"/>
  <c r="CV153" i="15"/>
  <c r="CU153" i="15"/>
  <c r="CT153" i="15"/>
  <c r="CS153" i="15"/>
  <c r="CQ153" i="15"/>
  <c r="CP153" i="15"/>
  <c r="CO153" i="15"/>
  <c r="CN153" i="15"/>
  <c r="CL153" i="15"/>
  <c r="CK153" i="15"/>
  <c r="CJ153" i="15"/>
  <c r="CI153" i="15"/>
  <c r="CG153" i="15"/>
  <c r="CF153" i="15"/>
  <c r="CE153" i="15"/>
  <c r="CD153" i="15"/>
  <c r="CB153" i="15"/>
  <c r="CA153" i="15"/>
  <c r="BZ153" i="15"/>
  <c r="BY153" i="15"/>
  <c r="BW153" i="15"/>
  <c r="BV153" i="15"/>
  <c r="BU153" i="15"/>
  <c r="BT153" i="15"/>
  <c r="BR153" i="15"/>
  <c r="BQ153" i="15"/>
  <c r="BP153" i="15"/>
  <c r="BO153" i="15"/>
  <c r="BM153" i="15"/>
  <c r="BL153" i="15"/>
  <c r="BJ153" i="15"/>
  <c r="BH153" i="15"/>
  <c r="BG153" i="15"/>
  <c r="BF153" i="15"/>
  <c r="BE153" i="15"/>
  <c r="BC153" i="15"/>
  <c r="BB153" i="15"/>
  <c r="BA153" i="15"/>
  <c r="AZ153" i="15"/>
  <c r="AX153" i="15"/>
  <c r="AS153" i="15"/>
  <c r="AR153" i="15"/>
  <c r="AQ153" i="15"/>
  <c r="AP153" i="15"/>
  <c r="DF152" i="15"/>
  <c r="DE152" i="15"/>
  <c r="DD152" i="15"/>
  <c r="DC152" i="15"/>
  <c r="DA152" i="15"/>
  <c r="CZ152" i="15"/>
  <c r="CY152" i="15"/>
  <c r="CX152" i="15"/>
  <c r="CV152" i="15"/>
  <c r="CU152" i="15"/>
  <c r="CT152" i="15"/>
  <c r="CS152" i="15"/>
  <c r="CQ152" i="15"/>
  <c r="CP152" i="15"/>
  <c r="CO152" i="15"/>
  <c r="CN152" i="15"/>
  <c r="CL152" i="15"/>
  <c r="CK152" i="15"/>
  <c r="CJ152" i="15"/>
  <c r="CI152" i="15"/>
  <c r="CG152" i="15"/>
  <c r="CF152" i="15"/>
  <c r="CE152" i="15"/>
  <c r="CD152" i="15"/>
  <c r="CB152" i="15"/>
  <c r="CA152" i="15"/>
  <c r="BZ152" i="15"/>
  <c r="BY152" i="15"/>
  <c r="BW152" i="15"/>
  <c r="BV152" i="15"/>
  <c r="BU152" i="15"/>
  <c r="BT152" i="15"/>
  <c r="BR152" i="15"/>
  <c r="BQ152" i="15"/>
  <c r="BP152" i="15"/>
  <c r="BO152" i="15"/>
  <c r="BM152" i="15"/>
  <c r="BL152" i="15"/>
  <c r="BK152" i="15"/>
  <c r="BJ152" i="15"/>
  <c r="BH152" i="15"/>
  <c r="BG152" i="15"/>
  <c r="BF152" i="15"/>
  <c r="BB152" i="15"/>
  <c r="BA152" i="15"/>
  <c r="AZ152" i="15"/>
  <c r="AX152" i="15"/>
  <c r="AW152" i="15"/>
  <c r="AV152" i="15"/>
  <c r="AU152" i="15"/>
  <c r="AS152" i="15"/>
  <c r="AR152" i="15"/>
  <c r="AQ152" i="15"/>
  <c r="AP152" i="15"/>
  <c r="DF151" i="15"/>
  <c r="DE151" i="15"/>
  <c r="DD151" i="15"/>
  <c r="DC151" i="15"/>
  <c r="DA151" i="15"/>
  <c r="CZ151" i="15"/>
  <c r="CY151" i="15"/>
  <c r="CX151" i="15"/>
  <c r="CV151" i="15"/>
  <c r="CU151" i="15"/>
  <c r="CT151" i="15"/>
  <c r="CS151" i="15"/>
  <c r="CQ151" i="15"/>
  <c r="CP151" i="15"/>
  <c r="CO151" i="15"/>
  <c r="CN151" i="15"/>
  <c r="CL151" i="15"/>
  <c r="CK151" i="15"/>
  <c r="CJ151" i="15"/>
  <c r="CI151" i="15"/>
  <c r="CG151" i="15"/>
  <c r="CF151" i="15"/>
  <c r="CE151" i="15"/>
  <c r="CD151" i="15"/>
  <c r="CB151" i="15"/>
  <c r="CA151" i="15"/>
  <c r="BZ151" i="15"/>
  <c r="BY151" i="15"/>
  <c r="BW151" i="15"/>
  <c r="BV151" i="15"/>
  <c r="BU151" i="15"/>
  <c r="BT151" i="15"/>
  <c r="BR151" i="15"/>
  <c r="BQ151" i="15"/>
  <c r="BP151" i="15"/>
  <c r="BO151" i="15"/>
  <c r="BM151" i="15"/>
  <c r="BL151" i="15"/>
  <c r="BK151" i="15"/>
  <c r="BJ151" i="15"/>
  <c r="BH151" i="15"/>
  <c r="BG151" i="15"/>
  <c r="BF151" i="15"/>
  <c r="BE151" i="15"/>
  <c r="BC151" i="15"/>
  <c r="BB151" i="15"/>
  <c r="BA151" i="15"/>
  <c r="AZ151" i="15"/>
  <c r="AX151" i="15"/>
  <c r="AW151" i="15"/>
  <c r="AV151" i="15"/>
  <c r="AU151" i="15"/>
  <c r="AS151" i="15"/>
  <c r="AR151" i="15"/>
  <c r="AQ151" i="15"/>
  <c r="AP151" i="15"/>
  <c r="AV147" i="15"/>
  <c r="AU147" i="15"/>
  <c r="AS147" i="15"/>
  <c r="AR144" i="15"/>
  <c r="AQ144" i="15"/>
  <c r="AP144" i="15"/>
  <c r="BK111" i="15"/>
  <c r="BH111" i="15"/>
  <c r="BG111" i="15"/>
  <c r="BF111" i="15"/>
  <c r="BK110" i="15"/>
  <c r="BH110" i="15"/>
  <c r="BG110" i="15"/>
  <c r="BF110" i="15"/>
  <c r="BV109" i="15"/>
  <c r="BK109" i="15"/>
  <c r="BJ109" i="15"/>
  <c r="BH109" i="15"/>
  <c r="BG109" i="15"/>
  <c r="BF109" i="15"/>
  <c r="BE109" i="15"/>
  <c r="DE54" i="15"/>
  <c r="DD54" i="15"/>
  <c r="DC54" i="15"/>
  <c r="CZ54" i="15"/>
  <c r="CY54" i="15"/>
  <c r="CX54" i="15"/>
  <c r="CU54" i="15"/>
  <c r="CT54" i="15"/>
  <c r="CS54" i="15"/>
  <c r="CP54" i="15"/>
  <c r="CO54" i="15"/>
  <c r="CN54" i="15"/>
  <c r="CK54" i="15"/>
  <c r="CJ54" i="15"/>
  <c r="CI54" i="15"/>
  <c r="CF54" i="15"/>
  <c r="CE54" i="15"/>
  <c r="CD54" i="15"/>
  <c r="CA54" i="15"/>
  <c r="BZ54" i="15"/>
  <c r="BY54" i="15"/>
  <c r="BV54" i="15"/>
  <c r="BU54" i="15"/>
  <c r="BQ54" i="15"/>
  <c r="BP54" i="15"/>
  <c r="BJ54" i="15"/>
  <c r="BH54" i="15"/>
  <c r="BG54" i="15"/>
  <c r="BF54" i="15"/>
  <c r="BE54" i="15"/>
  <c r="BC54" i="15"/>
  <c r="BB54" i="15"/>
  <c r="BA54" i="15"/>
  <c r="AZ54" i="15"/>
  <c r="AW54" i="15"/>
  <c r="AV54" i="15"/>
  <c r="AU54" i="15"/>
  <c r="AR54" i="15"/>
  <c r="AP54" i="15"/>
  <c r="DE52" i="15"/>
  <c r="DD52" i="15"/>
  <c r="DC52" i="15"/>
  <c r="CZ52" i="15"/>
  <c r="CY52" i="15"/>
  <c r="CX52" i="15"/>
  <c r="CU52" i="15"/>
  <c r="CT52" i="15"/>
  <c r="CS52" i="15"/>
  <c r="CP52" i="15"/>
  <c r="CO52" i="15"/>
  <c r="CN52" i="15"/>
  <c r="CK52" i="15"/>
  <c r="CJ52" i="15"/>
  <c r="CI52" i="15"/>
  <c r="CF52" i="15"/>
  <c r="CE52" i="15"/>
  <c r="CD52" i="15"/>
  <c r="CA52" i="15"/>
  <c r="BZ52" i="15"/>
  <c r="BY52" i="15"/>
  <c r="BV52" i="15"/>
  <c r="BU52" i="15"/>
  <c r="BQ52" i="15"/>
  <c r="BP52" i="15"/>
  <c r="BL52" i="15"/>
  <c r="BK52" i="15"/>
  <c r="BJ52" i="15"/>
  <c r="BH52" i="15"/>
  <c r="BG52" i="15"/>
  <c r="BF52" i="15"/>
  <c r="BE52" i="15"/>
  <c r="BC52" i="15"/>
  <c r="BB52" i="15"/>
  <c r="BA52" i="15"/>
  <c r="AZ52" i="15"/>
  <c r="AW52" i="15"/>
  <c r="AV52" i="15"/>
  <c r="AU52" i="15"/>
  <c r="AR52" i="15"/>
  <c r="AP52" i="15"/>
  <c r="BL30" i="15"/>
  <c r="DF26" i="15"/>
  <c r="DE26" i="15"/>
  <c r="DD26" i="15"/>
  <c r="DC26" i="15"/>
  <c r="DA26" i="15"/>
  <c r="CZ26" i="15"/>
  <c r="CY26" i="15"/>
  <c r="CX26" i="15"/>
  <c r="CV26" i="15"/>
  <c r="CU26" i="15"/>
  <c r="CT26" i="15"/>
  <c r="CS26" i="15"/>
  <c r="CQ26" i="15"/>
  <c r="CP26" i="15"/>
  <c r="CO26" i="15"/>
  <c r="CN26" i="15"/>
  <c r="CK26" i="15"/>
  <c r="CJ26" i="15"/>
  <c r="CI26" i="15"/>
  <c r="CG26" i="15"/>
  <c r="CF26" i="15"/>
  <c r="CE26" i="15"/>
  <c r="CD26" i="15"/>
  <c r="CB26" i="15"/>
  <c r="CA26" i="15"/>
  <c r="BZ26" i="15"/>
  <c r="BY26" i="15"/>
  <c r="BV26" i="15"/>
  <c r="BU26" i="15"/>
  <c r="BT26" i="15"/>
  <c r="BQ26" i="15"/>
  <c r="BP26" i="15"/>
  <c r="BO26" i="15"/>
  <c r="BM26" i="15"/>
  <c r="BL26" i="15"/>
  <c r="BK26" i="15"/>
  <c r="BJ26" i="15"/>
  <c r="BH26" i="15"/>
  <c r="BG26" i="15"/>
  <c r="BF26" i="15"/>
  <c r="BE26" i="15"/>
  <c r="BB26" i="15"/>
  <c r="BA26" i="15"/>
  <c r="AZ26" i="15"/>
  <c r="AX26" i="15"/>
  <c r="AW26" i="15"/>
  <c r="AV26" i="15"/>
  <c r="AU26" i="15"/>
  <c r="AS26" i="15"/>
  <c r="AR26" i="15"/>
  <c r="AQ26" i="15"/>
  <c r="AP26" i="15"/>
  <c r="DE20" i="15"/>
  <c r="DD20" i="15"/>
  <c r="DC20" i="15"/>
  <c r="CZ20" i="15"/>
  <c r="CY20" i="15"/>
  <c r="CX20" i="15"/>
  <c r="CU20" i="15"/>
  <c r="CT20" i="15"/>
  <c r="CS20" i="15"/>
  <c r="CP20" i="15"/>
  <c r="CO20" i="15"/>
  <c r="CN20" i="15"/>
  <c r="CK20" i="15"/>
  <c r="CJ20" i="15"/>
  <c r="CI20" i="15"/>
  <c r="CF20" i="15"/>
  <c r="CE20" i="15"/>
  <c r="CD20" i="15"/>
  <c r="CA20" i="15"/>
  <c r="BZ20" i="15"/>
  <c r="BY20" i="15"/>
  <c r="BV20" i="15"/>
  <c r="BU20" i="15"/>
  <c r="BQ20" i="15"/>
  <c r="BP20" i="15"/>
  <c r="BL20" i="15"/>
  <c r="BK20" i="15"/>
  <c r="BJ20" i="15"/>
  <c r="BH20" i="15"/>
  <c r="BG20" i="15"/>
  <c r="BF20" i="15"/>
  <c r="BE20" i="15"/>
  <c r="BC20" i="15"/>
  <c r="BB20" i="15"/>
  <c r="BA20" i="15"/>
  <c r="AZ20" i="15"/>
  <c r="AW20" i="15"/>
  <c r="AV20" i="15"/>
  <c r="AU20" i="15"/>
  <c r="AR20" i="15"/>
  <c r="AP20" i="15"/>
  <c r="DD18" i="15"/>
  <c r="DC18" i="15"/>
  <c r="CZ18" i="15"/>
  <c r="CY18" i="15"/>
  <c r="CX18" i="15"/>
  <c r="CU18" i="15"/>
  <c r="CT18" i="15"/>
  <c r="CS18" i="15"/>
  <c r="CP18" i="15"/>
  <c r="CO18" i="15"/>
  <c r="CN18" i="15"/>
  <c r="CK18" i="15"/>
  <c r="CJ18" i="15"/>
  <c r="CI18" i="15"/>
  <c r="CF18" i="15"/>
  <c r="CD18" i="15"/>
  <c r="CA18" i="15"/>
  <c r="BY18" i="15"/>
  <c r="BV18" i="15"/>
  <c r="BQ18" i="15"/>
  <c r="BP18" i="15"/>
  <c r="BL18" i="15"/>
  <c r="BK18" i="15"/>
  <c r="BJ18" i="15"/>
  <c r="BH18" i="15"/>
  <c r="BG18" i="15"/>
  <c r="BF18" i="15"/>
  <c r="BE18" i="15"/>
  <c r="BC18" i="15"/>
  <c r="BB18" i="15"/>
  <c r="BA18" i="15"/>
  <c r="AZ18" i="15"/>
  <c r="AW18" i="15"/>
  <c r="AV18" i="15"/>
  <c r="AU18" i="15"/>
  <c r="AR18" i="15"/>
  <c r="AP18" i="15"/>
  <c r="DF15" i="15"/>
  <c r="DE15" i="15"/>
  <c r="DD15" i="15"/>
  <c r="DC15" i="15"/>
  <c r="DA15" i="15"/>
  <c r="CZ15" i="15"/>
  <c r="CY15" i="15"/>
  <c r="CX15" i="15"/>
  <c r="CV15" i="15"/>
  <c r="CU15" i="15"/>
  <c r="CT15" i="15"/>
  <c r="CS15" i="15"/>
  <c r="CQ15" i="15"/>
  <c r="CP15" i="15"/>
  <c r="CO15" i="15"/>
  <c r="CN15" i="15"/>
  <c r="CL15" i="15"/>
  <c r="CK15" i="15"/>
  <c r="CJ15" i="15"/>
  <c r="CI15" i="15"/>
  <c r="CG15" i="15"/>
  <c r="CF15" i="15"/>
  <c r="CE15" i="15"/>
  <c r="CD15" i="15"/>
  <c r="CB15" i="15"/>
  <c r="CA15" i="15"/>
  <c r="BZ15" i="15"/>
  <c r="BY15" i="15"/>
  <c r="BW15" i="15"/>
  <c r="BV15" i="15"/>
  <c r="BU15" i="15"/>
  <c r="BT15" i="15"/>
  <c r="BR15" i="15"/>
  <c r="BQ15" i="15"/>
  <c r="BP15" i="15"/>
  <c r="BO15" i="15"/>
  <c r="BM15" i="15"/>
  <c r="BL15" i="15"/>
  <c r="BK15" i="15"/>
  <c r="BJ15" i="15"/>
  <c r="BH15" i="15"/>
  <c r="BG15" i="15"/>
  <c r="BF15" i="15"/>
  <c r="BE15" i="15"/>
  <c r="BC15" i="15"/>
  <c r="BB15" i="15"/>
  <c r="BA15" i="15"/>
  <c r="AZ15" i="15"/>
  <c r="AX15" i="15"/>
  <c r="AW15" i="15"/>
  <c r="AV15" i="15"/>
  <c r="AU15" i="15"/>
  <c r="AS15" i="15"/>
  <c r="AR15" i="15"/>
  <c r="AQ15" i="15"/>
  <c r="AP15" i="15"/>
  <c r="DF14" i="15"/>
  <c r="DD14" i="15"/>
  <c r="DC14" i="15"/>
  <c r="CX14" i="15"/>
  <c r="BH14" i="15"/>
  <c r="BG14" i="15"/>
  <c r="BF14" i="15"/>
  <c r="BE14" i="15"/>
  <c r="BC14" i="15"/>
  <c r="BB14" i="15"/>
  <c r="BA14" i="15"/>
  <c r="AZ14" i="15"/>
  <c r="AX14" i="15"/>
  <c r="AW14" i="15"/>
  <c r="AV14" i="15"/>
  <c r="AU14" i="15"/>
  <c r="AS14" i="15"/>
  <c r="AR14" i="15"/>
  <c r="AQ14" i="15"/>
  <c r="AP14" i="15"/>
  <c r="DD9" i="15"/>
  <c r="DC9" i="15"/>
  <c r="CY9" i="15"/>
  <c r="CX9" i="15"/>
  <c r="CU9" i="15"/>
  <c r="CT9" i="15"/>
  <c r="CS9" i="15"/>
  <c r="CN9" i="15"/>
  <c r="BF9" i="15"/>
  <c r="BC9" i="15"/>
  <c r="BB9" i="15"/>
  <c r="BA9" i="15"/>
  <c r="AZ9" i="15"/>
  <c r="AW9" i="15"/>
  <c r="AV9" i="15"/>
  <c r="AU9" i="15"/>
  <c r="AR9" i="15"/>
  <c r="AQ9" i="15"/>
  <c r="AP9" i="15"/>
  <c r="CO7" i="15"/>
  <c r="CN7" i="15"/>
  <c r="CK7" i="15"/>
  <c r="CJ7" i="15"/>
  <c r="CI7" i="15"/>
  <c r="CF7" i="15"/>
  <c r="CE7" i="15"/>
  <c r="CD7" i="15"/>
  <c r="CA7" i="15"/>
  <c r="BZ7" i="15"/>
  <c r="BY7" i="15"/>
  <c r="BV7" i="15"/>
  <c r="BQ7" i="15"/>
  <c r="BP7" i="15"/>
  <c r="BM7" i="15"/>
  <c r="BL7" i="15"/>
  <c r="BK7" i="15"/>
  <c r="BJ7" i="15"/>
  <c r="BH7" i="15"/>
  <c r="BG7" i="15"/>
  <c r="B85" i="19"/>
  <c r="B84" i="19"/>
  <c r="B83" i="19"/>
  <c r="B82" i="19"/>
  <c r="B81" i="19"/>
  <c r="B80" i="19"/>
  <c r="B79" i="19"/>
  <c r="B78" i="19"/>
  <c r="B77" i="19"/>
  <c r="B76" i="19"/>
  <c r="AT75" i="19"/>
  <c r="AQ75" i="19"/>
  <c r="AP75" i="19"/>
  <c r="AO75" i="19"/>
  <c r="AL75" i="19"/>
  <c r="AK75" i="19"/>
  <c r="AJ75" i="19"/>
  <c r="AG75" i="19"/>
  <c r="AF75" i="19"/>
  <c r="AE75" i="19"/>
  <c r="AB75" i="19"/>
  <c r="AA75" i="19"/>
  <c r="Z75" i="19"/>
  <c r="W75" i="19"/>
  <c r="V75" i="19"/>
  <c r="U75" i="19"/>
  <c r="R75" i="19"/>
  <c r="Q75" i="19"/>
  <c r="P75" i="19"/>
  <c r="M75" i="19"/>
  <c r="L75" i="19"/>
  <c r="K75" i="19"/>
  <c r="H75" i="19"/>
  <c r="G75" i="19"/>
  <c r="F75" i="19"/>
  <c r="B75" i="19"/>
  <c r="B74" i="19"/>
  <c r="AT73" i="19"/>
  <c r="AO73" i="19"/>
  <c r="AJ73" i="19"/>
  <c r="AE73" i="19"/>
  <c r="Z73" i="19"/>
  <c r="U73" i="19"/>
  <c r="P73" i="19"/>
  <c r="K73" i="19"/>
  <c r="F73" i="19"/>
  <c r="B73" i="19"/>
  <c r="B72" i="19"/>
  <c r="AT71" i="19"/>
  <c r="AQ71" i="19"/>
  <c r="AP71" i="19"/>
  <c r="AO71" i="19"/>
  <c r="AL71" i="19"/>
  <c r="AK71" i="19"/>
  <c r="AJ71" i="19"/>
  <c r="AG71" i="19"/>
  <c r="AF71" i="19"/>
  <c r="AE71" i="19"/>
  <c r="AB71" i="19"/>
  <c r="AA71" i="19"/>
  <c r="Z71" i="19"/>
  <c r="W71" i="19"/>
  <c r="V71" i="19"/>
  <c r="U71" i="19"/>
  <c r="R71" i="19"/>
  <c r="Q71" i="19"/>
  <c r="P71" i="19"/>
  <c r="M71" i="19"/>
  <c r="L71" i="19"/>
  <c r="K71" i="19"/>
  <c r="H71" i="19"/>
  <c r="G71" i="19"/>
  <c r="F71" i="19"/>
  <c r="B71" i="19"/>
  <c r="B70" i="19"/>
  <c r="AT69" i="19"/>
  <c r="AQ69" i="19"/>
  <c r="AP69" i="19"/>
  <c r="AO69" i="19"/>
  <c r="AL69" i="19"/>
  <c r="AK69" i="19"/>
  <c r="AJ69" i="19"/>
  <c r="AG69" i="19"/>
  <c r="AF69" i="19"/>
  <c r="AE69" i="19"/>
  <c r="AA69" i="19"/>
  <c r="Z69" i="19"/>
  <c r="W69" i="19"/>
  <c r="V69" i="19"/>
  <c r="U69" i="19"/>
  <c r="R69" i="19"/>
  <c r="Q69" i="19"/>
  <c r="P69" i="19"/>
  <c r="M69" i="19"/>
  <c r="L69" i="19"/>
  <c r="K69" i="19"/>
  <c r="H69" i="19"/>
  <c r="G69" i="19"/>
  <c r="F69" i="19"/>
  <c r="B69" i="19"/>
  <c r="B68" i="19"/>
  <c r="BB67" i="19"/>
  <c r="BA67" i="19"/>
  <c r="AZ67" i="19"/>
  <c r="AY67" i="19"/>
  <c r="AW67" i="19"/>
  <c r="AV67" i="19"/>
  <c r="AU67" i="19"/>
  <c r="AT67" i="19"/>
  <c r="AR67" i="19"/>
  <c r="AQ67" i="19"/>
  <c r="AP67" i="19"/>
  <c r="AO67" i="19"/>
  <c r="AM67" i="19"/>
  <c r="AL67" i="19"/>
  <c r="AK67" i="19"/>
  <c r="AJ67" i="19"/>
  <c r="AH67" i="19"/>
  <c r="AG67" i="19"/>
  <c r="AF67" i="19"/>
  <c r="AE67" i="19"/>
  <c r="AC67" i="19"/>
  <c r="AB67" i="19"/>
  <c r="AA67" i="19"/>
  <c r="Z67" i="19"/>
  <c r="X67" i="19"/>
  <c r="W67" i="19"/>
  <c r="V67" i="19"/>
  <c r="U67" i="19"/>
  <c r="S67" i="19"/>
  <c r="R67" i="19"/>
  <c r="Q67" i="19"/>
  <c r="P67" i="19"/>
  <c r="N67" i="19"/>
  <c r="M67" i="19"/>
  <c r="L67" i="19"/>
  <c r="K67" i="19"/>
  <c r="I67" i="19"/>
  <c r="H67" i="19"/>
  <c r="G67" i="19"/>
  <c r="F67" i="19"/>
  <c r="B67" i="19"/>
  <c r="B66" i="19"/>
  <c r="AT64" i="19"/>
  <c r="AQ64" i="19"/>
  <c r="AP64" i="19"/>
  <c r="AO64" i="19"/>
  <c r="AL64" i="19"/>
  <c r="AK64" i="19"/>
  <c r="AJ64" i="19"/>
  <c r="AG64" i="19"/>
  <c r="AF64" i="19"/>
  <c r="AE64" i="19"/>
  <c r="AA64" i="19"/>
  <c r="Z64" i="19"/>
  <c r="V64" i="19"/>
  <c r="U64" i="19"/>
  <c r="R64" i="19"/>
  <c r="Q64" i="19"/>
  <c r="P64" i="19"/>
  <c r="K64" i="19"/>
  <c r="B64" i="19"/>
  <c r="BB63" i="19"/>
  <c r="BA63" i="19"/>
  <c r="AZ63" i="19"/>
  <c r="AY63" i="19"/>
  <c r="AW63" i="19"/>
  <c r="AV63" i="19"/>
  <c r="AT63" i="19"/>
  <c r="AR63" i="19"/>
  <c r="AQ63" i="19"/>
  <c r="AP63" i="19"/>
  <c r="AO63" i="19"/>
  <c r="AM63" i="19"/>
  <c r="AL63" i="19"/>
  <c r="AK63" i="19"/>
  <c r="AJ63" i="19"/>
  <c r="AH63" i="19"/>
  <c r="AG63" i="19"/>
  <c r="AF63" i="19"/>
  <c r="AE63" i="19"/>
  <c r="AC63" i="19"/>
  <c r="AB63" i="19"/>
  <c r="AA63" i="19"/>
  <c r="Z63" i="19"/>
  <c r="X63" i="19"/>
  <c r="W63" i="19"/>
  <c r="V63" i="19"/>
  <c r="U63" i="19"/>
  <c r="S63" i="19"/>
  <c r="R63" i="19"/>
  <c r="Q63" i="19"/>
  <c r="P63" i="19"/>
  <c r="N63" i="19"/>
  <c r="M63" i="19"/>
  <c r="L63" i="19"/>
  <c r="K63" i="19"/>
  <c r="I63" i="19"/>
  <c r="H63" i="19"/>
  <c r="G63" i="19"/>
  <c r="F63" i="19"/>
  <c r="B63" i="19"/>
  <c r="R62" i="19"/>
  <c r="M62" i="19"/>
  <c r="I62" i="19"/>
  <c r="H62" i="19"/>
  <c r="G62" i="19"/>
  <c r="F62" i="19"/>
  <c r="B62" i="19"/>
  <c r="L61" i="19"/>
  <c r="K61" i="19"/>
  <c r="H61" i="19"/>
  <c r="G61" i="19"/>
  <c r="F61" i="19"/>
  <c r="B61" i="19"/>
  <c r="B60" i="19"/>
  <c r="AT59" i="19"/>
  <c r="AR59" i="19"/>
  <c r="AQ59" i="19"/>
  <c r="AP59" i="19"/>
  <c r="AO59" i="19"/>
  <c r="AM59" i="19"/>
  <c r="AL59" i="19"/>
  <c r="AK59" i="19"/>
  <c r="AJ59" i="19"/>
  <c r="AH59" i="19"/>
  <c r="AG59" i="19"/>
  <c r="AF59" i="19"/>
  <c r="AE59" i="19"/>
  <c r="AC59" i="19"/>
  <c r="AA59" i="19"/>
  <c r="Z59" i="19"/>
  <c r="U59" i="19"/>
  <c r="B59" i="19"/>
  <c r="BB58" i="19"/>
  <c r="BA58" i="19"/>
  <c r="AZ58" i="19"/>
  <c r="AY58" i="19"/>
  <c r="AW58" i="19"/>
  <c r="AV58" i="19"/>
  <c r="AU58" i="19"/>
  <c r="AT58" i="19"/>
  <c r="AR58" i="19"/>
  <c r="AQ58" i="19"/>
  <c r="AP58" i="19"/>
  <c r="AO58" i="19"/>
  <c r="AM58" i="19"/>
  <c r="AL58" i="19"/>
  <c r="AK58" i="19"/>
  <c r="AJ58" i="19"/>
  <c r="AH58" i="19"/>
  <c r="AG58" i="19"/>
  <c r="AF58" i="19"/>
  <c r="AE58" i="19"/>
  <c r="AC58" i="19"/>
  <c r="AB58" i="19"/>
  <c r="AA58" i="19"/>
  <c r="Z58" i="19"/>
  <c r="X58" i="19"/>
  <c r="W58" i="19"/>
  <c r="V58" i="19"/>
  <c r="U58" i="19"/>
  <c r="S58" i="19"/>
  <c r="R58" i="19"/>
  <c r="Q58" i="19"/>
  <c r="P58" i="19"/>
  <c r="N58" i="19"/>
  <c r="M58" i="19"/>
  <c r="L58" i="19"/>
  <c r="K58" i="19"/>
  <c r="I58" i="19"/>
  <c r="H58" i="19"/>
  <c r="G58" i="19"/>
  <c r="F58" i="19"/>
  <c r="B58" i="19"/>
  <c r="B57" i="19"/>
  <c r="AT56" i="19"/>
  <c r="AQ56" i="19"/>
  <c r="AP56" i="19"/>
  <c r="AO56" i="19"/>
  <c r="AL56" i="19"/>
  <c r="AK56" i="19"/>
  <c r="AJ56" i="19"/>
  <c r="AG56" i="19"/>
  <c r="AF56" i="19"/>
  <c r="AE56" i="19"/>
  <c r="AB56" i="19"/>
  <c r="AA56" i="19"/>
  <c r="Z56" i="19"/>
  <c r="W56" i="19"/>
  <c r="V56" i="19"/>
  <c r="U56" i="19"/>
  <c r="R56" i="19"/>
  <c r="Q56" i="19"/>
  <c r="P56" i="19"/>
  <c r="M56" i="19"/>
  <c r="B56" i="19"/>
  <c r="B55" i="19"/>
  <c r="AT54" i="19"/>
  <c r="AQ54" i="19"/>
  <c r="AP54" i="19"/>
  <c r="AO54" i="19"/>
  <c r="AL54" i="19"/>
  <c r="AK54" i="19"/>
  <c r="AJ54" i="19"/>
  <c r="AG54" i="19"/>
  <c r="AF54" i="19"/>
  <c r="AE54" i="19"/>
  <c r="AB54" i="19"/>
  <c r="AA54" i="19"/>
  <c r="Z54" i="19"/>
  <c r="W54" i="19"/>
  <c r="V54" i="19"/>
  <c r="U54" i="19"/>
  <c r="R54" i="19"/>
  <c r="Q54" i="19"/>
  <c r="P54" i="19"/>
  <c r="M54" i="19"/>
  <c r="L54" i="19"/>
  <c r="K54" i="19"/>
  <c r="H54" i="19"/>
  <c r="G54" i="19"/>
  <c r="F54" i="19"/>
  <c r="B54" i="19"/>
  <c r="B53" i="19"/>
  <c r="B52" i="19"/>
  <c r="B51" i="19"/>
  <c r="B50" i="19"/>
  <c r="B49" i="19"/>
  <c r="AY48" i="19"/>
  <c r="AW48" i="19"/>
  <c r="AV48" i="19"/>
  <c r="AU48" i="19"/>
  <c r="B48" i="19"/>
  <c r="B47" i="19"/>
  <c r="AT46" i="19"/>
  <c r="AQ46" i="19"/>
  <c r="AP46" i="19"/>
  <c r="AO46" i="19"/>
  <c r="AL46" i="19"/>
  <c r="AK46" i="19"/>
  <c r="AJ46" i="19"/>
  <c r="AG46" i="19"/>
  <c r="AF46" i="19"/>
  <c r="AE46" i="19"/>
  <c r="AB46" i="19"/>
  <c r="AA46" i="19"/>
  <c r="Z46" i="19"/>
  <c r="W46" i="19"/>
  <c r="V46" i="19"/>
  <c r="U46" i="19"/>
  <c r="R46" i="19"/>
  <c r="Q46" i="19"/>
  <c r="P46" i="19"/>
  <c r="M46" i="19"/>
  <c r="L46" i="19"/>
  <c r="K46" i="19"/>
  <c r="H46" i="19"/>
  <c r="G46" i="19"/>
  <c r="F46" i="19"/>
  <c r="B46" i="19"/>
  <c r="B45" i="19"/>
  <c r="B44" i="19"/>
  <c r="AT43" i="19"/>
  <c r="AO43" i="19"/>
  <c r="AL43" i="19"/>
  <c r="AK43" i="19"/>
  <c r="AJ43" i="19"/>
  <c r="AG43" i="19"/>
  <c r="AF43" i="19"/>
  <c r="AE43" i="19"/>
  <c r="AB43" i="19"/>
  <c r="AA43" i="19"/>
  <c r="Z43" i="19"/>
  <c r="W43" i="19"/>
  <c r="V43" i="19"/>
  <c r="U43" i="19"/>
  <c r="R43" i="19"/>
  <c r="Q43" i="19"/>
  <c r="P43" i="19"/>
  <c r="M43" i="19"/>
  <c r="L43" i="19"/>
  <c r="K43" i="19"/>
  <c r="H43" i="19"/>
  <c r="G43" i="19"/>
  <c r="F43" i="19"/>
  <c r="B43" i="19"/>
  <c r="AT42" i="19"/>
  <c r="AO42" i="19"/>
  <c r="AJ42" i="19"/>
  <c r="AE42" i="19"/>
  <c r="Z42" i="19"/>
  <c r="U42" i="19"/>
  <c r="S42" i="19"/>
  <c r="P42" i="19"/>
  <c r="K42" i="19"/>
  <c r="F42" i="19"/>
  <c r="B42" i="19"/>
  <c r="B41" i="19"/>
  <c r="B40" i="19"/>
  <c r="B39" i="19"/>
  <c r="B38" i="19"/>
  <c r="AT37" i="19"/>
  <c r="AO37" i="19"/>
  <c r="AL37" i="19"/>
  <c r="AK37" i="19"/>
  <c r="AJ37" i="19"/>
  <c r="AG37" i="19"/>
  <c r="AF37" i="19"/>
  <c r="AE37" i="19"/>
  <c r="AB37" i="19"/>
  <c r="AA37" i="19"/>
  <c r="Z37" i="19"/>
  <c r="W37" i="19"/>
  <c r="V37" i="19"/>
  <c r="U37" i="19"/>
  <c r="R37" i="19"/>
  <c r="Q37" i="19"/>
  <c r="P37" i="19"/>
  <c r="M37" i="19"/>
  <c r="L37" i="19"/>
  <c r="K37" i="19"/>
  <c r="H37" i="19"/>
  <c r="G37" i="19"/>
  <c r="F37" i="19"/>
  <c r="B37" i="19"/>
  <c r="B36" i="19"/>
  <c r="AT35" i="19"/>
  <c r="AO35" i="19"/>
  <c r="AL35" i="19"/>
  <c r="AK35" i="19"/>
  <c r="AJ35" i="19"/>
  <c r="AG35" i="19"/>
  <c r="AF35" i="19"/>
  <c r="AE35" i="19"/>
  <c r="AB35" i="19"/>
  <c r="AA35" i="19"/>
  <c r="Z35" i="19"/>
  <c r="W35" i="19"/>
  <c r="V35" i="19"/>
  <c r="U35" i="19"/>
  <c r="R35" i="19"/>
  <c r="Q35" i="19"/>
  <c r="P35" i="19"/>
  <c r="M35" i="19"/>
  <c r="L35" i="19"/>
  <c r="K35" i="19"/>
  <c r="H35" i="19"/>
  <c r="G35" i="19"/>
  <c r="F35" i="19"/>
  <c r="B35" i="19"/>
  <c r="B34" i="19"/>
  <c r="B33" i="19"/>
  <c r="B30" i="19"/>
  <c r="B29" i="19"/>
  <c r="AT28" i="19"/>
  <c r="AR28" i="19"/>
  <c r="AQ28" i="19"/>
  <c r="AP28" i="19"/>
  <c r="AO28" i="19"/>
  <c r="AM28" i="19"/>
  <c r="AL28" i="19"/>
  <c r="AK28" i="19"/>
  <c r="AJ28" i="19"/>
  <c r="AH28" i="19"/>
  <c r="AG28" i="19"/>
  <c r="AF28" i="19"/>
  <c r="AE28" i="19"/>
  <c r="AC28" i="19"/>
  <c r="AB28" i="19"/>
  <c r="AA28" i="19"/>
  <c r="Z28" i="19"/>
  <c r="X28" i="19"/>
  <c r="W28" i="19"/>
  <c r="V28" i="19"/>
  <c r="U28" i="19"/>
  <c r="S28" i="19"/>
  <c r="R28" i="19"/>
  <c r="Q28" i="19"/>
  <c r="P28" i="19"/>
  <c r="N28" i="19"/>
  <c r="M28" i="19"/>
  <c r="L28" i="19"/>
  <c r="K28" i="19"/>
  <c r="I28" i="19"/>
  <c r="H28" i="19"/>
  <c r="G28" i="19"/>
  <c r="F28" i="19"/>
  <c r="B28" i="19"/>
  <c r="B27" i="19"/>
  <c r="B26" i="19"/>
  <c r="AT25" i="19"/>
  <c r="AR25" i="19"/>
  <c r="AQ25" i="19"/>
  <c r="AP25" i="19"/>
  <c r="AO25" i="19"/>
  <c r="AM25" i="19"/>
  <c r="AL25" i="19"/>
  <c r="AK25" i="19"/>
  <c r="AJ25" i="19"/>
  <c r="AH25" i="19"/>
  <c r="AG25" i="19"/>
  <c r="AF25" i="19"/>
  <c r="AE25" i="19"/>
  <c r="AC25" i="19"/>
  <c r="AB25" i="19"/>
  <c r="AA25" i="19"/>
  <c r="Z25" i="19"/>
  <c r="X25" i="19"/>
  <c r="W25" i="19"/>
  <c r="V25" i="19"/>
  <c r="U25" i="19"/>
  <c r="S25" i="19"/>
  <c r="R25" i="19"/>
  <c r="Q25" i="19"/>
  <c r="P25" i="19"/>
  <c r="N25" i="19"/>
  <c r="M25" i="19"/>
  <c r="L25" i="19"/>
  <c r="K25" i="19"/>
  <c r="I25" i="19"/>
  <c r="H25" i="19"/>
  <c r="G25" i="19"/>
  <c r="F25" i="19"/>
  <c r="B25" i="19"/>
  <c r="B24" i="19"/>
  <c r="AU22" i="19"/>
  <c r="B22" i="19"/>
  <c r="AY21" i="19"/>
  <c r="B21" i="19"/>
  <c r="AU20" i="19"/>
  <c r="AT20" i="19"/>
  <c r="AR20" i="19"/>
  <c r="AQ20" i="19"/>
  <c r="AP20" i="19"/>
  <c r="AO20" i="19"/>
  <c r="AM20" i="19"/>
  <c r="AL20" i="19"/>
  <c r="AK20" i="19"/>
  <c r="AJ20" i="19"/>
  <c r="AH20" i="19"/>
  <c r="AG20" i="19"/>
  <c r="AF20" i="19"/>
  <c r="AE20" i="19"/>
  <c r="AC20" i="19"/>
  <c r="AB20" i="19"/>
  <c r="AA20" i="19"/>
  <c r="Z20" i="19"/>
  <c r="X20" i="19"/>
  <c r="W20" i="19"/>
  <c r="V20" i="19"/>
  <c r="U20" i="19"/>
  <c r="S20" i="19"/>
  <c r="R20" i="19"/>
  <c r="Q20" i="19"/>
  <c r="P20" i="19"/>
  <c r="N20" i="19"/>
  <c r="M20" i="19"/>
  <c r="L20" i="19"/>
  <c r="K20" i="19"/>
  <c r="I20" i="19"/>
  <c r="H20" i="19"/>
  <c r="G20" i="19"/>
  <c r="F20" i="19"/>
  <c r="B20" i="19"/>
  <c r="BB19" i="19"/>
  <c r="BA19" i="19"/>
  <c r="AZ19" i="19"/>
  <c r="AW19" i="19"/>
  <c r="AV19" i="19"/>
  <c r="AU19" i="19"/>
  <c r="B19" i="19"/>
  <c r="AU18" i="19"/>
  <c r="B18" i="19"/>
  <c r="AY17" i="19"/>
  <c r="AW17" i="19"/>
  <c r="AV17" i="19"/>
  <c r="AU17" i="19"/>
  <c r="B17" i="19"/>
  <c r="AU16" i="19"/>
  <c r="AT16" i="19"/>
  <c r="AR16" i="19"/>
  <c r="AQ16" i="19"/>
  <c r="AP16" i="19"/>
  <c r="AO16" i="19"/>
  <c r="AM16" i="19"/>
  <c r="AL16" i="19"/>
  <c r="AK16" i="19"/>
  <c r="AJ16" i="19"/>
  <c r="AH16" i="19"/>
  <c r="AG16" i="19"/>
  <c r="AF16" i="19"/>
  <c r="AE16" i="19"/>
  <c r="AC16" i="19"/>
  <c r="AB16" i="19"/>
  <c r="AA16" i="19"/>
  <c r="Z16" i="19"/>
  <c r="W16" i="19"/>
  <c r="V16" i="19"/>
  <c r="U16" i="19"/>
  <c r="S16" i="19"/>
  <c r="R16" i="19"/>
  <c r="Q16" i="19"/>
  <c r="P16" i="19"/>
  <c r="N16" i="19"/>
  <c r="M16" i="19"/>
  <c r="L16" i="19"/>
  <c r="K16" i="19"/>
  <c r="G16" i="19"/>
  <c r="F16" i="19"/>
  <c r="B16" i="19"/>
  <c r="AU15" i="19"/>
  <c r="B15" i="19"/>
  <c r="B14" i="19"/>
  <c r="AT13" i="19"/>
  <c r="AR13" i="19"/>
  <c r="AQ13" i="19"/>
  <c r="AP13" i="19"/>
  <c r="AO13" i="19"/>
  <c r="AM13" i="19"/>
  <c r="AL13" i="19"/>
  <c r="AK13" i="19"/>
  <c r="AJ13" i="19"/>
  <c r="AH13" i="19"/>
  <c r="AG13" i="19"/>
  <c r="AF13" i="19"/>
  <c r="AE13" i="19"/>
  <c r="AC13" i="19"/>
  <c r="AB13" i="19"/>
  <c r="AA13" i="19"/>
  <c r="Z13" i="19"/>
  <c r="X13" i="19"/>
  <c r="W13" i="19"/>
  <c r="V13" i="19"/>
  <c r="U13" i="19"/>
  <c r="S13" i="19"/>
  <c r="R13" i="19"/>
  <c r="Q13" i="19"/>
  <c r="P13" i="19"/>
  <c r="N13" i="19"/>
  <c r="M13" i="19"/>
  <c r="L13" i="19"/>
  <c r="K13" i="19"/>
  <c r="I13" i="19"/>
  <c r="H13" i="19"/>
  <c r="G13" i="19"/>
  <c r="F13" i="19"/>
  <c r="B13" i="19"/>
  <c r="AU12" i="19"/>
  <c r="B12" i="19"/>
  <c r="AU11" i="19"/>
  <c r="AT11" i="19"/>
  <c r="AR11" i="19"/>
  <c r="AQ11" i="19"/>
  <c r="AP11" i="19"/>
  <c r="AO11" i="19"/>
  <c r="AM11" i="19"/>
  <c r="AL11" i="19"/>
  <c r="AK11" i="19"/>
  <c r="AJ11" i="19"/>
  <c r="AH11" i="19"/>
  <c r="AG11" i="19"/>
  <c r="AF11" i="19"/>
  <c r="AE11" i="19"/>
  <c r="AC11" i="19"/>
  <c r="AB11" i="19"/>
  <c r="AA11" i="19"/>
  <c r="Z11" i="19"/>
  <c r="X11" i="19"/>
  <c r="W11" i="19"/>
  <c r="V11" i="19"/>
  <c r="U11" i="19"/>
  <c r="S11" i="19"/>
  <c r="R11" i="19"/>
  <c r="Q11" i="19"/>
  <c r="P11" i="19"/>
  <c r="N11" i="19"/>
  <c r="M11" i="19"/>
  <c r="I11" i="19"/>
  <c r="H11" i="19"/>
  <c r="G11" i="19"/>
  <c r="F11" i="19"/>
  <c r="B11" i="19"/>
  <c r="AU10" i="19"/>
  <c r="AT10" i="19"/>
  <c r="AR10" i="19"/>
  <c r="AQ10" i="19"/>
  <c r="AP10" i="19"/>
  <c r="AO10" i="19"/>
  <c r="AM10" i="19"/>
  <c r="AL10" i="19"/>
  <c r="AK10" i="19"/>
  <c r="AJ10" i="19"/>
  <c r="AH10" i="19"/>
  <c r="AG10" i="19"/>
  <c r="AF10" i="19"/>
  <c r="AE10" i="19"/>
  <c r="AC10" i="19"/>
  <c r="AB10" i="19"/>
  <c r="AA10" i="19"/>
  <c r="Z10" i="19"/>
  <c r="X10" i="19"/>
  <c r="W10" i="19"/>
  <c r="V10" i="19"/>
  <c r="U10" i="19"/>
  <c r="S10" i="19"/>
  <c r="R10" i="19"/>
  <c r="Q10" i="19"/>
  <c r="P10" i="19"/>
  <c r="N10" i="19"/>
  <c r="M10" i="19"/>
  <c r="L10" i="19"/>
  <c r="K10" i="19"/>
  <c r="I10" i="19"/>
  <c r="H10" i="19"/>
  <c r="G10" i="19"/>
  <c r="F10" i="19"/>
  <c r="B10" i="19"/>
  <c r="B9" i="19"/>
  <c r="AT8" i="19"/>
  <c r="AR8" i="19"/>
  <c r="AQ8" i="19"/>
  <c r="AP8" i="19"/>
  <c r="AO8" i="19"/>
  <c r="AM8" i="19"/>
  <c r="AL8" i="19"/>
  <c r="AK8" i="19"/>
  <c r="AJ8" i="19"/>
  <c r="AH8" i="19"/>
  <c r="AG8" i="19"/>
  <c r="AF8" i="19"/>
  <c r="AE8" i="19"/>
  <c r="AC8" i="19"/>
  <c r="AB8" i="19"/>
  <c r="AA8" i="19"/>
  <c r="Z8" i="19"/>
  <c r="X8" i="19"/>
  <c r="W8" i="19"/>
  <c r="V8" i="19"/>
  <c r="U8" i="19"/>
  <c r="S8" i="19"/>
  <c r="R8" i="19"/>
  <c r="Q8" i="19"/>
  <c r="P8" i="19"/>
  <c r="N8" i="19"/>
  <c r="M8" i="19"/>
  <c r="L8" i="19"/>
  <c r="K8" i="19"/>
  <c r="I8" i="19"/>
  <c r="H8" i="19"/>
  <c r="G8" i="19"/>
  <c r="F8" i="19"/>
  <c r="B8" i="19"/>
  <c r="BB7" i="19"/>
  <c r="BA7" i="19"/>
  <c r="AZ7" i="19"/>
  <c r="AY7" i="19"/>
  <c r="AU7" i="19"/>
  <c r="B7" i="19"/>
  <c r="AU6" i="19"/>
  <c r="AT6" i="19"/>
  <c r="AR6" i="19"/>
  <c r="AQ6" i="19"/>
  <c r="AP6" i="19"/>
  <c r="AO6" i="19"/>
  <c r="AM6" i="19"/>
  <c r="AL6" i="19"/>
  <c r="AK6" i="19"/>
  <c r="AJ6" i="19"/>
  <c r="AH6" i="19"/>
  <c r="AG6" i="19"/>
  <c r="AF6" i="19"/>
  <c r="AE6" i="19"/>
  <c r="AC6" i="19"/>
  <c r="AB6" i="19"/>
  <c r="AA6" i="19"/>
  <c r="Z6" i="19"/>
  <c r="X6" i="19"/>
  <c r="W6" i="19"/>
  <c r="V6" i="19"/>
  <c r="U6" i="19"/>
  <c r="S6" i="19"/>
  <c r="R6" i="19"/>
  <c r="Q6" i="19"/>
  <c r="P6" i="19"/>
  <c r="N6" i="19"/>
  <c r="M6" i="19"/>
  <c r="L6" i="19"/>
  <c r="K6" i="19"/>
  <c r="I6" i="19"/>
  <c r="H6" i="19"/>
  <c r="G6" i="19"/>
  <c r="F6" i="19"/>
  <c r="B6" i="19"/>
  <c r="AU5" i="19"/>
  <c r="AT5" i="19"/>
  <c r="AR5" i="19"/>
  <c r="AQ5" i="19"/>
  <c r="AP5" i="19"/>
  <c r="AO5" i="19"/>
  <c r="AM5" i="19"/>
  <c r="AL5" i="19"/>
  <c r="AK5" i="19"/>
  <c r="AJ5" i="19"/>
  <c r="AH5" i="19"/>
  <c r="AG5" i="19"/>
  <c r="AF5" i="19"/>
  <c r="AE5" i="19"/>
  <c r="AC5" i="19"/>
  <c r="AB5" i="19"/>
  <c r="AA5" i="19"/>
  <c r="Z5" i="19"/>
  <c r="X5" i="19"/>
  <c r="W5" i="19"/>
  <c r="V5" i="19"/>
  <c r="U5" i="19"/>
  <c r="S5" i="19"/>
  <c r="R5" i="19"/>
  <c r="Q5" i="19"/>
  <c r="P5" i="19"/>
  <c r="N5" i="19"/>
  <c r="M5" i="19"/>
  <c r="L5" i="19"/>
  <c r="K5" i="19"/>
  <c r="I5" i="19"/>
  <c r="H5" i="19"/>
  <c r="G5" i="19"/>
  <c r="F5" i="19"/>
  <c r="B5" i="19"/>
  <c r="B4" i="19"/>
  <c r="EF28" i="11"/>
  <c r="EA28" i="11"/>
  <c r="DV28" i="11"/>
  <c r="DQ28" i="11"/>
  <c r="DL28" i="11"/>
  <c r="DG28" i="11"/>
  <c r="DB28" i="11"/>
  <c r="CW28" i="11"/>
  <c r="CR28" i="11"/>
  <c r="CM28" i="11"/>
  <c r="CH28" i="11"/>
  <c r="CC28" i="11"/>
  <c r="BX28" i="11"/>
  <c r="BS28" i="11"/>
  <c r="BN28" i="11"/>
  <c r="BI28" i="11"/>
  <c r="BD28" i="11"/>
  <c r="AY28" i="11"/>
  <c r="AT28" i="11"/>
  <c r="AO28" i="11"/>
  <c r="AJ28" i="11"/>
  <c r="B22" i="11"/>
  <c r="EU13" i="11"/>
  <c r="ET13" i="11"/>
  <c r="ES13" i="11"/>
  <c r="ER13" i="11"/>
  <c r="EQ13" i="11"/>
  <c r="EP13" i="11"/>
  <c r="EO13" i="11"/>
  <c r="EN13" i="11"/>
  <c r="EM13" i="11"/>
  <c r="EL13" i="11"/>
  <c r="EK13" i="11"/>
  <c r="EJ13" i="11"/>
  <c r="EI13" i="11" s="1"/>
  <c r="AC6" i="11"/>
  <c r="AD5" i="11"/>
  <c r="AD6" i="11" s="1"/>
  <c r="AB5" i="11"/>
  <c r="AA5" i="11" s="1"/>
  <c r="AA6" i="11" s="1"/>
  <c r="O36" i="16"/>
  <c r="F34" i="16"/>
  <c r="C34" i="16"/>
  <c r="C23" i="16"/>
  <c r="C22" i="16"/>
  <c r="J7" i="16"/>
  <c r="E2" i="16"/>
  <c r="D2" i="16"/>
  <c r="CC22" i="14"/>
  <c r="BX22" i="14"/>
  <c r="AY22" i="14"/>
  <c r="AT22" i="14"/>
  <c r="AO22" i="14"/>
  <c r="AJ22" i="14"/>
  <c r="AE22" i="14"/>
  <c r="Z22" i="14"/>
  <c r="U22" i="14"/>
  <c r="P22" i="14"/>
  <c r="K22" i="14"/>
  <c r="F22" i="14"/>
  <c r="S15" i="14"/>
  <c r="R15" i="14"/>
  <c r="Q15" i="14"/>
  <c r="O15" i="14"/>
  <c r="N15" i="14"/>
  <c r="M15" i="14"/>
  <c r="L15" i="14"/>
  <c r="J15" i="14"/>
  <c r="I15" i="14"/>
  <c r="H15" i="14"/>
  <c r="G15" i="14"/>
  <c r="E15" i="14"/>
  <c r="D15" i="14"/>
  <c r="C15" i="14"/>
  <c r="B15" i="14"/>
  <c r="T14" i="14"/>
  <c r="S14" i="14"/>
  <c r="R14" i="14"/>
  <c r="O14" i="14"/>
  <c r="N14" i="14"/>
  <c r="M14" i="14"/>
  <c r="J14" i="14"/>
  <c r="I14" i="14"/>
  <c r="H14" i="14"/>
  <c r="F14" i="14"/>
  <c r="E14" i="14"/>
  <c r="D14" i="14"/>
  <c r="C14" i="14"/>
  <c r="B14" i="14"/>
  <c r="O10" i="14"/>
  <c r="AN335" i="20" s="1"/>
  <c r="N10" i="14"/>
  <c r="AM335" i="20" s="1"/>
  <c r="M10" i="14"/>
  <c r="J10" i="14"/>
  <c r="I10" i="14"/>
  <c r="E10" i="14"/>
  <c r="AD335" i="20" s="1"/>
  <c r="D10" i="14"/>
  <c r="AC335" i="20" s="1"/>
  <c r="C10" i="14"/>
  <c r="AB335" i="20" s="1"/>
  <c r="B10" i="14"/>
  <c r="AA335" i="20" s="1"/>
  <c r="AM5" i="14"/>
  <c r="AX81" i="9"/>
  <c r="AX80" i="9"/>
  <c r="AX79" i="9"/>
  <c r="AX78" i="9"/>
  <c r="AX77" i="9"/>
  <c r="AX76" i="9"/>
  <c r="AX75" i="9"/>
  <c r="AX74" i="9"/>
  <c r="BE60" i="9"/>
  <c r="BI60" i="9" s="1"/>
  <c r="BC60" i="9"/>
  <c r="BB60" i="9"/>
  <c r="BA60" i="9"/>
  <c r="AZ60" i="9"/>
  <c r="AX60" i="9"/>
  <c r="AW60" i="9"/>
  <c r="AV60" i="9"/>
  <c r="AU60" i="9"/>
  <c r="AS60" i="9"/>
  <c r="AR60" i="9"/>
  <c r="AQ60" i="9"/>
  <c r="AP60" i="9"/>
  <c r="BI59" i="9"/>
  <c r="BD59" i="9"/>
  <c r="AY59" i="9"/>
  <c r="AT59" i="9"/>
  <c r="BE57" i="9"/>
  <c r="BI57" i="9" s="1"/>
  <c r="BC57" i="9"/>
  <c r="BB57" i="9"/>
  <c r="BA57" i="9"/>
  <c r="AZ57" i="9"/>
  <c r="AX57" i="9"/>
  <c r="AW57" i="9"/>
  <c r="AV57" i="9"/>
  <c r="AU57" i="9"/>
  <c r="AS57" i="9"/>
  <c r="AR57" i="9"/>
  <c r="AQ57" i="9"/>
  <c r="AP57" i="9"/>
  <c r="BI56" i="9"/>
  <c r="BD56" i="9"/>
  <c r="AY56" i="9"/>
  <c r="AT56" i="9"/>
  <c r="DZ591" i="20"/>
  <c r="DX591" i="20"/>
  <c r="CW53" i="9"/>
  <c r="DV591" i="20" s="1"/>
  <c r="CR53" i="9"/>
  <c r="DQ591" i="20" s="1"/>
  <c r="CM53" i="9"/>
  <c r="DL591" i="20" s="1"/>
  <c r="CH53" i="9"/>
  <c r="BY53" i="9"/>
  <c r="BX53" i="9"/>
  <c r="BS53" i="9"/>
  <c r="BM53" i="9"/>
  <c r="BI53" i="9"/>
  <c r="CH591" i="20" s="1"/>
  <c r="BD53" i="9"/>
  <c r="AV53" i="9"/>
  <c r="AT53" i="9"/>
  <c r="AO53" i="9"/>
  <c r="AJ53" i="9"/>
  <c r="AE53" i="9"/>
  <c r="DK52" i="9"/>
  <c r="DJ52" i="9"/>
  <c r="DZ590" i="20"/>
  <c r="CW52" i="9"/>
  <c r="DV590" i="20" s="1"/>
  <c r="CR52" i="9"/>
  <c r="DQ590" i="20" s="1"/>
  <c r="CM52" i="9"/>
  <c r="DL590" i="20" s="1"/>
  <c r="CH52" i="9"/>
  <c r="CC52" i="9"/>
  <c r="BX52" i="9"/>
  <c r="CW590" i="15" s="1"/>
  <c r="BS52" i="9"/>
  <c r="BN52" i="9"/>
  <c r="BI52" i="9"/>
  <c r="CH590" i="20" s="1"/>
  <c r="BD52" i="9"/>
  <c r="AV52" i="9"/>
  <c r="AS52" i="9"/>
  <c r="AT52" i="9" s="1"/>
  <c r="AN52" i="9"/>
  <c r="AO52" i="9" s="1"/>
  <c r="AH52" i="9"/>
  <c r="AJ52" i="9" s="1"/>
  <c r="AS49" i="9"/>
  <c r="AR49" i="9"/>
  <c r="AQ49" i="9"/>
  <c r="CX48" i="9"/>
  <c r="CV48" i="9"/>
  <c r="CW48" i="9" s="1"/>
  <c r="CU48" i="9"/>
  <c r="CT48" i="9"/>
  <c r="CS48" i="9"/>
  <c r="CQ48" i="9"/>
  <c r="CR48" i="9" s="1"/>
  <c r="CP48" i="9"/>
  <c r="CO48" i="9"/>
  <c r="CN48" i="9"/>
  <c r="CL48" i="9"/>
  <c r="CM48" i="9" s="1"/>
  <c r="CK48" i="9"/>
  <c r="CJ48" i="9"/>
  <c r="CI48" i="9"/>
  <c r="CG48" i="9"/>
  <c r="CH48" i="9" s="1"/>
  <c r="CF48" i="9"/>
  <c r="CE48" i="9"/>
  <c r="CD48" i="9"/>
  <c r="CB48" i="9"/>
  <c r="CC48" i="9" s="1"/>
  <c r="CA48" i="9"/>
  <c r="BZ48" i="9"/>
  <c r="BY48" i="9"/>
  <c r="BW48" i="9"/>
  <c r="BX48" i="9" s="1"/>
  <c r="BV48" i="9"/>
  <c r="BU48" i="9"/>
  <c r="BT48" i="9"/>
  <c r="BR48" i="9"/>
  <c r="BQ48" i="9"/>
  <c r="BP48" i="9"/>
  <c r="BO48" i="9"/>
  <c r="BM48" i="9"/>
  <c r="BN48" i="9" s="1"/>
  <c r="BL48" i="9"/>
  <c r="BK48" i="9"/>
  <c r="BJ48" i="9"/>
  <c r="BH48" i="9"/>
  <c r="BI48" i="9" s="1"/>
  <c r="BG48" i="9"/>
  <c r="BF48" i="9"/>
  <c r="BE48" i="9"/>
  <c r="BC48" i="9"/>
  <c r="BD48" i="9" s="1"/>
  <c r="BB48" i="9"/>
  <c r="BA48" i="9"/>
  <c r="AZ48" i="9"/>
  <c r="AX48" i="9"/>
  <c r="AY48" i="9" s="1"/>
  <c r="AW48" i="9"/>
  <c r="AV48" i="9"/>
  <c r="AU48" i="9"/>
  <c r="AS48" i="9"/>
  <c r="AT48" i="9" s="1"/>
  <c r="AR48" i="9"/>
  <c r="AQ48" i="9"/>
  <c r="AP48" i="9"/>
  <c r="AN48" i="9"/>
  <c r="AO48" i="9" s="1"/>
  <c r="AM48" i="9"/>
  <c r="AL48" i="9"/>
  <c r="AK48" i="9"/>
  <c r="AI48" i="9"/>
  <c r="AJ48" i="9" s="1"/>
  <c r="AF48" i="9"/>
  <c r="AD48" i="9"/>
  <c r="AE48" i="9" s="1"/>
  <c r="AC48" i="9"/>
  <c r="AB48" i="9"/>
  <c r="Y48" i="9"/>
  <c r="Z48" i="9" s="1"/>
  <c r="X48" i="9"/>
  <c r="W48" i="9"/>
  <c r="V48" i="9"/>
  <c r="S48" i="9"/>
  <c r="R48" i="9"/>
  <c r="Q48" i="9"/>
  <c r="O48" i="9"/>
  <c r="P48" i="9" s="1"/>
  <c r="N48" i="9"/>
  <c r="M48" i="9"/>
  <c r="L48" i="9"/>
  <c r="J48" i="9"/>
  <c r="K48" i="9" s="1"/>
  <c r="I48" i="9"/>
  <c r="H48" i="9"/>
  <c r="G48" i="9"/>
  <c r="E48" i="9"/>
  <c r="F48" i="9" s="1"/>
  <c r="D48" i="9"/>
  <c r="C48" i="9"/>
  <c r="B48" i="9"/>
  <c r="CU47" i="9"/>
  <c r="CT47" i="9"/>
  <c r="CS47" i="9"/>
  <c r="CQ47" i="9"/>
  <c r="CP47" i="9"/>
  <c r="CO47" i="9"/>
  <c r="CN47" i="9"/>
  <c r="CL47" i="9"/>
  <c r="CK47" i="9"/>
  <c r="CJ47" i="9"/>
  <c r="CI47" i="9"/>
  <c r="CG47" i="9"/>
  <c r="CF47" i="9"/>
  <c r="CE47" i="9"/>
  <c r="CD47" i="9"/>
  <c r="CB47" i="9"/>
  <c r="CA47" i="9"/>
  <c r="BZ47" i="9"/>
  <c r="BY47" i="9"/>
  <c r="BW47" i="9"/>
  <c r="BV47" i="9"/>
  <c r="BU47" i="9"/>
  <c r="BT47" i="9"/>
  <c r="BR47" i="9"/>
  <c r="BQ47" i="9"/>
  <c r="BP47" i="9"/>
  <c r="BO47" i="9"/>
  <c r="BM47" i="9"/>
  <c r="BL47" i="9"/>
  <c r="BK47" i="9"/>
  <c r="BJ47" i="9"/>
  <c r="AK47" i="9"/>
  <c r="AI47" i="9"/>
  <c r="AF47" i="9"/>
  <c r="AD47" i="9"/>
  <c r="AC47" i="9"/>
  <c r="AB47" i="9"/>
  <c r="Y47" i="9"/>
  <c r="X47" i="9"/>
  <c r="W47" i="9"/>
  <c r="V47" i="9"/>
  <c r="S47" i="9"/>
  <c r="R47" i="9"/>
  <c r="Q47" i="9"/>
  <c r="O47" i="9"/>
  <c r="N47" i="9"/>
  <c r="CW46" i="9"/>
  <c r="CR46" i="9"/>
  <c r="CM46" i="9"/>
  <c r="CH46" i="9"/>
  <c r="CC46" i="9"/>
  <c r="BX46" i="9"/>
  <c r="BS46" i="9"/>
  <c r="BN46" i="9"/>
  <c r="BI46" i="9"/>
  <c r="BD46" i="9"/>
  <c r="AY46" i="9"/>
  <c r="AT46" i="9"/>
  <c r="AO46" i="9"/>
  <c r="AP49" i="9" s="1"/>
  <c r="AJ46" i="9"/>
  <c r="AH46" i="9"/>
  <c r="AG46" i="9"/>
  <c r="AE46" i="9"/>
  <c r="AA46" i="9"/>
  <c r="Z46" i="9"/>
  <c r="T46" i="9"/>
  <c r="T47" i="9" s="1"/>
  <c r="P46" i="9"/>
  <c r="K46" i="9"/>
  <c r="F46" i="9"/>
  <c r="BF44" i="9"/>
  <c r="BC44" i="9"/>
  <c r="BB44" i="9"/>
  <c r="BA44" i="9"/>
  <c r="AY44" i="9"/>
  <c r="CX42" i="9"/>
  <c r="CS42" i="9"/>
  <c r="CP42" i="9"/>
  <c r="CO42" i="9"/>
  <c r="CN42" i="9"/>
  <c r="CK42" i="9"/>
  <c r="CJ42" i="9"/>
  <c r="CI42" i="9"/>
  <c r="CF42" i="9"/>
  <c r="CE42" i="9"/>
  <c r="CD42" i="9"/>
  <c r="CA42" i="9"/>
  <c r="BZ42" i="9"/>
  <c r="BY42" i="9"/>
  <c r="BV42" i="9"/>
  <c r="BU42" i="9"/>
  <c r="BT42" i="9"/>
  <c r="BQ42" i="9"/>
  <c r="BP42" i="9"/>
  <c r="BO42" i="9"/>
  <c r="BL42" i="9"/>
  <c r="BK42" i="9"/>
  <c r="BJ42" i="9"/>
  <c r="BG42" i="9"/>
  <c r="BF42" i="9"/>
  <c r="BE42" i="9"/>
  <c r="BB42" i="9"/>
  <c r="BA42" i="9"/>
  <c r="AZ42" i="9"/>
  <c r="AW42" i="9"/>
  <c r="AV42" i="9"/>
  <c r="AR42" i="9"/>
  <c r="AQ42" i="9"/>
  <c r="AK42" i="9"/>
  <c r="AI42" i="9"/>
  <c r="AH42" i="9"/>
  <c r="AG42" i="9"/>
  <c r="AF42" i="9"/>
  <c r="AD42" i="9"/>
  <c r="AC42" i="9"/>
  <c r="AB42" i="9"/>
  <c r="AA42" i="9"/>
  <c r="X42" i="9"/>
  <c r="W42" i="9"/>
  <c r="V42" i="9"/>
  <c r="S42" i="9"/>
  <c r="Q42" i="9"/>
  <c r="M42" i="9"/>
  <c r="L42" i="9"/>
  <c r="J42" i="9"/>
  <c r="I42" i="9"/>
  <c r="H42" i="9"/>
  <c r="G42" i="9"/>
  <c r="E42" i="9"/>
  <c r="D42" i="9"/>
  <c r="AJ40" i="9"/>
  <c r="AE40" i="9"/>
  <c r="Z40" i="9"/>
  <c r="AO38" i="9"/>
  <c r="AJ38" i="9"/>
  <c r="AE38" i="9"/>
  <c r="Z38" i="9"/>
  <c r="S36" i="9"/>
  <c r="Q36" i="9"/>
  <c r="L36" i="9"/>
  <c r="J36" i="9"/>
  <c r="I36" i="9"/>
  <c r="H36" i="9"/>
  <c r="G36" i="9"/>
  <c r="E36" i="9"/>
  <c r="D36" i="9"/>
  <c r="CV35" i="9"/>
  <c r="CU35" i="9"/>
  <c r="CT35" i="9"/>
  <c r="CQ35" i="9"/>
  <c r="CP35" i="9"/>
  <c r="CO35" i="9"/>
  <c r="CL35" i="9"/>
  <c r="CK35" i="9"/>
  <c r="CJ35" i="9"/>
  <c r="CG35" i="9"/>
  <c r="CF35" i="9"/>
  <c r="CE35" i="9"/>
  <c r="CB35" i="9"/>
  <c r="CA35" i="9"/>
  <c r="BZ35" i="9"/>
  <c r="BW35" i="9"/>
  <c r="BV35" i="9"/>
  <c r="BU35" i="9"/>
  <c r="BR35" i="9"/>
  <c r="BQ35" i="9"/>
  <c r="BP35" i="9"/>
  <c r="BM35" i="9"/>
  <c r="BL35" i="9"/>
  <c r="BK35" i="9"/>
  <c r="BH35" i="9"/>
  <c r="BG35" i="9"/>
  <c r="BF35" i="9"/>
  <c r="BB35" i="9"/>
  <c r="AN35" i="9"/>
  <c r="AM35" i="9"/>
  <c r="AL35" i="9"/>
  <c r="AI35" i="9"/>
  <c r="AH35" i="9"/>
  <c r="AG35" i="9"/>
  <c r="AD35" i="9"/>
  <c r="AC35" i="9"/>
  <c r="AB35" i="9"/>
  <c r="Y35" i="9"/>
  <c r="X35" i="9"/>
  <c r="W35" i="9"/>
  <c r="O35" i="9"/>
  <c r="N35" i="9"/>
  <c r="AD34" i="9"/>
  <c r="AD39" i="9" s="1"/>
  <c r="AC34" i="9"/>
  <c r="AC39" i="9" s="1"/>
  <c r="AB34" i="9"/>
  <c r="AB39" i="9" s="1"/>
  <c r="AA34" i="9"/>
  <c r="AA39" i="9" s="1"/>
  <c r="Y34" i="9"/>
  <c r="Y39" i="9" s="1"/>
  <c r="X34" i="9"/>
  <c r="X39" i="9" s="1"/>
  <c r="W34" i="9"/>
  <c r="W39" i="9" s="1"/>
  <c r="V34" i="9"/>
  <c r="V39" i="9" s="1"/>
  <c r="U34" i="9"/>
  <c r="U39" i="9" s="1"/>
  <c r="T34" i="9"/>
  <c r="T39" i="9" s="1"/>
  <c r="S34" i="9"/>
  <c r="S39" i="9" s="1"/>
  <c r="R34" i="9"/>
  <c r="R39" i="9" s="1"/>
  <c r="Q34" i="9"/>
  <c r="Q39" i="9" s="1"/>
  <c r="P34" i="9"/>
  <c r="P39" i="9" s="1"/>
  <c r="O34" i="9"/>
  <c r="O39" i="9" s="1"/>
  <c r="N34" i="9"/>
  <c r="N39" i="9" s="1"/>
  <c r="M34" i="9"/>
  <c r="M39" i="9" s="1"/>
  <c r="L34" i="9"/>
  <c r="L39" i="9" s="1"/>
  <c r="K34" i="9"/>
  <c r="K39" i="9" s="1"/>
  <c r="J34" i="9"/>
  <c r="J39" i="9" s="1"/>
  <c r="I34" i="9"/>
  <c r="I39" i="9" s="1"/>
  <c r="H34" i="9"/>
  <c r="H39" i="9" s="1"/>
  <c r="G34" i="9"/>
  <c r="G39" i="9" s="1"/>
  <c r="F34" i="9"/>
  <c r="F39" i="9" s="1"/>
  <c r="E34" i="9"/>
  <c r="E39" i="9" s="1"/>
  <c r="D34" i="9"/>
  <c r="D39" i="9" s="1"/>
  <c r="C34" i="9"/>
  <c r="C39" i="9" s="1"/>
  <c r="B34" i="9"/>
  <c r="B39" i="9" s="1"/>
  <c r="CX33" i="9"/>
  <c r="CY40" i="9" s="1"/>
  <c r="CV33" i="9"/>
  <c r="CU33" i="9"/>
  <c r="CV40" i="9" s="1"/>
  <c r="CV111" i="1" s="1"/>
  <c r="CT33" i="9"/>
  <c r="CU40" i="9" s="1"/>
  <c r="CU111" i="1" s="1"/>
  <c r="CU112" i="1" s="1"/>
  <c r="CS33" i="9"/>
  <c r="CT40" i="9" s="1"/>
  <c r="CT111" i="1" s="1"/>
  <c r="CT112" i="1" s="1"/>
  <c r="CQ33" i="9"/>
  <c r="CP33" i="9"/>
  <c r="CQ40" i="9" s="1"/>
  <c r="CQ111" i="1" s="1"/>
  <c r="CO33" i="9"/>
  <c r="CP40" i="9" s="1"/>
  <c r="CP111" i="1" s="1"/>
  <c r="CP112" i="1" s="1"/>
  <c r="CN33" i="9"/>
  <c r="CO40" i="9" s="1"/>
  <c r="CO111" i="1" s="1"/>
  <c r="CO112" i="1" s="1"/>
  <c r="CL33" i="9"/>
  <c r="CK33" i="9"/>
  <c r="CL40" i="9" s="1"/>
  <c r="CL111" i="1" s="1"/>
  <c r="CJ33" i="9"/>
  <c r="CK40" i="9" s="1"/>
  <c r="CK111" i="1" s="1"/>
  <c r="CI33" i="9"/>
  <c r="CJ40" i="9" s="1"/>
  <c r="CJ111" i="1" s="1"/>
  <c r="CJ112" i="1" s="1"/>
  <c r="CG33" i="9"/>
  <c r="CF33" i="9"/>
  <c r="CG40" i="9" s="1"/>
  <c r="CE33" i="9"/>
  <c r="CF40" i="9" s="1"/>
  <c r="CF111" i="1" s="1"/>
  <c r="CF112" i="1" s="1"/>
  <c r="CD33" i="9"/>
  <c r="CE40" i="9" s="1"/>
  <c r="CE111" i="1" s="1"/>
  <c r="CE112" i="1" s="1"/>
  <c r="CB33" i="9"/>
  <c r="CA33" i="9"/>
  <c r="CB40" i="9" s="1"/>
  <c r="CB111" i="1" s="1"/>
  <c r="BZ33" i="9"/>
  <c r="CA40" i="9" s="1"/>
  <c r="BY33" i="9"/>
  <c r="BZ40" i="9" s="1"/>
  <c r="BW33" i="9"/>
  <c r="BV33" i="9"/>
  <c r="BW40" i="9" s="1"/>
  <c r="BW111" i="1" s="1"/>
  <c r="BU33" i="9"/>
  <c r="BV40" i="9" s="1"/>
  <c r="BV111" i="1" s="1"/>
  <c r="BV112" i="1" s="1"/>
  <c r="BT33" i="9"/>
  <c r="BU40" i="9" s="1"/>
  <c r="BU111" i="1" s="1"/>
  <c r="BR33" i="9"/>
  <c r="BQ33" i="9"/>
  <c r="BR40" i="9" s="1"/>
  <c r="BR111" i="1" s="1"/>
  <c r="BP33" i="9"/>
  <c r="BQ40" i="9" s="1"/>
  <c r="BQ111" i="1" s="1"/>
  <c r="BQ112" i="1" s="1"/>
  <c r="BO33" i="9"/>
  <c r="BP40" i="9" s="1"/>
  <c r="BP111" i="1" s="1"/>
  <c r="BP112" i="1" s="1"/>
  <c r="BM33" i="9"/>
  <c r="BL33" i="9"/>
  <c r="BM40" i="9" s="1"/>
  <c r="BK33" i="9"/>
  <c r="BL40" i="9" s="1"/>
  <c r="BJ33" i="9"/>
  <c r="BK40" i="9" s="1"/>
  <c r="BH33" i="9"/>
  <c r="BG33" i="9"/>
  <c r="BH40" i="9" s="1"/>
  <c r="BH111" i="1" s="1"/>
  <c r="BH112" i="1" s="1"/>
  <c r="BF33" i="9"/>
  <c r="BG40" i="9" s="1"/>
  <c r="BG111" i="1" s="1"/>
  <c r="BE33" i="9"/>
  <c r="BF40" i="9" s="1"/>
  <c r="BF111" i="1" s="1"/>
  <c r="BF112" i="1" s="1"/>
  <c r="BC33" i="9"/>
  <c r="BB33" i="9"/>
  <c r="BC40" i="9" s="1"/>
  <c r="BC111" i="1" s="1"/>
  <c r="BD111" i="1" s="1"/>
  <c r="BA33" i="9"/>
  <c r="BB40" i="9" s="1"/>
  <c r="BB111" i="1" s="1"/>
  <c r="BB112" i="1" s="1"/>
  <c r="AZ33" i="9"/>
  <c r="BA40" i="9" s="1"/>
  <c r="BA111" i="1" s="1"/>
  <c r="BA112" i="1" s="1"/>
  <c r="AX33" i="9"/>
  <c r="AW33" i="9"/>
  <c r="AX40" i="9" s="1"/>
  <c r="AV33" i="9"/>
  <c r="AW40" i="9" s="1"/>
  <c r="AW111" i="1" s="1"/>
  <c r="AW112" i="1" s="1"/>
  <c r="AU33" i="9"/>
  <c r="AV40" i="9" s="1"/>
  <c r="AS33" i="9"/>
  <c r="AR33" i="9"/>
  <c r="AS40" i="9" s="1"/>
  <c r="AQ33" i="9"/>
  <c r="AR40" i="9" s="1"/>
  <c r="AP33" i="9"/>
  <c r="AQ40" i="9" s="1"/>
  <c r="AN33" i="9"/>
  <c r="AM33" i="9"/>
  <c r="AL33" i="9"/>
  <c r="AK33" i="9"/>
  <c r="AI33" i="9"/>
  <c r="AH33" i="9"/>
  <c r="AG33" i="9"/>
  <c r="AF33" i="9"/>
  <c r="AD33" i="9"/>
  <c r="AC33" i="9"/>
  <c r="AB33" i="9"/>
  <c r="AA33" i="9"/>
  <c r="Y33" i="9"/>
  <c r="X33" i="9"/>
  <c r="W33" i="9"/>
  <c r="V33" i="9"/>
  <c r="T33" i="9"/>
  <c r="O33" i="9"/>
  <c r="N33" i="9"/>
  <c r="M33" i="9"/>
  <c r="L33" i="9"/>
  <c r="J33" i="9"/>
  <c r="I33" i="9"/>
  <c r="H33" i="9"/>
  <c r="G33" i="9"/>
  <c r="E33" i="9"/>
  <c r="D33" i="9"/>
  <c r="C33" i="9"/>
  <c r="B33" i="9"/>
  <c r="AQ31" i="9"/>
  <c r="AP31" i="9"/>
  <c r="AN31" i="9"/>
  <c r="AM31" i="9"/>
  <c r="AI31" i="9"/>
  <c r="CV28" i="9"/>
  <c r="CU28" i="9"/>
  <c r="CT28" i="9"/>
  <c r="AP29" i="19" s="1"/>
  <c r="CQ28" i="9"/>
  <c r="CP28" i="9"/>
  <c r="CO28" i="9"/>
  <c r="CL28" i="9"/>
  <c r="CK28" i="9"/>
  <c r="AG29" i="19" s="1"/>
  <c r="CJ28" i="9"/>
  <c r="CG28" i="9"/>
  <c r="CF28" i="9"/>
  <c r="CE28" i="9"/>
  <c r="CB28" i="9"/>
  <c r="CA28" i="9"/>
  <c r="W29" i="19" s="1"/>
  <c r="BZ28" i="9"/>
  <c r="V29" i="19" s="1"/>
  <c r="BW28" i="9"/>
  <c r="BW30" i="9" s="1"/>
  <c r="S30" i="19" s="1"/>
  <c r="BV28" i="9"/>
  <c r="BU28" i="9"/>
  <c r="BR28" i="9"/>
  <c r="BQ28" i="9"/>
  <c r="BP28" i="9"/>
  <c r="L29" i="19" s="1"/>
  <c r="BM28" i="9"/>
  <c r="BL28" i="9"/>
  <c r="BK28" i="9"/>
  <c r="BK30" i="9" s="1"/>
  <c r="BG28" i="9"/>
  <c r="BG30" i="9" s="1"/>
  <c r="BF28" i="9"/>
  <c r="BF30" i="9" s="1"/>
  <c r="BB28" i="9"/>
  <c r="BB30" i="9" s="1"/>
  <c r="AS28" i="9"/>
  <c r="AR28" i="9"/>
  <c r="AQ28" i="9"/>
  <c r="AQ54" i="9" s="1"/>
  <c r="AN28" i="9"/>
  <c r="AM28" i="9"/>
  <c r="CW27" i="9"/>
  <c r="AS28" i="19" s="1"/>
  <c r="CR27" i="9"/>
  <c r="AN28" i="19" s="1"/>
  <c r="CM27" i="9"/>
  <c r="AI28" i="19" s="1"/>
  <c r="CH27" i="9"/>
  <c r="AD28" i="19" s="1"/>
  <c r="CC27" i="9"/>
  <c r="Y28" i="19" s="1"/>
  <c r="BX27" i="9"/>
  <c r="T28" i="19" s="1"/>
  <c r="BS27" i="9"/>
  <c r="O28" i="19" s="1"/>
  <c r="BN27" i="9"/>
  <c r="J28" i="19" s="1"/>
  <c r="BI27" i="9"/>
  <c r="E28" i="19" s="1"/>
  <c r="BD27" i="9"/>
  <c r="BE44" i="9" s="1"/>
  <c r="AY27" i="9"/>
  <c r="AV27" i="9"/>
  <c r="AT27" i="9"/>
  <c r="AR27" i="9"/>
  <c r="AO27" i="9"/>
  <c r="AL27" i="9"/>
  <c r="AJ27" i="9"/>
  <c r="AE27" i="9"/>
  <c r="Z27" i="9"/>
  <c r="T27" i="9"/>
  <c r="U27" i="9" s="1"/>
  <c r="P27" i="9"/>
  <c r="AZ26" i="9"/>
  <c r="AE26" i="9"/>
  <c r="Z26" i="9"/>
  <c r="T26" i="9"/>
  <c r="U26" i="9" s="1"/>
  <c r="P26" i="9"/>
  <c r="AU26" i="19"/>
  <c r="CV25" i="9"/>
  <c r="AR26" i="19" s="1"/>
  <c r="CU25" i="9"/>
  <c r="AQ26" i="19" s="1"/>
  <c r="CT25" i="9"/>
  <c r="AP26" i="19" s="1"/>
  <c r="CS25" i="9"/>
  <c r="CQ25" i="9"/>
  <c r="CQ26" i="9" s="1"/>
  <c r="CR26" i="9" s="1"/>
  <c r="AN27" i="19" s="1"/>
  <c r="CP25" i="9"/>
  <c r="CO25" i="9"/>
  <c r="CN25" i="9"/>
  <c r="CL25" i="9"/>
  <c r="CL26" i="9" s="1"/>
  <c r="AH27" i="19" s="1"/>
  <c r="CK25" i="9"/>
  <c r="AG26" i="19" s="1"/>
  <c r="CJ25" i="9"/>
  <c r="AF26" i="19" s="1"/>
  <c r="CI25" i="9"/>
  <c r="AE26" i="19" s="1"/>
  <c r="CG25" i="9"/>
  <c r="CH25" i="9" s="1"/>
  <c r="AD26" i="19" s="1"/>
  <c r="CF25" i="9"/>
  <c r="CE25" i="9"/>
  <c r="CD25" i="9"/>
  <c r="Z26" i="19" s="1"/>
  <c r="CB25" i="9"/>
  <c r="CA25" i="9"/>
  <c r="BZ25" i="9"/>
  <c r="BY25" i="9"/>
  <c r="BW25" i="9"/>
  <c r="BW26" i="9" s="1"/>
  <c r="S27" i="19" s="1"/>
  <c r="BV25" i="9"/>
  <c r="R26" i="19" s="1"/>
  <c r="BU25" i="9"/>
  <c r="Q26" i="19" s="1"/>
  <c r="BT25" i="9"/>
  <c r="BT26" i="9" s="1"/>
  <c r="P27" i="19" s="1"/>
  <c r="BR25" i="9"/>
  <c r="BQ25" i="9"/>
  <c r="BP25" i="9"/>
  <c r="BO25" i="9"/>
  <c r="BM25" i="9"/>
  <c r="BL25" i="9"/>
  <c r="H26" i="19" s="1"/>
  <c r="BK25" i="9"/>
  <c r="G26" i="19" s="1"/>
  <c r="BG25" i="9"/>
  <c r="BG26" i="9" s="1"/>
  <c r="BF25" i="9"/>
  <c r="BF26" i="9" s="1"/>
  <c r="BA25" i="9"/>
  <c r="BA26" i="9" s="1"/>
  <c r="AX25" i="9"/>
  <c r="AX26" i="9" s="1"/>
  <c r="AY26" i="9" s="1"/>
  <c r="C27" i="19" s="1"/>
  <c r="AS25" i="9"/>
  <c r="AR25" i="9"/>
  <c r="AQ25" i="9"/>
  <c r="AQ26" i="9" s="1"/>
  <c r="AP25" i="9"/>
  <c r="AP26" i="9" s="1"/>
  <c r="AN25" i="9"/>
  <c r="AN26" i="9" s="1"/>
  <c r="AO26" i="9" s="1"/>
  <c r="AM25" i="9"/>
  <c r="AM26" i="9" s="1"/>
  <c r="AI25" i="9"/>
  <c r="AE25" i="9"/>
  <c r="Z25" i="9"/>
  <c r="T25" i="9"/>
  <c r="U25" i="9" s="1"/>
  <c r="P25" i="9"/>
  <c r="CY76" i="1"/>
  <c r="CW24" i="9"/>
  <c r="CX28" i="9" s="1"/>
  <c r="CR24" i="9"/>
  <c r="CS28" i="9" s="1"/>
  <c r="CM24" i="9"/>
  <c r="CR28" i="9" s="1"/>
  <c r="AN29" i="19" s="1"/>
  <c r="CH24" i="9"/>
  <c r="CM28" i="9" s="1"/>
  <c r="AI29" i="19" s="1"/>
  <c r="CC24" i="9"/>
  <c r="Y25" i="19" s="1"/>
  <c r="BX24" i="9"/>
  <c r="T25" i="19" s="1"/>
  <c r="BS24" i="9"/>
  <c r="BT28" i="9" s="1"/>
  <c r="BN24" i="9"/>
  <c r="BS28" i="9" s="1"/>
  <c r="O29" i="19" s="1"/>
  <c r="BI24" i="9"/>
  <c r="BJ28" i="9" s="1"/>
  <c r="BD24" i="9"/>
  <c r="BE28" i="9" s="1"/>
  <c r="BE30" i="9" s="1"/>
  <c r="AY24" i="9"/>
  <c r="AZ28" i="9" s="1"/>
  <c r="AZ30" i="9" s="1"/>
  <c r="AW24" i="9"/>
  <c r="AV24" i="9"/>
  <c r="AU24" i="9"/>
  <c r="AT24" i="9"/>
  <c r="AU28" i="9" s="1"/>
  <c r="AO24" i="9"/>
  <c r="AK24" i="9"/>
  <c r="AI24" i="9" s="1"/>
  <c r="BL22" i="9"/>
  <c r="AI21" i="9"/>
  <c r="AH21" i="9"/>
  <c r="AG21" i="9"/>
  <c r="AF21" i="9"/>
  <c r="AE21" i="9"/>
  <c r="Z21" i="9"/>
  <c r="DM20" i="9"/>
  <c r="AL20" i="9"/>
  <c r="AM20" i="9" s="1"/>
  <c r="AN20" i="9" s="1"/>
  <c r="CW19" i="9"/>
  <c r="CR19" i="9"/>
  <c r="CM19" i="9"/>
  <c r="AI20" i="19" s="1"/>
  <c r="CH19" i="9"/>
  <c r="AD20" i="19" s="1"/>
  <c r="CC19" i="9"/>
  <c r="Y20" i="19" s="1"/>
  <c r="BX19" i="9"/>
  <c r="T20" i="19" s="1"/>
  <c r="BS19" i="9"/>
  <c r="O20" i="19" s="1"/>
  <c r="BN19" i="9"/>
  <c r="J20" i="19" s="1"/>
  <c r="BI19" i="9"/>
  <c r="E20" i="19" s="1"/>
  <c r="AJ19" i="9"/>
  <c r="AE19" i="9"/>
  <c r="Z19" i="9"/>
  <c r="DU18" i="9"/>
  <c r="DZ18" i="9" s="1"/>
  <c r="EE18" i="9" s="1"/>
  <c r="DT18" i="9"/>
  <c r="DY18" i="9" s="1"/>
  <c r="ED18" i="9" s="1"/>
  <c r="DS18" i="9"/>
  <c r="DX18" i="9" s="1"/>
  <c r="EC18" i="9" s="1"/>
  <c r="AL18" i="9"/>
  <c r="CX17" i="9"/>
  <c r="CV17" i="9"/>
  <c r="AR18" i="19" s="1"/>
  <c r="CU17" i="9"/>
  <c r="CT17" i="9"/>
  <c r="CS17" i="9"/>
  <c r="AO18" i="19" s="1"/>
  <c r="CQ17" i="9"/>
  <c r="CQ14" i="9" s="1"/>
  <c r="CP17" i="9"/>
  <c r="CP19" i="2" s="1"/>
  <c r="AL48" i="19" s="1"/>
  <c r="CO17" i="9"/>
  <c r="CO19" i="2" s="1"/>
  <c r="AK48" i="19" s="1"/>
  <c r="CN17" i="9"/>
  <c r="CN14" i="9" s="1"/>
  <c r="CL17" i="9"/>
  <c r="CK17" i="9"/>
  <c r="CJ17" i="9"/>
  <c r="CJ21" i="9" s="1"/>
  <c r="AF22" i="19" s="1"/>
  <c r="CI17" i="9"/>
  <c r="CI19" i="2" s="1"/>
  <c r="AE48" i="19" s="1"/>
  <c r="CG17" i="9"/>
  <c r="CF17" i="9"/>
  <c r="CF18" i="9" s="1"/>
  <c r="AB19" i="19" s="1"/>
  <c r="CE17" i="9"/>
  <c r="CE21" i="9" s="1"/>
  <c r="AA22" i="19" s="1"/>
  <c r="CD17" i="9"/>
  <c r="CD14" i="9" s="1"/>
  <c r="CD34" i="9" s="1"/>
  <c r="CA17" i="9"/>
  <c r="CA21" i="9" s="1"/>
  <c r="W22" i="19" s="1"/>
  <c r="BZ17" i="9"/>
  <c r="V18" i="19" s="1"/>
  <c r="BY17" i="9"/>
  <c r="BY21" i="9" s="1"/>
  <c r="BW17" i="9"/>
  <c r="BV17" i="9"/>
  <c r="BV18" i="9" s="1"/>
  <c r="R19" i="19" s="1"/>
  <c r="BU17" i="9"/>
  <c r="BT17" i="9"/>
  <c r="BR17" i="9"/>
  <c r="BQ17" i="9"/>
  <c r="BQ19" i="2" s="1"/>
  <c r="M48" i="19" s="1"/>
  <c r="BP17" i="9"/>
  <c r="BO17" i="9"/>
  <c r="BO21" i="9" s="1"/>
  <c r="K22" i="19" s="1"/>
  <c r="BK17" i="9"/>
  <c r="BK19" i="2" s="1"/>
  <c r="G48" i="19" s="1"/>
  <c r="BJ17" i="9"/>
  <c r="BJ14" i="9" s="1"/>
  <c r="BJ34" i="9" s="1"/>
  <c r="BH17" i="9"/>
  <c r="AJ17" i="9"/>
  <c r="AE17" i="9"/>
  <c r="Z17" i="9"/>
  <c r="AZ17" i="19"/>
  <c r="CX16" i="9"/>
  <c r="AT17" i="19" s="1"/>
  <c r="CV16" i="9"/>
  <c r="AR17" i="19" s="1"/>
  <c r="CU16" i="9"/>
  <c r="AQ17" i="19" s="1"/>
  <c r="CT16" i="9"/>
  <c r="AP17" i="19" s="1"/>
  <c r="CS16" i="9"/>
  <c r="AO17" i="19" s="1"/>
  <c r="CQ16" i="9"/>
  <c r="AM17" i="19" s="1"/>
  <c r="CP16" i="9"/>
  <c r="AL17" i="19" s="1"/>
  <c r="CO16" i="9"/>
  <c r="AK17" i="19" s="1"/>
  <c r="CN16" i="9"/>
  <c r="AJ17" i="19" s="1"/>
  <c r="CL16" i="9"/>
  <c r="AH17" i="19" s="1"/>
  <c r="CK16" i="9"/>
  <c r="AG17" i="19" s="1"/>
  <c r="CJ16" i="9"/>
  <c r="AF17" i="19" s="1"/>
  <c r="CI16" i="9"/>
  <c r="AE17" i="19" s="1"/>
  <c r="CG16" i="9"/>
  <c r="AC17" i="19" s="1"/>
  <c r="CF16" i="9"/>
  <c r="AB17" i="19" s="1"/>
  <c r="CE16" i="9"/>
  <c r="AA17" i="19" s="1"/>
  <c r="CD16" i="9"/>
  <c r="Z17" i="19" s="1"/>
  <c r="CA16" i="9"/>
  <c r="W17" i="19" s="1"/>
  <c r="BZ16" i="9"/>
  <c r="V17" i="19" s="1"/>
  <c r="BY16" i="9"/>
  <c r="U17" i="19" s="1"/>
  <c r="BW16" i="9"/>
  <c r="S17" i="19" s="1"/>
  <c r="BV16" i="9"/>
  <c r="R17" i="19" s="1"/>
  <c r="BU16" i="9"/>
  <c r="Q17" i="19" s="1"/>
  <c r="BT16" i="9"/>
  <c r="P17" i="19" s="1"/>
  <c r="BR16" i="9"/>
  <c r="N17" i="19" s="1"/>
  <c r="BQ16" i="9"/>
  <c r="M17" i="19" s="1"/>
  <c r="BP16" i="9"/>
  <c r="L17" i="19" s="1"/>
  <c r="BO16" i="9"/>
  <c r="K17" i="19" s="1"/>
  <c r="BK16" i="9"/>
  <c r="G17" i="19" s="1"/>
  <c r="BJ16" i="9"/>
  <c r="F17" i="19" s="1"/>
  <c r="BB16" i="9"/>
  <c r="AI16" i="9"/>
  <c r="AH16" i="9"/>
  <c r="AG16" i="9"/>
  <c r="AF16" i="9"/>
  <c r="CW15" i="9"/>
  <c r="CR15" i="9"/>
  <c r="CM15" i="9"/>
  <c r="CH15" i="9"/>
  <c r="CB15" i="9"/>
  <c r="CB17" i="9" s="1"/>
  <c r="BX15" i="9"/>
  <c r="BS15" i="9"/>
  <c r="BM15" i="9"/>
  <c r="BM17" i="9" s="1"/>
  <c r="BL15" i="9"/>
  <c r="BG15" i="9"/>
  <c r="BG17" i="9" s="1"/>
  <c r="BF15" i="9"/>
  <c r="BE15" i="9"/>
  <c r="AN15" i="9"/>
  <c r="AM15" i="9"/>
  <c r="AL15" i="9"/>
  <c r="AK15" i="9"/>
  <c r="AJ15" i="9"/>
  <c r="AE15" i="9"/>
  <c r="Z15" i="9"/>
  <c r="AI14" i="9"/>
  <c r="AI34" i="9" s="1"/>
  <c r="AI39" i="9" s="1"/>
  <c r="AH14" i="9"/>
  <c r="AG14" i="9"/>
  <c r="AG34" i="9" s="1"/>
  <c r="AG39" i="9" s="1"/>
  <c r="AF14" i="9"/>
  <c r="AF34" i="9" s="1"/>
  <c r="AF39" i="9" s="1"/>
  <c r="AE14" i="9"/>
  <c r="AE34" i="9" s="1"/>
  <c r="Z14" i="9"/>
  <c r="Z34" i="9" s="1"/>
  <c r="CX13" i="9"/>
  <c r="DW589" i="20" s="1"/>
  <c r="CV13" i="9"/>
  <c r="CU13" i="9"/>
  <c r="CT13" i="9"/>
  <c r="CS13" i="9"/>
  <c r="CQ13" i="9"/>
  <c r="AM14" i="19" s="1"/>
  <c r="CP13" i="9"/>
  <c r="CO13" i="9"/>
  <c r="CN13" i="9"/>
  <c r="CL13" i="9"/>
  <c r="CK13" i="9"/>
  <c r="CJ13" i="9"/>
  <c r="CI13" i="9"/>
  <c r="DH589" i="20" s="1"/>
  <c r="CG13" i="9"/>
  <c r="CF13" i="9"/>
  <c r="CE13" i="9"/>
  <c r="CD13" i="9"/>
  <c r="CB13" i="9"/>
  <c r="CA13" i="9"/>
  <c r="BZ13" i="9"/>
  <c r="BY13" i="9"/>
  <c r="BW13" i="9"/>
  <c r="S14" i="19" s="1"/>
  <c r="BV13" i="9"/>
  <c r="R14" i="19" s="1"/>
  <c r="BU13" i="9"/>
  <c r="BT13" i="9"/>
  <c r="BR13" i="9"/>
  <c r="BQ13" i="9"/>
  <c r="M14" i="19" s="1"/>
  <c r="BP13" i="9"/>
  <c r="BO13" i="9"/>
  <c r="BM13" i="9"/>
  <c r="BL13" i="9"/>
  <c r="BK13" i="9"/>
  <c r="BJ13" i="9"/>
  <c r="BH13" i="9"/>
  <c r="BG13" i="9"/>
  <c r="BF13" i="9"/>
  <c r="BE13" i="9"/>
  <c r="BB13" i="9"/>
  <c r="AZ13" i="9"/>
  <c r="AN13" i="9"/>
  <c r="AM13" i="9"/>
  <c r="AL13" i="9"/>
  <c r="AK13" i="9"/>
  <c r="AI13" i="9"/>
  <c r="AH13" i="9"/>
  <c r="AG13" i="9"/>
  <c r="AF13" i="9"/>
  <c r="BE589" i="15" s="1"/>
  <c r="AD13" i="9"/>
  <c r="AC13" i="9"/>
  <c r="AB13" i="9"/>
  <c r="AA13" i="9"/>
  <c r="Y13" i="9"/>
  <c r="X13" i="9"/>
  <c r="V13" i="9"/>
  <c r="T13" i="9"/>
  <c r="S13" i="9"/>
  <c r="Q13" i="9"/>
  <c r="L13" i="9"/>
  <c r="AK589" i="20" s="1"/>
  <c r="J13" i="9"/>
  <c r="AI589" i="20" s="1"/>
  <c r="I13" i="9"/>
  <c r="AH589" i="20" s="1"/>
  <c r="H13" i="9"/>
  <c r="AG589" i="20" s="1"/>
  <c r="G13" i="9"/>
  <c r="AF589" i="20" s="1"/>
  <c r="CW12" i="9"/>
  <c r="CR12" i="9"/>
  <c r="CM12" i="9"/>
  <c r="CH12" i="9"/>
  <c r="CC12" i="9"/>
  <c r="BX12" i="9"/>
  <c r="BS12" i="9"/>
  <c r="BN12" i="9"/>
  <c r="J13" i="19" s="1"/>
  <c r="BI12" i="9"/>
  <c r="BC12" i="9"/>
  <c r="BD12" i="9" s="1"/>
  <c r="AX12" i="9"/>
  <c r="AV12" i="9"/>
  <c r="AU12" i="9"/>
  <c r="AS12" i="9"/>
  <c r="BR588" i="20" s="1"/>
  <c r="AO12" i="9"/>
  <c r="AJ12" i="9"/>
  <c r="BI588" i="20" s="1"/>
  <c r="AE12" i="9"/>
  <c r="W12" i="9"/>
  <c r="U12" i="9"/>
  <c r="N12" i="9"/>
  <c r="O12" i="9" s="1"/>
  <c r="O13" i="9" s="1"/>
  <c r="AN589" i="20" s="1"/>
  <c r="K12" i="9"/>
  <c r="AJ588" i="20" s="1"/>
  <c r="F12" i="9"/>
  <c r="AE588" i="20" s="1"/>
  <c r="CX11" i="9"/>
  <c r="AT12" i="19" s="1"/>
  <c r="CV11" i="9"/>
  <c r="AR12" i="19" s="1"/>
  <c r="CU11" i="9"/>
  <c r="AQ12" i="19" s="1"/>
  <c r="CT11" i="9"/>
  <c r="AP12" i="19" s="1"/>
  <c r="CS11" i="9"/>
  <c r="AO12" i="19" s="1"/>
  <c r="CQ11" i="9"/>
  <c r="AM12" i="19" s="1"/>
  <c r="CP11" i="9"/>
  <c r="AL12" i="19" s="1"/>
  <c r="CO11" i="9"/>
  <c r="AK12" i="19" s="1"/>
  <c r="CN11" i="9"/>
  <c r="AJ12" i="19" s="1"/>
  <c r="CL11" i="9"/>
  <c r="AH12" i="19" s="1"/>
  <c r="CK11" i="9"/>
  <c r="AG12" i="19" s="1"/>
  <c r="CJ11" i="9"/>
  <c r="AF12" i="19" s="1"/>
  <c r="CI11" i="9"/>
  <c r="AE12" i="19" s="1"/>
  <c r="CG11" i="9"/>
  <c r="AC12" i="19" s="1"/>
  <c r="CF11" i="9"/>
  <c r="AB12" i="19" s="1"/>
  <c r="CE11" i="9"/>
  <c r="AA12" i="19" s="1"/>
  <c r="CD11" i="9"/>
  <c r="Z12" i="19" s="1"/>
  <c r="CB11" i="9"/>
  <c r="X12" i="19" s="1"/>
  <c r="CA11" i="9"/>
  <c r="W12" i="19" s="1"/>
  <c r="BZ11" i="9"/>
  <c r="V12" i="19" s="1"/>
  <c r="BY11" i="9"/>
  <c r="U12" i="19" s="1"/>
  <c r="BW11" i="9"/>
  <c r="S12" i="19" s="1"/>
  <c r="BV11" i="9"/>
  <c r="R12" i="19" s="1"/>
  <c r="BU11" i="9"/>
  <c r="Q12" i="19" s="1"/>
  <c r="BT11" i="9"/>
  <c r="P12" i="19" s="1"/>
  <c r="BR11" i="9"/>
  <c r="N12" i="19" s="1"/>
  <c r="BQ11" i="9"/>
  <c r="M12" i="19" s="1"/>
  <c r="BM11" i="9"/>
  <c r="I12" i="19" s="1"/>
  <c r="BL11" i="9"/>
  <c r="H12" i="19" s="1"/>
  <c r="BK11" i="9"/>
  <c r="G12" i="19" s="1"/>
  <c r="BJ11" i="9"/>
  <c r="F12" i="19" s="1"/>
  <c r="BH11" i="9"/>
  <c r="BG11" i="9"/>
  <c r="BF11" i="9"/>
  <c r="BE11" i="9"/>
  <c r="BB11" i="9"/>
  <c r="AZ11" i="9"/>
  <c r="AN11" i="9"/>
  <c r="AM11" i="9"/>
  <c r="AL11" i="9"/>
  <c r="AK11" i="9"/>
  <c r="AI11" i="9"/>
  <c r="AH11" i="9"/>
  <c r="AG11" i="9"/>
  <c r="AF11" i="9"/>
  <c r="AD11" i="9"/>
  <c r="AC11" i="9"/>
  <c r="AB11" i="9"/>
  <c r="AA11" i="9"/>
  <c r="Y11" i="9"/>
  <c r="X11" i="9"/>
  <c r="W11" i="9"/>
  <c r="V11" i="9"/>
  <c r="T11" i="9"/>
  <c r="S11" i="9"/>
  <c r="Q11" i="9"/>
  <c r="O11" i="9"/>
  <c r="N11" i="9"/>
  <c r="CW10" i="9"/>
  <c r="CR10" i="9"/>
  <c r="CM10" i="9"/>
  <c r="CH10" i="9"/>
  <c r="DG575" i="20" s="1"/>
  <c r="CC10" i="9"/>
  <c r="BX10" i="9"/>
  <c r="BP10" i="9"/>
  <c r="L11" i="19" s="1"/>
  <c r="BO10" i="9"/>
  <c r="K11" i="19" s="1"/>
  <c r="BN10" i="9"/>
  <c r="BI10" i="9"/>
  <c r="BC10" i="9"/>
  <c r="BD10" i="9" s="1"/>
  <c r="AX10" i="9"/>
  <c r="AV10" i="9"/>
  <c r="AT10" i="9"/>
  <c r="BS575" i="15" s="1"/>
  <c r="AO10" i="9"/>
  <c r="AJ10" i="9"/>
  <c r="AE10" i="9"/>
  <c r="Z10" i="9"/>
  <c r="R10" i="9"/>
  <c r="U10" i="9" s="1"/>
  <c r="L10" i="9"/>
  <c r="I10" i="9"/>
  <c r="G10" i="9"/>
  <c r="CW9" i="9"/>
  <c r="CR9" i="9"/>
  <c r="CM9" i="9"/>
  <c r="CH9" i="9"/>
  <c r="AD10" i="19" s="1"/>
  <c r="CC9" i="9"/>
  <c r="CC84" i="1" s="1"/>
  <c r="BX9" i="9"/>
  <c r="BS9" i="9"/>
  <c r="BN9" i="9"/>
  <c r="BI9" i="9"/>
  <c r="BI84" i="1" s="1"/>
  <c r="BC9" i="9"/>
  <c r="BA9" i="9"/>
  <c r="AX9" i="9"/>
  <c r="AW9" i="9"/>
  <c r="AW11" i="9" s="1"/>
  <c r="AV9" i="9"/>
  <c r="AU9" i="9"/>
  <c r="AU11" i="9" s="1"/>
  <c r="AS9" i="9"/>
  <c r="AR9" i="9"/>
  <c r="AQ9" i="9"/>
  <c r="AQ11" i="9" s="1"/>
  <c r="AP9" i="9"/>
  <c r="AO9" i="9"/>
  <c r="AJ9" i="9"/>
  <c r="AJ84" i="1" s="1"/>
  <c r="AE9" i="9"/>
  <c r="Z9" i="9"/>
  <c r="Z84" i="1" s="1"/>
  <c r="R9" i="9"/>
  <c r="U9" i="9" s="1"/>
  <c r="M9" i="9"/>
  <c r="K9" i="9"/>
  <c r="K84" i="1" s="1"/>
  <c r="D9" i="9"/>
  <c r="C9" i="9"/>
  <c r="B9" i="9"/>
  <c r="CX8" i="9"/>
  <c r="AT9" i="19" s="1"/>
  <c r="CV8" i="9"/>
  <c r="CU8" i="9"/>
  <c r="DT587" i="20" s="1"/>
  <c r="CT8" i="9"/>
  <c r="DS587" i="20" s="1"/>
  <c r="CS8" i="9"/>
  <c r="CQ8" i="9"/>
  <c r="CP8" i="9"/>
  <c r="CO8" i="9"/>
  <c r="CN8" i="9"/>
  <c r="CL8" i="9"/>
  <c r="CK8" i="9"/>
  <c r="CJ8" i="9"/>
  <c r="DI587" i="20" s="1"/>
  <c r="CI8" i="9"/>
  <c r="DH587" i="20" s="1"/>
  <c r="CG8" i="9"/>
  <c r="CF8" i="9"/>
  <c r="CE8" i="9"/>
  <c r="CD8" i="9"/>
  <c r="CB8" i="9"/>
  <c r="CA8" i="9"/>
  <c r="BZ8" i="9"/>
  <c r="BY8" i="9"/>
  <c r="BW8" i="9"/>
  <c r="S9" i="19" s="1"/>
  <c r="BV8" i="9"/>
  <c r="CU587" i="20" s="1"/>
  <c r="BU8" i="9"/>
  <c r="CT587" i="15" s="1"/>
  <c r="BT8" i="9"/>
  <c r="CS587" i="15" s="1"/>
  <c r="BR8" i="9"/>
  <c r="BQ8" i="9"/>
  <c r="BP8" i="9"/>
  <c r="BO8" i="9"/>
  <c r="BM8" i="9"/>
  <c r="BL8" i="9"/>
  <c r="BK8" i="9"/>
  <c r="G9" i="19" s="1"/>
  <c r="BJ8" i="9"/>
  <c r="F9" i="19" s="1"/>
  <c r="BG8" i="9"/>
  <c r="BF8" i="9"/>
  <c r="BE8" i="9"/>
  <c r="BB8" i="9"/>
  <c r="AZ8" i="9"/>
  <c r="AN8" i="9"/>
  <c r="AM8" i="9"/>
  <c r="AL8" i="9"/>
  <c r="AK8" i="9"/>
  <c r="AI8" i="9"/>
  <c r="AH8" i="9"/>
  <c r="BG587" i="20" s="1"/>
  <c r="AG8" i="9"/>
  <c r="AF8" i="9"/>
  <c r="AD8" i="9"/>
  <c r="AC8" i="9"/>
  <c r="AB8" i="9"/>
  <c r="AA8" i="9"/>
  <c r="Y8" i="9"/>
  <c r="X8" i="9"/>
  <c r="V8" i="9"/>
  <c r="T8" i="9"/>
  <c r="S8" i="9"/>
  <c r="R8" i="9"/>
  <c r="Q8" i="9"/>
  <c r="O8" i="9"/>
  <c r="AN587" i="20" s="1"/>
  <c r="N8" i="9"/>
  <c r="AM587" i="20" s="1"/>
  <c r="L8" i="9"/>
  <c r="AK587" i="20" s="1"/>
  <c r="J8" i="9"/>
  <c r="AI587" i="20" s="1"/>
  <c r="I8" i="9"/>
  <c r="AH587" i="20" s="1"/>
  <c r="H8" i="9"/>
  <c r="AG587" i="20" s="1"/>
  <c r="G8" i="9"/>
  <c r="AF587" i="20" s="1"/>
  <c r="CW7" i="9"/>
  <c r="DV586" i="20" s="1"/>
  <c r="CR7" i="9"/>
  <c r="CM7" i="9"/>
  <c r="CH7" i="9"/>
  <c r="CC7" i="9"/>
  <c r="DB586" i="20" s="1"/>
  <c r="BX7" i="9"/>
  <c r="BS7" i="9"/>
  <c r="BN7" i="9"/>
  <c r="BI7" i="9"/>
  <c r="BC7" i="9"/>
  <c r="BD7" i="9" s="1"/>
  <c r="AX7" i="9"/>
  <c r="AV7" i="9"/>
  <c r="AU7" i="9"/>
  <c r="AS7" i="9"/>
  <c r="AT7" i="9" s="1"/>
  <c r="AO7" i="9"/>
  <c r="AJ7" i="9"/>
  <c r="AE7" i="9"/>
  <c r="W7" i="9"/>
  <c r="U7" i="9"/>
  <c r="P7" i="9"/>
  <c r="AO586" i="20" s="1"/>
  <c r="K7" i="9"/>
  <c r="AJ586" i="20" s="1"/>
  <c r="E7" i="9"/>
  <c r="AD586" i="20" s="1"/>
  <c r="D7" i="9"/>
  <c r="C7" i="9"/>
  <c r="AB586" i="20" s="1"/>
  <c r="B7" i="9"/>
  <c r="AA586" i="20" s="1"/>
  <c r="AV7" i="19"/>
  <c r="CX6" i="9"/>
  <c r="AT7" i="19" s="1"/>
  <c r="CV6" i="9"/>
  <c r="AR7" i="19" s="1"/>
  <c r="CU6" i="9"/>
  <c r="AQ7" i="19" s="1"/>
  <c r="CT6" i="9"/>
  <c r="AP7" i="19" s="1"/>
  <c r="CS6" i="9"/>
  <c r="CQ6" i="9"/>
  <c r="AM7" i="19" s="1"/>
  <c r="CP6" i="9"/>
  <c r="AL7" i="19" s="1"/>
  <c r="CO6" i="9"/>
  <c r="AK7" i="19" s="1"/>
  <c r="CN6" i="9"/>
  <c r="AJ7" i="19" s="1"/>
  <c r="CL6" i="9"/>
  <c r="AH7" i="19" s="1"/>
  <c r="CK6" i="9"/>
  <c r="AG7" i="19" s="1"/>
  <c r="CJ6" i="9"/>
  <c r="AF7" i="19" s="1"/>
  <c r="CI6" i="9"/>
  <c r="AE7" i="19" s="1"/>
  <c r="CG6" i="9"/>
  <c r="AC7" i="19" s="1"/>
  <c r="CF6" i="9"/>
  <c r="AB7" i="19" s="1"/>
  <c r="CE6" i="9"/>
  <c r="AA7" i="19" s="1"/>
  <c r="CD6" i="9"/>
  <c r="Z7" i="19" s="1"/>
  <c r="CB6" i="9"/>
  <c r="X7" i="19" s="1"/>
  <c r="CA6" i="9"/>
  <c r="W7" i="19" s="1"/>
  <c r="BZ6" i="9"/>
  <c r="V7" i="19" s="1"/>
  <c r="BY6" i="9"/>
  <c r="U7" i="19" s="1"/>
  <c r="BW6" i="9"/>
  <c r="S7" i="19" s="1"/>
  <c r="BV6" i="9"/>
  <c r="R7" i="19" s="1"/>
  <c r="BU6" i="9"/>
  <c r="Q7" i="19" s="1"/>
  <c r="BT6" i="9"/>
  <c r="P7" i="19" s="1"/>
  <c r="BR6" i="9"/>
  <c r="N7" i="19" s="1"/>
  <c r="BQ6" i="9"/>
  <c r="M7" i="19" s="1"/>
  <c r="BP6" i="9"/>
  <c r="L7" i="19" s="1"/>
  <c r="BO6" i="9"/>
  <c r="K7" i="19" s="1"/>
  <c r="BM6" i="9"/>
  <c r="I7" i="19" s="1"/>
  <c r="BL6" i="9"/>
  <c r="H7" i="19" s="1"/>
  <c r="BK6" i="9"/>
  <c r="G7" i="19" s="1"/>
  <c r="BJ6" i="9"/>
  <c r="F7" i="19" s="1"/>
  <c r="BG6" i="9"/>
  <c r="BF6" i="9"/>
  <c r="BE6" i="9"/>
  <c r="BB6" i="9"/>
  <c r="AZ6" i="9"/>
  <c r="AN6" i="9"/>
  <c r="AM6" i="9"/>
  <c r="AL6" i="9"/>
  <c r="AK6" i="9"/>
  <c r="AI6" i="9"/>
  <c r="AH6" i="9"/>
  <c r="AG6" i="9"/>
  <c r="AF6" i="9"/>
  <c r="AD6" i="9"/>
  <c r="AC6" i="9"/>
  <c r="AB6" i="9"/>
  <c r="AA6" i="9"/>
  <c r="Y6" i="9"/>
  <c r="X6" i="9"/>
  <c r="W6" i="9"/>
  <c r="V6" i="9"/>
  <c r="T6" i="9"/>
  <c r="S6" i="9"/>
  <c r="R6" i="9"/>
  <c r="Q6" i="9"/>
  <c r="O6" i="9"/>
  <c r="N6" i="9"/>
  <c r="CW5" i="9"/>
  <c r="DV574" i="20" s="1"/>
  <c r="CR5" i="9"/>
  <c r="CM5" i="9"/>
  <c r="CH5" i="9"/>
  <c r="DG574" i="15" s="1"/>
  <c r="CC5" i="9"/>
  <c r="BX5" i="9"/>
  <c r="BS5" i="9"/>
  <c r="BN5" i="9"/>
  <c r="BI5" i="9"/>
  <c r="CH574" i="20" s="1"/>
  <c r="BD5" i="9"/>
  <c r="AX5" i="9"/>
  <c r="BW574" i="20" s="1"/>
  <c r="AV5" i="9"/>
  <c r="AT5" i="9"/>
  <c r="AO5" i="9"/>
  <c r="AJ5" i="9"/>
  <c r="AE5" i="9"/>
  <c r="Z5" i="9"/>
  <c r="U5" i="9"/>
  <c r="L5" i="9"/>
  <c r="M5" i="9" s="1"/>
  <c r="J5" i="9"/>
  <c r="AI574" i="20" s="1"/>
  <c r="I5" i="9"/>
  <c r="AH574" i="20" s="1"/>
  <c r="H5" i="9"/>
  <c r="AG574" i="20" s="1"/>
  <c r="G5" i="9"/>
  <c r="CW4" i="9"/>
  <c r="CR4" i="9"/>
  <c r="CM4" i="9"/>
  <c r="AI5" i="19" s="1"/>
  <c r="CH4" i="9"/>
  <c r="AD5" i="19" s="1"/>
  <c r="CC4" i="9"/>
  <c r="CA2" i="9" s="1"/>
  <c r="BX4" i="9"/>
  <c r="BS4" i="9"/>
  <c r="BN4" i="9"/>
  <c r="BH4" i="9"/>
  <c r="BE47" i="9" s="1"/>
  <c r="BC4" i="9"/>
  <c r="BC25" i="9" s="1"/>
  <c r="BA4" i="9"/>
  <c r="AX4" i="9"/>
  <c r="AW4" i="9"/>
  <c r="AV4" i="9"/>
  <c r="AU4" i="9"/>
  <c r="AS4" i="9"/>
  <c r="AS6" i="9" s="1"/>
  <c r="AR4" i="9"/>
  <c r="AR15" i="9" s="1"/>
  <c r="AR16" i="9" s="1"/>
  <c r="AQ4" i="9"/>
  <c r="AQ15" i="9" s="1"/>
  <c r="AP4" i="9"/>
  <c r="AO4" i="9"/>
  <c r="AJ4" i="9"/>
  <c r="AE4" i="9"/>
  <c r="Z4" i="9"/>
  <c r="Z16" i="9" s="1"/>
  <c r="U4" i="9"/>
  <c r="M4" i="9"/>
  <c r="K4" i="9"/>
  <c r="E4" i="9"/>
  <c r="E5" i="9" s="1"/>
  <c r="D4" i="9"/>
  <c r="D5" i="9" s="1"/>
  <c r="AC574" i="20" s="1"/>
  <c r="C4" i="9"/>
  <c r="B4" i="9"/>
  <c r="B5" i="9" s="1"/>
  <c r="CF1" i="9"/>
  <c r="CB1" i="9"/>
  <c r="BR1" i="9"/>
  <c r="BR2" i="9" s="1"/>
  <c r="BL1" i="9"/>
  <c r="BK1" i="9" s="1"/>
  <c r="CR194" i="1"/>
  <c r="CM194" i="1"/>
  <c r="CH194" i="1"/>
  <c r="CC194" i="1"/>
  <c r="BX194" i="1"/>
  <c r="BS194" i="1"/>
  <c r="BN194" i="1"/>
  <c r="BI194" i="1"/>
  <c r="CC186" i="1"/>
  <c r="CB182" i="1"/>
  <c r="CC181" i="1"/>
  <c r="CC182" i="1" s="1"/>
  <c r="CB177" i="1"/>
  <c r="CC176" i="1"/>
  <c r="CC177" i="1" s="1"/>
  <c r="CB172" i="1"/>
  <c r="CC171" i="1"/>
  <c r="CC172" i="1" s="1"/>
  <c r="BF170" i="1"/>
  <c r="EF164" i="1"/>
  <c r="EA164" i="1"/>
  <c r="DV164" i="1"/>
  <c r="DQ164" i="1"/>
  <c r="DL164" i="1"/>
  <c r="DG164" i="1"/>
  <c r="DB164" i="1"/>
  <c r="CW164" i="1"/>
  <c r="CR164" i="1"/>
  <c r="CM164" i="1"/>
  <c r="CH164" i="1"/>
  <c r="CC164" i="1"/>
  <c r="BX164" i="1"/>
  <c r="BS164" i="1"/>
  <c r="BN164" i="1"/>
  <c r="BI164" i="1"/>
  <c r="BD164" i="1"/>
  <c r="AY164" i="1"/>
  <c r="AT164" i="1"/>
  <c r="AO164" i="1"/>
  <c r="AJ164" i="1"/>
  <c r="AE164" i="1"/>
  <c r="Z164" i="1"/>
  <c r="U164" i="1"/>
  <c r="U161" i="1"/>
  <c r="CX159" i="1"/>
  <c r="CV159" i="1"/>
  <c r="CU159" i="1"/>
  <c r="CT159" i="1"/>
  <c r="CS159" i="1"/>
  <c r="CQ159" i="1"/>
  <c r="CP159" i="1"/>
  <c r="CO159" i="1"/>
  <c r="CN159" i="1"/>
  <c r="CL159" i="1"/>
  <c r="CK159" i="1"/>
  <c r="CJ159" i="1"/>
  <c r="CI159" i="1"/>
  <c r="CG159" i="1"/>
  <c r="CE159" i="1"/>
  <c r="CD159" i="1"/>
  <c r="BY159" i="1"/>
  <c r="AI159" i="1"/>
  <c r="AH159" i="1"/>
  <c r="AG159" i="1"/>
  <c r="AF159" i="1"/>
  <c r="AD159" i="1"/>
  <c r="AC159" i="1"/>
  <c r="AB159" i="1"/>
  <c r="AA159" i="1"/>
  <c r="Y159" i="1"/>
  <c r="X159" i="1"/>
  <c r="W159" i="1"/>
  <c r="V159" i="1"/>
  <c r="T159" i="1"/>
  <c r="S159" i="1"/>
  <c r="R159" i="1"/>
  <c r="Q159" i="1"/>
  <c r="O159" i="1"/>
  <c r="M159" i="1"/>
  <c r="L159" i="1"/>
  <c r="J159" i="1"/>
  <c r="I159" i="1"/>
  <c r="H159" i="1"/>
  <c r="G159" i="1"/>
  <c r="E159" i="1"/>
  <c r="D159" i="1"/>
  <c r="C159" i="1"/>
  <c r="B159" i="1"/>
  <c r="CV158" i="1"/>
  <c r="CU158" i="1"/>
  <c r="CT158" i="1"/>
  <c r="CQ158" i="1"/>
  <c r="CP158" i="1"/>
  <c r="CO158" i="1"/>
  <c r="CL158" i="1"/>
  <c r="CK158" i="1"/>
  <c r="CJ158" i="1"/>
  <c r="CG158" i="1"/>
  <c r="CF158" i="1"/>
  <c r="CE158" i="1"/>
  <c r="CB158" i="1"/>
  <c r="CA158" i="1"/>
  <c r="BZ158" i="1"/>
  <c r="BW158" i="1"/>
  <c r="BV158" i="1"/>
  <c r="BU158" i="1"/>
  <c r="BR158" i="1"/>
  <c r="BQ158" i="1"/>
  <c r="BP158" i="1"/>
  <c r="BM158" i="1"/>
  <c r="BL158" i="1"/>
  <c r="BK158" i="1"/>
  <c r="BH158" i="1"/>
  <c r="BG158" i="1"/>
  <c r="BF158" i="1"/>
  <c r="BC158" i="1"/>
  <c r="AV158" i="1"/>
  <c r="AS158" i="1"/>
  <c r="AR158" i="1"/>
  <c r="AQ158" i="1"/>
  <c r="AN158" i="1"/>
  <c r="AM158" i="1"/>
  <c r="AL158" i="1"/>
  <c r="AI158" i="1"/>
  <c r="AH158" i="1"/>
  <c r="AG158" i="1"/>
  <c r="U158" i="1"/>
  <c r="CV157" i="1"/>
  <c r="CU157" i="1"/>
  <c r="CT157" i="1"/>
  <c r="CQ157" i="1"/>
  <c r="CP157" i="1"/>
  <c r="CO157" i="1"/>
  <c r="CL157" i="1"/>
  <c r="CK157" i="1"/>
  <c r="CJ157" i="1"/>
  <c r="CG157" i="1"/>
  <c r="CF157" i="1"/>
  <c r="CE157" i="1"/>
  <c r="CB157" i="1"/>
  <c r="CA157" i="1"/>
  <c r="BZ157" i="1"/>
  <c r="BW157" i="1"/>
  <c r="BV157" i="1"/>
  <c r="BU157" i="1"/>
  <c r="BR157" i="1"/>
  <c r="BQ157" i="1"/>
  <c r="BP157" i="1"/>
  <c r="BM157" i="1"/>
  <c r="BL157" i="1"/>
  <c r="BK157" i="1"/>
  <c r="BH157" i="1"/>
  <c r="BG157" i="1"/>
  <c r="BF157" i="1"/>
  <c r="BC157" i="1"/>
  <c r="BB157" i="1"/>
  <c r="BA157" i="1"/>
  <c r="AX157" i="1"/>
  <c r="AW157" i="1"/>
  <c r="AV157" i="1"/>
  <c r="AS157" i="1"/>
  <c r="AR157" i="1"/>
  <c r="AQ157" i="1"/>
  <c r="AN157" i="1"/>
  <c r="AM157" i="1"/>
  <c r="AL157" i="1"/>
  <c r="AI157" i="1"/>
  <c r="AH157" i="1"/>
  <c r="AG157" i="1"/>
  <c r="U157" i="1"/>
  <c r="CX150" i="1"/>
  <c r="CV150" i="1"/>
  <c r="CU150" i="1"/>
  <c r="CT150" i="1"/>
  <c r="CS150" i="1"/>
  <c r="CQ150" i="1"/>
  <c r="CP150" i="1"/>
  <c r="CO150" i="1"/>
  <c r="CN150" i="1"/>
  <c r="CL150" i="1"/>
  <c r="CK150" i="1"/>
  <c r="CJ150" i="1"/>
  <c r="CI150" i="1"/>
  <c r="CG150" i="1"/>
  <c r="CF150" i="1"/>
  <c r="CE150" i="1"/>
  <c r="CD150" i="1"/>
  <c r="CB150" i="1"/>
  <c r="CA150" i="1"/>
  <c r="BZ150" i="1"/>
  <c r="BY150" i="1"/>
  <c r="BW150" i="1"/>
  <c r="BV150" i="1"/>
  <c r="BU150" i="1"/>
  <c r="BT150" i="1"/>
  <c r="BR150" i="1"/>
  <c r="BQ150" i="1"/>
  <c r="BP150" i="1"/>
  <c r="BO150" i="1"/>
  <c r="BM150" i="1"/>
  <c r="BL150" i="1"/>
  <c r="BK150" i="1"/>
  <c r="BJ150" i="1"/>
  <c r="BH150" i="1"/>
  <c r="BG150" i="1"/>
  <c r="BF150" i="1"/>
  <c r="BE150" i="1"/>
  <c r="BC150" i="1"/>
  <c r="BB150" i="1"/>
  <c r="BA150" i="1"/>
  <c r="AZ150" i="1"/>
  <c r="AX150" i="1"/>
  <c r="AW150" i="1"/>
  <c r="AV150" i="1"/>
  <c r="AU150" i="1"/>
  <c r="AS150" i="1"/>
  <c r="AR150" i="1"/>
  <c r="AQ150" i="1"/>
  <c r="AP150" i="1"/>
  <c r="AN150" i="1"/>
  <c r="AM150" i="1"/>
  <c r="AL150" i="1"/>
  <c r="AK150" i="1"/>
  <c r="AI150" i="1"/>
  <c r="AH150" i="1"/>
  <c r="AG150" i="1"/>
  <c r="AF150" i="1"/>
  <c r="AD150" i="1"/>
  <c r="AC150" i="1"/>
  <c r="AB150" i="1"/>
  <c r="AA150" i="1"/>
  <c r="Y150" i="1"/>
  <c r="X150" i="1"/>
  <c r="W150" i="1"/>
  <c r="V150" i="1"/>
  <c r="T150" i="1"/>
  <c r="S150" i="1"/>
  <c r="R150" i="1"/>
  <c r="Q150" i="1"/>
  <c r="O150" i="1"/>
  <c r="N150" i="1"/>
  <c r="M150" i="1"/>
  <c r="L150" i="1"/>
  <c r="J150" i="1"/>
  <c r="I150" i="1"/>
  <c r="H150" i="1"/>
  <c r="E150" i="1"/>
  <c r="D150" i="1"/>
  <c r="C150" i="1"/>
  <c r="B150" i="1"/>
  <c r="E149" i="1"/>
  <c r="AH148" i="1"/>
  <c r="AG148" i="1"/>
  <c r="AF148" i="1"/>
  <c r="AD148" i="1"/>
  <c r="AC148" i="1"/>
  <c r="AB148" i="1"/>
  <c r="AA148" i="1"/>
  <c r="Y148" i="1"/>
  <c r="X148" i="1"/>
  <c r="W148" i="1"/>
  <c r="V148" i="1"/>
  <c r="T148" i="1"/>
  <c r="S148" i="1"/>
  <c r="R148" i="1"/>
  <c r="Q148" i="1"/>
  <c r="O148" i="1"/>
  <c r="N148" i="1"/>
  <c r="M148" i="1"/>
  <c r="L148" i="1"/>
  <c r="J148" i="1"/>
  <c r="I148" i="1"/>
  <c r="H148" i="1"/>
  <c r="E148" i="1"/>
  <c r="D148" i="1"/>
  <c r="C148" i="1"/>
  <c r="B148" i="1"/>
  <c r="X147" i="1"/>
  <c r="W147" i="1"/>
  <c r="V147" i="1"/>
  <c r="T147" i="1"/>
  <c r="S147" i="1"/>
  <c r="R147" i="1"/>
  <c r="Q147" i="1"/>
  <c r="O147" i="1"/>
  <c r="N147" i="1"/>
  <c r="M147" i="1"/>
  <c r="L147" i="1"/>
  <c r="J147" i="1"/>
  <c r="I147" i="1"/>
  <c r="H147" i="1"/>
  <c r="E147" i="1"/>
  <c r="C147" i="1"/>
  <c r="Q146" i="1"/>
  <c r="O146" i="1"/>
  <c r="N146" i="1"/>
  <c r="M146" i="1"/>
  <c r="L146" i="1"/>
  <c r="J146" i="1"/>
  <c r="I146" i="1"/>
  <c r="H146" i="1"/>
  <c r="E146" i="1"/>
  <c r="D146" i="1"/>
  <c r="C146" i="1"/>
  <c r="B146" i="1"/>
  <c r="W144" i="1"/>
  <c r="V144" i="1"/>
  <c r="T144" i="1"/>
  <c r="O144" i="1"/>
  <c r="N144" i="1"/>
  <c r="M144" i="1"/>
  <c r="L144" i="1"/>
  <c r="J144" i="1"/>
  <c r="I144" i="1"/>
  <c r="H144" i="1"/>
  <c r="G144" i="1"/>
  <c r="E144" i="1"/>
  <c r="D144" i="1"/>
  <c r="C144" i="1"/>
  <c r="B144" i="1"/>
  <c r="AH142" i="1"/>
  <c r="AG142" i="1"/>
  <c r="AD142" i="1"/>
  <c r="AC142" i="1"/>
  <c r="AB142" i="1"/>
  <c r="AA142" i="1"/>
  <c r="Y142" i="1"/>
  <c r="X142" i="1"/>
  <c r="W142" i="1"/>
  <c r="V142" i="1"/>
  <c r="T142" i="1"/>
  <c r="S142" i="1"/>
  <c r="R142" i="1"/>
  <c r="Q142" i="1"/>
  <c r="O142" i="1"/>
  <c r="N142" i="1"/>
  <c r="M142" i="1"/>
  <c r="L142" i="1"/>
  <c r="J142" i="1"/>
  <c r="I142" i="1"/>
  <c r="H142" i="1"/>
  <c r="E142" i="1"/>
  <c r="D142" i="1"/>
  <c r="C142" i="1"/>
  <c r="B142" i="1"/>
  <c r="S139" i="1"/>
  <c r="R139" i="1"/>
  <c r="Q139" i="1"/>
  <c r="O139" i="1"/>
  <c r="N139" i="1"/>
  <c r="M139" i="1"/>
  <c r="L139" i="1"/>
  <c r="J139" i="1"/>
  <c r="I139" i="1"/>
  <c r="H139" i="1"/>
  <c r="G139" i="1"/>
  <c r="E139" i="1"/>
  <c r="D139" i="1"/>
  <c r="C139" i="1"/>
  <c r="B139" i="1"/>
  <c r="DA135" i="1"/>
  <c r="DB135" i="1" s="1"/>
  <c r="CW135" i="1"/>
  <c r="CR135" i="1"/>
  <c r="CM135" i="1"/>
  <c r="CH135" i="1"/>
  <c r="CW134" i="1"/>
  <c r="CX158" i="1" s="1"/>
  <c r="CR134" i="1"/>
  <c r="CS158" i="1" s="1"/>
  <c r="CM134" i="1"/>
  <c r="CN158" i="1" s="1"/>
  <c r="CH134" i="1"/>
  <c r="CI158" i="1" s="1"/>
  <c r="CC134" i="1"/>
  <c r="CD158" i="1" s="1"/>
  <c r="BX134" i="1"/>
  <c r="BY158" i="1" s="1"/>
  <c r="BS134" i="1"/>
  <c r="BT158" i="1" s="1"/>
  <c r="BN134" i="1"/>
  <c r="BO158" i="1" s="1"/>
  <c r="BI134" i="1"/>
  <c r="BJ158" i="1" s="1"/>
  <c r="BD134" i="1"/>
  <c r="BE158" i="1" s="1"/>
  <c r="BA134" i="1"/>
  <c r="AZ134" i="1"/>
  <c r="AX134" i="1"/>
  <c r="AW134" i="1"/>
  <c r="AW158" i="1" s="1"/>
  <c r="AT134" i="1"/>
  <c r="AU158" i="1" s="1"/>
  <c r="AO134" i="1"/>
  <c r="AP158" i="1" s="1"/>
  <c r="AJ134" i="1"/>
  <c r="AK158" i="1" s="1"/>
  <c r="AE134" i="1"/>
  <c r="AF158" i="1" s="1"/>
  <c r="AC134" i="1"/>
  <c r="AB134" i="1"/>
  <c r="AB158" i="1" s="1"/>
  <c r="Y134" i="1"/>
  <c r="Z134" i="1" s="1"/>
  <c r="AA158" i="1" s="1"/>
  <c r="X134" i="1"/>
  <c r="W134" i="1"/>
  <c r="V134" i="1"/>
  <c r="T134" i="1"/>
  <c r="U134" i="1" s="1"/>
  <c r="S134" i="1"/>
  <c r="R134" i="1"/>
  <c r="Q134" i="1"/>
  <c r="CW133" i="1"/>
  <c r="CX157" i="1" s="1"/>
  <c r="CR133" i="1"/>
  <c r="CS157" i="1" s="1"/>
  <c r="CM133" i="1"/>
  <c r="CN157" i="1" s="1"/>
  <c r="CH133" i="1"/>
  <c r="CI157" i="1" s="1"/>
  <c r="CC133" i="1"/>
  <c r="CD157" i="1" s="1"/>
  <c r="BX133" i="1"/>
  <c r="BY157" i="1" s="1"/>
  <c r="BS133" i="1"/>
  <c r="BT157" i="1" s="1"/>
  <c r="BN133" i="1"/>
  <c r="BO157" i="1" s="1"/>
  <c r="BI133" i="1"/>
  <c r="BJ157" i="1" s="1"/>
  <c r="BD133" i="1"/>
  <c r="BE157" i="1" s="1"/>
  <c r="AY133" i="1"/>
  <c r="AZ157" i="1" s="1"/>
  <c r="AT133" i="1"/>
  <c r="AU157" i="1" s="1"/>
  <c r="AO133" i="1"/>
  <c r="AP157" i="1" s="1"/>
  <c r="AJ133" i="1"/>
  <c r="AK157" i="1" s="1"/>
  <c r="AE133" i="1"/>
  <c r="AF157" i="1" s="1"/>
  <c r="DJ132" i="1"/>
  <c r="DK132" i="1" s="1"/>
  <c r="DM132" i="1" s="1"/>
  <c r="DN132" i="1" s="1"/>
  <c r="DO132" i="1" s="1"/>
  <c r="DP132" i="1" s="1"/>
  <c r="CW132" i="1"/>
  <c r="CR132" i="1"/>
  <c r="CM132" i="1"/>
  <c r="CH132" i="1"/>
  <c r="CC132" i="1"/>
  <c r="BX132" i="1"/>
  <c r="BS132" i="1"/>
  <c r="BN132" i="1"/>
  <c r="BI132" i="1"/>
  <c r="BD132" i="1"/>
  <c r="AY132" i="1"/>
  <c r="AT132" i="1"/>
  <c r="AO132" i="1"/>
  <c r="AJ132" i="1"/>
  <c r="AE132" i="1"/>
  <c r="AB132" i="1"/>
  <c r="AC132" i="1" s="1"/>
  <c r="AA132" i="1"/>
  <c r="Y132" i="1"/>
  <c r="Z132" i="1" s="1"/>
  <c r="X132" i="1"/>
  <c r="W132" i="1"/>
  <c r="V132" i="1"/>
  <c r="T132" i="1"/>
  <c r="U132" i="1" s="1"/>
  <c r="S132" i="1"/>
  <c r="R132" i="1"/>
  <c r="Q132" i="1"/>
  <c r="AB128" i="1"/>
  <c r="S113" i="1"/>
  <c r="S114" i="1" s="1"/>
  <c r="M113" i="1"/>
  <c r="M114" i="1" s="1"/>
  <c r="J113" i="1"/>
  <c r="J114" i="1" s="1"/>
  <c r="I113" i="1"/>
  <c r="I114" i="1" s="1"/>
  <c r="H113" i="1"/>
  <c r="H114" i="1" s="1"/>
  <c r="E113" i="1"/>
  <c r="D113" i="1"/>
  <c r="D114" i="1" s="1"/>
  <c r="J111" i="1"/>
  <c r="I111" i="1"/>
  <c r="I112" i="1" s="1"/>
  <c r="H111" i="1"/>
  <c r="E111" i="1"/>
  <c r="D111" i="1"/>
  <c r="D112" i="1" s="1"/>
  <c r="CX109" i="1"/>
  <c r="CV109" i="1"/>
  <c r="CW109" i="1" s="1"/>
  <c r="DV576" i="20" s="1"/>
  <c r="CU109" i="1"/>
  <c r="CT109" i="1"/>
  <c r="DS576" i="20" s="1"/>
  <c r="CS109" i="1"/>
  <c r="CQ109" i="1"/>
  <c r="CR109" i="1" s="1"/>
  <c r="CP109" i="1"/>
  <c r="CO109" i="1"/>
  <c r="CN109" i="1"/>
  <c r="CL109" i="1"/>
  <c r="CK109" i="1"/>
  <c r="CJ109" i="1"/>
  <c r="CI109" i="1"/>
  <c r="CG109" i="1"/>
  <c r="CF109" i="1"/>
  <c r="CE109" i="1"/>
  <c r="CD109" i="1"/>
  <c r="CB109" i="1"/>
  <c r="CA109" i="1"/>
  <c r="CA110" i="1" s="1"/>
  <c r="BZ109" i="1"/>
  <c r="BY109" i="1"/>
  <c r="BY110" i="1" s="1"/>
  <c r="BW109" i="1"/>
  <c r="CV576" i="15" s="1"/>
  <c r="BV109" i="1"/>
  <c r="BU109" i="1"/>
  <c r="BU110" i="1" s="1"/>
  <c r="BT109" i="1"/>
  <c r="BR109" i="1"/>
  <c r="BS109" i="1" s="1"/>
  <c r="BQ109" i="1"/>
  <c r="BQ110" i="1" s="1"/>
  <c r="BP109" i="1"/>
  <c r="BO109" i="1"/>
  <c r="BO110" i="1" s="1"/>
  <c r="BM109" i="1"/>
  <c r="BM110" i="1" s="1"/>
  <c r="BL109" i="1"/>
  <c r="BK109" i="1"/>
  <c r="BK110" i="1" s="1"/>
  <c r="BJ109" i="1"/>
  <c r="BH109" i="1"/>
  <c r="BH110" i="1" s="1"/>
  <c r="BG109" i="1"/>
  <c r="BF109" i="1"/>
  <c r="BE109" i="1"/>
  <c r="BE110" i="1" s="1"/>
  <c r="BC109" i="1"/>
  <c r="BB109" i="1"/>
  <c r="BA109" i="1"/>
  <c r="BA110" i="1" s="1"/>
  <c r="AZ109" i="1"/>
  <c r="AX109" i="1"/>
  <c r="AW109" i="1"/>
  <c r="AV109" i="1"/>
  <c r="AV110" i="1" s="1"/>
  <c r="AU109" i="1"/>
  <c r="AU110" i="1" s="1"/>
  <c r="AS109" i="1"/>
  <c r="AS110" i="1" s="1"/>
  <c r="AR109" i="1"/>
  <c r="AR110" i="1" s="1"/>
  <c r="AQ109" i="1"/>
  <c r="AP109" i="1"/>
  <c r="BO576" i="20" s="1"/>
  <c r="AN109" i="1"/>
  <c r="AO109" i="1" s="1"/>
  <c r="AM109" i="1"/>
  <c r="AM110" i="1" s="1"/>
  <c r="AL109" i="1"/>
  <c r="AL110" i="1" s="1"/>
  <c r="AK109" i="1"/>
  <c r="AK110" i="1" s="1"/>
  <c r="AI109" i="1"/>
  <c r="AH109" i="1"/>
  <c r="AG109" i="1"/>
  <c r="AG110" i="1" s="1"/>
  <c r="AF109" i="1"/>
  <c r="AF110" i="1" s="1"/>
  <c r="AD109" i="1"/>
  <c r="AD110" i="1" s="1"/>
  <c r="AC109" i="1"/>
  <c r="AB109" i="1"/>
  <c r="AA109" i="1"/>
  <c r="Y109" i="1"/>
  <c r="Z109" i="1" s="1"/>
  <c r="X109" i="1"/>
  <c r="X110" i="1" s="1"/>
  <c r="W109" i="1"/>
  <c r="V109" i="1"/>
  <c r="V110" i="1" s="1"/>
  <c r="T109" i="1"/>
  <c r="O109" i="1"/>
  <c r="N109" i="1"/>
  <c r="M109" i="1"/>
  <c r="AL576" i="20" s="1"/>
  <c r="L109" i="1"/>
  <c r="AK576" i="20" s="1"/>
  <c r="J109" i="1"/>
  <c r="I109" i="1"/>
  <c r="AH576" i="20" s="1"/>
  <c r="H109" i="1"/>
  <c r="G109" i="1"/>
  <c r="E109" i="1"/>
  <c r="D109" i="1"/>
  <c r="C109" i="1"/>
  <c r="B109" i="1"/>
  <c r="CW108" i="1"/>
  <c r="CR108" i="1"/>
  <c r="CR195" i="1" s="1"/>
  <c r="CM108" i="1"/>
  <c r="CM195" i="1" s="1"/>
  <c r="CH108" i="1"/>
  <c r="CC108" i="1"/>
  <c r="CC195" i="1" s="1"/>
  <c r="BX108" i="1"/>
  <c r="BS108" i="1"/>
  <c r="BS195" i="1" s="1"/>
  <c r="BN108" i="1"/>
  <c r="BN195" i="1" s="1"/>
  <c r="BI108" i="1"/>
  <c r="BI195" i="1" s="1"/>
  <c r="BD108" i="1"/>
  <c r="AY108" i="1"/>
  <c r="AT108" i="1"/>
  <c r="AO108" i="1"/>
  <c r="AJ108" i="1"/>
  <c r="AE108" i="1"/>
  <c r="Z108" i="1"/>
  <c r="U108" i="1"/>
  <c r="P108" i="1"/>
  <c r="Q113" i="1" s="1"/>
  <c r="Q114" i="1" s="1"/>
  <c r="K108" i="1"/>
  <c r="L113" i="1" s="1"/>
  <c r="L114" i="1" s="1"/>
  <c r="F108" i="1"/>
  <c r="G113" i="1" s="1"/>
  <c r="G114" i="1" s="1"/>
  <c r="CW107" i="1"/>
  <c r="CR107" i="1"/>
  <c r="CM107" i="1"/>
  <c r="CH107" i="1"/>
  <c r="CC107" i="1"/>
  <c r="CD35" i="9" s="1"/>
  <c r="BX107" i="1"/>
  <c r="BS107" i="1"/>
  <c r="BN107" i="1"/>
  <c r="BO35" i="9" s="1"/>
  <c r="BI107" i="1"/>
  <c r="BD107" i="1"/>
  <c r="AY107" i="1"/>
  <c r="AT107" i="1"/>
  <c r="AO107" i="1"/>
  <c r="AJ107" i="1"/>
  <c r="AE107" i="1"/>
  <c r="Z107" i="1"/>
  <c r="U107" i="1"/>
  <c r="V35" i="9" s="1"/>
  <c r="S107" i="1"/>
  <c r="P107" i="1"/>
  <c r="P33" i="9" s="1"/>
  <c r="K107" i="1"/>
  <c r="F107" i="1"/>
  <c r="AH103" i="1"/>
  <c r="AG103" i="1"/>
  <c r="AF103" i="1"/>
  <c r="AD103" i="1"/>
  <c r="AC103" i="1"/>
  <c r="AB103" i="1"/>
  <c r="AA103" i="1"/>
  <c r="Y103" i="1"/>
  <c r="X103" i="1"/>
  <c r="W103" i="1"/>
  <c r="V103" i="1"/>
  <c r="T103" i="1"/>
  <c r="S103" i="1"/>
  <c r="R103" i="1"/>
  <c r="Q103" i="1"/>
  <c r="O103" i="1"/>
  <c r="N103" i="1"/>
  <c r="M103" i="1"/>
  <c r="L103" i="1"/>
  <c r="J103" i="1"/>
  <c r="I103" i="1"/>
  <c r="H103" i="1"/>
  <c r="E103" i="1"/>
  <c r="D103" i="1"/>
  <c r="C103" i="1"/>
  <c r="B103" i="1"/>
  <c r="AH100" i="1"/>
  <c r="AG100" i="1"/>
  <c r="AF100" i="1"/>
  <c r="AD100" i="1"/>
  <c r="AC100" i="1"/>
  <c r="AB100" i="1"/>
  <c r="AA100" i="1"/>
  <c r="Y100" i="1"/>
  <c r="X100" i="1"/>
  <c r="W100" i="1"/>
  <c r="V100" i="1"/>
  <c r="T100" i="1"/>
  <c r="S100" i="1"/>
  <c r="R100" i="1"/>
  <c r="Q100" i="1"/>
  <c r="O100" i="1"/>
  <c r="N100" i="1"/>
  <c r="M100" i="1"/>
  <c r="L100" i="1"/>
  <c r="J100" i="1"/>
  <c r="I100" i="1"/>
  <c r="H100" i="1"/>
  <c r="G100" i="1"/>
  <c r="E100" i="1"/>
  <c r="D100" i="1"/>
  <c r="C100" i="1"/>
  <c r="B100" i="1"/>
  <c r="AH97" i="1"/>
  <c r="AG97" i="1"/>
  <c r="AF97" i="1"/>
  <c r="AD97" i="1"/>
  <c r="AC97" i="1"/>
  <c r="AB97" i="1"/>
  <c r="AA97" i="1"/>
  <c r="Y97" i="1"/>
  <c r="X97" i="1"/>
  <c r="W97" i="1"/>
  <c r="V97" i="1"/>
  <c r="T97" i="1"/>
  <c r="S97" i="1"/>
  <c r="R97" i="1"/>
  <c r="Q97" i="1"/>
  <c r="O97" i="1"/>
  <c r="N97" i="1"/>
  <c r="M97" i="1"/>
  <c r="L97" i="1"/>
  <c r="J97" i="1"/>
  <c r="I97" i="1"/>
  <c r="H97" i="1"/>
  <c r="E97" i="1"/>
  <c r="D97" i="1"/>
  <c r="C97" i="1"/>
  <c r="B97" i="1"/>
  <c r="AM92" i="1"/>
  <c r="AM95" i="1" s="1"/>
  <c r="CX91" i="1"/>
  <c r="CV91" i="1"/>
  <c r="CW91" i="1" s="1"/>
  <c r="CU91" i="1"/>
  <c r="CT91" i="1"/>
  <c r="CS91" i="1"/>
  <c r="CQ91" i="1"/>
  <c r="CR91" i="1" s="1"/>
  <c r="CP91" i="1"/>
  <c r="CO91" i="1"/>
  <c r="CN91" i="1"/>
  <c r="CL91" i="1"/>
  <c r="CM91" i="1" s="1"/>
  <c r="CK91" i="1"/>
  <c r="CJ91" i="1"/>
  <c r="CI91" i="1"/>
  <c r="CG91" i="1"/>
  <c r="CH91" i="1" s="1"/>
  <c r="CF91" i="1"/>
  <c r="CE91" i="1"/>
  <c r="CD91" i="1"/>
  <c r="CB91" i="1"/>
  <c r="CC91" i="1" s="1"/>
  <c r="CA91" i="1"/>
  <c r="BZ91" i="1"/>
  <c r="BY91" i="1"/>
  <c r="BW91" i="1"/>
  <c r="BX91" i="1" s="1"/>
  <c r="BV91" i="1"/>
  <c r="BU91" i="1"/>
  <c r="BT91" i="1"/>
  <c r="BR91" i="1"/>
  <c r="BS91" i="1" s="1"/>
  <c r="BQ91" i="1"/>
  <c r="BP91" i="1"/>
  <c r="BO91" i="1"/>
  <c r="BM91" i="1"/>
  <c r="BN91" i="1" s="1"/>
  <c r="BL91" i="1"/>
  <c r="BK91" i="1"/>
  <c r="BJ91" i="1"/>
  <c r="BH91" i="1"/>
  <c r="BI91" i="1" s="1"/>
  <c r="BG91" i="1"/>
  <c r="BF91" i="1"/>
  <c r="BE91" i="1"/>
  <c r="BC91" i="1"/>
  <c r="BD91" i="1" s="1"/>
  <c r="BB91" i="1"/>
  <c r="BA91" i="1"/>
  <c r="AZ91" i="1"/>
  <c r="AX91" i="1"/>
  <c r="AY91" i="1" s="1"/>
  <c r="AW91" i="1"/>
  <c r="AV91" i="1"/>
  <c r="AU91" i="1"/>
  <c r="AS91" i="1"/>
  <c r="AT91" i="1" s="1"/>
  <c r="AR91" i="1"/>
  <c r="AQ91" i="1"/>
  <c r="AP91" i="1"/>
  <c r="AN91" i="1"/>
  <c r="AO91" i="1" s="1"/>
  <c r="AM91" i="1"/>
  <c r="AK91" i="1"/>
  <c r="AI91" i="1"/>
  <c r="AJ91" i="1" s="1"/>
  <c r="AH91" i="1"/>
  <c r="AG91" i="1"/>
  <c r="AF91" i="1"/>
  <c r="AD91" i="1"/>
  <c r="AE91" i="1" s="1"/>
  <c r="AC91" i="1"/>
  <c r="AB91" i="1"/>
  <c r="AA91" i="1"/>
  <c r="Y91" i="1"/>
  <c r="Z91" i="1" s="1"/>
  <c r="T91" i="1"/>
  <c r="U91" i="1" s="1"/>
  <c r="S91" i="1"/>
  <c r="R91" i="1"/>
  <c r="Q91" i="1"/>
  <c r="O91" i="1"/>
  <c r="P91" i="1" s="1"/>
  <c r="N91" i="1"/>
  <c r="M91" i="1"/>
  <c r="L91" i="1"/>
  <c r="J91" i="1"/>
  <c r="E91" i="1"/>
  <c r="D91" i="1"/>
  <c r="C91" i="1"/>
  <c r="B91" i="1"/>
  <c r="DJ89" i="1"/>
  <c r="DK89" i="1" s="1"/>
  <c r="DN89" i="1" s="1"/>
  <c r="DO89" i="1" s="1"/>
  <c r="DP89" i="1" s="1"/>
  <c r="DR89" i="1" s="1"/>
  <c r="DS89" i="1" s="1"/>
  <c r="DT89" i="1" s="1"/>
  <c r="DU89" i="1" s="1"/>
  <c r="DW89" i="1" s="1"/>
  <c r="DX89" i="1" s="1"/>
  <c r="DY89" i="1" s="1"/>
  <c r="DZ89" i="1" s="1"/>
  <c r="EB89" i="1" s="1"/>
  <c r="EC89" i="1" s="1"/>
  <c r="ED89" i="1" s="1"/>
  <c r="EE89" i="1" s="1"/>
  <c r="T88" i="1"/>
  <c r="S88" i="1"/>
  <c r="R88" i="1"/>
  <c r="Q88" i="1"/>
  <c r="O88" i="1"/>
  <c r="N88" i="1"/>
  <c r="M88" i="1"/>
  <c r="L88" i="1"/>
  <c r="E88" i="1"/>
  <c r="D88" i="1"/>
  <c r="C88" i="1"/>
  <c r="B88" i="1"/>
  <c r="X87" i="1"/>
  <c r="W87" i="1"/>
  <c r="V87" i="1"/>
  <c r="T87" i="1"/>
  <c r="S87" i="1"/>
  <c r="R87" i="1"/>
  <c r="Q87" i="1"/>
  <c r="O87" i="1"/>
  <c r="N87" i="1"/>
  <c r="M87" i="1"/>
  <c r="L87" i="1"/>
  <c r="J87" i="1"/>
  <c r="I87" i="1"/>
  <c r="H87" i="1"/>
  <c r="E87" i="1"/>
  <c r="D87" i="1"/>
  <c r="C87" i="1"/>
  <c r="B87" i="1"/>
  <c r="CX84" i="1"/>
  <c r="CV84" i="1"/>
  <c r="CT84" i="1"/>
  <c r="CS84" i="1"/>
  <c r="CQ84" i="1"/>
  <c r="CO84" i="1"/>
  <c r="CN84" i="1"/>
  <c r="CL84" i="1"/>
  <c r="CJ84" i="1"/>
  <c r="CI84" i="1"/>
  <c r="CG84" i="1"/>
  <c r="CF84" i="1"/>
  <c r="CE84" i="1"/>
  <c r="CD84" i="1"/>
  <c r="CB84" i="1"/>
  <c r="CA84" i="1"/>
  <c r="BZ84" i="1"/>
  <c r="BY84" i="1"/>
  <c r="BW84" i="1"/>
  <c r="BV84" i="1"/>
  <c r="BU84" i="1"/>
  <c r="BT84" i="1"/>
  <c r="BR84" i="1"/>
  <c r="BQ84" i="1"/>
  <c r="BP84" i="1"/>
  <c r="BO84" i="1"/>
  <c r="BM84" i="1"/>
  <c r="BL84" i="1"/>
  <c r="BK84" i="1"/>
  <c r="BJ84" i="1"/>
  <c r="BH84" i="1"/>
  <c r="AN84" i="1"/>
  <c r="AM84" i="1"/>
  <c r="AL84" i="1"/>
  <c r="AK84" i="1"/>
  <c r="AI84" i="1"/>
  <c r="AH84" i="1"/>
  <c r="AG84" i="1"/>
  <c r="AF84" i="1"/>
  <c r="AD84" i="1"/>
  <c r="AC84" i="1"/>
  <c r="AB84" i="1"/>
  <c r="AA84" i="1"/>
  <c r="Y84" i="1"/>
  <c r="X84" i="1"/>
  <c r="W84" i="1"/>
  <c r="L84" i="1"/>
  <c r="J84" i="1"/>
  <c r="CX83" i="1"/>
  <c r="CV83" i="1"/>
  <c r="CU83" i="1"/>
  <c r="CT83" i="1"/>
  <c r="CS83" i="1"/>
  <c r="CQ83" i="1"/>
  <c r="CP83" i="1"/>
  <c r="CO83" i="1"/>
  <c r="CN83" i="1"/>
  <c r="CL83" i="1"/>
  <c r="CK83" i="1"/>
  <c r="CJ83" i="1"/>
  <c r="CI83" i="1"/>
  <c r="CG83" i="1"/>
  <c r="CF83" i="1"/>
  <c r="CE83" i="1"/>
  <c r="CD83" i="1"/>
  <c r="CB83" i="1"/>
  <c r="CA83" i="1"/>
  <c r="BZ83" i="1"/>
  <c r="BY83" i="1"/>
  <c r="BW83" i="1"/>
  <c r="BV83" i="1"/>
  <c r="BU83" i="1"/>
  <c r="BT83" i="1"/>
  <c r="BR83" i="1"/>
  <c r="BQ83" i="1"/>
  <c r="BP83" i="1"/>
  <c r="BO83" i="1"/>
  <c r="BM83" i="1"/>
  <c r="BL83" i="1"/>
  <c r="BK83" i="1"/>
  <c r="BJ83" i="1"/>
  <c r="BH83" i="1"/>
  <c r="BG83" i="1"/>
  <c r="BF83" i="1"/>
  <c r="BE83" i="1"/>
  <c r="BC83" i="1"/>
  <c r="BB83" i="1"/>
  <c r="BA83" i="1"/>
  <c r="AZ83" i="1"/>
  <c r="AX83" i="1"/>
  <c r="AW83" i="1"/>
  <c r="AS83" i="1"/>
  <c r="AR83" i="1"/>
  <c r="AQ83" i="1"/>
  <c r="AP83" i="1"/>
  <c r="AN83" i="1"/>
  <c r="AM83" i="1"/>
  <c r="AL83" i="1"/>
  <c r="AK83" i="1"/>
  <c r="AI83" i="1"/>
  <c r="AH83" i="1"/>
  <c r="AG83" i="1"/>
  <c r="AF83" i="1"/>
  <c r="AD83" i="1"/>
  <c r="AC83" i="1"/>
  <c r="AB83" i="1"/>
  <c r="AA83" i="1"/>
  <c r="Y83" i="1"/>
  <c r="X83" i="1"/>
  <c r="W83" i="1"/>
  <c r="V83" i="1"/>
  <c r="T83" i="1"/>
  <c r="S83" i="1"/>
  <c r="R83" i="1"/>
  <c r="Q83" i="1"/>
  <c r="O83" i="1"/>
  <c r="N83" i="1"/>
  <c r="M83" i="1"/>
  <c r="L83" i="1"/>
  <c r="J83" i="1"/>
  <c r="I83" i="1"/>
  <c r="H83" i="1"/>
  <c r="E83" i="1"/>
  <c r="D83" i="1"/>
  <c r="C83" i="1"/>
  <c r="B83" i="1"/>
  <c r="CX79" i="1"/>
  <c r="CV79" i="1"/>
  <c r="CU79" i="1"/>
  <c r="CT79" i="1"/>
  <c r="CS79" i="1"/>
  <c r="CQ79" i="1"/>
  <c r="CP79" i="1"/>
  <c r="CO79" i="1"/>
  <c r="CN79" i="1"/>
  <c r="CL79" i="1"/>
  <c r="CK79" i="1"/>
  <c r="CJ79" i="1"/>
  <c r="CI79" i="1"/>
  <c r="CG79" i="1"/>
  <c r="CF79" i="1"/>
  <c r="CE79" i="1"/>
  <c r="CD79" i="1"/>
  <c r="CB79" i="1"/>
  <c r="CA79" i="1"/>
  <c r="BZ79" i="1"/>
  <c r="BY79" i="1"/>
  <c r="BW79" i="1"/>
  <c r="BV79" i="1"/>
  <c r="BU79" i="1"/>
  <c r="BT79" i="1"/>
  <c r="BR79" i="1"/>
  <c r="BQ79" i="1"/>
  <c r="BP79" i="1"/>
  <c r="BO79" i="1"/>
  <c r="BM79" i="1"/>
  <c r="BL79" i="1"/>
  <c r="BK79" i="1"/>
  <c r="BJ79" i="1"/>
  <c r="BH79" i="1"/>
  <c r="BG79" i="1"/>
  <c r="BF79" i="1"/>
  <c r="BE79" i="1"/>
  <c r="BC79" i="1"/>
  <c r="BB79" i="1"/>
  <c r="BA79" i="1"/>
  <c r="AZ79" i="1"/>
  <c r="AX79" i="1"/>
  <c r="AW79" i="1"/>
  <c r="X79" i="1"/>
  <c r="W79" i="1"/>
  <c r="V79" i="1"/>
  <c r="T79" i="1"/>
  <c r="S79" i="1"/>
  <c r="R79" i="1"/>
  <c r="Q79" i="1"/>
  <c r="O79" i="1"/>
  <c r="N79" i="1"/>
  <c r="M79" i="1"/>
  <c r="L79" i="1"/>
  <c r="J79" i="1"/>
  <c r="I79" i="1"/>
  <c r="H79" i="1"/>
  <c r="E79" i="1"/>
  <c r="D79" i="1"/>
  <c r="C79" i="1"/>
  <c r="B79" i="1"/>
  <c r="CX77" i="1"/>
  <c r="CV77" i="1"/>
  <c r="CW77" i="1" s="1"/>
  <c r="CU77" i="1"/>
  <c r="CT77" i="1"/>
  <c r="CS77" i="1"/>
  <c r="CQ77" i="1"/>
  <c r="CR77" i="1" s="1"/>
  <c r="CP77" i="1"/>
  <c r="CO77" i="1"/>
  <c r="CN77" i="1"/>
  <c r="CL77" i="1"/>
  <c r="CM77" i="1" s="1"/>
  <c r="CK77" i="1"/>
  <c r="CJ77" i="1"/>
  <c r="CI77" i="1"/>
  <c r="CG77" i="1"/>
  <c r="CH77" i="1" s="1"/>
  <c r="CF77" i="1"/>
  <c r="CE77" i="1"/>
  <c r="CD77" i="1"/>
  <c r="CB77" i="1"/>
  <c r="CC77" i="1" s="1"/>
  <c r="CA77" i="1"/>
  <c r="CA62" i="9" s="1"/>
  <c r="BZ77" i="1"/>
  <c r="BZ62" i="9" s="1"/>
  <c r="BY77" i="1"/>
  <c r="BY62" i="9" s="1"/>
  <c r="BW77" i="1"/>
  <c r="BV77" i="1"/>
  <c r="BV62" i="9" s="1"/>
  <c r="BU77" i="1"/>
  <c r="BU62" i="9" s="1"/>
  <c r="BT77" i="1"/>
  <c r="BT62" i="9" s="1"/>
  <c r="BR77" i="1"/>
  <c r="BS77" i="1" s="1"/>
  <c r="BQ77" i="1"/>
  <c r="BP77" i="1"/>
  <c r="BO77" i="1"/>
  <c r="BM77" i="1"/>
  <c r="BN77" i="1" s="1"/>
  <c r="BL77" i="1"/>
  <c r="BK77" i="1"/>
  <c r="BJ77" i="1"/>
  <c r="BH77" i="1"/>
  <c r="BI77" i="1" s="1"/>
  <c r="BG77" i="1"/>
  <c r="BF77" i="1"/>
  <c r="BE77" i="1"/>
  <c r="BC77" i="1"/>
  <c r="BD77" i="1" s="1"/>
  <c r="BB77" i="1"/>
  <c r="BA77" i="1"/>
  <c r="AZ77" i="1"/>
  <c r="AX77" i="1"/>
  <c r="AY77" i="1" s="1"/>
  <c r="AW77" i="1"/>
  <c r="AV77" i="1"/>
  <c r="AU77" i="1"/>
  <c r="AS77" i="1"/>
  <c r="AT77" i="1" s="1"/>
  <c r="AR77" i="1"/>
  <c r="AQ77" i="1"/>
  <c r="AP77" i="1"/>
  <c r="AN77" i="1"/>
  <c r="AO77" i="1" s="1"/>
  <c r="AM77" i="1"/>
  <c r="AL77" i="1"/>
  <c r="AK77" i="1"/>
  <c r="AI77" i="1"/>
  <c r="AJ77" i="1" s="1"/>
  <c r="AH77" i="1"/>
  <c r="AG77" i="1"/>
  <c r="AF77" i="1"/>
  <c r="AD77" i="1"/>
  <c r="AE77" i="1" s="1"/>
  <c r="AC77" i="1"/>
  <c r="AB77" i="1"/>
  <c r="AA77" i="1"/>
  <c r="Y77" i="1"/>
  <c r="Z77" i="1" s="1"/>
  <c r="X77" i="1"/>
  <c r="W77" i="1"/>
  <c r="V77" i="1"/>
  <c r="T77" i="1"/>
  <c r="U77" i="1" s="1"/>
  <c r="S77" i="1"/>
  <c r="R77" i="1"/>
  <c r="Q77" i="1"/>
  <c r="O77" i="1"/>
  <c r="N77" i="1"/>
  <c r="M77" i="1"/>
  <c r="L77" i="1"/>
  <c r="J77" i="1"/>
  <c r="I77" i="1"/>
  <c r="H77" i="1"/>
  <c r="G77" i="1"/>
  <c r="E77" i="1"/>
  <c r="D77" i="1"/>
  <c r="C77" i="1"/>
  <c r="B77" i="1"/>
  <c r="AB75" i="1"/>
  <c r="T75" i="1"/>
  <c r="U75" i="1" s="1"/>
  <c r="S75" i="1"/>
  <c r="R75" i="1"/>
  <c r="Q75" i="1"/>
  <c r="O75" i="1"/>
  <c r="N75" i="1"/>
  <c r="M75" i="1"/>
  <c r="L75" i="1"/>
  <c r="J75" i="1"/>
  <c r="I75" i="1"/>
  <c r="H75" i="1"/>
  <c r="G75" i="1"/>
  <c r="E75" i="1"/>
  <c r="D75" i="1"/>
  <c r="C75" i="1"/>
  <c r="B75" i="1"/>
  <c r="CX73" i="1"/>
  <c r="CV73" i="1"/>
  <c r="CW73" i="1" s="1"/>
  <c r="CU73" i="1"/>
  <c r="CT73" i="1"/>
  <c r="CS73" i="1"/>
  <c r="CQ73" i="1"/>
  <c r="CP73" i="1"/>
  <c r="CO73" i="1"/>
  <c r="CN73" i="1"/>
  <c r="CL73" i="1"/>
  <c r="CK73" i="1"/>
  <c r="CJ73" i="1"/>
  <c r="CI73" i="1"/>
  <c r="CG73" i="1"/>
  <c r="CF73" i="1"/>
  <c r="CE73" i="1"/>
  <c r="CD73" i="1"/>
  <c r="CB73" i="1"/>
  <c r="CC73" i="1" s="1"/>
  <c r="CA73" i="1"/>
  <c r="BZ73" i="1"/>
  <c r="BY73" i="1"/>
  <c r="BW73" i="1"/>
  <c r="BV73" i="1"/>
  <c r="BU73" i="1"/>
  <c r="BT73" i="1"/>
  <c r="BR73" i="1"/>
  <c r="BS73" i="1" s="1"/>
  <c r="BQ73" i="1"/>
  <c r="BP73" i="1"/>
  <c r="BO73" i="1"/>
  <c r="BM73" i="1"/>
  <c r="BL73" i="1"/>
  <c r="BK73" i="1"/>
  <c r="BJ73" i="1"/>
  <c r="BH73" i="1"/>
  <c r="BI73" i="1" s="1"/>
  <c r="BG73" i="1"/>
  <c r="BF73" i="1"/>
  <c r="BE73" i="1"/>
  <c r="BC73" i="1"/>
  <c r="BB73" i="1"/>
  <c r="BA73" i="1"/>
  <c r="AZ73" i="1"/>
  <c r="AX73" i="1"/>
  <c r="AW73" i="1"/>
  <c r="AV73" i="1"/>
  <c r="AU73" i="1"/>
  <c r="AS73" i="1"/>
  <c r="AR73" i="1"/>
  <c r="AQ73" i="1"/>
  <c r="AH73" i="1"/>
  <c r="AG73" i="1"/>
  <c r="AF73" i="1"/>
  <c r="AD73" i="1"/>
  <c r="AC73" i="1"/>
  <c r="AA73" i="1"/>
  <c r="Y73" i="1"/>
  <c r="X73" i="1"/>
  <c r="W73" i="1"/>
  <c r="V73" i="1"/>
  <c r="T73" i="1"/>
  <c r="U73" i="1" s="1"/>
  <c r="S73" i="1"/>
  <c r="R73" i="1"/>
  <c r="Q73" i="1"/>
  <c r="O73" i="1"/>
  <c r="N73" i="1"/>
  <c r="M73" i="1"/>
  <c r="L73" i="1"/>
  <c r="E73" i="1"/>
  <c r="D73" i="1"/>
  <c r="C73" i="1"/>
  <c r="B73" i="1"/>
  <c r="DN67" i="1"/>
  <c r="DO67" i="1" s="1"/>
  <c r="DP67" i="1" s="1"/>
  <c r="DR67" i="1" s="1"/>
  <c r="DS67" i="1" s="1"/>
  <c r="DT67" i="1" s="1"/>
  <c r="DU67" i="1" s="1"/>
  <c r="DW67" i="1" s="1"/>
  <c r="DX67" i="1" s="1"/>
  <c r="DY67" i="1" s="1"/>
  <c r="DZ67" i="1" s="1"/>
  <c r="EB67" i="1" s="1"/>
  <c r="EC67" i="1" s="1"/>
  <c r="ED67" i="1" s="1"/>
  <c r="EE67" i="1" s="1"/>
  <c r="CX64" i="1"/>
  <c r="CV64" i="1"/>
  <c r="CU64" i="1"/>
  <c r="CT64" i="1"/>
  <c r="CS64" i="1"/>
  <c r="CQ64" i="1"/>
  <c r="CP64" i="1"/>
  <c r="CO64" i="1"/>
  <c r="CN64" i="1"/>
  <c r="CL64" i="1"/>
  <c r="CK64" i="1"/>
  <c r="CJ64" i="1"/>
  <c r="CI64" i="1"/>
  <c r="CG64" i="1"/>
  <c r="CF64" i="1"/>
  <c r="CE64" i="1"/>
  <c r="CD64" i="1"/>
  <c r="CB64" i="1"/>
  <c r="CA64" i="1"/>
  <c r="BZ64" i="1"/>
  <c r="BY64" i="1"/>
  <c r="BW64" i="1"/>
  <c r="BV64" i="1"/>
  <c r="BU64" i="1"/>
  <c r="BT64" i="1"/>
  <c r="BR64" i="1"/>
  <c r="BQ64" i="1"/>
  <c r="BP64" i="1"/>
  <c r="BO64" i="1"/>
  <c r="BM64" i="1"/>
  <c r="BL64" i="1"/>
  <c r="BK64" i="1"/>
  <c r="BJ64" i="1"/>
  <c r="BH64" i="1"/>
  <c r="BG64" i="1"/>
  <c r="BF64" i="1"/>
  <c r="BE64" i="1"/>
  <c r="BC64" i="1"/>
  <c r="BB64" i="1"/>
  <c r="BA64" i="1"/>
  <c r="AZ64" i="1"/>
  <c r="AX64" i="1"/>
  <c r="AW64" i="1"/>
  <c r="AV64" i="1"/>
  <c r="AU64" i="1"/>
  <c r="AS64" i="1"/>
  <c r="AR64" i="1"/>
  <c r="AQ64" i="1"/>
  <c r="AP64" i="1"/>
  <c r="AN64" i="1"/>
  <c r="AM64" i="1"/>
  <c r="AL64" i="1"/>
  <c r="AK64" i="1"/>
  <c r="AI64" i="1"/>
  <c r="AH64" i="1"/>
  <c r="AG64" i="1"/>
  <c r="AF64" i="1"/>
  <c r="AD64" i="1"/>
  <c r="AC64" i="1"/>
  <c r="AB64" i="1"/>
  <c r="AA64" i="1"/>
  <c r="Y64" i="1"/>
  <c r="X64" i="1"/>
  <c r="W64" i="1"/>
  <c r="V64" i="1"/>
  <c r="T64" i="1"/>
  <c r="S64" i="1"/>
  <c r="R64" i="1"/>
  <c r="Q64" i="1"/>
  <c r="O64" i="1"/>
  <c r="N64" i="1"/>
  <c r="M64" i="1"/>
  <c r="L64" i="1"/>
  <c r="J64" i="1"/>
  <c r="I64" i="1"/>
  <c r="H64" i="1"/>
  <c r="G64" i="1"/>
  <c r="E64" i="1"/>
  <c r="D64" i="1"/>
  <c r="C64" i="1"/>
  <c r="B64" i="1"/>
  <c r="S51" i="1"/>
  <c r="R51" i="1"/>
  <c r="Q51" i="1"/>
  <c r="O51" i="1"/>
  <c r="N51" i="1"/>
  <c r="M51" i="1"/>
  <c r="L51" i="1"/>
  <c r="J51" i="1"/>
  <c r="I51" i="1"/>
  <c r="H51" i="1"/>
  <c r="G51" i="1"/>
  <c r="E51" i="1"/>
  <c r="D51" i="1"/>
  <c r="C51" i="1"/>
  <c r="B51" i="1"/>
  <c r="Q50" i="1"/>
  <c r="Q26" i="2" s="1"/>
  <c r="O50" i="1"/>
  <c r="N50" i="1"/>
  <c r="M50" i="1"/>
  <c r="L50" i="1"/>
  <c r="J50" i="1"/>
  <c r="J26" i="2" s="1"/>
  <c r="I50" i="1"/>
  <c r="H50" i="1"/>
  <c r="H26" i="2" s="1"/>
  <c r="E50" i="1"/>
  <c r="E26" i="2" s="1"/>
  <c r="D50" i="1"/>
  <c r="D26" i="2" s="1"/>
  <c r="C50" i="1"/>
  <c r="B50" i="1"/>
  <c r="BA49" i="1"/>
  <c r="AZ49" i="1"/>
  <c r="CX47" i="1"/>
  <c r="CV47" i="1"/>
  <c r="CW47" i="1" s="1"/>
  <c r="CU47" i="1"/>
  <c r="CT47" i="1"/>
  <c r="CS47" i="1"/>
  <c r="CQ47" i="1"/>
  <c r="CR47" i="1" s="1"/>
  <c r="CP47" i="1"/>
  <c r="CO47" i="1"/>
  <c r="CN47" i="1"/>
  <c r="CL47" i="1"/>
  <c r="CK47" i="1"/>
  <c r="CJ47" i="1"/>
  <c r="CI47" i="1"/>
  <c r="CG47" i="1"/>
  <c r="CF47" i="1"/>
  <c r="CE47" i="1"/>
  <c r="CD47" i="1"/>
  <c r="CB47" i="1"/>
  <c r="CC47" i="1" s="1"/>
  <c r="CA47" i="1"/>
  <c r="BZ47" i="1"/>
  <c r="BY47" i="1"/>
  <c r="BW47" i="1"/>
  <c r="BV47" i="1"/>
  <c r="BU47" i="1"/>
  <c r="BT47" i="1"/>
  <c r="BR47" i="1"/>
  <c r="BS47" i="1" s="1"/>
  <c r="BQ47" i="1"/>
  <c r="BP47" i="1"/>
  <c r="BO47" i="1"/>
  <c r="BM47" i="1"/>
  <c r="BN47" i="1" s="1"/>
  <c r="BL47" i="1"/>
  <c r="BK47" i="1"/>
  <c r="BJ47" i="1"/>
  <c r="BH47" i="1"/>
  <c r="BI47" i="1" s="1"/>
  <c r="BG47" i="1"/>
  <c r="BF47" i="1"/>
  <c r="BE47" i="1"/>
  <c r="BC47" i="1"/>
  <c r="BB47" i="1"/>
  <c r="BA47" i="1"/>
  <c r="AZ47" i="1"/>
  <c r="AX47" i="1"/>
  <c r="AY47" i="1" s="1"/>
  <c r="AV47" i="1"/>
  <c r="AU47" i="1"/>
  <c r="AS47" i="1"/>
  <c r="AQ47" i="1"/>
  <c r="AP47" i="1"/>
  <c r="AN47" i="1"/>
  <c r="AO47" i="1" s="1"/>
  <c r="AM47" i="1"/>
  <c r="AM43" i="1" s="1"/>
  <c r="AL47" i="1"/>
  <c r="AK47" i="1"/>
  <c r="AI47" i="1"/>
  <c r="AI43" i="1" s="1"/>
  <c r="AH47" i="1"/>
  <c r="AH43" i="1" s="1"/>
  <c r="AG47" i="1"/>
  <c r="AG43" i="1" s="1"/>
  <c r="AF47" i="1"/>
  <c r="AF43" i="1" s="1"/>
  <c r="AD47" i="1"/>
  <c r="AC47" i="1"/>
  <c r="AC43" i="1" s="1"/>
  <c r="AB47" i="1"/>
  <c r="AA47" i="1"/>
  <c r="Y47" i="1"/>
  <c r="Y43" i="1" s="1"/>
  <c r="Y52" i="1" s="1"/>
  <c r="V47" i="1"/>
  <c r="V43" i="1" s="1"/>
  <c r="V52" i="1" s="1"/>
  <c r="U47" i="1"/>
  <c r="O47" i="1"/>
  <c r="K47" i="1"/>
  <c r="F47" i="1"/>
  <c r="CW46" i="1"/>
  <c r="CR46" i="1"/>
  <c r="CM46" i="1"/>
  <c r="CH46" i="1"/>
  <c r="CC46" i="1"/>
  <c r="BX46" i="1"/>
  <c r="BS46" i="1"/>
  <c r="BN46" i="1"/>
  <c r="BI46" i="1"/>
  <c r="BD46" i="1"/>
  <c r="AY46" i="1"/>
  <c r="AV46" i="1"/>
  <c r="AT46" i="1"/>
  <c r="AO46" i="1"/>
  <c r="AJ46" i="1"/>
  <c r="AE46" i="1"/>
  <c r="Z46" i="1"/>
  <c r="U46" i="1"/>
  <c r="P46" i="1"/>
  <c r="K46" i="1"/>
  <c r="F46" i="1"/>
  <c r="DB45" i="1"/>
  <c r="DG45" i="1" s="1"/>
  <c r="DJ45" i="1" s="1"/>
  <c r="DK45" i="1" s="1"/>
  <c r="DL45" i="1" s="1"/>
  <c r="DM45" i="1" s="1"/>
  <c r="DN45" i="1" s="1"/>
  <c r="DO45" i="1" s="1"/>
  <c r="DP45" i="1" s="1"/>
  <c r="DQ45" i="1" s="1"/>
  <c r="DR45" i="1" s="1"/>
  <c r="DS45" i="1" s="1"/>
  <c r="DT45" i="1" s="1"/>
  <c r="DU45" i="1" s="1"/>
  <c r="DV45" i="1" s="1"/>
  <c r="DW45" i="1" s="1"/>
  <c r="DX45" i="1" s="1"/>
  <c r="DY45" i="1" s="1"/>
  <c r="DZ45" i="1" s="1"/>
  <c r="EA45" i="1" s="1"/>
  <c r="EB45" i="1" s="1"/>
  <c r="EC45" i="1" s="1"/>
  <c r="ED45" i="1" s="1"/>
  <c r="EE45" i="1" s="1"/>
  <c r="EF45" i="1" s="1"/>
  <c r="CW45" i="1"/>
  <c r="CR45" i="1"/>
  <c r="CM45" i="1"/>
  <c r="CH45" i="1"/>
  <c r="CC45" i="1"/>
  <c r="BX45" i="1"/>
  <c r="BU45" i="1"/>
  <c r="BS45" i="1"/>
  <c r="BN45" i="1"/>
  <c r="BI45" i="1"/>
  <c r="BD45" i="1"/>
  <c r="AY45" i="1"/>
  <c r="AV45" i="1"/>
  <c r="AT45" i="1"/>
  <c r="AO45" i="1"/>
  <c r="AJ45" i="1"/>
  <c r="AE45" i="1"/>
  <c r="Z45" i="1"/>
  <c r="U45" i="1"/>
  <c r="N45" i="1"/>
  <c r="K45" i="1"/>
  <c r="F45" i="1"/>
  <c r="CX44" i="1"/>
  <c r="CV44" i="1"/>
  <c r="CU44" i="1"/>
  <c r="CT44" i="1"/>
  <c r="CS44" i="1"/>
  <c r="CQ44" i="1"/>
  <c r="CR44" i="1" s="1"/>
  <c r="CP44" i="1"/>
  <c r="CO44" i="1"/>
  <c r="CN44" i="1"/>
  <c r="CL44" i="1"/>
  <c r="CK44" i="1"/>
  <c r="CJ44" i="1"/>
  <c r="CI44" i="1"/>
  <c r="CG44" i="1"/>
  <c r="CH44" i="1" s="1"/>
  <c r="CF44" i="1"/>
  <c r="CE44" i="1"/>
  <c r="CD44" i="1"/>
  <c r="CB44" i="1"/>
  <c r="CC44" i="1" s="1"/>
  <c r="CA44" i="1"/>
  <c r="BZ44" i="1"/>
  <c r="BY44" i="1"/>
  <c r="BW44" i="1"/>
  <c r="BV44" i="1"/>
  <c r="BU44" i="1"/>
  <c r="BT44" i="1"/>
  <c r="BR44" i="1"/>
  <c r="BQ44" i="1"/>
  <c r="BP44" i="1"/>
  <c r="BO44" i="1"/>
  <c r="BM44" i="1"/>
  <c r="BL44" i="1"/>
  <c r="BK44" i="1"/>
  <c r="BJ44" i="1"/>
  <c r="BH44" i="1"/>
  <c r="BG44" i="1"/>
  <c r="BF44" i="1"/>
  <c r="BE44" i="1"/>
  <c r="BC44" i="1"/>
  <c r="BD44" i="1" s="1"/>
  <c r="BB44" i="1"/>
  <c r="BA44" i="1"/>
  <c r="AZ44" i="1"/>
  <c r="AX44" i="1"/>
  <c r="AW44" i="1"/>
  <c r="AV44" i="1"/>
  <c r="AU44" i="1"/>
  <c r="AS44" i="1"/>
  <c r="AT44" i="1" s="1"/>
  <c r="AR44" i="1"/>
  <c r="AR47" i="1" s="1"/>
  <c r="AR43" i="1" s="1"/>
  <c r="AQ44" i="1"/>
  <c r="AP44" i="1"/>
  <c r="AN44" i="1"/>
  <c r="AL44" i="1"/>
  <c r="AK44" i="1"/>
  <c r="AJ44" i="1"/>
  <c r="AE44" i="1"/>
  <c r="AB44" i="1"/>
  <c r="AA44" i="1"/>
  <c r="Z44" i="1"/>
  <c r="X44" i="1"/>
  <c r="X43" i="1" s="1"/>
  <c r="X52" i="1" s="1"/>
  <c r="W44" i="1"/>
  <c r="W43" i="1" s="1"/>
  <c r="W52" i="1" s="1"/>
  <c r="U44" i="1"/>
  <c r="P44" i="1"/>
  <c r="K44" i="1"/>
  <c r="F44" i="1"/>
  <c r="T43" i="1"/>
  <c r="S43" i="1"/>
  <c r="R43" i="1"/>
  <c r="R52" i="1" s="1"/>
  <c r="Q43" i="1"/>
  <c r="Q52" i="1" s="1"/>
  <c r="M43" i="1"/>
  <c r="L43" i="1"/>
  <c r="AK173" i="20" s="1"/>
  <c r="J43" i="1"/>
  <c r="J57" i="1" s="1"/>
  <c r="I43" i="1"/>
  <c r="H43" i="1"/>
  <c r="G43" i="1"/>
  <c r="E43" i="1"/>
  <c r="D43" i="1"/>
  <c r="C43" i="1"/>
  <c r="B43" i="1"/>
  <c r="CW42" i="1"/>
  <c r="CR42" i="1"/>
  <c r="CR150" i="1" s="1"/>
  <c r="CM42" i="1"/>
  <c r="CH42" i="1"/>
  <c r="CH150" i="1" s="1"/>
  <c r="CC42" i="1"/>
  <c r="BX42" i="1"/>
  <c r="BS42" i="1"/>
  <c r="BN42" i="1"/>
  <c r="BI42" i="1"/>
  <c r="BD42" i="1"/>
  <c r="AY42" i="1"/>
  <c r="AT42" i="1"/>
  <c r="AT150" i="1" s="1"/>
  <c r="AO42" i="1"/>
  <c r="AJ42" i="1"/>
  <c r="AE42" i="1"/>
  <c r="BD171" i="15" s="1"/>
  <c r="Z42" i="1"/>
  <c r="U42" i="1"/>
  <c r="P42" i="1"/>
  <c r="K42" i="1"/>
  <c r="F42" i="1"/>
  <c r="G42" i="1" s="1"/>
  <c r="DB41" i="1"/>
  <c r="DG41" i="1" s="1"/>
  <c r="AD41" i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AB41" i="1"/>
  <c r="Y41" i="1"/>
  <c r="Z41" i="1" s="1"/>
  <c r="S41" i="1"/>
  <c r="T41" i="1" s="1"/>
  <c r="U41" i="1" s="1"/>
  <c r="N41" i="1"/>
  <c r="O41" i="1" s="1"/>
  <c r="P41" i="1" s="1"/>
  <c r="K41" i="1"/>
  <c r="G41" i="1"/>
  <c r="F41" i="1"/>
  <c r="AJ40" i="1"/>
  <c r="AH40" i="1"/>
  <c r="AG40" i="1"/>
  <c r="AF40" i="1"/>
  <c r="AD40" i="1"/>
  <c r="AB40" i="1"/>
  <c r="AA40" i="1"/>
  <c r="Y40" i="1"/>
  <c r="Z40" i="1" s="1"/>
  <c r="X40" i="1"/>
  <c r="W40" i="1"/>
  <c r="W149" i="1" s="1"/>
  <c r="V40" i="1"/>
  <c r="V149" i="1" s="1"/>
  <c r="T40" i="1"/>
  <c r="U40" i="1" s="1"/>
  <c r="S40" i="1"/>
  <c r="R40" i="1"/>
  <c r="Q40" i="1"/>
  <c r="Q27" i="1" s="1"/>
  <c r="O40" i="1"/>
  <c r="P40" i="1" s="1"/>
  <c r="N40" i="1"/>
  <c r="N149" i="1" s="1"/>
  <c r="M40" i="1"/>
  <c r="M27" i="1" s="1"/>
  <c r="L40" i="1"/>
  <c r="L27" i="1" s="1"/>
  <c r="J40" i="1"/>
  <c r="I40" i="1"/>
  <c r="H40" i="1"/>
  <c r="AG163" i="20" s="1"/>
  <c r="F40" i="1"/>
  <c r="D40" i="1"/>
  <c r="C40" i="1"/>
  <c r="B40" i="1"/>
  <c r="CX39" i="1"/>
  <c r="DB39" i="1" s="1"/>
  <c r="DG39" i="1" s="1"/>
  <c r="DJ39" i="1" s="1"/>
  <c r="DK39" i="1" s="1"/>
  <c r="DL39" i="1" s="1"/>
  <c r="DM39" i="1" s="1"/>
  <c r="DN39" i="1" s="1"/>
  <c r="DO39" i="1" s="1"/>
  <c r="DP39" i="1" s="1"/>
  <c r="DQ39" i="1" s="1"/>
  <c r="DR39" i="1" s="1"/>
  <c r="DS39" i="1" s="1"/>
  <c r="DT39" i="1" s="1"/>
  <c r="DU39" i="1" s="1"/>
  <c r="DV39" i="1" s="1"/>
  <c r="DW39" i="1" s="1"/>
  <c r="DX39" i="1" s="1"/>
  <c r="DY39" i="1" s="1"/>
  <c r="DZ39" i="1" s="1"/>
  <c r="EA39" i="1" s="1"/>
  <c r="EB39" i="1" s="1"/>
  <c r="EC39" i="1" s="1"/>
  <c r="ED39" i="1" s="1"/>
  <c r="EE39" i="1" s="1"/>
  <c r="EF39" i="1" s="1"/>
  <c r="CV39" i="1"/>
  <c r="CW39" i="1" s="1"/>
  <c r="CU39" i="1"/>
  <c r="CT39" i="1"/>
  <c r="CS39" i="1"/>
  <c r="CQ39" i="1"/>
  <c r="CR39" i="1" s="1"/>
  <c r="CP39" i="1"/>
  <c r="CO39" i="1"/>
  <c r="CN39" i="1"/>
  <c r="CL39" i="1"/>
  <c r="CM39" i="1" s="1"/>
  <c r="CK39" i="1"/>
  <c r="CJ39" i="1"/>
  <c r="CI39" i="1"/>
  <c r="CG39" i="1"/>
  <c r="CH39" i="1" s="1"/>
  <c r="CF39" i="1"/>
  <c r="CE39" i="1"/>
  <c r="CD39" i="1"/>
  <c r="CB39" i="1"/>
  <c r="CC39" i="1" s="1"/>
  <c r="CA39" i="1"/>
  <c r="BZ39" i="1"/>
  <c r="BY39" i="1"/>
  <c r="BW39" i="1"/>
  <c r="BX39" i="1" s="1"/>
  <c r="BV39" i="1"/>
  <c r="BU39" i="1"/>
  <c r="BT39" i="1"/>
  <c r="BR39" i="1"/>
  <c r="BS39" i="1" s="1"/>
  <c r="BQ39" i="1"/>
  <c r="BP39" i="1"/>
  <c r="BO39" i="1"/>
  <c r="BM39" i="1"/>
  <c r="BN39" i="1" s="1"/>
  <c r="BL39" i="1"/>
  <c r="BK39" i="1"/>
  <c r="BJ39" i="1"/>
  <c r="BH39" i="1"/>
  <c r="BI39" i="1" s="1"/>
  <c r="BG39" i="1"/>
  <c r="BF39" i="1"/>
  <c r="BE39" i="1"/>
  <c r="BC39" i="1"/>
  <c r="BD39" i="1" s="1"/>
  <c r="BB39" i="1"/>
  <c r="BA39" i="1"/>
  <c r="AZ39" i="1"/>
  <c r="AX39" i="1"/>
  <c r="AY39" i="1" s="1"/>
  <c r="AW39" i="1"/>
  <c r="AV39" i="1"/>
  <c r="AS39" i="1"/>
  <c r="AT39" i="1" s="1"/>
  <c r="AD39" i="1"/>
  <c r="AE39" i="1" s="1"/>
  <c r="AF39" i="1" s="1"/>
  <c r="AB39" i="1"/>
  <c r="Z39" i="1"/>
  <c r="U39" i="1"/>
  <c r="P39" i="1"/>
  <c r="K39" i="1"/>
  <c r="F39" i="1"/>
  <c r="CW38" i="1"/>
  <c r="DV167" i="20" s="1"/>
  <c r="CR38" i="1"/>
  <c r="DQ167" i="20" s="1"/>
  <c r="CM38" i="1"/>
  <c r="DL167" i="20" s="1"/>
  <c r="CH38" i="1"/>
  <c r="CC38" i="1"/>
  <c r="BX38" i="1"/>
  <c r="BS38" i="1"/>
  <c r="BN38" i="1"/>
  <c r="BI38" i="1"/>
  <c r="CH167" i="20" s="1"/>
  <c r="BD38" i="1"/>
  <c r="AZ38" i="1"/>
  <c r="AX38" i="1"/>
  <c r="AT38" i="1"/>
  <c r="AO38" i="1"/>
  <c r="AJ38" i="1"/>
  <c r="AE38" i="1"/>
  <c r="Z38" i="1"/>
  <c r="U38" i="1"/>
  <c r="P38" i="1"/>
  <c r="K38" i="1"/>
  <c r="AJ167" i="20" s="1"/>
  <c r="G38" i="1"/>
  <c r="AF167" i="20" s="1"/>
  <c r="F38" i="1"/>
  <c r="AE167" i="20" s="1"/>
  <c r="CX37" i="1"/>
  <c r="CV37" i="1"/>
  <c r="CW37" i="1" s="1"/>
  <c r="CU37" i="1"/>
  <c r="CT37" i="1"/>
  <c r="CS37" i="1"/>
  <c r="CQ37" i="1"/>
  <c r="CR37" i="1" s="1"/>
  <c r="CP37" i="1"/>
  <c r="CO37" i="1"/>
  <c r="CN37" i="1"/>
  <c r="CL37" i="1"/>
  <c r="CM37" i="1" s="1"/>
  <c r="CK37" i="1"/>
  <c r="CJ37" i="1"/>
  <c r="CI37" i="1"/>
  <c r="CG37" i="1"/>
  <c r="CH37" i="1" s="1"/>
  <c r="CF37" i="1"/>
  <c r="CE37" i="1"/>
  <c r="CD37" i="1"/>
  <c r="CB37" i="1"/>
  <c r="CC37" i="1" s="1"/>
  <c r="CA37" i="1"/>
  <c r="BZ37" i="1"/>
  <c r="BY37" i="1"/>
  <c r="BW37" i="1"/>
  <c r="BV37" i="1"/>
  <c r="BU37" i="1"/>
  <c r="BT37" i="1"/>
  <c r="BR37" i="1"/>
  <c r="BS37" i="1" s="1"/>
  <c r="BQ37" i="1"/>
  <c r="BP37" i="1"/>
  <c r="BO37" i="1"/>
  <c r="BM37" i="1"/>
  <c r="BN37" i="1" s="1"/>
  <c r="BL37" i="1"/>
  <c r="BK37" i="1"/>
  <c r="BJ37" i="1"/>
  <c r="BH37" i="1"/>
  <c r="BI37" i="1" s="1"/>
  <c r="BG37" i="1"/>
  <c r="BF37" i="1"/>
  <c r="BE37" i="1"/>
  <c r="BC37" i="1"/>
  <c r="BD37" i="1" s="1"/>
  <c r="BB37" i="1"/>
  <c r="BA37" i="1"/>
  <c r="AZ37" i="1"/>
  <c r="AX37" i="1"/>
  <c r="AW37" i="1"/>
  <c r="AV37" i="1"/>
  <c r="AU37" i="1"/>
  <c r="AS37" i="1"/>
  <c r="AT37" i="1" s="1"/>
  <c r="AR37" i="1"/>
  <c r="AQ37" i="1"/>
  <c r="AP37" i="1"/>
  <c r="AN37" i="1"/>
  <c r="AO37" i="1" s="1"/>
  <c r="AM37" i="1"/>
  <c r="AL37" i="1"/>
  <c r="AK37" i="1"/>
  <c r="AI37" i="1"/>
  <c r="AE37" i="1"/>
  <c r="Z37" i="1"/>
  <c r="U37" i="1"/>
  <c r="P37" i="1"/>
  <c r="K37" i="1"/>
  <c r="F37" i="1"/>
  <c r="CX36" i="1"/>
  <c r="CV36" i="1"/>
  <c r="CW36" i="1" s="1"/>
  <c r="CU36" i="1"/>
  <c r="CT36" i="1"/>
  <c r="CT103" i="1" s="1"/>
  <c r="CS36" i="1"/>
  <c r="CQ36" i="1"/>
  <c r="CP36" i="1"/>
  <c r="CO36" i="1"/>
  <c r="CO103" i="1" s="1"/>
  <c r="CN36" i="1"/>
  <c r="CL36" i="1"/>
  <c r="CL103" i="1" s="1"/>
  <c r="CK36" i="1"/>
  <c r="CK103" i="1" s="1"/>
  <c r="CJ36" i="1"/>
  <c r="CI36" i="1"/>
  <c r="CG36" i="1"/>
  <c r="CF36" i="1"/>
  <c r="CE36" i="1"/>
  <c r="CD36" i="1"/>
  <c r="CB36" i="1"/>
  <c r="CC36" i="1" s="1"/>
  <c r="CA36" i="1"/>
  <c r="CA103" i="1" s="1"/>
  <c r="BZ36" i="1"/>
  <c r="BZ103" i="1" s="1"/>
  <c r="BY36" i="1"/>
  <c r="BY103" i="1" s="1"/>
  <c r="BW36" i="1"/>
  <c r="BW103" i="1" s="1"/>
  <c r="BV36" i="1"/>
  <c r="BU36" i="1"/>
  <c r="BT36" i="1"/>
  <c r="BR36" i="1"/>
  <c r="BS36" i="1" s="1"/>
  <c r="BQ36" i="1"/>
  <c r="BP36" i="1"/>
  <c r="BO36" i="1"/>
  <c r="BO103" i="1" s="1"/>
  <c r="BM36" i="1"/>
  <c r="BL36" i="1"/>
  <c r="BK36" i="1"/>
  <c r="BK103" i="1" s="1"/>
  <c r="BJ36" i="1"/>
  <c r="BH36" i="1"/>
  <c r="BG36" i="1"/>
  <c r="BF36" i="1"/>
  <c r="BE36" i="1"/>
  <c r="BE103" i="1" s="1"/>
  <c r="BC36" i="1"/>
  <c r="BC148" i="1" s="1"/>
  <c r="BB36" i="1"/>
  <c r="BB103" i="1" s="1"/>
  <c r="BA36" i="1"/>
  <c r="BA103" i="1" s="1"/>
  <c r="AZ36" i="1"/>
  <c r="AZ103" i="1" s="1"/>
  <c r="AX36" i="1"/>
  <c r="AX103" i="1" s="1"/>
  <c r="AW36" i="1"/>
  <c r="AW103" i="1" s="1"/>
  <c r="AV36" i="1"/>
  <c r="AS36" i="1"/>
  <c r="AT36" i="1" s="1"/>
  <c r="AR36" i="1"/>
  <c r="AQ36" i="1"/>
  <c r="AP36" i="1"/>
  <c r="AN36" i="1"/>
  <c r="AM36" i="1"/>
  <c r="AM103" i="1" s="1"/>
  <c r="AL36" i="1"/>
  <c r="AL103" i="1" s="1"/>
  <c r="AK36" i="1"/>
  <c r="AK103" i="1" s="1"/>
  <c r="AI36" i="1"/>
  <c r="AI103" i="1" s="1"/>
  <c r="AE36" i="1"/>
  <c r="Z36" i="1"/>
  <c r="Z103" i="1" s="1"/>
  <c r="U36" i="1"/>
  <c r="U103" i="1" s="1"/>
  <c r="P36" i="1"/>
  <c r="P103" i="1" s="1"/>
  <c r="K36" i="1"/>
  <c r="G36" i="1"/>
  <c r="F36" i="1"/>
  <c r="CX35" i="1"/>
  <c r="CX87" i="1" s="1"/>
  <c r="CV35" i="1"/>
  <c r="CV147" i="1" s="1"/>
  <c r="CU35" i="1"/>
  <c r="CU87" i="1" s="1"/>
  <c r="CT35" i="1"/>
  <c r="CS35" i="1"/>
  <c r="CQ35" i="1"/>
  <c r="DP162" i="20" s="1"/>
  <c r="CP35" i="1"/>
  <c r="CO35" i="1"/>
  <c r="CN35" i="1"/>
  <c r="CL35" i="1"/>
  <c r="CK35" i="1"/>
  <c r="DJ162" i="20" s="1"/>
  <c r="CJ35" i="1"/>
  <c r="CJ147" i="1" s="1"/>
  <c r="CI35" i="1"/>
  <c r="CI87" i="1" s="1"/>
  <c r="CG35" i="1"/>
  <c r="CG147" i="1" s="1"/>
  <c r="CF35" i="1"/>
  <c r="CE35" i="1"/>
  <c r="CD35" i="1"/>
  <c r="CD147" i="1" s="1"/>
  <c r="CB35" i="1"/>
  <c r="CC35" i="1" s="1"/>
  <c r="CC87" i="1" s="1"/>
  <c r="CA35" i="1"/>
  <c r="BZ35" i="1"/>
  <c r="BY35" i="1"/>
  <c r="BW35" i="1"/>
  <c r="BX35" i="1" s="1"/>
  <c r="BX87" i="1" s="1"/>
  <c r="BV35" i="1"/>
  <c r="BU35" i="1"/>
  <c r="BT35" i="1"/>
  <c r="BT147" i="1" s="1"/>
  <c r="BR35" i="1"/>
  <c r="BR147" i="1" s="1"/>
  <c r="BQ35" i="1"/>
  <c r="BQ87" i="1" s="1"/>
  <c r="BP35" i="1"/>
  <c r="BP87" i="1" s="1"/>
  <c r="BO35" i="1"/>
  <c r="BM35" i="1"/>
  <c r="BL35" i="1"/>
  <c r="BK35" i="1"/>
  <c r="BJ35" i="1"/>
  <c r="BJ147" i="1" s="1"/>
  <c r="BH35" i="1"/>
  <c r="BI35" i="1" s="1"/>
  <c r="BI87" i="1" s="1"/>
  <c r="BG35" i="1"/>
  <c r="CF162" i="15" s="1"/>
  <c r="BF35" i="1"/>
  <c r="CE162" i="15" s="1"/>
  <c r="BE35" i="1"/>
  <c r="BC35" i="1"/>
  <c r="BD35" i="1" s="1"/>
  <c r="BB35" i="1"/>
  <c r="BA35" i="1"/>
  <c r="AZ35" i="1"/>
  <c r="AX35" i="1"/>
  <c r="AX87" i="1" s="1"/>
  <c r="AW35" i="1"/>
  <c r="AW87" i="1" s="1"/>
  <c r="AS35" i="1"/>
  <c r="AR35" i="1"/>
  <c r="AR87" i="1" s="1"/>
  <c r="AQ35" i="1"/>
  <c r="AQ87" i="1" s="1"/>
  <c r="AP35" i="1"/>
  <c r="AP87" i="1" s="1"/>
  <c r="AN35" i="1"/>
  <c r="AN87" i="1" s="1"/>
  <c r="AM35" i="1"/>
  <c r="AM87" i="1" s="1"/>
  <c r="AL35" i="1"/>
  <c r="AL87" i="1" s="1"/>
  <c r="AK35" i="1"/>
  <c r="AK87" i="1" s="1"/>
  <c r="AI35" i="1"/>
  <c r="AJ35" i="1" s="1"/>
  <c r="AJ87" i="1" s="1"/>
  <c r="AH35" i="1"/>
  <c r="AH87" i="1" s="1"/>
  <c r="AG35" i="1"/>
  <c r="AF35" i="1"/>
  <c r="AF87" i="1" s="1"/>
  <c r="AD35" i="1"/>
  <c r="AC35" i="1"/>
  <c r="AB35" i="1"/>
  <c r="AB87" i="1" s="1"/>
  <c r="AA35" i="1"/>
  <c r="AA87" i="1" s="1"/>
  <c r="Y35" i="1"/>
  <c r="U35" i="1"/>
  <c r="U87" i="1" s="1"/>
  <c r="P35" i="1"/>
  <c r="P87" i="1" s="1"/>
  <c r="K35" i="1"/>
  <c r="K87" i="1" s="1"/>
  <c r="G35" i="1"/>
  <c r="G87" i="1" s="1"/>
  <c r="F35" i="1"/>
  <c r="F87" i="1" s="1"/>
  <c r="CW34" i="1"/>
  <c r="CW83" i="1" s="1"/>
  <c r="CR34" i="1"/>
  <c r="CR83" i="1" s="1"/>
  <c r="CM34" i="1"/>
  <c r="CM83" i="1" s="1"/>
  <c r="CH34" i="1"/>
  <c r="CH83" i="1" s="1"/>
  <c r="CC34" i="1"/>
  <c r="CC83" i="1" s="1"/>
  <c r="BX34" i="1"/>
  <c r="BX83" i="1" s="1"/>
  <c r="BS34" i="1"/>
  <c r="BS83" i="1" s="1"/>
  <c r="BN34" i="1"/>
  <c r="BN83" i="1" s="1"/>
  <c r="BI34" i="1"/>
  <c r="BI83" i="1" s="1"/>
  <c r="BD34" i="1"/>
  <c r="BD83" i="1" s="1"/>
  <c r="AY34" i="1"/>
  <c r="AY83" i="1" s="1"/>
  <c r="AV34" i="1"/>
  <c r="AU34" i="1"/>
  <c r="AT34" i="1"/>
  <c r="AT83" i="1" s="1"/>
  <c r="AO34" i="1"/>
  <c r="AO83" i="1" s="1"/>
  <c r="AJ34" i="1"/>
  <c r="AJ83" i="1" s="1"/>
  <c r="AE34" i="1"/>
  <c r="AE83" i="1" s="1"/>
  <c r="Z34" i="1"/>
  <c r="Z83" i="1" s="1"/>
  <c r="U34" i="1"/>
  <c r="U83" i="1" s="1"/>
  <c r="P34" i="1"/>
  <c r="P83" i="1" s="1"/>
  <c r="K34" i="1"/>
  <c r="K83" i="1" s="1"/>
  <c r="G34" i="1"/>
  <c r="G83" i="1" s="1"/>
  <c r="F34" i="1"/>
  <c r="F83" i="1" s="1"/>
  <c r="CW33" i="1"/>
  <c r="CR33" i="1"/>
  <c r="CM33" i="1"/>
  <c r="CH33" i="1"/>
  <c r="CC33" i="1"/>
  <c r="BX33" i="1"/>
  <c r="BS33" i="1"/>
  <c r="BN33" i="1"/>
  <c r="BI33" i="1"/>
  <c r="BD33" i="1"/>
  <c r="AY33" i="1"/>
  <c r="AT33" i="1"/>
  <c r="AO33" i="1"/>
  <c r="AJ33" i="1"/>
  <c r="AE33" i="1"/>
  <c r="Z33" i="1"/>
  <c r="U33" i="1"/>
  <c r="P33" i="1"/>
  <c r="K33" i="1"/>
  <c r="G33" i="1"/>
  <c r="F33" i="1"/>
  <c r="D33" i="1"/>
  <c r="B33" i="1"/>
  <c r="CW32" i="1"/>
  <c r="CR32" i="1"/>
  <c r="CR79" i="1" s="1"/>
  <c r="CM32" i="1"/>
  <c r="CH32" i="1"/>
  <c r="CC32" i="1"/>
  <c r="CC79" i="1" s="1"/>
  <c r="BX32" i="1"/>
  <c r="BS32" i="1"/>
  <c r="BS79" i="1" s="1"/>
  <c r="BN32" i="1"/>
  <c r="BI32" i="1"/>
  <c r="BI79" i="1" s="1"/>
  <c r="BD32" i="1"/>
  <c r="BD79" i="1" s="1"/>
  <c r="AY32" i="1"/>
  <c r="AY79" i="1" s="1"/>
  <c r="AR32" i="1"/>
  <c r="AQ32" i="1"/>
  <c r="AP32" i="1"/>
  <c r="AP79" i="1" s="1"/>
  <c r="AN32" i="1"/>
  <c r="AO32" i="1" s="1"/>
  <c r="AM32" i="1"/>
  <c r="AL32" i="1"/>
  <c r="AL79" i="1" s="1"/>
  <c r="AK32" i="1"/>
  <c r="AK79" i="1" s="1"/>
  <c r="AI32" i="1"/>
  <c r="AH32" i="1"/>
  <c r="AG32" i="1"/>
  <c r="AF32" i="1"/>
  <c r="AF79" i="1" s="1"/>
  <c r="AD32" i="1"/>
  <c r="AC32" i="1"/>
  <c r="AB32" i="1"/>
  <c r="AA32" i="1"/>
  <c r="Y32" i="1"/>
  <c r="Z32" i="1" s="1"/>
  <c r="Z79" i="1" s="1"/>
  <c r="U32" i="1"/>
  <c r="U79" i="1" s="1"/>
  <c r="P32" i="1"/>
  <c r="K32" i="1"/>
  <c r="G32" i="1"/>
  <c r="F32" i="1"/>
  <c r="CW31" i="1"/>
  <c r="CR31" i="1"/>
  <c r="CM31" i="1"/>
  <c r="CH31" i="1"/>
  <c r="CC31" i="1"/>
  <c r="BX31" i="1"/>
  <c r="BS31" i="1"/>
  <c r="BN31" i="1"/>
  <c r="BI31" i="1"/>
  <c r="BD31" i="1"/>
  <c r="AY31" i="1"/>
  <c r="AT31" i="1"/>
  <c r="AO31" i="1"/>
  <c r="AM31" i="1"/>
  <c r="AJ31" i="1"/>
  <c r="AE31" i="1"/>
  <c r="AC31" i="1"/>
  <c r="AC149" i="1" s="1"/>
  <c r="Y31" i="1"/>
  <c r="Z31" i="1" s="1"/>
  <c r="U31" i="1"/>
  <c r="P31" i="1"/>
  <c r="K31" i="1"/>
  <c r="F31" i="1"/>
  <c r="CX30" i="1"/>
  <c r="DW166" i="20" s="1"/>
  <c r="CV30" i="1"/>
  <c r="DU166" i="20" s="1"/>
  <c r="CU30" i="1"/>
  <c r="DT166" i="20" s="1"/>
  <c r="CT30" i="1"/>
  <c r="DS166" i="20" s="1"/>
  <c r="CS30" i="1"/>
  <c r="DR166" i="20" s="1"/>
  <c r="CQ30" i="1"/>
  <c r="DP166" i="20" s="1"/>
  <c r="CP30" i="1"/>
  <c r="DO166" i="20" s="1"/>
  <c r="CO30" i="1"/>
  <c r="DN166" i="20" s="1"/>
  <c r="CN30" i="1"/>
  <c r="DM166" i="20" s="1"/>
  <c r="CL30" i="1"/>
  <c r="DK166" i="20" s="1"/>
  <c r="CK30" i="1"/>
  <c r="CJ30" i="1"/>
  <c r="CI30" i="1"/>
  <c r="CG30" i="1"/>
  <c r="CH30" i="1" s="1"/>
  <c r="CF30" i="1"/>
  <c r="CE30" i="1"/>
  <c r="CD30" i="1"/>
  <c r="CB30" i="1"/>
  <c r="CC30" i="1" s="1"/>
  <c r="CA30" i="1"/>
  <c r="BZ30" i="1"/>
  <c r="BY30" i="1"/>
  <c r="BW30" i="1"/>
  <c r="BV30" i="1"/>
  <c r="BU30" i="1"/>
  <c r="BT30" i="1"/>
  <c r="BR30" i="1"/>
  <c r="BS30" i="1" s="1"/>
  <c r="BQ30" i="1"/>
  <c r="BP30" i="1"/>
  <c r="BP28" i="1" s="1"/>
  <c r="BO30" i="1"/>
  <c r="BO28" i="1" s="1"/>
  <c r="BM30" i="1"/>
  <c r="BM24" i="1" s="1"/>
  <c r="BL30" i="1"/>
  <c r="BK30" i="1"/>
  <c r="BJ30" i="1"/>
  <c r="BH30" i="1"/>
  <c r="BG30" i="1"/>
  <c r="BG28" i="1" s="1"/>
  <c r="BF30" i="1"/>
  <c r="CE166" i="15" s="1"/>
  <c r="BE30" i="1"/>
  <c r="CD166" i="15" s="1"/>
  <c r="BC30" i="1"/>
  <c r="BB30" i="1"/>
  <c r="BB28" i="1" s="1"/>
  <c r="BA30" i="1"/>
  <c r="BA28" i="1" s="1"/>
  <c r="AZ30" i="1"/>
  <c r="AZ28" i="1" s="1"/>
  <c r="AX30" i="1"/>
  <c r="AX28" i="1" s="1"/>
  <c r="AW30" i="1"/>
  <c r="AV30" i="1"/>
  <c r="AV28" i="1" s="1"/>
  <c r="AV50" i="1" s="1"/>
  <c r="AU30" i="1"/>
  <c r="AS30" i="1"/>
  <c r="AT30" i="1" s="1"/>
  <c r="AR30" i="1"/>
  <c r="AQ30" i="1"/>
  <c r="AQ28" i="1" s="1"/>
  <c r="AP30" i="1"/>
  <c r="AN30" i="1"/>
  <c r="AO30" i="1" s="1"/>
  <c r="AM30" i="1"/>
  <c r="AL30" i="1"/>
  <c r="AJ30" i="1"/>
  <c r="AH30" i="1"/>
  <c r="AG30" i="1"/>
  <c r="AF30" i="1"/>
  <c r="AF28" i="1" s="1"/>
  <c r="AD30" i="1"/>
  <c r="AC30" i="1"/>
  <c r="AC28" i="1" s="1"/>
  <c r="AB30" i="1"/>
  <c r="AB28" i="1" s="1"/>
  <c r="AB146" i="1" s="1"/>
  <c r="AA30" i="1"/>
  <c r="Y30" i="1"/>
  <c r="X30" i="1"/>
  <c r="W30" i="1"/>
  <c r="W28" i="1" s="1"/>
  <c r="W146" i="1" s="1"/>
  <c r="V30" i="1"/>
  <c r="U30" i="1"/>
  <c r="P30" i="1"/>
  <c r="K30" i="1"/>
  <c r="F30" i="1"/>
  <c r="CX29" i="1"/>
  <c r="CV29" i="1"/>
  <c r="CU29" i="1"/>
  <c r="CT29" i="1"/>
  <c r="CS29" i="1"/>
  <c r="DR164" i="20" s="1"/>
  <c r="CQ29" i="1"/>
  <c r="CP29" i="1"/>
  <c r="CO29" i="1"/>
  <c r="CN29" i="1"/>
  <c r="DM164" i="20" s="1"/>
  <c r="CL29" i="1"/>
  <c r="DK164" i="20" s="1"/>
  <c r="CK29" i="1"/>
  <c r="DJ164" i="20" s="1"/>
  <c r="CJ29" i="1"/>
  <c r="DI164" i="20" s="1"/>
  <c r="CI29" i="1"/>
  <c r="DH164" i="20" s="1"/>
  <c r="CG29" i="1"/>
  <c r="CF29" i="1"/>
  <c r="CE29" i="1"/>
  <c r="CD29" i="1"/>
  <c r="CB29" i="1"/>
  <c r="CC29" i="1" s="1"/>
  <c r="CA29" i="1"/>
  <c r="BZ29" i="1"/>
  <c r="CY164" i="20" s="1"/>
  <c r="BY29" i="1"/>
  <c r="BW29" i="1"/>
  <c r="BV29" i="1"/>
  <c r="BU29" i="1"/>
  <c r="BT29" i="1"/>
  <c r="BR29" i="1"/>
  <c r="BN29" i="1"/>
  <c r="BI29" i="1"/>
  <c r="BD29" i="1"/>
  <c r="AY29" i="1"/>
  <c r="BX164" i="20" s="1"/>
  <c r="AU29" i="1"/>
  <c r="AT29" i="1"/>
  <c r="AR29" i="1"/>
  <c r="AP29" i="1"/>
  <c r="AN29" i="1"/>
  <c r="AO29" i="1" s="1"/>
  <c r="AM29" i="1"/>
  <c r="AL29" i="1"/>
  <c r="AJ29" i="1"/>
  <c r="AE29" i="1"/>
  <c r="Z29" i="1"/>
  <c r="Q29" i="1"/>
  <c r="O29" i="1"/>
  <c r="AN164" i="20" s="1"/>
  <c r="N29" i="1"/>
  <c r="AM164" i="20" s="1"/>
  <c r="M29" i="1"/>
  <c r="AL164" i="20" s="1"/>
  <c r="L29" i="1"/>
  <c r="AK164" i="20" s="1"/>
  <c r="J29" i="1"/>
  <c r="AI164" i="20" s="1"/>
  <c r="I29" i="1"/>
  <c r="AH164" i="20" s="1"/>
  <c r="H29" i="1"/>
  <c r="AG164" i="20" s="1"/>
  <c r="E29" i="1"/>
  <c r="D29" i="1"/>
  <c r="AC164" i="20" s="1"/>
  <c r="C29" i="1"/>
  <c r="AB164" i="20" s="1"/>
  <c r="B29" i="1"/>
  <c r="AA164" i="20" s="1"/>
  <c r="AK28" i="1"/>
  <c r="AI28" i="1"/>
  <c r="AA28" i="1"/>
  <c r="T28" i="1"/>
  <c r="S28" i="1"/>
  <c r="R28" i="1"/>
  <c r="K28" i="1"/>
  <c r="K146" i="1" s="1"/>
  <c r="G28" i="1"/>
  <c r="F28" i="1"/>
  <c r="E27" i="1"/>
  <c r="BE24" i="1"/>
  <c r="BD24" i="1"/>
  <c r="DX153" i="20"/>
  <c r="CW23" i="1"/>
  <c r="DV153" i="20" s="1"/>
  <c r="CR23" i="1"/>
  <c r="DQ153" i="20" s="1"/>
  <c r="CM23" i="1"/>
  <c r="DL153" i="20" s="1"/>
  <c r="CH23" i="1"/>
  <c r="DG153" i="20" s="1"/>
  <c r="CC23" i="1"/>
  <c r="BX23" i="1"/>
  <c r="BS23" i="1"/>
  <c r="BN23" i="1"/>
  <c r="BI23" i="1"/>
  <c r="CH153" i="20" s="1"/>
  <c r="BD23" i="1"/>
  <c r="AY23" i="1"/>
  <c r="AT23" i="1"/>
  <c r="BS153" i="20" s="1"/>
  <c r="AO23" i="1"/>
  <c r="AL23" i="1"/>
  <c r="AJ23" i="1"/>
  <c r="AE23" i="1"/>
  <c r="Z23" i="1"/>
  <c r="X23" i="1"/>
  <c r="X19" i="1" s="1"/>
  <c r="W23" i="1"/>
  <c r="W19" i="1" s="1"/>
  <c r="V23" i="1"/>
  <c r="V19" i="1" s="1"/>
  <c r="U23" i="1"/>
  <c r="AT153" i="20" s="1"/>
  <c r="P23" i="1"/>
  <c r="K23" i="1"/>
  <c r="AJ153" i="20" s="1"/>
  <c r="G23" i="1"/>
  <c r="AF153" i="20" s="1"/>
  <c r="F23" i="1"/>
  <c r="AE153" i="20" s="1"/>
  <c r="CW22" i="1"/>
  <c r="DV151" i="20" s="1"/>
  <c r="CR22" i="1"/>
  <c r="CM22" i="1"/>
  <c r="DL151" i="20" s="1"/>
  <c r="CH22" i="1"/>
  <c r="CC22" i="1"/>
  <c r="BX22" i="1"/>
  <c r="BS22" i="1"/>
  <c r="BN22" i="1"/>
  <c r="BI22" i="1"/>
  <c r="CH151" i="20" s="1"/>
  <c r="BD22" i="1"/>
  <c r="AY22" i="1"/>
  <c r="AT22" i="1"/>
  <c r="AO22" i="1"/>
  <c r="AJ22" i="1"/>
  <c r="AE22" i="1"/>
  <c r="Z22" i="1"/>
  <c r="U22" i="1"/>
  <c r="P22" i="1"/>
  <c r="K22" i="1"/>
  <c r="I22" i="1"/>
  <c r="H22" i="1"/>
  <c r="G22" i="1" s="1"/>
  <c r="F22" i="1"/>
  <c r="DX152" i="20"/>
  <c r="CW21" i="1"/>
  <c r="CR21" i="1"/>
  <c r="DQ152" i="20" s="1"/>
  <c r="CM21" i="1"/>
  <c r="DL152" i="20" s="1"/>
  <c r="CH21" i="1"/>
  <c r="CC21" i="1"/>
  <c r="BX21" i="1"/>
  <c r="CW152" i="20" s="1"/>
  <c r="BS21" i="1"/>
  <c r="BN21" i="1"/>
  <c r="BI21" i="1"/>
  <c r="CH152" i="20" s="1"/>
  <c r="BD21" i="1"/>
  <c r="AY21" i="1"/>
  <c r="AT21" i="1"/>
  <c r="AO21" i="1"/>
  <c r="AJ21" i="1"/>
  <c r="AD21" i="1"/>
  <c r="AE21" i="1" s="1"/>
  <c r="AF21" i="1" s="1"/>
  <c r="Z21" i="1"/>
  <c r="U21" i="1"/>
  <c r="P21" i="1"/>
  <c r="K21" i="1"/>
  <c r="AJ152" i="20" s="1"/>
  <c r="F21" i="1"/>
  <c r="CW20" i="1"/>
  <c r="DV155" i="20" s="1"/>
  <c r="CR20" i="1"/>
  <c r="DQ155" i="20" s="1"/>
  <c r="CM20" i="1"/>
  <c r="CH20" i="1"/>
  <c r="CC20" i="1"/>
  <c r="BX20" i="1"/>
  <c r="BS20" i="1"/>
  <c r="BN20" i="1"/>
  <c r="BI20" i="1"/>
  <c r="CH155" i="20" s="1"/>
  <c r="BD20" i="1"/>
  <c r="AY20" i="1"/>
  <c r="AT20" i="1"/>
  <c r="AO20" i="1"/>
  <c r="AJ20" i="1"/>
  <c r="AE20" i="1"/>
  <c r="Z20" i="1"/>
  <c r="U20" i="1"/>
  <c r="S20" i="1"/>
  <c r="R20" i="1"/>
  <c r="R19" i="1" s="1"/>
  <c r="P20" i="1"/>
  <c r="K20" i="1"/>
  <c r="G20" i="1"/>
  <c r="AF155" i="20" s="1"/>
  <c r="F20" i="1"/>
  <c r="AE155" i="20" s="1"/>
  <c r="CX19" i="1"/>
  <c r="CV19" i="1"/>
  <c r="CU19" i="1"/>
  <c r="CU143" i="1" s="1"/>
  <c r="CT19" i="1"/>
  <c r="CS19" i="1"/>
  <c r="CQ19" i="1"/>
  <c r="CP19" i="1"/>
  <c r="CO19" i="1"/>
  <c r="CN19" i="1"/>
  <c r="CL19" i="1"/>
  <c r="CL143" i="1" s="1"/>
  <c r="CK19" i="1"/>
  <c r="CJ19" i="1"/>
  <c r="CI19" i="1"/>
  <c r="CG19" i="1"/>
  <c r="CF19" i="1"/>
  <c r="CF143" i="1" s="1"/>
  <c r="CE19" i="1"/>
  <c r="CE143" i="1" s="1"/>
  <c r="CD19" i="1"/>
  <c r="CB19" i="1"/>
  <c r="CB143" i="1" s="1"/>
  <c r="CA19" i="1"/>
  <c r="CA143" i="1" s="1"/>
  <c r="BZ19" i="1"/>
  <c r="BZ143" i="1" s="1"/>
  <c r="BY19" i="1"/>
  <c r="BY143" i="1" s="1"/>
  <c r="BW19" i="1"/>
  <c r="BW143" i="1" s="1"/>
  <c r="BV19" i="1"/>
  <c r="BU19" i="1"/>
  <c r="BT19" i="1"/>
  <c r="BR19" i="1"/>
  <c r="BQ19" i="1"/>
  <c r="BP19" i="1"/>
  <c r="BO19" i="1"/>
  <c r="BM19" i="1"/>
  <c r="BM143" i="1" s="1"/>
  <c r="BL19" i="1"/>
  <c r="BL143" i="1" s="1"/>
  <c r="BK19" i="1"/>
  <c r="BJ19" i="1"/>
  <c r="BH19" i="1"/>
  <c r="BH143" i="1" s="1"/>
  <c r="BG19" i="1"/>
  <c r="BF19" i="1"/>
  <c r="BF143" i="1" s="1"/>
  <c r="BE19" i="1"/>
  <c r="BC19" i="1"/>
  <c r="BB19" i="1"/>
  <c r="BB143" i="1" s="1"/>
  <c r="BA19" i="1"/>
  <c r="AZ19" i="1"/>
  <c r="AX19" i="1"/>
  <c r="AW19" i="1"/>
  <c r="AV19" i="1"/>
  <c r="AU19" i="1"/>
  <c r="AU143" i="1" s="1"/>
  <c r="AS19" i="1"/>
  <c r="AS143" i="1" s="1"/>
  <c r="AR19" i="1"/>
  <c r="AQ19" i="1"/>
  <c r="AP19" i="1"/>
  <c r="AN19" i="1"/>
  <c r="AM19" i="1"/>
  <c r="AK19" i="1"/>
  <c r="AI19" i="1"/>
  <c r="AH19" i="1"/>
  <c r="AH143" i="1" s="1"/>
  <c r="AG19" i="1"/>
  <c r="AD19" i="1"/>
  <c r="AD143" i="1" s="1"/>
  <c r="AC19" i="1"/>
  <c r="AB19" i="1"/>
  <c r="AA19" i="1"/>
  <c r="Y19" i="1"/>
  <c r="T19" i="1"/>
  <c r="Q19" i="1"/>
  <c r="O19" i="1"/>
  <c r="O143" i="1" s="1"/>
  <c r="N19" i="1"/>
  <c r="M19" i="1"/>
  <c r="L19" i="1"/>
  <c r="J19" i="1"/>
  <c r="E19" i="1"/>
  <c r="D19" i="1"/>
  <c r="C19" i="1"/>
  <c r="B19" i="1"/>
  <c r="B143" i="1" s="1"/>
  <c r="AI18" i="1"/>
  <c r="AJ18" i="1" s="1"/>
  <c r="AH18" i="1"/>
  <c r="BG147" i="20" s="1"/>
  <c r="AG18" i="1"/>
  <c r="AF18" i="1"/>
  <c r="AF144" i="1" s="1"/>
  <c r="AD18" i="1"/>
  <c r="AB18" i="1"/>
  <c r="AA18" i="1"/>
  <c r="Y18" i="1"/>
  <c r="X18" i="1"/>
  <c r="U18" i="1"/>
  <c r="S18" i="1"/>
  <c r="R18" i="1"/>
  <c r="AQ147" i="20" s="1"/>
  <c r="Q18" i="1"/>
  <c r="Q144" i="1" s="1"/>
  <c r="P18" i="1"/>
  <c r="K18" i="1"/>
  <c r="F18" i="1"/>
  <c r="CX17" i="1"/>
  <c r="CX97" i="1" s="1"/>
  <c r="CV17" i="1"/>
  <c r="CV97" i="1" s="1"/>
  <c r="CU17" i="1"/>
  <c r="CU97" i="1" s="1"/>
  <c r="CT17" i="1"/>
  <c r="CT97" i="1" s="1"/>
  <c r="CS17" i="1"/>
  <c r="CS97" i="1" s="1"/>
  <c r="CQ17" i="1"/>
  <c r="CQ97" i="1" s="1"/>
  <c r="CP17" i="1"/>
  <c r="CO17" i="1"/>
  <c r="CO97" i="1" s="1"/>
  <c r="CN17" i="1"/>
  <c r="CN97" i="1" s="1"/>
  <c r="CL17" i="1"/>
  <c r="CM17" i="1" s="1"/>
  <c r="CM97" i="1" s="1"/>
  <c r="CK17" i="1"/>
  <c r="CK97" i="1" s="1"/>
  <c r="CJ17" i="1"/>
  <c r="CJ97" i="1" s="1"/>
  <c r="CI17" i="1"/>
  <c r="CI97" i="1" s="1"/>
  <c r="CG17" i="1"/>
  <c r="CF17" i="1"/>
  <c r="CF97" i="1" s="1"/>
  <c r="CE17" i="1"/>
  <c r="CE97" i="1" s="1"/>
  <c r="CD17" i="1"/>
  <c r="CD97" i="1" s="1"/>
  <c r="CB17" i="1"/>
  <c r="CC17" i="1" s="1"/>
  <c r="CC97" i="1" s="1"/>
  <c r="CA17" i="1"/>
  <c r="CA97" i="1" s="1"/>
  <c r="BZ17" i="1"/>
  <c r="BZ97" i="1" s="1"/>
  <c r="BY17" i="1"/>
  <c r="BY97" i="1" s="1"/>
  <c r="BW17" i="1"/>
  <c r="BX17" i="1" s="1"/>
  <c r="BX97" i="1" s="1"/>
  <c r="BV17" i="1"/>
  <c r="BV142" i="1" s="1"/>
  <c r="BU17" i="1"/>
  <c r="BU142" i="1" s="1"/>
  <c r="BT17" i="1"/>
  <c r="BR17" i="1"/>
  <c r="BS17" i="1" s="1"/>
  <c r="BS97" i="1" s="1"/>
  <c r="BQ17" i="1"/>
  <c r="BQ142" i="1" s="1"/>
  <c r="BP17" i="1"/>
  <c r="BO17" i="1"/>
  <c r="BM17" i="1"/>
  <c r="BM97" i="1" s="1"/>
  <c r="BL17" i="1"/>
  <c r="BK17" i="1"/>
  <c r="BJ17" i="1"/>
  <c r="BH17" i="1"/>
  <c r="BG17" i="1"/>
  <c r="BG97" i="1" s="1"/>
  <c r="BF17" i="1"/>
  <c r="BE17" i="1"/>
  <c r="BE97" i="1" s="1"/>
  <c r="BC17" i="1"/>
  <c r="BB17" i="1"/>
  <c r="BB97" i="1" s="1"/>
  <c r="BA17" i="1"/>
  <c r="BA97" i="1" s="1"/>
  <c r="AZ17" i="1"/>
  <c r="AZ97" i="1" s="1"/>
  <c r="AX17" i="1"/>
  <c r="AX97" i="1" s="1"/>
  <c r="AW17" i="1"/>
  <c r="AW97" i="1" s="1"/>
  <c r="AV17" i="1"/>
  <c r="AV97" i="1" s="1"/>
  <c r="AU17" i="1"/>
  <c r="AU97" i="1" s="1"/>
  <c r="AS17" i="1"/>
  <c r="AR17" i="1"/>
  <c r="AR97" i="1" s="1"/>
  <c r="AQ17" i="1"/>
  <c r="AQ97" i="1" s="1"/>
  <c r="AP17" i="1"/>
  <c r="AP97" i="1" s="1"/>
  <c r="AN17" i="1"/>
  <c r="AN97" i="1" s="1"/>
  <c r="AM17" i="1"/>
  <c r="AM97" i="1" s="1"/>
  <c r="AL17" i="1"/>
  <c r="AL97" i="1" s="1"/>
  <c r="AK17" i="1"/>
  <c r="AK97" i="1" s="1"/>
  <c r="AI17" i="1"/>
  <c r="AJ17" i="1" s="1"/>
  <c r="AJ97" i="1" s="1"/>
  <c r="AE17" i="1"/>
  <c r="AE97" i="1" s="1"/>
  <c r="Z17" i="1"/>
  <c r="Z97" i="1" s="1"/>
  <c r="U17" i="1"/>
  <c r="U97" i="1" s="1"/>
  <c r="P17" i="1"/>
  <c r="P97" i="1" s="1"/>
  <c r="K17" i="1"/>
  <c r="K97" i="1" s="1"/>
  <c r="G17" i="1"/>
  <c r="G97" i="1" s="1"/>
  <c r="F17" i="1"/>
  <c r="F97" i="1" s="1"/>
  <c r="CX16" i="1"/>
  <c r="CV16" i="1"/>
  <c r="CU16" i="1"/>
  <c r="CT16" i="1"/>
  <c r="CS16" i="1"/>
  <c r="CQ16" i="1"/>
  <c r="CP16" i="1"/>
  <c r="CO16" i="1"/>
  <c r="CN16" i="1"/>
  <c r="CL16" i="1"/>
  <c r="CK16" i="1"/>
  <c r="CJ16" i="1"/>
  <c r="CI16" i="1"/>
  <c r="CG16" i="1"/>
  <c r="CF16" i="1"/>
  <c r="CE16" i="1"/>
  <c r="CD16" i="1"/>
  <c r="CB16" i="1"/>
  <c r="CC16" i="1" s="1"/>
  <c r="CA16" i="1"/>
  <c r="BZ16" i="1"/>
  <c r="BY16" i="1"/>
  <c r="BW16" i="1"/>
  <c r="BS16" i="1"/>
  <c r="BN16" i="1"/>
  <c r="BI16" i="1"/>
  <c r="BG16" i="1"/>
  <c r="BF16" i="1"/>
  <c r="BE16" i="1"/>
  <c r="BC16" i="1"/>
  <c r="BD16" i="1" s="1"/>
  <c r="BB16" i="1"/>
  <c r="BA16" i="1"/>
  <c r="AZ16" i="1"/>
  <c r="AX16" i="1"/>
  <c r="AW16" i="1"/>
  <c r="AV16" i="1"/>
  <c r="AU16" i="1"/>
  <c r="AS16" i="1"/>
  <c r="AR16" i="1"/>
  <c r="AQ16" i="1"/>
  <c r="AP16" i="1"/>
  <c r="AN16" i="1"/>
  <c r="AM16" i="1"/>
  <c r="AL16" i="1"/>
  <c r="AK16" i="1"/>
  <c r="AI16" i="1"/>
  <c r="AF16" i="1"/>
  <c r="AE16" i="1"/>
  <c r="Z16" i="1"/>
  <c r="U16" i="1"/>
  <c r="P16" i="1"/>
  <c r="K16" i="1"/>
  <c r="F16" i="1"/>
  <c r="CX15" i="1"/>
  <c r="CV15" i="1"/>
  <c r="CV100" i="1" s="1"/>
  <c r="CU15" i="1"/>
  <c r="CU100" i="1" s="1"/>
  <c r="CT15" i="1"/>
  <c r="CS15" i="1"/>
  <c r="CS100" i="1" s="1"/>
  <c r="CQ15" i="1"/>
  <c r="CP15" i="1"/>
  <c r="CO15" i="1"/>
  <c r="CN15" i="1"/>
  <c r="CL15" i="1"/>
  <c r="CL100" i="1" s="1"/>
  <c r="CK15" i="1"/>
  <c r="CK100" i="1" s="1"/>
  <c r="CJ15" i="1"/>
  <c r="CJ100" i="1" s="1"/>
  <c r="CI15" i="1"/>
  <c r="CG15" i="1"/>
  <c r="CF15" i="1"/>
  <c r="CF100" i="1" s="1"/>
  <c r="CE15" i="1"/>
  <c r="CD15" i="1"/>
  <c r="CB15" i="1"/>
  <c r="CA15" i="1"/>
  <c r="BZ15" i="1"/>
  <c r="BY15" i="1"/>
  <c r="BY100" i="1" s="1"/>
  <c r="BW15" i="1"/>
  <c r="BW100" i="1" s="1"/>
  <c r="BV15" i="1"/>
  <c r="BV100" i="1" s="1"/>
  <c r="BU15" i="1"/>
  <c r="BU100" i="1" s="1"/>
  <c r="BT15" i="1"/>
  <c r="BT100" i="1" s="1"/>
  <c r="BR15" i="1"/>
  <c r="BS15" i="1" s="1"/>
  <c r="BS100" i="1" s="1"/>
  <c r="BQ15" i="1"/>
  <c r="BP15" i="1"/>
  <c r="BO15" i="1"/>
  <c r="BM15" i="1"/>
  <c r="BL15" i="1"/>
  <c r="BK15" i="1"/>
  <c r="BJ15" i="1"/>
  <c r="BH15" i="1"/>
  <c r="BH100" i="1" s="1"/>
  <c r="BG15" i="1"/>
  <c r="BF15" i="1"/>
  <c r="BF100" i="1" s="1"/>
  <c r="BE15" i="1"/>
  <c r="BC15" i="1"/>
  <c r="BD15" i="1" s="1"/>
  <c r="BB15" i="1"/>
  <c r="BA15" i="1"/>
  <c r="BA100" i="1" s="1"/>
  <c r="AZ15" i="1"/>
  <c r="AX15" i="1"/>
  <c r="AW15" i="1"/>
  <c r="AW100" i="1" s="1"/>
  <c r="AV15" i="1"/>
  <c r="AV100" i="1" s="1"/>
  <c r="AU15" i="1"/>
  <c r="AS15" i="1"/>
  <c r="AT15" i="1" s="1"/>
  <c r="AR15" i="1"/>
  <c r="AQ15" i="1"/>
  <c r="AP15" i="1"/>
  <c r="AP100" i="1" s="1"/>
  <c r="AN15" i="1"/>
  <c r="AN100" i="1" s="1"/>
  <c r="AM15" i="1"/>
  <c r="AM100" i="1" s="1"/>
  <c r="AL15" i="1"/>
  <c r="AK15" i="1"/>
  <c r="AI15" i="1"/>
  <c r="AI100" i="1" s="1"/>
  <c r="AE15" i="1"/>
  <c r="AE100" i="1" s="1"/>
  <c r="Z15" i="1"/>
  <c r="U15" i="1"/>
  <c r="P15" i="1"/>
  <c r="K15" i="1"/>
  <c r="F15" i="1"/>
  <c r="F100" i="1" s="1"/>
  <c r="CW14" i="1"/>
  <c r="CR14" i="1"/>
  <c r="CM14" i="1"/>
  <c r="CH14" i="1"/>
  <c r="CC14" i="1"/>
  <c r="BX14" i="1"/>
  <c r="BS14" i="1"/>
  <c r="BN14" i="1"/>
  <c r="BI14" i="1"/>
  <c r="BD14" i="1"/>
  <c r="AY14" i="1"/>
  <c r="AT14" i="1"/>
  <c r="AO14" i="1"/>
  <c r="AJ14" i="1"/>
  <c r="AE14" i="1"/>
  <c r="Z14" i="1"/>
  <c r="U14" i="1"/>
  <c r="P14" i="1"/>
  <c r="P77" i="1" s="1"/>
  <c r="K14" i="1"/>
  <c r="K77" i="1" s="1"/>
  <c r="F14" i="1"/>
  <c r="F77" i="1" s="1"/>
  <c r="CX13" i="1"/>
  <c r="CX11" i="1" s="1"/>
  <c r="CV13" i="1"/>
  <c r="CV11" i="1" s="1"/>
  <c r="CU13" i="1"/>
  <c r="CU75" i="1" s="1"/>
  <c r="CU76" i="1" s="1"/>
  <c r="CT13" i="1"/>
  <c r="CS13" i="1"/>
  <c r="CS75" i="1" s="1"/>
  <c r="CS76" i="1" s="1"/>
  <c r="CQ13" i="1"/>
  <c r="CR13" i="1" s="1"/>
  <c r="CP13" i="1"/>
  <c r="CP75" i="1" s="1"/>
  <c r="CP76" i="1" s="1"/>
  <c r="CO13" i="1"/>
  <c r="CO11" i="1" s="1"/>
  <c r="CN13" i="1"/>
  <c r="CL13" i="1"/>
  <c r="CM13" i="1" s="1"/>
  <c r="CK13" i="1"/>
  <c r="CJ13" i="1"/>
  <c r="CJ88" i="1" s="1"/>
  <c r="CI13" i="1"/>
  <c r="CI88" i="1" s="1"/>
  <c r="CG13" i="1"/>
  <c r="CG75" i="1" s="1"/>
  <c r="CG76" i="1" s="1"/>
  <c r="CF13" i="1"/>
  <c r="CF88" i="1" s="1"/>
  <c r="CE13" i="1"/>
  <c r="CD13" i="1"/>
  <c r="CD88" i="1" s="1"/>
  <c r="CB13" i="1"/>
  <c r="CC13" i="1" s="1"/>
  <c r="CA13" i="1"/>
  <c r="BZ13" i="1"/>
  <c r="BY13" i="1"/>
  <c r="BW13" i="1"/>
  <c r="BX13" i="1" s="1"/>
  <c r="BV13" i="1"/>
  <c r="BV11" i="1" s="1"/>
  <c r="BU13" i="1"/>
  <c r="BU75" i="1" s="1"/>
  <c r="BU76" i="1" s="1"/>
  <c r="BT13" i="1"/>
  <c r="BT11" i="1" s="1"/>
  <c r="BT69" i="1" s="1"/>
  <c r="BR13" i="1"/>
  <c r="BQ13" i="1"/>
  <c r="BP13" i="1"/>
  <c r="BO13" i="1"/>
  <c r="BM13" i="1"/>
  <c r="BL13" i="1"/>
  <c r="BK13" i="1"/>
  <c r="BK75" i="1" s="1"/>
  <c r="BK76" i="1" s="1"/>
  <c r="BJ13" i="1"/>
  <c r="BJ75" i="1" s="1"/>
  <c r="BJ76" i="1" s="1"/>
  <c r="BH13" i="1"/>
  <c r="BH75" i="1" s="1"/>
  <c r="BG13" i="1"/>
  <c r="BG11" i="1" s="1"/>
  <c r="BF13" i="1"/>
  <c r="BF11" i="1" s="1"/>
  <c r="BF69" i="1" s="1"/>
  <c r="BE13" i="1"/>
  <c r="BE75" i="1" s="1"/>
  <c r="BE76" i="1" s="1"/>
  <c r="BC13" i="1"/>
  <c r="BD13" i="1" s="1"/>
  <c r="BB13" i="1"/>
  <c r="BA13" i="1"/>
  <c r="BA75" i="1" s="1"/>
  <c r="BA76" i="1" s="1"/>
  <c r="AZ13" i="1"/>
  <c r="AX13" i="1"/>
  <c r="AX75" i="1" s="1"/>
  <c r="AW13" i="1"/>
  <c r="AW11" i="1" s="1"/>
  <c r="AV13" i="1"/>
  <c r="AV11" i="1" s="1"/>
  <c r="AU13" i="1"/>
  <c r="AU88" i="1" s="1"/>
  <c r="AS13" i="1"/>
  <c r="AS88" i="1" s="1"/>
  <c r="AR13" i="1"/>
  <c r="AR88" i="1" s="1"/>
  <c r="AQ13" i="1"/>
  <c r="AQ75" i="1" s="1"/>
  <c r="AQ76" i="1" s="1"/>
  <c r="AP13" i="1"/>
  <c r="AN13" i="1"/>
  <c r="AN75" i="1" s="1"/>
  <c r="AM13" i="1"/>
  <c r="AM75" i="1" s="1"/>
  <c r="AM76" i="1" s="1"/>
  <c r="AL13" i="1"/>
  <c r="AL75" i="1" s="1"/>
  <c r="AL76" i="1" s="1"/>
  <c r="AK13" i="1"/>
  <c r="AK75" i="1" s="1"/>
  <c r="AI13" i="1"/>
  <c r="AH13" i="1"/>
  <c r="AG13" i="1"/>
  <c r="AG11" i="1" s="1"/>
  <c r="AG141" i="1" s="1"/>
  <c r="AF13" i="1"/>
  <c r="AD13" i="1"/>
  <c r="AE13" i="1" s="1"/>
  <c r="AC13" i="1"/>
  <c r="AC75" i="1" s="1"/>
  <c r="AA13" i="1"/>
  <c r="AA11" i="1" s="1"/>
  <c r="Y13" i="1"/>
  <c r="Y11" i="1" s="1"/>
  <c r="X13" i="1"/>
  <c r="W13" i="1"/>
  <c r="W88" i="1" s="1"/>
  <c r="V13" i="1"/>
  <c r="U13" i="1"/>
  <c r="P13" i="1"/>
  <c r="P75" i="1" s="1"/>
  <c r="K13" i="1"/>
  <c r="K75" i="1" s="1"/>
  <c r="F13" i="1"/>
  <c r="F75" i="1" s="1"/>
  <c r="CW12" i="1"/>
  <c r="CR12" i="1"/>
  <c r="CM12" i="1"/>
  <c r="CH12" i="1"/>
  <c r="CC12" i="1"/>
  <c r="BX12" i="1"/>
  <c r="BS12" i="1"/>
  <c r="BN12" i="1"/>
  <c r="BI12" i="1"/>
  <c r="BD12" i="1"/>
  <c r="AY12" i="1"/>
  <c r="AT12" i="1"/>
  <c r="AP12" i="1"/>
  <c r="AN12" i="1"/>
  <c r="AM12" i="1"/>
  <c r="AL12" i="1"/>
  <c r="AK12" i="1"/>
  <c r="AK73" i="1" s="1"/>
  <c r="AI12" i="1"/>
  <c r="AE12" i="1"/>
  <c r="AB12" i="1"/>
  <c r="AB73" i="1" s="1"/>
  <c r="Z12" i="1"/>
  <c r="U12" i="1"/>
  <c r="P12" i="1"/>
  <c r="J12" i="1"/>
  <c r="J88" i="1" s="1"/>
  <c r="I12" i="1"/>
  <c r="H12" i="1"/>
  <c r="G12" i="1" s="1"/>
  <c r="F12" i="1"/>
  <c r="CJ11" i="1"/>
  <c r="T11" i="1"/>
  <c r="T69" i="1" s="1"/>
  <c r="S11" i="1"/>
  <c r="S69" i="1" s="1"/>
  <c r="R11" i="1"/>
  <c r="Q11" i="1"/>
  <c r="O11" i="1"/>
  <c r="O69" i="1" s="1"/>
  <c r="N11" i="1"/>
  <c r="N141" i="1" s="1"/>
  <c r="M11" i="1"/>
  <c r="M141" i="1" s="1"/>
  <c r="L11" i="1"/>
  <c r="E11" i="1"/>
  <c r="D11" i="1"/>
  <c r="C11" i="1"/>
  <c r="C69" i="1" s="1"/>
  <c r="B11" i="1"/>
  <c r="B69" i="1" s="1"/>
  <c r="B72" i="1" s="1"/>
  <c r="CX10" i="1"/>
  <c r="CX8" i="1" s="1"/>
  <c r="CV10" i="1"/>
  <c r="CU10" i="1"/>
  <c r="CT10" i="1"/>
  <c r="CT66" i="1" s="1"/>
  <c r="CS10" i="1"/>
  <c r="CQ10" i="1"/>
  <c r="CP10" i="1"/>
  <c r="CO10" i="1"/>
  <c r="CN10" i="1"/>
  <c r="CN66" i="1" s="1"/>
  <c r="CL10" i="1"/>
  <c r="CL8" i="1" s="1"/>
  <c r="CK10" i="1"/>
  <c r="CK8" i="1" s="1"/>
  <c r="CJ10" i="1"/>
  <c r="CI10" i="1"/>
  <c r="CG10" i="1"/>
  <c r="CG66" i="1" s="1"/>
  <c r="CF10" i="1"/>
  <c r="CE10" i="1"/>
  <c r="CD10" i="1"/>
  <c r="CB10" i="1"/>
  <c r="CA10" i="1"/>
  <c r="BZ10" i="1"/>
  <c r="BY10" i="1"/>
  <c r="BW10" i="1"/>
  <c r="BV10" i="1"/>
  <c r="BV66" i="1" s="1"/>
  <c r="BU10" i="1"/>
  <c r="BT10" i="1"/>
  <c r="BR10" i="1"/>
  <c r="BQ10" i="1"/>
  <c r="BQ8" i="1" s="1"/>
  <c r="BP10" i="1"/>
  <c r="BO10" i="1"/>
  <c r="BM10" i="1"/>
  <c r="BL10" i="1"/>
  <c r="BK10" i="1"/>
  <c r="BK66" i="1" s="1"/>
  <c r="BJ10" i="1"/>
  <c r="BJ66" i="1" s="1"/>
  <c r="BH10" i="1"/>
  <c r="BH8" i="1" s="1"/>
  <c r="BH60" i="1" s="1"/>
  <c r="BG10" i="1"/>
  <c r="BG66" i="1" s="1"/>
  <c r="BF10" i="1"/>
  <c r="BF66" i="1" s="1"/>
  <c r="BE10" i="1"/>
  <c r="BE8" i="1" s="1"/>
  <c r="BC10" i="1"/>
  <c r="BD10" i="1" s="1"/>
  <c r="BB10" i="1"/>
  <c r="BB8" i="1" s="1"/>
  <c r="BA10" i="1"/>
  <c r="AZ10" i="1"/>
  <c r="AZ66" i="1" s="1"/>
  <c r="AX10" i="1"/>
  <c r="AX8" i="1" s="1"/>
  <c r="AW10" i="1"/>
  <c r="AV10" i="1"/>
  <c r="AV8" i="1" s="1"/>
  <c r="AV60" i="1" s="1"/>
  <c r="AU10" i="1"/>
  <c r="AU66" i="1" s="1"/>
  <c r="AS10" i="1"/>
  <c r="AS66" i="1" s="1"/>
  <c r="AR10" i="1"/>
  <c r="AQ10" i="1"/>
  <c r="AP10" i="1"/>
  <c r="AP8" i="1" s="1"/>
  <c r="AP60" i="1" s="1"/>
  <c r="AN10" i="1"/>
  <c r="AN66" i="1" s="1"/>
  <c r="AM10" i="1"/>
  <c r="AM66" i="1" s="1"/>
  <c r="AL10" i="1"/>
  <c r="AL66" i="1" s="1"/>
  <c r="AK10" i="1"/>
  <c r="AI10" i="1"/>
  <c r="AI66" i="1" s="1"/>
  <c r="AH10" i="1"/>
  <c r="AH66" i="1" s="1"/>
  <c r="AG10" i="1"/>
  <c r="AG8" i="1" s="1"/>
  <c r="AG140" i="1" s="1"/>
  <c r="AF10" i="1"/>
  <c r="AD10" i="1"/>
  <c r="AC10" i="1"/>
  <c r="AB10" i="1"/>
  <c r="AA10" i="1"/>
  <c r="Y10" i="1"/>
  <c r="X10" i="1"/>
  <c r="W10" i="1"/>
  <c r="V10" i="1"/>
  <c r="V66" i="1" s="1"/>
  <c r="T10" i="1"/>
  <c r="CW9" i="1"/>
  <c r="CR9" i="1"/>
  <c r="CM9" i="1"/>
  <c r="CM64" i="1" s="1"/>
  <c r="CH9" i="1"/>
  <c r="CH64" i="1" s="1"/>
  <c r="CC9" i="1"/>
  <c r="CC64" i="1" s="1"/>
  <c r="BX9" i="1"/>
  <c r="BS9" i="1"/>
  <c r="BN9" i="1"/>
  <c r="BN64" i="1" s="1"/>
  <c r="BI9" i="1"/>
  <c r="BI64" i="1" s="1"/>
  <c r="BD9" i="1"/>
  <c r="BD64" i="1" s="1"/>
  <c r="AY9" i="1"/>
  <c r="AY64" i="1" s="1"/>
  <c r="AT9" i="1"/>
  <c r="AT64" i="1" s="1"/>
  <c r="AO9" i="1"/>
  <c r="AO64" i="1" s="1"/>
  <c r="AJ9" i="1"/>
  <c r="AE9" i="1"/>
  <c r="AE64" i="1" s="1"/>
  <c r="Z9" i="1"/>
  <c r="Z64" i="1" s="1"/>
  <c r="U9" i="1"/>
  <c r="U64" i="1" s="1"/>
  <c r="P9" i="1"/>
  <c r="P64" i="1" s="1"/>
  <c r="K9" i="1"/>
  <c r="F9" i="1"/>
  <c r="F64" i="1" s="1"/>
  <c r="S8" i="1"/>
  <c r="S10" i="1" s="1"/>
  <c r="S66" i="1" s="1"/>
  <c r="R8" i="1"/>
  <c r="Q8" i="1"/>
  <c r="O8" i="1"/>
  <c r="N8" i="1"/>
  <c r="M8" i="1"/>
  <c r="L8" i="1"/>
  <c r="L60" i="1" s="1"/>
  <c r="J8" i="1"/>
  <c r="AI145" i="20" s="1"/>
  <c r="I8" i="1"/>
  <c r="H8" i="1"/>
  <c r="G8" i="1"/>
  <c r="G140" i="1" s="1"/>
  <c r="E8" i="1"/>
  <c r="D8" i="1"/>
  <c r="D60" i="1" s="1"/>
  <c r="C8" i="1"/>
  <c r="C10" i="1" s="1"/>
  <c r="C66" i="1" s="1"/>
  <c r="B8" i="1"/>
  <c r="DB7" i="1"/>
  <c r="DG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CW7" i="1"/>
  <c r="CR7" i="1"/>
  <c r="CM7" i="1"/>
  <c r="CH7" i="1"/>
  <c r="CC7" i="1"/>
  <c r="BX7" i="1"/>
  <c r="BS7" i="1"/>
  <c r="BN7" i="1"/>
  <c r="BI7" i="1"/>
  <c r="BD7" i="1"/>
  <c r="AY7" i="1"/>
  <c r="AW7" i="1"/>
  <c r="AT7" i="1"/>
  <c r="AO7" i="1"/>
  <c r="AJ7" i="1"/>
  <c r="AE7" i="1"/>
  <c r="AC7" i="1"/>
  <c r="BB147" i="15" s="1"/>
  <c r="AB7" i="1"/>
  <c r="Z7" i="1"/>
  <c r="U7" i="1"/>
  <c r="P7" i="1"/>
  <c r="K7" i="1"/>
  <c r="F7" i="1"/>
  <c r="CX6" i="1"/>
  <c r="CW6" i="1"/>
  <c r="CW51" i="1" s="1"/>
  <c r="CU6" i="1"/>
  <c r="CU139" i="1" s="1"/>
  <c r="CT6" i="1"/>
  <c r="CT139" i="1" s="1"/>
  <c r="CS6" i="1"/>
  <c r="CT14" i="14" s="1"/>
  <c r="CQ6" i="1"/>
  <c r="CP6" i="1"/>
  <c r="CQ14" i="14" s="1"/>
  <c r="CO6" i="1"/>
  <c r="CO51" i="1" s="1"/>
  <c r="CN6" i="1"/>
  <c r="CN51" i="1" s="1"/>
  <c r="CL6" i="1"/>
  <c r="CK6" i="1"/>
  <c r="CJ6" i="1"/>
  <c r="CI6" i="1"/>
  <c r="CI51" i="1" s="1"/>
  <c r="CG6" i="1"/>
  <c r="CF6" i="1"/>
  <c r="CE6" i="1"/>
  <c r="CE51" i="1" s="1"/>
  <c r="CD6" i="1"/>
  <c r="CE14" i="14" s="1"/>
  <c r="CB6" i="1"/>
  <c r="CB139" i="1" s="1"/>
  <c r="CA6" i="1"/>
  <c r="BZ6" i="1"/>
  <c r="BY6" i="1"/>
  <c r="BW6" i="1"/>
  <c r="BV6" i="1"/>
  <c r="BU6" i="1"/>
  <c r="BT6" i="1"/>
  <c r="BT139" i="1" s="1"/>
  <c r="BR6" i="1"/>
  <c r="CQ144" i="15" s="1"/>
  <c r="BQ6" i="1"/>
  <c r="BQ51" i="1" s="1"/>
  <c r="BP6" i="1"/>
  <c r="BP51" i="1" s="1"/>
  <c r="BO6" i="1"/>
  <c r="CN144" i="15" s="1"/>
  <c r="BM6" i="1"/>
  <c r="BL6" i="1"/>
  <c r="BL139" i="1" s="1"/>
  <c r="BK6" i="1"/>
  <c r="BJ6" i="1"/>
  <c r="BK14" i="14" s="1"/>
  <c r="BH6" i="1"/>
  <c r="BH139" i="1" s="1"/>
  <c r="BG6" i="1"/>
  <c r="BG51" i="1" s="1"/>
  <c r="BF6" i="1"/>
  <c r="BF51" i="1" s="1"/>
  <c r="BE6" i="1"/>
  <c r="BE51" i="1" s="1"/>
  <c r="BC6" i="1"/>
  <c r="BC51" i="1" s="1"/>
  <c r="BB6" i="1"/>
  <c r="BC22" i="14" s="1"/>
  <c r="BA6" i="1"/>
  <c r="BB22" i="14" s="1"/>
  <c r="AZ6" i="1"/>
  <c r="AX6" i="1"/>
  <c r="AX51" i="1" s="1"/>
  <c r="AW6" i="1"/>
  <c r="AV6" i="1"/>
  <c r="AU6" i="1"/>
  <c r="AU139" i="1" s="1"/>
  <c r="AS6" i="1"/>
  <c r="AR6" i="1"/>
  <c r="AR51" i="1" s="1"/>
  <c r="AQ6" i="1"/>
  <c r="AQ139" i="1" s="1"/>
  <c r="AP6" i="1"/>
  <c r="AP139" i="1" s="1"/>
  <c r="AN6" i="1"/>
  <c r="AM6" i="1"/>
  <c r="AM139" i="1" s="1"/>
  <c r="AL6" i="1"/>
  <c r="AL51" i="1" s="1"/>
  <c r="AK6" i="1"/>
  <c r="AI6" i="1"/>
  <c r="AH6" i="1"/>
  <c r="AI14" i="14" s="1"/>
  <c r="AG6" i="1"/>
  <c r="AG15" i="14" s="1"/>
  <c r="AF6" i="1"/>
  <c r="AF15" i="14" s="1"/>
  <c r="AD6" i="1"/>
  <c r="AE6" i="1" s="1"/>
  <c r="AE51" i="1" s="1"/>
  <c r="AC6" i="1"/>
  <c r="AC15" i="14" s="1"/>
  <c r="AB6" i="1"/>
  <c r="AB51" i="1" s="1"/>
  <c r="AA6" i="1"/>
  <c r="AA139" i="1" s="1"/>
  <c r="Y6" i="1"/>
  <c r="Y139" i="1" s="1"/>
  <c r="X6" i="1"/>
  <c r="W6" i="1"/>
  <c r="W51" i="1" s="1"/>
  <c r="V6" i="1"/>
  <c r="T6" i="1"/>
  <c r="T139" i="1" s="1"/>
  <c r="P6" i="1"/>
  <c r="K6" i="1"/>
  <c r="K51" i="1" s="1"/>
  <c r="F6" i="1"/>
  <c r="AX2" i="1"/>
  <c r="AW2" i="1"/>
  <c r="J2" i="1"/>
  <c r="I2" i="1"/>
  <c r="AL129" i="2"/>
  <c r="AL114" i="2"/>
  <c r="AL113" i="2"/>
  <c r="AL109" i="2"/>
  <c r="CG107" i="2"/>
  <c r="CG105" i="2"/>
  <c r="CF105" i="2"/>
  <c r="CE105" i="2"/>
  <c r="CG104" i="2"/>
  <c r="CF104" i="2"/>
  <c r="CE100" i="2"/>
  <c r="CE104" i="2" s="1"/>
  <c r="AR95" i="2"/>
  <c r="DJ88" i="2"/>
  <c r="DK88" i="2" s="1"/>
  <c r="DM88" i="2" s="1"/>
  <c r="DN88" i="2" s="1"/>
  <c r="DO88" i="2" s="1"/>
  <c r="DP88" i="2" s="1"/>
  <c r="DR88" i="2" s="1"/>
  <c r="DS88" i="2" s="1"/>
  <c r="DT88" i="2" s="1"/>
  <c r="DU88" i="2" s="1"/>
  <c r="DW88" i="2" s="1"/>
  <c r="DX88" i="2" s="1"/>
  <c r="DY88" i="2" s="1"/>
  <c r="DZ88" i="2" s="1"/>
  <c r="EB88" i="2" s="1"/>
  <c r="EC88" i="2" s="1"/>
  <c r="ED88" i="2" s="1"/>
  <c r="EE88" i="2" s="1"/>
  <c r="DN87" i="2"/>
  <c r="DO87" i="2" s="1"/>
  <c r="DP87" i="2" s="1"/>
  <c r="DR87" i="2" s="1"/>
  <c r="DS87" i="2" s="1"/>
  <c r="DT87" i="2" s="1"/>
  <c r="DU87" i="2" s="1"/>
  <c r="DW87" i="2" s="1"/>
  <c r="DX87" i="2" s="1"/>
  <c r="DY87" i="2" s="1"/>
  <c r="DZ87" i="2" s="1"/>
  <c r="EB87" i="2" s="1"/>
  <c r="EC87" i="2" s="1"/>
  <c r="ED87" i="2" s="1"/>
  <c r="EE87" i="2" s="1"/>
  <c r="CX85" i="2"/>
  <c r="CU85" i="2"/>
  <c r="CU88" i="2" s="1"/>
  <c r="CT85" i="2"/>
  <c r="CT88" i="2" s="1"/>
  <c r="CS85" i="2"/>
  <c r="CP85" i="2"/>
  <c r="CP88" i="2" s="1"/>
  <c r="CO85" i="2"/>
  <c r="CO88" i="2" s="1"/>
  <c r="CN85" i="2"/>
  <c r="CN88" i="2" s="1"/>
  <c r="CK85" i="2"/>
  <c r="CJ85" i="2"/>
  <c r="CJ88" i="2" s="1"/>
  <c r="CI85" i="2"/>
  <c r="CF85" i="2"/>
  <c r="CF88" i="2" s="1"/>
  <c r="CE85" i="2"/>
  <c r="CE88" i="2" s="1"/>
  <c r="CD85" i="2"/>
  <c r="CA85" i="2"/>
  <c r="CA88" i="2" s="1"/>
  <c r="BZ85" i="2"/>
  <c r="BZ88" i="2" s="1"/>
  <c r="BY85" i="2"/>
  <c r="BV85" i="2"/>
  <c r="BU85" i="2"/>
  <c r="BT85" i="2"/>
  <c r="BQ85" i="2"/>
  <c r="BQ88" i="2" s="1"/>
  <c r="BP85" i="2"/>
  <c r="BP88" i="2" s="1"/>
  <c r="BO85" i="2"/>
  <c r="BL85" i="2"/>
  <c r="BL88" i="2" s="1"/>
  <c r="BK85" i="2"/>
  <c r="BK88" i="2" s="1"/>
  <c r="BJ85" i="2"/>
  <c r="BG85" i="2"/>
  <c r="BF85" i="2"/>
  <c r="BF88" i="2" s="1"/>
  <c r="BE85" i="2"/>
  <c r="BE88" i="2" s="1"/>
  <c r="BB85" i="2"/>
  <c r="BB88" i="2" s="1"/>
  <c r="BA85" i="2"/>
  <c r="BA88" i="2" s="1"/>
  <c r="AZ85" i="2"/>
  <c r="AZ88" i="2" s="1"/>
  <c r="AW85" i="2"/>
  <c r="AW88" i="2" s="1"/>
  <c r="AV85" i="2"/>
  <c r="AV88" i="2" s="1"/>
  <c r="AR85" i="2"/>
  <c r="AR88" i="2" s="1"/>
  <c r="AQ85" i="2"/>
  <c r="AQ88" i="2" s="1"/>
  <c r="AK85" i="2"/>
  <c r="AI85" i="2"/>
  <c r="AI88" i="2" s="1"/>
  <c r="AG85" i="2"/>
  <c r="AG88" i="2" s="1"/>
  <c r="AF85" i="2"/>
  <c r="AD85" i="2"/>
  <c r="AD88" i="2" s="1"/>
  <c r="AC85" i="2"/>
  <c r="AC88" i="2" s="1"/>
  <c r="AB85" i="2"/>
  <c r="AB88" i="2" s="1"/>
  <c r="AA85" i="2"/>
  <c r="X85" i="2"/>
  <c r="W85" i="2"/>
  <c r="V85" i="2"/>
  <c r="K85" i="2"/>
  <c r="CV84" i="2"/>
  <c r="CW84" i="2" s="1"/>
  <c r="CQ84" i="2"/>
  <c r="CR84" i="2" s="1"/>
  <c r="CL84" i="2"/>
  <c r="CG84" i="2"/>
  <c r="CH84" i="2" s="1"/>
  <c r="CB84" i="2"/>
  <c r="CC84" i="2" s="1"/>
  <c r="BW84" i="2"/>
  <c r="BR84" i="2"/>
  <c r="BS84" i="2" s="1"/>
  <c r="BM84" i="2"/>
  <c r="BN84" i="2" s="1"/>
  <c r="BH84" i="2"/>
  <c r="BC84" i="2"/>
  <c r="BD84" i="2" s="1"/>
  <c r="AU84" i="2"/>
  <c r="AX84" i="2" s="1"/>
  <c r="AP84" i="2"/>
  <c r="AQ90" i="2" s="1"/>
  <c r="AM84" i="2"/>
  <c r="AN84" i="2" s="1"/>
  <c r="AH84" i="2"/>
  <c r="AH85" i="2" s="1"/>
  <c r="AE84" i="2"/>
  <c r="Y84" i="2"/>
  <c r="Z84" i="2" s="1"/>
  <c r="T84" i="2"/>
  <c r="S84" i="2"/>
  <c r="S85" i="2" s="1"/>
  <c r="R84" i="2"/>
  <c r="Q84" i="2"/>
  <c r="O84" i="2"/>
  <c r="N84" i="2"/>
  <c r="M84" i="2"/>
  <c r="L84" i="2"/>
  <c r="L85" i="2" s="1"/>
  <c r="K84" i="2"/>
  <c r="AL81" i="2"/>
  <c r="AK81" i="2"/>
  <c r="AI81" i="2"/>
  <c r="AH81" i="2"/>
  <c r="AG81" i="2"/>
  <c r="N81" i="2"/>
  <c r="AM112" i="20" s="1"/>
  <c r="L81" i="2"/>
  <c r="AK112" i="20" s="1"/>
  <c r="J81" i="2"/>
  <c r="AI112" i="20" s="1"/>
  <c r="I81" i="2"/>
  <c r="AH112" i="20" s="1"/>
  <c r="H81" i="2"/>
  <c r="AG112" i="20" s="1"/>
  <c r="G81" i="2"/>
  <c r="AF112" i="20" s="1"/>
  <c r="E81" i="2"/>
  <c r="AD112" i="20" s="1"/>
  <c r="D81" i="2"/>
  <c r="AC112" i="20" s="1"/>
  <c r="C81" i="2"/>
  <c r="AB112" i="20" s="1"/>
  <c r="B81" i="2"/>
  <c r="AA112" i="20" s="1"/>
  <c r="CX94" i="2"/>
  <c r="CW78" i="2"/>
  <c r="CS94" i="2"/>
  <c r="CR78" i="2"/>
  <c r="CP94" i="2"/>
  <c r="CL78" i="2"/>
  <c r="CK78" i="2"/>
  <c r="CJ78" i="2"/>
  <c r="CI78" i="2"/>
  <c r="CG78" i="2"/>
  <c r="CF78" i="2"/>
  <c r="CE78" i="2"/>
  <c r="CD78" i="2"/>
  <c r="CD185" i="1" s="1"/>
  <c r="CB78" i="2"/>
  <c r="CA78" i="2"/>
  <c r="BZ78" i="2"/>
  <c r="CY109" i="20" s="1"/>
  <c r="BY78" i="2"/>
  <c r="CX109" i="20" s="1"/>
  <c r="BW78" i="2"/>
  <c r="BV78" i="2"/>
  <c r="BU78" i="2"/>
  <c r="BT78" i="2"/>
  <c r="BR78" i="2"/>
  <c r="BS78" i="2" s="1"/>
  <c r="BQ78" i="2"/>
  <c r="BP78" i="2"/>
  <c r="BO78" i="2"/>
  <c r="BM78" i="2"/>
  <c r="BL78" i="2"/>
  <c r="BK78" i="2"/>
  <c r="BJ78" i="2"/>
  <c r="BH78" i="2"/>
  <c r="BI78" i="2" s="1"/>
  <c r="BG78" i="2"/>
  <c r="BF78" i="2"/>
  <c r="BE78" i="2"/>
  <c r="BC78" i="2"/>
  <c r="BB78" i="2"/>
  <c r="BA78" i="2"/>
  <c r="AZ78" i="2"/>
  <c r="AX78" i="2"/>
  <c r="AV78" i="2"/>
  <c r="AW81" i="2" s="1"/>
  <c r="AU78" i="2"/>
  <c r="AS78" i="2"/>
  <c r="AT78" i="2" s="1"/>
  <c r="AR78" i="2"/>
  <c r="AQ78" i="2"/>
  <c r="AP78" i="2"/>
  <c r="AN78" i="2"/>
  <c r="AO78" i="2" s="1"/>
  <c r="AM78" i="2"/>
  <c r="AJ78" i="2"/>
  <c r="BI110" i="15" s="1"/>
  <c r="AD78" i="2"/>
  <c r="AC78" i="2"/>
  <c r="AB78" i="2"/>
  <c r="AA78" i="2"/>
  <c r="Y78" i="2"/>
  <c r="Z78" i="2" s="1"/>
  <c r="X78" i="2"/>
  <c r="W78" i="2"/>
  <c r="V78" i="2"/>
  <c r="T78" i="2"/>
  <c r="S78" i="2"/>
  <c r="R78" i="2"/>
  <c r="Q78" i="2"/>
  <c r="O78" i="2"/>
  <c r="O49" i="2" s="1"/>
  <c r="K78" i="2"/>
  <c r="F78" i="2"/>
  <c r="CX72" i="2"/>
  <c r="CS72" i="2"/>
  <c r="AO80" i="19" s="1"/>
  <c r="CP72" i="2"/>
  <c r="AL80" i="19" s="1"/>
  <c r="CO72" i="2"/>
  <c r="AK80" i="19" s="1"/>
  <c r="CN72" i="2"/>
  <c r="AJ80" i="19" s="1"/>
  <c r="CK72" i="2"/>
  <c r="AG80" i="19" s="1"/>
  <c r="CJ72" i="2"/>
  <c r="AF80" i="19" s="1"/>
  <c r="CI72" i="2"/>
  <c r="AE80" i="19" s="1"/>
  <c r="CF72" i="2"/>
  <c r="AB80" i="19" s="1"/>
  <c r="CE72" i="2"/>
  <c r="AA80" i="19" s="1"/>
  <c r="CD72" i="2"/>
  <c r="Z80" i="19" s="1"/>
  <c r="CA72" i="2"/>
  <c r="W80" i="19" s="1"/>
  <c r="BZ72" i="2"/>
  <c r="V80" i="19" s="1"/>
  <c r="BY72" i="2"/>
  <c r="U80" i="19" s="1"/>
  <c r="BV72" i="2"/>
  <c r="R80" i="19" s="1"/>
  <c r="BU72" i="2"/>
  <c r="Q80" i="19" s="1"/>
  <c r="BT72" i="2"/>
  <c r="P80" i="19" s="1"/>
  <c r="BQ72" i="2"/>
  <c r="M80" i="19" s="1"/>
  <c r="BP72" i="2"/>
  <c r="L80" i="19" s="1"/>
  <c r="BO72" i="2"/>
  <c r="K80" i="19" s="1"/>
  <c r="BL72" i="2"/>
  <c r="H80" i="19" s="1"/>
  <c r="BK72" i="2"/>
  <c r="G80" i="19" s="1"/>
  <c r="BJ72" i="2"/>
  <c r="F80" i="19" s="1"/>
  <c r="BG72" i="2"/>
  <c r="BF72" i="2"/>
  <c r="BE72" i="2"/>
  <c r="BB72" i="2"/>
  <c r="BA72" i="2"/>
  <c r="AZ72" i="2"/>
  <c r="AW72" i="2"/>
  <c r="AV72" i="2"/>
  <c r="AR72" i="2"/>
  <c r="AQ72" i="2"/>
  <c r="AK72" i="2"/>
  <c r="AI72" i="2"/>
  <c r="AH72" i="2"/>
  <c r="AG72" i="2"/>
  <c r="AF72" i="2"/>
  <c r="AD72" i="2"/>
  <c r="AC72" i="2"/>
  <c r="AB72" i="2"/>
  <c r="AA72" i="2"/>
  <c r="X72" i="2"/>
  <c r="W72" i="2"/>
  <c r="V72" i="2"/>
  <c r="S72" i="2"/>
  <c r="Q72" i="2"/>
  <c r="M72" i="2"/>
  <c r="L72" i="2"/>
  <c r="J72" i="2"/>
  <c r="I72" i="2"/>
  <c r="H72" i="2"/>
  <c r="G72" i="2"/>
  <c r="E72" i="2"/>
  <c r="D72" i="2"/>
  <c r="S71" i="2"/>
  <c r="Q71" i="2"/>
  <c r="L71" i="2"/>
  <c r="J71" i="2"/>
  <c r="I71" i="2"/>
  <c r="H71" i="2"/>
  <c r="G71" i="2"/>
  <c r="E71" i="2"/>
  <c r="D71" i="2"/>
  <c r="CX68" i="2"/>
  <c r="CS68" i="2"/>
  <c r="CN68" i="2"/>
  <c r="CI68" i="2"/>
  <c r="CI33" i="2" s="1"/>
  <c r="CD68" i="2"/>
  <c r="CE68" i="2" s="1"/>
  <c r="BY68" i="2"/>
  <c r="BY5" i="14" s="1"/>
  <c r="BT68" i="2"/>
  <c r="BO68" i="2"/>
  <c r="BO92" i="1" s="1"/>
  <c r="BJ68" i="2"/>
  <c r="BK68" i="2" s="1"/>
  <c r="BE68" i="2"/>
  <c r="BE92" i="1" s="1"/>
  <c r="AZ68" i="2"/>
  <c r="AU68" i="2"/>
  <c r="AU92" i="1" s="1"/>
  <c r="AP68" i="2"/>
  <c r="AQ68" i="2" s="1"/>
  <c r="AK68" i="2"/>
  <c r="AI68" i="2"/>
  <c r="AH68" i="2"/>
  <c r="AH92" i="1" s="1"/>
  <c r="AG68" i="2"/>
  <c r="AG92" i="1" s="1"/>
  <c r="AF68" i="2"/>
  <c r="AF33" i="2" s="1"/>
  <c r="AD68" i="2"/>
  <c r="AD33" i="2" s="1"/>
  <c r="AD20" i="2" s="1"/>
  <c r="AC68" i="2"/>
  <c r="AB68" i="2"/>
  <c r="AA68" i="2"/>
  <c r="AA33" i="2" s="1"/>
  <c r="J68" i="2"/>
  <c r="I68" i="2"/>
  <c r="H68" i="2"/>
  <c r="H92" i="1" s="1"/>
  <c r="G68" i="2"/>
  <c r="AF30" i="20" s="1"/>
  <c r="E68" i="2"/>
  <c r="E92" i="1" s="1"/>
  <c r="E95" i="1" s="1"/>
  <c r="D68" i="2"/>
  <c r="C68" i="2"/>
  <c r="CX65" i="2"/>
  <c r="CU65" i="2"/>
  <c r="CT65" i="2"/>
  <c r="CS65" i="2"/>
  <c r="CP65" i="2"/>
  <c r="CO65" i="2"/>
  <c r="CN65" i="2"/>
  <c r="CK65" i="2"/>
  <c r="CJ65" i="2"/>
  <c r="CI65" i="2"/>
  <c r="CF65" i="2"/>
  <c r="CE65" i="2"/>
  <c r="CD65" i="2"/>
  <c r="CA65" i="2"/>
  <c r="BZ65" i="2"/>
  <c r="BY65" i="2"/>
  <c r="BV65" i="2"/>
  <c r="BU65" i="2"/>
  <c r="BT65" i="2"/>
  <c r="BQ65" i="2"/>
  <c r="BP65" i="2"/>
  <c r="BO65" i="2"/>
  <c r="BL65" i="2"/>
  <c r="BK65" i="2"/>
  <c r="BJ65" i="2"/>
  <c r="BG65" i="2"/>
  <c r="BF65" i="2"/>
  <c r="BE65" i="2"/>
  <c r="BB65" i="2"/>
  <c r="BA65" i="2"/>
  <c r="AZ65" i="2"/>
  <c r="AW65" i="2"/>
  <c r="AV65" i="2"/>
  <c r="AR65" i="2"/>
  <c r="AQ65" i="2"/>
  <c r="AM65" i="2"/>
  <c r="AL65" i="2"/>
  <c r="AK65" i="2"/>
  <c r="AI65" i="2"/>
  <c r="AH65" i="2"/>
  <c r="AG65" i="2"/>
  <c r="AF65" i="2"/>
  <c r="AD65" i="2"/>
  <c r="AC65" i="2"/>
  <c r="AB65" i="2"/>
  <c r="AA65" i="2"/>
  <c r="X65" i="2"/>
  <c r="W65" i="2"/>
  <c r="V65" i="2"/>
  <c r="S65" i="2"/>
  <c r="Q65" i="2"/>
  <c r="M65" i="2"/>
  <c r="L65" i="2"/>
  <c r="G65" i="2"/>
  <c r="E65" i="2"/>
  <c r="D65" i="2"/>
  <c r="CX64" i="2"/>
  <c r="CU64" i="2"/>
  <c r="CT64" i="2"/>
  <c r="CS64" i="2"/>
  <c r="CP64" i="2"/>
  <c r="CO64" i="2"/>
  <c r="CN64" i="2"/>
  <c r="CK64" i="2"/>
  <c r="CJ64" i="2"/>
  <c r="CI64" i="2"/>
  <c r="CE64" i="2"/>
  <c r="CD64" i="2"/>
  <c r="CA64" i="2"/>
  <c r="BZ64" i="2"/>
  <c r="BY64" i="2"/>
  <c r="BV64" i="2"/>
  <c r="BU64" i="2"/>
  <c r="BT64" i="2"/>
  <c r="BQ64" i="2"/>
  <c r="BP64" i="2"/>
  <c r="BO64" i="2"/>
  <c r="BL64" i="2"/>
  <c r="BK64" i="2"/>
  <c r="BJ64" i="2"/>
  <c r="BG64" i="2"/>
  <c r="BE64" i="2"/>
  <c r="BB64" i="2"/>
  <c r="AZ64" i="2"/>
  <c r="AW64" i="2"/>
  <c r="AR64" i="2"/>
  <c r="AQ64" i="2"/>
  <c r="AM64" i="2"/>
  <c r="AL64" i="2"/>
  <c r="AK64" i="2"/>
  <c r="AI64" i="2"/>
  <c r="AH64" i="2"/>
  <c r="AG64" i="2"/>
  <c r="AF64" i="2"/>
  <c r="AD64" i="2"/>
  <c r="AC64" i="2"/>
  <c r="AB64" i="2"/>
  <c r="AA64" i="2"/>
  <c r="X64" i="2"/>
  <c r="W64" i="2"/>
  <c r="V64" i="2"/>
  <c r="S64" i="2"/>
  <c r="Q64" i="2"/>
  <c r="M64" i="2"/>
  <c r="L64" i="2"/>
  <c r="J64" i="2"/>
  <c r="I64" i="2"/>
  <c r="H64" i="2"/>
  <c r="G64" i="2"/>
  <c r="E64" i="2"/>
  <c r="D64" i="2"/>
  <c r="CX62" i="2"/>
  <c r="CU62" i="2"/>
  <c r="CT62" i="2"/>
  <c r="CS62" i="2"/>
  <c r="CP62" i="2"/>
  <c r="CO62" i="2"/>
  <c r="CN62" i="2"/>
  <c r="CK62" i="2"/>
  <c r="CJ62" i="2"/>
  <c r="CI62" i="2"/>
  <c r="CE62" i="2"/>
  <c r="CD62" i="2"/>
  <c r="BY62" i="2"/>
  <c r="AG62" i="2"/>
  <c r="AD62" i="2"/>
  <c r="AC62" i="2"/>
  <c r="AB62" i="2"/>
  <c r="AA62" i="2"/>
  <c r="X62" i="2"/>
  <c r="W62" i="2"/>
  <c r="V62" i="2"/>
  <c r="S62" i="2"/>
  <c r="R62" i="2"/>
  <c r="Q62" i="2"/>
  <c r="M62" i="2"/>
  <c r="L62" i="2"/>
  <c r="J62" i="2"/>
  <c r="I62" i="2"/>
  <c r="H62" i="2"/>
  <c r="G62" i="2"/>
  <c r="E62" i="2"/>
  <c r="D62" i="2"/>
  <c r="C62" i="2"/>
  <c r="B62" i="2"/>
  <c r="CX61" i="2"/>
  <c r="CS61" i="2"/>
  <c r="CN61" i="2"/>
  <c r="CI61" i="2"/>
  <c r="CD61" i="2"/>
  <c r="BY61" i="2"/>
  <c r="BT61" i="2"/>
  <c r="BO61" i="2"/>
  <c r="BJ61" i="2"/>
  <c r="BE61" i="2"/>
  <c r="AZ61" i="2"/>
  <c r="AQ61" i="2"/>
  <c r="AK61" i="2"/>
  <c r="AF61" i="2"/>
  <c r="AB61" i="2"/>
  <c r="AA61" i="2"/>
  <c r="W61" i="2"/>
  <c r="V61" i="2"/>
  <c r="S61" i="2"/>
  <c r="Q61" i="2"/>
  <c r="L61" i="2"/>
  <c r="J61" i="2"/>
  <c r="I61" i="2"/>
  <c r="H61" i="2"/>
  <c r="G61" i="2"/>
  <c r="E61" i="2"/>
  <c r="D61" i="2"/>
  <c r="M60" i="2"/>
  <c r="L60" i="2"/>
  <c r="J60" i="2"/>
  <c r="I60" i="2"/>
  <c r="H60" i="2"/>
  <c r="G60" i="2"/>
  <c r="E60" i="2"/>
  <c r="D60" i="2"/>
  <c r="S54" i="2"/>
  <c r="Q54" i="2"/>
  <c r="M54" i="2"/>
  <c r="L54" i="2"/>
  <c r="J54" i="2"/>
  <c r="I54" i="2"/>
  <c r="H54" i="2"/>
  <c r="G54" i="2"/>
  <c r="E54" i="2"/>
  <c r="D54" i="2"/>
  <c r="AQ51" i="2"/>
  <c r="CW49" i="2"/>
  <c r="CR49" i="2"/>
  <c r="CM49" i="2"/>
  <c r="CH49" i="2"/>
  <c r="CC49" i="2"/>
  <c r="BX49" i="2"/>
  <c r="BS49" i="2"/>
  <c r="BI49" i="2"/>
  <c r="CH26" i="20" s="1"/>
  <c r="BD49" i="2"/>
  <c r="AS49" i="2"/>
  <c r="AO49" i="2"/>
  <c r="AJ49" i="2"/>
  <c r="AJ81" i="2" s="1"/>
  <c r="Z49" i="2"/>
  <c r="U49" i="2"/>
  <c r="M49" i="2"/>
  <c r="AL26" i="20" s="1"/>
  <c r="K49" i="2"/>
  <c r="AJ26" i="20" s="1"/>
  <c r="F49" i="2"/>
  <c r="CV45" i="2"/>
  <c r="CQ45" i="2"/>
  <c r="CL45" i="2"/>
  <c r="CL65" i="2" s="1"/>
  <c r="CG45" i="2"/>
  <c r="CB45" i="2"/>
  <c r="CC45" i="2" s="1"/>
  <c r="BW45" i="2"/>
  <c r="CV20" i="15" s="1"/>
  <c r="BR45" i="2"/>
  <c r="BR65" i="2" s="1"/>
  <c r="BM45" i="2"/>
  <c r="BN45" i="2" s="1"/>
  <c r="CM20" i="20" s="1"/>
  <c r="BH45" i="2"/>
  <c r="BI45" i="2" s="1"/>
  <c r="BC45" i="2"/>
  <c r="BD45" i="2" s="1"/>
  <c r="AU45" i="2"/>
  <c r="AU65" i="2" s="1"/>
  <c r="AP45" i="2"/>
  <c r="AN45" i="2"/>
  <c r="AN65" i="2" s="1"/>
  <c r="AJ45" i="2"/>
  <c r="AJ65" i="2" s="1"/>
  <c r="AE45" i="2"/>
  <c r="Y45" i="2"/>
  <c r="R45" i="2"/>
  <c r="N45" i="2"/>
  <c r="AM20" i="20" s="1"/>
  <c r="H45" i="2"/>
  <c r="B45" i="2"/>
  <c r="C45" i="2" s="1"/>
  <c r="AJ43" i="2"/>
  <c r="AE43" i="2"/>
  <c r="Z43" i="2"/>
  <c r="R43" i="2"/>
  <c r="U43" i="2" s="1"/>
  <c r="O43" i="2"/>
  <c r="P43" i="2" s="1"/>
  <c r="K43" i="2"/>
  <c r="F43" i="2"/>
  <c r="CV41" i="2"/>
  <c r="CQ41" i="2"/>
  <c r="CL41" i="2"/>
  <c r="CM41" i="2" s="1"/>
  <c r="CG41" i="2"/>
  <c r="CB41" i="2"/>
  <c r="X71" i="19" s="1"/>
  <c r="BW41" i="2"/>
  <c r="BR41" i="2"/>
  <c r="BM41" i="2"/>
  <c r="BH41" i="2"/>
  <c r="BC41" i="2"/>
  <c r="BD41" i="2" s="1"/>
  <c r="AU41" i="2"/>
  <c r="AP41" i="2"/>
  <c r="AN41" i="2"/>
  <c r="AO41" i="2" s="1"/>
  <c r="AJ41" i="2"/>
  <c r="AE41" i="2"/>
  <c r="Y41" i="2"/>
  <c r="AX52" i="15" s="1"/>
  <c r="R41" i="2"/>
  <c r="N41" i="2"/>
  <c r="O41" i="2" s="1"/>
  <c r="K41" i="2"/>
  <c r="B41" i="2"/>
  <c r="CV39" i="2"/>
  <c r="CQ39" i="2"/>
  <c r="CR39" i="2" s="1"/>
  <c r="CL39" i="2"/>
  <c r="CM39" i="2" s="1"/>
  <c r="CF39" i="2"/>
  <c r="CG39" i="2" s="1"/>
  <c r="CB39" i="2"/>
  <c r="BW39" i="2"/>
  <c r="BR39" i="2"/>
  <c r="BM39" i="2"/>
  <c r="BF39" i="2"/>
  <c r="BH39" i="2" s="1"/>
  <c r="BI39" i="2" s="1"/>
  <c r="BA39" i="2"/>
  <c r="BC39" i="2" s="1"/>
  <c r="AV39" i="2"/>
  <c r="AV64" i="2" s="1"/>
  <c r="AP39" i="2"/>
  <c r="AN39" i="2"/>
  <c r="AJ39" i="2"/>
  <c r="AE39" i="2"/>
  <c r="Y39" i="2"/>
  <c r="R39" i="2"/>
  <c r="T39" i="2" s="1"/>
  <c r="N39" i="2"/>
  <c r="K39" i="2"/>
  <c r="B39" i="2"/>
  <c r="C39" i="2" s="1"/>
  <c r="EF37" i="2"/>
  <c r="EA37" i="2"/>
  <c r="DV37" i="2"/>
  <c r="DQ37" i="2"/>
  <c r="BM67" i="19" s="1"/>
  <c r="DL37" i="2"/>
  <c r="BH67" i="19" s="1"/>
  <c r="DG37" i="2"/>
  <c r="BC67" i="19" s="1"/>
  <c r="DB37" i="2"/>
  <c r="CW37" i="2"/>
  <c r="CR37" i="2"/>
  <c r="AN67" i="19" s="1"/>
  <c r="CM37" i="2"/>
  <c r="CH37" i="2"/>
  <c r="CC37" i="2"/>
  <c r="BX37" i="2"/>
  <c r="BS37" i="2"/>
  <c r="BN37" i="2"/>
  <c r="BI37" i="2"/>
  <c r="BD37" i="2"/>
  <c r="AY37" i="2"/>
  <c r="AT37" i="2"/>
  <c r="AO37" i="2"/>
  <c r="AJ37" i="2"/>
  <c r="AE37" i="2"/>
  <c r="Z37" i="2"/>
  <c r="U37" i="2"/>
  <c r="P37" i="2"/>
  <c r="K37" i="2"/>
  <c r="F37" i="2"/>
  <c r="CV35" i="2"/>
  <c r="CV62" i="2" s="1"/>
  <c r="CQ35" i="2"/>
  <c r="CQ62" i="2" s="1"/>
  <c r="CL35" i="2"/>
  <c r="CF35" i="2"/>
  <c r="CG35" i="2" s="1"/>
  <c r="CH35" i="2" s="1"/>
  <c r="CA35" i="2"/>
  <c r="CB35" i="2" s="1"/>
  <c r="BW35" i="2"/>
  <c r="BX35" i="2" s="1"/>
  <c r="BQ35" i="2"/>
  <c r="BP35" i="2"/>
  <c r="BL35" i="2"/>
  <c r="BK35" i="2"/>
  <c r="BJ35" i="2"/>
  <c r="BG35" i="2"/>
  <c r="BF35" i="2"/>
  <c r="BE35" i="2"/>
  <c r="BB35" i="2"/>
  <c r="BA35" i="2"/>
  <c r="AZ35" i="2"/>
  <c r="AW35" i="2"/>
  <c r="AV35" i="2"/>
  <c r="AU35" i="2" s="1"/>
  <c r="BT9" i="20" s="1"/>
  <c r="AR35" i="2"/>
  <c r="AQ35" i="2"/>
  <c r="AP35" i="2" s="1"/>
  <c r="AM35" i="2"/>
  <c r="AL35" i="2"/>
  <c r="AK35" i="2"/>
  <c r="AI35" i="2"/>
  <c r="AH35" i="2"/>
  <c r="AF35" i="2"/>
  <c r="BE9" i="15" s="1"/>
  <c r="AE35" i="2"/>
  <c r="Y35" i="2"/>
  <c r="AX9" i="20" s="1"/>
  <c r="T35" i="2"/>
  <c r="K35" i="2"/>
  <c r="AJ9" i="20" s="1"/>
  <c r="F35" i="2"/>
  <c r="AE9" i="20" s="1"/>
  <c r="EF34" i="2"/>
  <c r="EA34" i="2"/>
  <c r="DV34" i="2"/>
  <c r="DQ34" i="2"/>
  <c r="BM63" i="19" s="1"/>
  <c r="DL34" i="2"/>
  <c r="BH63" i="19" s="1"/>
  <c r="DG34" i="2"/>
  <c r="BC63" i="19" s="1"/>
  <c r="AU63" i="19"/>
  <c r="CW34" i="2"/>
  <c r="CR34" i="2"/>
  <c r="CM34" i="2"/>
  <c r="CH34" i="2"/>
  <c r="CC34" i="2"/>
  <c r="BX34" i="2"/>
  <c r="BS34" i="2"/>
  <c r="BN34" i="2"/>
  <c r="BI34" i="2"/>
  <c r="BD34" i="2"/>
  <c r="AY34" i="2"/>
  <c r="AT34" i="2"/>
  <c r="AN34" i="2"/>
  <c r="AO34" i="2" s="1"/>
  <c r="AJ34" i="2"/>
  <c r="AE34" i="2"/>
  <c r="Z34" i="2"/>
  <c r="U34" i="2"/>
  <c r="N34" i="2"/>
  <c r="P34" i="2" s="1"/>
  <c r="K34" i="2"/>
  <c r="F34" i="2"/>
  <c r="BN33" i="2"/>
  <c r="J62" i="19" s="1"/>
  <c r="BH33" i="2"/>
  <c r="BI33" i="2" s="1"/>
  <c r="E62" i="19" s="1"/>
  <c r="AZ33" i="2"/>
  <c r="BC33" i="2" s="1"/>
  <c r="BD33" i="2" s="1"/>
  <c r="D62" i="19" s="1"/>
  <c r="AV33" i="2"/>
  <c r="AV20" i="2" s="1"/>
  <c r="AQ33" i="2"/>
  <c r="AP33" i="2" s="1"/>
  <c r="AK33" i="2"/>
  <c r="X33" i="2"/>
  <c r="X32" i="2" s="1"/>
  <c r="W33" i="2"/>
  <c r="V33" i="2"/>
  <c r="V32" i="2" s="1"/>
  <c r="V31" i="2" s="1"/>
  <c r="T33" i="2"/>
  <c r="T32" i="2" s="1"/>
  <c r="AS7" i="15" s="1"/>
  <c r="S33" i="2"/>
  <c r="Q33" i="2"/>
  <c r="R33" i="2" s="1"/>
  <c r="R68" i="2" s="1"/>
  <c r="L33" i="2"/>
  <c r="L32" i="2" s="1"/>
  <c r="L56" i="2" s="1"/>
  <c r="K33" i="2"/>
  <c r="K92" i="1" s="1"/>
  <c r="B33" i="2"/>
  <c r="B68" i="2" s="1"/>
  <c r="CX32" i="2"/>
  <c r="DA32" i="2" s="1"/>
  <c r="CU32" i="2"/>
  <c r="CT32" i="2"/>
  <c r="CS32" i="2"/>
  <c r="CP32" i="2"/>
  <c r="CO32" i="2"/>
  <c r="CN32" i="2"/>
  <c r="CK32" i="2"/>
  <c r="CJ32" i="2"/>
  <c r="CI32" i="2"/>
  <c r="CF32" i="2"/>
  <c r="CE32" i="2"/>
  <c r="CD32" i="2"/>
  <c r="CA32" i="2"/>
  <c r="BZ32" i="2"/>
  <c r="BY32" i="2"/>
  <c r="BV32" i="2"/>
  <c r="BU32" i="2"/>
  <c r="BT32" i="2"/>
  <c r="BQ32" i="2"/>
  <c r="BM32" i="2"/>
  <c r="BH32" i="2"/>
  <c r="CG7" i="15" s="1"/>
  <c r="BC32" i="2"/>
  <c r="BD32" i="2" s="1"/>
  <c r="AV32" i="2"/>
  <c r="AP32" i="2"/>
  <c r="AO32" i="2"/>
  <c r="AG32" i="2"/>
  <c r="AF32" i="2"/>
  <c r="AD32" i="2"/>
  <c r="AC32" i="2"/>
  <c r="AB32" i="2"/>
  <c r="AA32" i="2"/>
  <c r="J32" i="2"/>
  <c r="J31" i="2" s="1"/>
  <c r="I32" i="2"/>
  <c r="I31" i="2" s="1"/>
  <c r="H32" i="2"/>
  <c r="G32" i="2"/>
  <c r="E32" i="2"/>
  <c r="D32" i="2"/>
  <c r="BL31" i="2"/>
  <c r="H60" i="19" s="1"/>
  <c r="BK31" i="2"/>
  <c r="G60" i="19" s="1"/>
  <c r="BJ31" i="2"/>
  <c r="BG31" i="2"/>
  <c r="BF31" i="2"/>
  <c r="BE31" i="2"/>
  <c r="BB31" i="2"/>
  <c r="BA31" i="2"/>
  <c r="AW31" i="2"/>
  <c r="AR31" i="2"/>
  <c r="CW30" i="2"/>
  <c r="CR30" i="2"/>
  <c r="CM30" i="2"/>
  <c r="CF30" i="2"/>
  <c r="BW30" i="2"/>
  <c r="AK30" i="2"/>
  <c r="AJ30" i="2"/>
  <c r="AE30" i="2"/>
  <c r="Z30" i="2"/>
  <c r="U30" i="2"/>
  <c r="P30" i="2"/>
  <c r="K30" i="2"/>
  <c r="F30" i="2"/>
  <c r="EF29" i="2"/>
  <c r="EA29" i="2"/>
  <c r="DV29" i="2"/>
  <c r="DQ29" i="2"/>
  <c r="BM58" i="19" s="1"/>
  <c r="DL29" i="2"/>
  <c r="BH58" i="19" s="1"/>
  <c r="DG29" i="2"/>
  <c r="BC58" i="19" s="1"/>
  <c r="DB29" i="2"/>
  <c r="AX58" i="19" s="1"/>
  <c r="CW29" i="2"/>
  <c r="AS58" i="19" s="1"/>
  <c r="CR29" i="2"/>
  <c r="AN58" i="19" s="1"/>
  <c r="CM29" i="2"/>
  <c r="AI58" i="19" s="1"/>
  <c r="CH29" i="2"/>
  <c r="AD58" i="19" s="1"/>
  <c r="CC29" i="2"/>
  <c r="Y58" i="19" s="1"/>
  <c r="BX29" i="2"/>
  <c r="T58" i="19" s="1"/>
  <c r="BS29" i="2"/>
  <c r="O58" i="19" s="1"/>
  <c r="BN29" i="2"/>
  <c r="J58" i="19" s="1"/>
  <c r="BI29" i="2"/>
  <c r="E58" i="19" s="1"/>
  <c r="BD29" i="2"/>
  <c r="D58" i="19" s="1"/>
  <c r="AY29" i="2"/>
  <c r="C58" i="19" s="1"/>
  <c r="AT29" i="2"/>
  <c r="AO29" i="2"/>
  <c r="AJ29" i="2"/>
  <c r="AE29" i="2"/>
  <c r="Z29" i="2"/>
  <c r="U29" i="2"/>
  <c r="P29" i="2"/>
  <c r="K29" i="2"/>
  <c r="F29" i="2"/>
  <c r="CX28" i="2"/>
  <c r="AT57" i="19" s="1"/>
  <c r="CV28" i="2"/>
  <c r="AR57" i="19" s="1"/>
  <c r="CU28" i="2"/>
  <c r="AQ57" i="19" s="1"/>
  <c r="CT28" i="2"/>
  <c r="AP57" i="19" s="1"/>
  <c r="CS28" i="2"/>
  <c r="CQ28" i="2"/>
  <c r="AM57" i="19" s="1"/>
  <c r="CP28" i="2"/>
  <c r="AL57" i="19" s="1"/>
  <c r="CO28" i="2"/>
  <c r="AK57" i="19" s="1"/>
  <c r="CN28" i="2"/>
  <c r="CL28" i="2"/>
  <c r="AH57" i="19" s="1"/>
  <c r="CK28" i="2"/>
  <c r="AG57" i="19" s="1"/>
  <c r="CJ28" i="2"/>
  <c r="AF57" i="19" s="1"/>
  <c r="CI28" i="2"/>
  <c r="AE57" i="19" s="1"/>
  <c r="CG28" i="2"/>
  <c r="AC57" i="19" s="1"/>
  <c r="CE28" i="2"/>
  <c r="AA57" i="19" s="1"/>
  <c r="CD28" i="2"/>
  <c r="Z57" i="19" s="1"/>
  <c r="BY28" i="2"/>
  <c r="AI28" i="2"/>
  <c r="AH28" i="2"/>
  <c r="AG28" i="2"/>
  <c r="AF28" i="2"/>
  <c r="AD28" i="2"/>
  <c r="AC28" i="2"/>
  <c r="AB28" i="2"/>
  <c r="AA28" i="2"/>
  <c r="Y28" i="2"/>
  <c r="X28" i="2"/>
  <c r="W28" i="2"/>
  <c r="V28" i="2"/>
  <c r="T28" i="2"/>
  <c r="S28" i="2"/>
  <c r="R28" i="2"/>
  <c r="Q28" i="2"/>
  <c r="O28" i="2"/>
  <c r="N28" i="2"/>
  <c r="M28" i="2"/>
  <c r="L28" i="2"/>
  <c r="J28" i="2"/>
  <c r="I28" i="2"/>
  <c r="H28" i="2"/>
  <c r="G28" i="2"/>
  <c r="E28" i="2"/>
  <c r="D28" i="2"/>
  <c r="C28" i="2"/>
  <c r="B28" i="2"/>
  <c r="CV27" i="2"/>
  <c r="AR56" i="19" s="1"/>
  <c r="CQ27" i="2"/>
  <c r="AM56" i="19" s="1"/>
  <c r="CL27" i="2"/>
  <c r="CG27" i="2"/>
  <c r="AC56" i="19" s="1"/>
  <c r="CB27" i="2"/>
  <c r="X56" i="19" s="1"/>
  <c r="BW27" i="2"/>
  <c r="BP27" i="2"/>
  <c r="L56" i="19" s="1"/>
  <c r="BO27" i="2"/>
  <c r="BL27" i="2"/>
  <c r="BK27" i="2"/>
  <c r="BJ27" i="2"/>
  <c r="BJ23" i="2" s="1"/>
  <c r="BG27" i="2"/>
  <c r="BG23" i="2" s="1"/>
  <c r="BG22" i="2" s="1"/>
  <c r="BF27" i="2"/>
  <c r="BF23" i="2" s="1"/>
  <c r="BE27" i="2"/>
  <c r="BE23" i="2" s="1"/>
  <c r="BB27" i="2"/>
  <c r="BB23" i="2" s="1"/>
  <c r="BA27" i="2"/>
  <c r="BA23" i="2" s="1"/>
  <c r="BZ53" i="15" s="1"/>
  <c r="AZ27" i="2"/>
  <c r="AW27" i="2"/>
  <c r="AW23" i="2" s="1"/>
  <c r="AV27" i="2"/>
  <c r="AR27" i="2"/>
  <c r="AR51" i="2" s="1"/>
  <c r="AP27" i="2"/>
  <c r="AL27" i="2"/>
  <c r="AF27" i="2"/>
  <c r="AE27" i="2"/>
  <c r="V27" i="2"/>
  <c r="Z27" i="2" s="1"/>
  <c r="S27" i="2"/>
  <c r="S23" i="2" s="1"/>
  <c r="S24" i="2" s="1"/>
  <c r="R27" i="2"/>
  <c r="Q27" i="2"/>
  <c r="P27" i="2"/>
  <c r="K27" i="2"/>
  <c r="F27" i="2"/>
  <c r="CV25" i="2"/>
  <c r="CQ25" i="2"/>
  <c r="CL25" i="2"/>
  <c r="CM25" i="2" s="1"/>
  <c r="CG25" i="2"/>
  <c r="CB25" i="2"/>
  <c r="CC25" i="2" s="1"/>
  <c r="DB54" i="15" s="1"/>
  <c r="BW25" i="2"/>
  <c r="BX25" i="2" s="1"/>
  <c r="BR25" i="2"/>
  <c r="BM25" i="2"/>
  <c r="BH25" i="2"/>
  <c r="BH61" i="2" s="1"/>
  <c r="BC25" i="2"/>
  <c r="BD25" i="2" s="1"/>
  <c r="AU25" i="2"/>
  <c r="AU61" i="2" s="1"/>
  <c r="AP25" i="2"/>
  <c r="AL25" i="2"/>
  <c r="AM25" i="2" s="1"/>
  <c r="AJ25" i="2"/>
  <c r="AE25" i="2"/>
  <c r="Y25" i="2"/>
  <c r="R25" i="2"/>
  <c r="M25" i="2"/>
  <c r="M22" i="2" s="1"/>
  <c r="K25" i="2"/>
  <c r="B25" i="2"/>
  <c r="AA54" i="20" s="1"/>
  <c r="M24" i="2"/>
  <c r="J24" i="2"/>
  <c r="I24" i="2"/>
  <c r="H24" i="2"/>
  <c r="E24" i="2"/>
  <c r="D24" i="2"/>
  <c r="CX23" i="2"/>
  <c r="CU23" i="2"/>
  <c r="CT23" i="2"/>
  <c r="CT60" i="2" s="1"/>
  <c r="CS23" i="2"/>
  <c r="CP23" i="2"/>
  <c r="CO23" i="2"/>
  <c r="CN23" i="2"/>
  <c r="CN22" i="2" s="1"/>
  <c r="CK23" i="2"/>
  <c r="CJ23" i="2"/>
  <c r="CI23" i="2"/>
  <c r="CF23" i="2"/>
  <c r="CE23" i="2"/>
  <c r="CD23" i="2"/>
  <c r="CD22" i="2" s="1"/>
  <c r="CA23" i="2"/>
  <c r="BZ23" i="2"/>
  <c r="BZ60" i="2" s="1"/>
  <c r="BY23" i="2"/>
  <c r="U52" i="19" s="1"/>
  <c r="BV23" i="2"/>
  <c r="BU23" i="2"/>
  <c r="BT23" i="2"/>
  <c r="BQ23" i="2"/>
  <c r="BQ22" i="2" s="1"/>
  <c r="AQ23" i="2"/>
  <c r="AK23" i="2"/>
  <c r="AI23" i="2"/>
  <c r="AH23" i="2"/>
  <c r="AH22" i="2" s="1"/>
  <c r="AG23" i="2"/>
  <c r="AG22" i="2" s="1"/>
  <c r="BF16" i="20" s="1"/>
  <c r="AD23" i="2"/>
  <c r="AD60" i="2" s="1"/>
  <c r="AC23" i="2"/>
  <c r="AC60" i="2" s="1"/>
  <c r="AB23" i="2"/>
  <c r="AB60" i="2" s="1"/>
  <c r="AA23" i="2"/>
  <c r="X23" i="2"/>
  <c r="X22" i="2" s="1"/>
  <c r="W23" i="2"/>
  <c r="W22" i="2" s="1"/>
  <c r="N23" i="2"/>
  <c r="K23" i="2"/>
  <c r="B23" i="2"/>
  <c r="C23" i="2" s="1"/>
  <c r="L22" i="2"/>
  <c r="J22" i="2"/>
  <c r="I22" i="2"/>
  <c r="AH16" i="20" s="1"/>
  <c r="H22" i="2"/>
  <c r="AG16" i="20" s="1"/>
  <c r="G22" i="2"/>
  <c r="AF16" i="20" s="1"/>
  <c r="E22" i="2"/>
  <c r="AD16" i="20" s="1"/>
  <c r="D22" i="2"/>
  <c r="AC16" i="20" s="1"/>
  <c r="BV20" i="2"/>
  <c r="BQ20" i="2"/>
  <c r="BL20" i="2"/>
  <c r="BK20" i="2"/>
  <c r="BJ20" i="2"/>
  <c r="BG20" i="2"/>
  <c r="BF20" i="2"/>
  <c r="BE20" i="2"/>
  <c r="BE56" i="2" s="1"/>
  <c r="BB20" i="2"/>
  <c r="BA20" i="2"/>
  <c r="AW20" i="2"/>
  <c r="AR20" i="2"/>
  <c r="X20" i="2"/>
  <c r="W20" i="2"/>
  <c r="V20" i="2"/>
  <c r="S20" i="2"/>
  <c r="Q20" i="2"/>
  <c r="R20" i="2" s="1"/>
  <c r="N20" i="2"/>
  <c r="O20" i="2" s="1"/>
  <c r="P20" i="2" s="1"/>
  <c r="K20" i="2"/>
  <c r="B20" i="2"/>
  <c r="DR19" i="2"/>
  <c r="DW19" i="2" s="1"/>
  <c r="EB19" i="2" s="1"/>
  <c r="AK19" i="2"/>
  <c r="AI19" i="2"/>
  <c r="AH19" i="2"/>
  <c r="AG19" i="2"/>
  <c r="AF19" i="2"/>
  <c r="AD19" i="2"/>
  <c r="AC19" i="2"/>
  <c r="AB19" i="2"/>
  <c r="AA19" i="2"/>
  <c r="X19" i="2"/>
  <c r="W19" i="2"/>
  <c r="V19" i="2"/>
  <c r="S19" i="2"/>
  <c r="Q19" i="2"/>
  <c r="L19" i="2"/>
  <c r="J19" i="2"/>
  <c r="I19" i="2"/>
  <c r="H19" i="2"/>
  <c r="G19" i="2"/>
  <c r="AU46" i="19"/>
  <c r="CV17" i="2"/>
  <c r="CQ17" i="2"/>
  <c r="CL17" i="2"/>
  <c r="CG17" i="2"/>
  <c r="CB17" i="2"/>
  <c r="BW17" i="2"/>
  <c r="BR17" i="2"/>
  <c r="BM17" i="2"/>
  <c r="BH17" i="2"/>
  <c r="BC17" i="2"/>
  <c r="BD17" i="2" s="1"/>
  <c r="AU17" i="2"/>
  <c r="AP17" i="2"/>
  <c r="AS17" i="2" s="1"/>
  <c r="AL17" i="2"/>
  <c r="AM17" i="2" s="1"/>
  <c r="AJ17" i="2"/>
  <c r="AE17" i="2"/>
  <c r="Y17" i="2"/>
  <c r="Z17" i="2" s="1"/>
  <c r="R17" i="2"/>
  <c r="M17" i="2"/>
  <c r="K17" i="2"/>
  <c r="B17" i="2"/>
  <c r="CT14" i="2"/>
  <c r="CU14" i="2" s="1"/>
  <c r="CQ14" i="2"/>
  <c r="CR14" i="2" s="1"/>
  <c r="CL14" i="2"/>
  <c r="AH43" i="19" s="1"/>
  <c r="CG14" i="2"/>
  <c r="AC43" i="19" s="1"/>
  <c r="CB14" i="2"/>
  <c r="BW14" i="2"/>
  <c r="BR14" i="2"/>
  <c r="BS14" i="2" s="1"/>
  <c r="BM14" i="2"/>
  <c r="I43" i="19" s="1"/>
  <c r="BH14" i="2"/>
  <c r="BI14" i="2" s="1"/>
  <c r="E43" i="19" s="1"/>
  <c r="BC14" i="2"/>
  <c r="BD14" i="2" s="1"/>
  <c r="D43" i="19" s="1"/>
  <c r="AU14" i="2"/>
  <c r="AP14" i="2"/>
  <c r="AL14" i="2"/>
  <c r="AM14" i="2" s="1"/>
  <c r="AN14" i="2" s="1"/>
  <c r="AJ14" i="2"/>
  <c r="AE14" i="2"/>
  <c r="Z14" i="2"/>
  <c r="R14" i="2"/>
  <c r="N14" i="2"/>
  <c r="K14" i="2"/>
  <c r="B14" i="2"/>
  <c r="C14" i="2" s="1"/>
  <c r="CT13" i="2"/>
  <c r="CO13" i="2"/>
  <c r="CJ13" i="2"/>
  <c r="CJ61" i="2" s="1"/>
  <c r="CE13" i="2"/>
  <c r="BZ13" i="2"/>
  <c r="BZ61" i="2" s="1"/>
  <c r="BU13" i="2"/>
  <c r="BP13" i="2"/>
  <c r="BQ13" i="2" s="1"/>
  <c r="BQ61" i="2" s="1"/>
  <c r="BK13" i="2"/>
  <c r="BF13" i="2"/>
  <c r="BF12" i="2" s="1"/>
  <c r="BF11" i="2" s="1"/>
  <c r="BA13" i="2"/>
  <c r="BA12" i="2" s="1"/>
  <c r="AV13" i="2"/>
  <c r="AV12" i="2" s="1"/>
  <c r="AU12" i="2" s="1"/>
  <c r="AP13" i="2"/>
  <c r="AL13" i="2"/>
  <c r="AG13" i="2"/>
  <c r="AG12" i="2" s="1"/>
  <c r="AC13" i="2"/>
  <c r="AD13" i="2" s="1"/>
  <c r="AD61" i="2" s="1"/>
  <c r="X13" i="2"/>
  <c r="Y13" i="2" s="1"/>
  <c r="U13" i="2"/>
  <c r="P13" i="2"/>
  <c r="CX12" i="2"/>
  <c r="CS12" i="2"/>
  <c r="CN12" i="2"/>
  <c r="CI12" i="2"/>
  <c r="AE41" i="19" s="1"/>
  <c r="CD12" i="2"/>
  <c r="CD11" i="2" s="1"/>
  <c r="BY12" i="2"/>
  <c r="U41" i="19" s="1"/>
  <c r="BT12" i="2"/>
  <c r="BO12" i="2"/>
  <c r="BO11" i="2" s="1"/>
  <c r="BJ12" i="2"/>
  <c r="BJ54" i="2" s="1"/>
  <c r="BE12" i="2"/>
  <c r="BE11" i="2" s="1"/>
  <c r="AZ12" i="2"/>
  <c r="AZ11" i="2" s="1"/>
  <c r="AQ12" i="2"/>
  <c r="AQ54" i="2" s="1"/>
  <c r="AK12" i="2"/>
  <c r="AK54" i="2" s="1"/>
  <c r="AF12" i="2"/>
  <c r="AB12" i="2"/>
  <c r="AA12" i="2"/>
  <c r="W12" i="2"/>
  <c r="V12" i="2"/>
  <c r="V11" i="2" s="1"/>
  <c r="R12" i="2"/>
  <c r="R113" i="1" s="1"/>
  <c r="R114" i="1" s="1"/>
  <c r="N12" i="2"/>
  <c r="K12" i="2"/>
  <c r="B12" i="2"/>
  <c r="S11" i="2"/>
  <c r="Q11" i="2"/>
  <c r="M11" i="2"/>
  <c r="L11" i="2"/>
  <c r="J11" i="2"/>
  <c r="I11" i="2"/>
  <c r="AH4" i="20" s="1"/>
  <c r="H11" i="2"/>
  <c r="AG4" i="20" s="1"/>
  <c r="G11" i="2"/>
  <c r="AF4" i="20" s="1"/>
  <c r="E11" i="2"/>
  <c r="D11" i="2"/>
  <c r="AC4" i="20" s="1"/>
  <c r="AY38" i="19"/>
  <c r="CT8" i="2"/>
  <c r="AP37" i="19" s="1"/>
  <c r="CQ8" i="2"/>
  <c r="CR8" i="2" s="1"/>
  <c r="CL8" i="2"/>
  <c r="CL7" i="2" s="1"/>
  <c r="AH36" i="19" s="1"/>
  <c r="CG8" i="2"/>
  <c r="CB8" i="2"/>
  <c r="CC8" i="2" s="1"/>
  <c r="Y37" i="19" s="1"/>
  <c r="BW8" i="2"/>
  <c r="BX8" i="2" s="1"/>
  <c r="T37" i="19" s="1"/>
  <c r="BR8" i="2"/>
  <c r="N37" i="19" s="1"/>
  <c r="BM8" i="2"/>
  <c r="I37" i="19" s="1"/>
  <c r="BH8" i="2"/>
  <c r="BH7" i="2" s="1"/>
  <c r="BC8" i="2"/>
  <c r="AU8" i="2"/>
  <c r="AX8" i="2" s="1"/>
  <c r="AX7" i="2" s="1"/>
  <c r="AP8" i="2"/>
  <c r="AP7" i="2" s="1"/>
  <c r="AL8" i="2"/>
  <c r="AJ8" i="2"/>
  <c r="AE8" i="2"/>
  <c r="Y8" i="2"/>
  <c r="Y7" i="2" s="1"/>
  <c r="R8" i="2"/>
  <c r="M8" i="2"/>
  <c r="L8" i="2"/>
  <c r="L7" i="2" s="1"/>
  <c r="J8" i="2"/>
  <c r="I8" i="2"/>
  <c r="I7" i="2" s="1"/>
  <c r="AH313" i="20" s="1"/>
  <c r="H8" i="2"/>
  <c r="G8" i="2"/>
  <c r="B8" i="2"/>
  <c r="B7" i="2" s="1"/>
  <c r="CX7" i="2"/>
  <c r="CS7" i="2"/>
  <c r="AO36" i="19" s="1"/>
  <c r="CP7" i="2"/>
  <c r="AL36" i="19" s="1"/>
  <c r="CO7" i="2"/>
  <c r="AK36" i="19" s="1"/>
  <c r="CN7" i="2"/>
  <c r="CK7" i="2"/>
  <c r="AG36" i="19" s="1"/>
  <c r="CJ7" i="2"/>
  <c r="AF36" i="19" s="1"/>
  <c r="CI7" i="2"/>
  <c r="CF7" i="2"/>
  <c r="AB36" i="19" s="1"/>
  <c r="CE7" i="2"/>
  <c r="AA36" i="19" s="1"/>
  <c r="CD7" i="2"/>
  <c r="CA7" i="2"/>
  <c r="W36" i="19" s="1"/>
  <c r="BZ7" i="2"/>
  <c r="V36" i="19" s="1"/>
  <c r="BY7" i="2"/>
  <c r="BV7" i="2"/>
  <c r="R36" i="19" s="1"/>
  <c r="BU7" i="2"/>
  <c r="BT7" i="2"/>
  <c r="BQ7" i="2"/>
  <c r="M36" i="19" s="1"/>
  <c r="BP7" i="2"/>
  <c r="L36" i="19" s="1"/>
  <c r="BO7" i="2"/>
  <c r="BL7" i="2"/>
  <c r="H36" i="19" s="1"/>
  <c r="BK7" i="2"/>
  <c r="G36" i="19" s="1"/>
  <c r="BJ7" i="2"/>
  <c r="BG7" i="2"/>
  <c r="BF7" i="2"/>
  <c r="BE7" i="2"/>
  <c r="BB7" i="2"/>
  <c r="BA7" i="2"/>
  <c r="AZ7" i="2"/>
  <c r="AW7" i="2"/>
  <c r="AV7" i="2"/>
  <c r="AR7" i="2"/>
  <c r="AQ7" i="2"/>
  <c r="AK7" i="2"/>
  <c r="AI7" i="2"/>
  <c r="AH7" i="2"/>
  <c r="AG7" i="2"/>
  <c r="AF7" i="2"/>
  <c r="AD7" i="2"/>
  <c r="AC7" i="2"/>
  <c r="AB7" i="2"/>
  <c r="AA7" i="2"/>
  <c r="X7" i="2"/>
  <c r="W7" i="2"/>
  <c r="V7" i="2"/>
  <c r="S7" i="2"/>
  <c r="Q7" i="2"/>
  <c r="E7" i="2"/>
  <c r="AD313" i="20" s="1"/>
  <c r="D7" i="2"/>
  <c r="AC313" i="20" s="1"/>
  <c r="CT6" i="2"/>
  <c r="CU6" i="2" s="1"/>
  <c r="CQ6" i="2"/>
  <c r="CL6" i="2"/>
  <c r="CG6" i="2"/>
  <c r="CH6" i="2" s="1"/>
  <c r="AD35" i="19" s="1"/>
  <c r="CB6" i="2"/>
  <c r="CC6" i="2" s="1"/>
  <c r="Y35" i="19" s="1"/>
  <c r="BW6" i="2"/>
  <c r="BR6" i="2"/>
  <c r="BR42" i="9" s="1"/>
  <c r="BM6" i="2"/>
  <c r="BH6" i="2"/>
  <c r="BC6" i="2"/>
  <c r="BC42" i="9" s="1"/>
  <c r="AU6" i="2"/>
  <c r="AU42" i="9" s="1"/>
  <c r="AP6" i="2"/>
  <c r="AL6" i="2"/>
  <c r="AJ6" i="2"/>
  <c r="AE6" i="2"/>
  <c r="Y6" i="2"/>
  <c r="T6" i="2"/>
  <c r="R6" i="2"/>
  <c r="N6" i="2"/>
  <c r="K6" i="2"/>
  <c r="B6" i="2"/>
  <c r="C6" i="2" s="1"/>
  <c r="C42" i="9" s="1"/>
  <c r="CX5" i="2"/>
  <c r="CS5" i="2"/>
  <c r="AO34" i="19" s="1"/>
  <c r="CP5" i="2"/>
  <c r="CP4" i="2" s="1"/>
  <c r="CO5" i="2"/>
  <c r="CN5" i="2"/>
  <c r="CK5" i="2"/>
  <c r="CK4" i="2" s="1"/>
  <c r="CJ5" i="2"/>
  <c r="CJ4" i="2" s="1"/>
  <c r="CI5" i="2"/>
  <c r="CI4" i="2" s="1"/>
  <c r="CF5" i="2"/>
  <c r="CF4" i="2" s="1"/>
  <c r="CE5" i="2"/>
  <c r="CE4" i="2" s="1"/>
  <c r="CD5" i="2"/>
  <c r="CD4" i="2" s="1"/>
  <c r="CA5" i="2"/>
  <c r="BZ5" i="2"/>
  <c r="BY5" i="2"/>
  <c r="BV5" i="2"/>
  <c r="BV4" i="2" s="1"/>
  <c r="BU5" i="2"/>
  <c r="BT5" i="2"/>
  <c r="BT4" i="2" s="1"/>
  <c r="BQ5" i="2"/>
  <c r="BP5" i="2"/>
  <c r="BO5" i="2"/>
  <c r="BL5" i="2"/>
  <c r="BL4" i="2" s="1"/>
  <c r="BK5" i="2"/>
  <c r="BK4" i="2" s="1"/>
  <c r="BJ5" i="2"/>
  <c r="BJ4" i="2" s="1"/>
  <c r="BJ9" i="2" s="1"/>
  <c r="F38" i="19" s="1"/>
  <c r="BG5" i="2"/>
  <c r="BG36" i="9" s="1"/>
  <c r="BF5" i="2"/>
  <c r="BF36" i="9" s="1"/>
  <c r="BE5" i="2"/>
  <c r="BB5" i="2"/>
  <c r="BA5" i="2"/>
  <c r="BA36" i="9" s="1"/>
  <c r="AZ5" i="2"/>
  <c r="AZ36" i="9" s="1"/>
  <c r="AW5" i="2"/>
  <c r="AV5" i="2"/>
  <c r="AR5" i="2"/>
  <c r="AR111" i="1" s="1"/>
  <c r="AR112" i="1" s="1"/>
  <c r="AQ5" i="2"/>
  <c r="AP5" i="2" s="1"/>
  <c r="AK5" i="2"/>
  <c r="AK36" i="9" s="1"/>
  <c r="AK40" i="9" s="1"/>
  <c r="AI5" i="2"/>
  <c r="AI4" i="2" s="1"/>
  <c r="AH5" i="2"/>
  <c r="AH4" i="2" s="1"/>
  <c r="AG5" i="2"/>
  <c r="AF5" i="2"/>
  <c r="AD5" i="2"/>
  <c r="AC5" i="2"/>
  <c r="AC4" i="2" s="1"/>
  <c r="AB5" i="2"/>
  <c r="AB4" i="2" s="1"/>
  <c r="AB9" i="2" s="1"/>
  <c r="AA5" i="2"/>
  <c r="AA4" i="2" s="1"/>
  <c r="X5" i="2"/>
  <c r="X4" i="2" s="1"/>
  <c r="X9" i="2" s="1"/>
  <c r="W5" i="2"/>
  <c r="W4" i="2" s="1"/>
  <c r="W9" i="2" s="1"/>
  <c r="V5" i="2"/>
  <c r="V4" i="2" s="1"/>
  <c r="R5" i="2"/>
  <c r="M5" i="2"/>
  <c r="N5" i="2" s="1"/>
  <c r="K5" i="2"/>
  <c r="B5" i="2"/>
  <c r="S4" i="2"/>
  <c r="S9" i="2" s="1"/>
  <c r="Q4" i="2"/>
  <c r="Q9" i="2" s="1"/>
  <c r="L4" i="2"/>
  <c r="J4" i="2"/>
  <c r="I4" i="2"/>
  <c r="H4" i="2"/>
  <c r="G4" i="2"/>
  <c r="E4" i="2"/>
  <c r="D4" i="2"/>
  <c r="BS1" i="2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EE24" i="2"/>
  <c r="ED24" i="2"/>
  <c r="EC24" i="2"/>
  <c r="EB24" i="2"/>
  <c r="DZ24" i="2"/>
  <c r="DY24" i="2"/>
  <c r="DX24" i="2"/>
  <c r="DW24" i="2"/>
  <c r="DU24" i="2"/>
  <c r="DT24" i="2"/>
  <c r="DS24" i="2"/>
  <c r="DR24" i="2"/>
  <c r="DP24" i="2"/>
  <c r="BL53" i="19" s="1"/>
  <c r="DO24" i="2"/>
  <c r="BK53" i="19" s="1"/>
  <c r="DN24" i="2"/>
  <c r="BJ53" i="19" s="1"/>
  <c r="DM24" i="2"/>
  <c r="BI53" i="19" s="1"/>
  <c r="DK24" i="2"/>
  <c r="BG53" i="19" s="1"/>
  <c r="DJ24" i="2"/>
  <c r="BF53" i="19" s="1"/>
  <c r="DA87" i="2"/>
  <c r="B18" i="11"/>
  <c r="EF19" i="7"/>
  <c r="EA19" i="7"/>
  <c r="DV19" i="7"/>
  <c r="DQ19" i="7"/>
  <c r="CW19" i="7"/>
  <c r="CR19" i="7"/>
  <c r="CM19" i="7"/>
  <c r="CH19" i="7"/>
  <c r="CC19" i="7"/>
  <c r="BX19" i="7"/>
  <c r="BS19" i="7"/>
  <c r="BN19" i="7"/>
  <c r="BI19" i="7"/>
  <c r="BD19" i="7"/>
  <c r="AY19" i="7"/>
  <c r="AT19" i="7"/>
  <c r="AO19" i="7"/>
  <c r="AJ19" i="7"/>
  <c r="EA629" i="20"/>
  <c r="DZ629" i="20"/>
  <c r="DY629" i="20"/>
  <c r="DX629" i="20"/>
  <c r="DW629" i="20"/>
  <c r="DV629" i="20"/>
  <c r="DU629" i="20"/>
  <c r="DT629" i="20"/>
  <c r="DS629" i="20"/>
  <c r="DR629" i="20"/>
  <c r="DQ629" i="20"/>
  <c r="DP629" i="20"/>
  <c r="DO629" i="20"/>
  <c r="DN629" i="20"/>
  <c r="DM629" i="20"/>
  <c r="DL629" i="20"/>
  <c r="DK629" i="20"/>
  <c r="DJ629" i="20"/>
  <c r="DI629" i="20"/>
  <c r="DH629" i="20"/>
  <c r="CH629" i="20"/>
  <c r="EA627" i="20"/>
  <c r="DZ627" i="20"/>
  <c r="DY627" i="20"/>
  <c r="DX627" i="20"/>
  <c r="DW627" i="20"/>
  <c r="DV627" i="20"/>
  <c r="DU627" i="20"/>
  <c r="DT627" i="20"/>
  <c r="DS627" i="20"/>
  <c r="DR627" i="20"/>
  <c r="DQ627" i="20"/>
  <c r="DP627" i="20"/>
  <c r="DO627" i="20"/>
  <c r="DN627" i="20"/>
  <c r="DM627" i="20"/>
  <c r="DL627" i="20"/>
  <c r="DK627" i="20"/>
  <c r="DJ627" i="20"/>
  <c r="DI627" i="20"/>
  <c r="DH627" i="20"/>
  <c r="CH627" i="20"/>
  <c r="EF7" i="7"/>
  <c r="EA7" i="7"/>
  <c r="DV7" i="7"/>
  <c r="DQ7" i="7"/>
  <c r="DL7" i="7"/>
  <c r="DG7" i="7"/>
  <c r="DB7" i="7"/>
  <c r="CW7" i="7"/>
  <c r="CR7" i="7"/>
  <c r="CM7" i="7"/>
  <c r="CH7" i="7"/>
  <c r="CC7" i="7"/>
  <c r="BX7" i="7"/>
  <c r="BS7" i="7"/>
  <c r="BN7" i="7"/>
  <c r="BI7" i="7"/>
  <c r="BD7" i="7"/>
  <c r="AY7" i="7"/>
  <c r="AO7" i="7"/>
  <c r="AJ7" i="7"/>
  <c r="AE7" i="7"/>
  <c r="Z7" i="7"/>
  <c r="U7" i="7"/>
  <c r="P7" i="7"/>
  <c r="K7" i="7"/>
  <c r="F7" i="7"/>
  <c r="J5" i="7"/>
  <c r="I5" i="7"/>
  <c r="H5" i="7"/>
  <c r="G5" i="7"/>
  <c r="L5" i="7" s="1"/>
  <c r="F5" i="7"/>
  <c r="F3" i="7" s="1"/>
  <c r="E3" i="7"/>
  <c r="E3" i="2" s="1"/>
  <c r="D3" i="7"/>
  <c r="D3" i="2" s="1"/>
  <c r="C3" i="7"/>
  <c r="C3" i="2" s="1"/>
  <c r="B3" i="7"/>
  <c r="B83" i="2" s="1"/>
  <c r="DH41" i="1" l="1"/>
  <c r="DJ6" i="9"/>
  <c r="DK11" i="9" s="1"/>
  <c r="BE7" i="19"/>
  <c r="DR20" i="9"/>
  <c r="BI21" i="19"/>
  <c r="DL19" i="7"/>
  <c r="CS4" i="2"/>
  <c r="CS10" i="2" s="1"/>
  <c r="DR3" i="20" s="1"/>
  <c r="CW148" i="1"/>
  <c r="BH148" i="1"/>
  <c r="BW142" i="1"/>
  <c r="CX148" i="1"/>
  <c r="CJ148" i="1"/>
  <c r="DG135" i="1"/>
  <c r="DJ135" i="1" s="1"/>
  <c r="DK135" i="1" s="1"/>
  <c r="DL135" i="1" s="1"/>
  <c r="DM135" i="1" s="1"/>
  <c r="DN135" i="1" s="1"/>
  <c r="DO135" i="1" s="1"/>
  <c r="DP135" i="1" s="1"/>
  <c r="DQ135" i="1" s="1"/>
  <c r="DR135" i="1" s="1"/>
  <c r="DS135" i="1" s="1"/>
  <c r="DT135" i="1" s="1"/>
  <c r="DU135" i="1" s="1"/>
  <c r="DV135" i="1" s="1"/>
  <c r="DW135" i="1" s="1"/>
  <c r="DX135" i="1" s="1"/>
  <c r="DY135" i="1" s="1"/>
  <c r="DZ135" i="1" s="1"/>
  <c r="EA135" i="1" s="1"/>
  <c r="EB135" i="1" s="1"/>
  <c r="EC135" i="1" s="1"/>
  <c r="ED135" i="1" s="1"/>
  <c r="EE135" i="1" s="1"/>
  <c r="EF135" i="1" s="1"/>
  <c r="DD151" i="1"/>
  <c r="C53" i="1"/>
  <c r="AB410" i="20" s="1"/>
  <c r="AY5" i="9"/>
  <c r="C6" i="19" s="1"/>
  <c r="CA142" i="1"/>
  <c r="CZ84" i="1"/>
  <c r="CZ101" i="1" s="1"/>
  <c r="CW1" i="9"/>
  <c r="CC142" i="1"/>
  <c r="CX22" i="2"/>
  <c r="AT51" i="19" s="1"/>
  <c r="DA23" i="2"/>
  <c r="CX14" i="9"/>
  <c r="AT15" i="19" s="1"/>
  <c r="BW104" i="1"/>
  <c r="BZ59" i="2"/>
  <c r="CG85" i="2"/>
  <c r="CH85" i="2" s="1"/>
  <c r="CH88" i="2" s="1"/>
  <c r="AP61" i="2"/>
  <c r="AB98" i="1"/>
  <c r="CI10" i="2"/>
  <c r="CI42" i="2" s="1"/>
  <c r="AE72" i="19" s="1"/>
  <c r="B74" i="1"/>
  <c r="AU11" i="1"/>
  <c r="BT146" i="20" s="1"/>
  <c r="CD85" i="1"/>
  <c r="CG11" i="1"/>
  <c r="CH11" i="1" s="1"/>
  <c r="AN98" i="1"/>
  <c r="CB2" i="9"/>
  <c r="CX54" i="2"/>
  <c r="CY12" i="2"/>
  <c r="CZ12" i="2" s="1"/>
  <c r="BP29" i="9"/>
  <c r="AT34" i="19"/>
  <c r="CY5" i="2"/>
  <c r="CY36" i="9" s="1"/>
  <c r="BG37" i="9"/>
  <c r="BO104" i="1"/>
  <c r="CI11" i="1"/>
  <c r="CI69" i="1" s="1"/>
  <c r="CW74" i="1"/>
  <c r="S74" i="1"/>
  <c r="AE35" i="9"/>
  <c r="BF37" i="9"/>
  <c r="V74" i="1"/>
  <c r="BZ19" i="2"/>
  <c r="V48" i="19" s="1"/>
  <c r="CE111" i="20"/>
  <c r="K8" i="9"/>
  <c r="AJ587" i="20" s="1"/>
  <c r="AV8" i="9"/>
  <c r="BU587" i="20" s="1"/>
  <c r="AR6" i="9"/>
  <c r="CY111" i="1"/>
  <c r="CX92" i="1"/>
  <c r="CX95" i="1" s="1"/>
  <c r="CY68" i="2"/>
  <c r="V84" i="1"/>
  <c r="V104" i="1" s="1"/>
  <c r="AJ19" i="2"/>
  <c r="CA19" i="2"/>
  <c r="W48" i="19" s="1"/>
  <c r="AB59" i="2"/>
  <c r="BH87" i="1"/>
  <c r="DG19" i="7"/>
  <c r="CX29" i="9"/>
  <c r="CX30" i="9"/>
  <c r="CL74" i="1"/>
  <c r="BI74" i="1"/>
  <c r="G3" i="7"/>
  <c r="G3" i="2" s="1"/>
  <c r="AS11" i="1"/>
  <c r="BR146" i="20" s="1"/>
  <c r="AB74" i="1"/>
  <c r="CP74" i="1"/>
  <c r="BK10" i="2"/>
  <c r="BK21" i="2" s="1"/>
  <c r="G50" i="19" s="1"/>
  <c r="CE10" i="2"/>
  <c r="CE18" i="2" s="1"/>
  <c r="AA47" i="19" s="1"/>
  <c r="BA143" i="1"/>
  <c r="CJ75" i="1"/>
  <c r="CJ76" i="1" s="1"/>
  <c r="CF75" i="1"/>
  <c r="CF76" i="1" s="1"/>
  <c r="W85" i="1"/>
  <c r="BI111" i="1"/>
  <c r="BJ19" i="2"/>
  <c r="F48" i="19" s="1"/>
  <c r="AK74" i="1"/>
  <c r="AZ74" i="1"/>
  <c r="CI75" i="1"/>
  <c r="CI76" i="1" s="1"/>
  <c r="AE8" i="9"/>
  <c r="BD587" i="20" s="1"/>
  <c r="BL10" i="2"/>
  <c r="CK3" i="15" s="1"/>
  <c r="CQ19" i="2"/>
  <c r="AM48" i="19" s="1"/>
  <c r="AF104" i="1"/>
  <c r="AD22" i="2"/>
  <c r="BC16" i="20" s="1"/>
  <c r="AF113" i="1"/>
  <c r="AF114" i="1" s="1"/>
  <c r="CX74" i="1"/>
  <c r="BY2" i="9"/>
  <c r="Q74" i="1"/>
  <c r="CS85" i="1"/>
  <c r="BZ2" i="9"/>
  <c r="BV19" i="2"/>
  <c r="R48" i="19" s="1"/>
  <c r="AP66" i="1"/>
  <c r="H149" i="1"/>
  <c r="H145" i="1" s="1"/>
  <c r="U27" i="2"/>
  <c r="AB81" i="2"/>
  <c r="BA112" i="20" s="1"/>
  <c r="AX43" i="1"/>
  <c r="AX52" i="1" s="1"/>
  <c r="L57" i="1"/>
  <c r="CB74" i="1"/>
  <c r="J101" i="1"/>
  <c r="T149" i="1"/>
  <c r="CJ10" i="2"/>
  <c r="CJ53" i="2" s="1"/>
  <c r="AA10" i="2"/>
  <c r="AZ3" i="20" s="1"/>
  <c r="L26" i="1"/>
  <c r="S60" i="1"/>
  <c r="CT7" i="2"/>
  <c r="AP36" i="19" s="1"/>
  <c r="AB149" i="1"/>
  <c r="AB101" i="1"/>
  <c r="J115" i="1"/>
  <c r="J117" i="1" s="1"/>
  <c r="BN47" i="9"/>
  <c r="AD98" i="1"/>
  <c r="CB97" i="1"/>
  <c r="CB98" i="1" s="1"/>
  <c r="AC101" i="1"/>
  <c r="AV142" i="1"/>
  <c r="CJ98" i="1"/>
  <c r="P149" i="1"/>
  <c r="AF149" i="1"/>
  <c r="CK87" i="1"/>
  <c r="E9" i="7"/>
  <c r="CV47" i="9"/>
  <c r="CD10" i="2"/>
  <c r="DC3" i="20" s="1"/>
  <c r="AW142" i="1"/>
  <c r="AX166" i="20"/>
  <c r="U149" i="1"/>
  <c r="CQ87" i="1"/>
  <c r="AX142" i="1"/>
  <c r="BY142" i="1"/>
  <c r="BM74" i="1"/>
  <c r="CQ74" i="1"/>
  <c r="BT88" i="1"/>
  <c r="X158" i="1"/>
  <c r="CC85" i="1"/>
  <c r="W18" i="19"/>
  <c r="AR23" i="2"/>
  <c r="AR24" i="2" s="1"/>
  <c r="CL81" i="2"/>
  <c r="DK112" i="20" s="1"/>
  <c r="H27" i="1"/>
  <c r="H26" i="1" s="1"/>
  <c r="CM11" i="9"/>
  <c r="AI12" i="19" s="1"/>
  <c r="AU13" i="9"/>
  <c r="BT589" i="20" s="1"/>
  <c r="AW13" i="9"/>
  <c r="BV589" i="20" s="1"/>
  <c r="CQ7" i="2"/>
  <c r="AM36" i="19" s="1"/>
  <c r="BO19" i="2"/>
  <c r="K48" i="19" s="1"/>
  <c r="BR51" i="1"/>
  <c r="AX84" i="1"/>
  <c r="AX85" i="1" s="1"/>
  <c r="AH93" i="1"/>
  <c r="BZ142" i="1"/>
  <c r="CT51" i="1"/>
  <c r="BE74" i="1"/>
  <c r="BT74" i="1"/>
  <c r="CI74" i="1"/>
  <c r="CB28" i="1"/>
  <c r="CB50" i="1" s="1"/>
  <c r="CA28" i="1"/>
  <c r="CA50" i="1" s="1"/>
  <c r="BU74" i="1"/>
  <c r="CK74" i="1"/>
  <c r="BF74" i="1"/>
  <c r="BH11" i="1"/>
  <c r="CG146" i="15" s="1"/>
  <c r="CN28" i="1"/>
  <c r="CN146" i="1" s="1"/>
  <c r="BS19" i="1"/>
  <c r="BS143" i="1" s="1"/>
  <c r="W74" i="1"/>
  <c r="AU74" i="1"/>
  <c r="BJ74" i="1"/>
  <c r="CN74" i="1"/>
  <c r="AG85" i="1"/>
  <c r="D89" i="1"/>
  <c r="CJ74" i="1"/>
  <c r="BG74" i="1"/>
  <c r="AG33" i="2"/>
  <c r="AG20" i="2" s="1"/>
  <c r="AG56" i="2" s="1"/>
  <c r="Q26" i="1"/>
  <c r="CE18" i="9"/>
  <c r="AA19" i="19" s="1"/>
  <c r="CE19" i="2"/>
  <c r="AA48" i="19" s="1"/>
  <c r="AH33" i="2"/>
  <c r="AH20" i="2" s="1"/>
  <c r="BG6" i="20" s="1"/>
  <c r="AH8" i="1"/>
  <c r="AH24" i="1" s="1"/>
  <c r="T68" i="2"/>
  <c r="T92" i="1" s="1"/>
  <c r="T93" i="1" s="1"/>
  <c r="X81" i="2"/>
  <c r="AW112" i="15" s="1"/>
  <c r="BG8" i="1"/>
  <c r="BG60" i="1" s="1"/>
  <c r="BH63" i="1" s="1"/>
  <c r="BW11" i="1"/>
  <c r="CV146" i="15" s="1"/>
  <c r="X74" i="1"/>
  <c r="AV74" i="1"/>
  <c r="BZ74" i="1"/>
  <c r="CO74" i="1"/>
  <c r="CC28" i="9"/>
  <c r="Y29" i="19" s="1"/>
  <c r="AA18" i="19"/>
  <c r="CV101" i="1"/>
  <c r="BV74" i="1"/>
  <c r="CX19" i="2"/>
  <c r="AT48" i="19" s="1"/>
  <c r="V23" i="2"/>
  <c r="V22" i="2" s="1"/>
  <c r="V16" i="2" s="1"/>
  <c r="D59" i="2"/>
  <c r="I59" i="2"/>
  <c r="CF98" i="1"/>
  <c r="AJ19" i="1"/>
  <c r="AJ143" i="1" s="1"/>
  <c r="AJ28" i="1"/>
  <c r="AK10" i="14" s="1"/>
  <c r="BJ335" i="20" s="1"/>
  <c r="Y74" i="1"/>
  <c r="BL74" i="1"/>
  <c r="CA74" i="1"/>
  <c r="CE85" i="1"/>
  <c r="AU35" i="9"/>
  <c r="BU26" i="9"/>
  <c r="Q27" i="19" s="1"/>
  <c r="H47" i="9"/>
  <c r="R74" i="1"/>
  <c r="Y8" i="19"/>
  <c r="AQ74" i="1"/>
  <c r="AE72" i="2"/>
  <c r="M19" i="2"/>
  <c r="AZ20" i="2"/>
  <c r="AZ56" i="2" s="1"/>
  <c r="E59" i="2"/>
  <c r="L74" i="1"/>
  <c r="CF85" i="1"/>
  <c r="BV26" i="9"/>
  <c r="R27" i="19" s="1"/>
  <c r="BQ74" i="1"/>
  <c r="E6" i="19"/>
  <c r="B5" i="1"/>
  <c r="B4" i="1" s="1"/>
  <c r="CL28" i="1"/>
  <c r="CL146" i="1" s="1"/>
  <c r="CD19" i="2"/>
  <c r="Z48" i="19" s="1"/>
  <c r="CK29" i="9"/>
  <c r="R19" i="2"/>
  <c r="CB19" i="2"/>
  <c r="X48" i="19" s="1"/>
  <c r="CQ76" i="2"/>
  <c r="CB81" i="2"/>
  <c r="DA112" i="20" s="1"/>
  <c r="Z142" i="1"/>
  <c r="AU142" i="1"/>
  <c r="M74" i="1"/>
  <c r="BC8" i="9"/>
  <c r="CB587" i="20" s="1"/>
  <c r="BO11" i="9"/>
  <c r="K12" i="19" s="1"/>
  <c r="CK26" i="9"/>
  <c r="AG27" i="19" s="1"/>
  <c r="BR74" i="1"/>
  <c r="D28" i="19"/>
  <c r="CI81" i="2"/>
  <c r="DH112" i="20" s="1"/>
  <c r="BN158" i="1"/>
  <c r="AB6" i="11"/>
  <c r="CH25" i="2"/>
  <c r="DG54" i="20" s="1"/>
  <c r="CT85" i="1"/>
  <c r="CI14" i="9"/>
  <c r="CI34" i="9" s="1"/>
  <c r="AB18" i="19"/>
  <c r="BC103" i="1"/>
  <c r="CF101" i="1"/>
  <c r="E74" i="1"/>
  <c r="W2" i="9"/>
  <c r="CU26" i="9"/>
  <c r="AQ27" i="19" s="1"/>
  <c r="G60" i="1"/>
  <c r="CV87" i="1"/>
  <c r="AT158" i="1"/>
  <c r="AP43" i="1"/>
  <c r="AP52" i="1" s="1"/>
  <c r="CA43" i="1"/>
  <c r="CA120" i="1" s="1"/>
  <c r="AV66" i="1"/>
  <c r="BV85" i="1"/>
  <c r="CJ85" i="1"/>
  <c r="CX85" i="1"/>
  <c r="BY104" i="1"/>
  <c r="CK84" i="1"/>
  <c r="CK104" i="1" s="1"/>
  <c r="AO8" i="9"/>
  <c r="BN587" i="20" s="1"/>
  <c r="BP30" i="9"/>
  <c r="CO578" i="20" s="1"/>
  <c r="Q43" i="9"/>
  <c r="CM47" i="9"/>
  <c r="DB586" i="15"/>
  <c r="AN111" i="20"/>
  <c r="AU8" i="1"/>
  <c r="AU140" i="1" s="1"/>
  <c r="AU75" i="1"/>
  <c r="AU76" i="1" s="1"/>
  <c r="BP14" i="9"/>
  <c r="L15" i="19" s="1"/>
  <c r="C74" i="1"/>
  <c r="CH81" i="2"/>
  <c r="DG112" i="15" s="1"/>
  <c r="CH84" i="1"/>
  <c r="CH85" i="1" s="1"/>
  <c r="CT26" i="9"/>
  <c r="AP27" i="19" s="1"/>
  <c r="J43" i="9"/>
  <c r="CC41" i="2"/>
  <c r="Y71" i="19" s="1"/>
  <c r="BR19" i="2"/>
  <c r="N48" i="19" s="1"/>
  <c r="CT8" i="1"/>
  <c r="CT60" i="1" s="1"/>
  <c r="CV14" i="9"/>
  <c r="AR15" i="19" s="1"/>
  <c r="F14" i="2"/>
  <c r="CD54" i="2"/>
  <c r="CH13" i="1"/>
  <c r="CH88" i="1" s="1"/>
  <c r="AJ166" i="20"/>
  <c r="AQ43" i="1"/>
  <c r="BP173" i="20" s="1"/>
  <c r="BE43" i="1"/>
  <c r="BE57" i="1" s="1"/>
  <c r="CX43" i="1"/>
  <c r="CX52" i="1" s="1"/>
  <c r="BB66" i="1"/>
  <c r="BO74" i="1"/>
  <c r="CD74" i="1"/>
  <c r="AB85" i="1"/>
  <c r="BW85" i="1"/>
  <c r="BU88" i="1"/>
  <c r="AB104" i="1"/>
  <c r="L110" i="1"/>
  <c r="BZ30" i="9"/>
  <c r="CY578" i="20" s="1"/>
  <c r="S43" i="9"/>
  <c r="BD57" i="9"/>
  <c r="BD58" i="9" s="1"/>
  <c r="S26" i="19"/>
  <c r="DC109" i="20"/>
  <c r="CH27" i="2"/>
  <c r="AD56" i="19" s="1"/>
  <c r="BD60" i="9"/>
  <c r="BD61" i="9" s="1"/>
  <c r="Q23" i="2"/>
  <c r="Q60" i="2" s="1"/>
  <c r="Q59" i="2" s="1"/>
  <c r="F47" i="9"/>
  <c r="CC6" i="1"/>
  <c r="CD24" i="2" s="1"/>
  <c r="Z53" i="19" s="1"/>
  <c r="AS35" i="2"/>
  <c r="AT35" i="2" s="1"/>
  <c r="BR85" i="1"/>
  <c r="CC158" i="1"/>
  <c r="CJ14" i="9"/>
  <c r="AF15" i="19" s="1"/>
  <c r="CB64" i="2"/>
  <c r="AN85" i="1"/>
  <c r="AJ8" i="9"/>
  <c r="BI587" i="15" s="1"/>
  <c r="AU2" i="1"/>
  <c r="BD8" i="1"/>
  <c r="BH20" i="9" s="1"/>
  <c r="AY19" i="1"/>
  <c r="K72" i="2"/>
  <c r="CG19" i="2"/>
  <c r="AC48" i="19" s="1"/>
  <c r="CF19" i="2"/>
  <c r="AB48" i="19" s="1"/>
  <c r="BO33" i="2"/>
  <c r="BO31" i="2" s="1"/>
  <c r="CI54" i="2"/>
  <c r="CJ24" i="2"/>
  <c r="AF53" i="19" s="1"/>
  <c r="CW13" i="1"/>
  <c r="CW88" i="1" s="1"/>
  <c r="BH101" i="1"/>
  <c r="AY17" i="1"/>
  <c r="AY97" i="1" s="1"/>
  <c r="BO43" i="1"/>
  <c r="BO121" i="1" s="1"/>
  <c r="AC51" i="1"/>
  <c r="BA74" i="1"/>
  <c r="BP74" i="1"/>
  <c r="AC104" i="1"/>
  <c r="Y110" i="1"/>
  <c r="P5" i="9"/>
  <c r="U2" i="9" s="1"/>
  <c r="CA30" i="9"/>
  <c r="CZ578" i="20" s="1"/>
  <c r="AC26" i="19"/>
  <c r="AI101" i="1"/>
  <c r="Z47" i="1"/>
  <c r="Z43" i="1" s="1"/>
  <c r="BP19" i="2"/>
  <c r="L48" i="19" s="1"/>
  <c r="AL104" i="1"/>
  <c r="BK8" i="1"/>
  <c r="CJ145" i="20" s="1"/>
  <c r="U46" i="9"/>
  <c r="DR338" i="20"/>
  <c r="CW590" i="20"/>
  <c r="CN8" i="1"/>
  <c r="CN60" i="1" s="1"/>
  <c r="CN43" i="1"/>
  <c r="CN57" i="1" s="1"/>
  <c r="Y57" i="1"/>
  <c r="C77" i="2"/>
  <c r="AY25" i="9"/>
  <c r="C26" i="19" s="1"/>
  <c r="CV26" i="9"/>
  <c r="CW26" i="9" s="1"/>
  <c r="AS27" i="19" s="1"/>
  <c r="AP51" i="2"/>
  <c r="Z35" i="2"/>
  <c r="Z62" i="2" s="1"/>
  <c r="AK4" i="2"/>
  <c r="AK9" i="2" s="1"/>
  <c r="CS71" i="2"/>
  <c r="AO79" i="19" s="1"/>
  <c r="CL19" i="2"/>
  <c r="AH48" i="19" s="1"/>
  <c r="CX33" i="2"/>
  <c r="CX31" i="2" s="1"/>
  <c r="AT60" i="19" s="1"/>
  <c r="P78" i="2"/>
  <c r="AO110" i="15" s="1"/>
  <c r="BQ81" i="2"/>
  <c r="CP112" i="20" s="1"/>
  <c r="AT166" i="20"/>
  <c r="AI104" i="1"/>
  <c r="BV43" i="1"/>
  <c r="CU173" i="20" s="1"/>
  <c r="AK43" i="1"/>
  <c r="AK57" i="1" s="1"/>
  <c r="BJ51" i="1"/>
  <c r="BH66" i="1"/>
  <c r="BB74" i="1"/>
  <c r="AD85" i="1"/>
  <c r="CV88" i="1"/>
  <c r="BW97" i="1"/>
  <c r="BW98" i="1" s="1"/>
  <c r="BR588" i="15"/>
  <c r="N8" i="2"/>
  <c r="N7" i="2" s="1"/>
  <c r="AM313" i="20" s="1"/>
  <c r="AL28" i="9"/>
  <c r="AL30" i="9" s="1"/>
  <c r="BZ43" i="1"/>
  <c r="BZ52" i="1" s="1"/>
  <c r="AA81" i="2"/>
  <c r="AZ112" i="15" s="1"/>
  <c r="G9" i="2"/>
  <c r="BR85" i="2"/>
  <c r="BR88" i="2" s="1"/>
  <c r="AZ31" i="2"/>
  <c r="B60" i="2"/>
  <c r="CG81" i="2"/>
  <c r="DF112" i="20" s="1"/>
  <c r="CE98" i="1"/>
  <c r="AR147" i="1"/>
  <c r="CT104" i="1"/>
  <c r="AL43" i="1"/>
  <c r="AL57" i="1" s="1"/>
  <c r="BB43" i="1"/>
  <c r="CA173" i="20" s="1"/>
  <c r="T84" i="1"/>
  <c r="T104" i="1" s="1"/>
  <c r="CB142" i="1"/>
  <c r="CC15" i="9"/>
  <c r="Y16" i="19" s="1"/>
  <c r="BX164" i="15"/>
  <c r="F9" i="7"/>
  <c r="F77" i="2"/>
  <c r="AJ10" i="1"/>
  <c r="AJ66" i="1" s="1"/>
  <c r="AX140" i="1"/>
  <c r="AX60" i="1"/>
  <c r="BM66" i="1"/>
  <c r="BM8" i="1"/>
  <c r="BQ20" i="9" s="1"/>
  <c r="M21" i="19" s="1"/>
  <c r="CQ8" i="1"/>
  <c r="DP145" i="20" s="1"/>
  <c r="CQ66" i="1"/>
  <c r="AH75" i="1"/>
  <c r="AH11" i="1"/>
  <c r="AH141" i="1" s="1"/>
  <c r="AW75" i="1"/>
  <c r="AW76" i="1" s="1"/>
  <c r="AW88" i="1"/>
  <c r="AW29" i="14" s="1"/>
  <c r="CB109" i="15"/>
  <c r="BD78" i="2"/>
  <c r="CD111" i="15" s="1"/>
  <c r="AI75" i="1"/>
  <c r="AJ75" i="1" s="1"/>
  <c r="AJ13" i="1"/>
  <c r="AU28" i="19"/>
  <c r="C29" i="14"/>
  <c r="C89" i="1"/>
  <c r="L59" i="2"/>
  <c r="CM586" i="20"/>
  <c r="CM586" i="15"/>
  <c r="J8" i="19"/>
  <c r="I29" i="19"/>
  <c r="BM30" i="9"/>
  <c r="CL578" i="20" s="1"/>
  <c r="AA31" i="2"/>
  <c r="BH31" i="2"/>
  <c r="BI31" i="2" s="1"/>
  <c r="E60" i="19" s="1"/>
  <c r="X29" i="19"/>
  <c r="CB30" i="9"/>
  <c r="BI7" i="2"/>
  <c r="E36" i="19" s="1"/>
  <c r="CC39" i="2"/>
  <c r="BO8" i="1"/>
  <c r="CN145" i="15" s="1"/>
  <c r="BO66" i="1"/>
  <c r="CR10" i="1"/>
  <c r="CR66" i="1" s="1"/>
  <c r="O45" i="1"/>
  <c r="P45" i="1" s="1"/>
  <c r="AP338" i="15" s="1"/>
  <c r="N43" i="1"/>
  <c r="N57" i="1" s="1"/>
  <c r="BV13" i="2"/>
  <c r="BV12" i="2" s="1"/>
  <c r="BV54" i="2" s="1"/>
  <c r="BU12" i="2"/>
  <c r="BU71" i="2" s="1"/>
  <c r="AO13" i="9"/>
  <c r="AO84" i="1"/>
  <c r="AO85" i="1" s="1"/>
  <c r="BH589" i="20"/>
  <c r="BH589" i="15"/>
  <c r="H29" i="19"/>
  <c r="BL30" i="9"/>
  <c r="CK578" i="15" s="1"/>
  <c r="T89" i="1"/>
  <c r="T12" i="2"/>
  <c r="U12" i="2" s="1"/>
  <c r="CN19" i="2"/>
  <c r="AJ48" i="19" s="1"/>
  <c r="G56" i="19"/>
  <c r="BK23" i="2"/>
  <c r="CJ53" i="20" s="1"/>
  <c r="K32" i="2"/>
  <c r="K56" i="2" s="1"/>
  <c r="AN64" i="2"/>
  <c r="E5" i="1"/>
  <c r="E4" i="1" s="1"/>
  <c r="E10" i="1"/>
  <c r="F10" i="1" s="1"/>
  <c r="F66" i="1" s="1"/>
  <c r="V8" i="1"/>
  <c r="V140" i="1" s="1"/>
  <c r="AA66" i="1"/>
  <c r="AA8" i="1"/>
  <c r="AA60" i="1" s="1"/>
  <c r="D52" i="1"/>
  <c r="D57" i="1"/>
  <c r="BX109" i="1"/>
  <c r="CW576" i="15" s="1"/>
  <c r="V113" i="1"/>
  <c r="V114" i="1" s="1"/>
  <c r="V71" i="2"/>
  <c r="F28" i="2"/>
  <c r="U28" i="2"/>
  <c r="AJ28" i="2"/>
  <c r="E52" i="1"/>
  <c r="E57" i="1"/>
  <c r="AM120" i="1"/>
  <c r="AM52" i="1"/>
  <c r="BZ98" i="1"/>
  <c r="Z7" i="9"/>
  <c r="AY586" i="20" s="1"/>
  <c r="W8" i="9"/>
  <c r="B10" i="9"/>
  <c r="B35" i="9" s="1"/>
  <c r="B13" i="9"/>
  <c r="AA589" i="20" s="1"/>
  <c r="B84" i="1"/>
  <c r="B104" i="1" s="1"/>
  <c r="AT9" i="9"/>
  <c r="AT84" i="1" s="1"/>
  <c r="AU84" i="1"/>
  <c r="AU98" i="1" s="1"/>
  <c r="Y10" i="19"/>
  <c r="CC13" i="9"/>
  <c r="Y14" i="19" s="1"/>
  <c r="BP11" i="9"/>
  <c r="L12" i="19" s="1"/>
  <c r="BT10" i="2"/>
  <c r="BT42" i="2" s="1"/>
  <c r="P72" i="19" s="1"/>
  <c r="BM27" i="2"/>
  <c r="I56" i="19" s="1"/>
  <c r="I16" i="2"/>
  <c r="AK6" i="20"/>
  <c r="L68" i="2"/>
  <c r="AK20" i="2"/>
  <c r="AK56" i="2" s="1"/>
  <c r="AK31" i="2"/>
  <c r="AY6" i="1"/>
  <c r="AY139" i="1" s="1"/>
  <c r="AI8" i="1"/>
  <c r="AI60" i="1" s="1"/>
  <c r="CS22" i="2"/>
  <c r="DR16" i="20" s="1"/>
  <c r="CS60" i="2"/>
  <c r="CS59" i="2" s="1"/>
  <c r="BM85" i="2"/>
  <c r="BM88" i="2" s="1"/>
  <c r="M33" i="2"/>
  <c r="M68" i="2" s="1"/>
  <c r="AL30" i="20" s="1"/>
  <c r="AL33" i="2"/>
  <c r="AL20" i="2" s="1"/>
  <c r="AL56" i="2" s="1"/>
  <c r="BY60" i="2"/>
  <c r="BY59" i="2" s="1"/>
  <c r="BM65" i="2"/>
  <c r="BU68" i="2"/>
  <c r="BU92" i="1" s="1"/>
  <c r="BU95" i="1" s="1"/>
  <c r="BT92" i="1"/>
  <c r="BT93" i="1" s="1"/>
  <c r="AB143" i="1"/>
  <c r="AG120" i="1"/>
  <c r="AG87" i="1"/>
  <c r="BZ104" i="1"/>
  <c r="CO104" i="1"/>
  <c r="Z148" i="1"/>
  <c r="AT73" i="1"/>
  <c r="AT74" i="1" s="1"/>
  <c r="AS74" i="1"/>
  <c r="X98" i="1"/>
  <c r="I115" i="1"/>
  <c r="I117" i="1" s="1"/>
  <c r="BD157" i="1"/>
  <c r="BA28" i="9"/>
  <c r="BA30" i="9" s="1"/>
  <c r="BZ578" i="15" s="1"/>
  <c r="BA6" i="9"/>
  <c r="BT21" i="9"/>
  <c r="P22" i="19" s="1"/>
  <c r="BT19" i="2"/>
  <c r="P48" i="19" s="1"/>
  <c r="BT14" i="9"/>
  <c r="P15" i="19" s="1"/>
  <c r="AF18" i="19"/>
  <c r="CJ18" i="9"/>
  <c r="AF19" i="19" s="1"/>
  <c r="CJ19" i="2"/>
  <c r="AF48" i="19" s="1"/>
  <c r="BN65" i="2"/>
  <c r="AZ8" i="1"/>
  <c r="AZ60" i="1" s="1"/>
  <c r="BU21" i="9"/>
  <c r="Q18" i="19"/>
  <c r="BU19" i="2"/>
  <c r="Q48" i="19" s="1"/>
  <c r="AG18" i="19"/>
  <c r="CK21" i="9"/>
  <c r="AG22" i="19" s="1"/>
  <c r="CK19" i="2"/>
  <c r="AG48" i="19" s="1"/>
  <c r="BU18" i="9"/>
  <c r="Q19" i="19" s="1"/>
  <c r="DX590" i="20"/>
  <c r="AJ41" i="19"/>
  <c r="CN11" i="2"/>
  <c r="AJ40" i="19" s="1"/>
  <c r="BW64" i="2"/>
  <c r="S71" i="19"/>
  <c r="H16" i="19"/>
  <c r="BL17" i="9"/>
  <c r="H18" i="19" s="1"/>
  <c r="BL16" i="9"/>
  <c r="H17" i="19" s="1"/>
  <c r="S18" i="19"/>
  <c r="BW21" i="9"/>
  <c r="S22" i="19" s="1"/>
  <c r="BW14" i="9"/>
  <c r="BW34" i="9" s="1"/>
  <c r="BW18" i="9"/>
  <c r="S19" i="19" s="1"/>
  <c r="M7" i="2"/>
  <c r="AL313" i="20" s="1"/>
  <c r="CE24" i="2"/>
  <c r="AA53" i="19" s="1"/>
  <c r="CE60" i="2"/>
  <c r="AW66" i="1"/>
  <c r="AW8" i="1"/>
  <c r="AX19" i="9" s="1"/>
  <c r="BL66" i="1"/>
  <c r="BL8" i="1"/>
  <c r="BL60" i="1" s="1"/>
  <c r="CP8" i="1"/>
  <c r="CP60" i="1" s="1"/>
  <c r="CP66" i="1"/>
  <c r="AV75" i="1"/>
  <c r="AV76" i="1" s="1"/>
  <c r="AV88" i="1"/>
  <c r="I18" i="19"/>
  <c r="BM21" i="9"/>
  <c r="I22" i="19" s="1"/>
  <c r="U18" i="19"/>
  <c r="BY14" i="9"/>
  <c r="BY18" i="9"/>
  <c r="U19" i="19" s="1"/>
  <c r="BY19" i="2"/>
  <c r="U48" i="19" s="1"/>
  <c r="AZ48" i="19"/>
  <c r="R85" i="2"/>
  <c r="R61" i="2"/>
  <c r="AP42" i="9"/>
  <c r="AS6" i="2"/>
  <c r="AS42" i="9" s="1"/>
  <c r="W52" i="19"/>
  <c r="CA22" i="2"/>
  <c r="CA60" i="2"/>
  <c r="CV23" i="2"/>
  <c r="CV24" i="2" s="1"/>
  <c r="AR53" i="19" s="1"/>
  <c r="T25" i="2"/>
  <c r="T85" i="2" s="1"/>
  <c r="AA51" i="1"/>
  <c r="AB24" i="2"/>
  <c r="AH18" i="19"/>
  <c r="CL21" i="9"/>
  <c r="AH22" i="19" s="1"/>
  <c r="CL14" i="9"/>
  <c r="CL29" i="9"/>
  <c r="D43" i="9"/>
  <c r="CY48" i="9"/>
  <c r="CY74" i="1" s="1"/>
  <c r="U19" i="1"/>
  <c r="U143" i="1" s="1"/>
  <c r="Z104" i="1"/>
  <c r="C10" i="9"/>
  <c r="AB575" i="20" s="1"/>
  <c r="C13" i="9"/>
  <c r="AB589" i="20" s="1"/>
  <c r="AD59" i="2"/>
  <c r="BT8" i="1"/>
  <c r="BT60" i="1" s="1"/>
  <c r="BT66" i="1"/>
  <c r="CS101" i="1"/>
  <c r="AS32" i="1"/>
  <c r="BR162" i="20" s="1"/>
  <c r="C6" i="14"/>
  <c r="AA101" i="1"/>
  <c r="DN576" i="20"/>
  <c r="CO110" i="1"/>
  <c r="BN577" i="20"/>
  <c r="AT28" i="9"/>
  <c r="AO25" i="9"/>
  <c r="BI58" i="9"/>
  <c r="AU7" i="2"/>
  <c r="AY7" i="2" s="1"/>
  <c r="C36" i="19" s="1"/>
  <c r="BY11" i="2"/>
  <c r="CX4" i="20" s="1"/>
  <c r="Z28" i="2"/>
  <c r="AU39" i="2"/>
  <c r="N65" i="2"/>
  <c r="E77" i="2"/>
  <c r="Y81" i="2"/>
  <c r="AX112" i="15" s="1"/>
  <c r="BK81" i="2"/>
  <c r="CJ112" i="20" s="1"/>
  <c r="BU139" i="1"/>
  <c r="BV14" i="14"/>
  <c r="BJ8" i="1"/>
  <c r="CI145" i="20" s="1"/>
  <c r="BU8" i="1"/>
  <c r="BY20" i="9" s="1"/>
  <c r="U21" i="19" s="1"/>
  <c r="BU66" i="1"/>
  <c r="DW145" i="20"/>
  <c r="CX60" i="1"/>
  <c r="CY63" i="1" s="1"/>
  <c r="V75" i="1"/>
  <c r="V11" i="1"/>
  <c r="V69" i="1" s="1"/>
  <c r="V88" i="1"/>
  <c r="V89" i="1" s="1"/>
  <c r="AK76" i="1"/>
  <c r="AM101" i="1"/>
  <c r="CN142" i="1"/>
  <c r="AT17" i="1"/>
  <c r="AT97" i="1" s="1"/>
  <c r="AS97" i="1"/>
  <c r="BI85" i="1"/>
  <c r="D27" i="1"/>
  <c r="D26" i="1" s="1"/>
  <c r="BP43" i="1"/>
  <c r="CO173" i="15" s="1"/>
  <c r="BK74" i="1"/>
  <c r="BJ85" i="1"/>
  <c r="CL85" i="1"/>
  <c r="AH95" i="1"/>
  <c r="CH157" i="1"/>
  <c r="CW157" i="1"/>
  <c r="BN8" i="9"/>
  <c r="CM587" i="15" s="1"/>
  <c r="CB29" i="9"/>
  <c r="CR25" i="9"/>
  <c r="AN26" i="19" s="1"/>
  <c r="BL26" i="9"/>
  <c r="H27" i="19" s="1"/>
  <c r="AH29" i="19"/>
  <c r="CL30" i="9"/>
  <c r="DK578" i="20" s="1"/>
  <c r="BS48" i="9"/>
  <c r="BS74" i="1" s="1"/>
  <c r="CH28" i="9"/>
  <c r="AD29" i="19" s="1"/>
  <c r="CD28" i="9"/>
  <c r="CD29" i="9" s="1"/>
  <c r="AC24" i="2"/>
  <c r="BQ24" i="2"/>
  <c r="M53" i="19" s="1"/>
  <c r="AS25" i="2"/>
  <c r="BR54" i="20" s="1"/>
  <c r="AP85" i="2"/>
  <c r="AP88" i="2" s="1"/>
  <c r="AU33" i="2"/>
  <c r="AU20" i="2" s="1"/>
  <c r="AV43" i="2" s="1"/>
  <c r="G59" i="2"/>
  <c r="BL81" i="2"/>
  <c r="CK112" i="15" s="1"/>
  <c r="CF107" i="2"/>
  <c r="CS88" i="1"/>
  <c r="CS11" i="1"/>
  <c r="CS69" i="1" s="1"/>
  <c r="AN101" i="1"/>
  <c r="CS28" i="1"/>
  <c r="BI147" i="1"/>
  <c r="BQ43" i="1"/>
  <c r="CP173" i="20" s="1"/>
  <c r="B53" i="1"/>
  <c r="AA581" i="20" s="1"/>
  <c r="AW74" i="1"/>
  <c r="CN85" i="1"/>
  <c r="C84" i="1"/>
  <c r="C98" i="1" s="1"/>
  <c r="AI87" i="1"/>
  <c r="DA576" i="15"/>
  <c r="CB110" i="1"/>
  <c r="BX158" i="1"/>
  <c r="AO26" i="19"/>
  <c r="CS26" i="9"/>
  <c r="AO27" i="19" s="1"/>
  <c r="AK29" i="19"/>
  <c r="CO30" i="9"/>
  <c r="DN578" i="20" s="1"/>
  <c r="AY52" i="9"/>
  <c r="BX590" i="15" s="1"/>
  <c r="AV2" i="1"/>
  <c r="BY74" i="1"/>
  <c r="BA64" i="2"/>
  <c r="AV81" i="2"/>
  <c r="BU112" i="15" s="1"/>
  <c r="BX88" i="1"/>
  <c r="BX89" i="1" s="1"/>
  <c r="CN98" i="1"/>
  <c r="Y87" i="1"/>
  <c r="Z35" i="1"/>
  <c r="Z87" i="1" s="1"/>
  <c r="AF120" i="1"/>
  <c r="N74" i="1"/>
  <c r="BL85" i="1"/>
  <c r="CO85" i="1"/>
  <c r="J104" i="1"/>
  <c r="K142" i="1"/>
  <c r="U35" i="9"/>
  <c r="U84" i="1"/>
  <c r="U104" i="1" s="1"/>
  <c r="BQ26" i="9"/>
  <c r="M27" i="19" s="1"/>
  <c r="M26" i="19"/>
  <c r="CU587" i="15"/>
  <c r="CP29" i="9"/>
  <c r="CP14" i="9"/>
  <c r="AL15" i="19" s="1"/>
  <c r="S32" i="2"/>
  <c r="AR7" i="15" s="1"/>
  <c r="S68" i="2"/>
  <c r="S5" i="14" s="1"/>
  <c r="AD24" i="2"/>
  <c r="AU85" i="2"/>
  <c r="AU88" i="2" s="1"/>
  <c r="BG4" i="2"/>
  <c r="BG9" i="2" s="1"/>
  <c r="G7" i="2"/>
  <c r="AF313" i="20" s="1"/>
  <c r="BW65" i="2"/>
  <c r="BY8" i="1"/>
  <c r="CX145" i="15" s="1"/>
  <c r="BY66" i="1"/>
  <c r="CP11" i="1"/>
  <c r="CP141" i="1" s="1"/>
  <c r="BR75" i="1"/>
  <c r="BR76" i="1" s="1"/>
  <c r="BR11" i="1"/>
  <c r="BR69" i="1" s="1"/>
  <c r="CF28" i="1"/>
  <c r="CF146" i="1" s="1"/>
  <c r="G147" i="1"/>
  <c r="U43" i="1"/>
  <c r="U52" i="1" s="1"/>
  <c r="M89" i="1"/>
  <c r="D116" i="1"/>
  <c r="D118" i="1" s="1"/>
  <c r="E145" i="1"/>
  <c r="Y5" i="19"/>
  <c r="CC8" i="9"/>
  <c r="DB587" i="15" s="1"/>
  <c r="BB84" i="1"/>
  <c r="BB98" i="1" s="1"/>
  <c r="BA84" i="1"/>
  <c r="BA104" i="1" s="1"/>
  <c r="CQ30" i="9"/>
  <c r="DP578" i="20" s="1"/>
  <c r="AM29" i="19"/>
  <c r="DG52" i="9"/>
  <c r="AX25" i="2"/>
  <c r="BW54" i="20" s="1"/>
  <c r="Z159" i="1"/>
  <c r="CF10" i="2"/>
  <c r="CJ12" i="2"/>
  <c r="AW13" i="2"/>
  <c r="BV580" i="20" s="1"/>
  <c r="K64" i="2"/>
  <c r="BY54" i="2"/>
  <c r="CY144" i="15"/>
  <c r="BZ139" i="1"/>
  <c r="CQ11" i="1"/>
  <c r="DP146" i="20" s="1"/>
  <c r="E26" i="1"/>
  <c r="CG28" i="1"/>
  <c r="CG146" i="1" s="1"/>
  <c r="BI30" i="1"/>
  <c r="CH166" i="20" s="1"/>
  <c r="BH28" i="1"/>
  <c r="BH50" i="1" s="1"/>
  <c r="E53" i="1"/>
  <c r="AD581" i="20" s="1"/>
  <c r="CX66" i="1"/>
  <c r="BC84" i="1"/>
  <c r="CB14" i="9"/>
  <c r="X15" i="19" s="1"/>
  <c r="CI21" i="9"/>
  <c r="AE22" i="19" s="1"/>
  <c r="CI18" i="9"/>
  <c r="AE19" i="19" s="1"/>
  <c r="AT18" i="19"/>
  <c r="CX21" i="9"/>
  <c r="AT22" i="19" s="1"/>
  <c r="AE47" i="9"/>
  <c r="BX47" i="9"/>
  <c r="AC54" i="19"/>
  <c r="CO98" i="1"/>
  <c r="BT28" i="1"/>
  <c r="BT50" i="1" s="1"/>
  <c r="BQ148" i="1"/>
  <c r="BK43" i="1"/>
  <c r="BK52" i="1" s="1"/>
  <c r="K50" i="1"/>
  <c r="L86" i="2" s="1"/>
  <c r="H53" i="1"/>
  <c r="AG410" i="20" s="1"/>
  <c r="O74" i="1"/>
  <c r="CC74" i="1"/>
  <c r="BM85" i="1"/>
  <c r="BQ85" i="1"/>
  <c r="E89" i="1"/>
  <c r="AD101" i="1"/>
  <c r="BC139" i="1"/>
  <c r="N145" i="1"/>
  <c r="CQ29" i="9"/>
  <c r="CG26" i="9"/>
  <c r="AC27" i="19" s="1"/>
  <c r="AY57" i="9"/>
  <c r="AY58" i="9" s="1"/>
  <c r="AU5" i="14"/>
  <c r="CJ101" i="1"/>
  <c r="BU28" i="1"/>
  <c r="BU146" i="1" s="1"/>
  <c r="CV75" i="1"/>
  <c r="CB85" i="1"/>
  <c r="CQ85" i="1"/>
  <c r="L101" i="1"/>
  <c r="AF101" i="1"/>
  <c r="AZ143" i="1"/>
  <c r="BH147" i="1"/>
  <c r="AU8" i="9"/>
  <c r="BT587" i="20" s="1"/>
  <c r="CM16" i="9"/>
  <c r="AI17" i="19" s="1"/>
  <c r="CJ26" i="9"/>
  <c r="AF27" i="19" s="1"/>
  <c r="AE88" i="1"/>
  <c r="BM98" i="1"/>
  <c r="CC98" i="1"/>
  <c r="CQ98" i="1"/>
  <c r="S5" i="1"/>
  <c r="AZ43" i="1"/>
  <c r="AZ120" i="1" s="1"/>
  <c r="CC43" i="1"/>
  <c r="CC120" i="1" s="1"/>
  <c r="CJ43" i="1"/>
  <c r="CJ40" i="1" s="1"/>
  <c r="CJ149" i="1" s="1"/>
  <c r="AP51" i="1"/>
  <c r="AG66" i="1"/>
  <c r="CE74" i="1"/>
  <c r="CT74" i="1"/>
  <c r="BP85" i="1"/>
  <c r="AG101" i="1"/>
  <c r="AE6" i="9"/>
  <c r="AV15" i="9"/>
  <c r="AV16" i="9" s="1"/>
  <c r="CF14" i="14"/>
  <c r="BW101" i="1"/>
  <c r="CL101" i="1"/>
  <c r="P142" i="1"/>
  <c r="AR142" i="1"/>
  <c r="CF142" i="1"/>
  <c r="CU142" i="1"/>
  <c r="CD98" i="1"/>
  <c r="CR17" i="1"/>
  <c r="CR97" i="1" s="1"/>
  <c r="G91" i="1"/>
  <c r="H93" i="1" s="1"/>
  <c r="BE148" i="1"/>
  <c r="CI148" i="1"/>
  <c r="CB43" i="1"/>
  <c r="CB57" i="1" s="1"/>
  <c r="N53" i="1"/>
  <c r="AM410" i="20" s="1"/>
  <c r="AQ51" i="1"/>
  <c r="CF74" i="1"/>
  <c r="CU74" i="1"/>
  <c r="AH104" i="1"/>
  <c r="AI97" i="1"/>
  <c r="AI98" i="1" s="1"/>
  <c r="AH101" i="1"/>
  <c r="CW16" i="9"/>
  <c r="AS17" i="19" s="1"/>
  <c r="AJ21" i="9"/>
  <c r="AJ84" i="2"/>
  <c r="AE85" i="2"/>
  <c r="AE88" i="2" s="1"/>
  <c r="CE107" i="2"/>
  <c r="BD6" i="1"/>
  <c r="BD51" i="1" s="1"/>
  <c r="L10" i="1"/>
  <c r="L66" i="1" s="1"/>
  <c r="BU11" i="1"/>
  <c r="BU69" i="1" s="1"/>
  <c r="BU72" i="1" s="1"/>
  <c r="BY101" i="1"/>
  <c r="U142" i="1"/>
  <c r="AS142" i="1"/>
  <c r="CG142" i="1"/>
  <c r="AM98" i="1"/>
  <c r="CS98" i="1"/>
  <c r="AC57" i="1"/>
  <c r="CK66" i="1"/>
  <c r="CG74" i="1"/>
  <c r="CV74" i="1"/>
  <c r="AI85" i="1"/>
  <c r="CW110" i="1"/>
  <c r="CM157" i="1"/>
  <c r="AX6" i="9"/>
  <c r="CS14" i="9"/>
  <c r="AO15" i="19" s="1"/>
  <c r="CE22" i="9"/>
  <c r="BX25" i="9"/>
  <c r="T26" i="19" s="1"/>
  <c r="Z39" i="9"/>
  <c r="BG43" i="9"/>
  <c r="AS16" i="19"/>
  <c r="P26" i="19"/>
  <c r="X31" i="2"/>
  <c r="X16" i="2" s="1"/>
  <c r="X56" i="2"/>
  <c r="AC50" i="1"/>
  <c r="AC146" i="1"/>
  <c r="AC10" i="2"/>
  <c r="BB3" i="20" s="1"/>
  <c r="AC9" i="2"/>
  <c r="BU36" i="9"/>
  <c r="BU37" i="9" s="1"/>
  <c r="Q34" i="19"/>
  <c r="BP53" i="15"/>
  <c r="BP53" i="20"/>
  <c r="AP23" i="2"/>
  <c r="BO53" i="15" s="1"/>
  <c r="AQ22" i="2"/>
  <c r="BP16" i="20" s="1"/>
  <c r="AQ60" i="2"/>
  <c r="AQ59" i="2" s="1"/>
  <c r="AQ24" i="2"/>
  <c r="BO97" i="1"/>
  <c r="BO98" i="1" s="1"/>
  <c r="BO142" i="1"/>
  <c r="K56" i="19"/>
  <c r="AO45" i="2"/>
  <c r="AO65" i="2" s="1"/>
  <c r="BH30" i="15"/>
  <c r="AI92" i="1"/>
  <c r="AI33" i="2"/>
  <c r="CW16" i="1"/>
  <c r="CV142" i="1"/>
  <c r="BP142" i="1"/>
  <c r="BP97" i="1"/>
  <c r="BP98" i="1" s="1"/>
  <c r="DS164" i="20"/>
  <c r="CT28" i="1"/>
  <c r="CT50" i="1" s="1"/>
  <c r="CB166" i="20"/>
  <c r="CB166" i="15"/>
  <c r="CR30" i="1"/>
  <c r="DQ166" i="20" s="1"/>
  <c r="AE62" i="19"/>
  <c r="CI31" i="2"/>
  <c r="AE60" i="19" s="1"/>
  <c r="BD30" i="1"/>
  <c r="CC111" i="1"/>
  <c r="CB112" i="1"/>
  <c r="Q5" i="7"/>
  <c r="L3" i="7"/>
  <c r="L27" i="11" s="1"/>
  <c r="AA20" i="2"/>
  <c r="AY72" i="19"/>
  <c r="BV51" i="1"/>
  <c r="BW14" i="14"/>
  <c r="AT41" i="19"/>
  <c r="CX71" i="2"/>
  <c r="AT79" i="19" s="1"/>
  <c r="AE14" i="20"/>
  <c r="AP145" i="15"/>
  <c r="Q5" i="1"/>
  <c r="Q4" i="1" s="1"/>
  <c r="Q60" i="1"/>
  <c r="Q10" i="1"/>
  <c r="Q66" i="1" s="1"/>
  <c r="DH338" i="20"/>
  <c r="CI43" i="1"/>
  <c r="DH173" i="20" s="1"/>
  <c r="R2" i="9"/>
  <c r="U8" i="9"/>
  <c r="AT587" i="15" s="1"/>
  <c r="CM81" i="2"/>
  <c r="CM32" i="11" s="1"/>
  <c r="U6" i="1"/>
  <c r="U51" i="1" s="1"/>
  <c r="R140" i="1"/>
  <c r="R5" i="1"/>
  <c r="R4" i="1" s="1"/>
  <c r="CF338" i="15"/>
  <c r="W113" i="1"/>
  <c r="W114" i="1" s="1"/>
  <c r="W11" i="2"/>
  <c r="W54" i="2"/>
  <c r="W71" i="2"/>
  <c r="O5" i="7"/>
  <c r="T5" i="7" s="1"/>
  <c r="J3" i="7"/>
  <c r="J9" i="7" s="1"/>
  <c r="DD166" i="20"/>
  <c r="CE28" i="1"/>
  <c r="CE146" i="1" s="1"/>
  <c r="DD166" i="15"/>
  <c r="K148" i="1"/>
  <c r="K103" i="1"/>
  <c r="K104" i="1" s="1"/>
  <c r="K5" i="7"/>
  <c r="K3" i="7" s="1"/>
  <c r="K59" i="1" s="1"/>
  <c r="AH9" i="2"/>
  <c r="AH10" i="2"/>
  <c r="AY75" i="1"/>
  <c r="AY76" i="1" s="1"/>
  <c r="AX76" i="1"/>
  <c r="X57" i="1"/>
  <c r="B36" i="9"/>
  <c r="B4" i="2"/>
  <c r="B10" i="2" s="1"/>
  <c r="B3" i="2"/>
  <c r="O6" i="2"/>
  <c r="P6" i="2" s="1"/>
  <c r="N42" i="9"/>
  <c r="BM7" i="2"/>
  <c r="I36" i="19" s="1"/>
  <c r="BA54" i="2"/>
  <c r="BA11" i="2"/>
  <c r="BZ4" i="20" s="1"/>
  <c r="BG60" i="2"/>
  <c r="BG24" i="2"/>
  <c r="P8" i="1"/>
  <c r="AO145" i="20" s="1"/>
  <c r="O60" i="1"/>
  <c r="O10" i="1"/>
  <c r="AK111" i="1"/>
  <c r="AK112" i="1" s="1"/>
  <c r="AJ33" i="9"/>
  <c r="AK41" i="9" s="1"/>
  <c r="AV36" i="9"/>
  <c r="AV43" i="9" s="1"/>
  <c r="AU5" i="2"/>
  <c r="AV4" i="2"/>
  <c r="AV9" i="2" s="1"/>
  <c r="I46" i="19"/>
  <c r="BN17" i="2"/>
  <c r="J46" i="19" s="1"/>
  <c r="BM19" i="2"/>
  <c r="I48" i="19" s="1"/>
  <c r="AE28" i="2"/>
  <c r="S149" i="1"/>
  <c r="S27" i="1"/>
  <c r="S26" i="1" s="1"/>
  <c r="CX35" i="9"/>
  <c r="CW33" i="9"/>
  <c r="CX40" i="9" s="1"/>
  <c r="AD576" i="20"/>
  <c r="F109" i="1"/>
  <c r="AE576" i="20" s="1"/>
  <c r="E110" i="1"/>
  <c r="AX15" i="9"/>
  <c r="AX16" i="9" s="1"/>
  <c r="BU4" i="2"/>
  <c r="BU9" i="2" s="1"/>
  <c r="Q38" i="19" s="1"/>
  <c r="AW36" i="9"/>
  <c r="AW38" i="9" s="1"/>
  <c r="AW39" i="9" s="1"/>
  <c r="AW4" i="2"/>
  <c r="BS6" i="2"/>
  <c r="S22" i="2"/>
  <c r="AR16" i="15" s="1"/>
  <c r="Z81" i="2"/>
  <c r="AY112" i="20" s="1"/>
  <c r="H3" i="7"/>
  <c r="H45" i="9" s="1"/>
  <c r="M5" i="7"/>
  <c r="M3" i="7" s="1"/>
  <c r="CL5" i="2"/>
  <c r="CL36" i="9" s="1"/>
  <c r="T17" i="2"/>
  <c r="T19" i="2" s="1"/>
  <c r="AG24" i="2"/>
  <c r="H56" i="19"/>
  <c r="BL23" i="2"/>
  <c r="BL60" i="2" s="1"/>
  <c r="CW27" i="2"/>
  <c r="AS56" i="19" s="1"/>
  <c r="P28" i="2"/>
  <c r="S60" i="2"/>
  <c r="S59" i="2" s="1"/>
  <c r="AM588" i="20"/>
  <c r="N13" i="9"/>
  <c r="AM589" i="20" s="1"/>
  <c r="N5" i="7"/>
  <c r="S5" i="7" s="1"/>
  <c r="I3" i="7"/>
  <c r="I52" i="2" s="1"/>
  <c r="AC120" i="1"/>
  <c r="AC87" i="1"/>
  <c r="BQ109" i="15"/>
  <c r="AR76" i="2"/>
  <c r="K4" i="2"/>
  <c r="DB16" i="1"/>
  <c r="DG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CX142" i="1"/>
  <c r="DT164" i="20"/>
  <c r="CU28" i="1"/>
  <c r="CU50" i="1" s="1"/>
  <c r="O29" i="14"/>
  <c r="O89" i="1"/>
  <c r="AF11" i="2"/>
  <c r="BE4" i="20" s="1"/>
  <c r="AF54" i="2"/>
  <c r="AF71" i="2"/>
  <c r="CR45" i="2"/>
  <c r="AN75" i="19" s="1"/>
  <c r="CQ65" i="2"/>
  <c r="CJ68" i="2"/>
  <c r="AI73" i="1"/>
  <c r="AI88" i="1"/>
  <c r="AI11" i="1"/>
  <c r="BH146" i="20" s="1"/>
  <c r="W29" i="14"/>
  <c r="W89" i="1"/>
  <c r="AY13" i="1"/>
  <c r="AY88" i="1" s="1"/>
  <c r="AZ147" i="20"/>
  <c r="AA144" i="1"/>
  <c r="W145" i="1"/>
  <c r="DU164" i="20"/>
  <c r="CV28" i="1"/>
  <c r="AQ146" i="1"/>
  <c r="AQ50" i="1"/>
  <c r="AJ150" i="1"/>
  <c r="BI411" i="15"/>
  <c r="C83" i="2"/>
  <c r="C25" i="1"/>
  <c r="C3" i="1"/>
  <c r="C59" i="1"/>
  <c r="C93" i="2"/>
  <c r="AH36" i="9"/>
  <c r="AH111" i="1"/>
  <c r="AH112" i="1" s="1"/>
  <c r="BN8" i="2"/>
  <c r="AG71" i="2"/>
  <c r="CM14" i="2"/>
  <c r="AI43" i="19" s="1"/>
  <c r="CR17" i="2"/>
  <c r="AN46" i="19" s="1"/>
  <c r="AV31" i="2"/>
  <c r="AX45" i="2"/>
  <c r="AY45" i="2" s="1"/>
  <c r="CS88" i="2"/>
  <c r="BS10" i="1"/>
  <c r="BS66" i="1" s="1"/>
  <c r="BR66" i="1"/>
  <c r="BR8" i="1"/>
  <c r="CQ145" i="15" s="1"/>
  <c r="X75" i="1"/>
  <c r="X88" i="1"/>
  <c r="X11" i="1"/>
  <c r="CW29" i="1"/>
  <c r="DV164" i="20" s="1"/>
  <c r="AP42" i="19"/>
  <c r="CT61" i="2"/>
  <c r="CT59" i="2" s="1"/>
  <c r="AO14" i="2"/>
  <c r="B10" i="1"/>
  <c r="B66" i="1" s="1"/>
  <c r="Y75" i="1"/>
  <c r="Z75" i="1" s="1"/>
  <c r="Y88" i="1"/>
  <c r="BG146" i="1"/>
  <c r="BG50" i="1"/>
  <c r="AZ147" i="15"/>
  <c r="E32" i="9"/>
  <c r="E3" i="14"/>
  <c r="E3" i="1"/>
  <c r="E83" i="2"/>
  <c r="E106" i="1"/>
  <c r="E25" i="1"/>
  <c r="E59" i="1"/>
  <c r="E93" i="2"/>
  <c r="C9" i="7"/>
  <c r="AZ313" i="15"/>
  <c r="S37" i="19"/>
  <c r="BW7" i="2"/>
  <c r="S36" i="19" s="1"/>
  <c r="B71" i="2"/>
  <c r="AQ43" i="19"/>
  <c r="CU72" i="2"/>
  <c r="AQ80" i="19" s="1"/>
  <c r="BP23" i="2"/>
  <c r="L52" i="19" s="1"/>
  <c r="BD39" i="2"/>
  <c r="CC18" i="20" s="1"/>
  <c r="AG20" i="20"/>
  <c r="H65" i="2"/>
  <c r="J59" i="2"/>
  <c r="CN60" i="2"/>
  <c r="CN59" i="2" s="1"/>
  <c r="AD8" i="1"/>
  <c r="BC145" i="20" s="1"/>
  <c r="AE10" i="1"/>
  <c r="AE66" i="1" s="1"/>
  <c r="AD66" i="1"/>
  <c r="AL73" i="1"/>
  <c r="AL74" i="1" s="1"/>
  <c r="Z13" i="1"/>
  <c r="Z88" i="1" s="1"/>
  <c r="C57" i="1"/>
  <c r="C52" i="1"/>
  <c r="AE47" i="1"/>
  <c r="AE43" i="1" s="1"/>
  <c r="AD43" i="1"/>
  <c r="BC173" i="20" s="1"/>
  <c r="BX47" i="1"/>
  <c r="BW43" i="1"/>
  <c r="CV173" i="20" s="1"/>
  <c r="CM47" i="1"/>
  <c r="CL43" i="1"/>
  <c r="CL52" i="1" s="1"/>
  <c r="AT25" i="9"/>
  <c r="AS26" i="9"/>
  <c r="AT26" i="9" s="1"/>
  <c r="BT54" i="2"/>
  <c r="BT71" i="2"/>
  <c r="P79" i="19" s="1"/>
  <c r="AU27" i="2"/>
  <c r="AX27" i="2" s="1"/>
  <c r="AY27" i="2" s="1"/>
  <c r="C56" i="19" s="1"/>
  <c r="AV23" i="2"/>
  <c r="U144" i="1"/>
  <c r="AD74" i="1"/>
  <c r="AE73" i="1"/>
  <c r="AE74" i="1" s="1"/>
  <c r="AE35" i="1"/>
  <c r="AE87" i="1" s="1"/>
  <c r="AD87" i="1"/>
  <c r="BL11" i="1"/>
  <c r="BL141" i="1" s="1"/>
  <c r="BL88" i="1"/>
  <c r="BR112" i="1"/>
  <c r="BS111" i="1"/>
  <c r="B51" i="9"/>
  <c r="B3" i="9"/>
  <c r="B25" i="1"/>
  <c r="B3" i="1"/>
  <c r="AI9" i="2"/>
  <c r="AI10" i="2"/>
  <c r="BH3" i="15" s="1"/>
  <c r="BR27" i="2"/>
  <c r="N56" i="19" s="1"/>
  <c r="AP92" i="1"/>
  <c r="BO30" i="15"/>
  <c r="BC28" i="1"/>
  <c r="BC50" i="1" s="1"/>
  <c r="BC53" i="1" s="1"/>
  <c r="CH29" i="1"/>
  <c r="Q29" i="14"/>
  <c r="Q89" i="1"/>
  <c r="DE53" i="15"/>
  <c r="CF22" i="2"/>
  <c r="AB51" i="19" s="1"/>
  <c r="AK7" i="20"/>
  <c r="L31" i="2"/>
  <c r="L16" i="2" s="1"/>
  <c r="CN92" i="1"/>
  <c r="CN95" i="1" s="1"/>
  <c r="CN33" i="2"/>
  <c r="CN20" i="2" s="1"/>
  <c r="CN56" i="2" s="1"/>
  <c r="CO68" i="2"/>
  <c r="CH10" i="1"/>
  <c r="CH8" i="1" s="1"/>
  <c r="CG8" i="1"/>
  <c r="AJ12" i="1"/>
  <c r="BP26" i="9"/>
  <c r="L27" i="19" s="1"/>
  <c r="L26" i="19"/>
  <c r="D45" i="9"/>
  <c r="D32" i="9"/>
  <c r="D25" i="1"/>
  <c r="D83" i="2"/>
  <c r="D106" i="1"/>
  <c r="D93" i="2"/>
  <c r="D3" i="1"/>
  <c r="D59" i="1"/>
  <c r="T8" i="2"/>
  <c r="U8" i="2" s="1"/>
  <c r="R7" i="2"/>
  <c r="CX11" i="2"/>
  <c r="G24" i="2"/>
  <c r="CC35" i="2"/>
  <c r="DB9" i="20" s="1"/>
  <c r="CZ9" i="20"/>
  <c r="X68" i="2"/>
  <c r="AW30" i="15" s="1"/>
  <c r="B57" i="1"/>
  <c r="B52" i="1"/>
  <c r="DK576" i="20"/>
  <c r="CL110" i="1"/>
  <c r="CM109" i="1"/>
  <c r="E112" i="1"/>
  <c r="F111" i="1"/>
  <c r="F45" i="9"/>
  <c r="F3" i="14"/>
  <c r="F3" i="9"/>
  <c r="F130" i="1"/>
  <c r="F83" i="2"/>
  <c r="F106" i="1"/>
  <c r="F25" i="1"/>
  <c r="F3" i="1"/>
  <c r="F59" i="1"/>
  <c r="F93" i="2"/>
  <c r="F3" i="2"/>
  <c r="D9" i="7"/>
  <c r="CV85" i="2"/>
  <c r="CV88" i="2" s="1"/>
  <c r="AR54" i="19"/>
  <c r="DU54" i="20"/>
  <c r="CW25" i="2"/>
  <c r="DV54" i="20" s="1"/>
  <c r="BK11" i="1"/>
  <c r="CJ146" i="15" s="1"/>
  <c r="M26" i="1"/>
  <c r="AF146" i="1"/>
  <c r="AF50" i="1"/>
  <c r="B6" i="14"/>
  <c r="AA310" i="20" s="1"/>
  <c r="R6" i="14"/>
  <c r="AQ368" i="20" s="1"/>
  <c r="AB576" i="20"/>
  <c r="C110" i="1"/>
  <c r="AX110" i="1"/>
  <c r="AY109" i="1"/>
  <c r="AI36" i="9"/>
  <c r="AI37" i="9" s="1"/>
  <c r="AI56" i="9" s="1"/>
  <c r="AI111" i="1"/>
  <c r="AJ111" i="1" s="1"/>
  <c r="AP24" i="1"/>
  <c r="AD28" i="1"/>
  <c r="AE30" i="1"/>
  <c r="BD166" i="20" s="1"/>
  <c r="CK162" i="20"/>
  <c r="BL147" i="1"/>
  <c r="BL87" i="1"/>
  <c r="CK162" i="15"/>
  <c r="DJ338" i="20"/>
  <c r="BY85" i="1"/>
  <c r="CR588" i="20"/>
  <c r="O13" i="19"/>
  <c r="AZ38" i="19"/>
  <c r="BZ66" i="1"/>
  <c r="BZ8" i="1"/>
  <c r="CR88" i="1"/>
  <c r="AC143" i="1"/>
  <c r="BX41" i="2"/>
  <c r="CW52" i="20" s="1"/>
  <c r="CV52" i="20"/>
  <c r="T45" i="2"/>
  <c r="AS20" i="20" s="1"/>
  <c r="V54" i="2"/>
  <c r="AC5" i="14"/>
  <c r="AC8" i="14" s="1"/>
  <c r="AC9" i="14" s="1"/>
  <c r="BB327" i="15" s="1"/>
  <c r="AC92" i="1"/>
  <c r="AC33" i="2"/>
  <c r="AC20" i="2" s="1"/>
  <c r="BB6" i="20" s="1"/>
  <c r="BF68" i="2"/>
  <c r="BF92" i="1" s="1"/>
  <c r="CA66" i="1"/>
  <c r="CA8" i="1"/>
  <c r="CZ145" i="20" s="1"/>
  <c r="AH151" i="20"/>
  <c r="I91" i="1"/>
  <c r="I19" i="1"/>
  <c r="I143" i="1" s="1"/>
  <c r="AR28" i="1"/>
  <c r="AR50" i="1" s="1"/>
  <c r="AR53" i="1" s="1"/>
  <c r="BQ410" i="20" s="1"/>
  <c r="F149" i="1"/>
  <c r="BX36" i="1"/>
  <c r="BX103" i="1" s="1"/>
  <c r="CL104" i="1"/>
  <c r="V111" i="1"/>
  <c r="V112" i="1" s="1"/>
  <c r="V158" i="1"/>
  <c r="J6" i="19"/>
  <c r="BN6" i="9"/>
  <c r="J7" i="19" s="1"/>
  <c r="DG575" i="15"/>
  <c r="CH11" i="9"/>
  <c r="AD12" i="19" s="1"/>
  <c r="CP7" i="15"/>
  <c r="CP7" i="20"/>
  <c r="M61" i="19"/>
  <c r="BQ31" i="2"/>
  <c r="M60" i="19" s="1"/>
  <c r="BN78" i="2"/>
  <c r="BO81" i="2"/>
  <c r="CN112" i="15" s="1"/>
  <c r="AE68" i="2"/>
  <c r="CE88" i="1"/>
  <c r="CE11" i="1"/>
  <c r="CX18" i="1"/>
  <c r="AG151" i="20"/>
  <c r="H91" i="1"/>
  <c r="H19" i="1"/>
  <c r="AP28" i="1"/>
  <c r="AP50" i="1" s="1"/>
  <c r="AP75" i="1"/>
  <c r="AP76" i="1" s="1"/>
  <c r="BZ85" i="1"/>
  <c r="AR29" i="19"/>
  <c r="CV30" i="9"/>
  <c r="DU578" i="20" s="1"/>
  <c r="Y5" i="2"/>
  <c r="Z5" i="2" s="1"/>
  <c r="V36" i="9"/>
  <c r="V43" i="9" s="1"/>
  <c r="AL5" i="2"/>
  <c r="AM5" i="2" s="1"/>
  <c r="AN5" i="2" s="1"/>
  <c r="AQ11" i="2"/>
  <c r="BP4" i="20" s="1"/>
  <c r="BK580" i="20"/>
  <c r="BK580" i="15"/>
  <c r="CV14" i="2"/>
  <c r="AR43" i="19" s="1"/>
  <c r="CE22" i="2"/>
  <c r="BS25" i="2"/>
  <c r="K28" i="2"/>
  <c r="S10" i="2"/>
  <c r="S21" i="2" s="1"/>
  <c r="W111" i="1"/>
  <c r="W112" i="1" s="1"/>
  <c r="W36" i="9"/>
  <c r="W37" i="9" s="1"/>
  <c r="W56" i="9" s="1"/>
  <c r="CT5" i="2"/>
  <c r="AM13" i="2"/>
  <c r="BN14" i="2"/>
  <c r="J43" i="19" s="1"/>
  <c r="V52" i="19"/>
  <c r="BZ22" i="2"/>
  <c r="BZ24" i="2"/>
  <c r="V53" i="19" s="1"/>
  <c r="BP61" i="2"/>
  <c r="BH65" i="2"/>
  <c r="AN81" i="2"/>
  <c r="BM112" i="20" s="1"/>
  <c r="CE185" i="1"/>
  <c r="DD109" i="15"/>
  <c r="P84" i="2"/>
  <c r="AS84" i="2"/>
  <c r="AT84" i="2" s="1"/>
  <c r="CD88" i="2"/>
  <c r="AN8" i="1"/>
  <c r="AN140" i="1" s="1"/>
  <c r="W66" i="1"/>
  <c r="W8" i="1"/>
  <c r="CC10" i="1"/>
  <c r="CB8" i="1"/>
  <c r="DA145" i="15" s="1"/>
  <c r="CB66" i="1"/>
  <c r="BI19" i="1"/>
  <c r="BI143" i="1" s="1"/>
  <c r="BC147" i="1"/>
  <c r="BC87" i="1"/>
  <c r="CR35" i="1"/>
  <c r="CR87" i="1" s="1"/>
  <c r="U148" i="1"/>
  <c r="CH73" i="1"/>
  <c r="CH74" i="1" s="1"/>
  <c r="DT576" i="20"/>
  <c r="CU110" i="1"/>
  <c r="DL575" i="20"/>
  <c r="AI11" i="19"/>
  <c r="AR26" i="9"/>
  <c r="AD11" i="19"/>
  <c r="CV9" i="15"/>
  <c r="AT153" i="15"/>
  <c r="BN25" i="2"/>
  <c r="CL54" i="15"/>
  <c r="DW164" i="20"/>
  <c r="CX28" i="1"/>
  <c r="CX50" i="1" s="1"/>
  <c r="BD73" i="1"/>
  <c r="BD74" i="1" s="1"/>
  <c r="BC74" i="1"/>
  <c r="BM5" i="2"/>
  <c r="I34" i="19" s="1"/>
  <c r="CE36" i="9"/>
  <c r="AA34" i="19"/>
  <c r="AJ72" i="2"/>
  <c r="CA24" i="2"/>
  <c r="W53" i="19" s="1"/>
  <c r="I5" i="14"/>
  <c r="AH30" i="20"/>
  <c r="AK71" i="2"/>
  <c r="K81" i="2"/>
  <c r="AJ112" i="20" s="1"/>
  <c r="BO88" i="2"/>
  <c r="X8" i="1"/>
  <c r="X140" i="1" s="1"/>
  <c r="X66" i="1"/>
  <c r="BA66" i="1"/>
  <c r="BA8" i="1"/>
  <c r="BZ145" i="20" s="1"/>
  <c r="CD8" i="1"/>
  <c r="CD66" i="1"/>
  <c r="CD11" i="1"/>
  <c r="CD141" i="1" s="1"/>
  <c r="AJ155" i="20"/>
  <c r="K19" i="1"/>
  <c r="K143" i="1" s="1"/>
  <c r="AK147" i="1"/>
  <c r="CE147" i="1"/>
  <c r="CE87" i="1"/>
  <c r="CK43" i="1"/>
  <c r="CK52" i="1" s="1"/>
  <c r="L26" i="2"/>
  <c r="L53" i="1"/>
  <c r="BH74" i="1"/>
  <c r="BH76" i="1"/>
  <c r="BI75" i="1"/>
  <c r="AK85" i="1"/>
  <c r="S89" i="1"/>
  <c r="W98" i="1"/>
  <c r="S33" i="9"/>
  <c r="T35" i="9"/>
  <c r="BX33" i="9"/>
  <c r="BY40" i="9" s="1"/>
  <c r="BY111" i="1" s="1"/>
  <c r="CC35" i="9"/>
  <c r="BY35" i="9"/>
  <c r="DH576" i="20"/>
  <c r="CI110" i="1"/>
  <c r="BB158" i="1"/>
  <c r="BA158" i="1"/>
  <c r="BZ18" i="9"/>
  <c r="V19" i="19" s="1"/>
  <c r="BZ21" i="9"/>
  <c r="V22" i="19" s="1"/>
  <c r="BZ14" i="9"/>
  <c r="CO14" i="9"/>
  <c r="AK15" i="19" s="1"/>
  <c r="CO18" i="9"/>
  <c r="AK19" i="19" s="1"/>
  <c r="I26" i="19"/>
  <c r="BM26" i="9"/>
  <c r="BZ29" i="9"/>
  <c r="AL34" i="19"/>
  <c r="CP36" i="9"/>
  <c r="CP37" i="9" s="1"/>
  <c r="AE32" i="2"/>
  <c r="Y11" i="19"/>
  <c r="CC11" i="9"/>
  <c r="Y12" i="19" s="1"/>
  <c r="BF4" i="2"/>
  <c r="BF9" i="2" s="1"/>
  <c r="AB34" i="19"/>
  <c r="CF36" i="9"/>
  <c r="CF43" i="9" s="1"/>
  <c r="CK13" i="2"/>
  <c r="CL13" i="2" s="1"/>
  <c r="CH17" i="2"/>
  <c r="AD46" i="19" s="1"/>
  <c r="CG23" i="2"/>
  <c r="Y33" i="2"/>
  <c r="J5" i="14"/>
  <c r="AI30" i="20"/>
  <c r="BP76" i="2"/>
  <c r="F139" i="1"/>
  <c r="AE144" i="20"/>
  <c r="AD139" i="1"/>
  <c r="AD51" i="1"/>
  <c r="CE8" i="1"/>
  <c r="CE66" i="1"/>
  <c r="CS66" i="1"/>
  <c r="CS8" i="1"/>
  <c r="CS60" i="1" s="1"/>
  <c r="BL97" i="1"/>
  <c r="BL98" i="1" s="1"/>
  <c r="BL142" i="1"/>
  <c r="BN19" i="1"/>
  <c r="BN143" i="1" s="1"/>
  <c r="AL28" i="1"/>
  <c r="AL10" i="14" s="1"/>
  <c r="AO35" i="1"/>
  <c r="AO87" i="1" s="1"/>
  <c r="DE162" i="15"/>
  <c r="DE162" i="20"/>
  <c r="CF147" i="1"/>
  <c r="CF87" i="1"/>
  <c r="CF89" i="1" s="1"/>
  <c r="AK104" i="1"/>
  <c r="AY36" i="1"/>
  <c r="M53" i="1"/>
  <c r="J52" i="1"/>
  <c r="CE75" i="1"/>
  <c r="CE76" i="1" s="1"/>
  <c r="BR88" i="1"/>
  <c r="AT109" i="1"/>
  <c r="BS576" i="15" s="1"/>
  <c r="CU576" i="20"/>
  <c r="CU576" i="15"/>
  <c r="BV110" i="1"/>
  <c r="DB132" i="1"/>
  <c r="AI10" i="19"/>
  <c r="CP84" i="1"/>
  <c r="CP85" i="1" s="1"/>
  <c r="CM84" i="1"/>
  <c r="CM85" i="1" s="1"/>
  <c r="BU575" i="20"/>
  <c r="AY10" i="9"/>
  <c r="BX575" i="20" s="1"/>
  <c r="AV11" i="9"/>
  <c r="G18" i="19"/>
  <c r="BK14" i="9"/>
  <c r="BK34" i="9" s="1"/>
  <c r="BK29" i="9"/>
  <c r="CA18" i="9"/>
  <c r="W19" i="19" s="1"/>
  <c r="CA14" i="9"/>
  <c r="BN25" i="9"/>
  <c r="J26" i="19" s="1"/>
  <c r="CA26" i="9"/>
  <c r="W27" i="19" s="1"/>
  <c r="W26" i="19"/>
  <c r="CA29" i="9"/>
  <c r="B42" i="9"/>
  <c r="F42" i="9" s="1"/>
  <c r="CQ88" i="1"/>
  <c r="CQ75" i="1"/>
  <c r="CU164" i="15"/>
  <c r="CU164" i="20"/>
  <c r="BV28" i="1"/>
  <c r="BK85" i="1"/>
  <c r="AQ29" i="19"/>
  <c r="CU30" i="9"/>
  <c r="AQ30" i="19" s="1"/>
  <c r="AX6" i="2"/>
  <c r="AX42" i="9" s="1"/>
  <c r="AS27" i="2"/>
  <c r="AK159" i="1"/>
  <c r="BJ14" i="15"/>
  <c r="AK28" i="2"/>
  <c r="W68" i="2"/>
  <c r="AV30" i="15" s="1"/>
  <c r="W32" i="2"/>
  <c r="W31" i="2" s="1"/>
  <c r="W16" i="2" s="1"/>
  <c r="DB34" i="2"/>
  <c r="AX63" i="19" s="1"/>
  <c r="P49" i="2"/>
  <c r="P81" i="2" s="1"/>
  <c r="BM72" i="2"/>
  <c r="I80" i="19" s="1"/>
  <c r="AQ81" i="2"/>
  <c r="BP112" i="15" s="1"/>
  <c r="CF111" i="20"/>
  <c r="BG81" i="2"/>
  <c r="CF112" i="15" s="1"/>
  <c r="M81" i="2"/>
  <c r="AL112" i="20" s="1"/>
  <c r="AE139" i="1"/>
  <c r="AJ14" i="14"/>
  <c r="AE15" i="14"/>
  <c r="AS139" i="1"/>
  <c r="AS51" i="1"/>
  <c r="BC66" i="1"/>
  <c r="BC8" i="1"/>
  <c r="CF8" i="1"/>
  <c r="CF66" i="1"/>
  <c r="AQ142" i="1"/>
  <c r="BE142" i="1"/>
  <c r="CE142" i="1"/>
  <c r="CT142" i="1"/>
  <c r="AX162" i="15"/>
  <c r="Y79" i="1"/>
  <c r="CC148" i="1"/>
  <c r="CC103" i="1"/>
  <c r="CC104" i="1" s="1"/>
  <c r="L52" i="1"/>
  <c r="BT87" i="1"/>
  <c r="S109" i="1"/>
  <c r="S110" i="1" s="1"/>
  <c r="DG132" i="1"/>
  <c r="CK148" i="1"/>
  <c r="AW16" i="9"/>
  <c r="AW6" i="9"/>
  <c r="AW8" i="9"/>
  <c r="BV587" i="15" s="1"/>
  <c r="CW8" i="9"/>
  <c r="AS9" i="19" s="1"/>
  <c r="AT26" i="19"/>
  <c r="CH2" i="9"/>
  <c r="CH6" i="9"/>
  <c r="AD7" i="19" s="1"/>
  <c r="K26" i="19"/>
  <c r="BO26" i="9"/>
  <c r="K27" i="19" s="1"/>
  <c r="L14" i="14"/>
  <c r="CZ144" i="15"/>
  <c r="CA139" i="1"/>
  <c r="CS146" i="20"/>
  <c r="CS146" i="15"/>
  <c r="AK142" i="1"/>
  <c r="AZ142" i="1"/>
  <c r="CX98" i="1"/>
  <c r="CF162" i="20"/>
  <c r="BG87" i="1"/>
  <c r="Q53" i="1"/>
  <c r="AP410" i="15" s="1"/>
  <c r="J98" i="1"/>
  <c r="BQ103" i="1"/>
  <c r="BQ104" i="1" s="1"/>
  <c r="CO142" i="1"/>
  <c r="CK147" i="1"/>
  <c r="N84" i="1"/>
  <c r="N101" i="1" s="1"/>
  <c r="M84" i="1"/>
  <c r="AV1" i="9"/>
  <c r="AV84" i="1"/>
  <c r="AN10" i="19"/>
  <c r="CU84" i="1"/>
  <c r="CU101" i="1" s="1"/>
  <c r="T13" i="19"/>
  <c r="BX13" i="9"/>
  <c r="CW589" i="20" s="1"/>
  <c r="CH47" i="9"/>
  <c r="BI61" i="9"/>
  <c r="BG147" i="15"/>
  <c r="BS153" i="15"/>
  <c r="AJ14" i="20"/>
  <c r="CM159" i="1"/>
  <c r="H59" i="2"/>
  <c r="DK111" i="20"/>
  <c r="BK144" i="15"/>
  <c r="AL139" i="1"/>
  <c r="DO144" i="20"/>
  <c r="CP139" i="1"/>
  <c r="CP51" i="1"/>
  <c r="CF11" i="1"/>
  <c r="CF69" i="1" s="1"/>
  <c r="U88" i="1"/>
  <c r="U29" i="14" s="1"/>
  <c r="AF75" i="1"/>
  <c r="AF88" i="1"/>
  <c r="AF29" i="14" s="1"/>
  <c r="AF11" i="1"/>
  <c r="AF69" i="1" s="1"/>
  <c r="BF75" i="1"/>
  <c r="BF76" i="1" s="1"/>
  <c r="BF88" i="1"/>
  <c r="CT11" i="1"/>
  <c r="CT88" i="1"/>
  <c r="AL142" i="1"/>
  <c r="BA142" i="1"/>
  <c r="F144" i="1"/>
  <c r="BS164" i="20"/>
  <c r="BS164" i="15"/>
  <c r="AT35" i="1"/>
  <c r="AT87" i="1" s="1"/>
  <c r="AS87" i="1"/>
  <c r="BP148" i="1"/>
  <c r="AI148" i="1"/>
  <c r="BO85" i="1"/>
  <c r="K85" i="1"/>
  <c r="AW84" i="1"/>
  <c r="AW101" i="1" s="1"/>
  <c r="K113" i="1"/>
  <c r="AH144" i="1"/>
  <c r="R13" i="9"/>
  <c r="S84" i="1"/>
  <c r="R84" i="1"/>
  <c r="R101" i="1" s="1"/>
  <c r="AS10" i="19"/>
  <c r="CW84" i="1"/>
  <c r="CW85" i="1" s="1"/>
  <c r="CW13" i="9"/>
  <c r="AS14" i="19" s="1"/>
  <c r="AC10" i="14"/>
  <c r="BB335" i="15" s="1"/>
  <c r="BE11" i="1"/>
  <c r="BE69" i="1" s="1"/>
  <c r="AG75" i="1"/>
  <c r="AG88" i="1"/>
  <c r="BG75" i="1"/>
  <c r="BG76" i="1" s="1"/>
  <c r="BG88" i="1"/>
  <c r="CU11" i="1"/>
  <c r="CU88" i="1"/>
  <c r="CU89" i="1" s="1"/>
  <c r="CG100" i="1"/>
  <c r="CG101" i="1" s="1"/>
  <c r="CH15" i="1"/>
  <c r="CH100" i="1" s="1"/>
  <c r="AL91" i="1"/>
  <c r="AM93" i="1" s="1"/>
  <c r="AL19" i="1"/>
  <c r="AL143" i="1" s="1"/>
  <c r="R27" i="1"/>
  <c r="R26" i="1" s="1"/>
  <c r="DI162" i="20"/>
  <c r="CJ87" i="1"/>
  <c r="CJ89" i="1" s="1"/>
  <c r="AK148" i="1"/>
  <c r="AT167" i="20"/>
  <c r="AT167" i="15"/>
  <c r="AW163" i="20"/>
  <c r="X149" i="1"/>
  <c r="CS43" i="1"/>
  <c r="CS121" i="1" s="1"/>
  <c r="D53" i="1"/>
  <c r="BA51" i="1"/>
  <c r="BJ87" i="1"/>
  <c r="AH88" i="1"/>
  <c r="DQ576" i="20"/>
  <c r="CR110" i="1"/>
  <c r="BI157" i="1"/>
  <c r="AF74" i="1"/>
  <c r="CG7" i="20"/>
  <c r="BJ81" i="2"/>
  <c r="CI112" i="15" s="1"/>
  <c r="DR144" i="20"/>
  <c r="CS139" i="1"/>
  <c r="BB147" i="20"/>
  <c r="AC144" i="1"/>
  <c r="BF8" i="1"/>
  <c r="CE145" i="20" s="1"/>
  <c r="BI10" i="1"/>
  <c r="BH88" i="1"/>
  <c r="BI13" i="1"/>
  <c r="BI88" i="1" s="1"/>
  <c r="BI29" i="14" s="1"/>
  <c r="AO16" i="1"/>
  <c r="AN142" i="1"/>
  <c r="BC142" i="1"/>
  <c r="BY98" i="1"/>
  <c r="AT166" i="15"/>
  <c r="AP148" i="1"/>
  <c r="F43" i="1"/>
  <c r="AE173" i="20" s="1"/>
  <c r="CT43" i="1"/>
  <c r="CT40" i="1" s="1"/>
  <c r="BB51" i="1"/>
  <c r="BT75" i="1"/>
  <c r="BT76" i="1" s="1"/>
  <c r="AZ84" i="1"/>
  <c r="AZ85" i="1" s="1"/>
  <c r="CG88" i="1"/>
  <c r="BU97" i="1"/>
  <c r="BU98" i="1" s="1"/>
  <c r="AG104" i="1"/>
  <c r="CT110" i="1"/>
  <c r="CR158" i="1"/>
  <c r="BT141" i="1"/>
  <c r="BA35" i="9"/>
  <c r="BA37" i="9" s="1"/>
  <c r="BA13" i="9"/>
  <c r="BD9" i="9"/>
  <c r="AH575" i="20"/>
  <c r="I35" i="9"/>
  <c r="DN41" i="9"/>
  <c r="DO41" i="9" s="1"/>
  <c r="DP41" i="9" s="1"/>
  <c r="DR41" i="9" s="1"/>
  <c r="DS41" i="9" s="1"/>
  <c r="DT41" i="9" s="1"/>
  <c r="DU41" i="9" s="1"/>
  <c r="DW41" i="9" s="1"/>
  <c r="DX41" i="9" s="1"/>
  <c r="DY41" i="9" s="1"/>
  <c r="DZ41" i="9" s="1"/>
  <c r="EB41" i="9" s="1"/>
  <c r="EC41" i="9" s="1"/>
  <c r="ED41" i="9" s="1"/>
  <c r="EE41" i="9" s="1"/>
  <c r="CZ110" i="15"/>
  <c r="DS144" i="20"/>
  <c r="CU14" i="14"/>
  <c r="CM10" i="1"/>
  <c r="CL66" i="1"/>
  <c r="BJ88" i="1"/>
  <c r="BJ11" i="1"/>
  <c r="F142" i="1"/>
  <c r="AP142" i="1"/>
  <c r="CS142" i="1"/>
  <c r="AJ98" i="1"/>
  <c r="F147" i="1"/>
  <c r="AC162" i="20"/>
  <c r="D147" i="1"/>
  <c r="AY35" i="1"/>
  <c r="BX162" i="15" s="1"/>
  <c r="BY147" i="1"/>
  <c r="BY87" i="1"/>
  <c r="AQ148" i="1"/>
  <c r="K43" i="1"/>
  <c r="AJ173" i="20" s="1"/>
  <c r="BC43" i="1"/>
  <c r="CB173" i="15" s="1"/>
  <c r="BV97" i="1"/>
  <c r="BV98" i="1" s="1"/>
  <c r="CW158" i="1"/>
  <c r="AL148" i="1"/>
  <c r="M6" i="9"/>
  <c r="J47" i="9"/>
  <c r="I47" i="9"/>
  <c r="CA587" i="20"/>
  <c r="CA587" i="15"/>
  <c r="AE13" i="9"/>
  <c r="AE84" i="1"/>
  <c r="AE101" i="1" s="1"/>
  <c r="BC35" i="9"/>
  <c r="BG84" i="1"/>
  <c r="BF84" i="1"/>
  <c r="BE84" i="1"/>
  <c r="BE98" i="1" s="1"/>
  <c r="AE39" i="9"/>
  <c r="AA48" i="9"/>
  <c r="AA74" i="1" s="1"/>
  <c r="AA47" i="9"/>
  <c r="AP9" i="19"/>
  <c r="W101" i="1"/>
  <c r="W104" i="1"/>
  <c r="AW47" i="9"/>
  <c r="BB25" i="9"/>
  <c r="BB26" i="9" s="1"/>
  <c r="DL574" i="20"/>
  <c r="CM6" i="9"/>
  <c r="AI7" i="19" s="1"/>
  <c r="DJ589" i="20"/>
  <c r="AG14" i="19"/>
  <c r="CC17" i="9"/>
  <c r="CC18" i="9" s="1"/>
  <c r="Y19" i="19" s="1"/>
  <c r="B12" i="14"/>
  <c r="AQ9" i="19"/>
  <c r="CD81" i="2"/>
  <c r="DC112" i="20" s="1"/>
  <c r="AA43" i="1"/>
  <c r="AZ173" i="20" s="1"/>
  <c r="AC85" i="1"/>
  <c r="BT85" i="1"/>
  <c r="L89" i="1"/>
  <c r="CL97" i="1"/>
  <c r="CL98" i="1" s="1"/>
  <c r="L104" i="1"/>
  <c r="X104" i="1"/>
  <c r="BN109" i="1"/>
  <c r="BN110" i="1" s="1"/>
  <c r="I110" i="1"/>
  <c r="D115" i="1"/>
  <c r="D117" i="1" s="1"/>
  <c r="BS158" i="1"/>
  <c r="U11" i="9"/>
  <c r="AJ16" i="9"/>
  <c r="BO18" i="9"/>
  <c r="K19" i="19" s="1"/>
  <c r="K18" i="19"/>
  <c r="BO14" i="9"/>
  <c r="BT18" i="9"/>
  <c r="P19" i="19" s="1"/>
  <c r="BX28" i="9"/>
  <c r="T29" i="19" s="1"/>
  <c r="AI26" i="9"/>
  <c r="AJ26" i="9" s="1"/>
  <c r="AJ25" i="9"/>
  <c r="T48" i="9"/>
  <c r="U48" i="9" s="1"/>
  <c r="AI6" i="19"/>
  <c r="Y104" i="1"/>
  <c r="BJ35" i="9"/>
  <c r="BI33" i="9"/>
  <c r="BJ40" i="9" s="1"/>
  <c r="BJ111" i="1" s="1"/>
  <c r="BJ112" i="1" s="1"/>
  <c r="AT157" i="1"/>
  <c r="AV6" i="9"/>
  <c r="CT587" i="20"/>
  <c r="Q9" i="19"/>
  <c r="BU85" i="1"/>
  <c r="AD104" i="1"/>
  <c r="BH85" i="1"/>
  <c r="CI98" i="1"/>
  <c r="AF98" i="1"/>
  <c r="Q143" i="1"/>
  <c r="BQ29" i="9"/>
  <c r="CF21" i="9"/>
  <c r="CF14" i="9"/>
  <c r="CF34" i="9" s="1"/>
  <c r="Q35" i="9"/>
  <c r="Q37" i="9" s="1"/>
  <c r="Q56" i="9" s="1"/>
  <c r="AZ338" i="15"/>
  <c r="AF85" i="1"/>
  <c r="AG98" i="1"/>
  <c r="Q111" i="1"/>
  <c r="Q115" i="1" s="1"/>
  <c r="Q117" i="1" s="1"/>
  <c r="R143" i="1"/>
  <c r="AO158" i="1"/>
  <c r="AL14" i="19"/>
  <c r="DO589" i="20"/>
  <c r="CG18" i="9"/>
  <c r="AC19" i="19" s="1"/>
  <c r="CG21" i="9"/>
  <c r="U26" i="19"/>
  <c r="BY26" i="9"/>
  <c r="U27" i="19" s="1"/>
  <c r="AO586" i="15"/>
  <c r="CW6" i="9"/>
  <c r="AS7" i="19" s="1"/>
  <c r="BM16" i="9"/>
  <c r="I17" i="19" s="1"/>
  <c r="CI28" i="9"/>
  <c r="CI29" i="9" s="1"/>
  <c r="G29" i="19"/>
  <c r="BW574" i="15"/>
  <c r="K114" i="1"/>
  <c r="Y158" i="1"/>
  <c r="AP47" i="9"/>
  <c r="BS8" i="9"/>
  <c r="CR587" i="20" s="1"/>
  <c r="AQ6" i="9"/>
  <c r="CK18" i="9"/>
  <c r="AG19" i="19" s="1"/>
  <c r="AL25" i="9"/>
  <c r="AK25" i="9" s="1"/>
  <c r="H43" i="9"/>
  <c r="AM47" i="9"/>
  <c r="AE16" i="9"/>
  <c r="CM30" i="9"/>
  <c r="DL578" i="20" s="1"/>
  <c r="BY28" i="9"/>
  <c r="BM29" i="9"/>
  <c r="E43" i="9"/>
  <c r="AN47" i="9"/>
  <c r="BE589" i="20"/>
  <c r="AQ8" i="9"/>
  <c r="BP587" i="15" s="1"/>
  <c r="E9" i="9"/>
  <c r="E13" i="9" s="1"/>
  <c r="AD589" i="20" s="1"/>
  <c r="BS10" i="9"/>
  <c r="CR575" i="20" s="1"/>
  <c r="AT12" i="9"/>
  <c r="BS588" i="15" s="1"/>
  <c r="BN15" i="9"/>
  <c r="J16" i="19" s="1"/>
  <c r="BM18" i="9"/>
  <c r="I19" i="19" s="1"/>
  <c r="CW25" i="9"/>
  <c r="AS26" i="19" s="1"/>
  <c r="CC47" i="9"/>
  <c r="CR47" i="9"/>
  <c r="AY60" i="9"/>
  <c r="AY61" i="9" s="1"/>
  <c r="CM158" i="1"/>
  <c r="CH13" i="9"/>
  <c r="AD14" i="19" s="1"/>
  <c r="CK14" i="9"/>
  <c r="BK26" i="9"/>
  <c r="G27" i="19" s="1"/>
  <c r="CI26" i="9"/>
  <c r="AE27" i="19" s="1"/>
  <c r="AJ42" i="9"/>
  <c r="G47" i="9"/>
  <c r="P47" i="9"/>
  <c r="AR74" i="1"/>
  <c r="CS74" i="1"/>
  <c r="C3" i="16"/>
  <c r="C19" i="16" s="1"/>
  <c r="O5" i="19"/>
  <c r="R9" i="19"/>
  <c r="I16" i="19"/>
  <c r="DP589" i="20"/>
  <c r="DB46" i="1"/>
  <c r="AN69" i="19"/>
  <c r="DD30" i="20"/>
  <c r="DD30" i="15"/>
  <c r="CE5" i="14"/>
  <c r="CE8" i="14" s="1"/>
  <c r="CE9" i="14" s="1"/>
  <c r="CE92" i="1"/>
  <c r="CE33" i="2"/>
  <c r="CF68" i="2"/>
  <c r="CG68" i="2" s="1"/>
  <c r="AK8" i="1"/>
  <c r="AK66" i="1"/>
  <c r="AC146" i="20"/>
  <c r="D141" i="1"/>
  <c r="D5" i="1"/>
  <c r="D4" i="1" s="1"/>
  <c r="D69" i="1"/>
  <c r="D72" i="1" s="1"/>
  <c r="D6" i="14"/>
  <c r="E6" i="14"/>
  <c r="AX146" i="20"/>
  <c r="AX146" i="15"/>
  <c r="Y69" i="1"/>
  <c r="Z11" i="1"/>
  <c r="BD100" i="1"/>
  <c r="BD167" i="20"/>
  <c r="BD167" i="15"/>
  <c r="DG167" i="20"/>
  <c r="DG167" i="15"/>
  <c r="DR132" i="1"/>
  <c r="DS132" i="1" s="1"/>
  <c r="DT132" i="1" s="1"/>
  <c r="DU132" i="1" s="1"/>
  <c r="DQ132" i="1"/>
  <c r="K71" i="2"/>
  <c r="K54" i="2"/>
  <c r="AP72" i="2"/>
  <c r="AS14" i="2"/>
  <c r="AR46" i="19"/>
  <c r="DB14" i="14"/>
  <c r="DV144" i="20"/>
  <c r="CX14" i="14"/>
  <c r="CW139" i="1"/>
  <c r="CW15" i="14"/>
  <c r="CX24" i="2"/>
  <c r="AT53" i="19" s="1"/>
  <c r="DB31" i="1"/>
  <c r="AS173" i="20"/>
  <c r="AS173" i="15"/>
  <c r="T57" i="1"/>
  <c r="T52" i="1"/>
  <c r="T120" i="1"/>
  <c r="T121" i="1"/>
  <c r="O12" i="2"/>
  <c r="P12" i="2" s="1"/>
  <c r="N54" i="2"/>
  <c r="N11" i="2"/>
  <c r="N70" i="1" s="1"/>
  <c r="N113" i="1"/>
  <c r="N114" i="1" s="1"/>
  <c r="N71" i="2"/>
  <c r="BL54" i="20"/>
  <c r="BL54" i="15"/>
  <c r="AM85" i="2"/>
  <c r="CI111" i="20"/>
  <c r="CH109" i="20"/>
  <c r="CI110" i="15"/>
  <c r="CI110" i="20"/>
  <c r="CI111" i="15"/>
  <c r="BI29" i="11"/>
  <c r="CM411" i="20"/>
  <c r="CM171" i="20"/>
  <c r="CM411" i="15"/>
  <c r="CM171" i="15"/>
  <c r="BN150" i="1"/>
  <c r="CE576" i="20"/>
  <c r="CE576" i="15"/>
  <c r="BF110" i="1"/>
  <c r="CR576" i="20"/>
  <c r="CR576" i="15"/>
  <c r="BS110" i="1"/>
  <c r="DR576" i="20"/>
  <c r="CS110" i="1"/>
  <c r="E69" i="19"/>
  <c r="AZ43" i="9"/>
  <c r="R42" i="9"/>
  <c r="U6" i="2"/>
  <c r="BI18" i="20"/>
  <c r="BI18" i="15"/>
  <c r="AJ64" i="2"/>
  <c r="AB20" i="20"/>
  <c r="C65" i="2"/>
  <c r="Z19" i="2"/>
  <c r="BM18" i="20"/>
  <c r="BM18" i="15"/>
  <c r="AO39" i="2"/>
  <c r="M111" i="1"/>
  <c r="M36" i="9"/>
  <c r="M4" i="2"/>
  <c r="M9" i="2" s="1"/>
  <c r="O5" i="2"/>
  <c r="P5" i="2" s="1"/>
  <c r="M71" i="2"/>
  <c r="CN36" i="9"/>
  <c r="AJ34" i="19"/>
  <c r="CN4" i="2"/>
  <c r="CQ5" i="2"/>
  <c r="CN71" i="2"/>
  <c r="AJ79" i="19" s="1"/>
  <c r="DC4" i="15"/>
  <c r="DC4" i="20"/>
  <c r="Z40" i="19"/>
  <c r="DD580" i="20"/>
  <c r="DD580" i="15"/>
  <c r="AA42" i="19"/>
  <c r="CF13" i="2"/>
  <c r="CE12" i="2"/>
  <c r="CE61" i="2"/>
  <c r="BJ53" i="20"/>
  <c r="BJ53" i="15"/>
  <c r="AK60" i="2"/>
  <c r="AK59" i="2" s="1"/>
  <c r="AK22" i="2"/>
  <c r="AL23" i="2"/>
  <c r="CY7" i="15"/>
  <c r="V61" i="19"/>
  <c r="CY7" i="20"/>
  <c r="AO14" i="20"/>
  <c r="AO14" i="15"/>
  <c r="BX15" i="20"/>
  <c r="BX15" i="15"/>
  <c r="C67" i="19"/>
  <c r="CI88" i="2"/>
  <c r="Y66" i="1"/>
  <c r="Z10" i="1"/>
  <c r="Y8" i="1"/>
  <c r="CO8" i="1"/>
  <c r="CO18" i="1" s="1"/>
  <c r="CO144" i="1" s="1"/>
  <c r="CO66" i="1"/>
  <c r="BI167" i="20"/>
  <c r="BI167" i="15"/>
  <c r="CL338" i="20"/>
  <c r="CL338" i="15"/>
  <c r="BN44" i="1"/>
  <c r="BM43" i="1"/>
  <c r="DN338" i="20"/>
  <c r="CO43" i="1"/>
  <c r="CP587" i="20"/>
  <c r="CP587" i="15"/>
  <c r="M9" i="19"/>
  <c r="DD587" i="20"/>
  <c r="DD587" i="15"/>
  <c r="AA9" i="19"/>
  <c r="CK112" i="1"/>
  <c r="S43" i="19"/>
  <c r="BW72" i="2"/>
  <c r="S80" i="19" s="1"/>
  <c r="BX14" i="2"/>
  <c r="AX54" i="20"/>
  <c r="AX54" i="15"/>
  <c r="Y61" i="2"/>
  <c r="Y85" i="2"/>
  <c r="CC54" i="20"/>
  <c r="CC54" i="15"/>
  <c r="D54" i="19"/>
  <c r="AF23" i="2"/>
  <c r="AJ27" i="2"/>
  <c r="AS33" i="2"/>
  <c r="AT33" i="2" s="1"/>
  <c r="AD64" i="19"/>
  <c r="DG9" i="15"/>
  <c r="DG9" i="20"/>
  <c r="DP52" i="20"/>
  <c r="AM71" i="19"/>
  <c r="CR41" i="2"/>
  <c r="DQ18" i="20" s="1"/>
  <c r="AS109" i="20"/>
  <c r="AS109" i="15"/>
  <c r="U78" i="2"/>
  <c r="AT111" i="20" s="1"/>
  <c r="BG88" i="2"/>
  <c r="L24" i="2"/>
  <c r="K64" i="1"/>
  <c r="BS64" i="1"/>
  <c r="AI143" i="1"/>
  <c r="AW143" i="1"/>
  <c r="BJ143" i="1"/>
  <c r="BV143" i="1"/>
  <c r="I53" i="1"/>
  <c r="I26" i="2"/>
  <c r="BE95" i="1"/>
  <c r="BE93" i="1"/>
  <c r="BZ111" i="1"/>
  <c r="AK313" i="20"/>
  <c r="AG54" i="2"/>
  <c r="AG113" i="1"/>
  <c r="AG114" i="1" s="1"/>
  <c r="AG11" i="2"/>
  <c r="Z25" i="2"/>
  <c r="CC7" i="20"/>
  <c r="D61" i="19"/>
  <c r="CC7" i="15"/>
  <c r="AQ31" i="2"/>
  <c r="AQ20" i="2"/>
  <c r="AX20" i="20"/>
  <c r="AX20" i="15"/>
  <c r="Y65" i="2"/>
  <c r="Z45" i="2"/>
  <c r="AQ30" i="20"/>
  <c r="AQ30" i="15"/>
  <c r="R5" i="14"/>
  <c r="R8" i="14" s="1"/>
  <c r="R9" i="14" s="1"/>
  <c r="R92" i="1"/>
  <c r="CG42" i="9"/>
  <c r="AC35" i="19"/>
  <c r="CG72" i="2"/>
  <c r="AC80" i="19" s="1"/>
  <c r="AL7" i="2"/>
  <c r="AM8" i="2"/>
  <c r="AN8" i="2" s="1"/>
  <c r="CJ9" i="20"/>
  <c r="G64" i="19"/>
  <c r="CJ9" i="15"/>
  <c r="BM35" i="2"/>
  <c r="DP18" i="20"/>
  <c r="AM69" i="19"/>
  <c r="CQ64" i="2"/>
  <c r="DC30" i="20"/>
  <c r="DC30" i="15"/>
  <c r="CD5" i="14"/>
  <c r="CD92" i="1"/>
  <c r="CD33" i="2"/>
  <c r="DW111" i="20"/>
  <c r="DV109" i="20"/>
  <c r="CW185" i="1"/>
  <c r="DW110" i="20"/>
  <c r="CU146" i="20"/>
  <c r="BV141" i="1"/>
  <c r="CU146" i="15"/>
  <c r="BV69" i="1"/>
  <c r="CP148" i="1"/>
  <c r="CP103" i="1"/>
  <c r="H7" i="2"/>
  <c r="K8" i="2"/>
  <c r="H9" i="2"/>
  <c r="AX580" i="20"/>
  <c r="AX580" i="15"/>
  <c r="CG52" i="20"/>
  <c r="CG52" i="15"/>
  <c r="BI41" i="2"/>
  <c r="BB162" i="20"/>
  <c r="BB162" i="15"/>
  <c r="AC79" i="1"/>
  <c r="AC147" i="1"/>
  <c r="AC27" i="1"/>
  <c r="AC26" i="1" s="1"/>
  <c r="BP162" i="20"/>
  <c r="BP162" i="15"/>
  <c r="AQ147" i="1"/>
  <c r="AQ79" i="1"/>
  <c r="G33" i="19"/>
  <c r="BK9" i="2"/>
  <c r="G38" i="19" s="1"/>
  <c r="CW17" i="2"/>
  <c r="AV16" i="20"/>
  <c r="AV16" i="15"/>
  <c r="BV53" i="20"/>
  <c r="BV53" i="15"/>
  <c r="AW60" i="2"/>
  <c r="AW24" i="2"/>
  <c r="AW22" i="2"/>
  <c r="AB30" i="20"/>
  <c r="C5" i="14"/>
  <c r="C8" i="14" s="1"/>
  <c r="C9" i="14" s="1"/>
  <c r="C92" i="1"/>
  <c r="BU146" i="20"/>
  <c r="BU146" i="15"/>
  <c r="AV141" i="1"/>
  <c r="AV69" i="1"/>
  <c r="BC162" i="20"/>
  <c r="BC162" i="15"/>
  <c r="AD147" i="1"/>
  <c r="AE32" i="1"/>
  <c r="AD79" i="1"/>
  <c r="AF411" i="20"/>
  <c r="AF338" i="20"/>
  <c r="AK338" i="20"/>
  <c r="AF171" i="20"/>
  <c r="G150" i="1"/>
  <c r="G2" i="1"/>
  <c r="H2" i="1"/>
  <c r="DE576" i="20"/>
  <c r="DE576" i="15"/>
  <c r="CF110" i="1"/>
  <c r="Q36" i="19"/>
  <c r="BC580" i="15"/>
  <c r="BC580" i="20"/>
  <c r="AD12" i="2"/>
  <c r="M49" i="19"/>
  <c r="CP16" i="15"/>
  <c r="CP16" i="20"/>
  <c r="M51" i="19"/>
  <c r="AB53" i="20"/>
  <c r="C24" i="2"/>
  <c r="C60" i="2"/>
  <c r="AS59" i="19"/>
  <c r="BC6" i="15"/>
  <c r="AD56" i="2"/>
  <c r="BC6" i="20"/>
  <c r="AC30" i="20"/>
  <c r="D92" i="1"/>
  <c r="D5" i="14"/>
  <c r="D8" i="14" s="1"/>
  <c r="D9" i="14" s="1"/>
  <c r="AM145" i="20"/>
  <c r="N6" i="14"/>
  <c r="N140" i="1"/>
  <c r="N10" i="1"/>
  <c r="N66" i="1" s="1"/>
  <c r="N60" i="1"/>
  <c r="BV146" i="20"/>
  <c r="BV146" i="15"/>
  <c r="AW141" i="1"/>
  <c r="AW69" i="1"/>
  <c r="J29" i="14"/>
  <c r="J89" i="1"/>
  <c r="BS103" i="1"/>
  <c r="BS148" i="1"/>
  <c r="N89" i="1"/>
  <c r="N29" i="14"/>
  <c r="AE13" i="2"/>
  <c r="N72" i="2"/>
  <c r="O14" i="2"/>
  <c r="CL18" i="20"/>
  <c r="CL18" i="15"/>
  <c r="I69" i="19"/>
  <c r="BM64" i="2"/>
  <c r="BN39" i="2"/>
  <c r="AU80" i="19"/>
  <c r="BV112" i="15"/>
  <c r="BV112" i="20"/>
  <c r="BW112" i="1"/>
  <c r="BX111" i="1"/>
  <c r="AN54" i="9"/>
  <c r="AN30" i="9"/>
  <c r="F29" i="19"/>
  <c r="BJ30" i="9"/>
  <c r="AF29" i="19"/>
  <c r="CJ29" i="9"/>
  <c r="CJ30" i="9"/>
  <c r="CX88" i="2"/>
  <c r="BP10" i="14"/>
  <c r="BP146" i="1"/>
  <c r="BP50" i="1"/>
  <c r="DM86" i="2"/>
  <c r="DY86" i="2"/>
  <c r="N111" i="1"/>
  <c r="N4" i="2"/>
  <c r="N36" i="9"/>
  <c r="U34" i="19"/>
  <c r="BY36" i="9"/>
  <c r="BY4" i="2"/>
  <c r="BY71" i="2"/>
  <c r="U79" i="19" s="1"/>
  <c r="CB5" i="2"/>
  <c r="CC5" i="2" s="1"/>
  <c r="Y34" i="19" s="1"/>
  <c r="L10" i="2"/>
  <c r="DK54" i="20"/>
  <c r="AH54" i="19"/>
  <c r="CL85" i="2"/>
  <c r="CZ7" i="20"/>
  <c r="CZ7" i="15"/>
  <c r="CB32" i="2"/>
  <c r="CC32" i="2" s="1"/>
  <c r="W61" i="19"/>
  <c r="BN52" i="20"/>
  <c r="BN52" i="15"/>
  <c r="CC20" i="15"/>
  <c r="D75" i="19"/>
  <c r="CC20" i="20"/>
  <c r="BD65" i="2"/>
  <c r="AR75" i="19"/>
  <c r="DU20" i="20"/>
  <c r="CV65" i="2"/>
  <c r="CW45" i="2"/>
  <c r="BN26" i="20"/>
  <c r="BN26" i="15"/>
  <c r="AO81" i="2"/>
  <c r="BT88" i="2"/>
  <c r="AU587" i="20"/>
  <c r="AU587" i="15"/>
  <c r="BH587" i="20"/>
  <c r="BH587" i="15"/>
  <c r="BZ36" i="9"/>
  <c r="V34" i="19"/>
  <c r="BZ4" i="2"/>
  <c r="O43" i="19"/>
  <c r="AV53" i="20"/>
  <c r="W60" i="2"/>
  <c r="W59" i="2" s="1"/>
  <c r="W24" i="2"/>
  <c r="AV53" i="15"/>
  <c r="DT53" i="20"/>
  <c r="CU24" i="2"/>
  <c r="AQ53" i="19" s="1"/>
  <c r="AQ52" i="19"/>
  <c r="CU60" i="2"/>
  <c r="CU22" i="2"/>
  <c r="CB54" i="20"/>
  <c r="CB54" i="15"/>
  <c r="BC85" i="2"/>
  <c r="BD85" i="2" s="1"/>
  <c r="DL54" i="20"/>
  <c r="AI54" i="19"/>
  <c r="DF9" i="20"/>
  <c r="DF9" i="15"/>
  <c r="AC64" i="19"/>
  <c r="CG62" i="2"/>
  <c r="DF18" i="20"/>
  <c r="DF18" i="15"/>
  <c r="AC69" i="19"/>
  <c r="CG64" i="2"/>
  <c r="DL52" i="20"/>
  <c r="AI71" i="19"/>
  <c r="E75" i="19"/>
  <c r="CH20" i="20"/>
  <c r="BI65" i="2"/>
  <c r="BR26" i="20"/>
  <c r="BR26" i="15"/>
  <c r="AS81" i="2"/>
  <c r="AT49" i="2"/>
  <c r="BN109" i="20"/>
  <c r="BO111" i="20"/>
  <c r="BO111" i="15"/>
  <c r="BO110" i="20"/>
  <c r="BN109" i="15"/>
  <c r="BO110" i="15"/>
  <c r="CQ142" i="1"/>
  <c r="CR16" i="1"/>
  <c r="AV143" i="1"/>
  <c r="AV18" i="1"/>
  <c r="AV144" i="1" s="1"/>
  <c r="BU143" i="1"/>
  <c r="AR148" i="1"/>
  <c r="CH41" i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AX74" i="1"/>
  <c r="AY73" i="1"/>
  <c r="AY74" i="1" s="1"/>
  <c r="BC26" i="9"/>
  <c r="BD26" i="9" s="1"/>
  <c r="D27" i="19" s="1"/>
  <c r="BD25" i="9"/>
  <c r="D26" i="19" s="1"/>
  <c r="CQ587" i="20"/>
  <c r="CQ587" i="15"/>
  <c r="N9" i="19"/>
  <c r="CA111" i="1"/>
  <c r="DN86" i="2"/>
  <c r="D10" i="2"/>
  <c r="D9" i="2"/>
  <c r="H33" i="19"/>
  <c r="CA36" i="9"/>
  <c r="W34" i="19"/>
  <c r="CA4" i="2"/>
  <c r="AK34" i="19"/>
  <c r="CO36" i="9"/>
  <c r="CO4" i="2"/>
  <c r="AH35" i="19"/>
  <c r="CM6" i="2"/>
  <c r="AI35" i="19" s="1"/>
  <c r="CL42" i="9"/>
  <c r="CL72" i="2"/>
  <c r="AH80" i="19" s="1"/>
  <c r="CS53" i="20"/>
  <c r="CS53" i="15"/>
  <c r="P52" i="19"/>
  <c r="BT22" i="2"/>
  <c r="BW23" i="2"/>
  <c r="CG54" i="20"/>
  <c r="CG54" i="15"/>
  <c r="BC27" i="2"/>
  <c r="BD27" i="2" s="1"/>
  <c r="D56" i="19" s="1"/>
  <c r="DR7" i="20"/>
  <c r="AO61" i="19"/>
  <c r="CK9" i="20"/>
  <c r="H64" i="19"/>
  <c r="CK9" i="15"/>
  <c r="D67" i="19"/>
  <c r="CC15" i="20"/>
  <c r="CC15" i="15"/>
  <c r="DU18" i="20"/>
  <c r="AR69" i="19"/>
  <c r="CW39" i="2"/>
  <c r="CV64" i="2"/>
  <c r="CJ30" i="20"/>
  <c r="BK5" i="14"/>
  <c r="BK8" i="14" s="1"/>
  <c r="BK9" i="14" s="1"/>
  <c r="CJ30" i="15"/>
  <c r="BK92" i="1"/>
  <c r="BH85" i="2"/>
  <c r="BH88" i="2" s="1"/>
  <c r="CV144" i="20"/>
  <c r="CV144" i="15"/>
  <c r="BW139" i="1"/>
  <c r="BX64" i="1"/>
  <c r="V143" i="1"/>
  <c r="CR171" i="20"/>
  <c r="CR411" i="20"/>
  <c r="CR171" i="15"/>
  <c r="CR411" i="15"/>
  <c r="BS150" i="1"/>
  <c r="AF173" i="20"/>
  <c r="G57" i="1"/>
  <c r="G52" i="1"/>
  <c r="BM338" i="20"/>
  <c r="BM338" i="15"/>
  <c r="AN43" i="1"/>
  <c r="BZ338" i="20"/>
  <c r="BZ338" i="15"/>
  <c r="BA43" i="1"/>
  <c r="DO338" i="20"/>
  <c r="CP43" i="1"/>
  <c r="H34" i="19"/>
  <c r="BL36" i="9"/>
  <c r="CL52" i="20"/>
  <c r="I71" i="19"/>
  <c r="CL52" i="15"/>
  <c r="AG33" i="19"/>
  <c r="CK10" i="2"/>
  <c r="R72" i="2"/>
  <c r="R54" i="2"/>
  <c r="CN4" i="20"/>
  <c r="CN4" i="15"/>
  <c r="K40" i="19"/>
  <c r="CE53" i="20"/>
  <c r="CE53" i="15"/>
  <c r="BF60" i="2"/>
  <c r="BF22" i="2"/>
  <c r="BI32" i="2"/>
  <c r="E63" i="19"/>
  <c r="DF109" i="20"/>
  <c r="DF109" i="15"/>
  <c r="CG185" i="1"/>
  <c r="AZ50" i="1"/>
  <c r="K34" i="19"/>
  <c r="BO36" i="9"/>
  <c r="BR5" i="2"/>
  <c r="BS5" i="2" s="1"/>
  <c r="O34" i="19" s="1"/>
  <c r="BO4" i="2"/>
  <c r="BH313" i="20"/>
  <c r="BH313" i="15"/>
  <c r="AC37" i="19"/>
  <c r="CG7" i="2"/>
  <c r="AC36" i="19" s="1"/>
  <c r="AR4" i="20"/>
  <c r="AR4" i="15"/>
  <c r="CF16" i="20"/>
  <c r="CF16" i="15"/>
  <c r="DN53" i="20"/>
  <c r="AK52" i="19"/>
  <c r="CO24" i="2"/>
  <c r="AK53" i="19" s="1"/>
  <c r="CO22" i="2"/>
  <c r="U57" i="19"/>
  <c r="BC7" i="20"/>
  <c r="BC7" i="15"/>
  <c r="AD31" i="2"/>
  <c r="DO53" i="20"/>
  <c r="AL52" i="19"/>
  <c r="CP60" i="2"/>
  <c r="CP22" i="2"/>
  <c r="BC5" i="2"/>
  <c r="BD5" i="2" s="1"/>
  <c r="D34" i="19" s="1"/>
  <c r="BG16" i="20"/>
  <c r="BG16" i="15"/>
  <c r="CQ23" i="2"/>
  <c r="AH56" i="19"/>
  <c r="CM27" i="2"/>
  <c r="AI56" i="19" s="1"/>
  <c r="DE14" i="15"/>
  <c r="DE14" i="20"/>
  <c r="AB59" i="19"/>
  <c r="CF159" i="1"/>
  <c r="CF62" i="2"/>
  <c r="CF28" i="2"/>
  <c r="BE7" i="15"/>
  <c r="AF31" i="2"/>
  <c r="BE7" i="20"/>
  <c r="CS7" i="20"/>
  <c r="CS7" i="15"/>
  <c r="P61" i="19"/>
  <c r="AT14" i="15"/>
  <c r="AT14" i="20"/>
  <c r="T63" i="19"/>
  <c r="DF20" i="20"/>
  <c r="DF20" i="15"/>
  <c r="AC75" i="19"/>
  <c r="CG65" i="2"/>
  <c r="DG26" i="20"/>
  <c r="DG26" i="15"/>
  <c r="BF54" i="2"/>
  <c r="BC30" i="20"/>
  <c r="BC30" i="15"/>
  <c r="AD5" i="14"/>
  <c r="AD8" i="14" s="1"/>
  <c r="AD9" i="14" s="1"/>
  <c r="AD92" i="1"/>
  <c r="CX30" i="15"/>
  <c r="BY92" i="1"/>
  <c r="BZ68" i="2"/>
  <c r="CX30" i="20"/>
  <c r="BY33" i="2"/>
  <c r="BY31" i="2" s="1"/>
  <c r="BC109" i="20"/>
  <c r="BC109" i="15"/>
  <c r="AF81" i="2"/>
  <c r="AD49" i="2"/>
  <c r="BW111" i="20"/>
  <c r="BW109" i="20"/>
  <c r="BW110" i="20"/>
  <c r="BW110" i="15"/>
  <c r="BW109" i="15"/>
  <c r="BW111" i="15"/>
  <c r="AZ81" i="2"/>
  <c r="CJ111" i="20"/>
  <c r="CJ110" i="20"/>
  <c r="CJ110" i="15"/>
  <c r="CI109" i="20"/>
  <c r="CI109" i="15"/>
  <c r="CJ111" i="15"/>
  <c r="CV109" i="20"/>
  <c r="CV109" i="15"/>
  <c r="BY81" i="2"/>
  <c r="DJ111" i="20"/>
  <c r="DI109" i="20"/>
  <c r="DJ110" i="20"/>
  <c r="CJ185" i="1"/>
  <c r="AZ144" i="20"/>
  <c r="AZ144" i="15"/>
  <c r="AA15" i="14"/>
  <c r="AB14" i="14"/>
  <c r="BM144" i="20"/>
  <c r="BM144" i="15"/>
  <c r="AN139" i="1"/>
  <c r="AO6" i="1"/>
  <c r="AN51" i="1"/>
  <c r="DP144" i="20"/>
  <c r="CQ51" i="1"/>
  <c r="CQ139" i="1"/>
  <c r="CR6" i="1"/>
  <c r="CS24" i="2" s="1"/>
  <c r="AO53" i="19" s="1"/>
  <c r="AH145" i="20"/>
  <c r="I60" i="1"/>
  <c r="I10" i="1"/>
  <c r="I66" i="1" s="1"/>
  <c r="I140" i="1"/>
  <c r="CI66" i="1"/>
  <c r="CI8" i="1"/>
  <c r="DI146" i="20"/>
  <c r="CJ69" i="1"/>
  <c r="CJ141" i="1"/>
  <c r="P88" i="1"/>
  <c r="P73" i="1"/>
  <c r="P74" i="1" s="1"/>
  <c r="AP88" i="1"/>
  <c r="AP11" i="1"/>
  <c r="AP73" i="1"/>
  <c r="AP74" i="1" s="1"/>
  <c r="AD88" i="1"/>
  <c r="AD11" i="1"/>
  <c r="AD75" i="1"/>
  <c r="BC88" i="1"/>
  <c r="BC11" i="1"/>
  <c r="BC75" i="1"/>
  <c r="BO88" i="1"/>
  <c r="BO11" i="1"/>
  <c r="BO75" i="1"/>
  <c r="BO76" i="1" s="1"/>
  <c r="CB88" i="1"/>
  <c r="CB75" i="1"/>
  <c r="CB11" i="1"/>
  <c r="CN75" i="1"/>
  <c r="CN76" i="1" s="1"/>
  <c r="CN88" i="1"/>
  <c r="BR100" i="1"/>
  <c r="BR101" i="1" s="1"/>
  <c r="CE100" i="1"/>
  <c r="CE101" i="1" s="1"/>
  <c r="AI142" i="1"/>
  <c r="AJ16" i="1"/>
  <c r="AJ142" i="1" s="1"/>
  <c r="BF97" i="1"/>
  <c r="BT142" i="1"/>
  <c r="BT97" i="1"/>
  <c r="BT98" i="1" s="1"/>
  <c r="CV98" i="1"/>
  <c r="BS151" i="20"/>
  <c r="BS151" i="15"/>
  <c r="T10" i="14"/>
  <c r="T146" i="1"/>
  <c r="T29" i="1"/>
  <c r="T27" i="1"/>
  <c r="T26" i="1" s="1"/>
  <c r="T50" i="1"/>
  <c r="Z30" i="1"/>
  <c r="BM166" i="20"/>
  <c r="BM166" i="15"/>
  <c r="BY166" i="20"/>
  <c r="BY166" i="15"/>
  <c r="CK166" i="20"/>
  <c r="CK166" i="15"/>
  <c r="BL28" i="1"/>
  <c r="CX166" i="20"/>
  <c r="CX166" i="15"/>
  <c r="BY28" i="1"/>
  <c r="DJ166" i="20"/>
  <c r="CK28" i="1"/>
  <c r="CC162" i="15"/>
  <c r="BD147" i="1"/>
  <c r="BD87" i="1"/>
  <c r="CP162" i="20"/>
  <c r="CP162" i="15"/>
  <c r="BQ147" i="1"/>
  <c r="AE148" i="1"/>
  <c r="AE103" i="1"/>
  <c r="CI85" i="1"/>
  <c r="CI89" i="1"/>
  <c r="F33" i="9"/>
  <c r="G111" i="1"/>
  <c r="G35" i="9"/>
  <c r="AQ587" i="15"/>
  <c r="AQ587" i="20"/>
  <c r="CZ587" i="20"/>
  <c r="W9" i="19"/>
  <c r="CZ587" i="15"/>
  <c r="DN587" i="20"/>
  <c r="AK9" i="19"/>
  <c r="AS35" i="9"/>
  <c r="AS11" i="9"/>
  <c r="AS13" i="9"/>
  <c r="AS84" i="1"/>
  <c r="AS30" i="9"/>
  <c r="T10" i="19"/>
  <c r="BX84" i="1"/>
  <c r="BX98" i="1" s="1"/>
  <c r="DL588" i="20"/>
  <c r="AI13" i="19"/>
  <c r="AP589" i="20"/>
  <c r="AP589" i="15"/>
  <c r="CQ589" i="20"/>
  <c r="CQ589" i="15"/>
  <c r="N14" i="19"/>
  <c r="BF17" i="9"/>
  <c r="BF19" i="2" s="1"/>
  <c r="BF16" i="9"/>
  <c r="AH26" i="19"/>
  <c r="CM25" i="9"/>
  <c r="AI26" i="19" s="1"/>
  <c r="AX111" i="1"/>
  <c r="BL111" i="1"/>
  <c r="AJ29" i="11"/>
  <c r="AO29" i="11" s="1"/>
  <c r="AT29" i="11" s="1"/>
  <c r="CR29" i="11"/>
  <c r="AX166" i="15"/>
  <c r="DZ86" i="2"/>
  <c r="DW144" i="20"/>
  <c r="CY14" i="14"/>
  <c r="CX139" i="1"/>
  <c r="BK143" i="1"/>
  <c r="DB153" i="15"/>
  <c r="DB153" i="20"/>
  <c r="AJ411" i="20"/>
  <c r="AJ171" i="20"/>
  <c r="AJ338" i="20"/>
  <c r="K150" i="1"/>
  <c r="AZ589" i="20"/>
  <c r="AZ589" i="15"/>
  <c r="CM26" i="9"/>
  <c r="AI27" i="19" s="1"/>
  <c r="DY590" i="20"/>
  <c r="DB52" i="9"/>
  <c r="DG591" i="20"/>
  <c r="DG591" i="15"/>
  <c r="AF33" i="19"/>
  <c r="BD6" i="2"/>
  <c r="AP313" i="20"/>
  <c r="AP313" i="15"/>
  <c r="CI313" i="20"/>
  <c r="F36" i="19"/>
  <c r="CD4" i="20"/>
  <c r="CD4" i="15"/>
  <c r="AO41" i="19"/>
  <c r="CS11" i="2"/>
  <c r="AZ23" i="2"/>
  <c r="BI54" i="20"/>
  <c r="BI54" i="15"/>
  <c r="BZ53" i="20"/>
  <c r="BA22" i="2"/>
  <c r="BA60" i="2"/>
  <c r="CQ18" i="20"/>
  <c r="N69" i="19"/>
  <c r="CQ18" i="15"/>
  <c r="BR64" i="2"/>
  <c r="BS39" i="2"/>
  <c r="DU52" i="20"/>
  <c r="AR71" i="19"/>
  <c r="BF112" i="20"/>
  <c r="BF112" i="15"/>
  <c r="DJ144" i="20"/>
  <c r="CK139" i="1"/>
  <c r="CL14" i="14"/>
  <c r="CK51" i="1"/>
  <c r="AR147" i="15"/>
  <c r="AR147" i="20"/>
  <c r="S144" i="1"/>
  <c r="AK143" i="1"/>
  <c r="AX146" i="1"/>
  <c r="P29" i="1"/>
  <c r="CJ162" i="20"/>
  <c r="CJ162" i="15"/>
  <c r="BK147" i="1"/>
  <c r="CD148" i="1"/>
  <c r="CD103" i="1"/>
  <c r="CD104" i="1" s="1"/>
  <c r="AO411" i="20"/>
  <c r="AO171" i="20"/>
  <c r="AO411" i="15"/>
  <c r="AO171" i="15"/>
  <c r="P150" i="1"/>
  <c r="AG173" i="20"/>
  <c r="H57" i="1"/>
  <c r="H52" i="1"/>
  <c r="CR43" i="1"/>
  <c r="J53" i="1"/>
  <c r="CH75" i="1"/>
  <c r="BR103" i="1"/>
  <c r="BR104" i="1" s="1"/>
  <c r="AS576" i="20"/>
  <c r="AS576" i="15"/>
  <c r="U109" i="1"/>
  <c r="T110" i="1"/>
  <c r="BT576" i="20"/>
  <c r="BT576" i="15"/>
  <c r="CG111" i="1"/>
  <c r="BH577" i="20"/>
  <c r="BH577" i="15"/>
  <c r="AJ24" i="9"/>
  <c r="AH24" i="9"/>
  <c r="AI64" i="9"/>
  <c r="V9" i="2"/>
  <c r="V10" i="2"/>
  <c r="V21" i="2" s="1"/>
  <c r="Y42" i="9"/>
  <c r="Z6" i="2"/>
  <c r="Z72" i="2" s="1"/>
  <c r="I9" i="2"/>
  <c r="CJ9" i="2"/>
  <c r="AF38" i="19" s="1"/>
  <c r="AP4" i="20"/>
  <c r="AP4" i="15"/>
  <c r="CT12" i="2"/>
  <c r="CD6" i="20"/>
  <c r="CD6" i="15"/>
  <c r="BH20" i="2"/>
  <c r="BI20" i="2" s="1"/>
  <c r="AM27" i="2"/>
  <c r="AM23" i="2" s="1"/>
  <c r="S56" i="19"/>
  <c r="BX27" i="2"/>
  <c r="T56" i="19" s="1"/>
  <c r="DE7" i="15"/>
  <c r="DE7" i="20"/>
  <c r="D63" i="19"/>
  <c r="BE9" i="20"/>
  <c r="AJ35" i="2"/>
  <c r="AF62" i="2"/>
  <c r="AE15" i="20"/>
  <c r="F159" i="1"/>
  <c r="F62" i="2"/>
  <c r="CW41" i="2"/>
  <c r="B61" i="2"/>
  <c r="BP30" i="15"/>
  <c r="BP30" i="20"/>
  <c r="AQ92" i="1"/>
  <c r="AQ5" i="14"/>
  <c r="AQ8" i="14" s="1"/>
  <c r="AQ9" i="14" s="1"/>
  <c r="BC72" i="2"/>
  <c r="AU144" i="15"/>
  <c r="W14" i="14"/>
  <c r="V139" i="1"/>
  <c r="V15" i="14"/>
  <c r="V51" i="1"/>
  <c r="AU144" i="20"/>
  <c r="BY139" i="1"/>
  <c r="CX144" i="20"/>
  <c r="BZ14" i="14"/>
  <c r="AL146" i="20"/>
  <c r="M69" i="1"/>
  <c r="M5" i="1"/>
  <c r="M4" i="1" s="1"/>
  <c r="BG142" i="1"/>
  <c r="X143" i="1"/>
  <c r="AY151" i="20"/>
  <c r="AY151" i="15"/>
  <c r="CS103" i="1"/>
  <c r="CS104" i="1" s="1"/>
  <c r="AD149" i="1"/>
  <c r="AE40" i="1"/>
  <c r="AE149" i="1" s="1"/>
  <c r="AH173" i="20"/>
  <c r="I52" i="1"/>
  <c r="BH576" i="20"/>
  <c r="BH576" i="15"/>
  <c r="AJ109" i="1"/>
  <c r="AI110" i="1"/>
  <c r="BB589" i="20"/>
  <c r="BB589" i="15"/>
  <c r="AL33" i="19"/>
  <c r="CP9" i="2"/>
  <c r="AL38" i="19" s="1"/>
  <c r="CP10" i="2"/>
  <c r="DN580" i="20"/>
  <c r="AK42" i="19"/>
  <c r="CO61" i="2"/>
  <c r="U14" i="2"/>
  <c r="S46" i="19"/>
  <c r="BW19" i="2"/>
  <c r="S48" i="19" s="1"/>
  <c r="BX17" i="2"/>
  <c r="C25" i="2"/>
  <c r="BB7" i="20"/>
  <c r="BB7" i="15"/>
  <c r="CV32" i="2"/>
  <c r="CW32" i="2" s="1"/>
  <c r="CQ52" i="20"/>
  <c r="CQ52" i="15"/>
  <c r="N71" i="19"/>
  <c r="AR68" i="2"/>
  <c r="CT111" i="20"/>
  <c r="CS109" i="20"/>
  <c r="CT110" i="20"/>
  <c r="CT110" i="15"/>
  <c r="CT111" i="15"/>
  <c r="CS109" i="15"/>
  <c r="BX81" i="2"/>
  <c r="DT111" i="20"/>
  <c r="DS109" i="20"/>
  <c r="DT110" i="20"/>
  <c r="CT185" i="1"/>
  <c r="CT94" i="2"/>
  <c r="CU81" i="2"/>
  <c r="DT112" i="20" s="1"/>
  <c r="CT81" i="2"/>
  <c r="DS112" i="20" s="1"/>
  <c r="CK144" i="20"/>
  <c r="CK144" i="15"/>
  <c r="BM14" i="14"/>
  <c r="BL51" i="1"/>
  <c r="AM88" i="1"/>
  <c r="AM11" i="1"/>
  <c r="AM73" i="1"/>
  <c r="AM74" i="1" s="1"/>
  <c r="AZ11" i="1"/>
  <c r="AZ88" i="1"/>
  <c r="AZ75" i="1"/>
  <c r="AZ76" i="1" s="1"/>
  <c r="BY88" i="1"/>
  <c r="BY11" i="1"/>
  <c r="CB100" i="1"/>
  <c r="CB101" i="1" s="1"/>
  <c r="CO100" i="1"/>
  <c r="CO101" i="1" s="1"/>
  <c r="AM143" i="1"/>
  <c r="BF148" i="1"/>
  <c r="BF103" i="1"/>
  <c r="CF103" i="1"/>
  <c r="CF104" i="1" s="1"/>
  <c r="CF148" i="1"/>
  <c r="AJ37" i="1"/>
  <c r="BY51" i="1"/>
  <c r="Z73" i="1"/>
  <c r="Z74" i="1" s="1"/>
  <c r="BL75" i="1"/>
  <c r="BL76" i="1" s="1"/>
  <c r="AV576" i="20"/>
  <c r="AV576" i="15"/>
  <c r="W110" i="1"/>
  <c r="CQ148" i="1"/>
  <c r="Z41" i="19"/>
  <c r="CD71" i="2"/>
  <c r="Z79" i="19" s="1"/>
  <c r="BO580" i="15"/>
  <c r="BO580" i="20"/>
  <c r="AP12" i="2"/>
  <c r="CP13" i="2"/>
  <c r="AA6" i="20"/>
  <c r="B19" i="2"/>
  <c r="BA24" i="2"/>
  <c r="AJ57" i="19"/>
  <c r="CR28" i="2"/>
  <c r="AN57" i="19" s="1"/>
  <c r="CL7" i="20"/>
  <c r="CL7" i="15"/>
  <c r="I61" i="19"/>
  <c r="BN32" i="2"/>
  <c r="BM31" i="2"/>
  <c r="I60" i="19" s="1"/>
  <c r="J63" i="19"/>
  <c r="AJ18" i="20"/>
  <c r="BI52" i="20"/>
  <c r="BI52" i="15"/>
  <c r="BU110" i="20"/>
  <c r="BT109" i="20"/>
  <c r="BU111" i="20"/>
  <c r="BT109" i="15"/>
  <c r="BU110" i="15"/>
  <c r="BU111" i="15"/>
  <c r="BT111" i="15"/>
  <c r="BY144" i="20"/>
  <c r="BA14" i="14"/>
  <c r="BY144" i="15"/>
  <c r="AZ139" i="1"/>
  <c r="BA22" i="14"/>
  <c r="AZ51" i="1"/>
  <c r="DK145" i="20"/>
  <c r="CP20" i="9"/>
  <c r="AL21" i="19" s="1"/>
  <c r="CL140" i="1"/>
  <c r="CL60" i="1"/>
  <c r="AR8" i="1"/>
  <c r="AR66" i="1"/>
  <c r="BF146" i="20"/>
  <c r="BF146" i="15"/>
  <c r="AG69" i="1"/>
  <c r="AG5" i="1"/>
  <c r="AG4" i="1" s="1"/>
  <c r="CM88" i="1"/>
  <c r="AN76" i="1"/>
  <c r="AO75" i="1"/>
  <c r="AO76" i="1" s="1"/>
  <c r="BM88" i="1"/>
  <c r="BM11" i="1"/>
  <c r="DW146" i="20"/>
  <c r="CX69" i="1"/>
  <c r="CX141" i="1"/>
  <c r="BP100" i="1"/>
  <c r="BP101" i="1" s="1"/>
  <c r="Z19" i="1"/>
  <c r="DQ151" i="20"/>
  <c r="CR19" i="1"/>
  <c r="R10" i="14"/>
  <c r="R146" i="1"/>
  <c r="R29" i="1"/>
  <c r="R50" i="1"/>
  <c r="BA10" i="14"/>
  <c r="BA50" i="1"/>
  <c r="DC164" i="20"/>
  <c r="DC164" i="15"/>
  <c r="CD28" i="1"/>
  <c r="DP164" i="20"/>
  <c r="CQ28" i="1"/>
  <c r="CR29" i="1"/>
  <c r="BK166" i="20"/>
  <c r="BK166" i="15"/>
  <c r="BW166" i="20"/>
  <c r="BW166" i="15"/>
  <c r="CI166" i="20"/>
  <c r="CI166" i="15"/>
  <c r="BJ28" i="1"/>
  <c r="CV166" i="20"/>
  <c r="CV166" i="15"/>
  <c r="BW28" i="1"/>
  <c r="DH166" i="20"/>
  <c r="CI28" i="1"/>
  <c r="Z85" i="1"/>
  <c r="AT148" i="1"/>
  <c r="AT103" i="1"/>
  <c r="BU103" i="1"/>
  <c r="BU104" i="1" s="1"/>
  <c r="BU148" i="1"/>
  <c r="CG103" i="1"/>
  <c r="CG104" i="1" s="1"/>
  <c r="CH36" i="1"/>
  <c r="CG148" i="1"/>
  <c r="DT338" i="20"/>
  <c r="CU43" i="1"/>
  <c r="BE66" i="1"/>
  <c r="BM75" i="1"/>
  <c r="CG85" i="1"/>
  <c r="CX88" i="1"/>
  <c r="CX89" i="1" s="1"/>
  <c r="AY33" i="9"/>
  <c r="AZ40" i="9" s="1"/>
  <c r="AZ111" i="1" s="1"/>
  <c r="AZ35" i="9"/>
  <c r="AZ37" i="9" s="1"/>
  <c r="AH34" i="9"/>
  <c r="AH39" i="9" s="1"/>
  <c r="AJ14" i="9"/>
  <c r="AJ34" i="9" s="1"/>
  <c r="AJ39" i="9" s="1"/>
  <c r="CX144" i="15"/>
  <c r="EE86" i="2"/>
  <c r="AJ7" i="2"/>
  <c r="CH8" i="2"/>
  <c r="CP580" i="20"/>
  <c r="CP580" i="15"/>
  <c r="M42" i="19"/>
  <c r="BQ12" i="2"/>
  <c r="AN43" i="19"/>
  <c r="C17" i="2"/>
  <c r="AE19" i="2"/>
  <c r="CI20" i="2"/>
  <c r="AI16" i="20"/>
  <c r="J16" i="2"/>
  <c r="AB69" i="19"/>
  <c r="DE18" i="15"/>
  <c r="DE18" i="20"/>
  <c r="BM52" i="20"/>
  <c r="BM52" i="15"/>
  <c r="DB20" i="20"/>
  <c r="DB20" i="15"/>
  <c r="CC65" i="2"/>
  <c r="Y75" i="19"/>
  <c r="BB109" i="20"/>
  <c r="BC111" i="20"/>
  <c r="BC110" i="20"/>
  <c r="BC110" i="15"/>
  <c r="BC111" i="15"/>
  <c r="BB109" i="15"/>
  <c r="AF88" i="2"/>
  <c r="AJ85" i="2"/>
  <c r="AO13" i="1"/>
  <c r="CA11" i="1"/>
  <c r="CA88" i="1"/>
  <c r="BC100" i="1"/>
  <c r="CD100" i="1"/>
  <c r="CD101" i="1" s="1"/>
  <c r="CG97" i="1"/>
  <c r="CG98" i="1" s="1"/>
  <c r="CH17" i="1"/>
  <c r="CH97" i="1" s="1"/>
  <c r="M143" i="1"/>
  <c r="S10" i="14"/>
  <c r="S146" i="1"/>
  <c r="S29" i="1"/>
  <c r="S50" i="1"/>
  <c r="AK50" i="1"/>
  <c r="AK146" i="1"/>
  <c r="BB146" i="1"/>
  <c r="BB10" i="14"/>
  <c r="BB50" i="1"/>
  <c r="BI164" i="20"/>
  <c r="BI164" i="15"/>
  <c r="CM164" i="20"/>
  <c r="CM164" i="15"/>
  <c r="BL166" i="20"/>
  <c r="BL166" i="15"/>
  <c r="CJ166" i="20"/>
  <c r="CJ166" i="15"/>
  <c r="BK28" i="1"/>
  <c r="BX30" i="1"/>
  <c r="CW30" i="1"/>
  <c r="CO162" i="20"/>
  <c r="CO162" i="15"/>
  <c r="BP147" i="1"/>
  <c r="BH103" i="1"/>
  <c r="BH104" i="1" s="1"/>
  <c r="BI36" i="1"/>
  <c r="DU338" i="20"/>
  <c r="CW44" i="1"/>
  <c r="CW43" i="1" s="1"/>
  <c r="CV43" i="1"/>
  <c r="BX195" i="1"/>
  <c r="AI121" i="1"/>
  <c r="BA146" i="1"/>
  <c r="BE17" i="9"/>
  <c r="BE16" i="9"/>
  <c r="BI15" i="9"/>
  <c r="BH14" i="9"/>
  <c r="BH34" i="9" s="1"/>
  <c r="BH18" i="9"/>
  <c r="BH21" i="9"/>
  <c r="BH19" i="2"/>
  <c r="AM18" i="9"/>
  <c r="AL17" i="9"/>
  <c r="DT86" i="2"/>
  <c r="AZ4" i="2"/>
  <c r="R33" i="19"/>
  <c r="BV10" i="2"/>
  <c r="BV9" i="2"/>
  <c r="R38" i="19" s="1"/>
  <c r="AA36" i="9"/>
  <c r="AE5" i="2"/>
  <c r="M34" i="19"/>
  <c r="BQ36" i="9"/>
  <c r="BQ43" i="9" s="1"/>
  <c r="BQ4" i="2"/>
  <c r="S35" i="19"/>
  <c r="BW42" i="9"/>
  <c r="AW313" i="20"/>
  <c r="AW313" i="15"/>
  <c r="X10" i="2"/>
  <c r="AH37" i="19"/>
  <c r="BK12" i="2"/>
  <c r="K22" i="2"/>
  <c r="AJ16" i="20" s="1"/>
  <c r="BA4" i="2"/>
  <c r="AB111" i="1"/>
  <c r="AB36" i="9"/>
  <c r="BX6" i="2"/>
  <c r="T35" i="19" s="1"/>
  <c r="CM8" i="2"/>
  <c r="AB10" i="2"/>
  <c r="B54" i="2"/>
  <c r="B11" i="2"/>
  <c r="AV11" i="2"/>
  <c r="AV71" i="2"/>
  <c r="AV113" i="1" s="1"/>
  <c r="AV114" i="1" s="1"/>
  <c r="AV54" i="2"/>
  <c r="AF20" i="2"/>
  <c r="AK16" i="20"/>
  <c r="CH30" i="2"/>
  <c r="CH159" i="1" s="1"/>
  <c r="BF7" i="20"/>
  <c r="BF7" i="15"/>
  <c r="CH39" i="2"/>
  <c r="BO313" i="20"/>
  <c r="BO52" i="15"/>
  <c r="BO52" i="20"/>
  <c r="AS41" i="2"/>
  <c r="AT41" i="2" s="1"/>
  <c r="CH45" i="2"/>
  <c r="AT26" i="20"/>
  <c r="AT26" i="15"/>
  <c r="U81" i="2"/>
  <c r="AZ71" i="2"/>
  <c r="AQ110" i="20"/>
  <c r="AQ111" i="15"/>
  <c r="AP109" i="15"/>
  <c r="AQ110" i="15"/>
  <c r="AQ111" i="20"/>
  <c r="AP109" i="20"/>
  <c r="R81" i="2"/>
  <c r="Q57" i="1"/>
  <c r="CK111" i="20"/>
  <c r="CK110" i="20"/>
  <c r="CJ109" i="15"/>
  <c r="CK110" i="15"/>
  <c r="CK111" i="15"/>
  <c r="CJ109" i="20"/>
  <c r="DK110" i="20"/>
  <c r="DJ109" i="20"/>
  <c r="CK185" i="1"/>
  <c r="AQ88" i="1"/>
  <c r="AQ11" i="1"/>
  <c r="BP88" i="1"/>
  <c r="BP29" i="14" s="1"/>
  <c r="BP75" i="1"/>
  <c r="BP76" i="1" s="1"/>
  <c r="BP11" i="1"/>
  <c r="BE100" i="1"/>
  <c r="AE151" i="20"/>
  <c r="F91" i="1"/>
  <c r="BX151" i="20"/>
  <c r="BX151" i="15"/>
  <c r="AG24" i="1"/>
  <c r="W27" i="1"/>
  <c r="W26" i="1" s="1"/>
  <c r="AM28" i="1"/>
  <c r="AZ166" i="20"/>
  <c r="AZ166" i="15"/>
  <c r="BN166" i="20"/>
  <c r="BN166" i="15"/>
  <c r="AO28" i="1"/>
  <c r="BZ166" i="20"/>
  <c r="BZ166" i="15"/>
  <c r="CL166" i="15"/>
  <c r="CL166" i="20"/>
  <c r="BN30" i="1"/>
  <c r="BM28" i="1"/>
  <c r="DB162" i="20"/>
  <c r="DB162" i="15"/>
  <c r="CC147" i="1"/>
  <c r="CD162" i="20"/>
  <c r="BE147" i="1"/>
  <c r="BE87" i="1"/>
  <c r="AH163" i="20"/>
  <c r="I27" i="1"/>
  <c r="I26" i="1" s="1"/>
  <c r="I149" i="1"/>
  <c r="I145" i="1" s="1"/>
  <c r="AU163" i="20"/>
  <c r="AU163" i="15"/>
  <c r="BQ173" i="20"/>
  <c r="BQ173" i="15"/>
  <c r="AR57" i="1"/>
  <c r="AR52" i="1"/>
  <c r="AR120" i="1"/>
  <c r="AR121" i="1"/>
  <c r="W50" i="1"/>
  <c r="AX50" i="1"/>
  <c r="AX53" i="1" s="1"/>
  <c r="BT101" i="1"/>
  <c r="L35" i="9"/>
  <c r="L111" i="1"/>
  <c r="K33" i="9"/>
  <c r="E115" i="1"/>
  <c r="E114" i="1"/>
  <c r="P4" i="9"/>
  <c r="M8" i="9"/>
  <c r="AL587" i="20" s="1"/>
  <c r="AY574" i="20"/>
  <c r="AY574" i="15"/>
  <c r="Z2" i="9"/>
  <c r="Z6" i="9"/>
  <c r="CW574" i="20"/>
  <c r="CW574" i="15"/>
  <c r="T6" i="19"/>
  <c r="CC2" i="9"/>
  <c r="BX6" i="9"/>
  <c r="T7" i="19" s="1"/>
  <c r="BS586" i="20"/>
  <c r="BS586" i="15"/>
  <c r="DL586" i="20"/>
  <c r="CM8" i="9"/>
  <c r="AI8" i="19"/>
  <c r="DA587" i="20"/>
  <c r="X9" i="19"/>
  <c r="DO587" i="20"/>
  <c r="AL9" i="19"/>
  <c r="K13" i="9"/>
  <c r="AJ589" i="20" s="1"/>
  <c r="K19" i="2"/>
  <c r="F15" i="19"/>
  <c r="Z15" i="19"/>
  <c r="DW20" i="9"/>
  <c r="DS20" i="9"/>
  <c r="DT20" i="9" s="1"/>
  <c r="DU20" i="9" s="1"/>
  <c r="CD578" i="20"/>
  <c r="CD578" i="15"/>
  <c r="CL591" i="20"/>
  <c r="CL591" i="15"/>
  <c r="AI16" i="19"/>
  <c r="DI589" i="20"/>
  <c r="AF14" i="19"/>
  <c r="BD42" i="9"/>
  <c r="BF580" i="20"/>
  <c r="BF580" i="15"/>
  <c r="AG61" i="2"/>
  <c r="AH13" i="2"/>
  <c r="AW16" i="20"/>
  <c r="AW16" i="15"/>
  <c r="AW53" i="15"/>
  <c r="AW53" i="20"/>
  <c r="X60" i="2"/>
  <c r="X24" i="2"/>
  <c r="BD54" i="20"/>
  <c r="BD54" i="15"/>
  <c r="CB7" i="20"/>
  <c r="CB7" i="15"/>
  <c r="BC31" i="2"/>
  <c r="Q68" i="2"/>
  <c r="U33" i="2"/>
  <c r="DK9" i="20"/>
  <c r="CL62" i="2"/>
  <c r="AH64" i="19"/>
  <c r="CM35" i="2"/>
  <c r="CM62" i="2" s="1"/>
  <c r="CL94" i="2"/>
  <c r="BU88" i="2"/>
  <c r="DI144" i="20"/>
  <c r="CJ139" i="1"/>
  <c r="CK14" i="14"/>
  <c r="CJ51" i="1"/>
  <c r="AY153" i="20"/>
  <c r="AY153" i="15"/>
  <c r="BN167" i="15"/>
  <c r="BN167" i="20"/>
  <c r="CX51" i="1"/>
  <c r="T72" i="1"/>
  <c r="CF576" i="15"/>
  <c r="CF576" i="20"/>
  <c r="BG110" i="1"/>
  <c r="CS576" i="20"/>
  <c r="CS576" i="15"/>
  <c r="DF576" i="20"/>
  <c r="DF576" i="15"/>
  <c r="CH109" i="1"/>
  <c r="CG110" i="1"/>
  <c r="DL132" i="1"/>
  <c r="CJ589" i="20"/>
  <c r="G14" i="19"/>
  <c r="CJ589" i="15"/>
  <c r="N18" i="19"/>
  <c r="BR21" i="9"/>
  <c r="N22" i="19" s="1"/>
  <c r="BR18" i="9"/>
  <c r="N19" i="19" s="1"/>
  <c r="BR14" i="9"/>
  <c r="BR29" i="9"/>
  <c r="CJ578" i="20"/>
  <c r="CJ578" i="15"/>
  <c r="G30" i="19"/>
  <c r="AT80" i="19"/>
  <c r="J7" i="2"/>
  <c r="J9" i="2"/>
  <c r="CE4" i="20"/>
  <c r="CE4" i="15"/>
  <c r="X43" i="19"/>
  <c r="CC14" i="2"/>
  <c r="CT53" i="20"/>
  <c r="Q52" i="19"/>
  <c r="CT53" i="15"/>
  <c r="BU24" i="2"/>
  <c r="Q53" i="19" s="1"/>
  <c r="BU60" i="2"/>
  <c r="BU22" i="2"/>
  <c r="BD9" i="20"/>
  <c r="BD9" i="15"/>
  <c r="AE62" i="2"/>
  <c r="E67" i="19"/>
  <c r="CH15" i="20"/>
  <c r="BO18" i="15"/>
  <c r="BO18" i="20"/>
  <c r="AP64" i="2"/>
  <c r="AX313" i="20"/>
  <c r="AX52" i="20"/>
  <c r="AX313" i="15"/>
  <c r="BT60" i="2"/>
  <c r="BT59" i="2" s="1"/>
  <c r="BL68" i="2"/>
  <c r="BV88" i="2"/>
  <c r="CK88" i="2"/>
  <c r="BX6" i="1"/>
  <c r="BP66" i="1"/>
  <c r="BP8" i="1"/>
  <c r="AK146" i="20"/>
  <c r="L69" i="1"/>
  <c r="L5" i="1"/>
  <c r="L4" i="1" s="1"/>
  <c r="AZ146" i="15"/>
  <c r="AZ146" i="20"/>
  <c r="AA69" i="1"/>
  <c r="AX100" i="1"/>
  <c r="AY15" i="1"/>
  <c r="BR148" i="1"/>
  <c r="CR36" i="1"/>
  <c r="BS167" i="20"/>
  <c r="BS167" i="15"/>
  <c r="CW411" i="20"/>
  <c r="CW411" i="15"/>
  <c r="CW171" i="20"/>
  <c r="CW171" i="15"/>
  <c r="BX150" i="1"/>
  <c r="AO44" i="1"/>
  <c r="AO43" i="1" s="1"/>
  <c r="BW51" i="1"/>
  <c r="BO95" i="1"/>
  <c r="BO93" i="1"/>
  <c r="CQ103" i="1"/>
  <c r="CQ104" i="1" s="1"/>
  <c r="BG576" i="20"/>
  <c r="BG576" i="15"/>
  <c r="AH110" i="1"/>
  <c r="BG112" i="1"/>
  <c r="CX313" i="20"/>
  <c r="U36" i="19"/>
  <c r="BL9" i="2"/>
  <c r="H38" i="19" s="1"/>
  <c r="BL13" i="2"/>
  <c r="AU72" i="2"/>
  <c r="AA53" i="20"/>
  <c r="B24" i="2"/>
  <c r="B22" i="2"/>
  <c r="CD53" i="20"/>
  <c r="CD53" i="15"/>
  <c r="BE22" i="2"/>
  <c r="BK54" i="20"/>
  <c r="BK54" i="15"/>
  <c r="AL85" i="2"/>
  <c r="AL61" i="2"/>
  <c r="AN25" i="2"/>
  <c r="AO25" i="2" s="1"/>
  <c r="CA53" i="20"/>
  <c r="CA53" i="15"/>
  <c r="BB24" i="2"/>
  <c r="CM15" i="20"/>
  <c r="J67" i="19"/>
  <c r="CM15" i="15"/>
  <c r="AS39" i="2"/>
  <c r="Z41" i="2"/>
  <c r="BF43" i="2"/>
  <c r="CE6" i="20" s="1"/>
  <c r="DF111" i="20"/>
  <c r="DF110" i="20"/>
  <c r="DE109" i="20"/>
  <c r="DF110" i="15"/>
  <c r="DE109" i="15"/>
  <c r="DF111" i="15"/>
  <c r="CF185" i="1"/>
  <c r="DS111" i="20"/>
  <c r="DS110" i="20"/>
  <c r="CS185" i="1"/>
  <c r="CS81" i="2"/>
  <c r="DR112" i="20" s="1"/>
  <c r="DR109" i="20"/>
  <c r="BG112" i="20"/>
  <c r="BG112" i="15"/>
  <c r="BH144" i="20"/>
  <c r="AI139" i="1"/>
  <c r="AI15" i="14"/>
  <c r="AJ6" i="1"/>
  <c r="AI51" i="1"/>
  <c r="BH144" i="15"/>
  <c r="CJ144" i="20"/>
  <c r="CJ144" i="15"/>
  <c r="BK139" i="1"/>
  <c r="BL14" i="14"/>
  <c r="BK51" i="1"/>
  <c r="DK144" i="20"/>
  <c r="CL139" i="1"/>
  <c r="CM6" i="1"/>
  <c r="CL51" i="1"/>
  <c r="CP145" i="20"/>
  <c r="CP145" i="15"/>
  <c r="BQ60" i="1"/>
  <c r="BU20" i="9"/>
  <c r="Q21" i="19" s="1"/>
  <c r="BQ140" i="1"/>
  <c r="G73" i="1"/>
  <c r="G74" i="1" s="1"/>
  <c r="G11" i="1"/>
  <c r="G88" i="1"/>
  <c r="J143" i="1"/>
  <c r="DG151" i="20"/>
  <c r="DG151" i="15"/>
  <c r="CE148" i="1"/>
  <c r="CE103" i="1"/>
  <c r="CE104" i="1" s="1"/>
  <c r="AA163" i="20"/>
  <c r="B27" i="1"/>
  <c r="B26" i="1" s="1"/>
  <c r="B149" i="1"/>
  <c r="AP163" i="20"/>
  <c r="AP163" i="15"/>
  <c r="Q149" i="1"/>
  <c r="Q145" i="1" s="1"/>
  <c r="AT171" i="20"/>
  <c r="AT411" i="20"/>
  <c r="AU338" i="15"/>
  <c r="AT171" i="15"/>
  <c r="U150" i="1"/>
  <c r="AT411" i="15"/>
  <c r="DB411" i="20"/>
  <c r="DB171" i="20"/>
  <c r="DB411" i="15"/>
  <c r="DB171" i="15"/>
  <c r="CC150" i="1"/>
  <c r="I57" i="1"/>
  <c r="AU576" i="20"/>
  <c r="AU576" i="15"/>
  <c r="BG9" i="20"/>
  <c r="BG9" i="15"/>
  <c r="AH62" i="2"/>
  <c r="AA20" i="20"/>
  <c r="B65" i="2"/>
  <c r="CN30" i="20"/>
  <c r="CN30" i="15"/>
  <c r="BO5" i="14"/>
  <c r="BY88" i="2"/>
  <c r="CD145" i="20"/>
  <c r="CD145" i="15"/>
  <c r="BE140" i="1"/>
  <c r="BE60" i="1"/>
  <c r="AM146" i="20"/>
  <c r="N5" i="1"/>
  <c r="N4" i="1" s="1"/>
  <c r="I73" i="1"/>
  <c r="I74" i="1" s="1"/>
  <c r="I88" i="1"/>
  <c r="I11" i="1"/>
  <c r="CK88" i="1"/>
  <c r="CK11" i="1"/>
  <c r="CK75" i="1"/>
  <c r="CK76" i="1" s="1"/>
  <c r="AL100" i="1"/>
  <c r="AL101" i="1" s="1"/>
  <c r="CH16" i="1"/>
  <c r="Y143" i="1"/>
  <c r="BE152" i="20"/>
  <c r="BE152" i="15"/>
  <c r="AF19" i="1"/>
  <c r="BD151" i="20"/>
  <c r="BD151" i="15"/>
  <c r="AI50" i="1"/>
  <c r="AI146" i="1"/>
  <c r="DN162" i="20"/>
  <c r="CO147" i="1"/>
  <c r="CO87" i="1"/>
  <c r="AS148" i="1"/>
  <c r="BT103" i="1"/>
  <c r="BT104" i="1" s="1"/>
  <c r="BT148" i="1"/>
  <c r="CT148" i="1"/>
  <c r="BX37" i="1"/>
  <c r="BW148" i="1"/>
  <c r="AB163" i="20"/>
  <c r="C149" i="1"/>
  <c r="C145" i="1" s="1"/>
  <c r="C27" i="1"/>
  <c r="C26" i="1" s="1"/>
  <c r="BD66" i="1"/>
  <c r="AB61" i="19"/>
  <c r="BT9" i="2"/>
  <c r="P38" i="19" s="1"/>
  <c r="P33" i="19"/>
  <c r="AY8" i="2"/>
  <c r="AM19" i="2"/>
  <c r="DC16" i="15"/>
  <c r="Z51" i="19"/>
  <c r="DC16" i="20"/>
  <c r="AM14" i="20"/>
  <c r="N159" i="1"/>
  <c r="BY9" i="15"/>
  <c r="BY9" i="20"/>
  <c r="BC35" i="2"/>
  <c r="BS41" i="2"/>
  <c r="BA30" i="20"/>
  <c r="BA30" i="15"/>
  <c r="AB92" i="1"/>
  <c r="AB5" i="14"/>
  <c r="AB8" i="14" s="1"/>
  <c r="AB9" i="14" s="1"/>
  <c r="BP68" i="2"/>
  <c r="Y72" i="2"/>
  <c r="CH111" i="20"/>
  <c r="CG109" i="15"/>
  <c r="CH110" i="20"/>
  <c r="CG109" i="20"/>
  <c r="BI81" i="2"/>
  <c r="BH81" i="2"/>
  <c r="CU111" i="20"/>
  <c r="CT109" i="20"/>
  <c r="CT109" i="15"/>
  <c r="CU111" i="15"/>
  <c r="CU110" i="20"/>
  <c r="CU110" i="15"/>
  <c r="BV81" i="2"/>
  <c r="CH78" i="2"/>
  <c r="DG110" i="15" s="1"/>
  <c r="DU111" i="20"/>
  <c r="DU110" i="20"/>
  <c r="DT109" i="20"/>
  <c r="CU185" i="1"/>
  <c r="CU94" i="2"/>
  <c r="CV81" i="2"/>
  <c r="DU112" i="20" s="1"/>
  <c r="AW144" i="20"/>
  <c r="Y14" i="14"/>
  <c r="X15" i="14"/>
  <c r="X139" i="1"/>
  <c r="X51" i="1"/>
  <c r="AW144" i="15"/>
  <c r="CL144" i="20"/>
  <c r="CL144" i="15"/>
  <c r="BM139" i="1"/>
  <c r="BM51" i="1"/>
  <c r="BN6" i="1"/>
  <c r="AN146" i="20"/>
  <c r="O5" i="1"/>
  <c r="O4" i="1" s="1"/>
  <c r="P11" i="1"/>
  <c r="O141" i="1"/>
  <c r="J73" i="1"/>
  <c r="J74" i="1" s="1"/>
  <c r="J11" i="1"/>
  <c r="AN88" i="1"/>
  <c r="AN73" i="1"/>
  <c r="AN11" i="1"/>
  <c r="AA88" i="1"/>
  <c r="AA75" i="1"/>
  <c r="BA88" i="1"/>
  <c r="BA11" i="1"/>
  <c r="BZ11" i="1"/>
  <c r="BZ75" i="1"/>
  <c r="BZ76" i="1" s="1"/>
  <c r="BZ88" i="1"/>
  <c r="CC15" i="1"/>
  <c r="CP100" i="1"/>
  <c r="BR97" i="1"/>
  <c r="BR98" i="1" s="1"/>
  <c r="BR142" i="1"/>
  <c r="AX147" i="20"/>
  <c r="AX147" i="15"/>
  <c r="Y144" i="1"/>
  <c r="Z18" i="1"/>
  <c r="L143" i="1"/>
  <c r="BI151" i="20"/>
  <c r="BI151" i="15"/>
  <c r="AW166" i="20"/>
  <c r="AW166" i="15"/>
  <c r="BG103" i="1"/>
  <c r="AC163" i="20"/>
  <c r="D149" i="1"/>
  <c r="AF576" i="20"/>
  <c r="G110" i="1"/>
  <c r="AZ146" i="1"/>
  <c r="BG29" i="9"/>
  <c r="BG21" i="9"/>
  <c r="BG18" i="9"/>
  <c r="BG19" i="2"/>
  <c r="BX26" i="9"/>
  <c r="T27" i="19" s="1"/>
  <c r="AV111" i="1"/>
  <c r="DS86" i="2"/>
  <c r="BB36" i="9"/>
  <c r="BB4" i="2"/>
  <c r="L34" i="19"/>
  <c r="BP36" i="9"/>
  <c r="BP4" i="2"/>
  <c r="AV313" i="20"/>
  <c r="AV313" i="15"/>
  <c r="BC7" i="2"/>
  <c r="BD7" i="2" s="1"/>
  <c r="D36" i="19" s="1"/>
  <c r="AD4" i="20"/>
  <c r="G70" i="1"/>
  <c r="I70" i="1"/>
  <c r="F41" i="19"/>
  <c r="BJ11" i="2"/>
  <c r="BJ71" i="2"/>
  <c r="F79" i="19" s="1"/>
  <c r="AR13" i="2"/>
  <c r="AS13" i="2" s="1"/>
  <c r="AT17" i="2"/>
  <c r="AJ53" i="20"/>
  <c r="K60" i="2"/>
  <c r="BF24" i="2"/>
  <c r="CW54" i="20"/>
  <c r="T54" i="19"/>
  <c r="CW54" i="15"/>
  <c r="Q32" i="2"/>
  <c r="Q56" i="2" s="1"/>
  <c r="DH7" i="20"/>
  <c r="AE61" i="19"/>
  <c r="O63" i="19"/>
  <c r="CW9" i="20"/>
  <c r="T64" i="19"/>
  <c r="CW9" i="15"/>
  <c r="F45" i="2"/>
  <c r="AU54" i="2"/>
  <c r="BB60" i="2"/>
  <c r="CF64" i="2"/>
  <c r="BV110" i="20"/>
  <c r="BV111" i="20"/>
  <c r="BU109" i="15"/>
  <c r="BV110" i="15"/>
  <c r="BU109" i="20"/>
  <c r="BV111" i="15"/>
  <c r="CV111" i="20"/>
  <c r="CV110" i="15"/>
  <c r="CV111" i="15"/>
  <c r="CU109" i="20"/>
  <c r="CV110" i="20"/>
  <c r="CU109" i="15"/>
  <c r="BW81" i="2"/>
  <c r="DH109" i="20"/>
  <c r="DI110" i="20"/>
  <c r="DI111" i="20"/>
  <c r="CI185" i="1"/>
  <c r="CK81" i="2"/>
  <c r="DJ112" i="20" s="1"/>
  <c r="CI94" i="2"/>
  <c r="DV110" i="20"/>
  <c r="DV111" i="20"/>
  <c r="DU109" i="20"/>
  <c r="CV185" i="1"/>
  <c r="CX81" i="2"/>
  <c r="BL144" i="20"/>
  <c r="AM15" i="14"/>
  <c r="AN14" i="14"/>
  <c r="BL144" i="15"/>
  <c r="AM51" i="1"/>
  <c r="BW145" i="20"/>
  <c r="BW145" i="15"/>
  <c r="AF8" i="1"/>
  <c r="AF66" i="1"/>
  <c r="CU66" i="1"/>
  <c r="CU8" i="1"/>
  <c r="K12" i="1"/>
  <c r="AO12" i="1"/>
  <c r="AC88" i="1"/>
  <c r="AC11" i="1"/>
  <c r="BB11" i="1"/>
  <c r="BB88" i="1"/>
  <c r="BB75" i="1"/>
  <c r="BB76" i="1" s="1"/>
  <c r="BN13" i="1"/>
  <c r="BN88" i="1" s="1"/>
  <c r="BQ100" i="1"/>
  <c r="BQ101" i="1" s="1"/>
  <c r="CQ100" i="1"/>
  <c r="CQ101" i="1" s="1"/>
  <c r="CR15" i="1"/>
  <c r="AA143" i="1"/>
  <c r="AY30" i="1"/>
  <c r="DI166" i="20"/>
  <c r="AU36" i="1"/>
  <c r="AY338" i="15"/>
  <c r="CT338" i="20"/>
  <c r="CT338" i="15"/>
  <c r="BU43" i="1"/>
  <c r="CG43" i="1"/>
  <c r="CH47" i="1"/>
  <c r="CH43" i="1" s="1"/>
  <c r="CV85" i="1"/>
  <c r="BI35" i="9"/>
  <c r="BD33" i="9"/>
  <c r="BE40" i="9" s="1"/>
  <c r="BE35" i="9"/>
  <c r="AG576" i="20"/>
  <c r="H110" i="1"/>
  <c r="AM142" i="1"/>
  <c r="CS148" i="1"/>
  <c r="DM587" i="20"/>
  <c r="AJ9" i="19"/>
  <c r="AR13" i="9"/>
  <c r="AR35" i="9"/>
  <c r="AR11" i="9"/>
  <c r="AR30" i="9"/>
  <c r="AR84" i="1"/>
  <c r="AR98" i="1" s="1"/>
  <c r="O10" i="19"/>
  <c r="BS30" i="9"/>
  <c r="BS84" i="1"/>
  <c r="BS85" i="1" s="1"/>
  <c r="BS13" i="9"/>
  <c r="BF589" i="20"/>
  <c r="BF589" i="15"/>
  <c r="DC589" i="20"/>
  <c r="DC589" i="15"/>
  <c r="Z14" i="19"/>
  <c r="CR16" i="9"/>
  <c r="AN17" i="19" s="1"/>
  <c r="AN16" i="19"/>
  <c r="CS30" i="9"/>
  <c r="AO29" i="19"/>
  <c r="BK111" i="1"/>
  <c r="BJ313" i="20"/>
  <c r="BD8" i="2"/>
  <c r="AW580" i="20"/>
  <c r="AW580" i="15"/>
  <c r="X61" i="2"/>
  <c r="X12" i="2"/>
  <c r="CT580" i="20"/>
  <c r="CT580" i="15"/>
  <c r="BU61" i="2"/>
  <c r="AP36" i="9"/>
  <c r="AP4" i="2"/>
  <c r="AS5" i="2"/>
  <c r="J70" i="1"/>
  <c r="K11" i="2"/>
  <c r="AU11" i="2"/>
  <c r="AA11" i="2"/>
  <c r="AA54" i="2"/>
  <c r="AA71" i="2"/>
  <c r="DC53" i="20"/>
  <c r="Z52" i="19"/>
  <c r="CD60" i="2"/>
  <c r="CD59" i="2" s="1"/>
  <c r="DC53" i="15"/>
  <c r="K24" i="2"/>
  <c r="AC7" i="20"/>
  <c r="D31" i="2"/>
  <c r="D16" i="2" s="1"/>
  <c r="D56" i="2"/>
  <c r="CT7" i="20"/>
  <c r="Q61" i="19"/>
  <c r="CT7" i="15"/>
  <c r="AY14" i="20"/>
  <c r="AY14" i="15"/>
  <c r="Y63" i="19"/>
  <c r="BL9" i="15"/>
  <c r="BL9" i="20"/>
  <c r="AN35" i="2"/>
  <c r="AO35" i="2" s="1"/>
  <c r="CD9" i="20"/>
  <c r="CD9" i="15"/>
  <c r="BH35" i="2"/>
  <c r="BI35" i="2" s="1"/>
  <c r="AA313" i="20"/>
  <c r="AA52" i="20"/>
  <c r="DL26" i="20"/>
  <c r="AE78" i="2"/>
  <c r="AY78" i="2"/>
  <c r="BX111" i="20" s="1"/>
  <c r="BX78" i="2"/>
  <c r="CW111" i="20" s="1"/>
  <c r="CX185" i="1"/>
  <c r="DW109" i="20"/>
  <c r="AO84" i="2"/>
  <c r="AH88" i="2"/>
  <c r="J60" i="1"/>
  <c r="J10" i="1"/>
  <c r="K8" i="1"/>
  <c r="J140" i="1"/>
  <c r="U10" i="1"/>
  <c r="U66" i="1" s="1"/>
  <c r="T8" i="1"/>
  <c r="T66" i="1"/>
  <c r="BW66" i="1"/>
  <c r="BW8" i="1"/>
  <c r="BX10" i="1"/>
  <c r="BX66" i="1" s="1"/>
  <c r="CO75" i="1"/>
  <c r="CO76" i="1" s="1"/>
  <c r="CO88" i="1"/>
  <c r="AQ100" i="1"/>
  <c r="AA33" i="19"/>
  <c r="CE9" i="2"/>
  <c r="AA38" i="19" s="1"/>
  <c r="AC111" i="1"/>
  <c r="AC36" i="9"/>
  <c r="AQ36" i="9"/>
  <c r="AQ111" i="1"/>
  <c r="AQ4" i="2"/>
  <c r="F6" i="2"/>
  <c r="CB42" i="9"/>
  <c r="X35" i="19"/>
  <c r="Z7" i="2"/>
  <c r="DH313" i="20"/>
  <c r="AE36" i="19"/>
  <c r="CM7" i="2"/>
  <c r="AI36" i="19" s="1"/>
  <c r="DW313" i="20"/>
  <c r="AT36" i="19"/>
  <c r="Z8" i="2"/>
  <c r="BI8" i="2"/>
  <c r="AM37" i="19"/>
  <c r="I10" i="2"/>
  <c r="H70" i="1"/>
  <c r="BY4" i="20"/>
  <c r="BY4" i="15"/>
  <c r="C12" i="2"/>
  <c r="AB54" i="2"/>
  <c r="AB113" i="1"/>
  <c r="AB114" i="1" s="1"/>
  <c r="AB71" i="2"/>
  <c r="AB11" i="2"/>
  <c r="Z13" i="2"/>
  <c r="BU580" i="20"/>
  <c r="BU580" i="15"/>
  <c r="AV61" i="2"/>
  <c r="C72" i="2"/>
  <c r="AP6" i="20"/>
  <c r="AP6" i="15"/>
  <c r="T20" i="2"/>
  <c r="AL16" i="20"/>
  <c r="BG53" i="20"/>
  <c r="BG53" i="15"/>
  <c r="AH60" i="2"/>
  <c r="AH24" i="2"/>
  <c r="DD53" i="20"/>
  <c r="AA52" i="19"/>
  <c r="DD53" i="15"/>
  <c r="DR53" i="20"/>
  <c r="AO52" i="19"/>
  <c r="CK24" i="2"/>
  <c r="AG53" i="19" s="1"/>
  <c r="DF54" i="20"/>
  <c r="DF54" i="15"/>
  <c r="AO57" i="19"/>
  <c r="CW28" i="2"/>
  <c r="AS57" i="19" s="1"/>
  <c r="AI59" i="19"/>
  <c r="AD7" i="20"/>
  <c r="E31" i="2"/>
  <c r="E16" i="2" s="1"/>
  <c r="E56" i="2"/>
  <c r="AS7" i="20"/>
  <c r="T31" i="2"/>
  <c r="AJ32" i="2"/>
  <c r="BW32" i="2"/>
  <c r="BX32" i="2" s="1"/>
  <c r="BO9" i="20"/>
  <c r="BO9" i="15"/>
  <c r="CE9" i="20"/>
  <c r="CE9" i="15"/>
  <c r="CE18" i="15"/>
  <c r="CE18" i="20"/>
  <c r="BF64" i="2"/>
  <c r="DK18" i="20"/>
  <c r="AH69" i="19"/>
  <c r="CL64" i="2"/>
  <c r="C41" i="2"/>
  <c r="DQ26" i="20"/>
  <c r="CR81" i="2"/>
  <c r="BE60" i="2"/>
  <c r="BE59" i="2" s="1"/>
  <c r="BE30" i="20"/>
  <c r="BE30" i="15"/>
  <c r="AF5" i="14"/>
  <c r="AJ68" i="2"/>
  <c r="AF92" i="1"/>
  <c r="BF71" i="2"/>
  <c r="BF113" i="1" s="1"/>
  <c r="BF114" i="1" s="1"/>
  <c r="BF116" i="1" s="1"/>
  <c r="BF118" i="1" s="1"/>
  <c r="AR110" i="20"/>
  <c r="AQ109" i="20"/>
  <c r="AR110" i="15"/>
  <c r="AR111" i="15"/>
  <c r="AR111" i="20"/>
  <c r="S81" i="2"/>
  <c r="AQ109" i="15"/>
  <c r="BJ111" i="20"/>
  <c r="BI109" i="20"/>
  <c r="BI109" i="15"/>
  <c r="BI111" i="20"/>
  <c r="BJ110" i="20"/>
  <c r="BJ111" i="15"/>
  <c r="BI110" i="20"/>
  <c r="BI111" i="15"/>
  <c r="BJ110" i="15"/>
  <c r="BZ111" i="20"/>
  <c r="BZ110" i="20"/>
  <c r="BY109" i="20"/>
  <c r="BY109" i="15"/>
  <c r="BZ111" i="15"/>
  <c r="BZ110" i="15"/>
  <c r="BA81" i="2"/>
  <c r="AZ76" i="2"/>
  <c r="CL110" i="20"/>
  <c r="CL111" i="15"/>
  <c r="CK109" i="20"/>
  <c r="CK109" i="15"/>
  <c r="CL110" i="15"/>
  <c r="BT81" i="2"/>
  <c r="Q85" i="2"/>
  <c r="U84" i="2"/>
  <c r="BX84" i="2"/>
  <c r="AA88" i="2"/>
  <c r="CJ94" i="2"/>
  <c r="CN11" i="1"/>
  <c r="AJ147" i="20"/>
  <c r="K100" i="1"/>
  <c r="K101" i="1" s="1"/>
  <c r="AR100" i="1"/>
  <c r="CC152" i="20"/>
  <c r="CC152" i="15"/>
  <c r="AF151" i="20"/>
  <c r="H95" i="1"/>
  <c r="CC151" i="20"/>
  <c r="CC151" i="15"/>
  <c r="X28" i="1"/>
  <c r="AN28" i="1"/>
  <c r="CH79" i="1"/>
  <c r="AS43" i="1"/>
  <c r="AT47" i="1"/>
  <c r="AT43" i="1" s="1"/>
  <c r="BY75" i="1"/>
  <c r="BY76" i="1" s="1"/>
  <c r="BK87" i="1"/>
  <c r="L29" i="14"/>
  <c r="BU101" i="1"/>
  <c r="CT100" i="1"/>
  <c r="CT101" i="1" s="1"/>
  <c r="F113" i="1"/>
  <c r="AJ158" i="1"/>
  <c r="AA574" i="20"/>
  <c r="B28" i="9"/>
  <c r="AC586" i="20"/>
  <c r="F7" i="9"/>
  <c r="AE586" i="20" s="1"/>
  <c r="BT586" i="20"/>
  <c r="BT586" i="15"/>
  <c r="AY7" i="9"/>
  <c r="DQ586" i="20"/>
  <c r="DG53" i="9"/>
  <c r="AN8" i="19"/>
  <c r="CR8" i="9"/>
  <c r="CN587" i="20"/>
  <c r="CN587" i="15"/>
  <c r="K9" i="19"/>
  <c r="DP587" i="20"/>
  <c r="AM9" i="19"/>
  <c r="DN20" i="9"/>
  <c r="CE578" i="20"/>
  <c r="CE578" i="15"/>
  <c r="BU112" i="1"/>
  <c r="AE42" i="9"/>
  <c r="BN590" i="20"/>
  <c r="BN590" i="15"/>
  <c r="BN53" i="9"/>
  <c r="CW29" i="11"/>
  <c r="BF16" i="15"/>
  <c r="DA587" i="15"/>
  <c r="Q10" i="2"/>
  <c r="Q21" i="2" s="1"/>
  <c r="AE33" i="19"/>
  <c r="G34" i="19"/>
  <c r="BK36" i="9"/>
  <c r="T42" i="9"/>
  <c r="T72" i="2"/>
  <c r="Y19" i="2"/>
  <c r="F60" i="19"/>
  <c r="AX143" i="1"/>
  <c r="E10" i="2"/>
  <c r="E9" i="2"/>
  <c r="CI9" i="2"/>
  <c r="AE38" i="19" s="1"/>
  <c r="CJ580" i="20"/>
  <c r="CJ580" i="15"/>
  <c r="G42" i="19"/>
  <c r="BK61" i="2"/>
  <c r="N46" i="19"/>
  <c r="BI25" i="2"/>
  <c r="DS7" i="20"/>
  <c r="AP61" i="19"/>
  <c r="W143" i="1"/>
  <c r="BS17" i="2"/>
  <c r="BA7" i="20"/>
  <c r="BA7" i="15"/>
  <c r="DT7" i="20"/>
  <c r="AQ61" i="19"/>
  <c r="BN41" i="2"/>
  <c r="CK9" i="2"/>
  <c r="AG38" i="19" s="1"/>
  <c r="R11" i="2"/>
  <c r="AX14" i="2"/>
  <c r="C20" i="2"/>
  <c r="F20" i="2" s="1"/>
  <c r="BB22" i="2"/>
  <c r="AZ53" i="20"/>
  <c r="AE23" i="2"/>
  <c r="AA22" i="2"/>
  <c r="AA60" i="2"/>
  <c r="AA59" i="2" s="1"/>
  <c r="B26" i="2"/>
  <c r="CM28" i="2"/>
  <c r="AI57" i="19" s="1"/>
  <c r="CG32" i="2"/>
  <c r="F39" i="2"/>
  <c r="BD52" i="20"/>
  <c r="BD52" i="15"/>
  <c r="AQ8" i="1"/>
  <c r="AQ66" i="1"/>
  <c r="DO164" i="20"/>
  <c r="CP28" i="1"/>
  <c r="BA38" i="9"/>
  <c r="BA39" i="9" s="1"/>
  <c r="BA43" i="9"/>
  <c r="F23" i="2"/>
  <c r="BH27" i="2"/>
  <c r="BH23" i="2" s="1"/>
  <c r="BI23" i="2" s="1"/>
  <c r="CV14" i="20"/>
  <c r="BW159" i="1"/>
  <c r="BW62" i="2"/>
  <c r="CV14" i="15"/>
  <c r="S59" i="19"/>
  <c r="BW28" i="2"/>
  <c r="S57" i="19" s="1"/>
  <c r="CL11" i="1"/>
  <c r="CL88" i="1"/>
  <c r="CL75" i="1"/>
  <c r="AB33" i="19"/>
  <c r="CF9" i="2"/>
  <c r="AB38" i="19" s="1"/>
  <c r="AD36" i="9"/>
  <c r="AD37" i="9" s="1"/>
  <c r="AD56" i="9" s="1"/>
  <c r="AD111" i="1"/>
  <c r="AD4" i="2"/>
  <c r="AE4" i="2" s="1"/>
  <c r="AN37" i="19"/>
  <c r="AA9" i="2"/>
  <c r="BJ10" i="2"/>
  <c r="CO12" i="2"/>
  <c r="BB580" i="20"/>
  <c r="BB580" i="15"/>
  <c r="AC133" i="1"/>
  <c r="AC61" i="2"/>
  <c r="AC59" i="2" s="1"/>
  <c r="AC12" i="2"/>
  <c r="N43" i="19"/>
  <c r="BR72" i="2"/>
  <c r="N80" i="19" s="1"/>
  <c r="AQ6" i="15"/>
  <c r="D46" i="19"/>
  <c r="BH53" i="20"/>
  <c r="BH53" i="15"/>
  <c r="AI60" i="2"/>
  <c r="AI24" i="2"/>
  <c r="AI22" i="2"/>
  <c r="CP53" i="15"/>
  <c r="CP53" i="20"/>
  <c r="M52" i="19"/>
  <c r="BQ60" i="2"/>
  <c r="BQ59" i="2" s="1"/>
  <c r="DE53" i="20"/>
  <c r="AB52" i="19"/>
  <c r="CF24" i="2"/>
  <c r="AB53" i="19" s="1"/>
  <c r="CF60" i="2"/>
  <c r="DS53" i="20"/>
  <c r="AP52" i="19"/>
  <c r="CT24" i="2"/>
  <c r="AP53" i="19" s="1"/>
  <c r="CT22" i="2"/>
  <c r="CP24" i="2"/>
  <c r="AL53" i="19" s="1"/>
  <c r="AN59" i="19"/>
  <c r="BN7" i="20"/>
  <c r="BN7" i="15"/>
  <c r="AB33" i="2"/>
  <c r="BQ9" i="20"/>
  <c r="BQ9" i="15"/>
  <c r="DE9" i="20"/>
  <c r="DE9" i="15"/>
  <c r="AB64" i="19"/>
  <c r="AE64" i="2"/>
  <c r="CG18" i="20"/>
  <c r="CG18" i="15"/>
  <c r="BH64" i="2"/>
  <c r="AI69" i="19"/>
  <c r="DL18" i="20"/>
  <c r="CM64" i="2"/>
  <c r="CB20" i="15"/>
  <c r="CB20" i="20"/>
  <c r="BC65" i="2"/>
  <c r="DV26" i="20"/>
  <c r="CW81" i="2"/>
  <c r="CS54" i="2"/>
  <c r="CO60" i="2"/>
  <c r="Y64" i="2"/>
  <c r="AA30" i="20"/>
  <c r="B5" i="14"/>
  <c r="B8" i="14" s="1"/>
  <c r="B9" i="14" s="1"/>
  <c r="B92" i="1"/>
  <c r="F68" i="2"/>
  <c r="DR30" i="20"/>
  <c r="CS5" i="14"/>
  <c r="CS33" i="2"/>
  <c r="CS92" i="1"/>
  <c r="CT68" i="2"/>
  <c r="CB72" i="2"/>
  <c r="X80" i="19" s="1"/>
  <c r="AR109" i="20"/>
  <c r="AS110" i="15"/>
  <c r="AS111" i="15"/>
  <c r="AS110" i="20"/>
  <c r="AR109" i="15"/>
  <c r="AS111" i="20"/>
  <c r="T81" i="2"/>
  <c r="BL111" i="20"/>
  <c r="BM110" i="20"/>
  <c r="BL110" i="20"/>
  <c r="BM111" i="15"/>
  <c r="BL109" i="15"/>
  <c r="BL111" i="15"/>
  <c r="BM111" i="20"/>
  <c r="BL109" i="20"/>
  <c r="BM110" i="15"/>
  <c r="BL110" i="15"/>
  <c r="AM81" i="2"/>
  <c r="AM57" i="1"/>
  <c r="AU81" i="2"/>
  <c r="BU81" i="2"/>
  <c r="BJ88" i="2"/>
  <c r="CK94" i="2"/>
  <c r="AL145" i="20"/>
  <c r="M6" i="14"/>
  <c r="M140" i="1"/>
  <c r="M60" i="1"/>
  <c r="M63" i="1" s="1"/>
  <c r="M10" i="1"/>
  <c r="M66" i="1" s="1"/>
  <c r="BF145" i="15"/>
  <c r="BF145" i="20"/>
  <c r="AG60" i="1"/>
  <c r="AH20" i="9"/>
  <c r="AX66" i="1"/>
  <c r="AY10" i="1"/>
  <c r="DN146" i="20"/>
  <c r="CO141" i="1"/>
  <c r="CO69" i="1"/>
  <c r="AT100" i="1"/>
  <c r="CI143" i="1"/>
  <c r="CX143" i="1"/>
  <c r="BS155" i="15"/>
  <c r="BS155" i="20"/>
  <c r="AT19" i="1"/>
  <c r="AE152" i="20"/>
  <c r="F19" i="1"/>
  <c r="Y28" i="1"/>
  <c r="CJ28" i="1"/>
  <c r="BO162" i="20"/>
  <c r="BO162" i="15"/>
  <c r="AP147" i="1"/>
  <c r="AY167" i="20"/>
  <c r="AY167" i="15"/>
  <c r="DB167" i="15"/>
  <c r="DB167" i="20"/>
  <c r="BE163" i="20"/>
  <c r="AG39" i="1"/>
  <c r="AG149" i="1" s="1"/>
  <c r="BE163" i="15"/>
  <c r="BF173" i="20"/>
  <c r="BF173" i="15"/>
  <c r="AG52" i="1"/>
  <c r="AG121" i="1"/>
  <c r="AG57" i="1"/>
  <c r="BQ66" i="1"/>
  <c r="N69" i="1"/>
  <c r="BW74" i="1"/>
  <c r="BX73" i="1"/>
  <c r="BX74" i="1" s="1"/>
  <c r="CA75" i="1"/>
  <c r="CA76" i="1" s="1"/>
  <c r="CX75" i="1"/>
  <c r="CX76" i="1" s="1"/>
  <c r="AR89" i="1"/>
  <c r="AR29" i="14"/>
  <c r="M29" i="14"/>
  <c r="BV101" i="1"/>
  <c r="BT110" i="1"/>
  <c r="CW111" i="1"/>
  <c r="CV112" i="1"/>
  <c r="L141" i="1"/>
  <c r="BG148" i="1"/>
  <c r="DR587" i="20"/>
  <c r="AO9" i="19"/>
  <c r="AM54" i="9"/>
  <c r="AM30" i="9"/>
  <c r="CA578" i="20"/>
  <c r="CA578" i="15"/>
  <c r="CR591" i="20"/>
  <c r="CR591" i="15"/>
  <c r="AT57" i="9"/>
  <c r="AT58" i="9" s="1"/>
  <c r="Q42" i="19"/>
  <c r="AZ53" i="15"/>
  <c r="CD162" i="15"/>
  <c r="CL111" i="20"/>
  <c r="BY30" i="20"/>
  <c r="BY30" i="15"/>
  <c r="AZ5" i="14"/>
  <c r="AZ92" i="1"/>
  <c r="BZ109" i="20"/>
  <c r="CA111" i="15"/>
  <c r="CA111" i="20"/>
  <c r="CA110" i="15"/>
  <c r="BZ109" i="15"/>
  <c r="CA110" i="20"/>
  <c r="CY110" i="20"/>
  <c r="CX109" i="15"/>
  <c r="CY111" i="20"/>
  <c r="CY110" i="15"/>
  <c r="CY111" i="15"/>
  <c r="CC81" i="2"/>
  <c r="CQ144" i="20"/>
  <c r="BR139" i="1"/>
  <c r="CV66" i="1"/>
  <c r="CV8" i="1"/>
  <c r="CZ20" i="9" s="1"/>
  <c r="CI142" i="1"/>
  <c r="BI17" i="1"/>
  <c r="BH97" i="1"/>
  <c r="BH98" i="1" s="1"/>
  <c r="BH142" i="1"/>
  <c r="N143" i="1"/>
  <c r="DG152" i="20"/>
  <c r="DG152" i="15"/>
  <c r="CQ164" i="20"/>
  <c r="CQ164" i="15"/>
  <c r="BR28" i="1"/>
  <c r="DD164" i="15"/>
  <c r="DD164" i="20"/>
  <c r="BQ162" i="20"/>
  <c r="BQ162" i="15"/>
  <c r="AU83" i="1"/>
  <c r="AU35" i="1"/>
  <c r="AU87" i="1" s="1"/>
  <c r="AU89" i="1" s="1"/>
  <c r="BV103" i="1"/>
  <c r="BV104" i="1" s="1"/>
  <c r="BV148" i="1"/>
  <c r="CU148" i="1"/>
  <c r="CU103" i="1"/>
  <c r="AY37" i="1"/>
  <c r="AX148" i="1"/>
  <c r="AI163" i="20"/>
  <c r="J149" i="1"/>
  <c r="J145" i="1" s="1"/>
  <c r="J27" i="1"/>
  <c r="J26" i="1" s="1"/>
  <c r="K40" i="1"/>
  <c r="K149" i="1" s="1"/>
  <c r="BE173" i="20"/>
  <c r="BE173" i="15"/>
  <c r="AF57" i="1"/>
  <c r="AF52" i="1"/>
  <c r="AF121" i="1"/>
  <c r="BF338" i="20"/>
  <c r="BA338" i="20"/>
  <c r="BB338" i="15"/>
  <c r="BA338" i="15"/>
  <c r="AB43" i="1"/>
  <c r="BT338" i="20"/>
  <c r="BT338" i="15"/>
  <c r="AU43" i="1"/>
  <c r="CG338" i="20"/>
  <c r="CG338" i="15"/>
  <c r="BH43" i="1"/>
  <c r="CU338" i="20"/>
  <c r="CU338" i="15"/>
  <c r="BG173" i="20"/>
  <c r="BG173" i="15"/>
  <c r="AH120" i="1"/>
  <c r="AH121" i="1"/>
  <c r="AH57" i="1"/>
  <c r="AH52" i="1"/>
  <c r="AA35" i="9"/>
  <c r="AA111" i="1"/>
  <c r="AN576" i="20"/>
  <c r="O110" i="1"/>
  <c r="BN576" i="20"/>
  <c r="AO110" i="1"/>
  <c r="BN576" i="15"/>
  <c r="DM576" i="20"/>
  <c r="CN110" i="1"/>
  <c r="CL112" i="1"/>
  <c r="CD589" i="20"/>
  <c r="CD589" i="15"/>
  <c r="BM111" i="1"/>
  <c r="AR36" i="9"/>
  <c r="AR4" i="2"/>
  <c r="BE36" i="9"/>
  <c r="BE43" i="9" s="1"/>
  <c r="BE4" i="2"/>
  <c r="BH5" i="2"/>
  <c r="BH42" i="9"/>
  <c r="BI42" i="9" s="1"/>
  <c r="BI6" i="2"/>
  <c r="AZ313" i="20"/>
  <c r="AE7" i="2"/>
  <c r="BD313" i="20" s="1"/>
  <c r="AU4" i="20"/>
  <c r="AU4" i="15"/>
  <c r="CY580" i="20"/>
  <c r="CY580" i="15"/>
  <c r="BZ12" i="2"/>
  <c r="BH72" i="2"/>
  <c r="AJ54" i="20"/>
  <c r="K61" i="2"/>
  <c r="AU7" i="15"/>
  <c r="AU7" i="20"/>
  <c r="DI7" i="20"/>
  <c r="AF61" i="19"/>
  <c r="CO9" i="15"/>
  <c r="CO9" i="20"/>
  <c r="L64" i="19"/>
  <c r="AJ15" i="20"/>
  <c r="K159" i="1"/>
  <c r="K62" i="2"/>
  <c r="BO20" i="20"/>
  <c r="BO20" i="15"/>
  <c r="AP65" i="2"/>
  <c r="DX20" i="20"/>
  <c r="AU75" i="19"/>
  <c r="CY65" i="2"/>
  <c r="AE26" i="20"/>
  <c r="F81" i="2"/>
  <c r="AE112" i="20" s="1"/>
  <c r="G5" i="14"/>
  <c r="K68" i="2"/>
  <c r="G92" i="1"/>
  <c r="G93" i="1" s="1"/>
  <c r="BJ30" i="20"/>
  <c r="BJ30" i="15"/>
  <c r="AK5" i="14"/>
  <c r="AK92" i="1"/>
  <c r="BA68" i="2"/>
  <c r="AV110" i="20"/>
  <c r="AV111" i="20"/>
  <c r="AU109" i="20"/>
  <c r="AV111" i="15"/>
  <c r="AV110" i="15"/>
  <c r="AU109" i="15"/>
  <c r="CA109" i="20"/>
  <c r="CB111" i="15"/>
  <c r="CB110" i="15"/>
  <c r="CA109" i="15"/>
  <c r="CB111" i="20"/>
  <c r="CB110" i="20"/>
  <c r="BC81" i="2"/>
  <c r="CZ110" i="20"/>
  <c r="CY109" i="15"/>
  <c r="CZ111" i="20"/>
  <c r="CZ111" i="15"/>
  <c r="DM109" i="20"/>
  <c r="DN110" i="20"/>
  <c r="DN111" i="20"/>
  <c r="CN185" i="1"/>
  <c r="CP81" i="2"/>
  <c r="DO112" i="20" s="1"/>
  <c r="BI112" i="15"/>
  <c r="BI112" i="20"/>
  <c r="AJ32" i="11"/>
  <c r="BB81" i="2"/>
  <c r="BR144" i="20"/>
  <c r="BR144" i="15"/>
  <c r="CD144" i="20"/>
  <c r="CD144" i="15"/>
  <c r="BF14" i="14"/>
  <c r="BF22" i="14"/>
  <c r="BE139" i="1"/>
  <c r="BS6" i="1"/>
  <c r="DD144" i="15"/>
  <c r="CE139" i="1"/>
  <c r="CA145" i="20"/>
  <c r="CA145" i="15"/>
  <c r="BF20" i="9"/>
  <c r="BC19" i="9"/>
  <c r="BB140" i="1"/>
  <c r="BB60" i="1"/>
  <c r="AJ64" i="1"/>
  <c r="CR64" i="1"/>
  <c r="DJ145" i="20"/>
  <c r="CO20" i="9"/>
  <c r="AK21" i="19" s="1"/>
  <c r="CK140" i="1"/>
  <c r="CK60" i="1"/>
  <c r="CW10" i="1"/>
  <c r="CW66" i="1" s="1"/>
  <c r="CF146" i="20"/>
  <c r="CF146" i="15"/>
  <c r="BG141" i="1"/>
  <c r="BG69" i="1"/>
  <c r="BG72" i="1" s="1"/>
  <c r="AT147" i="20"/>
  <c r="AT147" i="15"/>
  <c r="U100" i="1"/>
  <c r="AY16" i="1"/>
  <c r="CJ142" i="1"/>
  <c r="BJ142" i="1"/>
  <c r="BJ97" i="1"/>
  <c r="BJ98" i="1" s="1"/>
  <c r="CW17" i="1"/>
  <c r="CW97" i="1" s="1"/>
  <c r="AT155" i="20"/>
  <c r="AT155" i="15"/>
  <c r="DB155" i="20"/>
  <c r="DB155" i="15"/>
  <c r="CC19" i="1"/>
  <c r="BI153" i="20"/>
  <c r="BI153" i="15"/>
  <c r="AA146" i="1"/>
  <c r="AA27" i="1"/>
  <c r="AA50" i="1"/>
  <c r="BL164" i="20"/>
  <c r="BL164" i="15"/>
  <c r="BS29" i="1"/>
  <c r="DE164" i="15"/>
  <c r="DE164" i="20"/>
  <c r="AE162" i="20"/>
  <c r="F79" i="1"/>
  <c r="BE162" i="20"/>
  <c r="BE162" i="15"/>
  <c r="AV83" i="1"/>
  <c r="AV35" i="1"/>
  <c r="AV87" i="1" s="1"/>
  <c r="CT162" i="20"/>
  <c r="CT162" i="15"/>
  <c r="BU147" i="1"/>
  <c r="BU87" i="1"/>
  <c r="DF162" i="15"/>
  <c r="DF162" i="20"/>
  <c r="DS162" i="20"/>
  <c r="CT147" i="1"/>
  <c r="CT87" i="1"/>
  <c r="AJ36" i="1"/>
  <c r="AW148" i="1"/>
  <c r="BJ148" i="1"/>
  <c r="BJ103" i="1"/>
  <c r="BJ104" i="1" s="1"/>
  <c r="BU338" i="20"/>
  <c r="BU338" i="15"/>
  <c r="AV43" i="1"/>
  <c r="BI44" i="1"/>
  <c r="CV338" i="20"/>
  <c r="BX44" i="1"/>
  <c r="DB338" i="15" s="1"/>
  <c r="CV338" i="15"/>
  <c r="P47" i="1"/>
  <c r="BH173" i="20"/>
  <c r="AI120" i="1"/>
  <c r="BH173" i="15"/>
  <c r="AI57" i="1"/>
  <c r="R89" i="1"/>
  <c r="R29" i="14"/>
  <c r="AU93" i="1"/>
  <c r="AU95" i="1"/>
  <c r="AH98" i="1"/>
  <c r="AJ35" i="9"/>
  <c r="AE33" i="9"/>
  <c r="AJ41" i="9" s="1"/>
  <c r="AF35" i="9"/>
  <c r="AF111" i="1"/>
  <c r="CR35" i="9"/>
  <c r="CM33" i="9"/>
  <c r="CN40" i="9" s="1"/>
  <c r="CR40" i="9" s="1"/>
  <c r="CR41" i="9" s="1"/>
  <c r="CN35" i="9"/>
  <c r="P109" i="1"/>
  <c r="BO576" i="15"/>
  <c r="AP110" i="1"/>
  <c r="CN576" i="20"/>
  <c r="CN576" i="15"/>
  <c r="CM111" i="1"/>
  <c r="CH586" i="20"/>
  <c r="E8" i="19"/>
  <c r="BU588" i="20"/>
  <c r="BU588" i="15"/>
  <c r="AV13" i="9"/>
  <c r="AN20" i="19"/>
  <c r="CN26" i="9"/>
  <c r="AJ27" i="19" s="1"/>
  <c r="AJ26" i="19"/>
  <c r="CR111" i="1"/>
  <c r="CQ112" i="1"/>
  <c r="AL335" i="20"/>
  <c r="AF36" i="9"/>
  <c r="AJ5" i="2"/>
  <c r="AF4" i="2"/>
  <c r="AK113" i="1"/>
  <c r="AK11" i="2"/>
  <c r="CE580" i="15"/>
  <c r="CE580" i="20"/>
  <c r="DS580" i="20"/>
  <c r="CU13" i="2"/>
  <c r="X46" i="19"/>
  <c r="H49" i="19"/>
  <c r="DM16" i="20"/>
  <c r="AJ51" i="19"/>
  <c r="AL54" i="20"/>
  <c r="M85" i="2"/>
  <c r="M86" i="2" s="1"/>
  <c r="M61" i="2"/>
  <c r="M59" i="2" s="1"/>
  <c r="M26" i="2"/>
  <c r="N25" i="2"/>
  <c r="O25" i="2" s="1"/>
  <c r="AG7" i="20"/>
  <c r="H31" i="2"/>
  <c r="H16" i="2" s="1"/>
  <c r="H56" i="2"/>
  <c r="AS9" i="20"/>
  <c r="AS9" i="15"/>
  <c r="CA9" i="20"/>
  <c r="CA9" i="15"/>
  <c r="O45" i="2"/>
  <c r="CC26" i="20"/>
  <c r="CC26" i="15"/>
  <c r="BD81" i="2"/>
  <c r="CE144" i="15"/>
  <c r="CE144" i="20"/>
  <c r="BG22" i="14"/>
  <c r="BF139" i="1"/>
  <c r="CW64" i="1"/>
  <c r="AR146" i="20"/>
  <c r="AR146" i="15"/>
  <c r="S6" i="14"/>
  <c r="F73" i="1"/>
  <c r="F74" i="1" s="1"/>
  <c r="F88" i="1"/>
  <c r="BV88" i="1"/>
  <c r="BV75" i="1"/>
  <c r="BV76" i="1" s="1"/>
  <c r="Z100" i="1"/>
  <c r="Z101" i="1" s="1"/>
  <c r="CW15" i="1"/>
  <c r="BX16" i="1"/>
  <c r="BX142" i="1" s="1"/>
  <c r="BK97" i="1"/>
  <c r="BK98" i="1" s="1"/>
  <c r="BK142" i="1"/>
  <c r="AY155" i="20"/>
  <c r="AY155" i="15"/>
  <c r="DG155" i="20"/>
  <c r="DG155" i="15"/>
  <c r="BI152" i="20"/>
  <c r="BI152" i="15"/>
  <c r="AF27" i="1"/>
  <c r="AF26" i="1" s="1"/>
  <c r="K29" i="1"/>
  <c r="AJ164" i="20" s="1"/>
  <c r="BF166" i="20"/>
  <c r="BF166" i="15"/>
  <c r="AG28" i="1"/>
  <c r="BT166" i="20"/>
  <c r="BT166" i="15"/>
  <c r="AU28" i="1"/>
  <c r="AV10" i="14" s="1"/>
  <c r="CF166" i="20"/>
  <c r="CF166" i="15"/>
  <c r="CS166" i="20"/>
  <c r="CS166" i="15"/>
  <c r="DE166" i="20"/>
  <c r="DE166" i="15"/>
  <c r="AF162" i="20"/>
  <c r="G79" i="1"/>
  <c r="BF162" i="20"/>
  <c r="BF162" i="15"/>
  <c r="AG147" i="1"/>
  <c r="AG79" i="1"/>
  <c r="CW79" i="1"/>
  <c r="CU162" i="20"/>
  <c r="CU162" i="15"/>
  <c r="BV147" i="1"/>
  <c r="BV87" i="1"/>
  <c r="CH35" i="1"/>
  <c r="DT162" i="20"/>
  <c r="CU147" i="1"/>
  <c r="BX411" i="20"/>
  <c r="BX411" i="15"/>
  <c r="BX171" i="20"/>
  <c r="BX171" i="15"/>
  <c r="AY150" i="1"/>
  <c r="AB173" i="20"/>
  <c r="AP173" i="20"/>
  <c r="AP173" i="15"/>
  <c r="Q120" i="1"/>
  <c r="BV338" i="20"/>
  <c r="BV338" i="15"/>
  <c r="CI338" i="20"/>
  <c r="BJ43" i="1"/>
  <c r="CX338" i="20"/>
  <c r="BY43" i="1"/>
  <c r="AJ47" i="1"/>
  <c r="AJ43" i="1" s="1"/>
  <c r="C72" i="1"/>
  <c r="AC74" i="1"/>
  <c r="BN73" i="1"/>
  <c r="BN74" i="1" s="1"/>
  <c r="CM73" i="1"/>
  <c r="CM74" i="1" s="1"/>
  <c r="BW62" i="9"/>
  <c r="BX77" i="1"/>
  <c r="CA98" i="1"/>
  <c r="AK35" i="9"/>
  <c r="AK37" i="9" s="1"/>
  <c r="AK56" i="9" s="1"/>
  <c r="AO35" i="9"/>
  <c r="CS35" i="9"/>
  <c r="CW35" i="9"/>
  <c r="AC576" i="20"/>
  <c r="D110" i="1"/>
  <c r="BC576" i="20"/>
  <c r="BC576" i="15"/>
  <c r="BP576" i="20"/>
  <c r="BP576" i="15"/>
  <c r="AQ110" i="1"/>
  <c r="CB576" i="20"/>
  <c r="CB576" i="15"/>
  <c r="BC110" i="1"/>
  <c r="CO576" i="20"/>
  <c r="CO576" i="15"/>
  <c r="BP110" i="1"/>
  <c r="CC109" i="1"/>
  <c r="DA576" i="20"/>
  <c r="DO576" i="20"/>
  <c r="CP110" i="1"/>
  <c r="CX140" i="1"/>
  <c r="AF147" i="1"/>
  <c r="AK575" i="20"/>
  <c r="M11" i="9"/>
  <c r="DQ575" i="20"/>
  <c r="AN11" i="19"/>
  <c r="CR11" i="9"/>
  <c r="AN12" i="19" s="1"/>
  <c r="T16" i="19"/>
  <c r="BX16" i="9"/>
  <c r="T17" i="19" s="1"/>
  <c r="X26" i="19"/>
  <c r="CB26" i="9"/>
  <c r="CC25" i="9"/>
  <c r="Y26" i="19" s="1"/>
  <c r="Z33" i="9"/>
  <c r="AE41" i="9" s="1"/>
  <c r="V42" i="19"/>
  <c r="N75" i="19"/>
  <c r="CQ20" i="20"/>
  <c r="CQ20" i="15"/>
  <c r="BM109" i="20"/>
  <c r="BN111" i="15"/>
  <c r="BN110" i="20"/>
  <c r="BN110" i="15"/>
  <c r="BN111" i="20"/>
  <c r="BM109" i="15"/>
  <c r="AP81" i="2"/>
  <c r="CL109" i="20"/>
  <c r="CL109" i="15"/>
  <c r="DK109" i="20"/>
  <c r="CM78" i="2"/>
  <c r="DL111" i="20" s="1"/>
  <c r="CL185" i="1"/>
  <c r="BH112" i="15"/>
  <c r="BH112" i="20"/>
  <c r="CN81" i="2"/>
  <c r="DM112" i="20" s="1"/>
  <c r="DC144" i="20"/>
  <c r="DC144" i="15"/>
  <c r="CD51" i="1"/>
  <c r="CD139" i="1"/>
  <c r="CJ66" i="1"/>
  <c r="CJ8" i="1"/>
  <c r="AO147" i="20"/>
  <c r="AO147" i="15"/>
  <c r="P100" i="1"/>
  <c r="AS100" i="1"/>
  <c r="BS142" i="1"/>
  <c r="CQ143" i="1"/>
  <c r="AR155" i="20"/>
  <c r="AR155" i="15"/>
  <c r="S19" i="1"/>
  <c r="CW155" i="15"/>
  <c r="BX19" i="1"/>
  <c r="CW155" i="20"/>
  <c r="BD152" i="20"/>
  <c r="BD152" i="15"/>
  <c r="BD153" i="20"/>
  <c r="BD153" i="15"/>
  <c r="BK164" i="20"/>
  <c r="BK164" i="15"/>
  <c r="CM79" i="1"/>
  <c r="DR162" i="20"/>
  <c r="CS87" i="1"/>
  <c r="AV148" i="1"/>
  <c r="AV103" i="1"/>
  <c r="CC167" i="15"/>
  <c r="CC167" i="20"/>
  <c r="CI35" i="9"/>
  <c r="CM35" i="9"/>
  <c r="CH33" i="9"/>
  <c r="CI40" i="9" s="1"/>
  <c r="AA576" i="20"/>
  <c r="B110" i="1"/>
  <c r="BA576" i="20"/>
  <c r="BA576" i="15"/>
  <c r="AB110" i="1"/>
  <c r="BZ576" i="20"/>
  <c r="BZ576" i="15"/>
  <c r="CY576" i="15"/>
  <c r="CY576" i="20"/>
  <c r="BZ110" i="1"/>
  <c r="CH158" i="1"/>
  <c r="BT588" i="20"/>
  <c r="BT588" i="15"/>
  <c r="DQ588" i="20"/>
  <c r="AN13" i="19"/>
  <c r="DD589" i="20"/>
  <c r="DD589" i="15"/>
  <c r="AA14" i="19"/>
  <c r="CR13" i="9"/>
  <c r="CO21" i="9"/>
  <c r="AK22" i="19" s="1"/>
  <c r="CR17" i="9"/>
  <c r="AK18" i="19"/>
  <c r="BV577" i="20"/>
  <c r="AW26" i="9"/>
  <c r="AX28" i="9"/>
  <c r="AX30" i="9" s="1"/>
  <c r="BV577" i="15"/>
  <c r="V26" i="19"/>
  <c r="BZ26" i="9"/>
  <c r="V27" i="19" s="1"/>
  <c r="AG48" i="9"/>
  <c r="AG74" i="1" s="1"/>
  <c r="AG47" i="9"/>
  <c r="DU86" i="2"/>
  <c r="AM43" i="19"/>
  <c r="CQ72" i="2"/>
  <c r="AM80" i="19" s="1"/>
  <c r="AR6" i="20"/>
  <c r="G49" i="19"/>
  <c r="AM53" i="20"/>
  <c r="N24" i="2"/>
  <c r="BA53" i="20"/>
  <c r="BA53" i="15"/>
  <c r="AB22" i="2"/>
  <c r="CF53" i="20"/>
  <c r="CF53" i="15"/>
  <c r="CU53" i="20"/>
  <c r="R52" i="19"/>
  <c r="CU53" i="15"/>
  <c r="BV24" i="2"/>
  <c r="R53" i="19" s="1"/>
  <c r="BV60" i="2"/>
  <c r="BV22" i="2"/>
  <c r="DH53" i="20"/>
  <c r="AE52" i="19"/>
  <c r="CI60" i="2"/>
  <c r="CI59" i="2" s="1"/>
  <c r="CI22" i="2"/>
  <c r="CL23" i="2"/>
  <c r="S54" i="19"/>
  <c r="CV54" i="20"/>
  <c r="CV54" i="15"/>
  <c r="BW85" i="2"/>
  <c r="BW88" i="2" s="1"/>
  <c r="BW61" i="2"/>
  <c r="AF7" i="20"/>
  <c r="G31" i="2"/>
  <c r="G56" i="2"/>
  <c r="CU7" i="20"/>
  <c r="R61" i="19"/>
  <c r="CU7" i="15"/>
  <c r="BZ9" i="20"/>
  <c r="BZ9" i="15"/>
  <c r="CR15" i="20"/>
  <c r="CR15" i="15"/>
  <c r="O67" i="19"/>
  <c r="AM18" i="20"/>
  <c r="N64" i="2"/>
  <c r="BS45" i="2"/>
  <c r="BA147" i="15"/>
  <c r="B3" i="14"/>
  <c r="B130" i="1"/>
  <c r="B32" i="9"/>
  <c r="B106" i="1"/>
  <c r="B93" i="2"/>
  <c r="B59" i="1"/>
  <c r="B9" i="7"/>
  <c r="B23" i="9"/>
  <c r="DJ86" i="2"/>
  <c r="R36" i="9"/>
  <c r="R107" i="1"/>
  <c r="R71" i="2"/>
  <c r="R4" i="2"/>
  <c r="R34" i="19"/>
  <c r="BV36" i="9"/>
  <c r="AE34" i="19"/>
  <c r="CI36" i="9"/>
  <c r="CI43" i="9" s="1"/>
  <c r="AQ35" i="19"/>
  <c r="CU42" i="9"/>
  <c r="BA313" i="20"/>
  <c r="BA313" i="15"/>
  <c r="DR313" i="20"/>
  <c r="L9" i="2"/>
  <c r="AZ54" i="2"/>
  <c r="CA13" i="2"/>
  <c r="O23" i="2"/>
  <c r="AF52" i="19"/>
  <c r="DI53" i="20"/>
  <c r="CJ60" i="2"/>
  <c r="CJ59" i="2" s="1"/>
  <c r="CJ22" i="2"/>
  <c r="BU7" i="20"/>
  <c r="BU7" i="15"/>
  <c r="AU32" i="2"/>
  <c r="DJ7" i="20"/>
  <c r="AG61" i="19"/>
  <c r="AT61" i="19"/>
  <c r="DW7" i="20"/>
  <c r="CP9" i="20"/>
  <c r="M64" i="19"/>
  <c r="CP9" i="15"/>
  <c r="DP9" i="20"/>
  <c r="AM64" i="19"/>
  <c r="CQ94" i="2"/>
  <c r="AO15" i="20"/>
  <c r="AO15" i="15"/>
  <c r="P159" i="1"/>
  <c r="CW15" i="20"/>
  <c r="CW15" i="15"/>
  <c r="T67" i="19"/>
  <c r="O39" i="2"/>
  <c r="P39" i="2" s="1"/>
  <c r="AJ52" i="20"/>
  <c r="DF52" i="20"/>
  <c r="DF52" i="15"/>
  <c r="AC71" i="19"/>
  <c r="AS45" i="2"/>
  <c r="CV20" i="20"/>
  <c r="S75" i="19"/>
  <c r="AL68" i="2"/>
  <c r="AN68" i="2" s="1"/>
  <c r="CL76" i="2"/>
  <c r="CK76" i="2" s="1"/>
  <c r="CJ76" i="2" s="1"/>
  <c r="AW111" i="20"/>
  <c r="AW110" i="20"/>
  <c r="AV109" i="15"/>
  <c r="AV109" i="20"/>
  <c r="AW110" i="15"/>
  <c r="AW111" i="15"/>
  <c r="BJ112" i="15"/>
  <c r="BJ112" i="20"/>
  <c r="AK88" i="2"/>
  <c r="CN94" i="2"/>
  <c r="AO144" i="20"/>
  <c r="U14" i="14"/>
  <c r="P15" i="14"/>
  <c r="Q14" i="14"/>
  <c r="P139" i="1"/>
  <c r="AO144" i="15"/>
  <c r="P51" i="1"/>
  <c r="BE144" i="20"/>
  <c r="BE144" i="15"/>
  <c r="AG14" i="14"/>
  <c r="AF139" i="1"/>
  <c r="AF51" i="1"/>
  <c r="AT6" i="1"/>
  <c r="CS144" i="20"/>
  <c r="CS144" i="15"/>
  <c r="BU14" i="14"/>
  <c r="BT51" i="1"/>
  <c r="DE144" i="20"/>
  <c r="DE144" i="15"/>
  <c r="CF139" i="1"/>
  <c r="CF51" i="1"/>
  <c r="CG14" i="14"/>
  <c r="AD145" i="20"/>
  <c r="E140" i="1"/>
  <c r="F8" i="1"/>
  <c r="E60" i="1"/>
  <c r="E63" i="1" s="1"/>
  <c r="E40" i="2" s="1"/>
  <c r="AL8" i="1"/>
  <c r="AB66" i="1"/>
  <c r="AB8" i="1"/>
  <c r="W11" i="1"/>
  <c r="W75" i="1"/>
  <c r="AU100" i="1"/>
  <c r="CI100" i="1"/>
  <c r="CI101" i="1" s="1"/>
  <c r="CK142" i="1"/>
  <c r="BA147" i="20"/>
  <c r="AB144" i="1"/>
  <c r="BR143" i="1"/>
  <c r="CS143" i="1"/>
  <c r="BK153" i="20"/>
  <c r="BK153" i="15"/>
  <c r="DK86" i="2"/>
  <c r="DW86" i="2"/>
  <c r="T5" i="2"/>
  <c r="AG36" i="9"/>
  <c r="AG111" i="1"/>
  <c r="AG4" i="2"/>
  <c r="BW5" i="2"/>
  <c r="AF34" i="19"/>
  <c r="CJ36" i="9"/>
  <c r="CJ43" i="9" s="1"/>
  <c r="CX36" i="9"/>
  <c r="CX4" i="2"/>
  <c r="CV6" i="2"/>
  <c r="BB313" i="20"/>
  <c r="BB313" i="15"/>
  <c r="W10" i="2"/>
  <c r="AI4" i="20"/>
  <c r="AL12" i="2"/>
  <c r="BG13" i="2"/>
  <c r="AP43" i="19"/>
  <c r="CT72" i="2"/>
  <c r="AP80" i="19" s="1"/>
  <c r="AQ6" i="20"/>
  <c r="AX17" i="2"/>
  <c r="CC17" i="2"/>
  <c r="BM20" i="2"/>
  <c r="BN20" i="2" s="1"/>
  <c r="BT54" i="20"/>
  <c r="BT54" i="15"/>
  <c r="DA54" i="20"/>
  <c r="X54" i="19"/>
  <c r="DA54" i="15"/>
  <c r="CB85" i="2"/>
  <c r="CC27" i="2"/>
  <c r="Y56" i="19" s="1"/>
  <c r="BJ14" i="20"/>
  <c r="AK62" i="2"/>
  <c r="BV31" i="2"/>
  <c r="R60" i="19" s="1"/>
  <c r="AH7" i="20"/>
  <c r="I56" i="2"/>
  <c r="CL32" i="2"/>
  <c r="B32" i="2"/>
  <c r="F33" i="2"/>
  <c r="F92" i="1" s="1"/>
  <c r="F93" i="1" s="1"/>
  <c r="U35" i="2"/>
  <c r="BR35" i="2"/>
  <c r="BS35" i="2" s="1"/>
  <c r="CR35" i="2"/>
  <c r="CR62" i="2" s="1"/>
  <c r="AT15" i="20"/>
  <c r="AT15" i="15"/>
  <c r="U159" i="1"/>
  <c r="DB15" i="20"/>
  <c r="Y67" i="19"/>
  <c r="BU18" i="20"/>
  <c r="BU18" i="15"/>
  <c r="AM52" i="20"/>
  <c r="P41" i="2"/>
  <c r="CB52" i="20"/>
  <c r="CB52" i="15"/>
  <c r="BC64" i="2"/>
  <c r="CH41" i="2"/>
  <c r="BX45" i="2"/>
  <c r="T62" i="2"/>
  <c r="BK112" i="20"/>
  <c r="BK112" i="15"/>
  <c r="BZ81" i="2"/>
  <c r="BI84" i="2"/>
  <c r="CM84" i="2"/>
  <c r="AS144" i="20"/>
  <c r="AS144" i="15"/>
  <c r="T15" i="14"/>
  <c r="BF144" i="20"/>
  <c r="BF144" i="15"/>
  <c r="AH14" i="14"/>
  <c r="AG139" i="1"/>
  <c r="AG51" i="1"/>
  <c r="BT144" i="20"/>
  <c r="BT144" i="15"/>
  <c r="AV14" i="14"/>
  <c r="AU51" i="1"/>
  <c r="CF144" i="20"/>
  <c r="CF144" i="15"/>
  <c r="BH22" i="14"/>
  <c r="BG139" i="1"/>
  <c r="DT144" i="20"/>
  <c r="CV14" i="14"/>
  <c r="CU51" i="1"/>
  <c r="AF145" i="20"/>
  <c r="G10" i="1"/>
  <c r="G66" i="1" s="1"/>
  <c r="AM8" i="1"/>
  <c r="AM24" i="1" s="1"/>
  <c r="AC66" i="1"/>
  <c r="AC8" i="1"/>
  <c r="AO10" i="1"/>
  <c r="BN10" i="1"/>
  <c r="AA146" i="20"/>
  <c r="B141" i="1"/>
  <c r="AK88" i="1"/>
  <c r="AK11" i="1"/>
  <c r="AX88" i="1"/>
  <c r="AX11" i="1"/>
  <c r="AX18" i="1" s="1"/>
  <c r="BW88" i="1"/>
  <c r="BW75" i="1"/>
  <c r="BJ100" i="1"/>
  <c r="BJ101" i="1" s="1"/>
  <c r="BX15" i="1"/>
  <c r="AK98" i="1"/>
  <c r="BC147" i="20"/>
  <c r="BC147" i="15"/>
  <c r="AE18" i="1"/>
  <c r="AE144" i="1" s="1"/>
  <c r="AD144" i="1"/>
  <c r="AG143" i="1"/>
  <c r="BG143" i="1"/>
  <c r="CG143" i="1"/>
  <c r="CT143" i="1"/>
  <c r="BD155" i="20"/>
  <c r="BD155" i="15"/>
  <c r="AE19" i="1"/>
  <c r="DL155" i="20"/>
  <c r="CM19" i="1"/>
  <c r="BN152" i="20"/>
  <c r="BN152" i="15"/>
  <c r="AO19" i="1"/>
  <c r="DV152" i="20"/>
  <c r="CW19" i="1"/>
  <c r="BN153" i="15"/>
  <c r="BN153" i="20"/>
  <c r="BN164" i="20"/>
  <c r="BN164" i="15"/>
  <c r="CT164" i="20"/>
  <c r="CT164" i="15"/>
  <c r="AJ162" i="20"/>
  <c r="K147" i="1"/>
  <c r="BG162" i="20"/>
  <c r="BG162" i="15"/>
  <c r="AH79" i="1"/>
  <c r="BV162" i="20"/>
  <c r="BV162" i="15"/>
  <c r="AW147" i="1"/>
  <c r="CV162" i="20"/>
  <c r="BW147" i="1"/>
  <c r="CV162" i="15"/>
  <c r="BW87" i="1"/>
  <c r="DH162" i="20"/>
  <c r="CI147" i="1"/>
  <c r="DU162" i="20"/>
  <c r="CW35" i="1"/>
  <c r="CW87" i="1" s="1"/>
  <c r="AV32" i="1"/>
  <c r="AU39" i="1"/>
  <c r="AU32" i="1" s="1"/>
  <c r="CC171" i="20"/>
  <c r="CC411" i="15"/>
  <c r="CC411" i="20"/>
  <c r="BD150" i="1"/>
  <c r="CC171" i="15"/>
  <c r="AC173" i="20"/>
  <c r="AQ173" i="20"/>
  <c r="AQ173" i="15"/>
  <c r="R57" i="1"/>
  <c r="R120" i="1"/>
  <c r="BJ338" i="20"/>
  <c r="BJ338" i="15"/>
  <c r="BW338" i="20"/>
  <c r="AY44" i="1"/>
  <c r="CC338" i="15" s="1"/>
  <c r="AU173" i="20"/>
  <c r="V120" i="1"/>
  <c r="V121" i="1"/>
  <c r="AU173" i="15"/>
  <c r="AW47" i="1"/>
  <c r="AW43" i="1" s="1"/>
  <c r="O53" i="1"/>
  <c r="T51" i="1"/>
  <c r="AI52" i="1"/>
  <c r="V57" i="1"/>
  <c r="CT75" i="1"/>
  <c r="CT76" i="1" s="1"/>
  <c r="K79" i="1"/>
  <c r="X101" i="1"/>
  <c r="X85" i="1"/>
  <c r="AH85" i="1"/>
  <c r="B29" i="14"/>
  <c r="B89" i="1"/>
  <c r="BG100" i="1"/>
  <c r="AO33" i="9"/>
  <c r="AP40" i="9" s="1"/>
  <c r="AT40" i="9" s="1"/>
  <c r="AT41" i="9" s="1"/>
  <c r="AP35" i="9"/>
  <c r="AP111" i="1"/>
  <c r="AE109" i="1"/>
  <c r="BQ576" i="20"/>
  <c r="BQ576" i="15"/>
  <c r="BD109" i="1"/>
  <c r="DC576" i="20"/>
  <c r="DC576" i="15"/>
  <c r="DP576" i="20"/>
  <c r="CQ110" i="1"/>
  <c r="CD110" i="1"/>
  <c r="BS157" i="1"/>
  <c r="AH147" i="1"/>
  <c r="E8" i="9"/>
  <c r="AD587" i="20" s="1"/>
  <c r="AU15" i="9"/>
  <c r="AR47" i="9"/>
  <c r="AU6" i="9"/>
  <c r="AQ47" i="9"/>
  <c r="AY4" i="9"/>
  <c r="AU47" i="9"/>
  <c r="M10" i="9"/>
  <c r="CB575" i="20"/>
  <c r="CB575" i="15"/>
  <c r="BC11" i="9"/>
  <c r="AS11" i="19"/>
  <c r="CW11" i="9"/>
  <c r="AS12" i="19" s="1"/>
  <c r="DV575" i="20"/>
  <c r="AY12" i="9"/>
  <c r="CR33" i="9"/>
  <c r="CS40" i="9" s="1"/>
  <c r="B45" i="9"/>
  <c r="BG14" i="14"/>
  <c r="AR6" i="15"/>
  <c r="BW338" i="15"/>
  <c r="AR79" i="1"/>
  <c r="BB576" i="20"/>
  <c r="BB576" i="15"/>
  <c r="AC110" i="1"/>
  <c r="AC121" i="1"/>
  <c r="CA576" i="20"/>
  <c r="CA576" i="15"/>
  <c r="BB110" i="1"/>
  <c r="CZ576" i="20"/>
  <c r="CZ576" i="15"/>
  <c r="C8" i="9"/>
  <c r="AB587" i="20" s="1"/>
  <c r="C5" i="9"/>
  <c r="B47" i="9" s="1"/>
  <c r="AJ15" i="19"/>
  <c r="CN34" i="9"/>
  <c r="O16" i="19"/>
  <c r="BS16" i="9"/>
  <c r="O17" i="19" s="1"/>
  <c r="AL29" i="19"/>
  <c r="CP30" i="9"/>
  <c r="DX86" i="2"/>
  <c r="F33" i="19"/>
  <c r="Z33" i="19"/>
  <c r="CD9" i="2"/>
  <c r="Z38" i="19" s="1"/>
  <c r="F34" i="19"/>
  <c r="BJ36" i="9"/>
  <c r="AG34" i="19"/>
  <c r="CK36" i="9"/>
  <c r="AL42" i="9"/>
  <c r="AM6" i="2"/>
  <c r="AN6" i="2" s="1"/>
  <c r="BC313" i="20"/>
  <c r="BC313" i="15"/>
  <c r="CS313" i="20"/>
  <c r="CS313" i="15"/>
  <c r="P36" i="19"/>
  <c r="X37" i="19"/>
  <c r="CB7" i="2"/>
  <c r="BE71" i="2"/>
  <c r="P41" i="19"/>
  <c r="BT11" i="2"/>
  <c r="CI11" i="2"/>
  <c r="AC46" i="19"/>
  <c r="AU6" i="15"/>
  <c r="AU6" i="20"/>
  <c r="V56" i="2"/>
  <c r="Y20" i="2"/>
  <c r="BF53" i="20"/>
  <c r="BF53" i="15"/>
  <c r="AG60" i="2"/>
  <c r="F52" i="19"/>
  <c r="CI53" i="20"/>
  <c r="CI53" i="15"/>
  <c r="BJ60" i="2"/>
  <c r="BJ59" i="2" s="1"/>
  <c r="BJ22" i="2"/>
  <c r="DB54" i="20"/>
  <c r="Y54" i="19"/>
  <c r="F56" i="19"/>
  <c r="AI7" i="20"/>
  <c r="J56" i="2"/>
  <c r="CX7" i="15"/>
  <c r="CX7" i="20"/>
  <c r="U61" i="19"/>
  <c r="C63" i="19"/>
  <c r="AX9" i="15"/>
  <c r="Y62" i="2"/>
  <c r="BP9" i="15"/>
  <c r="BP9" i="20"/>
  <c r="AY15" i="20"/>
  <c r="AY15" i="15"/>
  <c r="DG15" i="15"/>
  <c r="AD67" i="19"/>
  <c r="DG15" i="20"/>
  <c r="AQ18" i="15"/>
  <c r="AQ18" i="20"/>
  <c r="R64" i="2"/>
  <c r="U39" i="2"/>
  <c r="AN52" i="20"/>
  <c r="CC52" i="20"/>
  <c r="CC52" i="15"/>
  <c r="DK52" i="20"/>
  <c r="AH71" i="19"/>
  <c r="BK43" i="2"/>
  <c r="CJ6" i="15" s="1"/>
  <c r="AQ20" i="15"/>
  <c r="AQ20" i="20"/>
  <c r="R65" i="2"/>
  <c r="BT20" i="20"/>
  <c r="BT20" i="15"/>
  <c r="DA20" i="20"/>
  <c r="DA20" i="15"/>
  <c r="X75" i="19"/>
  <c r="CB65" i="2"/>
  <c r="O81" i="2"/>
  <c r="AN112" i="20" s="1"/>
  <c r="AN26" i="20"/>
  <c r="BM49" i="2"/>
  <c r="B52" i="2"/>
  <c r="BE54" i="2"/>
  <c r="N60" i="2"/>
  <c r="BF61" i="2"/>
  <c r="AZ30" i="20"/>
  <c r="AA5" i="14"/>
  <c r="AZ30" i="15"/>
  <c r="AA92" i="1"/>
  <c r="CD30" i="20"/>
  <c r="CD30" i="15"/>
  <c r="BE5" i="14"/>
  <c r="DM30" i="20"/>
  <c r="CN5" i="14"/>
  <c r="CI71" i="2"/>
  <c r="AE79" i="19" s="1"/>
  <c r="B77" i="2"/>
  <c r="AZ111" i="20"/>
  <c r="AZ110" i="20"/>
  <c r="AY109" i="20"/>
  <c r="AY109" i="15"/>
  <c r="AZ111" i="15"/>
  <c r="AZ110" i="15"/>
  <c r="W81" i="2"/>
  <c r="CA81" i="2"/>
  <c r="BG144" i="20"/>
  <c r="BG144" i="15"/>
  <c r="AH139" i="1"/>
  <c r="AH15" i="14"/>
  <c r="AH51" i="1"/>
  <c r="CJ14" i="14"/>
  <c r="DH144" i="20"/>
  <c r="CI139" i="1"/>
  <c r="DU144" i="20"/>
  <c r="CV139" i="1"/>
  <c r="CV51" i="1"/>
  <c r="AG145" i="20"/>
  <c r="H60" i="1"/>
  <c r="H140" i="1"/>
  <c r="H10" i="1"/>
  <c r="H66" i="1" s="1"/>
  <c r="H73" i="1"/>
  <c r="H74" i="1" s="1"/>
  <c r="H88" i="1"/>
  <c r="H11" i="1"/>
  <c r="AL88" i="1"/>
  <c r="AL11" i="1"/>
  <c r="CC88" i="1"/>
  <c r="DU146" i="20"/>
  <c r="CV69" i="1"/>
  <c r="CW11" i="1"/>
  <c r="CV141" i="1"/>
  <c r="BH147" i="20"/>
  <c r="BH147" i="15"/>
  <c r="AJ15" i="1"/>
  <c r="AJ144" i="1" s="1"/>
  <c r="BK100" i="1"/>
  <c r="BK101" i="1" s="1"/>
  <c r="AL98" i="1"/>
  <c r="BM142" i="1"/>
  <c r="BN17" i="1"/>
  <c r="BT143" i="1"/>
  <c r="CH19" i="1"/>
  <c r="AT151" i="20"/>
  <c r="AT151" i="15"/>
  <c r="DB151" i="20"/>
  <c r="DB151" i="15"/>
  <c r="BO50" i="1"/>
  <c r="BO146" i="1"/>
  <c r="BO164" i="20"/>
  <c r="BO164" i="15"/>
  <c r="AV166" i="20"/>
  <c r="AV166" i="15"/>
  <c r="BI166" i="20"/>
  <c r="BI166" i="15"/>
  <c r="BV166" i="15"/>
  <c r="AW28" i="1"/>
  <c r="BV166" i="20"/>
  <c r="CU166" i="15"/>
  <c r="CU166" i="20"/>
  <c r="DG166" i="20"/>
  <c r="DG166" i="15"/>
  <c r="AO162" i="20"/>
  <c r="AO162" i="15"/>
  <c r="P79" i="1"/>
  <c r="P147" i="1"/>
  <c r="BH162" i="20"/>
  <c r="BH162" i="15"/>
  <c r="AJ32" i="1"/>
  <c r="AI79" i="1"/>
  <c r="BW162" i="20"/>
  <c r="BW162" i="15"/>
  <c r="AX147" i="1"/>
  <c r="CI162" i="20"/>
  <c r="CI162" i="15"/>
  <c r="AM104" i="1"/>
  <c r="AN163" i="20"/>
  <c r="O149" i="1"/>
  <c r="O145" i="1" s="1"/>
  <c r="O27" i="1"/>
  <c r="AZ163" i="20"/>
  <c r="AZ163" i="15"/>
  <c r="AA149" i="1"/>
  <c r="AE338" i="20"/>
  <c r="AE411" i="20"/>
  <c r="AE171" i="20"/>
  <c r="F150" i="1"/>
  <c r="CH411" i="20"/>
  <c r="CH171" i="20"/>
  <c r="BI150" i="1"/>
  <c r="AD173" i="20"/>
  <c r="AR173" i="20"/>
  <c r="S57" i="1"/>
  <c r="S52" i="1"/>
  <c r="S120" i="1"/>
  <c r="AR173" i="15"/>
  <c r="BL173" i="20"/>
  <c r="BL173" i="15"/>
  <c r="AM121" i="1"/>
  <c r="BY338" i="20"/>
  <c r="CK338" i="20"/>
  <c r="CK338" i="15"/>
  <c r="BL43" i="1"/>
  <c r="AX173" i="15"/>
  <c r="AX173" i="20"/>
  <c r="Y121" i="1"/>
  <c r="Y120" i="1"/>
  <c r="W57" i="1"/>
  <c r="Y98" i="1"/>
  <c r="Y101" i="1"/>
  <c r="J85" i="1"/>
  <c r="CG87" i="1"/>
  <c r="BK88" i="1"/>
  <c r="AG93" i="1"/>
  <c r="AG95" i="1"/>
  <c r="AT33" i="9"/>
  <c r="AU40" i="9" s="1"/>
  <c r="BE576" i="20"/>
  <c r="BE576" i="15"/>
  <c r="CQ576" i="20"/>
  <c r="CQ576" i="15"/>
  <c r="BR110" i="1"/>
  <c r="DD576" i="20"/>
  <c r="DD576" i="15"/>
  <c r="CE110" i="1"/>
  <c r="BX157" i="1"/>
  <c r="AX158" i="1"/>
  <c r="AY158" i="1" s="1"/>
  <c r="AY134" i="1"/>
  <c r="AZ158" i="1" s="1"/>
  <c r="AI147" i="1"/>
  <c r="CS147" i="1"/>
  <c r="AT574" i="20"/>
  <c r="AT574" i="15"/>
  <c r="U6" i="9"/>
  <c r="CR574" i="20"/>
  <c r="CR574" i="15"/>
  <c r="BS6" i="9"/>
  <c r="O7" i="19" s="1"/>
  <c r="O6" i="19"/>
  <c r="D10" i="9"/>
  <c r="D84" i="1"/>
  <c r="D98" i="1" s="1"/>
  <c r="D19" i="2"/>
  <c r="D13" i="9"/>
  <c r="AC589" i="20" s="1"/>
  <c r="AQ13" i="9"/>
  <c r="AQ30" i="9"/>
  <c r="AQ35" i="9"/>
  <c r="AQ84" i="1"/>
  <c r="BN13" i="9"/>
  <c r="BN84" i="1"/>
  <c r="BN85" i="1" s="1"/>
  <c r="J10" i="19"/>
  <c r="BN35" i="9"/>
  <c r="CC575" i="20"/>
  <c r="CC575" i="15"/>
  <c r="D11" i="19"/>
  <c r="AN588" i="20"/>
  <c r="P12" i="9"/>
  <c r="CC588" i="20"/>
  <c r="CC588" i="15"/>
  <c r="D13" i="19"/>
  <c r="AM15" i="19"/>
  <c r="CQ34" i="9"/>
  <c r="AO15" i="9"/>
  <c r="AO16" i="9" s="1"/>
  <c r="CO29" i="9"/>
  <c r="BH14" i="14"/>
  <c r="D71" i="19"/>
  <c r="DB15" i="15"/>
  <c r="DG153" i="15"/>
  <c r="CD338" i="15"/>
  <c r="DD144" i="20"/>
  <c r="DO86" i="2"/>
  <c r="K36" i="19"/>
  <c r="CN313" i="20"/>
  <c r="BB53" i="20"/>
  <c r="BB53" i="15"/>
  <c r="AG52" i="19"/>
  <c r="DJ53" i="20"/>
  <c r="BO7" i="20"/>
  <c r="BO7" i="15"/>
  <c r="AD63" i="19"/>
  <c r="BH9" i="20"/>
  <c r="BH9" i="15"/>
  <c r="DU9" i="20"/>
  <c r="AR64" i="19"/>
  <c r="I35" i="19"/>
  <c r="BM42" i="9"/>
  <c r="BE313" i="20"/>
  <c r="BE313" i="15"/>
  <c r="CU8" i="2"/>
  <c r="CV8" i="2" s="1"/>
  <c r="AW6" i="20"/>
  <c r="AW6" i="15"/>
  <c r="BC53" i="20"/>
  <c r="BC53" i="15"/>
  <c r="CY53" i="20"/>
  <c r="CY53" i="15"/>
  <c r="DW53" i="20"/>
  <c r="AT52" i="19"/>
  <c r="AP31" i="2"/>
  <c r="DN7" i="20"/>
  <c r="AK61" i="19"/>
  <c r="BU9" i="20"/>
  <c r="BU9" i="15"/>
  <c r="DQ15" i="20"/>
  <c r="CR159" i="1"/>
  <c r="AQ52" i="20"/>
  <c r="AQ52" i="15"/>
  <c r="I45" i="2"/>
  <c r="V68" i="2"/>
  <c r="BT30" i="20"/>
  <c r="BT30" i="15"/>
  <c r="AJ110" i="20"/>
  <c r="AK111" i="20"/>
  <c r="AJ111" i="20"/>
  <c r="AJ109" i="20"/>
  <c r="AK110" i="20"/>
  <c r="BQ109" i="20"/>
  <c r="BR111" i="20"/>
  <c r="BR110" i="20"/>
  <c r="BR110" i="15"/>
  <c r="BR111" i="15"/>
  <c r="CE110" i="15"/>
  <c r="CE110" i="20"/>
  <c r="CD109" i="20"/>
  <c r="CE111" i="15"/>
  <c r="CD109" i="15"/>
  <c r="CQ110" i="20"/>
  <c r="CP109" i="20"/>
  <c r="CQ111" i="20"/>
  <c r="CQ110" i="15"/>
  <c r="CP109" i="15"/>
  <c r="CC78" i="2"/>
  <c r="DP110" i="20"/>
  <c r="DO109" i="20"/>
  <c r="DP111" i="20"/>
  <c r="CP185" i="1"/>
  <c r="CQ81" i="2"/>
  <c r="DP112" i="20" s="1"/>
  <c r="AY84" i="2"/>
  <c r="BB144" i="20"/>
  <c r="BB144" i="15"/>
  <c r="AC139" i="1"/>
  <c r="BO144" i="20"/>
  <c r="BO144" i="15"/>
  <c r="AQ14" i="14"/>
  <c r="CA144" i="20"/>
  <c r="BC14" i="14"/>
  <c r="BB139" i="1"/>
  <c r="CA144" i="15"/>
  <c r="CN144" i="20"/>
  <c r="BP14" i="14"/>
  <c r="BO139" i="1"/>
  <c r="CZ144" i="20"/>
  <c r="CB14" i="14"/>
  <c r="DM144" i="20"/>
  <c r="CO14" i="14"/>
  <c r="AA145" i="20"/>
  <c r="B140" i="1"/>
  <c r="U11" i="1"/>
  <c r="AB88" i="1"/>
  <c r="AB11" i="1"/>
  <c r="BD88" i="1"/>
  <c r="AS75" i="1"/>
  <c r="AT13" i="1"/>
  <c r="AT88" i="1" s="1"/>
  <c r="AZ100" i="1"/>
  <c r="BM100" i="1"/>
  <c r="BM101" i="1" s="1"/>
  <c r="AO17" i="1"/>
  <c r="BF147" i="20"/>
  <c r="BF147" i="15"/>
  <c r="BC143" i="1"/>
  <c r="CN143" i="1"/>
  <c r="AT152" i="20"/>
  <c r="AT152" i="15"/>
  <c r="CR152" i="20"/>
  <c r="CR152" i="15"/>
  <c r="BX153" i="20"/>
  <c r="BX153" i="15"/>
  <c r="F10" i="14"/>
  <c r="F146" i="1"/>
  <c r="F50" i="1"/>
  <c r="F27" i="1"/>
  <c r="CZ164" i="15"/>
  <c r="CZ164" i="20"/>
  <c r="CM29" i="1"/>
  <c r="CP166" i="20"/>
  <c r="CP166" i="15"/>
  <c r="BQ28" i="1"/>
  <c r="DB166" i="20"/>
  <c r="DB166" i="15"/>
  <c r="BL162" i="20"/>
  <c r="BL162" i="15"/>
  <c r="AM147" i="1"/>
  <c r="AM79" i="1"/>
  <c r="BN79" i="1"/>
  <c r="BZ162" i="15"/>
  <c r="BA147" i="1"/>
  <c r="BZ162" i="20"/>
  <c r="BA87" i="1"/>
  <c r="CL162" i="20"/>
  <c r="CL162" i="15"/>
  <c r="BM147" i="1"/>
  <c r="BM87" i="1"/>
  <c r="CY162" i="20"/>
  <c r="CY162" i="15"/>
  <c r="BZ147" i="1"/>
  <c r="BZ87" i="1"/>
  <c r="DK162" i="20"/>
  <c r="CL147" i="1"/>
  <c r="CL87" i="1"/>
  <c r="AE163" i="20"/>
  <c r="F148" i="1"/>
  <c r="F103" i="1"/>
  <c r="AN148" i="1"/>
  <c r="AZ148" i="1"/>
  <c r="BM148" i="1"/>
  <c r="BM103" i="1"/>
  <c r="BM104" i="1" s="1"/>
  <c r="CX103" i="1"/>
  <c r="CX104" i="1" s="1"/>
  <c r="CM167" i="15"/>
  <c r="CM167" i="20"/>
  <c r="AK163" i="20"/>
  <c r="L149" i="1"/>
  <c r="L145" i="1" s="1"/>
  <c r="AL173" i="20"/>
  <c r="CD338" i="20"/>
  <c r="CQ338" i="20"/>
  <c r="CQ338" i="15"/>
  <c r="BR43" i="1"/>
  <c r="DD338" i="15"/>
  <c r="DD338" i="20"/>
  <c r="CE43" i="1"/>
  <c r="CA51" i="1"/>
  <c r="M52" i="1"/>
  <c r="AC52" i="1"/>
  <c r="M57" i="1"/>
  <c r="B60" i="1"/>
  <c r="B63" i="1" s="1"/>
  <c r="CR73" i="1"/>
  <c r="CR74" i="1" s="1"/>
  <c r="Y85" i="1"/>
  <c r="AL85" i="1"/>
  <c r="T29" i="14"/>
  <c r="BE88" i="1"/>
  <c r="H115" i="1"/>
  <c r="H117" i="1" s="1"/>
  <c r="H112" i="1"/>
  <c r="H116" i="1" s="1"/>
  <c r="H118" i="1" s="1"/>
  <c r="CD142" i="1"/>
  <c r="AQ143" i="1"/>
  <c r="BO143" i="1"/>
  <c r="Y149" i="1"/>
  <c r="BH47" i="9"/>
  <c r="BH6" i="9"/>
  <c r="BG47" i="9"/>
  <c r="BJ25" i="9"/>
  <c r="BF47" i="9"/>
  <c r="BH16" i="9"/>
  <c r="BI28" i="9"/>
  <c r="E29" i="19" s="1"/>
  <c r="BH28" i="9"/>
  <c r="BH8" i="9"/>
  <c r="BH25" i="9"/>
  <c r="AD574" i="20"/>
  <c r="E47" i="9"/>
  <c r="BD586" i="20"/>
  <c r="BD586" i="15"/>
  <c r="CR586" i="20"/>
  <c r="CR586" i="15"/>
  <c r="O8" i="19"/>
  <c r="CE587" i="20"/>
  <c r="CE587" i="15"/>
  <c r="BN575" i="20"/>
  <c r="BN575" i="15"/>
  <c r="AO11" i="9"/>
  <c r="CW575" i="20"/>
  <c r="CW575" i="15"/>
  <c r="T11" i="19"/>
  <c r="BX11" i="9"/>
  <c r="T12" i="19" s="1"/>
  <c r="AT588" i="20"/>
  <c r="AT588" i="15"/>
  <c r="U13" i="9"/>
  <c r="BK589" i="20"/>
  <c r="BK589" i="15"/>
  <c r="CF589" i="20"/>
  <c r="CF589" i="15"/>
  <c r="CT589" i="20"/>
  <c r="CT589" i="15"/>
  <c r="Q14" i="19"/>
  <c r="DF589" i="20"/>
  <c r="DF589" i="15"/>
  <c r="AC14" i="19"/>
  <c r="DS589" i="20"/>
  <c r="AP14" i="19"/>
  <c r="AM18" i="19"/>
  <c r="CQ21" i="9"/>
  <c r="AM22" i="19" s="1"/>
  <c r="CQ18" i="9"/>
  <c r="AM19" i="19" s="1"/>
  <c r="N26" i="19"/>
  <c r="BR26" i="9"/>
  <c r="AL26" i="19"/>
  <c r="CP26" i="9"/>
  <c r="AL27" i="19" s="1"/>
  <c r="CD26" i="9"/>
  <c r="Z27" i="19" s="1"/>
  <c r="BY578" i="15"/>
  <c r="BY578" i="20"/>
  <c r="N29" i="19"/>
  <c r="BR30" i="9"/>
  <c r="CS36" i="9"/>
  <c r="CS43" i="9" s="1"/>
  <c r="AI335" i="20"/>
  <c r="AE14" i="19"/>
  <c r="AM27" i="19"/>
  <c r="C3" i="14"/>
  <c r="C23" i="9"/>
  <c r="C130" i="1"/>
  <c r="C51" i="9"/>
  <c r="C3" i="9"/>
  <c r="C32" i="9"/>
  <c r="CO580" i="20"/>
  <c r="CO580" i="15"/>
  <c r="L42" i="19"/>
  <c r="AJ6" i="20"/>
  <c r="AH46" i="19"/>
  <c r="AL19" i="2"/>
  <c r="DP54" i="20"/>
  <c r="AM54" i="19"/>
  <c r="AW7" i="20"/>
  <c r="AW7" i="15"/>
  <c r="DM7" i="20"/>
  <c r="AJ61" i="19"/>
  <c r="BD14" i="15"/>
  <c r="BD14" i="20"/>
  <c r="CV9" i="20"/>
  <c r="S64" i="19"/>
  <c r="BD15" i="20"/>
  <c r="BD15" i="15"/>
  <c r="AE159" i="1"/>
  <c r="CV18" i="15"/>
  <c r="CV18" i="20"/>
  <c r="S69" i="19"/>
  <c r="CV52" i="15"/>
  <c r="BD20" i="20"/>
  <c r="BD20" i="15"/>
  <c r="CG20" i="20"/>
  <c r="CG20" i="15"/>
  <c r="DK20" i="20"/>
  <c r="AH75" i="19"/>
  <c r="AY26" i="15"/>
  <c r="AY26" i="20"/>
  <c r="C52" i="2"/>
  <c r="AI62" i="2"/>
  <c r="AG30" i="20"/>
  <c r="H5" i="14"/>
  <c r="BF30" i="20"/>
  <c r="BF30" i="15"/>
  <c r="AG5" i="14"/>
  <c r="CS30" i="20"/>
  <c r="CS30" i="15"/>
  <c r="BA71" i="2"/>
  <c r="BA113" i="1" s="1"/>
  <c r="AE110" i="20"/>
  <c r="AE109" i="20"/>
  <c r="AF111" i="20"/>
  <c r="AE111" i="20"/>
  <c r="AF110" i="20"/>
  <c r="AY111" i="20"/>
  <c r="AY110" i="20"/>
  <c r="AY110" i="15"/>
  <c r="AX109" i="15"/>
  <c r="AY111" i="15"/>
  <c r="AX109" i="20"/>
  <c r="BQ110" i="20"/>
  <c r="BQ111" i="20"/>
  <c r="BP109" i="20"/>
  <c r="BQ110" i="15"/>
  <c r="BQ111" i="15"/>
  <c r="BP109" i="15"/>
  <c r="CO109" i="20"/>
  <c r="CP110" i="20"/>
  <c r="CP111" i="15"/>
  <c r="CP111" i="20"/>
  <c r="CP110" i="15"/>
  <c r="CO109" i="15"/>
  <c r="DA109" i="20"/>
  <c r="CB185" i="1"/>
  <c r="CB187" i="1" s="1"/>
  <c r="DN109" i="20"/>
  <c r="DO110" i="20"/>
  <c r="DO111" i="20"/>
  <c r="CO185" i="1"/>
  <c r="CO94" i="2"/>
  <c r="BP81" i="2"/>
  <c r="BA144" i="20"/>
  <c r="AB15" i="14"/>
  <c r="BA144" i="15"/>
  <c r="BZ144" i="20"/>
  <c r="BZ144" i="15"/>
  <c r="BB14" i="14"/>
  <c r="BA139" i="1"/>
  <c r="CY144" i="20"/>
  <c r="CA14" i="14"/>
  <c r="AN145" i="20"/>
  <c r="O6" i="14"/>
  <c r="O140" i="1"/>
  <c r="BO145" i="20"/>
  <c r="AQ19" i="9"/>
  <c r="AQ17" i="9" s="1"/>
  <c r="AQ14" i="9" s="1"/>
  <c r="AQ34" i="9" s="1"/>
  <c r="BO145" i="15"/>
  <c r="AT10" i="1"/>
  <c r="AS8" i="1"/>
  <c r="AS146" i="20"/>
  <c r="AS146" i="15"/>
  <c r="AR75" i="1"/>
  <c r="AR76" i="1" s="1"/>
  <c r="AR11" i="1"/>
  <c r="BQ88" i="1"/>
  <c r="BQ29" i="14" s="1"/>
  <c r="BQ75" i="1"/>
  <c r="BQ76" i="1" s="1"/>
  <c r="BL100" i="1"/>
  <c r="BL101" i="1" s="1"/>
  <c r="CL142" i="1"/>
  <c r="CM16" i="1"/>
  <c r="CM142" i="1" s="1"/>
  <c r="AP143" i="1"/>
  <c r="CC155" i="20"/>
  <c r="CC155" i="15"/>
  <c r="AO152" i="15"/>
  <c r="AO152" i="20"/>
  <c r="CM152" i="20"/>
  <c r="CM152" i="15"/>
  <c r="AB10" i="14"/>
  <c r="AB50" i="1"/>
  <c r="AP164" i="20"/>
  <c r="AP164" i="15"/>
  <c r="DW162" i="20"/>
  <c r="CX147" i="1"/>
  <c r="AM148" i="1"/>
  <c r="BL148" i="1"/>
  <c r="CJ103" i="1"/>
  <c r="CJ104" i="1" s="1"/>
  <c r="CW103" i="1"/>
  <c r="AV163" i="20"/>
  <c r="AV163" i="15"/>
  <c r="CP338" i="20"/>
  <c r="CP338" i="15"/>
  <c r="DC338" i="20"/>
  <c r="DC338" i="15"/>
  <c r="CD43" i="1"/>
  <c r="DP338" i="20"/>
  <c r="CQ43" i="1"/>
  <c r="BZ51" i="1"/>
  <c r="D74" i="1"/>
  <c r="S29" i="14"/>
  <c r="K98" i="1"/>
  <c r="CX100" i="1"/>
  <c r="CX101" i="1" s="1"/>
  <c r="CA104" i="1"/>
  <c r="AB139" i="1"/>
  <c r="AP140" i="1"/>
  <c r="BC28" i="9"/>
  <c r="BC30" i="9" s="1"/>
  <c r="BC47" i="9"/>
  <c r="BB47" i="9"/>
  <c r="BC6" i="9"/>
  <c r="AZ47" i="9"/>
  <c r="BC15" i="9"/>
  <c r="BD4" i="9"/>
  <c r="BI574" i="20"/>
  <c r="AJ6" i="9"/>
  <c r="BI574" i="15"/>
  <c r="DG574" i="20"/>
  <c r="AD6" i="19"/>
  <c r="BI575" i="20"/>
  <c r="BI575" i="15"/>
  <c r="AJ11" i="9"/>
  <c r="CB588" i="20"/>
  <c r="CB588" i="15"/>
  <c r="CE589" i="20"/>
  <c r="CE589" i="15"/>
  <c r="CS589" i="20"/>
  <c r="CS589" i="15"/>
  <c r="P14" i="19"/>
  <c r="DE589" i="20"/>
  <c r="DE589" i="15"/>
  <c r="AB14" i="19"/>
  <c r="DR589" i="20"/>
  <c r="AO14" i="19"/>
  <c r="X18" i="19"/>
  <c r="CB18" i="9"/>
  <c r="X19" i="19" s="1"/>
  <c r="CB21" i="9"/>
  <c r="X22" i="19" s="1"/>
  <c r="CP21" i="9"/>
  <c r="AL22" i="19" s="1"/>
  <c r="AL18" i="19"/>
  <c r="CP18" i="9"/>
  <c r="AL19" i="19" s="1"/>
  <c r="CO26" i="9"/>
  <c r="AK27" i="19" s="1"/>
  <c r="AK26" i="19"/>
  <c r="AZ44" i="9"/>
  <c r="BD44" i="9" s="1"/>
  <c r="C28" i="19"/>
  <c r="C45" i="9"/>
  <c r="CC590" i="20"/>
  <c r="CC590" i="15"/>
  <c r="BT9" i="15"/>
  <c r="D23" i="9"/>
  <c r="D3" i="14"/>
  <c r="D51" i="9"/>
  <c r="D3" i="9"/>
  <c r="D77" i="2"/>
  <c r="DP86" i="2"/>
  <c r="EB86" i="2"/>
  <c r="BG38" i="9"/>
  <c r="BG39" i="9" s="1"/>
  <c r="CQ42" i="9"/>
  <c r="CR42" i="9" s="1"/>
  <c r="AM35" i="19"/>
  <c r="DM313" i="20"/>
  <c r="AJ36" i="19"/>
  <c r="C8" i="2"/>
  <c r="AS8" i="2"/>
  <c r="BS8" i="2"/>
  <c r="AL4" i="20"/>
  <c r="M70" i="1"/>
  <c r="BZ580" i="20"/>
  <c r="BZ580" i="15"/>
  <c r="BA61" i="2"/>
  <c r="BI17" i="2"/>
  <c r="CM17" i="2"/>
  <c r="CR25" i="2"/>
  <c r="AS32" i="2"/>
  <c r="BI14" i="20"/>
  <c r="BI14" i="15"/>
  <c r="DL14" i="20"/>
  <c r="AI63" i="19"/>
  <c r="CW35" i="2"/>
  <c r="BI15" i="20"/>
  <c r="BI15" i="15"/>
  <c r="AJ159" i="1"/>
  <c r="AX18" i="20"/>
  <c r="AX18" i="15"/>
  <c r="BX39" i="2"/>
  <c r="BT52" i="20"/>
  <c r="BT52" i="15"/>
  <c r="BI20" i="20"/>
  <c r="BI20" i="15"/>
  <c r="CM45" i="2"/>
  <c r="CR26" i="15"/>
  <c r="CR26" i="20"/>
  <c r="D52" i="2"/>
  <c r="CN54" i="2"/>
  <c r="BG30" i="20"/>
  <c r="BG30" i="15"/>
  <c r="AH5" i="14"/>
  <c r="AH8" i="14" s="1"/>
  <c r="AH9" i="14" s="1"/>
  <c r="E23" i="9"/>
  <c r="E51" i="9"/>
  <c r="E3" i="9"/>
  <c r="E45" i="9"/>
  <c r="EC86" i="2"/>
  <c r="C5" i="2"/>
  <c r="X111" i="1"/>
  <c r="X36" i="9"/>
  <c r="X37" i="9" s="1"/>
  <c r="X56" i="9" s="1"/>
  <c r="P34" i="19"/>
  <c r="BT36" i="9"/>
  <c r="BT43" i="9" s="1"/>
  <c r="BN6" i="2"/>
  <c r="CR6" i="2"/>
  <c r="BF313" i="20"/>
  <c r="BF313" i="15"/>
  <c r="CD313" i="20"/>
  <c r="AQ71" i="2"/>
  <c r="AQ113" i="1"/>
  <c r="AQ114" i="1" s="1"/>
  <c r="BO71" i="2"/>
  <c r="K79" i="19" s="1"/>
  <c r="K41" i="19"/>
  <c r="AO580" i="20"/>
  <c r="AO580" i="15"/>
  <c r="BB13" i="2"/>
  <c r="BR13" i="2"/>
  <c r="CH14" i="2"/>
  <c r="N17" i="2"/>
  <c r="AN17" i="2"/>
  <c r="AO17" i="2" s="1"/>
  <c r="AM46" i="19"/>
  <c r="AR53" i="20"/>
  <c r="AR53" i="15"/>
  <c r="BO23" i="2"/>
  <c r="CZ53" i="20"/>
  <c r="CZ53" i="15"/>
  <c r="BO54" i="20"/>
  <c r="BO54" i="15"/>
  <c r="CQ54" i="15"/>
  <c r="N54" i="19"/>
  <c r="CR27" i="2"/>
  <c r="AN56" i="19" s="1"/>
  <c r="BR32" i="2"/>
  <c r="DC7" i="15"/>
  <c r="Z61" i="19"/>
  <c r="DC7" i="20"/>
  <c r="DO7" i="20"/>
  <c r="AL61" i="19"/>
  <c r="BT33" i="2"/>
  <c r="BT31" i="2" s="1"/>
  <c r="DQ14" i="20"/>
  <c r="AN63" i="19"/>
  <c r="BJ9" i="20"/>
  <c r="BJ9" i="15"/>
  <c r="BV9" i="15"/>
  <c r="BV9" i="20"/>
  <c r="CZ9" i="15"/>
  <c r="W64" i="19"/>
  <c r="BN15" i="20"/>
  <c r="BN15" i="15"/>
  <c r="AS67" i="19"/>
  <c r="CW159" i="1"/>
  <c r="DV15" i="20"/>
  <c r="Z39" i="2"/>
  <c r="BZ18" i="20"/>
  <c r="BZ18" i="15"/>
  <c r="DA18" i="20"/>
  <c r="DA18" i="15"/>
  <c r="X69" i="19"/>
  <c r="T41" i="2"/>
  <c r="AX41" i="2"/>
  <c r="DA52" i="20"/>
  <c r="DA52" i="15"/>
  <c r="BM20" i="15"/>
  <c r="BM20" i="20"/>
  <c r="CL20" i="20"/>
  <c r="CL20" i="15"/>
  <c r="I75" i="19"/>
  <c r="DP20" i="20"/>
  <c r="AM75" i="19"/>
  <c r="CW26" i="20"/>
  <c r="CW26" i="15"/>
  <c r="E52" i="2"/>
  <c r="BO54" i="2"/>
  <c r="AE65" i="2"/>
  <c r="BH30" i="20"/>
  <c r="AI5" i="14"/>
  <c r="AI8" i="14" s="1"/>
  <c r="AI9" i="14" s="1"/>
  <c r="AV68" i="2"/>
  <c r="DH30" i="20"/>
  <c r="CI5" i="14"/>
  <c r="CI92" i="1"/>
  <c r="AN110" i="20"/>
  <c r="AN109" i="20"/>
  <c r="Q81" i="2"/>
  <c r="BA110" i="20"/>
  <c r="BA111" i="20"/>
  <c r="AZ109" i="20"/>
  <c r="BA111" i="15"/>
  <c r="BA110" i="15"/>
  <c r="AZ109" i="15"/>
  <c r="BS110" i="20"/>
  <c r="BR109" i="20"/>
  <c r="BS110" i="15"/>
  <c r="BR109" i="15"/>
  <c r="BS111" i="20"/>
  <c r="BS111" i="15"/>
  <c r="CF110" i="20"/>
  <c r="CF110" i="15"/>
  <c r="CE109" i="20"/>
  <c r="CF111" i="15"/>
  <c r="CE109" i="15"/>
  <c r="CR110" i="20"/>
  <c r="CR111" i="20"/>
  <c r="CQ109" i="20"/>
  <c r="CR110" i="15"/>
  <c r="CQ109" i="15"/>
  <c r="CR111" i="15"/>
  <c r="DD110" i="20"/>
  <c r="DD111" i="20"/>
  <c r="DC109" i="15"/>
  <c r="DD110" i="15"/>
  <c r="DD111" i="15"/>
  <c r="DQ111" i="20"/>
  <c r="DP109" i="20"/>
  <c r="DQ110" i="20"/>
  <c r="CQ185" i="1"/>
  <c r="AR81" i="2"/>
  <c r="BE81" i="2"/>
  <c r="BR81" i="2"/>
  <c r="CE81" i="2"/>
  <c r="CQ85" i="2"/>
  <c r="CV94" i="2"/>
  <c r="K14" i="14"/>
  <c r="F15" i="14"/>
  <c r="BC144" i="20"/>
  <c r="BC144" i="15"/>
  <c r="AD15" i="14"/>
  <c r="BP144" i="20"/>
  <c r="BP144" i="15"/>
  <c r="AR14" i="14"/>
  <c r="CB144" i="20"/>
  <c r="CB144" i="15"/>
  <c r="CO144" i="20"/>
  <c r="BQ14" i="14"/>
  <c r="CO144" i="15"/>
  <c r="BP139" i="1"/>
  <c r="DA144" i="20"/>
  <c r="CB51" i="1"/>
  <c r="DA144" i="15"/>
  <c r="DN144" i="20"/>
  <c r="CP14" i="14"/>
  <c r="CO139" i="1"/>
  <c r="AB145" i="20"/>
  <c r="C140" i="1"/>
  <c r="C60" i="1"/>
  <c r="AP145" i="20"/>
  <c r="BV8" i="1"/>
  <c r="BU145" i="20"/>
  <c r="AV140" i="1"/>
  <c r="AW19" i="9"/>
  <c r="AW17" i="9" s="1"/>
  <c r="CG145" i="20"/>
  <c r="CG145" i="15"/>
  <c r="BH140" i="1"/>
  <c r="BL20" i="9"/>
  <c r="H21" i="19" s="1"/>
  <c r="AO15" i="1"/>
  <c r="BN15" i="1"/>
  <c r="BZ100" i="1"/>
  <c r="BZ101" i="1" s="1"/>
  <c r="CM15" i="1"/>
  <c r="AF147" i="20"/>
  <c r="G142" i="1"/>
  <c r="CP97" i="1"/>
  <c r="CP142" i="1"/>
  <c r="AP147" i="20"/>
  <c r="AP147" i="15"/>
  <c r="BD19" i="1"/>
  <c r="CO143" i="1"/>
  <c r="AO155" i="20"/>
  <c r="P19" i="1"/>
  <c r="AO155" i="15"/>
  <c r="CM155" i="20"/>
  <c r="CM155" i="15"/>
  <c r="AY152" i="20"/>
  <c r="AY152" i="15"/>
  <c r="AJ151" i="20"/>
  <c r="K91" i="1"/>
  <c r="CR151" i="20"/>
  <c r="CR151" i="15"/>
  <c r="AO153" i="20"/>
  <c r="AO153" i="15"/>
  <c r="CC153" i="15"/>
  <c r="CC153" i="20"/>
  <c r="G10" i="14"/>
  <c r="H10" i="14"/>
  <c r="G146" i="1"/>
  <c r="G29" i="1"/>
  <c r="AF164" i="20" s="1"/>
  <c r="AV146" i="1"/>
  <c r="BZ28" i="1"/>
  <c r="AD164" i="20"/>
  <c r="F29" i="1"/>
  <c r="AE164" i="20" s="1"/>
  <c r="AY164" i="20"/>
  <c r="AY164" i="15"/>
  <c r="CC164" i="20"/>
  <c r="CC164" i="15"/>
  <c r="DA164" i="20"/>
  <c r="DA164" i="15"/>
  <c r="BR166" i="20"/>
  <c r="BR166" i="15"/>
  <c r="AS28" i="1"/>
  <c r="CD166" i="20"/>
  <c r="BE28" i="1"/>
  <c r="CQ166" i="15"/>
  <c r="CQ166" i="20"/>
  <c r="DC166" i="20"/>
  <c r="DC166" i="15"/>
  <c r="AZ162" i="20"/>
  <c r="AZ162" i="15"/>
  <c r="AA147" i="1"/>
  <c r="AA79" i="1"/>
  <c r="BM162" i="20"/>
  <c r="BM162" i="15"/>
  <c r="AN147" i="1"/>
  <c r="AN79" i="1"/>
  <c r="CA162" i="20"/>
  <c r="CA162" i="15"/>
  <c r="BB147" i="1"/>
  <c r="BB87" i="1"/>
  <c r="BN35" i="1"/>
  <c r="BN87" i="1" s="1"/>
  <c r="CZ162" i="20"/>
  <c r="CZ162" i="15"/>
  <c r="CA147" i="1"/>
  <c r="CA87" i="1"/>
  <c r="CM35" i="1"/>
  <c r="CM147" i="1" s="1"/>
  <c r="G148" i="1"/>
  <c r="G103" i="1"/>
  <c r="AO36" i="1"/>
  <c r="BA148" i="1"/>
  <c r="BN36" i="1"/>
  <c r="BZ148" i="1"/>
  <c r="CM36" i="1"/>
  <c r="CL148" i="1"/>
  <c r="AO167" i="15"/>
  <c r="AO167" i="20"/>
  <c r="CR167" i="20"/>
  <c r="CR167" i="15"/>
  <c r="BA163" i="20"/>
  <c r="BA163" i="15"/>
  <c r="BN411" i="20"/>
  <c r="BN171" i="20"/>
  <c r="BN411" i="15"/>
  <c r="AO150" i="1"/>
  <c r="BN171" i="15"/>
  <c r="DV411" i="20"/>
  <c r="DV171" i="20"/>
  <c r="BR338" i="20"/>
  <c r="BR338" i="15"/>
  <c r="CE338" i="20"/>
  <c r="CE338" i="15"/>
  <c r="BF43" i="1"/>
  <c r="BS44" i="1"/>
  <c r="BS43" i="1" s="1"/>
  <c r="DE338" i="15"/>
  <c r="DE338" i="20"/>
  <c r="CF43" i="1"/>
  <c r="BD47" i="1"/>
  <c r="BD43" i="1" s="1"/>
  <c r="G50" i="1"/>
  <c r="F51" i="1"/>
  <c r="AM85" i="1"/>
  <c r="CA85" i="1"/>
  <c r="I92" i="1"/>
  <c r="Z98" i="1"/>
  <c r="AA104" i="1"/>
  <c r="AN103" i="1"/>
  <c r="AN104" i="1" s="1"/>
  <c r="BK104" i="1"/>
  <c r="Z110" i="1"/>
  <c r="BL576" i="20"/>
  <c r="BL576" i="15"/>
  <c r="CK576" i="20"/>
  <c r="CK576" i="15"/>
  <c r="BL110" i="1"/>
  <c r="DW576" i="20"/>
  <c r="CX110" i="1"/>
  <c r="I116" i="1"/>
  <c r="I118" i="1" s="1"/>
  <c r="D130" i="1"/>
  <c r="AD158" i="1"/>
  <c r="AC158" i="1"/>
  <c r="AR143" i="1"/>
  <c r="BP143" i="1"/>
  <c r="CW150" i="1"/>
  <c r="BI4" i="9"/>
  <c r="BB587" i="20"/>
  <c r="BB587" i="15"/>
  <c r="AF575" i="20"/>
  <c r="H11" i="9"/>
  <c r="H10" i="9" s="1"/>
  <c r="AV588" i="20"/>
  <c r="AV588" i="15"/>
  <c r="W13" i="9"/>
  <c r="Z12" i="9"/>
  <c r="AX589" i="20"/>
  <c r="AX589" i="15"/>
  <c r="BL589" i="20"/>
  <c r="BL589" i="15"/>
  <c r="CG589" i="20"/>
  <c r="CG589" i="15"/>
  <c r="BP18" i="9"/>
  <c r="L19" i="19" s="1"/>
  <c r="L18" i="19"/>
  <c r="BP21" i="9"/>
  <c r="L22" i="19" s="1"/>
  <c r="BS17" i="9"/>
  <c r="CD21" i="9"/>
  <c r="CH17" i="9"/>
  <c r="Z18" i="19"/>
  <c r="CD18" i="9"/>
  <c r="Z19" i="19" s="1"/>
  <c r="BS577" i="20"/>
  <c r="BS577" i="15"/>
  <c r="AY28" i="9"/>
  <c r="C29" i="19" s="1"/>
  <c r="DL577" i="20"/>
  <c r="AI25" i="19"/>
  <c r="CN28" i="9"/>
  <c r="CN29" i="9" s="1"/>
  <c r="BS25" i="9"/>
  <c r="AA26" i="19"/>
  <c r="CE26" i="9"/>
  <c r="AA27" i="19" s="1"/>
  <c r="AA29" i="19"/>
  <c r="CE30" i="9"/>
  <c r="CT30" i="9"/>
  <c r="I43" i="9"/>
  <c r="K36" i="9"/>
  <c r="K10" i="14"/>
  <c r="AC14" i="14"/>
  <c r="AM26" i="19"/>
  <c r="N35" i="19"/>
  <c r="DA109" i="15"/>
  <c r="CQ111" i="15"/>
  <c r="CY164" i="15"/>
  <c r="CO110" i="20"/>
  <c r="BF38" i="9"/>
  <c r="BF39" i="9" s="1"/>
  <c r="BF43" i="9"/>
  <c r="Z34" i="19"/>
  <c r="CD36" i="9"/>
  <c r="AR313" i="20"/>
  <c r="AR313" i="15"/>
  <c r="AK4" i="20"/>
  <c r="L70" i="1"/>
  <c r="AV6" i="15"/>
  <c r="AV6" i="20"/>
  <c r="CX53" i="15"/>
  <c r="CX53" i="20"/>
  <c r="I54" i="19"/>
  <c r="CL54" i="20"/>
  <c r="CF9" i="15"/>
  <c r="CF9" i="20"/>
  <c r="DL15" i="20"/>
  <c r="AI67" i="19"/>
  <c r="F51" i="9"/>
  <c r="F32" i="9"/>
  <c r="DR86" i="2"/>
  <c r="ED86" i="2"/>
  <c r="CG5" i="2"/>
  <c r="AP35" i="19"/>
  <c r="CT42" i="9"/>
  <c r="AU313" i="20"/>
  <c r="AU313" i="15"/>
  <c r="BG313" i="20"/>
  <c r="BG313" i="15"/>
  <c r="BR7" i="2"/>
  <c r="DC313" i="15"/>
  <c r="Z36" i="19"/>
  <c r="DC313" i="20"/>
  <c r="BP12" i="2"/>
  <c r="AT580" i="20"/>
  <c r="AT580" i="15"/>
  <c r="DI580" i="20"/>
  <c r="AF42" i="19"/>
  <c r="B72" i="2"/>
  <c r="AL72" i="2"/>
  <c r="CI6" i="20"/>
  <c r="F49" i="19"/>
  <c r="CI6" i="15"/>
  <c r="R49" i="19"/>
  <c r="AC22" i="2"/>
  <c r="BY22" i="2"/>
  <c r="CK22" i="2"/>
  <c r="CB23" i="2"/>
  <c r="DM53" i="20"/>
  <c r="AJ52" i="19"/>
  <c r="AQ54" i="20"/>
  <c r="AQ54" i="15"/>
  <c r="AZ7" i="20"/>
  <c r="AZ7" i="15"/>
  <c r="DD7" i="15"/>
  <c r="AA61" i="19"/>
  <c r="DD7" i="20"/>
  <c r="CQ32" i="2"/>
  <c r="DV14" i="20"/>
  <c r="AS63" i="19"/>
  <c r="BK9" i="20"/>
  <c r="BK9" i="15"/>
  <c r="AX35" i="2"/>
  <c r="CI9" i="20"/>
  <c r="CI9" i="15"/>
  <c r="F64" i="19"/>
  <c r="DA9" i="15"/>
  <c r="X64" i="19"/>
  <c r="DA9" i="20"/>
  <c r="BS15" i="20"/>
  <c r="BS15" i="15"/>
  <c r="EA15" i="20"/>
  <c r="AX67" i="19"/>
  <c r="AA18" i="20"/>
  <c r="B64" i="2"/>
  <c r="BD18" i="20"/>
  <c r="BD18" i="15"/>
  <c r="CB18" i="20"/>
  <c r="CB18" i="15"/>
  <c r="CM20" i="15"/>
  <c r="J75" i="19"/>
  <c r="BI26" i="20"/>
  <c r="BI26" i="15"/>
  <c r="DB26" i="20"/>
  <c r="DB26" i="15"/>
  <c r="F52" i="2"/>
  <c r="BJ56" i="2"/>
  <c r="CK60" i="2"/>
  <c r="CX60" i="2"/>
  <c r="CX59" i="2" s="1"/>
  <c r="CI30" i="20"/>
  <c r="BJ5" i="14"/>
  <c r="CI30" i="15"/>
  <c r="BJ92" i="1"/>
  <c r="BA109" i="20"/>
  <c r="BB111" i="20"/>
  <c r="BB111" i="15"/>
  <c r="BB110" i="20"/>
  <c r="BB110" i="15"/>
  <c r="BA109" i="15"/>
  <c r="AC81" i="2"/>
  <c r="BT110" i="20"/>
  <c r="BS109" i="20"/>
  <c r="BT111" i="20"/>
  <c r="BS109" i="15"/>
  <c r="BT110" i="15"/>
  <c r="CF109" i="20"/>
  <c r="CG111" i="20"/>
  <c r="CG110" i="20"/>
  <c r="CG110" i="15"/>
  <c r="CG111" i="15"/>
  <c r="CF109" i="15"/>
  <c r="CR109" i="20"/>
  <c r="CS110" i="20"/>
  <c r="CS111" i="20"/>
  <c r="CS110" i="15"/>
  <c r="CS111" i="15"/>
  <c r="CR109" i="15"/>
  <c r="DE110" i="20"/>
  <c r="DE111" i="20"/>
  <c r="DD109" i="20"/>
  <c r="DE110" i="15"/>
  <c r="DE111" i="15"/>
  <c r="DR111" i="20"/>
  <c r="DR110" i="20"/>
  <c r="DQ109" i="20"/>
  <c r="CR185" i="1"/>
  <c r="BF81" i="2"/>
  <c r="BS81" i="2"/>
  <c r="CF81" i="2"/>
  <c r="AJ144" i="20"/>
  <c r="K15" i="14"/>
  <c r="K139" i="1"/>
  <c r="P14" i="14"/>
  <c r="BD144" i="20"/>
  <c r="BD144" i="15"/>
  <c r="AF14" i="14"/>
  <c r="BQ144" i="20"/>
  <c r="BQ144" i="15"/>
  <c r="AS14" i="14"/>
  <c r="AR139" i="1"/>
  <c r="CP144" i="20"/>
  <c r="CP144" i="15"/>
  <c r="BR14" i="14"/>
  <c r="BQ139" i="1"/>
  <c r="AC145" i="20"/>
  <c r="D140" i="1"/>
  <c r="D10" i="1"/>
  <c r="D66" i="1" s="1"/>
  <c r="AQ145" i="20"/>
  <c r="AQ145" i="15"/>
  <c r="R60" i="1"/>
  <c r="R10" i="1"/>
  <c r="R66" i="1" s="1"/>
  <c r="BQ11" i="1"/>
  <c r="CN100" i="1"/>
  <c r="CN101" i="1" s="1"/>
  <c r="BC97" i="1"/>
  <c r="BD17" i="1"/>
  <c r="AQ147" i="15"/>
  <c r="R144" i="1"/>
  <c r="AI144" i="1"/>
  <c r="G19" i="1"/>
  <c r="T143" i="1"/>
  <c r="BE143" i="1"/>
  <c r="BQ143" i="1"/>
  <c r="CD143" i="1"/>
  <c r="CP143" i="1"/>
  <c r="AQ155" i="20"/>
  <c r="AQ155" i="15"/>
  <c r="CR155" i="15"/>
  <c r="CR155" i="20"/>
  <c r="BC152" i="20"/>
  <c r="BC152" i="15"/>
  <c r="DB152" i="20"/>
  <c r="DB152" i="15"/>
  <c r="AO151" i="20"/>
  <c r="AO151" i="15"/>
  <c r="CW151" i="20"/>
  <c r="CW151" i="15"/>
  <c r="AB27" i="1"/>
  <c r="BD164" i="15"/>
  <c r="BD164" i="20"/>
  <c r="CH164" i="20"/>
  <c r="DB164" i="20"/>
  <c r="DB164" i="15"/>
  <c r="CC28" i="1"/>
  <c r="DN164" i="20"/>
  <c r="CO28" i="1"/>
  <c r="AO166" i="20"/>
  <c r="AO166" i="15"/>
  <c r="BE166" i="20"/>
  <c r="BE166" i="15"/>
  <c r="BS166" i="20"/>
  <c r="BS166" i="15"/>
  <c r="AT28" i="1"/>
  <c r="CE166" i="20"/>
  <c r="BF28" i="1"/>
  <c r="CR166" i="20"/>
  <c r="CR166" i="15"/>
  <c r="BA162" i="20"/>
  <c r="BA162" i="15"/>
  <c r="AB147" i="1"/>
  <c r="AB79" i="1"/>
  <c r="AO79" i="1"/>
  <c r="CW162" i="20"/>
  <c r="CW162" i="15"/>
  <c r="BX147" i="1"/>
  <c r="BX79" i="1"/>
  <c r="AJ85" i="1"/>
  <c r="CB162" i="20"/>
  <c r="CB162" i="15"/>
  <c r="CN162" i="20"/>
  <c r="CN162" i="15"/>
  <c r="BO147" i="1"/>
  <c r="BO87" i="1"/>
  <c r="DA162" i="20"/>
  <c r="DA162" i="15"/>
  <c r="CB147" i="1"/>
  <c r="CB87" i="1"/>
  <c r="DM162" i="20"/>
  <c r="CN147" i="1"/>
  <c r="CN87" i="1"/>
  <c r="AP103" i="1"/>
  <c r="BB148" i="1"/>
  <c r="CW167" i="20"/>
  <c r="CW167" i="15"/>
  <c r="BC163" i="20"/>
  <c r="BC163" i="15"/>
  <c r="AM163" i="20"/>
  <c r="N27" i="1"/>
  <c r="Z149" i="1"/>
  <c r="BS171" i="20"/>
  <c r="BS171" i="15"/>
  <c r="BS411" i="20"/>
  <c r="BS411" i="15"/>
  <c r="AA173" i="20"/>
  <c r="BB173" i="20"/>
  <c r="BB173" i="15"/>
  <c r="AZ338" i="20"/>
  <c r="BE338" i="20"/>
  <c r="CF338" i="20"/>
  <c r="BG43" i="1"/>
  <c r="CS338" i="20"/>
  <c r="BT43" i="1"/>
  <c r="DF338" i="20"/>
  <c r="DF338" i="15"/>
  <c r="DS338" i="20"/>
  <c r="BO51" i="1"/>
  <c r="AA85" i="1"/>
  <c r="J92" i="1"/>
  <c r="AA98" i="1"/>
  <c r="BL103" i="1"/>
  <c r="BL104" i="1" s="1"/>
  <c r="C106" i="1"/>
  <c r="AM576" i="20"/>
  <c r="N110" i="1"/>
  <c r="AZ576" i="20"/>
  <c r="AZ576" i="15"/>
  <c r="AA110" i="1"/>
  <c r="BM576" i="20"/>
  <c r="BM576" i="15"/>
  <c r="AN110" i="1"/>
  <c r="BY576" i="20"/>
  <c r="BY576" i="15"/>
  <c r="AZ110" i="1"/>
  <c r="CL576" i="20"/>
  <c r="CL576" i="15"/>
  <c r="CX576" i="20"/>
  <c r="CX576" i="15"/>
  <c r="J112" i="1"/>
  <c r="J116" i="1" s="1"/>
  <c r="J118" i="1" s="1"/>
  <c r="K111" i="1"/>
  <c r="E130" i="1"/>
  <c r="AY157" i="1"/>
  <c r="CN139" i="1"/>
  <c r="Q140" i="1"/>
  <c r="AG144" i="1"/>
  <c r="BY148" i="1"/>
  <c r="AL47" i="9"/>
  <c r="AP6" i="9"/>
  <c r="AP15" i="9"/>
  <c r="AT4" i="9"/>
  <c r="AO7" i="19"/>
  <c r="AP587" i="20"/>
  <c r="AP587" i="15"/>
  <c r="BC587" i="20"/>
  <c r="BC587" i="15"/>
  <c r="AP8" i="9"/>
  <c r="AP11" i="9"/>
  <c r="AP13" i="9"/>
  <c r="AP84" i="1"/>
  <c r="E10" i="19"/>
  <c r="BI11" i="9"/>
  <c r="E12" i="19" s="1"/>
  <c r="BI13" i="9"/>
  <c r="BM589" i="20"/>
  <c r="BM589" i="15"/>
  <c r="CI589" i="20"/>
  <c r="F14" i="19"/>
  <c r="CV589" i="20"/>
  <c r="CV589" i="15"/>
  <c r="DU589" i="20"/>
  <c r="AR14" i="19"/>
  <c r="M18" i="19"/>
  <c r="BQ21" i="9"/>
  <c r="M22" i="19" s="1"/>
  <c r="BQ18" i="9"/>
  <c r="M19" i="19" s="1"/>
  <c r="BQ14" i="9"/>
  <c r="CE29" i="9"/>
  <c r="CE14" i="9"/>
  <c r="F23" i="9"/>
  <c r="BT577" i="20"/>
  <c r="BT577" i="15"/>
  <c r="AU25" i="9"/>
  <c r="AU27" i="9"/>
  <c r="AV28" i="9"/>
  <c r="AV30" i="9" s="1"/>
  <c r="DQ577" i="20"/>
  <c r="AN25" i="19"/>
  <c r="CW28" i="9"/>
  <c r="BE25" i="9"/>
  <c r="BE26" i="9" s="1"/>
  <c r="CF26" i="9"/>
  <c r="AB27" i="19" s="1"/>
  <c r="AB26" i="19"/>
  <c r="P29" i="19"/>
  <c r="BT30" i="9"/>
  <c r="CF30" i="9"/>
  <c r="AB29" i="19"/>
  <c r="BT5" i="14"/>
  <c r="L10" i="14"/>
  <c r="G14" i="14"/>
  <c r="AD14" i="14"/>
  <c r="BU145" i="15"/>
  <c r="CW152" i="15"/>
  <c r="AW163" i="15"/>
  <c r="CI589" i="15"/>
  <c r="CQ54" i="20"/>
  <c r="W158" i="1"/>
  <c r="BI158" i="1"/>
  <c r="BD574" i="20"/>
  <c r="BD574" i="15"/>
  <c r="DB574" i="20"/>
  <c r="Y6" i="19"/>
  <c r="DB574" i="15"/>
  <c r="CC6" i="9"/>
  <c r="Y7" i="19" s="1"/>
  <c r="CO587" i="20"/>
  <c r="CO587" i="15"/>
  <c r="L9" i="19"/>
  <c r="DC587" i="20"/>
  <c r="DC587" i="15"/>
  <c r="Z9" i="19"/>
  <c r="P9" i="9"/>
  <c r="Q84" i="1"/>
  <c r="Q98" i="1" s="1"/>
  <c r="AU30" i="9"/>
  <c r="M13" i="9"/>
  <c r="AL589" i="20" s="1"/>
  <c r="BA589" i="20"/>
  <c r="BA589" i="15"/>
  <c r="CU589" i="20"/>
  <c r="CU589" i="15"/>
  <c r="DT589" i="20"/>
  <c r="AQ14" i="19"/>
  <c r="BG14" i="9"/>
  <c r="BG34" i="9" s="1"/>
  <c r="BG16" i="9"/>
  <c r="R18" i="19"/>
  <c r="BV29" i="9"/>
  <c r="BV14" i="9"/>
  <c r="BV21" i="9"/>
  <c r="R22" i="19" s="1"/>
  <c r="BU577" i="20"/>
  <c r="BU577" i="15"/>
  <c r="AV25" i="9"/>
  <c r="AV26" i="9" s="1"/>
  <c r="AW28" i="9"/>
  <c r="AW30" i="9" s="1"/>
  <c r="DV577" i="20"/>
  <c r="AS25" i="19"/>
  <c r="AV144" i="15"/>
  <c r="X14" i="14"/>
  <c r="W15" i="14"/>
  <c r="W139" i="1"/>
  <c r="AV144" i="20"/>
  <c r="BU144" i="20"/>
  <c r="BU144" i="15"/>
  <c r="AW14" i="14"/>
  <c r="AV139" i="1"/>
  <c r="AV51" i="1"/>
  <c r="AV53" i="1" s="1"/>
  <c r="CG144" i="20"/>
  <c r="CG144" i="15"/>
  <c r="BH51" i="1"/>
  <c r="BI6" i="1"/>
  <c r="AR145" i="20"/>
  <c r="AR145" i="15"/>
  <c r="S140" i="1"/>
  <c r="AB146" i="20"/>
  <c r="C141" i="1"/>
  <c r="C5" i="1"/>
  <c r="C4" i="1" s="1"/>
  <c r="CE146" i="20"/>
  <c r="CE146" i="15"/>
  <c r="BF141" i="1"/>
  <c r="AE147" i="20"/>
  <c r="BB100" i="1"/>
  <c r="BO100" i="1"/>
  <c r="BO101" i="1" s="1"/>
  <c r="CA100" i="1"/>
  <c r="CA101" i="1" s="1"/>
  <c r="BB142" i="1"/>
  <c r="CT98" i="1"/>
  <c r="AW147" i="20"/>
  <c r="AW147" i="15"/>
  <c r="X144" i="1"/>
  <c r="C143" i="1"/>
  <c r="BX155" i="20"/>
  <c r="BX155" i="15"/>
  <c r="BN151" i="20"/>
  <c r="BN151" i="15"/>
  <c r="AW153" i="20"/>
  <c r="AW153" i="15"/>
  <c r="X91" i="1"/>
  <c r="CW153" i="20"/>
  <c r="CW153" i="15"/>
  <c r="BM164" i="20"/>
  <c r="BM164" i="15"/>
  <c r="CS164" i="20"/>
  <c r="CS164" i="15"/>
  <c r="DF164" i="20"/>
  <c r="DF164" i="15"/>
  <c r="AU166" i="20"/>
  <c r="AU166" i="15"/>
  <c r="V28" i="1"/>
  <c r="W10" i="14" s="1"/>
  <c r="BG166" i="20"/>
  <c r="BG166" i="15"/>
  <c r="AH28" i="1"/>
  <c r="BU166" i="20"/>
  <c r="BU166" i="15"/>
  <c r="CG166" i="20"/>
  <c r="CG166" i="15"/>
  <c r="CT166" i="20"/>
  <c r="CT166" i="15"/>
  <c r="DF166" i="20"/>
  <c r="DF166" i="15"/>
  <c r="CH162" i="20"/>
  <c r="BY162" i="15"/>
  <c r="BY162" i="20"/>
  <c r="AZ147" i="1"/>
  <c r="AZ87" i="1"/>
  <c r="CX162" i="20"/>
  <c r="CX162" i="15"/>
  <c r="BK148" i="1"/>
  <c r="CI103" i="1"/>
  <c r="CI104" i="1" s="1"/>
  <c r="CV148" i="1"/>
  <c r="CV103" i="1"/>
  <c r="CV104" i="1" s="1"/>
  <c r="AL163" i="20"/>
  <c r="M149" i="1"/>
  <c r="M145" i="1" s="1"/>
  <c r="AX163" i="20"/>
  <c r="AX163" i="15"/>
  <c r="BL338" i="15"/>
  <c r="BK338" i="20"/>
  <c r="BK338" i="15"/>
  <c r="CJ338" i="20"/>
  <c r="CJ338" i="15"/>
  <c r="DI338" i="20"/>
  <c r="L85" i="1"/>
  <c r="O84" i="1"/>
  <c r="O101" i="1" s="1"/>
  <c r="E93" i="1"/>
  <c r="L98" i="1"/>
  <c r="BN33" i="9"/>
  <c r="BO40" i="9" s="1"/>
  <c r="BO111" i="1" s="1"/>
  <c r="BS35" i="9"/>
  <c r="AA113" i="1"/>
  <c r="AA114" i="1" s="1"/>
  <c r="AI576" i="20"/>
  <c r="J110" i="1"/>
  <c r="K109" i="1"/>
  <c r="CH195" i="1"/>
  <c r="B8" i="9"/>
  <c r="AA587" i="20" s="1"/>
  <c r="F4" i="9"/>
  <c r="AQ16" i="9"/>
  <c r="CD587" i="20"/>
  <c r="CD587" i="15"/>
  <c r="BW588" i="15"/>
  <c r="BW588" i="20"/>
  <c r="DV588" i="20"/>
  <c r="AS13" i="19"/>
  <c r="CN18" i="9"/>
  <c r="AJ19" i="19" s="1"/>
  <c r="CN21" i="9"/>
  <c r="AZ21" i="19"/>
  <c r="BQ30" i="9"/>
  <c r="M29" i="19"/>
  <c r="AH48" i="9"/>
  <c r="AH74" i="1" s="1"/>
  <c r="AH47" i="9"/>
  <c r="BI591" i="20"/>
  <c r="BI591" i="15"/>
  <c r="AJ18" i="19"/>
  <c r="AX144" i="15"/>
  <c r="Y15" i="14"/>
  <c r="BJ144" i="15"/>
  <c r="AK15" i="14"/>
  <c r="AL14" i="14"/>
  <c r="AK139" i="1"/>
  <c r="BJ144" i="20"/>
  <c r="BV144" i="20"/>
  <c r="BV144" i="15"/>
  <c r="AW139" i="1"/>
  <c r="CT144" i="20"/>
  <c r="CT144" i="15"/>
  <c r="DF144" i="20"/>
  <c r="DF144" i="15"/>
  <c r="AD146" i="20"/>
  <c r="E141" i="1"/>
  <c r="AP146" i="20"/>
  <c r="AP146" i="15"/>
  <c r="AE142" i="1"/>
  <c r="K144" i="1"/>
  <c r="CJ143" i="1"/>
  <c r="CV143" i="1"/>
  <c r="BI155" i="20"/>
  <c r="BI155" i="15"/>
  <c r="BS152" i="20"/>
  <c r="BS152" i="15"/>
  <c r="AU153" i="20"/>
  <c r="AU153" i="15"/>
  <c r="CM153" i="20"/>
  <c r="CM153" i="15"/>
  <c r="BQ164" i="20"/>
  <c r="BQ164" i="15"/>
  <c r="CV164" i="20"/>
  <c r="CV164" i="15"/>
  <c r="BA166" i="20"/>
  <c r="BA166" i="15"/>
  <c r="BO166" i="20"/>
  <c r="BO166" i="15"/>
  <c r="CA166" i="15"/>
  <c r="CA166" i="20"/>
  <c r="CY166" i="20"/>
  <c r="CY166" i="15"/>
  <c r="AT162" i="20"/>
  <c r="AT162" i="15"/>
  <c r="AA162" i="20"/>
  <c r="B147" i="1"/>
  <c r="CE162" i="20"/>
  <c r="BF87" i="1"/>
  <c r="CQ162" i="20"/>
  <c r="CQ162" i="15"/>
  <c r="BR87" i="1"/>
  <c r="DC162" i="20"/>
  <c r="DC162" i="15"/>
  <c r="CD87" i="1"/>
  <c r="CD89" i="1" s="1"/>
  <c r="DO162" i="20"/>
  <c r="CP87" i="1"/>
  <c r="AO163" i="20"/>
  <c r="AO163" i="15"/>
  <c r="P148" i="1"/>
  <c r="BO148" i="1"/>
  <c r="CA148" i="1"/>
  <c r="BW167" i="20"/>
  <c r="BW167" i="15"/>
  <c r="AQ163" i="20"/>
  <c r="AQ163" i="15"/>
  <c r="R149" i="1"/>
  <c r="AY411" i="20"/>
  <c r="AY171" i="20"/>
  <c r="AY338" i="20"/>
  <c r="AY411" i="15"/>
  <c r="AY171" i="15"/>
  <c r="Z150" i="1"/>
  <c r="DG338" i="20"/>
  <c r="DG171" i="20"/>
  <c r="DG411" i="15"/>
  <c r="DG338" i="15"/>
  <c r="DG411" i="20"/>
  <c r="DG171" i="15"/>
  <c r="AI173" i="20"/>
  <c r="BO338" i="20"/>
  <c r="CA338" i="20"/>
  <c r="CA338" i="15"/>
  <c r="CY338" i="20"/>
  <c r="CY338" i="15"/>
  <c r="DK338" i="20"/>
  <c r="DW338" i="20"/>
  <c r="V91" i="1"/>
  <c r="BQ97" i="1"/>
  <c r="BQ98" i="1" s="1"/>
  <c r="BT35" i="9"/>
  <c r="AW576" i="20"/>
  <c r="AW576" i="15"/>
  <c r="BU576" i="20"/>
  <c r="BU576" i="15"/>
  <c r="CG576" i="20"/>
  <c r="CG576" i="15"/>
  <c r="BI109" i="1"/>
  <c r="U147" i="1"/>
  <c r="D8" i="9"/>
  <c r="AC587" i="20" s="1"/>
  <c r="J5" i="19"/>
  <c r="BN574" i="20"/>
  <c r="BN574" i="15"/>
  <c r="AO6" i="9"/>
  <c r="BU586" i="20"/>
  <c r="BU586" i="15"/>
  <c r="AR587" i="20"/>
  <c r="AR587" i="15"/>
  <c r="BE587" i="20"/>
  <c r="BE587" i="15"/>
  <c r="AR8" i="9"/>
  <c r="CF587" i="20"/>
  <c r="CF587" i="15"/>
  <c r="DE587" i="20"/>
  <c r="DE587" i="15"/>
  <c r="AB9" i="19"/>
  <c r="CR30" i="9"/>
  <c r="CR84" i="1"/>
  <c r="CR85" i="1" s="1"/>
  <c r="CH588" i="20"/>
  <c r="E13" i="19"/>
  <c r="BG589" i="20"/>
  <c r="BG589" i="15"/>
  <c r="X16" i="19"/>
  <c r="CB16" i="9"/>
  <c r="X17" i="19" s="1"/>
  <c r="CF29" i="9"/>
  <c r="BX577" i="20"/>
  <c r="BX577" i="15"/>
  <c r="C25" i="19"/>
  <c r="BD28" i="9"/>
  <c r="D29" i="19" s="1"/>
  <c r="CF578" i="20"/>
  <c r="CF578" i="15"/>
  <c r="Q29" i="19"/>
  <c r="BU30" i="9"/>
  <c r="AC29" i="19"/>
  <c r="CG30" i="9"/>
  <c r="BS33" i="9"/>
  <c r="BT40" i="9" s="1"/>
  <c r="BX40" i="9" s="1"/>
  <c r="BX41" i="9" s="1"/>
  <c r="K42" i="9"/>
  <c r="G43" i="9"/>
  <c r="AD30" i="20"/>
  <c r="E5" i="14"/>
  <c r="E8" i="14" s="1"/>
  <c r="E9" i="14" s="1"/>
  <c r="BB30" i="20"/>
  <c r="BB30" i="15"/>
  <c r="BO30" i="20"/>
  <c r="AP5" i="14"/>
  <c r="DW30" i="20"/>
  <c r="CX5" i="14"/>
  <c r="AX111" i="20"/>
  <c r="AX110" i="20"/>
  <c r="AW109" i="15"/>
  <c r="AW109" i="20"/>
  <c r="AX110" i="15"/>
  <c r="AX111" i="15"/>
  <c r="BP111" i="20"/>
  <c r="BP110" i="20"/>
  <c r="BP111" i="15"/>
  <c r="BO109" i="15"/>
  <c r="BO109" i="20"/>
  <c r="BP110" i="15"/>
  <c r="CB109" i="20"/>
  <c r="CN109" i="20"/>
  <c r="CO111" i="15"/>
  <c r="CO111" i="20"/>
  <c r="CO110" i="15"/>
  <c r="CN109" i="15"/>
  <c r="CZ109" i="20"/>
  <c r="DA111" i="20"/>
  <c r="CZ109" i="15"/>
  <c r="DA111" i="15"/>
  <c r="DA110" i="20"/>
  <c r="DA110" i="15"/>
  <c r="Z6" i="1"/>
  <c r="BK144" i="20"/>
  <c r="AL15" i="14"/>
  <c r="AM14" i="14"/>
  <c r="BW144" i="20"/>
  <c r="BW144" i="15"/>
  <c r="AX139" i="1"/>
  <c r="CI144" i="20"/>
  <c r="CI144" i="15"/>
  <c r="BJ139" i="1"/>
  <c r="CU144" i="20"/>
  <c r="CU144" i="15"/>
  <c r="BV139" i="1"/>
  <c r="CH6" i="1"/>
  <c r="CI24" i="2" s="1"/>
  <c r="AE53" i="19" s="1"/>
  <c r="AK145" i="20"/>
  <c r="L140" i="1"/>
  <c r="F11" i="1"/>
  <c r="AQ146" i="15"/>
  <c r="AQ146" i="20"/>
  <c r="BS13" i="1"/>
  <c r="BS88" i="1" s="1"/>
  <c r="BI15" i="1"/>
  <c r="BE147" i="20"/>
  <c r="BE147" i="15"/>
  <c r="AF142" i="1"/>
  <c r="AT16" i="1"/>
  <c r="BF142" i="1"/>
  <c r="P144" i="1"/>
  <c r="CK143" i="1"/>
  <c r="BN155" i="20"/>
  <c r="BN155" i="15"/>
  <c r="BX152" i="20"/>
  <c r="BX152" i="15"/>
  <c r="CM151" i="20"/>
  <c r="CM151" i="15"/>
  <c r="AV153" i="20"/>
  <c r="AV153" i="15"/>
  <c r="CR153" i="20"/>
  <c r="CR153" i="15"/>
  <c r="BX29" i="1"/>
  <c r="BB166" i="20"/>
  <c r="BB166" i="15"/>
  <c r="BP166" i="20"/>
  <c r="BP166" i="15"/>
  <c r="CN166" i="20"/>
  <c r="CN166" i="15"/>
  <c r="CZ166" i="20"/>
  <c r="CZ166" i="15"/>
  <c r="CM30" i="1"/>
  <c r="DL166" i="20" s="1"/>
  <c r="AX162" i="20"/>
  <c r="Y147" i="1"/>
  <c r="BJ162" i="20"/>
  <c r="BS35" i="1"/>
  <c r="DD162" i="15"/>
  <c r="DD162" i="20"/>
  <c r="AT163" i="20"/>
  <c r="AT163" i="15"/>
  <c r="AR103" i="1"/>
  <c r="BD36" i="1"/>
  <c r="BP103" i="1"/>
  <c r="BP104" i="1" s="1"/>
  <c r="CB103" i="1"/>
  <c r="CB104" i="1" s="1"/>
  <c r="CB148" i="1"/>
  <c r="CN103" i="1"/>
  <c r="CN104" i="1" s="1"/>
  <c r="CN148" i="1"/>
  <c r="AY38" i="1"/>
  <c r="G40" i="1"/>
  <c r="AF163" i="20" s="1"/>
  <c r="AR163" i="20"/>
  <c r="AR163" i="15"/>
  <c r="BD411" i="20"/>
  <c r="BD338" i="20"/>
  <c r="BD411" i="15"/>
  <c r="BE338" i="15"/>
  <c r="BD338" i="15"/>
  <c r="BD171" i="20"/>
  <c r="AE150" i="1"/>
  <c r="DL411" i="20"/>
  <c r="DL171" i="20"/>
  <c r="CM150" i="1"/>
  <c r="AV173" i="20"/>
  <c r="AV173" i="15"/>
  <c r="W120" i="1"/>
  <c r="AV338" i="20"/>
  <c r="AV338" i="15"/>
  <c r="BP338" i="20"/>
  <c r="BP338" i="15"/>
  <c r="CB338" i="20"/>
  <c r="CB338" i="15"/>
  <c r="CN338" i="20"/>
  <c r="CZ338" i="20"/>
  <c r="CZ338" i="15"/>
  <c r="CM44" i="1"/>
  <c r="DB44" i="1"/>
  <c r="AR338" i="20"/>
  <c r="AM338" i="20"/>
  <c r="Y51" i="1"/>
  <c r="AK51" i="1"/>
  <c r="AW51" i="1"/>
  <c r="BU51" i="1"/>
  <c r="CG51" i="1"/>
  <c r="CS51" i="1"/>
  <c r="E69" i="1"/>
  <c r="Q69" i="1"/>
  <c r="D29" i="14"/>
  <c r="CP88" i="1"/>
  <c r="W91" i="1"/>
  <c r="AC98" i="1"/>
  <c r="AK100" i="1"/>
  <c r="AK101" i="1" s="1"/>
  <c r="AQ103" i="1"/>
  <c r="CI576" i="20"/>
  <c r="CI576" i="15"/>
  <c r="BJ110" i="1"/>
  <c r="DI576" i="20"/>
  <c r="CJ110" i="1"/>
  <c r="DU576" i="20"/>
  <c r="CV110" i="1"/>
  <c r="M110" i="1"/>
  <c r="BC112" i="1"/>
  <c r="CR157" i="1"/>
  <c r="CG139" i="1"/>
  <c r="D143" i="1"/>
  <c r="AN143" i="1"/>
  <c r="BF147" i="1"/>
  <c r="CP147" i="1"/>
  <c r="CC157" i="1"/>
  <c r="AS47" i="9"/>
  <c r="AS15" i="9"/>
  <c r="AF574" i="20"/>
  <c r="D47" i="9"/>
  <c r="K5" i="9"/>
  <c r="BS574" i="20"/>
  <c r="BS574" i="15"/>
  <c r="DQ574" i="20"/>
  <c r="CR6" i="9"/>
  <c r="AN7" i="19" s="1"/>
  <c r="AN6" i="19"/>
  <c r="BW586" i="20"/>
  <c r="BW586" i="15"/>
  <c r="AS587" i="15"/>
  <c r="AS587" i="20"/>
  <c r="BF587" i="20"/>
  <c r="BF587" i="15"/>
  <c r="AS8" i="9"/>
  <c r="CS587" i="20"/>
  <c r="P9" i="19"/>
  <c r="DF587" i="20"/>
  <c r="DF587" i="15"/>
  <c r="AX35" i="9"/>
  <c r="AX13" i="9"/>
  <c r="AX11" i="9"/>
  <c r="AY9" i="9"/>
  <c r="DN589" i="20"/>
  <c r="AK14" i="19"/>
  <c r="BT29" i="9"/>
  <c r="P18" i="19"/>
  <c r="BX17" i="9"/>
  <c r="CG29" i="9"/>
  <c r="AC18" i="19"/>
  <c r="CG14" i="9"/>
  <c r="AP18" i="19"/>
  <c r="CT14" i="9"/>
  <c r="AP15" i="19" s="1"/>
  <c r="CC577" i="20"/>
  <c r="D25" i="19"/>
  <c r="CC577" i="15"/>
  <c r="AK27" i="9"/>
  <c r="AK31" i="9" s="1"/>
  <c r="AL31" i="9"/>
  <c r="R29" i="19"/>
  <c r="BV30" i="9"/>
  <c r="BX35" i="9"/>
  <c r="BI590" i="20"/>
  <c r="BI590" i="15"/>
  <c r="DB590" i="20"/>
  <c r="DB590" i="15"/>
  <c r="AX14" i="14"/>
  <c r="AS8" i="19"/>
  <c r="AC9" i="19"/>
  <c r="BJ162" i="15"/>
  <c r="AX144" i="20"/>
  <c r="BT164" i="15"/>
  <c r="BT164" i="20"/>
  <c r="CX164" i="20"/>
  <c r="CX164" i="15"/>
  <c r="AE166" i="20"/>
  <c r="BC166" i="20"/>
  <c r="BC166" i="15"/>
  <c r="BQ166" i="20"/>
  <c r="BQ166" i="15"/>
  <c r="CO166" i="20"/>
  <c r="CO166" i="15"/>
  <c r="DA166" i="20"/>
  <c r="DA166" i="15"/>
  <c r="BK162" i="20"/>
  <c r="BK162" i="15"/>
  <c r="AL147" i="1"/>
  <c r="CC162" i="20"/>
  <c r="CG162" i="20"/>
  <c r="CG162" i="15"/>
  <c r="CS162" i="20"/>
  <c r="CS162" i="15"/>
  <c r="AY163" i="20"/>
  <c r="AY163" i="15"/>
  <c r="AS103" i="1"/>
  <c r="CO148" i="1"/>
  <c r="BY167" i="20"/>
  <c r="BY167" i="15"/>
  <c r="AS163" i="20"/>
  <c r="AS163" i="15"/>
  <c r="BI338" i="20"/>
  <c r="BI411" i="20"/>
  <c r="BI171" i="20"/>
  <c r="BI171" i="15"/>
  <c r="BI338" i="15"/>
  <c r="DQ411" i="20"/>
  <c r="DQ171" i="20"/>
  <c r="AW173" i="20"/>
  <c r="AW173" i="15"/>
  <c r="X120" i="1"/>
  <c r="X121" i="1"/>
  <c r="BB338" i="20"/>
  <c r="AX338" i="15"/>
  <c r="AW338" i="15"/>
  <c r="AW338" i="20"/>
  <c r="BQ338" i="20"/>
  <c r="BQ338" i="15"/>
  <c r="CO338" i="20"/>
  <c r="CO338" i="15"/>
  <c r="DA338" i="20"/>
  <c r="DA338" i="15"/>
  <c r="DM338" i="20"/>
  <c r="R69" i="1"/>
  <c r="S72" i="1" s="1"/>
  <c r="CD75" i="1"/>
  <c r="CD76" i="1" s="1"/>
  <c r="Z35" i="9"/>
  <c r="U33" i="9"/>
  <c r="Z41" i="9" s="1"/>
  <c r="CH35" i="9"/>
  <c r="CC33" i="9"/>
  <c r="CD40" i="9" s="1"/>
  <c r="AY576" i="20"/>
  <c r="AY576" i="15"/>
  <c r="BK576" i="20"/>
  <c r="BK576" i="15"/>
  <c r="BW576" i="20"/>
  <c r="BW576" i="15"/>
  <c r="CJ576" i="20"/>
  <c r="CJ576" i="15"/>
  <c r="CV576" i="20"/>
  <c r="BW110" i="1"/>
  <c r="DJ576" i="20"/>
  <c r="CK110" i="1"/>
  <c r="W121" i="1"/>
  <c r="AO157" i="1"/>
  <c r="E143" i="1"/>
  <c r="BG147" i="1"/>
  <c r="CQ147" i="1"/>
  <c r="AJ157" i="1"/>
  <c r="BN157" i="1"/>
  <c r="T5" i="19"/>
  <c r="BX8" i="9"/>
  <c r="BD575" i="20"/>
  <c r="BD575" i="15"/>
  <c r="CO575" i="20"/>
  <c r="CO575" i="15"/>
  <c r="AE11" i="9"/>
  <c r="CP589" i="15"/>
  <c r="CP589" i="20"/>
  <c r="CH16" i="9"/>
  <c r="AD17" i="19" s="1"/>
  <c r="AD16" i="19"/>
  <c r="BU29" i="9"/>
  <c r="BU14" i="9"/>
  <c r="CU29" i="9"/>
  <c r="AQ18" i="19"/>
  <c r="CU14" i="9"/>
  <c r="CV578" i="15"/>
  <c r="CV578" i="20"/>
  <c r="BM590" i="20"/>
  <c r="BM590" i="15"/>
  <c r="DG590" i="20"/>
  <c r="DG590" i="15"/>
  <c r="AT60" i="9"/>
  <c r="AT61" i="9" s="1"/>
  <c r="S29" i="19"/>
  <c r="BG587" i="15"/>
  <c r="E29" i="14"/>
  <c r="AX576" i="20"/>
  <c r="AX576" i="15"/>
  <c r="BJ576" i="20"/>
  <c r="BJ576" i="15"/>
  <c r="BV576" i="20"/>
  <c r="BV576" i="15"/>
  <c r="CT576" i="20"/>
  <c r="CT576" i="15"/>
  <c r="AW110" i="1"/>
  <c r="AX8" i="9"/>
  <c r="AK574" i="20"/>
  <c r="L47" i="9"/>
  <c r="CC574" i="20"/>
  <c r="CC574" i="15"/>
  <c r="BI586" i="20"/>
  <c r="BI586" i="15"/>
  <c r="CW586" i="20"/>
  <c r="CW586" i="15"/>
  <c r="T8" i="19"/>
  <c r="AW587" i="20"/>
  <c r="AW587" i="15"/>
  <c r="BJ587" i="20"/>
  <c r="BJ587" i="15"/>
  <c r="DJ587" i="20"/>
  <c r="AG9" i="19"/>
  <c r="AQ575" i="20"/>
  <c r="AQ575" i="15"/>
  <c r="R11" i="9"/>
  <c r="CH575" i="20"/>
  <c r="E11" i="19"/>
  <c r="AU589" i="20"/>
  <c r="AU589" i="15"/>
  <c r="CK589" i="20"/>
  <c r="H14" i="19"/>
  <c r="CK589" i="15"/>
  <c r="CX589" i="20"/>
  <c r="CX589" i="15"/>
  <c r="U14" i="19"/>
  <c r="AE18" i="19"/>
  <c r="CM17" i="9"/>
  <c r="CV21" i="9"/>
  <c r="AR22" i="19" s="1"/>
  <c r="CV29" i="9"/>
  <c r="CH577" i="20"/>
  <c r="E25" i="19"/>
  <c r="BN28" i="9"/>
  <c r="BW29" i="9"/>
  <c r="CK30" i="9"/>
  <c r="BA47" i="9"/>
  <c r="BI47" i="9"/>
  <c r="BN591" i="20"/>
  <c r="BN591" i="15"/>
  <c r="AN5" i="19"/>
  <c r="CR2" i="9"/>
  <c r="AL574" i="20"/>
  <c r="M47" i="9"/>
  <c r="BN586" i="20"/>
  <c r="BN586" i="15"/>
  <c r="AX587" i="20"/>
  <c r="AX587" i="15"/>
  <c r="CX587" i="20"/>
  <c r="CX587" i="15"/>
  <c r="U9" i="19"/>
  <c r="DK587" i="20"/>
  <c r="AH9" i="19"/>
  <c r="BA11" i="9"/>
  <c r="AT575" i="20"/>
  <c r="AT575" i="15"/>
  <c r="CM575" i="20"/>
  <c r="J11" i="19"/>
  <c r="CM575" i="15"/>
  <c r="BN11" i="9"/>
  <c r="J12" i="19" s="1"/>
  <c r="DB588" i="20"/>
  <c r="DB588" i="15"/>
  <c r="Y13" i="19"/>
  <c r="AJ13" i="9"/>
  <c r="CL589" i="20"/>
  <c r="I14" i="19"/>
  <c r="CL589" i="15"/>
  <c r="BA16" i="9"/>
  <c r="F18" i="19"/>
  <c r="BJ29" i="9"/>
  <c r="BJ18" i="9"/>
  <c r="F19" i="19" s="1"/>
  <c r="BJ21" i="9"/>
  <c r="U22" i="19"/>
  <c r="CM577" i="20"/>
  <c r="CM577" i="15"/>
  <c r="J25" i="19"/>
  <c r="BO28" i="9"/>
  <c r="L43" i="9"/>
  <c r="AK43" i="9"/>
  <c r="AJ47" i="9"/>
  <c r="BS591" i="20"/>
  <c r="BS591" i="15"/>
  <c r="BS29" i="11"/>
  <c r="CX47" i="9"/>
  <c r="AS5" i="19"/>
  <c r="CW2" i="9"/>
  <c r="CM574" i="15"/>
  <c r="CM574" i="20"/>
  <c r="BR586" i="20"/>
  <c r="BR586" i="15"/>
  <c r="DG586" i="20"/>
  <c r="DG586" i="15"/>
  <c r="AD8" i="19"/>
  <c r="BA8" i="9"/>
  <c r="CL587" i="20"/>
  <c r="CL587" i="15"/>
  <c r="I9" i="19"/>
  <c r="CY587" i="20"/>
  <c r="CY587" i="15"/>
  <c r="V9" i="19"/>
  <c r="BC13" i="9"/>
  <c r="AY575" i="20"/>
  <c r="AY575" i="15"/>
  <c r="CN575" i="20"/>
  <c r="CN575" i="15"/>
  <c r="Z11" i="9"/>
  <c r="DG588" i="20"/>
  <c r="AD13" i="19"/>
  <c r="AW589" i="20"/>
  <c r="AW589" i="15"/>
  <c r="BJ589" i="20"/>
  <c r="BJ589" i="15"/>
  <c r="BY589" i="20"/>
  <c r="BY589" i="15"/>
  <c r="BK18" i="9"/>
  <c r="G19" i="19" s="1"/>
  <c r="BK21" i="9"/>
  <c r="G22" i="19" s="1"/>
  <c r="CR577" i="20"/>
  <c r="O25" i="19"/>
  <c r="CR577" i="15"/>
  <c r="BS42" i="9"/>
  <c r="BG590" i="20"/>
  <c r="BG590" i="15"/>
  <c r="BU591" i="20"/>
  <c r="BU591" i="15"/>
  <c r="AY53" i="9"/>
  <c r="AH335" i="20"/>
  <c r="D6" i="19"/>
  <c r="DG588" i="15"/>
  <c r="BF576" i="20"/>
  <c r="BF576" i="15"/>
  <c r="BR576" i="20"/>
  <c r="BR576" i="15"/>
  <c r="CD576" i="20"/>
  <c r="CD576" i="15"/>
  <c r="CP576" i="20"/>
  <c r="CP576" i="15"/>
  <c r="CM2" i="9"/>
  <c r="AV47" i="9"/>
  <c r="BU574" i="20"/>
  <c r="BU574" i="15"/>
  <c r="BK587" i="20"/>
  <c r="BK587" i="15"/>
  <c r="CI587" i="20"/>
  <c r="CI587" i="15"/>
  <c r="CH8" i="9"/>
  <c r="DB575" i="20"/>
  <c r="DB575" i="15"/>
  <c r="BD588" i="20"/>
  <c r="BD588" i="15"/>
  <c r="CM588" i="20"/>
  <c r="CM588" i="15"/>
  <c r="BC589" i="20"/>
  <c r="BC589" i="15"/>
  <c r="CA589" i="20"/>
  <c r="CA589" i="15"/>
  <c r="CY589" i="20"/>
  <c r="CY589" i="15"/>
  <c r="V14" i="19"/>
  <c r="DK589" i="20"/>
  <c r="AH14" i="19"/>
  <c r="BM14" i="9"/>
  <c r="CX18" i="9"/>
  <c r="CL18" i="9"/>
  <c r="AH19" i="19" s="1"/>
  <c r="CW577" i="20"/>
  <c r="CW577" i="15"/>
  <c r="AP28" i="9"/>
  <c r="AP54" i="9" s="1"/>
  <c r="AV35" i="9"/>
  <c r="CW591" i="20"/>
  <c r="CW591" i="15"/>
  <c r="AE9" i="19"/>
  <c r="BU575" i="15"/>
  <c r="AT586" i="20"/>
  <c r="AT586" i="15"/>
  <c r="CB586" i="20"/>
  <c r="CB586" i="15"/>
  <c r="AZ587" i="20"/>
  <c r="AZ587" i="15"/>
  <c r="BL587" i="20"/>
  <c r="BL587" i="15"/>
  <c r="CJ587" i="20"/>
  <c r="CJ587" i="15"/>
  <c r="CV587" i="15"/>
  <c r="CV587" i="20"/>
  <c r="AR589" i="20"/>
  <c r="AR589" i="15"/>
  <c r="CN589" i="20"/>
  <c r="CN589" i="15"/>
  <c r="CZ589" i="20"/>
  <c r="CZ589" i="15"/>
  <c r="W14" i="19"/>
  <c r="CM13" i="9"/>
  <c r="BJ577" i="20"/>
  <c r="BJ577" i="15"/>
  <c r="DB577" i="20"/>
  <c r="DB577" i="15"/>
  <c r="AU29" i="19"/>
  <c r="AW35" i="9"/>
  <c r="CM590" i="20"/>
  <c r="CM590" i="15"/>
  <c r="CX591" i="20"/>
  <c r="CX591" i="15"/>
  <c r="AS6" i="19"/>
  <c r="AF9" i="19"/>
  <c r="BI588" i="15"/>
  <c r="AX47" i="9"/>
  <c r="AV586" i="20"/>
  <c r="AV586" i="15"/>
  <c r="CC586" i="20"/>
  <c r="CC586" i="15"/>
  <c r="D8" i="19"/>
  <c r="BA587" i="15"/>
  <c r="BA587" i="20"/>
  <c r="BM587" i="20"/>
  <c r="BM587" i="15"/>
  <c r="BY587" i="20"/>
  <c r="BY587" i="15"/>
  <c r="CK587" i="15"/>
  <c r="CK587" i="20"/>
  <c r="H9" i="19"/>
  <c r="DU587" i="20"/>
  <c r="AR9" i="19"/>
  <c r="BW575" i="15"/>
  <c r="BW575" i="20"/>
  <c r="BN588" i="20"/>
  <c r="BN588" i="15"/>
  <c r="CW588" i="20"/>
  <c r="CW588" i="15"/>
  <c r="AS589" i="20"/>
  <c r="AS589" i="15"/>
  <c r="CO589" i="15"/>
  <c r="CO589" i="20"/>
  <c r="L14" i="19"/>
  <c r="DA589" i="15"/>
  <c r="DA589" i="20"/>
  <c r="X14" i="19"/>
  <c r="DM589" i="20"/>
  <c r="AJ14" i="19"/>
  <c r="DG577" i="20"/>
  <c r="DG577" i="15"/>
  <c r="AD25" i="19"/>
  <c r="Z47" i="9"/>
  <c r="CR590" i="20"/>
  <c r="CR590" i="15"/>
  <c r="BD591" i="20"/>
  <c r="BD591" i="15"/>
  <c r="CC53" i="9"/>
  <c r="K14" i="19"/>
  <c r="AT14" i="19"/>
  <c r="BN577" i="15"/>
  <c r="CR588" i="15"/>
  <c r="BS575" i="20"/>
  <c r="BR590" i="20"/>
  <c r="BR590" i="15"/>
  <c r="BS590" i="20"/>
  <c r="BS590" i="15"/>
  <c r="CC591" i="20"/>
  <c r="CC591" i="15"/>
  <c r="BU590" i="20"/>
  <c r="BU590" i="15"/>
  <c r="CT19" i="2"/>
  <c r="AP48" i="19" s="1"/>
  <c r="CW17" i="9"/>
  <c r="CU19" i="2"/>
  <c r="AQ48" i="19" s="1"/>
  <c r="CS21" i="9"/>
  <c r="CS18" i="9"/>
  <c r="AO19" i="19" s="1"/>
  <c r="CT18" i="9"/>
  <c r="AP19" i="19" s="1"/>
  <c r="AS20" i="19"/>
  <c r="CU18" i="9"/>
  <c r="AQ19" i="19" s="1"/>
  <c r="CS19" i="2"/>
  <c r="AO48" i="19" s="1"/>
  <c r="CV18" i="9"/>
  <c r="AR19" i="19" s="1"/>
  <c r="CV19" i="2"/>
  <c r="AR48" i="19" s="1"/>
  <c r="CT21" i="9"/>
  <c r="AP22" i="19" s="1"/>
  <c r="CS29" i="9"/>
  <c r="CU21" i="9"/>
  <c r="AQ22" i="19" s="1"/>
  <c r="CT29" i="9"/>
  <c r="BE19" i="7"/>
  <c r="CS19" i="7"/>
  <c r="AW19" i="7"/>
  <c r="BU19" i="7"/>
  <c r="CK19" i="7"/>
  <c r="DP19" i="7"/>
  <c r="AN19" i="7"/>
  <c r="DI19" i="7"/>
  <c r="AP19" i="7"/>
  <c r="BF19" i="7"/>
  <c r="BM19" i="7"/>
  <c r="BV19" i="7"/>
  <c r="CD19" i="7"/>
  <c r="CT19" i="7"/>
  <c r="DA19" i="7"/>
  <c r="DJ19" i="7"/>
  <c r="DR19" i="7"/>
  <c r="CB19" i="7"/>
  <c r="DY19" i="7"/>
  <c r="BO19" i="7"/>
  <c r="DW587" i="20"/>
  <c r="AV18" i="19"/>
  <c r="DL52" i="9"/>
  <c r="AU25" i="19"/>
  <c r="DX577" i="20"/>
  <c r="AW7" i="19"/>
  <c r="AQ19" i="7"/>
  <c r="AX19" i="7"/>
  <c r="BG19" i="7"/>
  <c r="CE19" i="7"/>
  <c r="CL19" i="7"/>
  <c r="CU19" i="7"/>
  <c r="DS19" i="7"/>
  <c r="DZ19" i="7"/>
  <c r="AH19" i="7"/>
  <c r="AR19" i="7"/>
  <c r="AZ19" i="7"/>
  <c r="BP19" i="7"/>
  <c r="BW19" i="7"/>
  <c r="CF19" i="7"/>
  <c r="CN19" i="7"/>
  <c r="DD19" i="7"/>
  <c r="DK19" i="7"/>
  <c r="DT19" i="7"/>
  <c r="EB19" i="7"/>
  <c r="AK19" i="7"/>
  <c r="BA19" i="7"/>
  <c r="BH19" i="7"/>
  <c r="BQ19" i="7"/>
  <c r="BY19" i="7"/>
  <c r="CO19" i="7"/>
  <c r="CV19" i="7"/>
  <c r="DE19" i="7"/>
  <c r="DM19" i="7"/>
  <c r="EC19" i="7"/>
  <c r="AL19" i="7"/>
  <c r="AS19" i="7"/>
  <c r="BB19" i="7"/>
  <c r="BJ19" i="7"/>
  <c r="BZ19" i="7"/>
  <c r="CG19" i="7"/>
  <c r="CP19" i="7"/>
  <c r="CX19" i="7"/>
  <c r="DN19" i="7"/>
  <c r="DU19" i="7"/>
  <c r="ED19" i="7"/>
  <c r="AM19" i="7"/>
  <c r="AU19" i="7"/>
  <c r="BK19" i="7"/>
  <c r="BR19" i="7"/>
  <c r="CA19" i="7"/>
  <c r="CI19" i="7"/>
  <c r="CY19" i="7"/>
  <c r="DF19" i="7"/>
  <c r="DO19" i="7"/>
  <c r="DW19" i="7"/>
  <c r="AV19" i="7"/>
  <c r="BC19" i="7"/>
  <c r="BL19" i="7"/>
  <c r="BT19" i="7"/>
  <c r="CJ19" i="7"/>
  <c r="CQ19" i="7"/>
  <c r="CZ19" i="7"/>
  <c r="DH19" i="7"/>
  <c r="DX19" i="7"/>
  <c r="EE19" i="7"/>
  <c r="BE627" i="20"/>
  <c r="BE627" i="15"/>
  <c r="BM627" i="20"/>
  <c r="BM627" i="15"/>
  <c r="BU627" i="20"/>
  <c r="BU627" i="15"/>
  <c r="CC627" i="20"/>
  <c r="CC627" i="15"/>
  <c r="CK627" i="15"/>
  <c r="CK627" i="20"/>
  <c r="CS627" i="15"/>
  <c r="CS627" i="20"/>
  <c r="DA627" i="15"/>
  <c r="DA627" i="20"/>
  <c r="BK629" i="15"/>
  <c r="BK629" i="20"/>
  <c r="BS629" i="15"/>
  <c r="BS629" i="20"/>
  <c r="CA629" i="15"/>
  <c r="CA629" i="20"/>
  <c r="CI629" i="15"/>
  <c r="CI629" i="20"/>
  <c r="CQ629" i="15"/>
  <c r="CQ629" i="20"/>
  <c r="CY629" i="15"/>
  <c r="CY629" i="20"/>
  <c r="DG629" i="15"/>
  <c r="DG629" i="20"/>
  <c r="AI19" i="7"/>
  <c r="DC19" i="7"/>
  <c r="CT627" i="20"/>
  <c r="CT627" i="15"/>
  <c r="BL629" i="15"/>
  <c r="BL629" i="20"/>
  <c r="BT629" i="15"/>
  <c r="BT629" i="20"/>
  <c r="CB629" i="15"/>
  <c r="CB629" i="20"/>
  <c r="CJ629" i="15"/>
  <c r="CJ629" i="20"/>
  <c r="CR629" i="15"/>
  <c r="CR629" i="20"/>
  <c r="CZ629" i="15"/>
  <c r="CZ629" i="20"/>
  <c r="BF627" i="20"/>
  <c r="BF627" i="15"/>
  <c r="BG627" i="20"/>
  <c r="BG627" i="15"/>
  <c r="BO627" i="20"/>
  <c r="BO627" i="15"/>
  <c r="BW627" i="20"/>
  <c r="BW627" i="15"/>
  <c r="CE627" i="20"/>
  <c r="CE627" i="15"/>
  <c r="CM627" i="20"/>
  <c r="CM627" i="15"/>
  <c r="CU627" i="20"/>
  <c r="CU627" i="15"/>
  <c r="DC627" i="20"/>
  <c r="DC627" i="15"/>
  <c r="BE629" i="15"/>
  <c r="BE629" i="20"/>
  <c r="BM629" i="15"/>
  <c r="BM629" i="20"/>
  <c r="BU629" i="15"/>
  <c r="BU629" i="20"/>
  <c r="CC629" i="15"/>
  <c r="CC629" i="20"/>
  <c r="CK629" i="15"/>
  <c r="CK629" i="20"/>
  <c r="CS629" i="15"/>
  <c r="CS629" i="20"/>
  <c r="DA629" i="15"/>
  <c r="DA629" i="20"/>
  <c r="B19" i="11"/>
  <c r="B23" i="11" s="1"/>
  <c r="B25" i="11"/>
  <c r="BN627" i="20"/>
  <c r="BN627" i="15"/>
  <c r="BV627" i="20"/>
  <c r="BV627" i="15"/>
  <c r="CL627" i="20"/>
  <c r="CL627" i="15"/>
  <c r="DB627" i="20"/>
  <c r="DB627" i="15"/>
  <c r="BH627" i="20"/>
  <c r="BH627" i="15"/>
  <c r="BP627" i="20"/>
  <c r="BP627" i="15"/>
  <c r="BX627" i="20"/>
  <c r="BX627" i="15"/>
  <c r="CF627" i="20"/>
  <c r="CF627" i="15"/>
  <c r="CN627" i="20"/>
  <c r="CN627" i="15"/>
  <c r="CV627" i="20"/>
  <c r="CV627" i="15"/>
  <c r="DD627" i="20"/>
  <c r="DD627" i="15"/>
  <c r="BF629" i="15"/>
  <c r="BF629" i="20"/>
  <c r="BN629" i="15"/>
  <c r="BN629" i="20"/>
  <c r="BV629" i="15"/>
  <c r="BV629" i="20"/>
  <c r="CD629" i="15"/>
  <c r="CD629" i="20"/>
  <c r="CL629" i="15"/>
  <c r="CL629" i="20"/>
  <c r="CT629" i="15"/>
  <c r="CT629" i="20"/>
  <c r="DB629" i="15"/>
  <c r="DB629" i="20"/>
  <c r="CD627" i="20"/>
  <c r="CD627" i="15"/>
  <c r="BI627" i="20"/>
  <c r="BI627" i="15"/>
  <c r="BQ627" i="20"/>
  <c r="BQ627" i="15"/>
  <c r="BY627" i="20"/>
  <c r="BY627" i="15"/>
  <c r="CG627" i="20"/>
  <c r="CG627" i="15"/>
  <c r="CO627" i="20"/>
  <c r="CO627" i="15"/>
  <c r="CW627" i="20"/>
  <c r="CW627" i="15"/>
  <c r="DE627" i="20"/>
  <c r="DE627" i="15"/>
  <c r="BG629" i="20"/>
  <c r="BG629" i="15"/>
  <c r="BO629" i="20"/>
  <c r="BO629" i="15"/>
  <c r="BW629" i="20"/>
  <c r="BW629" i="15"/>
  <c r="CE629" i="20"/>
  <c r="CE629" i="15"/>
  <c r="CM629" i="15"/>
  <c r="CM629" i="20"/>
  <c r="CU629" i="15"/>
  <c r="CU629" i="20"/>
  <c r="DC629" i="15"/>
  <c r="DC629" i="20"/>
  <c r="CX627" i="15"/>
  <c r="CX627" i="20"/>
  <c r="DF627" i="15"/>
  <c r="DF627" i="20"/>
  <c r="BH629" i="20"/>
  <c r="BH629" i="15"/>
  <c r="BP629" i="20"/>
  <c r="BP629" i="15"/>
  <c r="BX629" i="20"/>
  <c r="BX629" i="15"/>
  <c r="CF629" i="20"/>
  <c r="CF629" i="15"/>
  <c r="CN629" i="20"/>
  <c r="CN629" i="15"/>
  <c r="CV629" i="20"/>
  <c r="CV629" i="15"/>
  <c r="DD629" i="20"/>
  <c r="DD629" i="15"/>
  <c r="AF19" i="7"/>
  <c r="BR627" i="15"/>
  <c r="BR627" i="20"/>
  <c r="BZ627" i="15"/>
  <c r="BZ627" i="20"/>
  <c r="BK627" i="15"/>
  <c r="BK627" i="20"/>
  <c r="BS627" i="15"/>
  <c r="BS627" i="20"/>
  <c r="CA627" i="15"/>
  <c r="CA627" i="20"/>
  <c r="CI627" i="15"/>
  <c r="CI627" i="20"/>
  <c r="CQ627" i="15"/>
  <c r="CQ627" i="20"/>
  <c r="CY627" i="15"/>
  <c r="CY627" i="20"/>
  <c r="DG627" i="15"/>
  <c r="DG627" i="20"/>
  <c r="BI629" i="15"/>
  <c r="BI629" i="20"/>
  <c r="BQ629" i="15"/>
  <c r="BQ629" i="20"/>
  <c r="BY629" i="15"/>
  <c r="BY629" i="20"/>
  <c r="CG629" i="15"/>
  <c r="CG629" i="20"/>
  <c r="CO629" i="15"/>
  <c r="CO629" i="20"/>
  <c r="CW629" i="15"/>
  <c r="CW629" i="20"/>
  <c r="DE629" i="15"/>
  <c r="DE629" i="20"/>
  <c r="AG19" i="7"/>
  <c r="BJ627" i="15"/>
  <c r="BJ627" i="20"/>
  <c r="CP627" i="15"/>
  <c r="CP627" i="20"/>
  <c r="BL627" i="15"/>
  <c r="BL627" i="20"/>
  <c r="BT627" i="15"/>
  <c r="BT627" i="20"/>
  <c r="CB627" i="15"/>
  <c r="CB627" i="20"/>
  <c r="CJ627" i="15"/>
  <c r="CJ627" i="20"/>
  <c r="CR627" i="15"/>
  <c r="CR627" i="20"/>
  <c r="CZ627" i="15"/>
  <c r="CZ627" i="20"/>
  <c r="BJ629" i="15"/>
  <c r="BJ629" i="20"/>
  <c r="BR629" i="15"/>
  <c r="BR629" i="20"/>
  <c r="BZ629" i="15"/>
  <c r="BZ629" i="20"/>
  <c r="CP629" i="15"/>
  <c r="CP629" i="20"/>
  <c r="CX629" i="15"/>
  <c r="CX629" i="20"/>
  <c r="DF629" i="15"/>
  <c r="DF629" i="20"/>
  <c r="DB19" i="7"/>
  <c r="DH26" i="1" l="1"/>
  <c r="DI41" i="1"/>
  <c r="DJ41" i="1" s="1"/>
  <c r="DK41" i="1" s="1"/>
  <c r="DL41" i="1" s="1"/>
  <c r="DM41" i="1" s="1"/>
  <c r="DN41" i="1" s="1"/>
  <c r="DO41" i="1" s="1"/>
  <c r="DP41" i="1" s="1"/>
  <c r="DQ41" i="1" s="1"/>
  <c r="DR41" i="1" s="1"/>
  <c r="DS41" i="1" s="1"/>
  <c r="DT41" i="1" s="1"/>
  <c r="DU41" i="1" s="1"/>
  <c r="DV41" i="1" s="1"/>
  <c r="DW41" i="1" s="1"/>
  <c r="DX41" i="1" s="1"/>
  <c r="DY41" i="1" s="1"/>
  <c r="DZ41" i="1" s="1"/>
  <c r="EA41" i="1" s="1"/>
  <c r="EB41" i="1" s="1"/>
  <c r="EC41" i="1" s="1"/>
  <c r="ED41" i="1" s="1"/>
  <c r="EE41" i="1" s="1"/>
  <c r="EF41" i="1" s="1"/>
  <c r="DJ20" i="9"/>
  <c r="BE21" i="19"/>
  <c r="DO20" i="9"/>
  <c r="BJ21" i="19"/>
  <c r="DS19" i="2"/>
  <c r="DX19" i="2" s="1"/>
  <c r="EC19" i="2" s="1"/>
  <c r="BJ48" i="19"/>
  <c r="DK6" i="9"/>
  <c r="BF7" i="19"/>
  <c r="C122" i="1"/>
  <c r="CS9" i="2"/>
  <c r="AO38" i="19" s="1"/>
  <c r="AO33" i="19"/>
  <c r="BX574" i="15"/>
  <c r="BQ53" i="20"/>
  <c r="AR60" i="2"/>
  <c r="CB26" i="2"/>
  <c r="X55" i="19" s="1"/>
  <c r="AX121" i="1"/>
  <c r="CD42" i="2"/>
  <c r="Z72" i="19" s="1"/>
  <c r="K115" i="1"/>
  <c r="K117" i="1" s="1"/>
  <c r="AX120" i="1"/>
  <c r="DG44" i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BX574" i="20"/>
  <c r="AB581" i="20"/>
  <c r="AB15" i="19"/>
  <c r="T145" i="1"/>
  <c r="AU53" i="20"/>
  <c r="AP53" i="20"/>
  <c r="DC146" i="15"/>
  <c r="DA173" i="20"/>
  <c r="DE146" i="15"/>
  <c r="AS18" i="1"/>
  <c r="BR147" i="20" s="1"/>
  <c r="K51" i="9"/>
  <c r="BM112" i="15"/>
  <c r="R23" i="2"/>
  <c r="AQ53" i="20" s="1"/>
  <c r="DD152" i="1"/>
  <c r="DD154" i="1"/>
  <c r="DD155" i="1" s="1"/>
  <c r="DD165" i="1"/>
  <c r="CZ104" i="1"/>
  <c r="BA98" i="1"/>
  <c r="BK42" i="2"/>
  <c r="G72" i="19" s="1"/>
  <c r="CX93" i="1"/>
  <c r="DD3" i="15"/>
  <c r="BB40" i="1"/>
  <c r="CA163" i="15" s="1"/>
  <c r="G9" i="7"/>
  <c r="BB120" i="1"/>
  <c r="BL53" i="2"/>
  <c r="BU93" i="1"/>
  <c r="CF112" i="20"/>
  <c r="AW89" i="1"/>
  <c r="BX29" i="11"/>
  <c r="AD410" i="20"/>
  <c r="AA53" i="2"/>
  <c r="AA55" i="2" s="1"/>
  <c r="AA70" i="2" s="1"/>
  <c r="BY6" i="20"/>
  <c r="CX34" i="9"/>
  <c r="BI587" i="20"/>
  <c r="AQ52" i="1"/>
  <c r="BP173" i="15"/>
  <c r="CG88" i="2"/>
  <c r="J9" i="19"/>
  <c r="AQ121" i="1"/>
  <c r="CM587" i="20"/>
  <c r="H39" i="19"/>
  <c r="AA39" i="19"/>
  <c r="AB145" i="1"/>
  <c r="CT145" i="20"/>
  <c r="BG10" i="2"/>
  <c r="BG42" i="2" s="1"/>
  <c r="BK53" i="2"/>
  <c r="AT587" i="20"/>
  <c r="AV19" i="9"/>
  <c r="AV17" i="9" s="1"/>
  <c r="AV14" i="9" s="1"/>
  <c r="AV34" i="9" s="1"/>
  <c r="AW145" i="15"/>
  <c r="BN587" i="15"/>
  <c r="AE104" i="1"/>
  <c r="Z8" i="9"/>
  <c r="AY587" i="20" s="1"/>
  <c r="CY173" i="15"/>
  <c r="BN27" i="2"/>
  <c r="J56" i="19" s="1"/>
  <c r="BY6" i="15"/>
  <c r="BL18" i="2"/>
  <c r="H47" i="19" s="1"/>
  <c r="AA42" i="2"/>
  <c r="BU60" i="1"/>
  <c r="BU63" i="1" s="1"/>
  <c r="BU40" i="2" s="1"/>
  <c r="Q70" i="19" s="1"/>
  <c r="C104" i="1"/>
  <c r="AR22" i="2"/>
  <c r="BQ16" i="20" s="1"/>
  <c r="DA22" i="2"/>
  <c r="DA60" i="2"/>
  <c r="DA59" i="2" s="1"/>
  <c r="DD3" i="20"/>
  <c r="DW16" i="20"/>
  <c r="BV145" i="20"/>
  <c r="CZ85" i="1"/>
  <c r="AP10" i="14"/>
  <c r="BO335" i="20" s="1"/>
  <c r="DF146" i="20"/>
  <c r="AE39" i="19"/>
  <c r="CZ98" i="1"/>
  <c r="DA12" i="2"/>
  <c r="BN40" i="9"/>
  <c r="BN41" i="9" s="1"/>
  <c r="AW43" i="9"/>
  <c r="BU141" i="1"/>
  <c r="DE16" i="20"/>
  <c r="BK6" i="15"/>
  <c r="CX146" i="1"/>
  <c r="CK89" i="1"/>
  <c r="DF146" i="15"/>
  <c r="CI53" i="2"/>
  <c r="CI55" i="2" s="1"/>
  <c r="CI70" i="2" s="1"/>
  <c r="AE78" i="19" s="1"/>
  <c r="D122" i="1"/>
  <c r="BK6" i="20"/>
  <c r="CG146" i="20"/>
  <c r="CT146" i="1"/>
  <c r="DE16" i="15"/>
  <c r="DH3" i="20"/>
  <c r="C35" i="9"/>
  <c r="CT146" i="15"/>
  <c r="J83" i="2"/>
  <c r="AJ50" i="1"/>
  <c r="AK86" i="2" s="1"/>
  <c r="AK87" i="2" s="1"/>
  <c r="AH31" i="2"/>
  <c r="AH16" i="2" s="1"/>
  <c r="CC110" i="15"/>
  <c r="AE15" i="19"/>
  <c r="BX575" i="15"/>
  <c r="G23" i="9"/>
  <c r="G106" i="1"/>
  <c r="CT145" i="15"/>
  <c r="AP57" i="1"/>
  <c r="AU18" i="1"/>
  <c r="BT147" i="20" s="1"/>
  <c r="CR8" i="1"/>
  <c r="CW20" i="9" s="1"/>
  <c r="AS21" i="19" s="1"/>
  <c r="CA40" i="1"/>
  <c r="CZ163" i="15" s="1"/>
  <c r="G52" i="2"/>
  <c r="CJ18" i="2"/>
  <c r="AF47" i="19" s="1"/>
  <c r="AP121" i="1"/>
  <c r="BP587" i="20"/>
  <c r="AU141" i="1"/>
  <c r="AW61" i="2"/>
  <c r="AW59" i="2" s="1"/>
  <c r="H85" i="19"/>
  <c r="AY6" i="2"/>
  <c r="C35" i="19" s="1"/>
  <c r="AF39" i="19"/>
  <c r="BT8" i="14"/>
  <c r="BT9" i="14" s="1"/>
  <c r="CS367" i="15" s="1"/>
  <c r="BX110" i="1"/>
  <c r="U89" i="1"/>
  <c r="AU69" i="1"/>
  <c r="AV72" i="1" s="1"/>
  <c r="AD54" i="19"/>
  <c r="BV580" i="15"/>
  <c r="BY145" i="20"/>
  <c r="AJ146" i="1"/>
  <c r="CC40" i="9"/>
  <c r="CC41" i="9" s="1"/>
  <c r="DV589" i="20"/>
  <c r="CJ42" i="2"/>
  <c r="AF72" i="19" s="1"/>
  <c r="O3" i="7"/>
  <c r="O83" i="2" s="1"/>
  <c r="C11" i="19"/>
  <c r="F72" i="2"/>
  <c r="G32" i="9"/>
  <c r="AU60" i="1"/>
  <c r="AV63" i="1" s="1"/>
  <c r="AV40" i="2" s="1"/>
  <c r="CX4" i="15"/>
  <c r="AJ7" i="20"/>
  <c r="CS34" i="9"/>
  <c r="CX20" i="9"/>
  <c r="AT21" i="19" s="1"/>
  <c r="X5" i="14"/>
  <c r="X8" i="14" s="1"/>
  <c r="X9" i="14" s="1"/>
  <c r="AW327" i="15" s="1"/>
  <c r="G3" i="11"/>
  <c r="BT140" i="1"/>
  <c r="AH56" i="2"/>
  <c r="BT146" i="15"/>
  <c r="CI141" i="1"/>
  <c r="DI3" i="20"/>
  <c r="BI11" i="1"/>
  <c r="CH146" i="20" s="1"/>
  <c r="BF10" i="2"/>
  <c r="BF21" i="2" s="1"/>
  <c r="AC42" i="2"/>
  <c r="DB173" i="20"/>
  <c r="AT110" i="20"/>
  <c r="E55" i="1"/>
  <c r="CC145" i="15"/>
  <c r="BE8" i="14"/>
  <c r="BE9" i="14" s="1"/>
  <c r="CD367" i="20" s="1"/>
  <c r="BC173" i="15"/>
  <c r="CP98" i="1"/>
  <c r="BJ173" i="20"/>
  <c r="AC410" i="20"/>
  <c r="DA173" i="15"/>
  <c r="AP53" i="15"/>
  <c r="CE53" i="2"/>
  <c r="BB3" i="15"/>
  <c r="CT10" i="14"/>
  <c r="DS335" i="20" s="1"/>
  <c r="S15" i="19"/>
  <c r="G51" i="9"/>
  <c r="DH146" i="20"/>
  <c r="BH145" i="15"/>
  <c r="BB101" i="1"/>
  <c r="AI76" i="1"/>
  <c r="G83" i="2"/>
  <c r="X92" i="1"/>
  <c r="X93" i="1" s="1"/>
  <c r="BN20" i="20"/>
  <c r="BO173" i="15"/>
  <c r="AF53" i="1"/>
  <c r="AF55" i="1" s="1"/>
  <c r="DG54" i="15"/>
  <c r="BW18" i="1"/>
  <c r="CV147" i="20" s="1"/>
  <c r="CK145" i="20"/>
  <c r="BD31" i="2"/>
  <c r="D60" i="19" s="1"/>
  <c r="G59" i="1"/>
  <c r="CC145" i="20"/>
  <c r="G3" i="14"/>
  <c r="CV146" i="20"/>
  <c r="CR89" i="1"/>
  <c r="B145" i="1"/>
  <c r="AW30" i="20"/>
  <c r="BN20" i="15"/>
  <c r="BO173" i="20"/>
  <c r="CP43" i="9"/>
  <c r="BC121" i="1"/>
  <c r="CA53" i="1"/>
  <c r="CZ410" i="20" s="1"/>
  <c r="AR16" i="20"/>
  <c r="CM576" i="20"/>
  <c r="BA60" i="1"/>
  <c r="BB63" i="1" s="1"/>
  <c r="BB40" i="2" s="1"/>
  <c r="AD120" i="1"/>
  <c r="BK24" i="2"/>
  <c r="G53" i="19" s="1"/>
  <c r="CR7" i="2"/>
  <c r="AN36" i="19" s="1"/>
  <c r="BJ60" i="1"/>
  <c r="G77" i="2"/>
  <c r="S18" i="2"/>
  <c r="DA145" i="20"/>
  <c r="P5" i="7"/>
  <c r="P3" i="7" s="1"/>
  <c r="P45" i="9" s="1"/>
  <c r="CH66" i="1"/>
  <c r="AR146" i="1"/>
  <c r="CP112" i="15"/>
  <c r="CN18" i="1"/>
  <c r="CN144" i="1" s="1"/>
  <c r="J8" i="14"/>
  <c r="J9" i="14" s="1"/>
  <c r="AI327" i="20" s="1"/>
  <c r="CN52" i="1"/>
  <c r="BS11" i="1"/>
  <c r="CR146" i="20" s="1"/>
  <c r="CB18" i="1"/>
  <c r="DA147" i="20" s="1"/>
  <c r="V30" i="19"/>
  <c r="CN121" i="1"/>
  <c r="BR162" i="15"/>
  <c r="AT11" i="1"/>
  <c r="BS146" i="20" s="1"/>
  <c r="AS69" i="1"/>
  <c r="BL69" i="1"/>
  <c r="AH30" i="19"/>
  <c r="AI140" i="1"/>
  <c r="BT145" i="15"/>
  <c r="CY578" i="15"/>
  <c r="CK146" i="15"/>
  <c r="R86" i="2"/>
  <c r="G45" i="9"/>
  <c r="BX11" i="1"/>
  <c r="BX141" i="1" s="1"/>
  <c r="CB89" i="1"/>
  <c r="CB53" i="1"/>
  <c r="DA410" i="20" s="1"/>
  <c r="CL120" i="1"/>
  <c r="BW69" i="1"/>
  <c r="BW72" i="1" s="1"/>
  <c r="CM576" i="15"/>
  <c r="BC57" i="1"/>
  <c r="CN140" i="1"/>
  <c r="G93" i="2"/>
  <c r="CA121" i="1"/>
  <c r="AA368" i="20"/>
  <c r="C85" i="1"/>
  <c r="T5" i="14"/>
  <c r="T8" i="14" s="1"/>
  <c r="T9" i="14" s="1"/>
  <c r="AS327" i="20" s="1"/>
  <c r="DM145" i="20"/>
  <c r="BA140" i="1"/>
  <c r="CT140" i="1"/>
  <c r="G3" i="9"/>
  <c r="H84" i="1"/>
  <c r="H104" i="1" s="1"/>
  <c r="CG141" i="1"/>
  <c r="DM4" i="20"/>
  <c r="BO20" i="9"/>
  <c r="K21" i="19" s="1"/>
  <c r="G3" i="1"/>
  <c r="CI18" i="2"/>
  <c r="AE47" i="19" s="1"/>
  <c r="AS85" i="2"/>
  <c r="AS88" i="2" s="1"/>
  <c r="CA10" i="14"/>
  <c r="CZ335" i="20" s="1"/>
  <c r="CN40" i="1"/>
  <c r="CN149" i="1" s="1"/>
  <c r="CN145" i="1" s="1"/>
  <c r="CF145" i="20"/>
  <c r="BR146" i="15"/>
  <c r="BH145" i="20"/>
  <c r="BQ53" i="15"/>
  <c r="AL26" i="9"/>
  <c r="AK26" i="9" s="1"/>
  <c r="CA146" i="1"/>
  <c r="AS30" i="15"/>
  <c r="BB19" i="9"/>
  <c r="BB17" i="9" s="1"/>
  <c r="BB18" i="9" s="1"/>
  <c r="BK60" i="2"/>
  <c r="BK59" i="2" s="1"/>
  <c r="CG69" i="1"/>
  <c r="CG72" i="1" s="1"/>
  <c r="Q22" i="2"/>
  <c r="AP16" i="15" s="1"/>
  <c r="BU140" i="1"/>
  <c r="AX6" i="15"/>
  <c r="AS30" i="20"/>
  <c r="G130" i="1"/>
  <c r="E19" i="2"/>
  <c r="G25" i="1"/>
  <c r="CI18" i="1"/>
  <c r="CI5" i="1" s="1"/>
  <c r="CI4" i="1" s="1"/>
  <c r="V60" i="2"/>
  <c r="V59" i="2" s="1"/>
  <c r="AA18" i="2"/>
  <c r="CZ11" i="2"/>
  <c r="CZ54" i="2"/>
  <c r="CY173" i="20"/>
  <c r="CY38" i="9"/>
  <c r="CY39" i="9" s="1"/>
  <c r="CY37" i="9"/>
  <c r="CY43" i="9"/>
  <c r="BH53" i="1"/>
  <c r="CG581" i="20" s="1"/>
  <c r="BO53" i="20"/>
  <c r="BB57" i="1"/>
  <c r="CD53" i="2"/>
  <c r="CD55" i="2" s="1"/>
  <c r="CD70" i="2" s="1"/>
  <c r="Z78" i="19" s="1"/>
  <c r="BC145" i="15"/>
  <c r="DM173" i="20"/>
  <c r="AR30" i="20"/>
  <c r="BH29" i="14"/>
  <c r="BS11" i="9"/>
  <c r="O12" i="19" s="1"/>
  <c r="AQ57" i="1"/>
  <c r="W30" i="19"/>
  <c r="AP410" i="20"/>
  <c r="CQ146" i="15"/>
  <c r="DC3" i="15"/>
  <c r="G85" i="19"/>
  <c r="BQ57" i="1"/>
  <c r="CB140" i="1"/>
  <c r="BO20" i="2"/>
  <c r="BO56" i="2" s="1"/>
  <c r="BA43" i="2"/>
  <c r="BA56" i="2" s="1"/>
  <c r="BF5" i="14"/>
  <c r="BF8" i="14" s="1"/>
  <c r="BF9" i="14" s="1"/>
  <c r="CE327" i="20" s="1"/>
  <c r="BJ29" i="14"/>
  <c r="DG589" i="15"/>
  <c r="BT34" i="9"/>
  <c r="AQ120" i="1"/>
  <c r="CZ578" i="15"/>
  <c r="AX72" i="2"/>
  <c r="BR141" i="1"/>
  <c r="BY145" i="15"/>
  <c r="BP20" i="9"/>
  <c r="L21" i="19" s="1"/>
  <c r="AZ52" i="1"/>
  <c r="Z39" i="19"/>
  <c r="CJ112" i="15"/>
  <c r="CZ173" i="20"/>
  <c r="BQ120" i="1"/>
  <c r="BL42" i="2"/>
  <c r="H72" i="19" s="1"/>
  <c r="K62" i="19"/>
  <c r="CJ3" i="20"/>
  <c r="CE30" i="20"/>
  <c r="CQ89" i="1"/>
  <c r="V85" i="1"/>
  <c r="V98" i="1"/>
  <c r="CP34" i="9"/>
  <c r="AT25" i="2"/>
  <c r="CC110" i="20"/>
  <c r="BA112" i="15"/>
  <c r="AZ40" i="1"/>
  <c r="BY163" i="15" s="1"/>
  <c r="AZ121" i="1"/>
  <c r="BU587" i="15"/>
  <c r="AD16" i="2"/>
  <c r="BQ52" i="1"/>
  <c r="S31" i="2"/>
  <c r="S16" i="2" s="1"/>
  <c r="BH10" i="14"/>
  <c r="CG335" i="15" s="1"/>
  <c r="CZ68" i="2"/>
  <c r="DA68" i="2" s="1"/>
  <c r="CY33" i="2"/>
  <c r="CY20" i="2" s="1"/>
  <c r="CY92" i="1"/>
  <c r="W43" i="9"/>
  <c r="CO578" i="15"/>
  <c r="BL21" i="9"/>
  <c r="H22" i="19" s="1"/>
  <c r="CB121" i="1"/>
  <c r="BE14" i="14"/>
  <c r="CW576" i="20"/>
  <c r="AO111" i="15"/>
  <c r="BQ30" i="14"/>
  <c r="B40" i="2"/>
  <c r="H63" i="1"/>
  <c r="H40" i="2" s="1"/>
  <c r="CP140" i="1"/>
  <c r="AS141" i="1"/>
  <c r="CB10" i="14"/>
  <c r="DA335" i="15" s="1"/>
  <c r="BY173" i="15"/>
  <c r="BV145" i="15"/>
  <c r="BK60" i="1"/>
  <c r="BL63" i="1" s="1"/>
  <c r="BL40" i="2" s="1"/>
  <c r="H70" i="19" s="1"/>
  <c r="CP173" i="15"/>
  <c r="CK3" i="20"/>
  <c r="AK10" i="2"/>
  <c r="AK15" i="2" s="1"/>
  <c r="AZ3" i="15"/>
  <c r="BG140" i="1"/>
  <c r="CN120" i="1"/>
  <c r="CD15" i="2"/>
  <c r="CD2" i="2" s="1"/>
  <c r="BW173" i="15"/>
  <c r="M48" i="1"/>
  <c r="BD139" i="1"/>
  <c r="CZ5" i="2"/>
  <c r="DA5" i="2" s="1"/>
  <c r="CR575" i="15"/>
  <c r="BW173" i="20"/>
  <c r="CD18" i="2"/>
  <c r="Z47" i="19" s="1"/>
  <c r="BC16" i="15"/>
  <c r="BQ121" i="1"/>
  <c r="BY173" i="20"/>
  <c r="AX101" i="1"/>
  <c r="M5" i="14"/>
  <c r="M8" i="14" s="1"/>
  <c r="M9" i="14" s="1"/>
  <c r="AL367" i="20" s="1"/>
  <c r="BQ40" i="1"/>
  <c r="CP163" i="15" s="1"/>
  <c r="BH18" i="1"/>
  <c r="BH5" i="1" s="1"/>
  <c r="BH4" i="1" s="1"/>
  <c r="V101" i="1"/>
  <c r="CY71" i="2"/>
  <c r="CY113" i="1" s="1"/>
  <c r="CY114" i="1" s="1"/>
  <c r="BD15" i="14"/>
  <c r="BB52" i="1"/>
  <c r="AX112" i="20"/>
  <c r="BS588" i="20"/>
  <c r="AK30" i="19"/>
  <c r="CB120" i="1"/>
  <c r="BI28" i="1"/>
  <c r="BI50" i="1" s="1"/>
  <c r="CC144" i="15"/>
  <c r="Z14" i="14"/>
  <c r="CS89" i="1"/>
  <c r="BH69" i="1"/>
  <c r="BH72" i="1" s="1"/>
  <c r="AL50" i="1"/>
  <c r="AL53" i="1" s="1"/>
  <c r="BK410" i="15" s="1"/>
  <c r="BK20" i="9"/>
  <c r="G21" i="19" s="1"/>
  <c r="BE22" i="14"/>
  <c r="BI22" i="14" s="1"/>
  <c r="CY112" i="1"/>
  <c r="CV34" i="9"/>
  <c r="CN50" i="1"/>
  <c r="CN53" i="1" s="1"/>
  <c r="CB40" i="1"/>
  <c r="CB149" i="1" s="1"/>
  <c r="CC144" i="20"/>
  <c r="AP111" i="20"/>
  <c r="CN31" i="2"/>
  <c r="CN16" i="2" s="1"/>
  <c r="AJ45" i="19" s="1"/>
  <c r="CD110" i="20"/>
  <c r="BZ120" i="1"/>
  <c r="V14" i="14"/>
  <c r="BE121" i="1"/>
  <c r="DO145" i="20"/>
  <c r="BH141" i="1"/>
  <c r="U40" i="19"/>
  <c r="AW112" i="20"/>
  <c r="BV589" i="15"/>
  <c r="L48" i="1"/>
  <c r="AX57" i="1"/>
  <c r="B59" i="2"/>
  <c r="Y4" i="2"/>
  <c r="Y9" i="2" s="1"/>
  <c r="AH60" i="1"/>
  <c r="AH63" i="1" s="1"/>
  <c r="AH40" i="2" s="1"/>
  <c r="CF145" i="15"/>
  <c r="CK101" i="1"/>
  <c r="BI14" i="14"/>
  <c r="BR54" i="15"/>
  <c r="CA173" i="15"/>
  <c r="CQ146" i="20"/>
  <c r="S56" i="2"/>
  <c r="L30" i="19"/>
  <c r="BZ57" i="1"/>
  <c r="CT20" i="9"/>
  <c r="AP21" i="19" s="1"/>
  <c r="BG18" i="1"/>
  <c r="BG144" i="1" s="1"/>
  <c r="CB146" i="1"/>
  <c r="BX590" i="20"/>
  <c r="AX40" i="1"/>
  <c r="AY40" i="1" s="1"/>
  <c r="AM8" i="14"/>
  <c r="AM9" i="14" s="1"/>
  <c r="BL327" i="20" s="1"/>
  <c r="BC104" i="1"/>
  <c r="CB52" i="1"/>
  <c r="CD111" i="20"/>
  <c r="BZ121" i="1"/>
  <c r="BE40" i="1"/>
  <c r="BE149" i="1" s="1"/>
  <c r="CD8" i="14"/>
  <c r="CD9" i="14" s="1"/>
  <c r="DC327" i="20" s="1"/>
  <c r="J3" i="2"/>
  <c r="CE42" i="2"/>
  <c r="AA72" i="19" s="1"/>
  <c r="CU98" i="1"/>
  <c r="BE24" i="2"/>
  <c r="CH98" i="1"/>
  <c r="BF98" i="1"/>
  <c r="BS8" i="1"/>
  <c r="CR145" i="15" s="1"/>
  <c r="Q48" i="1"/>
  <c r="EA590" i="20"/>
  <c r="DB173" i="15"/>
  <c r="AO338" i="20"/>
  <c r="AS338" i="20"/>
  <c r="BO338" i="15"/>
  <c r="AM173" i="20"/>
  <c r="AT338" i="20"/>
  <c r="AO338" i="15"/>
  <c r="AT338" i="15"/>
  <c r="P43" i="1"/>
  <c r="AO173" i="15" s="1"/>
  <c r="AN338" i="20"/>
  <c r="K120" i="1"/>
  <c r="BN338" i="15"/>
  <c r="BS338" i="15"/>
  <c r="AT19" i="19"/>
  <c r="CW98" i="1"/>
  <c r="AR30" i="19"/>
  <c r="DB25" i="9"/>
  <c r="AX26" i="19" s="1"/>
  <c r="K121" i="1"/>
  <c r="K57" i="1"/>
  <c r="AV26" i="19"/>
  <c r="DM52" i="9"/>
  <c r="AV5" i="19"/>
  <c r="AV6" i="19"/>
  <c r="AV29" i="19"/>
  <c r="Z147" i="1"/>
  <c r="BP112" i="20"/>
  <c r="CK146" i="20"/>
  <c r="BU50" i="1"/>
  <c r="BU53" i="1" s="1"/>
  <c r="BL21" i="2"/>
  <c r="H50" i="19" s="1"/>
  <c r="BW141" i="1"/>
  <c r="G39" i="19"/>
  <c r="L122" i="1"/>
  <c r="B101" i="1"/>
  <c r="BL89" i="1"/>
  <c r="Q30" i="14"/>
  <c r="U85" i="1"/>
  <c r="AY162" i="15"/>
  <c r="AY162" i="20"/>
  <c r="CS50" i="1"/>
  <c r="CS53" i="1" s="1"/>
  <c r="CJ3" i="15"/>
  <c r="BU38" i="9"/>
  <c r="BU39" i="9" s="1"/>
  <c r="CS146" i="1"/>
  <c r="BE104" i="1"/>
  <c r="C101" i="1"/>
  <c r="AL120" i="1"/>
  <c r="BS75" i="1"/>
  <c r="AW12" i="19"/>
  <c r="CF141" i="1"/>
  <c r="BX30" i="9"/>
  <c r="T30" i="19" s="1"/>
  <c r="DF112" i="15"/>
  <c r="AC53" i="1"/>
  <c r="BB410" i="20" s="1"/>
  <c r="AL52" i="1"/>
  <c r="BR9" i="15"/>
  <c r="DE146" i="20"/>
  <c r="AU145" i="20"/>
  <c r="BK57" i="1"/>
  <c r="BD587" i="15"/>
  <c r="CX20" i="2"/>
  <c r="DW6" i="20" s="1"/>
  <c r="BR9" i="20"/>
  <c r="CC30" i="9"/>
  <c r="Y30" i="19" s="1"/>
  <c r="Q33" i="19"/>
  <c r="CU85" i="1"/>
  <c r="CK145" i="15"/>
  <c r="CL145" i="20"/>
  <c r="AL121" i="1"/>
  <c r="AT62" i="19"/>
  <c r="BK18" i="2"/>
  <c r="G47" i="19" s="1"/>
  <c r="AR576" i="20"/>
  <c r="AV12" i="19"/>
  <c r="O11" i="19"/>
  <c r="BL18" i="1"/>
  <c r="BL5" i="1" s="1"/>
  <c r="BL4" i="1" s="1"/>
  <c r="BX104" i="1"/>
  <c r="AU27" i="19"/>
  <c r="Y64" i="19"/>
  <c r="T101" i="1"/>
  <c r="AD57" i="1"/>
  <c r="AV28" i="19"/>
  <c r="AU53" i="15"/>
  <c r="CV89" i="1"/>
  <c r="E122" i="1"/>
  <c r="I9" i="7"/>
  <c r="CP38" i="9"/>
  <c r="CP39" i="9" s="1"/>
  <c r="AR27" i="19"/>
  <c r="CJ57" i="1"/>
  <c r="BD158" i="1"/>
  <c r="AZ14" i="14"/>
  <c r="I106" i="1"/>
  <c r="CZ173" i="15"/>
  <c r="BJ335" i="15"/>
  <c r="BV57" i="1"/>
  <c r="AT30" i="9"/>
  <c r="BS578" i="15" s="1"/>
  <c r="AR10" i="14"/>
  <c r="BQ335" i="20" s="1"/>
  <c r="D101" i="1"/>
  <c r="BT587" i="15"/>
  <c r="I3" i="1"/>
  <c r="BV52" i="1"/>
  <c r="DA112" i="15"/>
  <c r="AX17" i="9"/>
  <c r="AX14" i="9" s="1"/>
  <c r="AX34" i="9" s="1"/>
  <c r="CJ120" i="1"/>
  <c r="Q55" i="1"/>
  <c r="BO8" i="14"/>
  <c r="BO9" i="14" s="1"/>
  <c r="CN367" i="20" s="1"/>
  <c r="I23" i="9"/>
  <c r="T95" i="1"/>
  <c r="BV121" i="1"/>
  <c r="AS72" i="2"/>
  <c r="G10" i="2"/>
  <c r="AF3" i="20" s="1"/>
  <c r="BZ40" i="1"/>
  <c r="CY163" i="20" s="1"/>
  <c r="I32" i="9"/>
  <c r="DI173" i="20"/>
  <c r="N72" i="1"/>
  <c r="BF89" i="1"/>
  <c r="BF60" i="1"/>
  <c r="BF63" i="1" s="1"/>
  <c r="BF40" i="2" s="1"/>
  <c r="BT589" i="15"/>
  <c r="AO51" i="19"/>
  <c r="Y23" i="2"/>
  <c r="Y24" i="2" s="1"/>
  <c r="BU112" i="20"/>
  <c r="AZ8" i="14"/>
  <c r="AZ9" i="14" s="1"/>
  <c r="BY327" i="20" s="1"/>
  <c r="BJ173" i="15"/>
  <c r="BB121" i="1"/>
  <c r="DB9" i="15"/>
  <c r="AA15" i="2"/>
  <c r="E66" i="1"/>
  <c r="Y111" i="1"/>
  <c r="Y112" i="1" s="1"/>
  <c r="AW18" i="1"/>
  <c r="BV147" i="20" s="1"/>
  <c r="BC20" i="2"/>
  <c r="BD20" i="2" s="1"/>
  <c r="AZ57" i="1"/>
  <c r="AE29" i="14"/>
  <c r="U98" i="1"/>
  <c r="AX104" i="1"/>
  <c r="AY173" i="15"/>
  <c r="Z57" i="1"/>
  <c r="AY173" i="20"/>
  <c r="Z120" i="1"/>
  <c r="Z52" i="1"/>
  <c r="I59" i="1"/>
  <c r="CS3" i="15"/>
  <c r="BN85" i="2"/>
  <c r="BN88" i="2" s="1"/>
  <c r="CJ34" i="9"/>
  <c r="AO574" i="15"/>
  <c r="CC111" i="15"/>
  <c r="CE145" i="15"/>
  <c r="BJ8" i="14"/>
  <c r="BJ9" i="14" s="1"/>
  <c r="CI367" i="20" s="1"/>
  <c r="O104" i="1"/>
  <c r="AO111" i="20"/>
  <c r="CF38" i="9"/>
  <c r="CF39" i="9" s="1"/>
  <c r="BE52" i="1"/>
  <c r="CS18" i="1"/>
  <c r="CS144" i="1" s="1"/>
  <c r="AW98" i="1"/>
  <c r="BO52" i="1"/>
  <c r="K45" i="9"/>
  <c r="I130" i="1"/>
  <c r="BI20" i="9"/>
  <c r="E21" i="19" s="1"/>
  <c r="CS3" i="20"/>
  <c r="CP69" i="1"/>
  <c r="CP72" i="1" s="1"/>
  <c r="R42" i="19"/>
  <c r="BG145" i="20"/>
  <c r="T86" i="2"/>
  <c r="K25" i="1"/>
  <c r="AZ145" i="15"/>
  <c r="Z158" i="1"/>
  <c r="AZ145" i="20"/>
  <c r="BG145" i="15"/>
  <c r="CH30" i="9"/>
  <c r="AD30" i="19" s="1"/>
  <c r="K53" i="1"/>
  <c r="AJ410" i="20" s="1"/>
  <c r="B55" i="1"/>
  <c r="AO574" i="20"/>
  <c r="BO89" i="1"/>
  <c r="AI43" i="9"/>
  <c r="V60" i="1"/>
  <c r="CD173" i="15"/>
  <c r="AJ8" i="1"/>
  <c r="AJ140" i="1" s="1"/>
  <c r="CN173" i="15"/>
  <c r="K3" i="9"/>
  <c r="I3" i="9"/>
  <c r="S53" i="2"/>
  <c r="S55" i="2" s="1"/>
  <c r="S70" i="2" s="1"/>
  <c r="DO146" i="20"/>
  <c r="CU580" i="15"/>
  <c r="BQ410" i="15"/>
  <c r="Y89" i="1"/>
  <c r="P39" i="19"/>
  <c r="CU146" i="1"/>
  <c r="CK578" i="20"/>
  <c r="DG112" i="20"/>
  <c r="AO110" i="20"/>
  <c r="BT15" i="2"/>
  <c r="P44" i="19" s="1"/>
  <c r="K130" i="1"/>
  <c r="BN16" i="9"/>
  <c r="J17" i="19" s="1"/>
  <c r="BP34" i="9"/>
  <c r="B138" i="1"/>
  <c r="AU145" i="15"/>
  <c r="CD173" i="20"/>
  <c r="AK8" i="14"/>
  <c r="AK9" i="14" s="1"/>
  <c r="BJ367" i="20" s="1"/>
  <c r="K52" i="2"/>
  <c r="CN173" i="20"/>
  <c r="K32" i="9"/>
  <c r="Q6" i="14"/>
  <c r="AP368" i="20" s="1"/>
  <c r="I3" i="11"/>
  <c r="AG581" i="20"/>
  <c r="BO18" i="1"/>
  <c r="CN147" i="20" s="1"/>
  <c r="M92" i="1"/>
  <c r="M95" i="1" s="1"/>
  <c r="S15" i="2"/>
  <c r="CU580" i="20"/>
  <c r="BG29" i="14"/>
  <c r="Q24" i="2"/>
  <c r="AX98" i="1"/>
  <c r="K23" i="9"/>
  <c r="K3" i="14"/>
  <c r="CS40" i="1"/>
  <c r="CS149" i="1" s="1"/>
  <c r="BT18" i="2"/>
  <c r="P47" i="19" s="1"/>
  <c r="CI112" i="20"/>
  <c r="I51" i="9"/>
  <c r="BO60" i="1"/>
  <c r="CN145" i="20"/>
  <c r="CS42" i="2"/>
  <c r="AO72" i="19" s="1"/>
  <c r="AI112" i="1"/>
  <c r="AS104" i="1"/>
  <c r="CD69" i="1"/>
  <c r="CC15" i="14"/>
  <c r="AO109" i="15"/>
  <c r="DB52" i="15"/>
  <c r="BK121" i="1"/>
  <c r="CS141" i="1"/>
  <c r="CX120" i="1"/>
  <c r="BG146" i="15"/>
  <c r="BF6" i="20"/>
  <c r="CT146" i="20"/>
  <c r="AE12" i="2"/>
  <c r="AE71" i="2" s="1"/>
  <c r="BT53" i="2"/>
  <c r="BT55" i="2" s="1"/>
  <c r="BT70" i="2" s="1"/>
  <c r="P78" i="19" s="1"/>
  <c r="BW20" i="20"/>
  <c r="CW52" i="15"/>
  <c r="K3" i="2"/>
  <c r="DR173" i="20"/>
  <c r="I83" i="2"/>
  <c r="I3" i="14"/>
  <c r="BK141" i="1"/>
  <c r="BO140" i="1"/>
  <c r="DL112" i="20"/>
  <c r="I30" i="19"/>
  <c r="V5" i="1"/>
  <c r="V4" i="1" s="1"/>
  <c r="BK69" i="1"/>
  <c r="BW52" i="1"/>
  <c r="CS53" i="2"/>
  <c r="CS55" i="2" s="1"/>
  <c r="BU18" i="1"/>
  <c r="CT147" i="20" s="1"/>
  <c r="AC21" i="2"/>
  <c r="AZ112" i="20"/>
  <c r="AT42" i="9"/>
  <c r="BH89" i="1"/>
  <c r="AH5" i="1"/>
  <c r="AH4" i="1" s="1"/>
  <c r="AR3" i="15"/>
  <c r="AH69" i="1"/>
  <c r="AH72" i="1" s="1"/>
  <c r="BS47" i="9"/>
  <c r="DB589" i="20"/>
  <c r="X60" i="1"/>
  <c r="CH14" i="14"/>
  <c r="AP110" i="15"/>
  <c r="DB52" i="20"/>
  <c r="AE158" i="1"/>
  <c r="CJ173" i="15"/>
  <c r="CC109" i="15"/>
  <c r="DR146" i="20"/>
  <c r="CX121" i="1"/>
  <c r="BG6" i="15"/>
  <c r="BG146" i="20"/>
  <c r="AA26" i="1"/>
  <c r="BC17" i="9"/>
  <c r="BC18" i="9" s="1"/>
  <c r="BY60" i="1"/>
  <c r="T71" i="19"/>
  <c r="K83" i="2"/>
  <c r="I25" i="1"/>
  <c r="I45" i="9"/>
  <c r="CB34" i="9"/>
  <c r="CL578" i="15"/>
  <c r="AO26" i="20"/>
  <c r="BW40" i="1"/>
  <c r="BW149" i="1" s="1"/>
  <c r="CS18" i="2"/>
  <c r="AO47" i="19" s="1"/>
  <c r="CB587" i="15"/>
  <c r="CL50" i="1"/>
  <c r="CL53" i="1" s="1"/>
  <c r="AC56" i="2"/>
  <c r="AI20" i="9"/>
  <c r="AI18" i="2"/>
  <c r="U120" i="1"/>
  <c r="BC85" i="1"/>
  <c r="BB104" i="1"/>
  <c r="BU10" i="14"/>
  <c r="CT335" i="15" s="1"/>
  <c r="AG31" i="2"/>
  <c r="AG16" i="2" s="1"/>
  <c r="CM14" i="9"/>
  <c r="AI15" i="19" s="1"/>
  <c r="BF6" i="15"/>
  <c r="CX57" i="1"/>
  <c r="DB144" i="20"/>
  <c r="AP110" i="20"/>
  <c r="CO53" i="15"/>
  <c r="BK120" i="1"/>
  <c r="BH146" i="15"/>
  <c r="DW173" i="20"/>
  <c r="AK121" i="1"/>
  <c r="H30" i="19"/>
  <c r="BW57" i="1"/>
  <c r="CS140" i="1"/>
  <c r="K3" i="1"/>
  <c r="CH142" i="1"/>
  <c r="I77" i="2"/>
  <c r="B43" i="9"/>
  <c r="AA5" i="1"/>
  <c r="AA4" i="1" s="1"/>
  <c r="AA24" i="1"/>
  <c r="BN7" i="2"/>
  <c r="J36" i="19" s="1"/>
  <c r="BD60" i="1"/>
  <c r="BE63" i="1" s="1"/>
  <c r="BE40" i="2" s="1"/>
  <c r="CJ146" i="20"/>
  <c r="BW121" i="1"/>
  <c r="AO39" i="19"/>
  <c r="BB6" i="15"/>
  <c r="AH140" i="1"/>
  <c r="AH138" i="1" s="1"/>
  <c r="AI42" i="2"/>
  <c r="AT173" i="15"/>
  <c r="BM4" i="2"/>
  <c r="I33" i="19" s="1"/>
  <c r="BD29" i="11"/>
  <c r="T98" i="1"/>
  <c r="D145" i="1"/>
  <c r="CC139" i="1"/>
  <c r="BB85" i="1"/>
  <c r="CX40" i="1"/>
  <c r="DW163" i="20" s="1"/>
  <c r="F85" i="19"/>
  <c r="BK18" i="1"/>
  <c r="BK144" i="1" s="1"/>
  <c r="AP111" i="15"/>
  <c r="K9" i="7"/>
  <c r="CS120" i="1"/>
  <c r="I3" i="2"/>
  <c r="DB589" i="15"/>
  <c r="AT142" i="1"/>
  <c r="DC146" i="20"/>
  <c r="AP30" i="9"/>
  <c r="BO578" i="20" s="1"/>
  <c r="AO109" i="20"/>
  <c r="CO53" i="20"/>
  <c r="CJ173" i="20"/>
  <c r="CD110" i="15"/>
  <c r="BE120" i="1"/>
  <c r="AK120" i="1"/>
  <c r="DB587" i="20"/>
  <c r="DR145" i="20"/>
  <c r="I93" i="2"/>
  <c r="AA140" i="1"/>
  <c r="BD140" i="1"/>
  <c r="CH32" i="11"/>
  <c r="BD163" i="20"/>
  <c r="BW120" i="1"/>
  <c r="AT173" i="20"/>
  <c r="CD30" i="9"/>
  <c r="DC578" i="20" s="1"/>
  <c r="AL6" i="20"/>
  <c r="CT63" i="1"/>
  <c r="BK578" i="20"/>
  <c r="BK578" i="15"/>
  <c r="BU6" i="15"/>
  <c r="BU6" i="20"/>
  <c r="AU85" i="1"/>
  <c r="BI27" i="2"/>
  <c r="E56" i="19" s="1"/>
  <c r="BD313" i="15"/>
  <c r="AI5" i="1"/>
  <c r="AI4" i="1" s="1"/>
  <c r="CL40" i="1"/>
  <c r="CL27" i="1" s="1"/>
  <c r="CL26" i="1" s="1"/>
  <c r="CI145" i="15"/>
  <c r="DT578" i="20"/>
  <c r="Y9" i="19"/>
  <c r="BA59" i="2"/>
  <c r="CP18" i="1"/>
  <c r="CP144" i="1" s="1"/>
  <c r="X5" i="1"/>
  <c r="X4" i="1" s="1"/>
  <c r="BW12" i="2"/>
  <c r="BW11" i="2" s="1"/>
  <c r="AI53" i="2"/>
  <c r="CC51" i="1"/>
  <c r="AS54" i="19"/>
  <c r="BT6" i="15"/>
  <c r="Z121" i="1"/>
  <c r="AY9" i="20"/>
  <c r="CL57" i="1"/>
  <c r="K52" i="1"/>
  <c r="CC111" i="20"/>
  <c r="BT145" i="20"/>
  <c r="BC98" i="1"/>
  <c r="AX33" i="2"/>
  <c r="AX20" i="2" s="1"/>
  <c r="AY20" i="2" s="1"/>
  <c r="AP120" i="1"/>
  <c r="CC109" i="20"/>
  <c r="AA410" i="20"/>
  <c r="AT144" i="15"/>
  <c r="BT6" i="20"/>
  <c r="AF145" i="1"/>
  <c r="CN111" i="1"/>
  <c r="CN112" i="1" s="1"/>
  <c r="DS145" i="20"/>
  <c r="BX148" i="1"/>
  <c r="AG8" i="14"/>
  <c r="AG9" i="14" s="1"/>
  <c r="BF367" i="15" s="1"/>
  <c r="AY9" i="15"/>
  <c r="CL121" i="1"/>
  <c r="BC101" i="1"/>
  <c r="BB335" i="20"/>
  <c r="S92" i="1"/>
  <c r="S93" i="1" s="1"/>
  <c r="BU54" i="2"/>
  <c r="BH3" i="20"/>
  <c r="AR7" i="20"/>
  <c r="Z29" i="19"/>
  <c r="CM98" i="1"/>
  <c r="O43" i="1"/>
  <c r="O57" i="1" s="1"/>
  <c r="BY113" i="1"/>
  <c r="BY114" i="1" s="1"/>
  <c r="AW104" i="1"/>
  <c r="BT18" i="1"/>
  <c r="BT5" i="1" s="1"/>
  <c r="BT4" i="1" s="1"/>
  <c r="O8" i="2"/>
  <c r="BX29" i="14"/>
  <c r="CF50" i="1"/>
  <c r="CF53" i="1" s="1"/>
  <c r="CR11" i="1"/>
  <c r="CR141" i="1" s="1"/>
  <c r="DK173" i="20"/>
  <c r="CA29" i="14"/>
  <c r="AR30" i="15"/>
  <c r="AD52" i="1"/>
  <c r="AZ113" i="1"/>
  <c r="AZ114" i="1" s="1"/>
  <c r="BK140" i="1"/>
  <c r="CC52" i="1"/>
  <c r="BV40" i="1"/>
  <c r="CU163" i="20" s="1"/>
  <c r="CH26" i="9"/>
  <c r="AD27" i="19" s="1"/>
  <c r="AW85" i="1"/>
  <c r="AJ88" i="1"/>
  <c r="AJ29" i="14" s="1"/>
  <c r="CC14" i="9"/>
  <c r="CC34" i="9" s="1"/>
  <c r="E116" i="1"/>
  <c r="E118" i="1" s="1"/>
  <c r="CK85" i="1"/>
  <c r="D54" i="1"/>
  <c r="AT89" i="1"/>
  <c r="BC40" i="1"/>
  <c r="CB163" i="20" s="1"/>
  <c r="BK29" i="14"/>
  <c r="CT30" i="20"/>
  <c r="AY142" i="1"/>
  <c r="BO40" i="1"/>
  <c r="CN163" i="20" s="1"/>
  <c r="T7" i="2"/>
  <c r="U7" i="2" s="1"/>
  <c r="AD121" i="1"/>
  <c r="BT146" i="1"/>
  <c r="CJ145" i="15"/>
  <c r="Y36" i="9"/>
  <c r="Y37" i="9" s="1"/>
  <c r="Y56" i="9" s="1"/>
  <c r="BK173" i="15"/>
  <c r="CS15" i="2"/>
  <c r="AO44" i="19" s="1"/>
  <c r="AR3" i="20"/>
  <c r="CV173" i="15"/>
  <c r="P60" i="1"/>
  <c r="Q63" i="1" s="1"/>
  <c r="Q40" i="2" s="1"/>
  <c r="AL146" i="1"/>
  <c r="BV120" i="1"/>
  <c r="CA60" i="1"/>
  <c r="BS101" i="1"/>
  <c r="AT11" i="9"/>
  <c r="BV71" i="2"/>
  <c r="BV113" i="1" s="1"/>
  <c r="CC16" i="9"/>
  <c r="Y17" i="19" s="1"/>
  <c r="BL29" i="9"/>
  <c r="B98" i="1"/>
  <c r="AI24" i="1"/>
  <c r="DG589" i="20"/>
  <c r="CD14" i="14"/>
  <c r="BN17" i="9"/>
  <c r="BN18" i="9" s="1"/>
  <c r="J19" i="19" s="1"/>
  <c r="CM21" i="9"/>
  <c r="AI22" i="19" s="1"/>
  <c r="DB144" i="15"/>
  <c r="BB89" i="1"/>
  <c r="BL19" i="2"/>
  <c r="H48" i="19" s="1"/>
  <c r="CW104" i="1"/>
  <c r="BC52" i="1"/>
  <c r="BC54" i="1" s="1"/>
  <c r="CS145" i="20"/>
  <c r="CG89" i="1"/>
  <c r="AA8" i="14"/>
  <c r="AA9" i="14" s="1"/>
  <c r="AZ367" i="20" s="1"/>
  <c r="AU101" i="1"/>
  <c r="CC121" i="1"/>
  <c r="CH101" i="1"/>
  <c r="BO120" i="1"/>
  <c r="S42" i="2"/>
  <c r="AE8" i="1"/>
  <c r="BD145" i="15" s="1"/>
  <c r="R145" i="1"/>
  <c r="AR18" i="1"/>
  <c r="AR144" i="1" s="1"/>
  <c r="AC31" i="2"/>
  <c r="AC16" i="2" s="1"/>
  <c r="BK173" i="20"/>
  <c r="CA52" i="1"/>
  <c r="P140" i="1"/>
  <c r="BD163" i="15"/>
  <c r="AQ368" i="15"/>
  <c r="CU173" i="15"/>
  <c r="BL18" i="9"/>
  <c r="H19" i="19" s="1"/>
  <c r="BS85" i="2"/>
  <c r="BS88" i="2" s="1"/>
  <c r="BH146" i="1"/>
  <c r="U17" i="2"/>
  <c r="U19" i="2" s="1"/>
  <c r="T85" i="1"/>
  <c r="B85" i="1"/>
  <c r="AK52" i="1"/>
  <c r="CA57" i="1"/>
  <c r="AO145" i="15"/>
  <c r="AQ310" i="15"/>
  <c r="BL14" i="9"/>
  <c r="BL34" i="9" s="1"/>
  <c r="N33" i="2"/>
  <c r="N68" i="2" s="1"/>
  <c r="AM30" i="20" s="1"/>
  <c r="B122" i="1"/>
  <c r="Z29" i="14"/>
  <c r="CU86" i="2"/>
  <c r="BA85" i="1"/>
  <c r="AE89" i="1"/>
  <c r="AL54" i="9"/>
  <c r="N52" i="1"/>
  <c r="N122" i="1" s="1"/>
  <c r="CS145" i="15"/>
  <c r="CF37" i="9"/>
  <c r="BV89" i="1"/>
  <c r="BU89" i="1"/>
  <c r="AQ18" i="1"/>
  <c r="AQ144" i="1" s="1"/>
  <c r="BO57" i="1"/>
  <c r="BL140" i="1"/>
  <c r="BJ140" i="1"/>
  <c r="BX7" i="2"/>
  <c r="T36" i="19" s="1"/>
  <c r="AQ310" i="20"/>
  <c r="BE4" i="15"/>
  <c r="V29" i="14"/>
  <c r="W30" i="14" s="1"/>
  <c r="CK98" i="1"/>
  <c r="M32" i="2"/>
  <c r="AL7" i="20" s="1"/>
  <c r="E48" i="1"/>
  <c r="AT85" i="1"/>
  <c r="AT98" i="1"/>
  <c r="BI43" i="1"/>
  <c r="BI57" i="1" s="1"/>
  <c r="BI31" i="11" s="1"/>
  <c r="CH338" i="20"/>
  <c r="DC145" i="20"/>
  <c r="DC145" i="15"/>
  <c r="CD60" i="1"/>
  <c r="X89" i="1"/>
  <c r="X29" i="14"/>
  <c r="X30" i="14" s="1"/>
  <c r="V115" i="1"/>
  <c r="V117" i="1" s="1"/>
  <c r="L32" i="9"/>
  <c r="CD140" i="1"/>
  <c r="BU11" i="2"/>
  <c r="BG20" i="9"/>
  <c r="CB145" i="20"/>
  <c r="CB145" i="15"/>
  <c r="BC140" i="1"/>
  <c r="BC60" i="1"/>
  <c r="BC63" i="1" s="1"/>
  <c r="AK410" i="20"/>
  <c r="L54" i="1"/>
  <c r="L55" i="1"/>
  <c r="BX144" i="20"/>
  <c r="BX144" i="15"/>
  <c r="AZ22" i="14"/>
  <c r="BD22" i="14" s="1"/>
  <c r="AY15" i="14"/>
  <c r="BD14" i="14"/>
  <c r="X30" i="19"/>
  <c r="DA578" i="20"/>
  <c r="DA578" i="15"/>
  <c r="CQ140" i="1"/>
  <c r="CU20" i="9"/>
  <c r="AQ21" i="19" s="1"/>
  <c r="AA575" i="20"/>
  <c r="CH87" i="1"/>
  <c r="CH89" i="1" s="1"/>
  <c r="CH147" i="1"/>
  <c r="BD40" i="9"/>
  <c r="BD41" i="9" s="1"/>
  <c r="AZ38" i="9"/>
  <c r="AZ39" i="9" s="1"/>
  <c r="AO26" i="15"/>
  <c r="Q41" i="19"/>
  <c r="CR14" i="9"/>
  <c r="CO34" i="9"/>
  <c r="CQ60" i="1"/>
  <c r="CQ63" i="1" s="1"/>
  <c r="AH37" i="9"/>
  <c r="AH56" i="9" s="1"/>
  <c r="AH43" i="9"/>
  <c r="Q22" i="19"/>
  <c r="BX21" i="9"/>
  <c r="T22" i="19" s="1"/>
  <c r="BM60" i="1"/>
  <c r="BM63" i="1" s="1"/>
  <c r="CL145" i="15"/>
  <c r="BM140" i="1"/>
  <c r="AN24" i="1"/>
  <c r="BM145" i="15"/>
  <c r="BM145" i="20"/>
  <c r="CX111" i="1"/>
  <c r="CX112" i="1" s="1"/>
  <c r="CX113" i="1"/>
  <c r="CX114" i="1" s="1"/>
  <c r="CC64" i="2"/>
  <c r="DB18" i="20"/>
  <c r="DB18" i="15"/>
  <c r="Y69" i="19"/>
  <c r="AU56" i="2"/>
  <c r="AX32" i="2"/>
  <c r="AY32" i="2" s="1"/>
  <c r="AT104" i="1"/>
  <c r="BR60" i="1"/>
  <c r="BR63" i="1" s="1"/>
  <c r="BR18" i="1"/>
  <c r="BS18" i="1" s="1"/>
  <c r="BV20" i="9"/>
  <c r="R21" i="19" s="1"/>
  <c r="BR140" i="1"/>
  <c r="T61" i="2"/>
  <c r="AS54" i="15"/>
  <c r="AS54" i="20"/>
  <c r="U25" i="2"/>
  <c r="CQ145" i="20"/>
  <c r="O9" i="19"/>
  <c r="BX576" i="20"/>
  <c r="BX576" i="15"/>
  <c r="AY110" i="1"/>
  <c r="CJ11" i="2"/>
  <c r="AF41" i="19"/>
  <c r="CJ54" i="2"/>
  <c r="CJ55" i="2" s="1"/>
  <c r="CJ70" i="2" s="1"/>
  <c r="AF78" i="19" s="1"/>
  <c r="CJ71" i="2"/>
  <c r="AF79" i="19" s="1"/>
  <c r="AO147" i="1"/>
  <c r="AL29" i="14"/>
  <c r="AL89" i="1"/>
  <c r="BE20" i="9"/>
  <c r="CR587" i="15"/>
  <c r="AQ589" i="15"/>
  <c r="AQ589" i="20"/>
  <c r="M85" i="1"/>
  <c r="M104" i="1"/>
  <c r="BD30" i="20"/>
  <c r="BD30" i="15"/>
  <c r="AE5" i="14"/>
  <c r="AE8" i="14" s="1"/>
  <c r="AE9" i="14" s="1"/>
  <c r="DG164" i="15"/>
  <c r="DG164" i="20"/>
  <c r="CF53" i="2"/>
  <c r="CF42" i="2"/>
  <c r="AB72" i="19" s="1"/>
  <c r="CF18" i="2"/>
  <c r="AB47" i="19" s="1"/>
  <c r="DE3" i="20"/>
  <c r="DE3" i="15"/>
  <c r="AB39" i="19"/>
  <c r="BT18" i="15"/>
  <c r="BT18" i="20"/>
  <c r="AX39" i="2"/>
  <c r="AY39" i="2" s="1"/>
  <c r="C69" i="19" s="1"/>
  <c r="AU64" i="2"/>
  <c r="AU56" i="19"/>
  <c r="BV587" i="20"/>
  <c r="BN162" i="15"/>
  <c r="BJ6" i="15"/>
  <c r="BV68" i="2"/>
  <c r="BW68" i="2" s="1"/>
  <c r="BW5" i="14" s="1"/>
  <c r="BW8" i="14" s="1"/>
  <c r="BW9" i="14" s="1"/>
  <c r="BZ145" i="15"/>
  <c r="BY140" i="1"/>
  <c r="BL24" i="2"/>
  <c r="H53" i="19" s="1"/>
  <c r="BD30" i="9"/>
  <c r="CC578" i="20" s="1"/>
  <c r="AG29" i="14"/>
  <c r="AG30" i="14" s="1"/>
  <c r="AG89" i="1"/>
  <c r="CF20" i="9"/>
  <c r="AB21" i="19" s="1"/>
  <c r="CB60" i="1"/>
  <c r="CV76" i="1"/>
  <c r="CW75" i="1"/>
  <c r="CW76" i="1" s="1"/>
  <c r="AB368" i="20"/>
  <c r="AB310" i="20"/>
  <c r="BN589" i="15"/>
  <c r="BN589" i="20"/>
  <c r="CW23" i="2"/>
  <c r="DV53" i="20" s="1"/>
  <c r="CZ16" i="20"/>
  <c r="CZ16" i="15"/>
  <c r="W51" i="19"/>
  <c r="BN162" i="20"/>
  <c r="BJ6" i="20"/>
  <c r="CC338" i="20"/>
  <c r="BU33" i="2"/>
  <c r="BU31" i="2" s="1"/>
  <c r="Q60" i="19" s="1"/>
  <c r="BT95" i="1"/>
  <c r="CX145" i="20"/>
  <c r="DG14" i="20"/>
  <c r="DG14" i="15"/>
  <c r="AN27" i="2"/>
  <c r="AO27" i="2" s="1"/>
  <c r="BZ589" i="20"/>
  <c r="BZ589" i="15"/>
  <c r="AH29" i="14"/>
  <c r="AH89" i="1"/>
  <c r="CC66" i="1"/>
  <c r="CC8" i="1"/>
  <c r="CH20" i="9" s="1"/>
  <c r="AD21" i="19" s="1"/>
  <c r="DD16" i="15"/>
  <c r="AA51" i="19"/>
  <c r="AP146" i="1"/>
  <c r="AQ10" i="14"/>
  <c r="BP335" i="20" s="1"/>
  <c r="AX85" i="2"/>
  <c r="AY25" i="2"/>
  <c r="BW54" i="15"/>
  <c r="BP121" i="1"/>
  <c r="CO173" i="20"/>
  <c r="BP57" i="1"/>
  <c r="BP52" i="1"/>
  <c r="BP40" i="1"/>
  <c r="BP120" i="1"/>
  <c r="AS147" i="1"/>
  <c r="AT32" i="1"/>
  <c r="BS162" i="20" s="1"/>
  <c r="AS79" i="1"/>
  <c r="BD589" i="15"/>
  <c r="BD589" i="20"/>
  <c r="AU146" i="15"/>
  <c r="CT30" i="15"/>
  <c r="BA19" i="9"/>
  <c r="BA17" i="9" s="1"/>
  <c r="BA19" i="2" s="1"/>
  <c r="CW110" i="20"/>
  <c r="CW111" i="15"/>
  <c r="BL22" i="2"/>
  <c r="CK16" i="15" s="1"/>
  <c r="AS98" i="1"/>
  <c r="AS85" i="1"/>
  <c r="AD6" i="14"/>
  <c r="BC368" i="20" s="1"/>
  <c r="B9" i="2"/>
  <c r="AT35" i="9"/>
  <c r="CT120" i="1"/>
  <c r="CT52" i="1"/>
  <c r="X6" i="14"/>
  <c r="AW368" i="20" s="1"/>
  <c r="W6" i="14"/>
  <c r="AV368" i="15" s="1"/>
  <c r="I8" i="14"/>
  <c r="I9" i="14" s="1"/>
  <c r="AH327" i="20" s="1"/>
  <c r="BN29" i="11"/>
  <c r="CN111" i="20"/>
  <c r="CM110" i="20"/>
  <c r="CM109" i="20"/>
  <c r="CM111" i="20"/>
  <c r="CN110" i="15"/>
  <c r="CN110" i="20"/>
  <c r="CM109" i="15"/>
  <c r="CM110" i="15"/>
  <c r="CN111" i="15"/>
  <c r="CM111" i="15"/>
  <c r="CG50" i="1"/>
  <c r="CG10" i="14"/>
  <c r="DF335" i="20" s="1"/>
  <c r="AW43" i="2"/>
  <c r="BU313" i="20"/>
  <c r="AV56" i="2"/>
  <c r="L3" i="9"/>
  <c r="L106" i="1"/>
  <c r="L3" i="14"/>
  <c r="L51" i="9"/>
  <c r="L3" i="2"/>
  <c r="L9" i="7"/>
  <c r="AQ313" i="15"/>
  <c r="AQ313" i="20"/>
  <c r="BK22" i="2"/>
  <c r="CJ16" i="20" s="1"/>
  <c r="CJ53" i="15"/>
  <c r="G52" i="19"/>
  <c r="BM23" i="2"/>
  <c r="CL53" i="20" s="1"/>
  <c r="AV38" i="9"/>
  <c r="AV39" i="9" s="1"/>
  <c r="O42" i="9"/>
  <c r="P42" i="9" s="1"/>
  <c r="CY142" i="1"/>
  <c r="CR75" i="1"/>
  <c r="CR76" i="1" s="1"/>
  <c r="CQ76" i="1"/>
  <c r="AW10" i="2"/>
  <c r="BV3" i="15" s="1"/>
  <c r="AW9" i="2"/>
  <c r="CV60" i="2"/>
  <c r="DU53" i="20"/>
  <c r="AR52" i="19"/>
  <c r="CV22" i="2"/>
  <c r="CW22" i="2" s="1"/>
  <c r="U15" i="19"/>
  <c r="BY34" i="9"/>
  <c r="AK30" i="20"/>
  <c r="L92" i="1"/>
  <c r="L93" i="1" s="1"/>
  <c r="L5" i="14"/>
  <c r="L8" i="14" s="1"/>
  <c r="L9" i="14" s="1"/>
  <c r="AV587" i="20"/>
  <c r="AV587" i="15"/>
  <c r="AK16" i="2"/>
  <c r="AU146" i="20"/>
  <c r="AN60" i="1"/>
  <c r="BU5" i="14"/>
  <c r="BU8" i="14" s="1"/>
  <c r="BU9" i="14" s="1"/>
  <c r="CT367" i="15" s="1"/>
  <c r="K31" i="2"/>
  <c r="E54" i="1"/>
  <c r="BI97" i="1"/>
  <c r="BI98" i="1" s="1"/>
  <c r="BI142" i="1"/>
  <c r="AZ140" i="1"/>
  <c r="BX110" i="20"/>
  <c r="BX110" i="15"/>
  <c r="AC29" i="14"/>
  <c r="AY51" i="1"/>
  <c r="Y29" i="14"/>
  <c r="AR122" i="1"/>
  <c r="AR55" i="1"/>
  <c r="AB37" i="9"/>
  <c r="AB56" i="9" s="1"/>
  <c r="AB43" i="9"/>
  <c r="M98" i="1"/>
  <c r="CR98" i="1"/>
  <c r="CD18" i="1"/>
  <c r="CD144" i="1" s="1"/>
  <c r="V51" i="19"/>
  <c r="CY16" i="20"/>
  <c r="CY16" i="15"/>
  <c r="AX5" i="2"/>
  <c r="AY5" i="2" s="1"/>
  <c r="C34" i="19" s="1"/>
  <c r="AU71" i="2"/>
  <c r="AU113" i="1" s="1"/>
  <c r="AU114" i="1" s="1"/>
  <c r="K145" i="1"/>
  <c r="AV4" i="15"/>
  <c r="AV4" i="20"/>
  <c r="U101" i="1"/>
  <c r="CU104" i="1"/>
  <c r="CQ69" i="1"/>
  <c r="CC18" i="15"/>
  <c r="CK112" i="20"/>
  <c r="CO89" i="1"/>
  <c r="BI313" i="20"/>
  <c r="H122" i="1"/>
  <c r="CE6" i="15"/>
  <c r="F57" i="1"/>
  <c r="BV11" i="2"/>
  <c r="CU4" i="20" s="1"/>
  <c r="AT13" i="9"/>
  <c r="BS589" i="15" s="1"/>
  <c r="AM30" i="19"/>
  <c r="AL581" i="20"/>
  <c r="T113" i="1"/>
  <c r="T54" i="2"/>
  <c r="T11" i="2"/>
  <c r="T70" i="1" s="1"/>
  <c r="AL31" i="2"/>
  <c r="N26" i="1"/>
  <c r="N48" i="1" s="1"/>
  <c r="CQ18" i="1"/>
  <c r="DP147" i="20" s="1"/>
  <c r="CW147" i="1"/>
  <c r="AT101" i="1"/>
  <c r="B30" i="9"/>
  <c r="AA578" i="20" s="1"/>
  <c r="AT6" i="2"/>
  <c r="BD64" i="2"/>
  <c r="AM33" i="2"/>
  <c r="AN33" i="2" s="1"/>
  <c r="AN31" i="2" s="1"/>
  <c r="AP43" i="9"/>
  <c r="CR142" i="1"/>
  <c r="V24" i="2"/>
  <c r="N43" i="9"/>
  <c r="CW19" i="2"/>
  <c r="AS48" i="19" s="1"/>
  <c r="R41" i="19"/>
  <c r="CJ121" i="1"/>
  <c r="CJ52" i="1"/>
  <c r="BA101" i="1"/>
  <c r="CX53" i="1"/>
  <c r="CX122" i="1" s="1"/>
  <c r="AW72" i="1"/>
  <c r="BX13" i="2"/>
  <c r="BX61" i="2" s="1"/>
  <c r="O72" i="2"/>
  <c r="R48" i="1"/>
  <c r="CL34" i="9"/>
  <c r="AH15" i="19"/>
  <c r="AW145" i="20"/>
  <c r="AY586" i="15"/>
  <c r="BP4" i="15"/>
  <c r="CQ141" i="1"/>
  <c r="D69" i="19"/>
  <c r="BT313" i="20"/>
  <c r="Z89" i="1"/>
  <c r="CE59" i="2"/>
  <c r="AI29" i="14"/>
  <c r="BK40" i="1"/>
  <c r="AV37" i="9"/>
  <c r="AW37" i="9"/>
  <c r="BR89" i="1"/>
  <c r="DV162" i="20"/>
  <c r="R30" i="14"/>
  <c r="BU10" i="2"/>
  <c r="CT3" i="15" s="1"/>
  <c r="C48" i="1"/>
  <c r="U121" i="1"/>
  <c r="BS27" i="2"/>
  <c r="O56" i="19" s="1"/>
  <c r="BZ89" i="1"/>
  <c r="AI30" i="19"/>
  <c r="CW8" i="2"/>
  <c r="AS37" i="19" s="1"/>
  <c r="B54" i="1"/>
  <c r="AS101" i="1"/>
  <c r="AV89" i="1"/>
  <c r="BB53" i="1"/>
  <c r="CA410" i="20" s="1"/>
  <c r="BV61" i="2"/>
  <c r="BV59" i="2" s="1"/>
  <c r="N138" i="1"/>
  <c r="N151" i="1" s="1"/>
  <c r="AM592" i="20" s="1"/>
  <c r="BV72" i="1"/>
  <c r="D48" i="1"/>
  <c r="AE98" i="1"/>
  <c r="AW12" i="2"/>
  <c r="AX13" i="2"/>
  <c r="AW140" i="1"/>
  <c r="AW60" i="1"/>
  <c r="AW63" i="1" s="1"/>
  <c r="AW40" i="2" s="1"/>
  <c r="BN29" i="14"/>
  <c r="BI313" i="15"/>
  <c r="Y32" i="2"/>
  <c r="Y56" i="2" s="1"/>
  <c r="Y68" i="2"/>
  <c r="Z68" i="2" s="1"/>
  <c r="BD7" i="20"/>
  <c r="BD7" i="15"/>
  <c r="CM54" i="20"/>
  <c r="CM54" i="15"/>
  <c r="J54" i="19"/>
  <c r="DL576" i="20"/>
  <c r="CM110" i="1"/>
  <c r="AB574" i="20"/>
  <c r="C47" i="9"/>
  <c r="BJ141" i="1"/>
  <c r="BJ18" i="1"/>
  <c r="BJ5" i="1" s="1"/>
  <c r="BJ4" i="1" s="1"/>
  <c r="CI146" i="15"/>
  <c r="CT141" i="1"/>
  <c r="CT18" i="1"/>
  <c r="CT5" i="1" s="1"/>
  <c r="CT4" i="1" s="1"/>
  <c r="CT69" i="1"/>
  <c r="CT72" i="1" s="1"/>
  <c r="BT89" i="1"/>
  <c r="BT29" i="14"/>
  <c r="DE145" i="15"/>
  <c r="CJ20" i="9"/>
  <c r="AF21" i="19" s="1"/>
  <c r="CF18" i="1"/>
  <c r="CF144" i="1" s="1"/>
  <c r="DE145" i="20"/>
  <c r="CF60" i="1"/>
  <c r="AZ104" i="1"/>
  <c r="AY103" i="1"/>
  <c r="AY148" i="1"/>
  <c r="DF145" i="20"/>
  <c r="DF145" i="15"/>
  <c r="CK20" i="9"/>
  <c r="AG21" i="19" s="1"/>
  <c r="CG140" i="1"/>
  <c r="CG60" i="1"/>
  <c r="AU23" i="2"/>
  <c r="AV22" i="2"/>
  <c r="BU53" i="20"/>
  <c r="BD173" i="20"/>
  <c r="AE52" i="1"/>
  <c r="AW146" i="20"/>
  <c r="AW146" i="15"/>
  <c r="AR86" i="2"/>
  <c r="AR87" i="2" s="1"/>
  <c r="AQ53" i="1"/>
  <c r="BU581" i="20" s="1"/>
  <c r="AR26" i="2"/>
  <c r="AJ73" i="1"/>
  <c r="AJ74" i="1" s="1"/>
  <c r="AI74" i="1"/>
  <c r="CM5" i="2"/>
  <c r="AI34" i="19" s="1"/>
  <c r="AH34" i="19"/>
  <c r="Z33" i="2"/>
  <c r="AI31" i="2"/>
  <c r="AI20" i="2"/>
  <c r="AJ20" i="2" s="1"/>
  <c r="AJ33" i="2"/>
  <c r="AP60" i="2"/>
  <c r="AP59" i="2" s="1"/>
  <c r="AP22" i="2"/>
  <c r="AS23" i="2"/>
  <c r="AT23" i="2" s="1"/>
  <c r="AX29" i="14"/>
  <c r="AX30" i="14" s="1"/>
  <c r="AX89" i="1"/>
  <c r="AR104" i="1"/>
  <c r="BN147" i="1"/>
  <c r="F41" i="2"/>
  <c r="AE18" i="20" s="1"/>
  <c r="C64" i="2"/>
  <c r="CU141" i="1"/>
  <c r="CU69" i="1"/>
  <c r="CV72" i="1" s="1"/>
  <c r="DT146" i="20"/>
  <c r="R98" i="1"/>
  <c r="R104" i="1"/>
  <c r="CW14" i="2"/>
  <c r="AS43" i="19" s="1"/>
  <c r="BG53" i="1"/>
  <c r="BH26" i="2"/>
  <c r="CK68" i="2"/>
  <c r="CL68" i="2" s="1"/>
  <c r="CJ33" i="2"/>
  <c r="DI30" i="20"/>
  <c r="CJ92" i="1"/>
  <c r="CJ93" i="1" s="1"/>
  <c r="AH53" i="2"/>
  <c r="AH42" i="2"/>
  <c r="BG3" i="15"/>
  <c r="J52" i="2"/>
  <c r="J106" i="1"/>
  <c r="J93" i="2"/>
  <c r="J3" i="9"/>
  <c r="J77" i="2"/>
  <c r="J45" i="9"/>
  <c r="J51" i="9"/>
  <c r="AI93" i="1"/>
  <c r="AI95" i="1"/>
  <c r="BF29" i="14"/>
  <c r="CM162" i="15"/>
  <c r="AT144" i="20"/>
  <c r="AD29" i="14"/>
  <c r="AF30" i="14" s="1"/>
  <c r="AD89" i="1"/>
  <c r="BI66" i="1"/>
  <c r="BI8" i="1"/>
  <c r="S104" i="1"/>
  <c r="S98" i="1"/>
  <c r="S85" i="1"/>
  <c r="S101" i="1"/>
  <c r="CA34" i="9"/>
  <c r="W15" i="19"/>
  <c r="CH23" i="2"/>
  <c r="DF53" i="15"/>
  <c r="AC52" i="19"/>
  <c r="CE38" i="9"/>
  <c r="CE39" i="9" s="1"/>
  <c r="CE43" i="9"/>
  <c r="CX5" i="1"/>
  <c r="CX4" i="1" s="1"/>
  <c r="CX144" i="1"/>
  <c r="CX138" i="1" s="1"/>
  <c r="DW147" i="20"/>
  <c r="CZ145" i="15"/>
  <c r="CA140" i="1"/>
  <c r="CE20" i="9"/>
  <c r="AA21" i="19" s="1"/>
  <c r="CP68" i="2"/>
  <c r="CQ68" i="2" s="1"/>
  <c r="CO92" i="1"/>
  <c r="CO5" i="14"/>
  <c r="CO8" i="14" s="1"/>
  <c r="CO9" i="14" s="1"/>
  <c r="DN367" i="20" s="1"/>
  <c r="DN30" i="20"/>
  <c r="CO33" i="2"/>
  <c r="AK62" i="19" s="1"/>
  <c r="CV10" i="14"/>
  <c r="DU335" i="20" s="1"/>
  <c r="CV146" i="1"/>
  <c r="AI89" i="1"/>
  <c r="H52" i="2"/>
  <c r="H3" i="2"/>
  <c r="H9" i="7"/>
  <c r="H106" i="1"/>
  <c r="H3" i="9"/>
  <c r="H3" i="1"/>
  <c r="H93" i="2"/>
  <c r="H3" i="11"/>
  <c r="BI89" i="1"/>
  <c r="BG89" i="1"/>
  <c r="CN112" i="20"/>
  <c r="AC22" i="19"/>
  <c r="CG22" i="9"/>
  <c r="AS89" i="1"/>
  <c r="AS29" i="14"/>
  <c r="AS30" i="14" s="1"/>
  <c r="AV98" i="1"/>
  <c r="AV101" i="1"/>
  <c r="BV50" i="1"/>
  <c r="BV10" i="14"/>
  <c r="CU335" i="15" s="1"/>
  <c r="I27" i="19"/>
  <c r="BN26" i="9"/>
  <c r="J27" i="19" s="1"/>
  <c r="AO13" i="2"/>
  <c r="AO61" i="2" s="1"/>
  <c r="AM61" i="2"/>
  <c r="AL36" i="9"/>
  <c r="AL111" i="1"/>
  <c r="AL112" i="1" s="1"/>
  <c r="AL4" i="2"/>
  <c r="CF140" i="1"/>
  <c r="AA52" i="1"/>
  <c r="R85" i="1"/>
  <c r="CT121" i="1"/>
  <c r="CT57" i="1"/>
  <c r="DS173" i="20"/>
  <c r="W92" i="1"/>
  <c r="W5" i="14"/>
  <c r="W8" i="14" s="1"/>
  <c r="W9" i="14" s="1"/>
  <c r="AV327" i="20" s="1"/>
  <c r="CT36" i="9"/>
  <c r="CT37" i="9" s="1"/>
  <c r="CT4" i="2"/>
  <c r="CT9" i="2" s="1"/>
  <c r="AP38" i="19" s="1"/>
  <c r="CE69" i="1"/>
  <c r="CF72" i="1" s="1"/>
  <c r="DD146" i="15"/>
  <c r="BL29" i="14"/>
  <c r="AZ72" i="19"/>
  <c r="T14" i="19"/>
  <c r="CP104" i="1"/>
  <c r="J37" i="19"/>
  <c r="F52" i="1"/>
  <c r="F120" i="1"/>
  <c r="AT110" i="1"/>
  <c r="BS576" i="20"/>
  <c r="BZ60" i="1"/>
  <c r="BZ140" i="1"/>
  <c r="AD146" i="1"/>
  <c r="AD145" i="1" s="1"/>
  <c r="AD10" i="14"/>
  <c r="AD50" i="1"/>
  <c r="AE86" i="2" s="1"/>
  <c r="AE87" i="2" s="1"/>
  <c r="AD27" i="1"/>
  <c r="AD26" i="1" s="1"/>
  <c r="DD146" i="20"/>
  <c r="CI146" i="20"/>
  <c r="AX6" i="20"/>
  <c r="CR147" i="1"/>
  <c r="BJ113" i="1"/>
  <c r="BJ114" i="1" s="1"/>
  <c r="DC112" i="15"/>
  <c r="AV7" i="15"/>
  <c r="J59" i="1"/>
  <c r="BG3" i="20"/>
  <c r="N3" i="7"/>
  <c r="N9" i="7" s="1"/>
  <c r="J32" i="9"/>
  <c r="BB367" i="20"/>
  <c r="H130" i="1"/>
  <c r="CI120" i="1"/>
  <c r="CV50" i="1"/>
  <c r="CV26" i="2" s="1"/>
  <c r="AR55" i="19" s="1"/>
  <c r="BM68" i="2"/>
  <c r="BN68" i="2" s="1"/>
  <c r="Q54" i="1"/>
  <c r="S53" i="1"/>
  <c r="S54" i="1" s="1"/>
  <c r="T26" i="2"/>
  <c r="H83" i="2"/>
  <c r="AZ173" i="15"/>
  <c r="CW110" i="15"/>
  <c r="CW589" i="15"/>
  <c r="O72" i="1"/>
  <c r="CK34" i="9"/>
  <c r="AG15" i="19"/>
  <c r="F9" i="9"/>
  <c r="E10" i="9"/>
  <c r="AD575" i="20" s="1"/>
  <c r="G84" i="1"/>
  <c r="I84" i="1"/>
  <c r="I98" i="1" s="1"/>
  <c r="AE29" i="19"/>
  <c r="CI30" i="9"/>
  <c r="BF85" i="1"/>
  <c r="BF101" i="1"/>
  <c r="CH28" i="1"/>
  <c r="CH10" i="14" s="1"/>
  <c r="BE18" i="1"/>
  <c r="CD146" i="20"/>
  <c r="V37" i="9"/>
  <c r="V56" i="9" s="1"/>
  <c r="O35" i="19"/>
  <c r="BS72" i="2"/>
  <c r="O80" i="19" s="1"/>
  <c r="AA21" i="2"/>
  <c r="AA56" i="2"/>
  <c r="AC53" i="2"/>
  <c r="AC18" i="2"/>
  <c r="AY147" i="1"/>
  <c r="AZ89" i="1"/>
  <c r="CH14" i="9"/>
  <c r="CH34" i="9" s="1"/>
  <c r="CE141" i="1"/>
  <c r="F26" i="1"/>
  <c r="CJ6" i="20"/>
  <c r="W115" i="1"/>
  <c r="W117" i="1" s="1"/>
  <c r="BJ313" i="15"/>
  <c r="DQ162" i="20"/>
  <c r="AA16" i="2"/>
  <c r="J3" i="14"/>
  <c r="BN5" i="2"/>
  <c r="J34" i="19" s="1"/>
  <c r="BZ578" i="20"/>
  <c r="R5" i="7"/>
  <c r="W5" i="7" s="1"/>
  <c r="AZ6" i="15"/>
  <c r="BE141" i="1"/>
  <c r="E84" i="1"/>
  <c r="AP34" i="19"/>
  <c r="H77" i="2"/>
  <c r="BC10" i="14"/>
  <c r="CB335" i="20" s="1"/>
  <c r="CK12" i="2"/>
  <c r="CK54" i="2" s="1"/>
  <c r="CG22" i="2"/>
  <c r="DF16" i="15" s="1"/>
  <c r="AY112" i="15"/>
  <c r="BG85" i="1"/>
  <c r="BG98" i="1"/>
  <c r="BE85" i="1"/>
  <c r="AC581" i="20"/>
  <c r="D55" i="1"/>
  <c r="CW85" i="2"/>
  <c r="CW88" i="2" s="1"/>
  <c r="O66" i="1"/>
  <c r="P10" i="1"/>
  <c r="P66" i="1" s="1"/>
  <c r="CE50" i="1"/>
  <c r="CE10" i="14"/>
  <c r="DD335" i="15" s="1"/>
  <c r="CF10" i="14"/>
  <c r="DE335" i="20" s="1"/>
  <c r="L130" i="1"/>
  <c r="L52" i="2"/>
  <c r="L3" i="1"/>
  <c r="L83" i="2"/>
  <c r="L23" i="9"/>
  <c r="L45" i="9"/>
  <c r="L93" i="2"/>
  <c r="AC145" i="1"/>
  <c r="CP101" i="1"/>
  <c r="AU26" i="9"/>
  <c r="BZ4" i="15"/>
  <c r="F121" i="1"/>
  <c r="I6" i="14"/>
  <c r="AH368" i="20" s="1"/>
  <c r="AA121" i="1"/>
  <c r="AA57" i="1"/>
  <c r="BE146" i="20"/>
  <c r="BE146" i="15"/>
  <c r="CI20" i="9"/>
  <c r="AE21" i="19" s="1"/>
  <c r="CE140" i="1"/>
  <c r="CE60" i="1"/>
  <c r="DD145" i="20"/>
  <c r="DM6" i="20"/>
  <c r="AJ49" i="19"/>
  <c r="DQ20" i="20"/>
  <c r="CR65" i="2"/>
  <c r="CI52" i="1"/>
  <c r="CI57" i="1"/>
  <c r="AJ62" i="19"/>
  <c r="G95" i="1"/>
  <c r="G29" i="14"/>
  <c r="G89" i="1"/>
  <c r="BM36" i="9"/>
  <c r="BN36" i="9" s="1"/>
  <c r="BN37" i="9" s="1"/>
  <c r="BJ89" i="1"/>
  <c r="CT34" i="9"/>
  <c r="DD145" i="15"/>
  <c r="AE28" i="1"/>
  <c r="AJ10" i="14" s="1"/>
  <c r="BI335" i="20" s="1"/>
  <c r="AV30" i="20"/>
  <c r="DS146" i="20"/>
  <c r="AH18" i="2"/>
  <c r="F5" i="9"/>
  <c r="AE574" i="20" s="1"/>
  <c r="BU59" i="2"/>
  <c r="H25" i="1"/>
  <c r="L138" i="1"/>
  <c r="L151" i="1" s="1"/>
  <c r="W56" i="2"/>
  <c r="BL580" i="20"/>
  <c r="F8" i="9"/>
  <c r="AE587" i="20" s="1"/>
  <c r="DV338" i="20"/>
  <c r="CM87" i="1"/>
  <c r="CM89" i="1" s="1"/>
  <c r="DL162" i="20"/>
  <c r="N104" i="1"/>
  <c r="BD29" i="14"/>
  <c r="CD20" i="9"/>
  <c r="Z21" i="19" s="1"/>
  <c r="X36" i="19"/>
  <c r="CC7" i="2"/>
  <c r="Y36" i="19" s="1"/>
  <c r="BD147" i="20"/>
  <c r="N85" i="1"/>
  <c r="CY145" i="15"/>
  <c r="H6" i="14"/>
  <c r="AG368" i="20" s="1"/>
  <c r="Z20" i="2"/>
  <c r="BD147" i="15"/>
  <c r="W116" i="1"/>
  <c r="W118" i="1" s="1"/>
  <c r="CT89" i="1"/>
  <c r="CE18" i="1"/>
  <c r="DD147" i="20" s="1"/>
  <c r="BY313" i="15"/>
  <c r="CN93" i="1"/>
  <c r="AV60" i="2"/>
  <c r="AV59" i="2" s="1"/>
  <c r="BN31" i="2"/>
  <c r="J60" i="19" s="1"/>
  <c r="G15" i="19"/>
  <c r="CI40" i="1"/>
  <c r="CI27" i="1" s="1"/>
  <c r="CI26" i="1" s="1"/>
  <c r="BA29" i="14"/>
  <c r="AI53" i="1"/>
  <c r="BH410" i="15" s="1"/>
  <c r="AZ6" i="20"/>
  <c r="CD146" i="15"/>
  <c r="H143" i="1"/>
  <c r="BE101" i="1"/>
  <c r="H52" i="19"/>
  <c r="L25" i="1"/>
  <c r="CI313" i="15"/>
  <c r="S145" i="1"/>
  <c r="CG18" i="1"/>
  <c r="CG5" i="1" s="1"/>
  <c r="CG4" i="1" s="1"/>
  <c r="AF141" i="1"/>
  <c r="H23" i="9"/>
  <c r="BC146" i="1"/>
  <c r="I63" i="1"/>
  <c r="I40" i="2" s="1"/>
  <c r="CK61" i="2"/>
  <c r="CK59" i="2" s="1"/>
  <c r="CG60" i="2"/>
  <c r="BN43" i="1"/>
  <c r="CM173" i="20" s="1"/>
  <c r="CN338" i="15"/>
  <c r="AB22" i="19"/>
  <c r="CF22" i="9"/>
  <c r="BO34" i="9"/>
  <c r="K15" i="19"/>
  <c r="T74" i="1"/>
  <c r="CS52" i="1"/>
  <c r="CS57" i="1"/>
  <c r="DW4" i="20"/>
  <c r="AT40" i="19"/>
  <c r="BD166" i="15"/>
  <c r="O63" i="1"/>
  <c r="Q3" i="7"/>
  <c r="V5" i="7"/>
  <c r="AZ98" i="1"/>
  <c r="BD84" i="1"/>
  <c r="BD85" i="1" s="1"/>
  <c r="BD35" i="9"/>
  <c r="D10" i="19"/>
  <c r="AY11" i="9"/>
  <c r="C12" i="19" s="1"/>
  <c r="AY35" i="9"/>
  <c r="CJ5" i="14"/>
  <c r="CJ8" i="14" s="1"/>
  <c r="CJ9" i="14" s="1"/>
  <c r="DI327" i="20" s="1"/>
  <c r="AH21" i="2"/>
  <c r="J3" i="11"/>
  <c r="BB367" i="15"/>
  <c r="AE120" i="1"/>
  <c r="BV146" i="1"/>
  <c r="AY87" i="1"/>
  <c r="BX162" i="20"/>
  <c r="BL580" i="15"/>
  <c r="BD11" i="9"/>
  <c r="D12" i="19" s="1"/>
  <c r="BJ69" i="1"/>
  <c r="AL410" i="20"/>
  <c r="M30" i="14"/>
  <c r="AV24" i="2"/>
  <c r="H59" i="1"/>
  <c r="AR101" i="1"/>
  <c r="BP16" i="15"/>
  <c r="L77" i="2"/>
  <c r="C54" i="1"/>
  <c r="CK53" i="15"/>
  <c r="L59" i="1"/>
  <c r="S86" i="2"/>
  <c r="BM29" i="14"/>
  <c r="CU5" i="2"/>
  <c r="CV5" i="2" s="1"/>
  <c r="H32" i="9"/>
  <c r="BX111" i="15"/>
  <c r="BX85" i="2"/>
  <c r="BX88" i="2" s="1"/>
  <c r="CG24" i="2"/>
  <c r="AC53" i="19" s="1"/>
  <c r="CE30" i="15"/>
  <c r="Y18" i="19"/>
  <c r="CC29" i="9"/>
  <c r="CK57" i="1"/>
  <c r="DJ173" i="20"/>
  <c r="CK40" i="1"/>
  <c r="CK27" i="1" s="1"/>
  <c r="CK26" i="1" s="1"/>
  <c r="CK120" i="1"/>
  <c r="CK121" i="1"/>
  <c r="CR54" i="15"/>
  <c r="CR54" i="20"/>
  <c r="O54" i="19"/>
  <c r="Q122" i="1"/>
  <c r="AX65" i="2"/>
  <c r="BW20" i="15"/>
  <c r="CU10" i="14"/>
  <c r="DT335" i="20" s="1"/>
  <c r="F29" i="14"/>
  <c r="F89" i="1"/>
  <c r="CQ88" i="2"/>
  <c r="CR85" i="2"/>
  <c r="CR88" i="2" s="1"/>
  <c r="AP581" i="20"/>
  <c r="AR85" i="1"/>
  <c r="BT111" i="1"/>
  <c r="BT112" i="1" s="1"/>
  <c r="J25" i="1"/>
  <c r="CM162" i="20"/>
  <c r="J130" i="1"/>
  <c r="BD173" i="15"/>
  <c r="BH86" i="2"/>
  <c r="BH87" i="2" s="1"/>
  <c r="U47" i="9"/>
  <c r="U74" i="1"/>
  <c r="CE37" i="9"/>
  <c r="H3" i="14"/>
  <c r="CM8" i="1"/>
  <c r="CM66" i="1"/>
  <c r="DJ580" i="20"/>
  <c r="AG42" i="19"/>
  <c r="AT29" i="14"/>
  <c r="AE121" i="1"/>
  <c r="AY43" i="1"/>
  <c r="BX173" i="15" s="1"/>
  <c r="BY338" i="15"/>
  <c r="AV7" i="20"/>
  <c r="J23" i="9"/>
  <c r="AV10" i="2"/>
  <c r="BU3" i="20" s="1"/>
  <c r="BB327" i="20"/>
  <c r="CI121" i="1"/>
  <c r="AA120" i="1"/>
  <c r="O85" i="1"/>
  <c r="O98" i="1"/>
  <c r="BD13" i="9"/>
  <c r="CC589" i="20" s="1"/>
  <c r="N98" i="1"/>
  <c r="S30" i="14"/>
  <c r="O138" i="1"/>
  <c r="O151" i="1" s="1"/>
  <c r="O152" i="1" s="1"/>
  <c r="T30" i="14"/>
  <c r="F145" i="1"/>
  <c r="AB29" i="14"/>
  <c r="AB89" i="1"/>
  <c r="CY145" i="20"/>
  <c r="U15" i="14"/>
  <c r="BX338" i="20"/>
  <c r="BU43" i="9"/>
  <c r="BU147" i="15"/>
  <c r="CS338" i="15"/>
  <c r="U139" i="1"/>
  <c r="AF89" i="1"/>
  <c r="CS8" i="14"/>
  <c r="CS9" i="14" s="1"/>
  <c r="DR327" i="20" s="1"/>
  <c r="BU53" i="15"/>
  <c r="CL4" i="2"/>
  <c r="AH33" i="19" s="1"/>
  <c r="J3" i="1"/>
  <c r="BS21" i="9"/>
  <c r="O22" i="19" s="1"/>
  <c r="BG104" i="1"/>
  <c r="DV587" i="20"/>
  <c r="C55" i="1"/>
  <c r="CK53" i="20"/>
  <c r="L3" i="11"/>
  <c r="M101" i="1"/>
  <c r="H51" i="9"/>
  <c r="F110" i="1"/>
  <c r="CJ72" i="1"/>
  <c r="X69" i="1"/>
  <c r="Y72" i="1" s="1"/>
  <c r="DF53" i="20"/>
  <c r="BG68" i="2"/>
  <c r="BH68" i="2" s="1"/>
  <c r="BH92" i="1" s="1"/>
  <c r="S121" i="1"/>
  <c r="AR576" i="15"/>
  <c r="CE89" i="1"/>
  <c r="W60" i="1"/>
  <c r="W140" i="1"/>
  <c r="AV145" i="20"/>
  <c r="AV145" i="15"/>
  <c r="DD16" i="20"/>
  <c r="AS20" i="15"/>
  <c r="T65" i="2"/>
  <c r="AD60" i="1"/>
  <c r="AD24" i="1"/>
  <c r="AD140" i="1"/>
  <c r="U45" i="2"/>
  <c r="AB26" i="1"/>
  <c r="AL18" i="1"/>
  <c r="AL5" i="1" s="1"/>
  <c r="AL4" i="1" s="1"/>
  <c r="BW89" i="1"/>
  <c r="AV104" i="1"/>
  <c r="K59" i="2"/>
  <c r="B48" i="1"/>
  <c r="BS14" i="9"/>
  <c r="BS34" i="9" s="1"/>
  <c r="AG72" i="1"/>
  <c r="BJ20" i="9"/>
  <c r="F21" i="19" s="1"/>
  <c r="BF140" i="1"/>
  <c r="AJ11" i="1"/>
  <c r="AI141" i="1"/>
  <c r="AI69" i="1"/>
  <c r="BE29" i="14"/>
  <c r="AZ101" i="1"/>
  <c r="BA17" i="19"/>
  <c r="CB173" i="20"/>
  <c r="BC120" i="1"/>
  <c r="AE85" i="1"/>
  <c r="AP93" i="1"/>
  <c r="AP95" i="1"/>
  <c r="AU36" i="9"/>
  <c r="AU4" i="2"/>
  <c r="K77" i="2"/>
  <c r="K106" i="1"/>
  <c r="K93" i="2"/>
  <c r="CC166" i="20"/>
  <c r="CC166" i="15"/>
  <c r="BD28" i="1"/>
  <c r="BF18" i="1"/>
  <c r="DG46" i="1"/>
  <c r="AS51" i="2"/>
  <c r="AT27" i="2"/>
  <c r="V15" i="19"/>
  <c r="BZ34" i="9"/>
  <c r="AC93" i="1"/>
  <c r="AC95" i="1"/>
  <c r="AV138" i="1"/>
  <c r="CL89" i="1"/>
  <c r="F53" i="1"/>
  <c r="AE581" i="20" s="1"/>
  <c r="BG101" i="1"/>
  <c r="CX8" i="14"/>
  <c r="CX9" i="14" s="1"/>
  <c r="DW327" i="20" s="1"/>
  <c r="AV85" i="1"/>
  <c r="BF104" i="1"/>
  <c r="K9" i="2"/>
  <c r="U29" i="19"/>
  <c r="BY29" i="9"/>
  <c r="BY30" i="9"/>
  <c r="BP60" i="2"/>
  <c r="BP59" i="2" s="1"/>
  <c r="BP24" i="2"/>
  <c r="L53" i="19" s="1"/>
  <c r="BP22" i="2"/>
  <c r="BN9" i="20"/>
  <c r="BN9" i="15"/>
  <c r="BO112" i="1"/>
  <c r="AN54" i="20"/>
  <c r="O85" i="2"/>
  <c r="O86" i="2" s="1"/>
  <c r="O61" i="2"/>
  <c r="O26" i="2"/>
  <c r="R63" i="1"/>
  <c r="R40" i="2" s="1"/>
  <c r="S63" i="1"/>
  <c r="S40" i="2" s="1"/>
  <c r="CA112" i="20"/>
  <c r="CA112" i="15"/>
  <c r="J93" i="1"/>
  <c r="J95" i="1"/>
  <c r="BH26" i="9"/>
  <c r="BI26" i="9" s="1"/>
  <c r="E27" i="19" s="1"/>
  <c r="BI25" i="9"/>
  <c r="AH20" i="20"/>
  <c r="I65" i="2"/>
  <c r="J45" i="2"/>
  <c r="K45" i="2" s="1"/>
  <c r="AO143" i="1"/>
  <c r="AP8" i="14"/>
  <c r="AP9" i="14" s="1"/>
  <c r="AA62" i="19"/>
  <c r="CE20" i="2"/>
  <c r="CE31" i="2"/>
  <c r="AA60" i="19" s="1"/>
  <c r="DF578" i="20"/>
  <c r="DF578" i="15"/>
  <c r="AC30" i="19"/>
  <c r="CO10" i="14"/>
  <c r="CO146" i="1"/>
  <c r="CO50" i="1"/>
  <c r="G8" i="14"/>
  <c r="G9" i="14" s="1"/>
  <c r="G143" i="1"/>
  <c r="H8" i="14"/>
  <c r="H9" i="14" s="1"/>
  <c r="CJ10" i="14"/>
  <c r="CJ50" i="1"/>
  <c r="CJ27" i="1"/>
  <c r="CJ26" i="1" s="1"/>
  <c r="CJ146" i="1"/>
  <c r="CJ145" i="1" s="1"/>
  <c r="CM75" i="1"/>
  <c r="CM76" i="1" s="1"/>
  <c r="CL76" i="1"/>
  <c r="CG112" i="20"/>
  <c r="CG112" i="15"/>
  <c r="AL88" i="2"/>
  <c r="BT53" i="1"/>
  <c r="AC89" i="1"/>
  <c r="BS52" i="20"/>
  <c r="BS52" i="15"/>
  <c r="DK580" i="20"/>
  <c r="AH42" i="19"/>
  <c r="CM13" i="2"/>
  <c r="CL61" i="2"/>
  <c r="BC29" i="14"/>
  <c r="BC89" i="1"/>
  <c r="E61" i="19"/>
  <c r="CH7" i="20"/>
  <c r="DO173" i="20"/>
  <c r="CP40" i="1"/>
  <c r="CP27" i="1" s="1"/>
  <c r="CP26" i="1" s="1"/>
  <c r="CP121" i="1"/>
  <c r="CP120" i="1"/>
  <c r="CP57" i="1"/>
  <c r="CP52" i="1"/>
  <c r="Z85" i="2"/>
  <c r="DF30" i="20"/>
  <c r="DF30" i="15"/>
  <c r="CG5" i="14"/>
  <c r="CG8" i="14" s="1"/>
  <c r="CG9" i="14" s="1"/>
  <c r="CG92" i="1"/>
  <c r="CH68" i="2"/>
  <c r="BX591" i="20"/>
  <c r="BX591" i="15"/>
  <c r="BW589" i="20"/>
  <c r="BW589" i="15"/>
  <c r="Q101" i="1"/>
  <c r="Q85" i="1"/>
  <c r="Q104" i="1"/>
  <c r="AJ335" i="20"/>
  <c r="O26" i="19"/>
  <c r="O18" i="19"/>
  <c r="BS29" i="9"/>
  <c r="BS18" i="9"/>
  <c r="O19" i="19" s="1"/>
  <c r="AY588" i="20"/>
  <c r="AY588" i="15"/>
  <c r="Z13" i="9"/>
  <c r="BH30" i="9"/>
  <c r="BH29" i="9"/>
  <c r="AU16" i="9"/>
  <c r="AY15" i="9"/>
  <c r="AR35" i="19"/>
  <c r="CV42" i="9"/>
  <c r="CW42" i="9" s="1"/>
  <c r="CW6" i="2"/>
  <c r="CV72" i="2"/>
  <c r="AR80" i="19" s="1"/>
  <c r="AN20" i="20"/>
  <c r="O65" i="2"/>
  <c r="P45" i="2"/>
  <c r="Y10" i="14"/>
  <c r="Y146" i="1"/>
  <c r="Y145" i="1" s="1"/>
  <c r="Y27" i="1"/>
  <c r="Y26" i="1" s="1"/>
  <c r="Y50" i="1"/>
  <c r="Y53" i="1" s="1"/>
  <c r="CH112" i="20"/>
  <c r="E85" i="19"/>
  <c r="BI32" i="11"/>
  <c r="CR52" i="20"/>
  <c r="CR52" i="15"/>
  <c r="O71" i="19"/>
  <c r="AY52" i="20"/>
  <c r="AY313" i="20"/>
  <c r="AY313" i="15"/>
  <c r="AY52" i="15"/>
  <c r="Y43" i="19"/>
  <c r="CC72" i="2"/>
  <c r="Y80" i="19" s="1"/>
  <c r="BY112" i="1"/>
  <c r="DG146" i="20"/>
  <c r="DG146" i="15"/>
  <c r="CH192" i="1"/>
  <c r="CH69" i="1"/>
  <c r="CI72" i="1" s="1"/>
  <c r="CH141" i="1"/>
  <c r="AS61" i="19"/>
  <c r="DV7" i="20"/>
  <c r="AE75" i="1"/>
  <c r="CE16" i="20"/>
  <c r="CE16" i="15"/>
  <c r="AD113" i="1"/>
  <c r="AD115" i="1" s="1"/>
  <c r="AD71" i="2"/>
  <c r="AD54" i="2"/>
  <c r="AD11" i="2"/>
  <c r="BI100" i="1"/>
  <c r="BI101" i="1" s="1"/>
  <c r="AO97" i="1"/>
  <c r="AO98" i="1" s="1"/>
  <c r="AO142" i="1"/>
  <c r="AO588" i="20"/>
  <c r="AO588" i="15"/>
  <c r="BX586" i="20"/>
  <c r="BX586" i="15"/>
  <c r="C8" i="19"/>
  <c r="AP30" i="20"/>
  <c r="AP30" i="15"/>
  <c r="Q5" i="14"/>
  <c r="Q8" i="14" s="1"/>
  <c r="Q9" i="14" s="1"/>
  <c r="U68" i="2"/>
  <c r="Q92" i="1"/>
  <c r="CT149" i="1"/>
  <c r="DS163" i="20"/>
  <c r="AZ53" i="1"/>
  <c r="BA26" i="2"/>
  <c r="BA86" i="2"/>
  <c r="BA87" i="2" s="1"/>
  <c r="BD26" i="2"/>
  <c r="D55" i="19" s="1"/>
  <c r="F22" i="19"/>
  <c r="BI173" i="20"/>
  <c r="BI173" i="15"/>
  <c r="AJ120" i="1"/>
  <c r="AJ52" i="1"/>
  <c r="AJ121" i="1"/>
  <c r="AJ57" i="1"/>
  <c r="AJ31" i="11" s="1"/>
  <c r="AN7" i="2"/>
  <c r="AO8" i="2"/>
  <c r="AB367" i="20"/>
  <c r="AB327" i="20"/>
  <c r="BU578" i="20"/>
  <c r="BU578" i="15"/>
  <c r="CX173" i="20"/>
  <c r="CX173" i="15"/>
  <c r="BY121" i="1"/>
  <c r="BY120" i="1"/>
  <c r="BY40" i="1"/>
  <c r="BY52" i="1"/>
  <c r="BY57" i="1"/>
  <c r="AK114" i="1"/>
  <c r="AK115" i="1"/>
  <c r="AK117" i="1" s="1"/>
  <c r="DM146" i="20"/>
  <c r="CN141" i="1"/>
  <c r="CN69" i="1"/>
  <c r="CO72" i="1" s="1"/>
  <c r="D37" i="19"/>
  <c r="AP101" i="1"/>
  <c r="AP85" i="1"/>
  <c r="AP98" i="1"/>
  <c r="CW18" i="20"/>
  <c r="T69" i="19"/>
  <c r="BX64" i="2"/>
  <c r="CW18" i="15"/>
  <c r="AE9" i="2"/>
  <c r="BM10" i="14"/>
  <c r="BM50" i="1"/>
  <c r="BM53" i="1" s="1"/>
  <c r="BK24" i="1"/>
  <c r="BM146" i="1"/>
  <c r="BA3" i="20"/>
  <c r="BA3" i="15"/>
  <c r="AB42" i="2"/>
  <c r="AB15" i="2"/>
  <c r="AB53" i="2"/>
  <c r="AB55" i="2" s="1"/>
  <c r="AB18" i="2"/>
  <c r="CX146" i="15"/>
  <c r="BY141" i="1"/>
  <c r="BY69" i="1"/>
  <c r="CX146" i="20"/>
  <c r="BY18" i="1"/>
  <c r="BY5" i="1" s="1"/>
  <c r="BY4" i="1" s="1"/>
  <c r="AO164" i="20"/>
  <c r="AO164" i="15"/>
  <c r="P28" i="1"/>
  <c r="AX112" i="1"/>
  <c r="AY111" i="1"/>
  <c r="BC26" i="20"/>
  <c r="BC26" i="15"/>
  <c r="AE49" i="2"/>
  <c r="AD81" i="2"/>
  <c r="AQ15" i="19"/>
  <c r="CU34" i="9"/>
  <c r="CW14" i="9"/>
  <c r="AS15" i="19" s="1"/>
  <c r="AK29" i="14"/>
  <c r="AK89" i="1"/>
  <c r="CR144" i="15"/>
  <c r="BT14" i="14"/>
  <c r="BS15" i="14"/>
  <c r="CR144" i="20"/>
  <c r="BX14" i="14"/>
  <c r="BS139" i="1"/>
  <c r="BS51" i="1"/>
  <c r="BT24" i="2"/>
  <c r="P53" i="19" s="1"/>
  <c r="AI37" i="19"/>
  <c r="CX112" i="20"/>
  <c r="CX112" i="15"/>
  <c r="BE112" i="20"/>
  <c r="BE112" i="15"/>
  <c r="CM85" i="2"/>
  <c r="CI113" i="1"/>
  <c r="CI114" i="1" s="1"/>
  <c r="DE578" i="15"/>
  <c r="AB30" i="19"/>
  <c r="DE578" i="20"/>
  <c r="D138" i="1"/>
  <c r="CH7" i="2"/>
  <c r="AD36" i="19" s="1"/>
  <c r="BR20" i="20"/>
  <c r="BR20" i="15"/>
  <c r="AS65" i="2"/>
  <c r="AT45" i="2"/>
  <c r="DK53" i="20"/>
  <c r="AH52" i="19"/>
  <c r="CL24" i="2"/>
  <c r="AH53" i="19" s="1"/>
  <c r="CL60" i="2"/>
  <c r="CL22" i="2"/>
  <c r="CM22" i="2" s="1"/>
  <c r="CM23" i="2"/>
  <c r="AE53" i="20"/>
  <c r="F24" i="2"/>
  <c r="F60" i="2"/>
  <c r="AS16" i="9"/>
  <c r="AV335" i="20"/>
  <c r="AV335" i="15"/>
  <c r="CS578" i="20"/>
  <c r="CS578" i="15"/>
  <c r="P30" i="19"/>
  <c r="BB16" i="20"/>
  <c r="BB16" i="15"/>
  <c r="Z22" i="19"/>
  <c r="CH21" i="9"/>
  <c r="AD22" i="19" s="1"/>
  <c r="CD22" i="9"/>
  <c r="AO148" i="1"/>
  <c r="AO103" i="1"/>
  <c r="AO104" i="1" s="1"/>
  <c r="CQ578" i="20"/>
  <c r="CQ578" i="15"/>
  <c r="N30" i="19"/>
  <c r="CG587" i="20"/>
  <c r="CG587" i="15"/>
  <c r="BQ10" i="14"/>
  <c r="BQ146" i="1"/>
  <c r="BQ50" i="1"/>
  <c r="BQ86" i="2" s="1"/>
  <c r="BQ87" i="2" s="1"/>
  <c r="DH16" i="20"/>
  <c r="AE51" i="19"/>
  <c r="BI40" i="9"/>
  <c r="BI41" i="9" s="1"/>
  <c r="BE113" i="1"/>
  <c r="BE114" i="1" s="1"/>
  <c r="BE111" i="1"/>
  <c r="J29" i="19"/>
  <c r="BN30" i="9"/>
  <c r="CT578" i="20"/>
  <c r="Q30" i="19"/>
  <c r="CT578" i="15"/>
  <c r="BN42" i="9"/>
  <c r="BU410" i="20"/>
  <c r="BU410" i="15"/>
  <c r="P84" i="1"/>
  <c r="P101" i="1" s="1"/>
  <c r="P13" i="9"/>
  <c r="P35" i="9"/>
  <c r="CQ580" i="20"/>
  <c r="N42" i="19"/>
  <c r="BR61" i="2"/>
  <c r="CQ580" i="15"/>
  <c r="BS13" i="2"/>
  <c r="AN35" i="19"/>
  <c r="CR72" i="2"/>
  <c r="AN80" i="19" s="1"/>
  <c r="BA145" i="20"/>
  <c r="BA145" i="15"/>
  <c r="AB6" i="14"/>
  <c r="AB140" i="1"/>
  <c r="AB24" i="1"/>
  <c r="AB60" i="1"/>
  <c r="AB63" i="1" s="1"/>
  <c r="AB40" i="2" s="1"/>
  <c r="CL38" i="9"/>
  <c r="CL39" i="9" s="1"/>
  <c r="CL37" i="9"/>
  <c r="DK146" i="20"/>
  <c r="CL69" i="1"/>
  <c r="CL141" i="1"/>
  <c r="CL18" i="1"/>
  <c r="CM11" i="1"/>
  <c r="BQ589" i="20"/>
  <c r="BQ589" i="15"/>
  <c r="CB9" i="20"/>
  <c r="CB9" i="15"/>
  <c r="BD35" i="2"/>
  <c r="CX313" i="15"/>
  <c r="BR18" i="15"/>
  <c r="BR18" i="20"/>
  <c r="AS64" i="2"/>
  <c r="AT39" i="2"/>
  <c r="BO313" i="15"/>
  <c r="BA53" i="1"/>
  <c r="BB86" i="2"/>
  <c r="BB87" i="2" s="1"/>
  <c r="BB26" i="2"/>
  <c r="P60" i="19"/>
  <c r="BF59" i="2"/>
  <c r="CW40" i="9"/>
  <c r="CW41" i="9" s="1"/>
  <c r="CS113" i="1"/>
  <c r="CS114" i="1" s="1"/>
  <c r="CS111" i="1"/>
  <c r="CS95" i="1"/>
  <c r="CS93" i="1"/>
  <c r="AJ4" i="20"/>
  <c r="K70" i="1"/>
  <c r="CR100" i="1"/>
  <c r="CR101" i="1" s="1"/>
  <c r="AD95" i="1"/>
  <c r="AD93" i="1"/>
  <c r="N10" i="2"/>
  <c r="N18" i="2" s="1"/>
  <c r="N9" i="2"/>
  <c r="AD367" i="20"/>
  <c r="AD327" i="20"/>
  <c r="AY18" i="15"/>
  <c r="AY18" i="20"/>
  <c r="Z64" i="2"/>
  <c r="AF51" i="19"/>
  <c r="DI16" i="20"/>
  <c r="AO62" i="19"/>
  <c r="CS20" i="2"/>
  <c r="AB133" i="1"/>
  <c r="AC157" i="1" s="1"/>
  <c r="AD157" i="1"/>
  <c r="BE110" i="20"/>
  <c r="BD109" i="20"/>
  <c r="BE110" i="15"/>
  <c r="BD109" i="15"/>
  <c r="BE111" i="20"/>
  <c r="BE111" i="15"/>
  <c r="BD110" i="15"/>
  <c r="BD110" i="20"/>
  <c r="BD111" i="20"/>
  <c r="BD111" i="15"/>
  <c r="BG580" i="20"/>
  <c r="BG580" i="15"/>
  <c r="AI13" i="2"/>
  <c r="AJ13" i="2" s="1"/>
  <c r="AH61" i="2"/>
  <c r="AH59" i="2" s="1"/>
  <c r="AH12" i="2"/>
  <c r="AC34" i="19"/>
  <c r="CH5" i="2"/>
  <c r="AD34" i="19" s="1"/>
  <c r="CG4" i="2"/>
  <c r="CG36" i="9"/>
  <c r="CG43" i="9" s="1"/>
  <c r="BR7" i="20"/>
  <c r="BR7" i="15"/>
  <c r="AS31" i="2"/>
  <c r="AT31" i="2" s="1"/>
  <c r="AT32" i="2"/>
  <c r="BX143" i="1"/>
  <c r="BY8" i="14"/>
  <c r="BY9" i="14" s="1"/>
  <c r="BX43" i="1"/>
  <c r="CW338" i="15"/>
  <c r="CW338" i="20"/>
  <c r="DB338" i="20"/>
  <c r="CX338" i="15"/>
  <c r="BT173" i="20"/>
  <c r="BT173" i="15"/>
  <c r="AU120" i="1"/>
  <c r="AU57" i="1"/>
  <c r="AU52" i="1"/>
  <c r="AU121" i="1"/>
  <c r="AU40" i="1"/>
  <c r="AU149" i="1" s="1"/>
  <c r="X10" i="14"/>
  <c r="X27" i="1"/>
  <c r="X26" i="1" s="1"/>
  <c r="X50" i="1"/>
  <c r="X146" i="1"/>
  <c r="X145" i="1" s="1"/>
  <c r="AJ88" i="2"/>
  <c r="AE57" i="1"/>
  <c r="AM88" i="2"/>
  <c r="BS87" i="1"/>
  <c r="BS89" i="1" s="1"/>
  <c r="BS147" i="1"/>
  <c r="CR162" i="15"/>
  <c r="CR162" i="20"/>
  <c r="AO19" i="2"/>
  <c r="DQ54" i="20"/>
  <c r="AN54" i="19"/>
  <c r="O37" i="19"/>
  <c r="BJ146" i="20"/>
  <c r="BJ146" i="15"/>
  <c r="AK141" i="1"/>
  <c r="AK69" i="1"/>
  <c r="CB112" i="20"/>
  <c r="CB112" i="15"/>
  <c r="CA16" i="15"/>
  <c r="CA16" i="20"/>
  <c r="X11" i="2"/>
  <c r="X15" i="2" s="1"/>
  <c r="X71" i="2"/>
  <c r="X54" i="2"/>
  <c r="X113" i="1"/>
  <c r="X114" i="1" s="1"/>
  <c r="BI16" i="9"/>
  <c r="E17" i="19" s="1"/>
  <c r="E16" i="19"/>
  <c r="CZ146" i="20"/>
  <c r="CZ146" i="15"/>
  <c r="CA141" i="1"/>
  <c r="CA69" i="1"/>
  <c r="CA18" i="1"/>
  <c r="AZ112" i="1"/>
  <c r="AQ327" i="20"/>
  <c r="AQ327" i="15"/>
  <c r="AQ367" i="15"/>
  <c r="AQ367" i="20"/>
  <c r="AA41" i="19"/>
  <c r="CE71" i="2"/>
  <c r="CE54" i="2"/>
  <c r="CE11" i="2"/>
  <c r="AS7" i="2"/>
  <c r="AT7" i="2" s="1"/>
  <c r="AT8" i="2"/>
  <c r="BG367" i="20"/>
  <c r="BG327" i="15"/>
  <c r="BG327" i="20"/>
  <c r="BG367" i="15"/>
  <c r="BJ38" i="9"/>
  <c r="BJ37" i="9"/>
  <c r="BW578" i="20"/>
  <c r="BW578" i="15"/>
  <c r="CT27" i="1"/>
  <c r="CT26" i="1" s="1"/>
  <c r="BY112" i="20"/>
  <c r="BY112" i="15"/>
  <c r="Y12" i="2"/>
  <c r="Z12" i="2" s="1"/>
  <c r="BO589" i="20"/>
  <c r="BO589" i="15"/>
  <c r="CU145" i="20"/>
  <c r="CU145" i="15"/>
  <c r="BV140" i="1"/>
  <c r="BZ20" i="9"/>
  <c r="V21" i="19" s="1"/>
  <c r="BV60" i="1"/>
  <c r="BV18" i="1"/>
  <c r="BV5" i="1" s="1"/>
  <c r="BV4" i="1" s="1"/>
  <c r="DC111" i="20"/>
  <c r="DB109" i="20"/>
  <c r="DC110" i="20"/>
  <c r="DC111" i="15"/>
  <c r="DC110" i="15"/>
  <c r="DB109" i="15"/>
  <c r="CC185" i="1"/>
  <c r="CC187" i="1" s="1"/>
  <c r="CC57" i="1"/>
  <c r="DB111" i="20"/>
  <c r="DB110" i="20"/>
  <c r="DB111" i="15"/>
  <c r="CC29" i="11"/>
  <c r="DB110" i="15"/>
  <c r="BN97" i="1"/>
  <c r="BN98" i="1" s="1"/>
  <c r="BN142" i="1"/>
  <c r="CL88" i="2"/>
  <c r="BM9" i="20"/>
  <c r="BM9" i="15"/>
  <c r="BR580" i="20"/>
  <c r="BR580" i="15"/>
  <c r="AS61" i="2"/>
  <c r="AT13" i="2"/>
  <c r="BP10" i="2"/>
  <c r="L33" i="19"/>
  <c r="BP9" i="2"/>
  <c r="L38" i="19" s="1"/>
  <c r="BE21" i="9"/>
  <c r="BE29" i="9"/>
  <c r="BI17" i="9"/>
  <c r="BI19" i="2" s="1"/>
  <c r="E48" i="19" s="1"/>
  <c r="BE18" i="9"/>
  <c r="BE14" i="9"/>
  <c r="BE19" i="2"/>
  <c r="AR335" i="20"/>
  <c r="AR335" i="15"/>
  <c r="CB146" i="20"/>
  <c r="CB146" i="15"/>
  <c r="BC141" i="1"/>
  <c r="BC69" i="1"/>
  <c r="BD11" i="1"/>
  <c r="BC18" i="1"/>
  <c r="DN16" i="20"/>
  <c r="AK51" i="19"/>
  <c r="AM310" i="20"/>
  <c r="AM368" i="20"/>
  <c r="DG587" i="20"/>
  <c r="DG587" i="15"/>
  <c r="AD9" i="19"/>
  <c r="CU578" i="15"/>
  <c r="CU578" i="20"/>
  <c r="R30" i="19"/>
  <c r="CM43" i="1"/>
  <c r="DL338" i="20"/>
  <c r="DQ338" i="20"/>
  <c r="BJ43" i="9"/>
  <c r="BA21" i="19"/>
  <c r="BS40" i="9"/>
  <c r="BS41" i="9" s="1"/>
  <c r="BO113" i="1"/>
  <c r="BO114" i="1" s="1"/>
  <c r="BV578" i="20"/>
  <c r="BV578" i="15"/>
  <c r="J35" i="19"/>
  <c r="BN72" i="2"/>
  <c r="J80" i="19" s="1"/>
  <c r="CM589" i="20"/>
  <c r="J14" i="19"/>
  <c r="CM589" i="15"/>
  <c r="BM30" i="20"/>
  <c r="BM30" i="15"/>
  <c r="AN5" i="14"/>
  <c r="AN8" i="14" s="1"/>
  <c r="AN9" i="14" s="1"/>
  <c r="AN92" i="1"/>
  <c r="AM54" i="20"/>
  <c r="N85" i="2"/>
  <c r="N86" i="2" s="1"/>
  <c r="N26" i="2"/>
  <c r="N61" i="2"/>
  <c r="N59" i="2" s="1"/>
  <c r="N22" i="2"/>
  <c r="P25" i="2"/>
  <c r="BR10" i="14"/>
  <c r="BR146" i="1"/>
  <c r="BR50" i="1"/>
  <c r="BR53" i="1" s="1"/>
  <c r="AQ115" i="1"/>
  <c r="AQ117" i="1" s="1"/>
  <c r="AQ112" i="1"/>
  <c r="AE20" i="20"/>
  <c r="F65" i="2"/>
  <c r="P8" i="9"/>
  <c r="K47" i="9"/>
  <c r="P6" i="9"/>
  <c r="BZ335" i="20"/>
  <c r="BZ335" i="15"/>
  <c r="BI9" i="20"/>
  <c r="BI9" i="15"/>
  <c r="AJ62" i="2"/>
  <c r="T18" i="19"/>
  <c r="BX29" i="9"/>
  <c r="BX18" i="9"/>
  <c r="T19" i="19" s="1"/>
  <c r="AQ85" i="1"/>
  <c r="AQ98" i="1"/>
  <c r="BI162" i="20"/>
  <c r="BI162" i="15"/>
  <c r="AJ79" i="1"/>
  <c r="AJ147" i="1"/>
  <c r="AW10" i="14"/>
  <c r="AW50" i="1"/>
  <c r="AW146" i="1"/>
  <c r="AX10" i="14"/>
  <c r="BK145" i="20"/>
  <c r="AL140" i="1"/>
  <c r="BK145" i="15"/>
  <c r="AL60" i="1"/>
  <c r="AM19" i="9"/>
  <c r="AL24" i="1"/>
  <c r="DQ589" i="20"/>
  <c r="AN14" i="19"/>
  <c r="CC26" i="9"/>
  <c r="Y27" i="19" s="1"/>
  <c r="X27" i="19"/>
  <c r="CI3" i="20"/>
  <c r="CI3" i="15"/>
  <c r="F39" i="19"/>
  <c r="BJ53" i="2"/>
  <c r="BJ55" i="2" s="1"/>
  <c r="BJ42" i="2"/>
  <c r="F72" i="19" s="1"/>
  <c r="BJ18" i="2"/>
  <c r="F47" i="19" s="1"/>
  <c r="BJ15" i="2"/>
  <c r="BJ21" i="2"/>
  <c r="F50" i="19" s="1"/>
  <c r="AY143" i="1"/>
  <c r="AQ38" i="9"/>
  <c r="AQ39" i="9" s="1"/>
  <c r="AQ37" i="9"/>
  <c r="AQ43" i="9"/>
  <c r="AO88" i="1"/>
  <c r="Z144" i="1"/>
  <c r="AY147" i="20"/>
  <c r="AY147" i="15"/>
  <c r="BZ146" i="20"/>
  <c r="BZ146" i="15"/>
  <c r="BA69" i="1"/>
  <c r="BA141" i="1"/>
  <c r="BA18" i="1"/>
  <c r="BA5" i="1" s="1"/>
  <c r="BA4" i="1" s="1"/>
  <c r="AB6" i="20"/>
  <c r="C19" i="2"/>
  <c r="F17" i="2"/>
  <c r="AQ93" i="1"/>
  <c r="AQ95" i="1"/>
  <c r="CJ327" i="20"/>
  <c r="CJ367" i="20"/>
  <c r="CJ367" i="15"/>
  <c r="CJ327" i="15"/>
  <c r="BY93" i="1"/>
  <c r="BY95" i="1"/>
  <c r="AO112" i="20"/>
  <c r="AO112" i="15"/>
  <c r="AC367" i="20"/>
  <c r="AC327" i="20"/>
  <c r="M43" i="9"/>
  <c r="AT8" i="9"/>
  <c r="AO47" i="9"/>
  <c r="AT6" i="9"/>
  <c r="CP146" i="20"/>
  <c r="BQ141" i="1"/>
  <c r="CP146" i="15"/>
  <c r="BQ18" i="1"/>
  <c r="BQ69" i="1"/>
  <c r="BJ93" i="1"/>
  <c r="BJ95" i="1"/>
  <c r="N36" i="19"/>
  <c r="BS7" i="2"/>
  <c r="O36" i="19" s="1"/>
  <c r="CH29" i="9"/>
  <c r="AD18" i="19"/>
  <c r="CH18" i="9"/>
  <c r="AD19" i="19" s="1"/>
  <c r="CH19" i="2"/>
  <c r="AD48" i="19" s="1"/>
  <c r="BF146" i="1"/>
  <c r="BF10" i="14"/>
  <c r="BF50" i="1"/>
  <c r="BG10" i="14"/>
  <c r="CA580" i="20"/>
  <c r="CA580" i="15"/>
  <c r="BC13" i="2"/>
  <c r="BD13" i="2" s="1"/>
  <c r="BB12" i="2"/>
  <c r="BB61" i="2"/>
  <c r="BB59" i="2" s="1"/>
  <c r="BA146" i="20"/>
  <c r="AB5" i="1"/>
  <c r="AB4" i="1" s="1"/>
  <c r="BA146" i="15"/>
  <c r="AB69" i="1"/>
  <c r="AB72" i="1" s="1"/>
  <c r="O64" i="19"/>
  <c r="CR9" i="20"/>
  <c r="CR9" i="15"/>
  <c r="CR20" i="20"/>
  <c r="O75" i="19"/>
  <c r="CR20" i="15"/>
  <c r="BS65" i="2"/>
  <c r="CI4" i="20"/>
  <c r="CI4" i="15"/>
  <c r="F40" i="19"/>
  <c r="CY146" i="20"/>
  <c r="CY146" i="15"/>
  <c r="BZ69" i="1"/>
  <c r="BZ141" i="1"/>
  <c r="BZ18" i="1"/>
  <c r="BZ5" i="1" s="1"/>
  <c r="BZ4" i="1" s="1"/>
  <c r="AN36" i="9"/>
  <c r="AN111" i="1"/>
  <c r="AN4" i="2"/>
  <c r="AE36" i="9"/>
  <c r="AE37" i="9" s="1"/>
  <c r="AA37" i="9"/>
  <c r="AA56" i="9" s="1"/>
  <c r="AA43" i="9"/>
  <c r="CW7" i="15"/>
  <c r="CW7" i="20"/>
  <c r="T61" i="19"/>
  <c r="CC21" i="9"/>
  <c r="Y22" i="19" s="1"/>
  <c r="AY144" i="20"/>
  <c r="AY144" i="15"/>
  <c r="Z15" i="14"/>
  <c r="AA14" i="14"/>
  <c r="Z51" i="1"/>
  <c r="Z139" i="1"/>
  <c r="AE14" i="14"/>
  <c r="AA24" i="2"/>
  <c r="BD143" i="1"/>
  <c r="BN100" i="1"/>
  <c r="BN101" i="1" s="1"/>
  <c r="M122" i="1"/>
  <c r="M54" i="1"/>
  <c r="M55" i="1"/>
  <c r="DK7" i="20"/>
  <c r="AH61" i="19"/>
  <c r="CM32" i="2"/>
  <c r="AD3" i="20"/>
  <c r="E42" i="2"/>
  <c r="E15" i="2"/>
  <c r="E36" i="2" s="1"/>
  <c r="E38" i="2" s="1"/>
  <c r="E18" i="2"/>
  <c r="E21" i="2"/>
  <c r="E53" i="2"/>
  <c r="E55" i="2" s="1"/>
  <c r="AC37" i="9"/>
  <c r="AC56" i="9" s="1"/>
  <c r="AC43" i="9"/>
  <c r="AQ101" i="1"/>
  <c r="BT4" i="15"/>
  <c r="BT4" i="20"/>
  <c r="K73" i="1"/>
  <c r="K74" i="1" s="1"/>
  <c r="K88" i="1"/>
  <c r="CS31" i="2"/>
  <c r="CK10" i="14"/>
  <c r="CK50" i="1"/>
  <c r="CK146" i="1"/>
  <c r="CL10" i="14"/>
  <c r="AY166" i="20"/>
  <c r="Z28" i="1"/>
  <c r="AY166" i="15"/>
  <c r="CL43" i="9"/>
  <c r="AC3" i="20"/>
  <c r="D42" i="2"/>
  <c r="D15" i="2"/>
  <c r="D36" i="2" s="1"/>
  <c r="D38" i="2" s="1"/>
  <c r="D53" i="2"/>
  <c r="D55" i="2" s="1"/>
  <c r="D18" i="2"/>
  <c r="D21" i="2"/>
  <c r="DT16" i="20"/>
  <c r="AQ51" i="19"/>
  <c r="BN112" i="20"/>
  <c r="AO32" i="11"/>
  <c r="BN112" i="15"/>
  <c r="N112" i="1"/>
  <c r="N116" i="1" s="1"/>
  <c r="N118" i="1" s="1"/>
  <c r="N115" i="1"/>
  <c r="N117" i="1" s="1"/>
  <c r="DI578" i="20"/>
  <c r="AF30" i="19"/>
  <c r="BZ112" i="1"/>
  <c r="BH367" i="20"/>
  <c r="BH367" i="15"/>
  <c r="BH327" i="15"/>
  <c r="BH327" i="20"/>
  <c r="BI85" i="2"/>
  <c r="BI88" i="2" s="1"/>
  <c r="DE580" i="20"/>
  <c r="DE580" i="15"/>
  <c r="AB42" i="19"/>
  <c r="CG13" i="2"/>
  <c r="CH13" i="2" s="1"/>
  <c r="CF12" i="2"/>
  <c r="CF61" i="2"/>
  <c r="CF59" i="2" s="1"/>
  <c r="M112" i="1"/>
  <c r="M116" i="1" s="1"/>
  <c r="M118" i="1" s="1"/>
  <c r="M115" i="1"/>
  <c r="M117" i="1" s="1"/>
  <c r="U42" i="9"/>
  <c r="R43" i="9"/>
  <c r="CE95" i="1"/>
  <c r="CE93" i="1"/>
  <c r="DB591" i="20"/>
  <c r="DB591" i="15"/>
  <c r="BW587" i="20"/>
  <c r="BW587" i="15"/>
  <c r="Q15" i="19"/>
  <c r="BU34" i="9"/>
  <c r="BX14" i="9"/>
  <c r="DG144" i="20"/>
  <c r="DG144" i="15"/>
  <c r="CH15" i="14"/>
  <c r="CI14" i="14"/>
  <c r="CM14" i="14"/>
  <c r="CH139" i="1"/>
  <c r="CH51" i="1"/>
  <c r="CP89" i="1"/>
  <c r="CR21" i="9"/>
  <c r="AN22" i="19" s="1"/>
  <c r="AJ22" i="19"/>
  <c r="AH10" i="14"/>
  <c r="AH146" i="1"/>
  <c r="AH50" i="1"/>
  <c r="AT15" i="9"/>
  <c r="AT16" i="9" s="1"/>
  <c r="AP16" i="9"/>
  <c r="CS173" i="20"/>
  <c r="BT40" i="1"/>
  <c r="CS173" i="15"/>
  <c r="BT57" i="1"/>
  <c r="BT121" i="1"/>
  <c r="BT52" i="1"/>
  <c r="BT120" i="1"/>
  <c r="CC146" i="1"/>
  <c r="CC50" i="1"/>
  <c r="BW9" i="20"/>
  <c r="BW9" i="15"/>
  <c r="AY35" i="2"/>
  <c r="DA53" i="20"/>
  <c r="X52" i="19"/>
  <c r="DA53" i="15"/>
  <c r="CB24" i="2"/>
  <c r="X53" i="19" s="1"/>
  <c r="CC23" i="2"/>
  <c r="CB60" i="2"/>
  <c r="CB22" i="2"/>
  <c r="CN30" i="9"/>
  <c r="AJ29" i="19"/>
  <c r="AV589" i="15"/>
  <c r="AV589" i="20"/>
  <c r="I95" i="1"/>
  <c r="I93" i="1"/>
  <c r="AG335" i="20"/>
  <c r="CI93" i="1"/>
  <c r="CI95" i="1"/>
  <c r="P62" i="19"/>
  <c r="BT20" i="2"/>
  <c r="BT37" i="9"/>
  <c r="BT38" i="9"/>
  <c r="C7" i="2"/>
  <c r="F7" i="2" s="1"/>
  <c r="AE335" i="20"/>
  <c r="F12" i="14"/>
  <c r="BP578" i="20"/>
  <c r="BP578" i="15"/>
  <c r="CZ112" i="15"/>
  <c r="CZ112" i="20"/>
  <c r="CC576" i="20"/>
  <c r="CC576" i="15"/>
  <c r="BD110" i="1"/>
  <c r="CM143" i="1"/>
  <c r="AO52" i="20"/>
  <c r="AO52" i="15"/>
  <c r="CF580" i="20"/>
  <c r="CF580" i="15"/>
  <c r="BI13" i="2"/>
  <c r="BG12" i="2"/>
  <c r="BG61" i="2"/>
  <c r="BG59" i="2" s="1"/>
  <c r="CX10" i="2"/>
  <c r="AT33" i="19"/>
  <c r="CX9" i="2"/>
  <c r="AT38" i="19" s="1"/>
  <c r="BA16" i="20"/>
  <c r="BA16" i="15"/>
  <c r="S8" i="14"/>
  <c r="S9" i="14" s="1"/>
  <c r="S143" i="1"/>
  <c r="CW100" i="1"/>
  <c r="CW101" i="1" s="1"/>
  <c r="AQ86" i="2"/>
  <c r="AQ87" i="2" s="1"/>
  <c r="AP53" i="1"/>
  <c r="AQ26" i="2"/>
  <c r="BZ30" i="20"/>
  <c r="BZ30" i="15"/>
  <c r="BA5" i="14"/>
  <c r="BA8" i="14" s="1"/>
  <c r="BA9" i="14" s="1"/>
  <c r="BB68" i="2"/>
  <c r="BC68" i="2" s="1"/>
  <c r="BA92" i="1"/>
  <c r="E35" i="19"/>
  <c r="BI72" i="2"/>
  <c r="E80" i="19" s="1"/>
  <c r="BM112" i="1"/>
  <c r="BN111" i="1"/>
  <c r="F143" i="1"/>
  <c r="AG6" i="14"/>
  <c r="AS112" i="20"/>
  <c r="AS112" i="15"/>
  <c r="AK41" i="19"/>
  <c r="CO54" i="2"/>
  <c r="CO71" i="2"/>
  <c r="CO11" i="2"/>
  <c r="AD10" i="2"/>
  <c r="AE10" i="2" s="1"/>
  <c r="AD9" i="2"/>
  <c r="G16" i="2"/>
  <c r="C113" i="1"/>
  <c r="C114" i="1" s="1"/>
  <c r="F114" i="1" s="1"/>
  <c r="C54" i="2"/>
  <c r="C11" i="2"/>
  <c r="B70" i="1" s="1"/>
  <c r="C71" i="2"/>
  <c r="F12" i="2"/>
  <c r="AC112" i="1"/>
  <c r="J80" i="1"/>
  <c r="J81" i="1" s="1"/>
  <c r="AU148" i="1"/>
  <c r="AU103" i="1"/>
  <c r="AU104" i="1" s="1"/>
  <c r="CY20" i="9"/>
  <c r="DT145" i="20"/>
  <c r="CU60" i="1"/>
  <c r="CU63" i="1" s="1"/>
  <c r="CU18" i="1"/>
  <c r="CU5" i="1" s="1"/>
  <c r="CU4" i="1" s="1"/>
  <c r="CU140" i="1"/>
  <c r="BP38" i="9"/>
  <c r="BP39" i="9" s="1"/>
  <c r="BP37" i="9"/>
  <c r="AH146" i="20"/>
  <c r="I141" i="1"/>
  <c r="I138" i="1" s="1"/>
  <c r="I151" i="1" s="1"/>
  <c r="I5" i="1"/>
  <c r="I4" i="1" s="1"/>
  <c r="I48" i="1" s="1"/>
  <c r="I69" i="1"/>
  <c r="CG53" i="20"/>
  <c r="CG53" i="15"/>
  <c r="BH60" i="2"/>
  <c r="BH59" i="2" s="1"/>
  <c r="BH24" i="2"/>
  <c r="BH22" i="2"/>
  <c r="BI22" i="2" s="1"/>
  <c r="AY14" i="2"/>
  <c r="DG576" i="20"/>
  <c r="DG576" i="15"/>
  <c r="CH110" i="1"/>
  <c r="CM166" i="20"/>
  <c r="CM166" i="15"/>
  <c r="AW3" i="20"/>
  <c r="AW3" i="15"/>
  <c r="X53" i="2"/>
  <c r="X18" i="2"/>
  <c r="X42" i="2"/>
  <c r="X21" i="2"/>
  <c r="CU3" i="20"/>
  <c r="R39" i="19"/>
  <c r="BV42" i="2"/>
  <c r="R72" i="19" s="1"/>
  <c r="CU3" i="15"/>
  <c r="BV53" i="2"/>
  <c r="BV55" i="2" s="1"/>
  <c r="BV18" i="2"/>
  <c r="R47" i="19" s="1"/>
  <c r="BV21" i="2"/>
  <c r="R50" i="19" s="1"/>
  <c r="DU173" i="20"/>
  <c r="CV120" i="1"/>
  <c r="CV52" i="1"/>
  <c r="CV57" i="1"/>
  <c r="CV40" i="1"/>
  <c r="CV121" i="1"/>
  <c r="DV166" i="20"/>
  <c r="CW28" i="1"/>
  <c r="R53" i="1"/>
  <c r="S26" i="2"/>
  <c r="R26" i="2"/>
  <c r="BY29" i="14"/>
  <c r="BY89" i="1"/>
  <c r="CU53" i="1"/>
  <c r="CH111" i="1"/>
  <c r="CG112" i="1"/>
  <c r="BZ16" i="15"/>
  <c r="BZ16" i="20"/>
  <c r="DR4" i="20"/>
  <c r="AO40" i="19"/>
  <c r="BC146" i="20"/>
  <c r="AD141" i="1"/>
  <c r="AD69" i="1"/>
  <c r="BC146" i="15"/>
  <c r="AE11" i="1"/>
  <c r="AD5" i="1"/>
  <c r="AD4" i="1" s="1"/>
  <c r="BC327" i="20"/>
  <c r="BC367" i="20"/>
  <c r="BC327" i="15"/>
  <c r="BC367" i="15"/>
  <c r="DG111" i="15"/>
  <c r="C93" i="1"/>
  <c r="C95" i="1"/>
  <c r="BV16" i="20"/>
  <c r="BV16" i="15"/>
  <c r="AG313" i="20"/>
  <c r="H10" i="2"/>
  <c r="K7" i="2"/>
  <c r="AJ313" i="20" s="1"/>
  <c r="CO140" i="1"/>
  <c r="CO138" i="1" s="1"/>
  <c r="DN145" i="20"/>
  <c r="CS20" i="9"/>
  <c r="AO21" i="19" s="1"/>
  <c r="CO60" i="1"/>
  <c r="CO5" i="1"/>
  <c r="CO4" i="1" s="1"/>
  <c r="DJ31" i="1"/>
  <c r="DK31" i="1" s="1"/>
  <c r="DG31" i="1"/>
  <c r="AD368" i="20"/>
  <c r="AD310" i="20"/>
  <c r="BF95" i="1"/>
  <c r="BF93" i="1"/>
  <c r="BW52" i="15"/>
  <c r="BW52" i="20"/>
  <c r="AY41" i="2"/>
  <c r="BA114" i="1"/>
  <c r="BA116" i="1" s="1"/>
  <c r="BA118" i="1" s="1"/>
  <c r="BA115" i="1"/>
  <c r="BA117" i="1" s="1"/>
  <c r="AT589" i="15"/>
  <c r="AT589" i="20"/>
  <c r="CC29" i="14"/>
  <c r="CC89" i="1"/>
  <c r="BL145" i="20"/>
  <c r="BL145" i="15"/>
  <c r="AM140" i="1"/>
  <c r="AM60" i="1"/>
  <c r="AN19" i="9"/>
  <c r="AL11" i="2"/>
  <c r="AL54" i="2"/>
  <c r="AL30" i="2"/>
  <c r="AM12" i="2"/>
  <c r="AN12" i="2" s="1"/>
  <c r="AL113" i="1"/>
  <c r="AL71" i="2"/>
  <c r="AE145" i="20"/>
  <c r="F6" i="14"/>
  <c r="F140" i="1"/>
  <c r="F60" i="1"/>
  <c r="BK30" i="20"/>
  <c r="BK30" i="15"/>
  <c r="AL5" i="14"/>
  <c r="AL8" i="14" s="1"/>
  <c r="AL9" i="14" s="1"/>
  <c r="AL92" i="1"/>
  <c r="CZ580" i="20"/>
  <c r="CZ580" i="15"/>
  <c r="W42" i="19"/>
  <c r="CA12" i="2"/>
  <c r="CB13" i="2"/>
  <c r="CA61" i="2"/>
  <c r="CA59" i="2" s="1"/>
  <c r="BO112" i="20"/>
  <c r="BO112" i="15"/>
  <c r="DB576" i="20"/>
  <c r="DB576" i="15"/>
  <c r="CC110" i="1"/>
  <c r="AF10" i="2"/>
  <c r="AF21" i="2" s="1"/>
  <c r="AF9" i="2"/>
  <c r="AJ4" i="2"/>
  <c r="AA53" i="1"/>
  <c r="AB86" i="2"/>
  <c r="AB87" i="2" s="1"/>
  <c r="AB26" i="2"/>
  <c r="BF163" i="20"/>
  <c r="BF163" i="15"/>
  <c r="AH39" i="1"/>
  <c r="AH27" i="1" s="1"/>
  <c r="AH26" i="1" s="1"/>
  <c r="BL112" i="20"/>
  <c r="BL112" i="15"/>
  <c r="AA29" i="14"/>
  <c r="AA89" i="1"/>
  <c r="AY100" i="1"/>
  <c r="N15" i="19"/>
  <c r="BR34" i="9"/>
  <c r="DX20" i="9"/>
  <c r="DY20" i="9" s="1"/>
  <c r="DZ20" i="9" s="1"/>
  <c r="EB20" i="9"/>
  <c r="EC20" i="9" s="1"/>
  <c r="ED20" i="9" s="1"/>
  <c r="EE20" i="9" s="1"/>
  <c r="DV173" i="20"/>
  <c r="CW120" i="1"/>
  <c r="CW52" i="1"/>
  <c r="CW57" i="1"/>
  <c r="CW121" i="1"/>
  <c r="BM76" i="1"/>
  <c r="BN75" i="1"/>
  <c r="AQ164" i="20"/>
  <c r="AQ164" i="15"/>
  <c r="AI581" i="20"/>
  <c r="AI410" i="20"/>
  <c r="J54" i="1"/>
  <c r="J55" i="1"/>
  <c r="Q79" i="19"/>
  <c r="BU113" i="1"/>
  <c r="AP20" i="2"/>
  <c r="CC173" i="20"/>
  <c r="CC173" i="15"/>
  <c r="BD57" i="1"/>
  <c r="BD31" i="11" s="1"/>
  <c r="BD52" i="1"/>
  <c r="BD121" i="1"/>
  <c r="BD120" i="1"/>
  <c r="AX145" i="20"/>
  <c r="AX145" i="15"/>
  <c r="Y6" i="14"/>
  <c r="Y140" i="1"/>
  <c r="Y60" i="1"/>
  <c r="AM34" i="19"/>
  <c r="CQ36" i="9"/>
  <c r="CR36" i="9" s="1"/>
  <c r="CQ4" i="2"/>
  <c r="AA3" i="20"/>
  <c r="B53" i="2"/>
  <c r="B55" i="2" s="1"/>
  <c r="B61" i="1"/>
  <c r="B18" i="2"/>
  <c r="B21" i="2"/>
  <c r="B15" i="2"/>
  <c r="BQ587" i="20"/>
  <c r="BQ587" i="15"/>
  <c r="DG145" i="20"/>
  <c r="CH191" i="1"/>
  <c r="CM20" i="9"/>
  <c r="AI21" i="19" s="1"/>
  <c r="CL20" i="9"/>
  <c r="AH21" i="19" s="1"/>
  <c r="CH60" i="1"/>
  <c r="CH140" i="1"/>
  <c r="DG145" i="15"/>
  <c r="AT66" i="1"/>
  <c r="AT8" i="1"/>
  <c r="DX164" i="20"/>
  <c r="CY28" i="1"/>
  <c r="CY50" i="1" s="1"/>
  <c r="AQ18" i="9"/>
  <c r="AQ29" i="9"/>
  <c r="AQ21" i="9"/>
  <c r="AQ19" i="2"/>
  <c r="BK146" i="20"/>
  <c r="BK146" i="15"/>
  <c r="AL141" i="1"/>
  <c r="AL69" i="1"/>
  <c r="AN581" i="20"/>
  <c r="AN410" i="20"/>
  <c r="CJ37" i="9"/>
  <c r="CJ38" i="9"/>
  <c r="CJ39" i="9" s="1"/>
  <c r="E138" i="1"/>
  <c r="E151" i="1" s="1"/>
  <c r="BU173" i="20"/>
  <c r="BU173" i="15"/>
  <c r="AV120" i="1"/>
  <c r="AV57" i="1"/>
  <c r="AV52" i="1"/>
  <c r="AV40" i="1"/>
  <c r="AV121" i="1"/>
  <c r="V41" i="19"/>
  <c r="BZ54" i="2"/>
  <c r="BZ30" i="2"/>
  <c r="BZ11" i="2"/>
  <c r="BZ71" i="2"/>
  <c r="AT143" i="1"/>
  <c r="DS16" i="20"/>
  <c r="AP51" i="19"/>
  <c r="O46" i="19"/>
  <c r="BS19" i="2"/>
  <c r="O48" i="19" s="1"/>
  <c r="G53" i="1"/>
  <c r="K86" i="2"/>
  <c r="G26" i="2"/>
  <c r="AF335" i="20"/>
  <c r="BD6" i="9"/>
  <c r="D7" i="19" s="1"/>
  <c r="AY47" i="9"/>
  <c r="D5" i="19"/>
  <c r="BD8" i="9"/>
  <c r="AS60" i="1"/>
  <c r="AS140" i="1"/>
  <c r="BR145" i="15"/>
  <c r="AS24" i="1"/>
  <c r="BR145" i="20"/>
  <c r="DY153" i="20"/>
  <c r="BP589" i="20"/>
  <c r="BP589" i="15"/>
  <c r="AV112" i="15"/>
  <c r="AV112" i="20"/>
  <c r="CL26" i="20"/>
  <c r="BM81" i="2"/>
  <c r="CL26" i="15"/>
  <c r="BN49" i="2"/>
  <c r="CX38" i="9"/>
  <c r="CX39" i="9" s="1"/>
  <c r="CX43" i="9"/>
  <c r="DN43" i="9" s="1"/>
  <c r="DO43" i="9" s="1"/>
  <c r="DP43" i="9" s="1"/>
  <c r="DR43" i="9" s="1"/>
  <c r="DS43" i="9" s="1"/>
  <c r="DT43" i="9" s="1"/>
  <c r="DU43" i="9" s="1"/>
  <c r="DW43" i="9" s="1"/>
  <c r="DX43" i="9" s="1"/>
  <c r="DY43" i="9" s="1"/>
  <c r="DZ43" i="9" s="1"/>
  <c r="EB43" i="9" s="1"/>
  <c r="EC43" i="9" s="1"/>
  <c r="ED43" i="9" s="1"/>
  <c r="EE43" i="9" s="1"/>
  <c r="CX37" i="9"/>
  <c r="AD112" i="1"/>
  <c r="AE111" i="1"/>
  <c r="DF7" i="15"/>
  <c r="DF7" i="20"/>
  <c r="AC61" i="19"/>
  <c r="AX144" i="1"/>
  <c r="AY18" i="1"/>
  <c r="AY144" i="1" s="1"/>
  <c r="BK112" i="1"/>
  <c r="I80" i="1"/>
  <c r="I81" i="1" s="1"/>
  <c r="CD16" i="20"/>
  <c r="CD16" i="15"/>
  <c r="CW166" i="20"/>
  <c r="CW166" i="15"/>
  <c r="AB54" i="20"/>
  <c r="C26" i="2"/>
  <c r="C61" i="2"/>
  <c r="C59" i="2" s="1"/>
  <c r="E49" i="19"/>
  <c r="BY50" i="1"/>
  <c r="BY146" i="1"/>
  <c r="AM52" i="19"/>
  <c r="DP53" i="20"/>
  <c r="CQ24" i="2"/>
  <c r="AM53" i="19" s="1"/>
  <c r="CQ22" i="2"/>
  <c r="CR22" i="2" s="1"/>
  <c r="CQ60" i="2"/>
  <c r="CV53" i="20"/>
  <c r="S52" i="19"/>
  <c r="CV53" i="15"/>
  <c r="BW24" i="2"/>
  <c r="S53" i="19" s="1"/>
  <c r="BW60" i="2"/>
  <c r="BW59" i="2" s="1"/>
  <c r="BW22" i="2"/>
  <c r="BX22" i="2" s="1"/>
  <c r="N30" i="14"/>
  <c r="AC368" i="20"/>
  <c r="AC310" i="20"/>
  <c r="CD113" i="1"/>
  <c r="CD114" i="1" s="1"/>
  <c r="CH40" i="9"/>
  <c r="CH41" i="9" s="1"/>
  <c r="DY152" i="20"/>
  <c r="BU147" i="20"/>
  <c r="AO100" i="1"/>
  <c r="AO101" i="1" s="1"/>
  <c r="AS52" i="20"/>
  <c r="AS52" i="15"/>
  <c r="U41" i="2"/>
  <c r="BD15" i="9"/>
  <c r="BC16" i="9"/>
  <c r="CJ313" i="20"/>
  <c r="G73" i="19"/>
  <c r="CJ313" i="15"/>
  <c r="BL43" i="2"/>
  <c r="BK56" i="2"/>
  <c r="DB7" i="20"/>
  <c r="DB7" i="15"/>
  <c r="Y61" i="19"/>
  <c r="J49" i="19"/>
  <c r="DH4" i="20"/>
  <c r="AE40" i="19"/>
  <c r="AE143" i="1"/>
  <c r="CW20" i="20"/>
  <c r="T75" i="19"/>
  <c r="CW20" i="15"/>
  <c r="BX65" i="2"/>
  <c r="DQ9" i="20"/>
  <c r="AN64" i="19"/>
  <c r="CR94" i="2"/>
  <c r="CI173" i="20"/>
  <c r="BJ120" i="1"/>
  <c r="CI173" i="15"/>
  <c r="BJ57" i="1"/>
  <c r="BJ52" i="1"/>
  <c r="BJ121" i="1"/>
  <c r="BJ40" i="1"/>
  <c r="BJ27" i="1" s="1"/>
  <c r="BJ26" i="1" s="1"/>
  <c r="BH36" i="9"/>
  <c r="BH43" i="9" s="1"/>
  <c r="BH4" i="2"/>
  <c r="BA173" i="20"/>
  <c r="BA173" i="15"/>
  <c r="AB57" i="1"/>
  <c r="AB52" i="1"/>
  <c r="AB120" i="1"/>
  <c r="AB121" i="1"/>
  <c r="BK38" i="9"/>
  <c r="BK39" i="9" s="1"/>
  <c r="BK37" i="9"/>
  <c r="BK43" i="9"/>
  <c r="AJ145" i="20"/>
  <c r="K140" i="1"/>
  <c r="K60" i="1"/>
  <c r="AS4" i="2"/>
  <c r="AT4" i="2" s="1"/>
  <c r="AS111" i="1"/>
  <c r="AS36" i="9"/>
  <c r="AT36" i="9" s="1"/>
  <c r="CR589" i="20"/>
  <c r="CR589" i="15"/>
  <c r="O14" i="19"/>
  <c r="DW112" i="20"/>
  <c r="CS16" i="20"/>
  <c r="CS16" i="15"/>
  <c r="P51" i="19"/>
  <c r="AK3" i="20"/>
  <c r="L53" i="2"/>
  <c r="L55" i="2" s="1"/>
  <c r="L42" i="2"/>
  <c r="L15" i="2"/>
  <c r="L21" i="2"/>
  <c r="L18" i="2"/>
  <c r="BZ587" i="20"/>
  <c r="BZ587" i="15"/>
  <c r="DE112" i="20"/>
  <c r="DE112" i="15"/>
  <c r="L80" i="1"/>
  <c r="L81" i="1" s="1"/>
  <c r="L71" i="1"/>
  <c r="BU30" i="20"/>
  <c r="BU30" i="15"/>
  <c r="AV92" i="1"/>
  <c r="AV5" i="14"/>
  <c r="AV8" i="14" s="1"/>
  <c r="AV9" i="14" s="1"/>
  <c r="X112" i="1"/>
  <c r="F26" i="19"/>
  <c r="BJ26" i="9"/>
  <c r="F27" i="19" s="1"/>
  <c r="DL164" i="20"/>
  <c r="CM28" i="1"/>
  <c r="BT162" i="20"/>
  <c r="BT162" i="15"/>
  <c r="AU79" i="1"/>
  <c r="AU147" i="1"/>
  <c r="G6" i="14"/>
  <c r="DT580" i="20"/>
  <c r="CU61" i="2"/>
  <c r="CU59" i="2" s="1"/>
  <c r="CV13" i="2"/>
  <c r="CU12" i="2"/>
  <c r="AQ42" i="19"/>
  <c r="AA145" i="1"/>
  <c r="BE145" i="20"/>
  <c r="BE145" i="15"/>
  <c r="AG20" i="9"/>
  <c r="AF60" i="1"/>
  <c r="AF140" i="1"/>
  <c r="AF24" i="1"/>
  <c r="AP7" i="20"/>
  <c r="AP7" i="15"/>
  <c r="Q31" i="2"/>
  <c r="R32" i="2"/>
  <c r="U32" i="2" s="1"/>
  <c r="BW410" i="20"/>
  <c r="BW410" i="15"/>
  <c r="AX54" i="1"/>
  <c r="AX55" i="1"/>
  <c r="AT112" i="20"/>
  <c r="AT112" i="15"/>
  <c r="BE6" i="20"/>
  <c r="BE6" i="15"/>
  <c r="AF56" i="2"/>
  <c r="BI577" i="20"/>
  <c r="BI577" i="15"/>
  <c r="AK28" i="9"/>
  <c r="AK17" i="9"/>
  <c r="AO28" i="9"/>
  <c r="AO30" i="9" s="1"/>
  <c r="CW587" i="15"/>
  <c r="CW587" i="20"/>
  <c r="T9" i="19"/>
  <c r="BP43" i="9"/>
  <c r="BO587" i="20"/>
  <c r="BO587" i="15"/>
  <c r="BS338" i="20"/>
  <c r="N27" i="19"/>
  <c r="BS26" i="9"/>
  <c r="O27" i="19" s="1"/>
  <c r="DD173" i="20"/>
  <c r="DD173" i="15"/>
  <c r="CE120" i="1"/>
  <c r="CE121" i="1"/>
  <c r="CE57" i="1"/>
  <c r="CE52" i="1"/>
  <c r="CE40" i="1"/>
  <c r="BM89" i="1"/>
  <c r="AG59" i="2"/>
  <c r="AT9" i="20"/>
  <c r="AT9" i="15"/>
  <c r="BI5" i="2"/>
  <c r="E34" i="19" s="1"/>
  <c r="DB112" i="20"/>
  <c r="Y85" i="19"/>
  <c r="DB112" i="15"/>
  <c r="CC32" i="11"/>
  <c r="AF93" i="1"/>
  <c r="AF95" i="1"/>
  <c r="AJ92" i="1"/>
  <c r="AJ93" i="1" s="1"/>
  <c r="AS18" i="20"/>
  <c r="AN29" i="14"/>
  <c r="AN89" i="1"/>
  <c r="CO30" i="20"/>
  <c r="CO30" i="15"/>
  <c r="BP5" i="14"/>
  <c r="BP8" i="14" s="1"/>
  <c r="BP9" i="14" s="1"/>
  <c r="BQ68" i="2"/>
  <c r="BR68" i="2" s="1"/>
  <c r="BP92" i="1"/>
  <c r="BP33" i="2"/>
  <c r="CR148" i="1"/>
  <c r="CR103" i="1"/>
  <c r="CR104" i="1" s="1"/>
  <c r="CR18" i="20"/>
  <c r="CR18" i="15"/>
  <c r="O69" i="19"/>
  <c r="BS64" i="2"/>
  <c r="O30" i="14"/>
  <c r="T53" i="1"/>
  <c r="BC36" i="9"/>
  <c r="BC4" i="2"/>
  <c r="BD4" i="2" s="1"/>
  <c r="BD9" i="2" s="1"/>
  <c r="D38" i="19" s="1"/>
  <c r="S4" i="1"/>
  <c r="S48" i="1" s="1"/>
  <c r="K29" i="19"/>
  <c r="BO29" i="9"/>
  <c r="BO30" i="9"/>
  <c r="X43" i="9"/>
  <c r="BD103" i="1"/>
  <c r="BD148" i="1"/>
  <c r="CH144" i="20"/>
  <c r="BI15" i="14"/>
  <c r="BN14" i="14"/>
  <c r="BI139" i="1"/>
  <c r="BI51" i="1"/>
  <c r="BJ14" i="14"/>
  <c r="M15" i="19"/>
  <c r="BQ34" i="9"/>
  <c r="CH589" i="20"/>
  <c r="E14" i="19"/>
  <c r="BS173" i="20"/>
  <c r="BS173" i="15"/>
  <c r="AT120" i="1"/>
  <c r="AT57" i="1"/>
  <c r="AT31" i="11" s="1"/>
  <c r="AT121" i="1"/>
  <c r="AT52" i="1"/>
  <c r="BD97" i="1"/>
  <c r="BD142" i="1"/>
  <c r="CE112" i="20"/>
  <c r="CE112" i="15"/>
  <c r="AG575" i="20"/>
  <c r="H35" i="9"/>
  <c r="E5" i="19"/>
  <c r="BD47" i="9"/>
  <c r="BI8" i="9"/>
  <c r="BI6" i="9"/>
  <c r="E7" i="19" s="1"/>
  <c r="BN338" i="20"/>
  <c r="AS10" i="14"/>
  <c r="AS146" i="1"/>
  <c r="AS50" i="1"/>
  <c r="BZ146" i="1"/>
  <c r="BZ10" i="14"/>
  <c r="BZ50" i="1"/>
  <c r="C138" i="1"/>
  <c r="C151" i="1" s="1"/>
  <c r="DD112" i="20"/>
  <c r="DD112" i="15"/>
  <c r="AP112" i="20"/>
  <c r="AP112" i="15"/>
  <c r="AR37" i="19"/>
  <c r="CV7" i="2"/>
  <c r="AR36" i="19" s="1"/>
  <c r="DP173" i="20"/>
  <c r="CQ120" i="1"/>
  <c r="CQ121" i="1"/>
  <c r="CQ40" i="1"/>
  <c r="CQ27" i="1" s="1"/>
  <c r="CQ26" i="1" s="1"/>
  <c r="CQ57" i="1"/>
  <c r="CQ52" i="1"/>
  <c r="CS37" i="9"/>
  <c r="CS38" i="9"/>
  <c r="BP367" i="20"/>
  <c r="BP327" i="20"/>
  <c r="BP367" i="15"/>
  <c r="BP327" i="15"/>
  <c r="CK173" i="20"/>
  <c r="CK173" i="15"/>
  <c r="BL121" i="1"/>
  <c r="BL57" i="1"/>
  <c r="BL52" i="1"/>
  <c r="BL120" i="1"/>
  <c r="BL40" i="1"/>
  <c r="BL27" i="1" s="1"/>
  <c r="BL26" i="1" s="1"/>
  <c r="H29" i="14"/>
  <c r="H89" i="1"/>
  <c r="AA95" i="1"/>
  <c r="AE92" i="1"/>
  <c r="AE93" i="1" s="1"/>
  <c r="AA93" i="1"/>
  <c r="AM42" i="9"/>
  <c r="AM72" i="2"/>
  <c r="AP112" i="1"/>
  <c r="CW89" i="1"/>
  <c r="BW76" i="1"/>
  <c r="BX75" i="1"/>
  <c r="BX76" i="1" s="1"/>
  <c r="AO66" i="1"/>
  <c r="AO8" i="1"/>
  <c r="AG138" i="1"/>
  <c r="CY112" i="20"/>
  <c r="CY112" i="15"/>
  <c r="I49" i="19"/>
  <c r="AV3" i="15"/>
  <c r="AV3" i="20"/>
  <c r="W53" i="2"/>
  <c r="W55" i="2" s="1"/>
  <c r="W18" i="2"/>
  <c r="W21" i="2"/>
  <c r="W42" i="2"/>
  <c r="W15" i="2"/>
  <c r="AG10" i="2"/>
  <c r="AG9" i="2"/>
  <c r="DI145" i="20"/>
  <c r="CN20" i="9"/>
  <c r="AJ21" i="19" s="1"/>
  <c r="CJ140" i="1"/>
  <c r="CJ60" i="1"/>
  <c r="AU146" i="1"/>
  <c r="AU10" i="14"/>
  <c r="AU50" i="1"/>
  <c r="CC112" i="20"/>
  <c r="D85" i="19"/>
  <c r="BD32" i="11"/>
  <c r="CC112" i="15"/>
  <c r="BE38" i="9"/>
  <c r="BE37" i="9"/>
  <c r="AY66" i="1"/>
  <c r="AY8" i="1"/>
  <c r="M138" i="1"/>
  <c r="M151" i="1" s="1"/>
  <c r="AZ16" i="20"/>
  <c r="AZ16" i="15"/>
  <c r="AE22" i="2"/>
  <c r="U85" i="2"/>
  <c r="BI30" i="20"/>
  <c r="AJ5" i="14"/>
  <c r="AJ8" i="14" s="1"/>
  <c r="AJ9" i="14" s="1"/>
  <c r="BI30" i="15"/>
  <c r="BX20" i="20"/>
  <c r="C75" i="19"/>
  <c r="BX20" i="15"/>
  <c r="AY65" i="2"/>
  <c r="CV7" i="20"/>
  <c r="S61" i="19"/>
  <c r="CV7" i="15"/>
  <c r="AH3" i="20"/>
  <c r="I53" i="2"/>
  <c r="I55" i="2" s="1"/>
  <c r="I21" i="2"/>
  <c r="I18" i="2"/>
  <c r="I42" i="2"/>
  <c r="I15" i="2"/>
  <c r="I36" i="2" s="1"/>
  <c r="I38" i="2" s="1"/>
  <c r="CC42" i="9"/>
  <c r="J6" i="14"/>
  <c r="AS18" i="15"/>
  <c r="AP38" i="9"/>
  <c r="AP37" i="9"/>
  <c r="DG173" i="20"/>
  <c r="DG173" i="15"/>
  <c r="CH121" i="1"/>
  <c r="CH57" i="1"/>
  <c r="CH52" i="1"/>
  <c r="CH120" i="1"/>
  <c r="CC100" i="1"/>
  <c r="CC101" i="1" s="1"/>
  <c r="AI146" i="20"/>
  <c r="J5" i="1"/>
  <c r="J4" i="1" s="1"/>
  <c r="J48" i="1" s="1"/>
  <c r="J69" i="1"/>
  <c r="J141" i="1"/>
  <c r="J138" i="1" s="1"/>
  <c r="J151" i="1" s="1"/>
  <c r="K11" i="1"/>
  <c r="K6" i="14" s="1"/>
  <c r="BA367" i="20"/>
  <c r="BA327" i="20"/>
  <c r="BA367" i="15"/>
  <c r="BA327" i="15"/>
  <c r="CH32" i="2"/>
  <c r="CK69" i="1"/>
  <c r="CK72" i="1" s="1"/>
  <c r="DJ146" i="20"/>
  <c r="CK141" i="1"/>
  <c r="CK18" i="1"/>
  <c r="AF146" i="20"/>
  <c r="G141" i="1"/>
  <c r="G5" i="1"/>
  <c r="G4" i="1" s="1"/>
  <c r="G69" i="1"/>
  <c r="G71" i="1" s="1"/>
  <c r="BF72" i="1"/>
  <c r="CO145" i="15"/>
  <c r="BP60" i="1"/>
  <c r="BT20" i="9"/>
  <c r="P21" i="19" s="1"/>
  <c r="BP140" i="1"/>
  <c r="CO145" i="20"/>
  <c r="X59" i="2"/>
  <c r="DL587" i="20"/>
  <c r="AI9" i="19"/>
  <c r="E117" i="1"/>
  <c r="F115" i="1"/>
  <c r="F117" i="1" s="1"/>
  <c r="BE89" i="1"/>
  <c r="AO50" i="1"/>
  <c r="AO146" i="1"/>
  <c r="AO10" i="14"/>
  <c r="AD59" i="19"/>
  <c r="CH62" i="2"/>
  <c r="BA10" i="2"/>
  <c r="BA9" i="2"/>
  <c r="M33" i="19"/>
  <c r="BQ10" i="2"/>
  <c r="BQ9" i="2"/>
  <c r="M38" i="19" s="1"/>
  <c r="AK53" i="1"/>
  <c r="BF115" i="1"/>
  <c r="BF117" i="1" s="1"/>
  <c r="BW10" i="14"/>
  <c r="BW50" i="1"/>
  <c r="BW146" i="1"/>
  <c r="D85" i="1"/>
  <c r="BL146" i="20"/>
  <c r="BL146" i="15"/>
  <c r="AM141" i="1"/>
  <c r="AM18" i="1"/>
  <c r="AM69" i="1"/>
  <c r="I122" i="1"/>
  <c r="M72" i="1"/>
  <c r="H55" i="1"/>
  <c r="BR578" i="20"/>
  <c r="BR578" i="15"/>
  <c r="AV29" i="14"/>
  <c r="AW30" i="14" s="1"/>
  <c r="AP29" i="14"/>
  <c r="AP89" i="1"/>
  <c r="DH145" i="20"/>
  <c r="CI140" i="1"/>
  <c r="CI60" i="1"/>
  <c r="AB57" i="19"/>
  <c r="CH28" i="2"/>
  <c r="AD57" i="19" s="1"/>
  <c r="CM72" i="2"/>
  <c r="AI80" i="19" s="1"/>
  <c r="N34" i="19"/>
  <c r="BR36" i="9"/>
  <c r="BS36" i="9" s="1"/>
  <c r="BR4" i="2"/>
  <c r="BS4" i="2" s="1"/>
  <c r="O33" i="19" s="1"/>
  <c r="DG111" i="20"/>
  <c r="CR338" i="15"/>
  <c r="W33" i="19"/>
  <c r="CA10" i="2"/>
  <c r="CA9" i="2"/>
  <c r="W38" i="19" s="1"/>
  <c r="BR112" i="20"/>
  <c r="BR112" i="15"/>
  <c r="AU16" i="20"/>
  <c r="AU16" i="15"/>
  <c r="CO335" i="20"/>
  <c r="CO335" i="15"/>
  <c r="AV5" i="1"/>
  <c r="AV4" i="1" s="1"/>
  <c r="CW142" i="1"/>
  <c r="CD95" i="1"/>
  <c r="CD93" i="1"/>
  <c r="AT109" i="20"/>
  <c r="AU111" i="20"/>
  <c r="AU110" i="20"/>
  <c r="AU110" i="15"/>
  <c r="AT109" i="15"/>
  <c r="V81" i="2"/>
  <c r="AU111" i="15"/>
  <c r="BK53" i="20"/>
  <c r="BK53" i="15"/>
  <c r="AL24" i="2"/>
  <c r="AL22" i="2"/>
  <c r="AL60" i="2"/>
  <c r="AL59" i="2" s="1"/>
  <c r="CN43" i="9"/>
  <c r="CN37" i="9"/>
  <c r="CN38" i="9"/>
  <c r="O113" i="1"/>
  <c r="O54" i="2"/>
  <c r="O11" i="2"/>
  <c r="P11" i="2" s="1"/>
  <c r="O71" i="2"/>
  <c r="AK33" i="19"/>
  <c r="CO9" i="2"/>
  <c r="AK38" i="19" s="1"/>
  <c r="CO10" i="2"/>
  <c r="V33" i="19"/>
  <c r="BZ10" i="2"/>
  <c r="BZ9" i="2"/>
  <c r="V38" i="19" s="1"/>
  <c r="CI578" i="20"/>
  <c r="CI578" i="15"/>
  <c r="F30" i="19"/>
  <c r="AV80" i="19"/>
  <c r="CH42" i="9"/>
  <c r="R95" i="1"/>
  <c r="R93" i="1"/>
  <c r="T43" i="19"/>
  <c r="BX72" i="2"/>
  <c r="T80" i="19" s="1"/>
  <c r="DN173" i="20"/>
  <c r="CO52" i="1"/>
  <c r="CO40" i="1"/>
  <c r="CO121" i="1"/>
  <c r="CO120" i="1"/>
  <c r="CO57" i="1"/>
  <c r="Z66" i="1"/>
  <c r="Z8" i="1"/>
  <c r="Z5" i="1" s="1"/>
  <c r="Z4" i="1" s="1"/>
  <c r="AJ33" i="19"/>
  <c r="CN10" i="2"/>
  <c r="CN9" i="2"/>
  <c r="AJ38" i="19" s="1"/>
  <c r="P71" i="2"/>
  <c r="E72" i="1"/>
  <c r="V146" i="1"/>
  <c r="V145" i="1" s="1"/>
  <c r="V50" i="1"/>
  <c r="V27" i="1"/>
  <c r="V26" i="1" s="1"/>
  <c r="AA15" i="19"/>
  <c r="CE34" i="9"/>
  <c r="CF173" i="20"/>
  <c r="BG120" i="1"/>
  <c r="BG121" i="1"/>
  <c r="BG52" i="1"/>
  <c r="BG40" i="1"/>
  <c r="CF173" i="15"/>
  <c r="BG57" i="1"/>
  <c r="AT10" i="14"/>
  <c r="AT146" i="1"/>
  <c r="AT50" i="1"/>
  <c r="DS578" i="20"/>
  <c r="AP30" i="19"/>
  <c r="DE173" i="20"/>
  <c r="DE173" i="15"/>
  <c r="CF52" i="1"/>
  <c r="CF121" i="1"/>
  <c r="CF57" i="1"/>
  <c r="CF40" i="1"/>
  <c r="CF120" i="1"/>
  <c r="CM148" i="1"/>
  <c r="CM103" i="1"/>
  <c r="CM104" i="1" s="1"/>
  <c r="BE50" i="1"/>
  <c r="BE146" i="1"/>
  <c r="P143" i="1"/>
  <c r="AN19" i="2"/>
  <c r="DL20" i="20"/>
  <c r="AI75" i="19"/>
  <c r="CM65" i="2"/>
  <c r="E46" i="19"/>
  <c r="DI163" i="20"/>
  <c r="CH143" i="1"/>
  <c r="AN72" i="2"/>
  <c r="AN42" i="9"/>
  <c r="BV173" i="20"/>
  <c r="BV173" i="15"/>
  <c r="AW120" i="1"/>
  <c r="AW57" i="1"/>
  <c r="AW52" i="1"/>
  <c r="AW40" i="1"/>
  <c r="AW121" i="1"/>
  <c r="CI338" i="15"/>
  <c r="BE9" i="2"/>
  <c r="BE10" i="2"/>
  <c r="BL578" i="20"/>
  <c r="BL578" i="15"/>
  <c r="AE30" i="20"/>
  <c r="F5" i="14"/>
  <c r="F8" i="14" s="1"/>
  <c r="F9" i="14" s="1"/>
  <c r="CP146" i="1"/>
  <c r="CP10" i="14"/>
  <c r="CP50" i="1"/>
  <c r="BZ112" i="20"/>
  <c r="BZ112" i="15"/>
  <c r="CR32" i="11"/>
  <c r="DQ112" i="20"/>
  <c r="K10" i="1"/>
  <c r="K66" i="1" s="1"/>
  <c r="J66" i="1"/>
  <c r="T64" i="2"/>
  <c r="AT5" i="2"/>
  <c r="BX166" i="20"/>
  <c r="BX166" i="15"/>
  <c r="AY28" i="1"/>
  <c r="AN74" i="1"/>
  <c r="AO73" i="1"/>
  <c r="AO74" i="1" s="1"/>
  <c r="AI10" i="14"/>
  <c r="BN173" i="20"/>
  <c r="BN173" i="15"/>
  <c r="AO121" i="1"/>
  <c r="AO120" i="1"/>
  <c r="AO52" i="1"/>
  <c r="AO57" i="1"/>
  <c r="AO31" i="11" s="1"/>
  <c r="CT16" i="20"/>
  <c r="Q51" i="19"/>
  <c r="CT16" i="15"/>
  <c r="AZ10" i="2"/>
  <c r="AZ9" i="2"/>
  <c r="CI50" i="1"/>
  <c r="CI146" i="1"/>
  <c r="AQ335" i="20"/>
  <c r="AQ335" i="15"/>
  <c r="BY146" i="20"/>
  <c r="BY146" i="15"/>
  <c r="AZ69" i="1"/>
  <c r="AZ18" i="1"/>
  <c r="AZ141" i="1"/>
  <c r="H54" i="1"/>
  <c r="DQ144" i="20"/>
  <c r="CW14" i="14"/>
  <c r="CR15" i="14"/>
  <c r="CR51" i="1"/>
  <c r="CS14" i="14"/>
  <c r="CR139" i="1"/>
  <c r="CO38" i="9"/>
  <c r="CO39" i="9" s="1"/>
  <c r="CO37" i="9"/>
  <c r="BS26" i="15"/>
  <c r="BS26" i="20"/>
  <c r="AT81" i="2"/>
  <c r="BP53" i="1"/>
  <c r="D93" i="1"/>
  <c r="D95" i="1"/>
  <c r="BK335" i="15"/>
  <c r="BK335" i="20"/>
  <c r="CH52" i="20"/>
  <c r="E71" i="19"/>
  <c r="Z62" i="19"/>
  <c r="CD31" i="2"/>
  <c r="CD20" i="2"/>
  <c r="BX85" i="1"/>
  <c r="DQ52" i="20"/>
  <c r="AN71" i="19"/>
  <c r="AT14" i="2"/>
  <c r="BS98" i="1"/>
  <c r="BR587" i="20"/>
  <c r="BR587" i="15"/>
  <c r="AK335" i="20"/>
  <c r="AP104" i="1"/>
  <c r="CR112" i="20"/>
  <c r="CR112" i="15"/>
  <c r="BS32" i="11"/>
  <c r="O85" i="19"/>
  <c r="C63" i="1"/>
  <c r="D63" i="1"/>
  <c r="D40" i="2" s="1"/>
  <c r="AU111" i="1"/>
  <c r="AY40" i="9"/>
  <c r="AY41" i="9" s="1"/>
  <c r="AG146" i="20"/>
  <c r="H141" i="1"/>
  <c r="H5" i="1"/>
  <c r="H4" i="1" s="1"/>
  <c r="H48" i="1" s="1"/>
  <c r="H69" i="1"/>
  <c r="H71" i="1" s="1"/>
  <c r="AO6" i="2"/>
  <c r="AO72" i="2" s="1"/>
  <c r="BU162" i="15"/>
  <c r="BU162" i="20"/>
  <c r="AV147" i="1"/>
  <c r="AV79" i="1"/>
  <c r="BV38" i="9"/>
  <c r="BV39" i="9" s="1"/>
  <c r="BV37" i="9"/>
  <c r="DM110" i="20"/>
  <c r="DL109" i="20"/>
  <c r="DM111" i="20"/>
  <c r="CM185" i="1"/>
  <c r="CO81" i="2"/>
  <c r="DN112" i="20" s="1"/>
  <c r="CM29" i="11"/>
  <c r="AZ93" i="1"/>
  <c r="AZ95" i="1"/>
  <c r="U20" i="2"/>
  <c r="CV112" i="20"/>
  <c r="CV112" i="15"/>
  <c r="AU29" i="14"/>
  <c r="AD37" i="19"/>
  <c r="DT173" i="20"/>
  <c r="CU121" i="1"/>
  <c r="CU57" i="1"/>
  <c r="CU52" i="1"/>
  <c r="CU120" i="1"/>
  <c r="CU40" i="1"/>
  <c r="CQ146" i="1"/>
  <c r="CQ10" i="14"/>
  <c r="CQ50" i="1"/>
  <c r="CQ53" i="1" s="1"/>
  <c r="CR143" i="1"/>
  <c r="CB29" i="14"/>
  <c r="DJ3" i="20"/>
  <c r="CK42" i="2"/>
  <c r="AG72" i="19" s="1"/>
  <c r="CK53" i="2"/>
  <c r="AG39" i="19"/>
  <c r="CK18" i="2"/>
  <c r="AG47" i="19" s="1"/>
  <c r="BF4" i="20"/>
  <c r="BF4" i="15"/>
  <c r="BI64" i="2"/>
  <c r="AJ574" i="20"/>
  <c r="K6" i="9"/>
  <c r="AQ104" i="1"/>
  <c r="CW164" i="20"/>
  <c r="BX28" i="1"/>
  <c r="CC10" i="14" s="1"/>
  <c r="CW164" i="15"/>
  <c r="K43" i="9"/>
  <c r="AJ576" i="20"/>
  <c r="K110" i="1"/>
  <c r="R15" i="19"/>
  <c r="BV34" i="9"/>
  <c r="AW68" i="2"/>
  <c r="AX68" i="2" s="1"/>
  <c r="J11" i="9"/>
  <c r="J10" i="9" s="1"/>
  <c r="K10" i="9" s="1"/>
  <c r="CR173" i="20"/>
  <c r="CR173" i="15"/>
  <c r="BS120" i="1"/>
  <c r="BS121" i="1"/>
  <c r="BS57" i="1"/>
  <c r="BS52" i="1"/>
  <c r="AW29" i="9"/>
  <c r="AW18" i="9"/>
  <c r="AW14" i="9"/>
  <c r="AW34" i="9" s="1"/>
  <c r="AW21" i="9"/>
  <c r="AW19" i="2"/>
  <c r="CQ112" i="20"/>
  <c r="CQ112" i="15"/>
  <c r="CN53" i="20"/>
  <c r="CN53" i="15"/>
  <c r="K52" i="19"/>
  <c r="BO60" i="2"/>
  <c r="BO59" i="2" s="1"/>
  <c r="BO22" i="2"/>
  <c r="BR23" i="2"/>
  <c r="BO24" i="2"/>
  <c r="K53" i="19" s="1"/>
  <c r="BT313" i="15"/>
  <c r="AT146" i="20"/>
  <c r="AT146" i="15"/>
  <c r="U69" i="1"/>
  <c r="BA48" i="19"/>
  <c r="AC575" i="20"/>
  <c r="D35" i="9"/>
  <c r="T56" i="2"/>
  <c r="BW29" i="14"/>
  <c r="BB145" i="20"/>
  <c r="BB145" i="15"/>
  <c r="AC6" i="14"/>
  <c r="AC24" i="1"/>
  <c r="AC140" i="1"/>
  <c r="AC60" i="1"/>
  <c r="DG52" i="20"/>
  <c r="DG52" i="15"/>
  <c r="AD71" i="19"/>
  <c r="Y46" i="19"/>
  <c r="CC19" i="2"/>
  <c r="Y48" i="19" s="1"/>
  <c r="AG115" i="1"/>
  <c r="AG117" i="1" s="1"/>
  <c r="AG112" i="1"/>
  <c r="AG116" i="1" s="1"/>
  <c r="AG118" i="1" s="1"/>
  <c r="AN18" i="20"/>
  <c r="O64" i="2"/>
  <c r="R10" i="2"/>
  <c r="R9" i="2"/>
  <c r="DL110" i="20"/>
  <c r="CW8" i="1"/>
  <c r="DA20" i="9" s="1"/>
  <c r="D104" i="1"/>
  <c r="AJ148" i="1"/>
  <c r="AJ103" i="1"/>
  <c r="AJ104" i="1" s="1"/>
  <c r="AJ30" i="20"/>
  <c r="K5" i="14"/>
  <c r="K8" i="14" s="1"/>
  <c r="K9" i="14" s="1"/>
  <c r="K26" i="2"/>
  <c r="AR10" i="2"/>
  <c r="AR9" i="2"/>
  <c r="AA115" i="1"/>
  <c r="AA117" i="1" s="1"/>
  <c r="AA112" i="1"/>
  <c r="AL368" i="20"/>
  <c r="AL310" i="20"/>
  <c r="AE33" i="2"/>
  <c r="AB20" i="2"/>
  <c r="AB31" i="2"/>
  <c r="BH16" i="15"/>
  <c r="BH16" i="20"/>
  <c r="F8" i="2"/>
  <c r="AR19" i="9"/>
  <c r="AR17" i="9" s="1"/>
  <c r="BP145" i="15"/>
  <c r="AQ24" i="1"/>
  <c r="AQ140" i="1"/>
  <c r="AQ60" i="1"/>
  <c r="AQ63" i="1" s="1"/>
  <c r="AQ40" i="2" s="1"/>
  <c r="BP145" i="20"/>
  <c r="BD53" i="20"/>
  <c r="BD53" i="15"/>
  <c r="AE60" i="2"/>
  <c r="AE24" i="2"/>
  <c r="L30" i="14"/>
  <c r="DG162" i="15"/>
  <c r="CS112" i="20"/>
  <c r="CS112" i="15"/>
  <c r="BI7" i="20"/>
  <c r="BI7" i="15"/>
  <c r="M27" i="11"/>
  <c r="M3" i="11"/>
  <c r="M32" i="9"/>
  <c r="M3" i="9"/>
  <c r="M45" i="9"/>
  <c r="M130" i="1"/>
  <c r="M59" i="1"/>
  <c r="M23" i="9"/>
  <c r="M3" i="14"/>
  <c r="M93" i="2"/>
  <c r="M25" i="1"/>
  <c r="M9" i="7"/>
  <c r="M83" i="2"/>
  <c r="M3" i="1"/>
  <c r="M77" i="2"/>
  <c r="M106" i="1"/>
  <c r="M3" i="2"/>
  <c r="M51" i="9"/>
  <c r="M52" i="2"/>
  <c r="AS145" i="20"/>
  <c r="AS145" i="15"/>
  <c r="T140" i="1"/>
  <c r="T60" i="1"/>
  <c r="T63" i="1" s="1"/>
  <c r="T6" i="14"/>
  <c r="U8" i="1"/>
  <c r="T5" i="1"/>
  <c r="T4" i="1" s="1"/>
  <c r="T48" i="1" s="1"/>
  <c r="CG9" i="20"/>
  <c r="CG9" i="15"/>
  <c r="DR578" i="20"/>
  <c r="AO30" i="19"/>
  <c r="BT113" i="1"/>
  <c r="BT114" i="1" s="1"/>
  <c r="DF173" i="20"/>
  <c r="DF173" i="15"/>
  <c r="CG52" i="1"/>
  <c r="CG121" i="1"/>
  <c r="CG57" i="1"/>
  <c r="CG120" i="1"/>
  <c r="CG40" i="1"/>
  <c r="BB29" i="14"/>
  <c r="AV115" i="1"/>
  <c r="AV117" i="1" s="1"/>
  <c r="AV112" i="1"/>
  <c r="AV116" i="1" s="1"/>
  <c r="AV118" i="1" s="1"/>
  <c r="CM144" i="20"/>
  <c r="CM144" i="15"/>
  <c r="BS14" i="14"/>
  <c r="BO14" i="14"/>
  <c r="BN15" i="14"/>
  <c r="BN51" i="1"/>
  <c r="BN139" i="1"/>
  <c r="AB93" i="1"/>
  <c r="AB95" i="1"/>
  <c r="AF8" i="14"/>
  <c r="AF9" i="14" s="1"/>
  <c r="AF143" i="1"/>
  <c r="BM54" i="20"/>
  <c r="BM54" i="15"/>
  <c r="AN85" i="2"/>
  <c r="AN61" i="2"/>
  <c r="AA16" i="20"/>
  <c r="DY591" i="20"/>
  <c r="DB53" i="9"/>
  <c r="EA591" i="20" s="1"/>
  <c r="AQ112" i="20"/>
  <c r="AQ112" i="15"/>
  <c r="DG20" i="15"/>
  <c r="AD75" i="19"/>
  <c r="DG20" i="20"/>
  <c r="CH65" i="2"/>
  <c r="U62" i="2"/>
  <c r="G41" i="19"/>
  <c r="BK11" i="2"/>
  <c r="BK71" i="2"/>
  <c r="BK54" i="2"/>
  <c r="BQ38" i="9"/>
  <c r="BQ39" i="9" s="1"/>
  <c r="BQ37" i="9"/>
  <c r="CD10" i="14"/>
  <c r="CD50" i="1"/>
  <c r="CD146" i="1"/>
  <c r="Z143" i="1"/>
  <c r="BQ145" i="20"/>
  <c r="AS19" i="9"/>
  <c r="AS17" i="9" s="1"/>
  <c r="AS19" i="2" s="1"/>
  <c r="BQ145" i="15"/>
  <c r="AR60" i="1"/>
  <c r="AR140" i="1"/>
  <c r="AR24" i="1"/>
  <c r="DO580" i="20"/>
  <c r="AL42" i="19"/>
  <c r="CQ13" i="2"/>
  <c r="CP61" i="2"/>
  <c r="CP59" i="2" s="1"/>
  <c r="CP12" i="2"/>
  <c r="AM29" i="14"/>
  <c r="AM89" i="1"/>
  <c r="CW112" i="20"/>
  <c r="CW112" i="15"/>
  <c r="T85" i="19"/>
  <c r="BX32" i="11"/>
  <c r="AB18" i="20"/>
  <c r="AP41" i="19"/>
  <c r="CT11" i="2"/>
  <c r="CT71" i="2"/>
  <c r="CT54" i="2"/>
  <c r="AU3" i="15"/>
  <c r="AU3" i="20"/>
  <c r="V18" i="2"/>
  <c r="V53" i="2"/>
  <c r="V55" i="2" s="1"/>
  <c r="V15" i="2"/>
  <c r="V42" i="2"/>
  <c r="AT576" i="20"/>
  <c r="AT576" i="15"/>
  <c r="U110" i="1"/>
  <c r="BY53" i="20"/>
  <c r="BY53" i="15"/>
  <c r="BC23" i="2"/>
  <c r="AZ22" i="2"/>
  <c r="AZ60" i="2"/>
  <c r="AZ59" i="2" s="1"/>
  <c r="AZ24" i="2"/>
  <c r="BF21" i="9"/>
  <c r="BF29" i="9"/>
  <c r="BF18" i="9"/>
  <c r="BF14" i="9"/>
  <c r="BF34" i="9" s="1"/>
  <c r="BD89" i="1"/>
  <c r="AS164" i="20"/>
  <c r="AS164" i="15"/>
  <c r="U29" i="1"/>
  <c r="CN146" i="20"/>
  <c r="BO141" i="1"/>
  <c r="CN146" i="15"/>
  <c r="BO69" i="1"/>
  <c r="U62" i="19"/>
  <c r="BY20" i="2"/>
  <c r="BO38" i="9"/>
  <c r="BO37" i="9"/>
  <c r="BO43" i="9"/>
  <c r="BX8" i="1"/>
  <c r="AS69" i="19"/>
  <c r="DV18" i="20"/>
  <c r="CW64" i="2"/>
  <c r="BC26" i="2"/>
  <c r="DA7" i="20"/>
  <c r="X61" i="19"/>
  <c r="DA7" i="15"/>
  <c r="U33" i="19"/>
  <c r="BY10" i="2"/>
  <c r="BY9" i="2"/>
  <c r="U38" i="19" s="1"/>
  <c r="BU313" i="15"/>
  <c r="P14" i="2"/>
  <c r="P72" i="2" s="1"/>
  <c r="N63" i="1"/>
  <c r="N40" i="2" s="1"/>
  <c r="CL9" i="20"/>
  <c r="I64" i="19"/>
  <c r="CL9" i="15"/>
  <c r="AY20" i="15"/>
  <c r="AY20" i="20"/>
  <c r="Z65" i="2"/>
  <c r="AJ76" i="1"/>
  <c r="K60" i="19"/>
  <c r="BN18" i="20"/>
  <c r="BN18" i="15"/>
  <c r="AO64" i="2"/>
  <c r="BA38" i="19"/>
  <c r="CM338" i="15"/>
  <c r="AY146" i="20"/>
  <c r="AY146" i="15"/>
  <c r="Z69" i="1"/>
  <c r="U60" i="19"/>
  <c r="DO578" i="20"/>
  <c r="AL30" i="19"/>
  <c r="DD327" i="20"/>
  <c r="DD367" i="20"/>
  <c r="DD367" i="15"/>
  <c r="DD327" i="15"/>
  <c r="AK95" i="1"/>
  <c r="AK93" i="1"/>
  <c r="AQ4" i="20"/>
  <c r="AQ4" i="15"/>
  <c r="DH111" i="20"/>
  <c r="DG109" i="20"/>
  <c r="DH110" i="20"/>
  <c r="DG109" i="15"/>
  <c r="CH185" i="1"/>
  <c r="CJ81" i="2"/>
  <c r="DI112" i="20" s="1"/>
  <c r="CH29" i="11"/>
  <c r="I29" i="14"/>
  <c r="I89" i="1"/>
  <c r="BI144" i="20"/>
  <c r="AJ139" i="1"/>
  <c r="AJ15" i="14"/>
  <c r="AJ51" i="1"/>
  <c r="AK14" i="14"/>
  <c r="BI144" i="15"/>
  <c r="AO14" i="14"/>
  <c r="BQ30" i="20"/>
  <c r="BQ30" i="15"/>
  <c r="AR92" i="1"/>
  <c r="AR5" i="14"/>
  <c r="AR8" i="14" s="1"/>
  <c r="AR9" i="14" s="1"/>
  <c r="AS68" i="2"/>
  <c r="DQ173" i="20"/>
  <c r="CR120" i="1"/>
  <c r="CR57" i="1"/>
  <c r="CR52" i="1"/>
  <c r="CR121" i="1"/>
  <c r="G115" i="1"/>
  <c r="G117" i="1" s="1"/>
  <c r="G112" i="1"/>
  <c r="CB581" i="20"/>
  <c r="CB410" i="20"/>
  <c r="CB410" i="15"/>
  <c r="DG110" i="20"/>
  <c r="BK93" i="1"/>
  <c r="BK95" i="1"/>
  <c r="AI18" i="19"/>
  <c r="CM18" i="9"/>
  <c r="AI19" i="19" s="1"/>
  <c r="CM29" i="9"/>
  <c r="AI46" i="19"/>
  <c r="CM19" i="2"/>
  <c r="AI48" i="19" s="1"/>
  <c r="N71" i="1"/>
  <c r="N80" i="1"/>
  <c r="N81" i="1" s="1"/>
  <c r="BT7" i="20"/>
  <c r="AU31" i="2"/>
  <c r="BT7" i="15"/>
  <c r="CM36" i="9"/>
  <c r="CM37" i="9" s="1"/>
  <c r="CI37" i="9"/>
  <c r="CI38" i="9"/>
  <c r="AR368" i="20"/>
  <c r="AR310" i="20"/>
  <c r="AR368" i="15"/>
  <c r="AR310" i="15"/>
  <c r="AF112" i="1"/>
  <c r="AF115" i="1"/>
  <c r="AF117" i="1" s="1"/>
  <c r="CT112" i="20"/>
  <c r="CT112" i="15"/>
  <c r="DV112" i="20"/>
  <c r="CW32" i="11"/>
  <c r="G80" i="1"/>
  <c r="G81" i="1" s="1"/>
  <c r="BB10" i="2"/>
  <c r="BB9" i="2"/>
  <c r="BM146" i="20"/>
  <c r="BM146" i="15"/>
  <c r="AN141" i="1"/>
  <c r="AN69" i="1"/>
  <c r="AO11" i="1"/>
  <c r="AN18" i="1"/>
  <c r="CU112" i="20"/>
  <c r="CU112" i="15"/>
  <c r="DL144" i="20"/>
  <c r="CN14" i="14"/>
  <c r="CM15" i="14"/>
  <c r="CM139" i="1"/>
  <c r="CN24" i="2"/>
  <c r="AJ53" i="19" s="1"/>
  <c r="CR14" i="14"/>
  <c r="CM51" i="1"/>
  <c r="E52" i="19"/>
  <c r="BI24" i="2"/>
  <c r="E53" i="19" s="1"/>
  <c r="CK580" i="20"/>
  <c r="H42" i="19"/>
  <c r="BL61" i="2"/>
  <c r="BL59" i="2" s="1"/>
  <c r="CK580" i="15"/>
  <c r="BL12" i="2"/>
  <c r="CW144" i="20"/>
  <c r="CC14" i="14"/>
  <c r="CW144" i="15"/>
  <c r="BX15" i="14"/>
  <c r="BX139" i="1"/>
  <c r="BY14" i="14"/>
  <c r="BY24" i="2"/>
  <c r="U53" i="19" s="1"/>
  <c r="BX51" i="1"/>
  <c r="DL9" i="20"/>
  <c r="AI64" i="19"/>
  <c r="CM94" i="2"/>
  <c r="CT53" i="1"/>
  <c r="CU26" i="2"/>
  <c r="AQ55" i="19" s="1"/>
  <c r="AM10" i="14"/>
  <c r="AM50" i="1"/>
  <c r="AM53" i="1" s="1"/>
  <c r="AM146" i="1"/>
  <c r="DG18" i="20"/>
  <c r="DG18" i="15"/>
  <c r="AD69" i="19"/>
  <c r="CH64" i="2"/>
  <c r="AN18" i="9"/>
  <c r="AN17" i="9" s="1"/>
  <c r="AM17" i="9"/>
  <c r="BK10" i="14"/>
  <c r="BK146" i="1"/>
  <c r="BK50" i="1"/>
  <c r="CA335" i="20"/>
  <c r="CA335" i="15"/>
  <c r="M41" i="19"/>
  <c r="BQ71" i="2"/>
  <c r="BQ11" i="2"/>
  <c r="BQ54" i="2"/>
  <c r="CH103" i="1"/>
  <c r="CH104" i="1" s="1"/>
  <c r="CH148" i="1"/>
  <c r="CL146" i="20"/>
  <c r="CL146" i="15"/>
  <c r="BM69" i="1"/>
  <c r="BN11" i="1"/>
  <c r="BM18" i="1"/>
  <c r="BM5" i="1" s="1"/>
  <c r="BM4" i="1" s="1"/>
  <c r="BM141" i="1"/>
  <c r="F25" i="2"/>
  <c r="AZ29" i="14"/>
  <c r="U72" i="2"/>
  <c r="U54" i="2"/>
  <c r="DV52" i="20"/>
  <c r="AS71" i="19"/>
  <c r="Z42" i="9"/>
  <c r="BG577" i="15"/>
  <c r="BG577" i="20"/>
  <c r="AG24" i="9"/>
  <c r="AI18" i="9"/>
  <c r="AH64" i="9"/>
  <c r="AI28" i="9"/>
  <c r="AH76" i="1"/>
  <c r="D35" i="19"/>
  <c r="BD72" i="2"/>
  <c r="D80" i="19" s="1"/>
  <c r="DA146" i="20"/>
  <c r="DA146" i="15"/>
  <c r="CB141" i="1"/>
  <c r="CC11" i="1"/>
  <c r="CB69" i="1"/>
  <c r="CS4" i="20"/>
  <c r="CS4" i="15"/>
  <c r="P40" i="19"/>
  <c r="AL575" i="20"/>
  <c r="M35" i="9"/>
  <c r="BD576" i="20"/>
  <c r="BD576" i="15"/>
  <c r="AE110" i="1"/>
  <c r="CQ9" i="20"/>
  <c r="N64" i="19"/>
  <c r="CQ9" i="15"/>
  <c r="BS144" i="15"/>
  <c r="BS144" i="20"/>
  <c r="AU14" i="14"/>
  <c r="AY14" i="14"/>
  <c r="AT51" i="1"/>
  <c r="AT139" i="1"/>
  <c r="AT15" i="14"/>
  <c r="AN53" i="20"/>
  <c r="O24" i="2"/>
  <c r="O22" i="2"/>
  <c r="AN16" i="20" s="1"/>
  <c r="O60" i="2"/>
  <c r="AJ36" i="9"/>
  <c r="AF37" i="9"/>
  <c r="AF56" i="9" s="1"/>
  <c r="V116" i="1"/>
  <c r="BT112" i="20"/>
  <c r="BT112" i="15"/>
  <c r="CV145" i="20"/>
  <c r="CV145" i="15"/>
  <c r="CA20" i="9"/>
  <c r="W21" i="19" s="1"/>
  <c r="BW60" i="1"/>
  <c r="BW140" i="1"/>
  <c r="BB38" i="9"/>
  <c r="BB39" i="9" s="1"/>
  <c r="BB37" i="9"/>
  <c r="BB43" i="9"/>
  <c r="BW147" i="15"/>
  <c r="AI313" i="20"/>
  <c r="J10" i="2"/>
  <c r="J122" i="1"/>
  <c r="DQ164" i="20"/>
  <c r="CR28" i="1"/>
  <c r="CC75" i="1"/>
  <c r="CB76" i="1"/>
  <c r="BO10" i="2"/>
  <c r="K33" i="19"/>
  <c r="BO9" i="2"/>
  <c r="K38" i="19" s="1"/>
  <c r="BX23" i="2"/>
  <c r="DV20" i="20"/>
  <c r="AS75" i="19"/>
  <c r="CW65" i="2"/>
  <c r="AH581" i="20"/>
  <c r="AH410" i="20"/>
  <c r="I54" i="1"/>
  <c r="I55" i="1"/>
  <c r="BE53" i="20"/>
  <c r="BE53" i="15"/>
  <c r="AF60" i="2"/>
  <c r="AF59" i="2" s="1"/>
  <c r="AF24" i="2"/>
  <c r="AF22" i="2"/>
  <c r="AF16" i="2" s="1"/>
  <c r="AJ23" i="2"/>
  <c r="CR5" i="2"/>
  <c r="AN34" i="19" s="1"/>
  <c r="AM4" i="20"/>
  <c r="AS29" i="19"/>
  <c r="CW30" i="9"/>
  <c r="CA89" i="1"/>
  <c r="O17" i="2"/>
  <c r="P17" i="2" s="1"/>
  <c r="N19" i="2"/>
  <c r="C36" i="9"/>
  <c r="F5" i="2"/>
  <c r="C111" i="1"/>
  <c r="C4" i="2"/>
  <c r="DV9" i="20"/>
  <c r="CW94" i="2"/>
  <c r="AS64" i="19"/>
  <c r="P10" i="9"/>
  <c r="BI147" i="20"/>
  <c r="BI147" i="15"/>
  <c r="AJ100" i="1"/>
  <c r="AJ101" i="1" s="1"/>
  <c r="AO68" i="2"/>
  <c r="BN66" i="1"/>
  <c r="BN8" i="1"/>
  <c r="P23" i="2"/>
  <c r="S34" i="19"/>
  <c r="BX5" i="2"/>
  <c r="T34" i="19" s="1"/>
  <c r="BW36" i="9"/>
  <c r="BW4" i="2"/>
  <c r="CU16" i="20"/>
  <c r="CU16" i="15"/>
  <c r="R51" i="19"/>
  <c r="CR164" i="20"/>
  <c r="CR164" i="15"/>
  <c r="BS28" i="1"/>
  <c r="DU145" i="20"/>
  <c r="CV140" i="1"/>
  <c r="CV60" i="1"/>
  <c r="CV18" i="1"/>
  <c r="B95" i="1"/>
  <c r="F95" i="1" s="1"/>
  <c r="B93" i="1"/>
  <c r="H80" i="1"/>
  <c r="H81" i="1" s="1"/>
  <c r="J63" i="1"/>
  <c r="J40" i="2" s="1"/>
  <c r="AP10" i="2"/>
  <c r="AP9" i="2"/>
  <c r="CR578" i="20"/>
  <c r="CR578" i="15"/>
  <c r="O30" i="19"/>
  <c r="BW147" i="20"/>
  <c r="AX122" i="1"/>
  <c r="W53" i="1"/>
  <c r="CO146" i="20"/>
  <c r="BP141" i="1"/>
  <c r="CO146" i="15"/>
  <c r="BP69" i="1"/>
  <c r="AB115" i="1"/>
  <c r="AB117" i="1" s="1"/>
  <c r="AB112" i="1"/>
  <c r="AB116" i="1" s="1"/>
  <c r="AB118" i="1" s="1"/>
  <c r="BI148" i="1"/>
  <c r="BI103" i="1"/>
  <c r="BI104" i="1" s="1"/>
  <c r="BL10" i="14"/>
  <c r="BL50" i="1"/>
  <c r="BJ24" i="1"/>
  <c r="BL146" i="1"/>
  <c r="BO146" i="20"/>
  <c r="AP141" i="1"/>
  <c r="AP69" i="1"/>
  <c r="AP18" i="1"/>
  <c r="BO146" i="15"/>
  <c r="BZ173" i="20"/>
  <c r="BZ173" i="15"/>
  <c r="BA121" i="1"/>
  <c r="BA120" i="1"/>
  <c r="BA52" i="1"/>
  <c r="BA57" i="1"/>
  <c r="BA40" i="1"/>
  <c r="CA112" i="1"/>
  <c r="BZ38" i="9"/>
  <c r="BZ39" i="9" s="1"/>
  <c r="BZ37" i="9"/>
  <c r="BZ43" i="9"/>
  <c r="X34" i="19"/>
  <c r="CB36" i="9"/>
  <c r="CC36" i="9" s="1"/>
  <c r="CC37" i="9" s="1"/>
  <c r="CB4" i="2"/>
  <c r="CC4" i="2" s="1"/>
  <c r="BM578" i="20"/>
  <c r="BM578" i="15"/>
  <c r="CM18" i="20"/>
  <c r="J69" i="19"/>
  <c r="CM18" i="15"/>
  <c r="BN64" i="2"/>
  <c r="CW62" i="2"/>
  <c r="AY54" i="20"/>
  <c r="AY54" i="15"/>
  <c r="Z61" i="2"/>
  <c r="CL173" i="20"/>
  <c r="CL173" i="15"/>
  <c r="BM121" i="1"/>
  <c r="BM52" i="1"/>
  <c r="BM57" i="1"/>
  <c r="BM40" i="1"/>
  <c r="BM27" i="1" s="1"/>
  <c r="BM26" i="1" s="1"/>
  <c r="BM120" i="1"/>
  <c r="CI15" i="2"/>
  <c r="DL589" i="20"/>
  <c r="AI14" i="19"/>
  <c r="BM34" i="9"/>
  <c r="I15" i="19"/>
  <c r="CB589" i="20"/>
  <c r="CB589" i="15"/>
  <c r="DJ578" i="20"/>
  <c r="AG30" i="19"/>
  <c r="C10" i="19"/>
  <c r="AY13" i="9"/>
  <c r="AY30" i="9"/>
  <c r="AY84" i="1"/>
  <c r="G149" i="1"/>
  <c r="G145" i="1" s="1"/>
  <c r="G27" i="1"/>
  <c r="G26" i="1" s="1"/>
  <c r="DQ578" i="20"/>
  <c r="AN30" i="19"/>
  <c r="CN113" i="1"/>
  <c r="CN114" i="1" s="1"/>
  <c r="CP578" i="20"/>
  <c r="CP578" i="15"/>
  <c r="M30" i="19"/>
  <c r="BI30" i="9"/>
  <c r="CD111" i="1"/>
  <c r="AJ163" i="20"/>
  <c r="DP7" i="20"/>
  <c r="AM61" i="19"/>
  <c r="CR32" i="2"/>
  <c r="DJ16" i="20"/>
  <c r="AG51" i="19"/>
  <c r="CD38" i="9"/>
  <c r="CD37" i="9"/>
  <c r="CD43" i="9"/>
  <c r="DD578" i="20"/>
  <c r="DD578" i="15"/>
  <c r="AA30" i="19"/>
  <c r="CE173" i="15"/>
  <c r="BF40" i="1"/>
  <c r="BF27" i="1" s="1"/>
  <c r="BF26" i="1" s="1"/>
  <c r="BF121" i="1"/>
  <c r="BF120" i="1"/>
  <c r="CE173" i="20"/>
  <c r="BF52" i="1"/>
  <c r="BF57" i="1"/>
  <c r="BB49" i="1" s="1"/>
  <c r="BN148" i="1"/>
  <c r="BN103" i="1"/>
  <c r="BN104" i="1" s="1"/>
  <c r="BP18" i="1"/>
  <c r="CM100" i="1"/>
  <c r="CM101" i="1" s="1"/>
  <c r="CD112" i="20"/>
  <c r="CD112" i="15"/>
  <c r="CQ7" i="20"/>
  <c r="CQ7" i="15"/>
  <c r="N61" i="19"/>
  <c r="BS32" i="2"/>
  <c r="CD313" i="15"/>
  <c r="CB578" i="20"/>
  <c r="CB578" i="15"/>
  <c r="DC173" i="20"/>
  <c r="DC173" i="15"/>
  <c r="CD40" i="1"/>
  <c r="CD57" i="1"/>
  <c r="CD121" i="1"/>
  <c r="CD52" i="1"/>
  <c r="CD120" i="1"/>
  <c r="AB53" i="1"/>
  <c r="AC86" i="2"/>
  <c r="AC87" i="2" s="1"/>
  <c r="AC26" i="2"/>
  <c r="BQ146" i="20"/>
  <c r="BQ146" i="15"/>
  <c r="AR141" i="1"/>
  <c r="AR69" i="1"/>
  <c r="AN310" i="20"/>
  <c r="AN368" i="20"/>
  <c r="CO112" i="15"/>
  <c r="CO112" i="20"/>
  <c r="BU29" i="14"/>
  <c r="CQ173" i="20"/>
  <c r="CQ173" i="15"/>
  <c r="BR40" i="1"/>
  <c r="BR120" i="1"/>
  <c r="BR57" i="1"/>
  <c r="BR121" i="1"/>
  <c r="BR52" i="1"/>
  <c r="AQ37" i="19"/>
  <c r="CU7" i="2"/>
  <c r="CI16" i="20"/>
  <c r="F51" i="19"/>
  <c r="CI16" i="15"/>
  <c r="AS6" i="15"/>
  <c r="CK43" i="9"/>
  <c r="CK37" i="9"/>
  <c r="CK38" i="9"/>
  <c r="CK39" i="9" s="1"/>
  <c r="AF43" i="9"/>
  <c r="AY8" i="9"/>
  <c r="C5" i="19"/>
  <c r="AT47" i="9"/>
  <c r="AY6" i="9"/>
  <c r="C7" i="19" s="1"/>
  <c r="K27" i="1"/>
  <c r="K26" i="1" s="1"/>
  <c r="CW143" i="1"/>
  <c r="BX100" i="1"/>
  <c r="BX101" i="1" s="1"/>
  <c r="BW146" i="15"/>
  <c r="AX141" i="1"/>
  <c r="BW146" i="20"/>
  <c r="AY11" i="1"/>
  <c r="AX5" i="1"/>
  <c r="AX4" i="1" s="1"/>
  <c r="AX69" i="1"/>
  <c r="AX72" i="1" s="1"/>
  <c r="AO18" i="20"/>
  <c r="AO18" i="15"/>
  <c r="P64" i="2"/>
  <c r="CB88" i="2"/>
  <c r="CB86" i="2"/>
  <c r="CB87" i="2" s="1"/>
  <c r="AY17" i="2"/>
  <c r="AG43" i="9"/>
  <c r="AG37" i="9"/>
  <c r="AG56" i="9" s="1"/>
  <c r="AN18" i="19"/>
  <c r="CR29" i="9"/>
  <c r="CR18" i="9"/>
  <c r="AN19" i="19" s="1"/>
  <c r="CR19" i="2"/>
  <c r="AN48" i="19" s="1"/>
  <c r="CM40" i="9"/>
  <c r="CM41" i="9" s="1"/>
  <c r="CI111" i="1"/>
  <c r="BV43" i="9"/>
  <c r="BV29" i="14"/>
  <c r="BU589" i="20"/>
  <c r="BU589" i="15"/>
  <c r="CC143" i="1"/>
  <c r="BD88" i="2"/>
  <c r="BD86" i="2"/>
  <c r="BD87" i="2" s="1"/>
  <c r="AR38" i="9"/>
  <c r="AR39" i="9" s="1"/>
  <c r="AR37" i="9"/>
  <c r="AR43" i="9"/>
  <c r="AC54" i="2"/>
  <c r="AC113" i="1"/>
  <c r="AC71" i="2"/>
  <c r="AC11" i="2"/>
  <c r="AY42" i="9"/>
  <c r="S3" i="7"/>
  <c r="X5" i="7"/>
  <c r="J71" i="19"/>
  <c r="CM52" i="15"/>
  <c r="CM52" i="20"/>
  <c r="AP3" i="20"/>
  <c r="AP3" i="15"/>
  <c r="Q42" i="2"/>
  <c r="Q15" i="2"/>
  <c r="Q53" i="2"/>
  <c r="Q55" i="2" s="1"/>
  <c r="Q18" i="2"/>
  <c r="DQ587" i="20"/>
  <c r="AN9" i="19"/>
  <c r="BR173" i="20"/>
  <c r="AS52" i="1"/>
  <c r="BR173" i="15"/>
  <c r="AS40" i="1"/>
  <c r="AS120" i="1"/>
  <c r="AS57" i="1"/>
  <c r="AS121" i="1"/>
  <c r="DG162" i="20"/>
  <c r="AY580" i="20"/>
  <c r="AY580" i="15"/>
  <c r="CX111" i="20"/>
  <c r="CX111" i="15"/>
  <c r="CX110" i="20"/>
  <c r="CW109" i="20"/>
  <c r="CX110" i="15"/>
  <c r="CW109" i="15"/>
  <c r="CH9" i="20"/>
  <c r="E64" i="19"/>
  <c r="CT173" i="20"/>
  <c r="CT173" i="15"/>
  <c r="BU121" i="1"/>
  <c r="BU40" i="1"/>
  <c r="BU57" i="1"/>
  <c r="BU52" i="1"/>
  <c r="BU120" i="1"/>
  <c r="CA146" i="20"/>
  <c r="CA146" i="15"/>
  <c r="BB69" i="1"/>
  <c r="BB18" i="1"/>
  <c r="BB141" i="1"/>
  <c r="BQ580" i="20"/>
  <c r="BQ580" i="15"/>
  <c r="AR12" i="2"/>
  <c r="AS12" i="2" s="1"/>
  <c r="AR61" i="2"/>
  <c r="AR59" i="2" s="1"/>
  <c r="BZ29" i="14"/>
  <c r="C37" i="19"/>
  <c r="CC85" i="2"/>
  <c r="BR29" i="14"/>
  <c r="BN54" i="20"/>
  <c r="BN54" i="15"/>
  <c r="BP146" i="20"/>
  <c r="AQ141" i="1"/>
  <c r="BP146" i="15"/>
  <c r="AQ69" i="1"/>
  <c r="CR23" i="2"/>
  <c r="BU4" i="20"/>
  <c r="BU4" i="15"/>
  <c r="BN28" i="1"/>
  <c r="AR164" i="20"/>
  <c r="AR164" i="15"/>
  <c r="CL63" i="1"/>
  <c r="AP54" i="2"/>
  <c r="AP71" i="2"/>
  <c r="AP11" i="2"/>
  <c r="AP113" i="1"/>
  <c r="AP114" i="1" s="1"/>
  <c r="DN147" i="20"/>
  <c r="DU7" i="20"/>
  <c r="AR61" i="19"/>
  <c r="AL39" i="19"/>
  <c r="DO3" i="20"/>
  <c r="CP18" i="2"/>
  <c r="AL47" i="19" s="1"/>
  <c r="CP42" i="2"/>
  <c r="AL72" i="19" s="1"/>
  <c r="CP53" i="2"/>
  <c r="CM42" i="9"/>
  <c r="BR589" i="20"/>
  <c r="BR589" i="15"/>
  <c r="BO29" i="14"/>
  <c r="P89" i="1"/>
  <c r="P29" i="14"/>
  <c r="BL37" i="9"/>
  <c r="BL43" i="9"/>
  <c r="BL38" i="9"/>
  <c r="BL39" i="9" s="1"/>
  <c r="BM173" i="20"/>
  <c r="BM173" i="15"/>
  <c r="AN121" i="1"/>
  <c r="AN120" i="1"/>
  <c r="AN57" i="1"/>
  <c r="AN52" i="1"/>
  <c r="CA43" i="9"/>
  <c r="CA38" i="9"/>
  <c r="CA39" i="9" s="1"/>
  <c r="CA37" i="9"/>
  <c r="BQ89" i="1"/>
  <c r="BY38" i="9"/>
  <c r="BY43" i="9"/>
  <c r="BY37" i="9"/>
  <c r="BN35" i="2"/>
  <c r="AM7" i="2"/>
  <c r="AR54" i="1"/>
  <c r="AT111" i="15"/>
  <c r="CH94" i="2"/>
  <c r="BJ16" i="20"/>
  <c r="BJ16" i="15"/>
  <c r="O111" i="1"/>
  <c r="O36" i="9"/>
  <c r="O4" i="2"/>
  <c r="T3" i="7"/>
  <c r="Y5" i="7"/>
  <c r="U5" i="7"/>
  <c r="U3" i="7" s="1"/>
  <c r="BJ145" i="20"/>
  <c r="AK140" i="1"/>
  <c r="AK60" i="1"/>
  <c r="BJ145" i="15"/>
  <c r="AL19" i="9"/>
  <c r="AK24" i="1"/>
  <c r="AK18" i="1"/>
  <c r="AK5" i="1" s="1"/>
  <c r="AK4" i="1" s="1"/>
  <c r="CR64" i="2"/>
  <c r="BI589" i="20"/>
  <c r="BI589" i="15"/>
  <c r="R72" i="1"/>
  <c r="AC15" i="19"/>
  <c r="CG34" i="9"/>
  <c r="BX167" i="20"/>
  <c r="BX167" i="15"/>
  <c r="AX49" i="2"/>
  <c r="DX166" i="20"/>
  <c r="AE146" i="20"/>
  <c r="F69" i="1"/>
  <c r="F72" i="1" s="1"/>
  <c r="F141" i="1"/>
  <c r="F5" i="1"/>
  <c r="F4" i="1" s="1"/>
  <c r="CH576" i="20"/>
  <c r="BI110" i="1"/>
  <c r="CO43" i="9"/>
  <c r="AT29" i="19"/>
  <c r="BT578" i="20"/>
  <c r="BT578" i="15"/>
  <c r="CN89" i="1"/>
  <c r="BB112" i="20"/>
  <c r="BB112" i="15"/>
  <c r="CX16" i="20"/>
  <c r="U51" i="19"/>
  <c r="CX16" i="15"/>
  <c r="L41" i="19"/>
  <c r="BP54" i="2"/>
  <c r="BP71" i="2"/>
  <c r="BR12" i="2"/>
  <c r="BS12" i="2" s="1"/>
  <c r="BP11" i="2"/>
  <c r="BN89" i="1"/>
  <c r="BU335" i="20"/>
  <c r="BU335" i="15"/>
  <c r="K93" i="1"/>
  <c r="BQ112" i="20"/>
  <c r="BQ112" i="15"/>
  <c r="AD43" i="19"/>
  <c r="CH72" i="2"/>
  <c r="AD80" i="19" s="1"/>
  <c r="M71" i="1"/>
  <c r="M80" i="1"/>
  <c r="M81" i="1" s="1"/>
  <c r="BA335" i="20"/>
  <c r="BA335" i="15"/>
  <c r="BA89" i="1"/>
  <c r="CN8" i="14"/>
  <c r="CN9" i="14" s="1"/>
  <c r="AT75" i="1"/>
  <c r="AT76" i="1" s="1"/>
  <c r="AS76" i="1"/>
  <c r="AU30" i="20"/>
  <c r="AU30" i="15"/>
  <c r="V5" i="14"/>
  <c r="V8" i="14" s="1"/>
  <c r="V9" i="14" s="1"/>
  <c r="V92" i="1"/>
  <c r="CN313" i="15"/>
  <c r="BO53" i="1"/>
  <c r="BP86" i="2"/>
  <c r="BP87" i="2" s="1"/>
  <c r="BP26" i="2"/>
  <c r="L55" i="19" s="1"/>
  <c r="AU8" i="14"/>
  <c r="AU9" i="14" s="1"/>
  <c r="DV146" i="20"/>
  <c r="CW69" i="1"/>
  <c r="CW141" i="1"/>
  <c r="BJ24" i="2"/>
  <c r="F53" i="19" s="1"/>
  <c r="AS6" i="20"/>
  <c r="BX42" i="9"/>
  <c r="BX588" i="20"/>
  <c r="BX588" i="15"/>
  <c r="C13" i="19"/>
  <c r="AA7" i="20"/>
  <c r="C32" i="2"/>
  <c r="F32" i="2" s="1"/>
  <c r="AE7" i="20" s="1"/>
  <c r="B56" i="2"/>
  <c r="B31" i="2"/>
  <c r="T36" i="9"/>
  <c r="T4" i="2"/>
  <c r="U5" i="2"/>
  <c r="U71" i="2" s="1"/>
  <c r="T111" i="1"/>
  <c r="T71" i="2"/>
  <c r="AV146" i="20"/>
  <c r="AV146" i="15"/>
  <c r="W5" i="1"/>
  <c r="W4" i="1" s="1"/>
  <c r="W48" i="1" s="1"/>
  <c r="W69" i="1"/>
  <c r="W72" i="1" s="1"/>
  <c r="R33" i="9"/>
  <c r="S35" i="9"/>
  <c r="S37" i="9" s="1"/>
  <c r="S56" i="9" s="1"/>
  <c r="Q107" i="1"/>
  <c r="R109" i="1"/>
  <c r="S111" i="1"/>
  <c r="AM581" i="20"/>
  <c r="BX338" i="15"/>
  <c r="AG10" i="14"/>
  <c r="AG146" i="1"/>
  <c r="AG145" i="1" s="1"/>
  <c r="AG27" i="1"/>
  <c r="AG26" i="1" s="1"/>
  <c r="AG48" i="1" s="1"/>
  <c r="AG50" i="1"/>
  <c r="AA367" i="20"/>
  <c r="AA327" i="20"/>
  <c r="BJ4" i="20"/>
  <c r="BJ4" i="15"/>
  <c r="AO576" i="20"/>
  <c r="P110" i="1"/>
  <c r="AO576" i="15"/>
  <c r="CG173" i="20"/>
  <c r="CG173" i="15"/>
  <c r="BH120" i="1"/>
  <c r="BH121" i="1"/>
  <c r="BH40" i="1"/>
  <c r="BH52" i="1"/>
  <c r="BH57" i="1"/>
  <c r="CI8" i="14"/>
  <c r="CI9" i="14" s="1"/>
  <c r="DS30" i="20"/>
  <c r="CT5" i="14"/>
  <c r="CT8" i="14" s="1"/>
  <c r="CT9" i="14" s="1"/>
  <c r="CT33" i="2"/>
  <c r="CT92" i="1"/>
  <c r="CU68" i="2"/>
  <c r="CV68" i="2" s="1"/>
  <c r="CO59" i="2"/>
  <c r="CH54" i="20"/>
  <c r="E54" i="19"/>
  <c r="CM591" i="20"/>
  <c r="CM591" i="15"/>
  <c r="BK89" i="1"/>
  <c r="AN10" i="14"/>
  <c r="AN50" i="1"/>
  <c r="AN146" i="1"/>
  <c r="AR112" i="20"/>
  <c r="AR112" i="15"/>
  <c r="AB52" i="20"/>
  <c r="BA4" i="20"/>
  <c r="BA4" i="15"/>
  <c r="E37" i="19"/>
  <c r="AQ10" i="2"/>
  <c r="AQ9" i="2"/>
  <c r="BY111" i="20"/>
  <c r="BY110" i="20"/>
  <c r="BX109" i="20"/>
  <c r="BY111" i="15"/>
  <c r="BX109" i="15"/>
  <c r="BY110" i="15"/>
  <c r="AY29" i="11"/>
  <c r="B42" i="2"/>
  <c r="AZ4" i="20"/>
  <c r="AZ4" i="15"/>
  <c r="BQ578" i="20"/>
  <c r="BQ578" i="15"/>
  <c r="BB146" i="20"/>
  <c r="BB146" i="15"/>
  <c r="AC141" i="1"/>
  <c r="AC69" i="1"/>
  <c r="AC5" i="1"/>
  <c r="AC4" i="1" s="1"/>
  <c r="AC48" i="1" s="1"/>
  <c r="BY313" i="20"/>
  <c r="AO146" i="20"/>
  <c r="P141" i="1"/>
  <c r="P5" i="1"/>
  <c r="P4" i="1" s="1"/>
  <c r="P69" i="1"/>
  <c r="AO146" i="15"/>
  <c r="AM36" i="9"/>
  <c r="AM111" i="1"/>
  <c r="AM4" i="2"/>
  <c r="AM9" i="2" s="1"/>
  <c r="CE313" i="20"/>
  <c r="CE313" i="15"/>
  <c r="BG43" i="2"/>
  <c r="BF56" i="2"/>
  <c r="CK30" i="15"/>
  <c r="CK30" i="20"/>
  <c r="BL5" i="14"/>
  <c r="BL8" i="14" s="1"/>
  <c r="BL9" i="14" s="1"/>
  <c r="BL92" i="1"/>
  <c r="AD43" i="9"/>
  <c r="L112" i="1"/>
  <c r="L115" i="1"/>
  <c r="L117" i="1" s="1"/>
  <c r="AQ29" i="14"/>
  <c r="AQ89" i="1"/>
  <c r="BR52" i="20"/>
  <c r="BR52" i="15"/>
  <c r="AA4" i="20"/>
  <c r="AO5" i="2"/>
  <c r="DH6" i="20"/>
  <c r="CI56" i="2"/>
  <c r="CI21" i="2"/>
  <c r="AE50" i="19" s="1"/>
  <c r="CI16" i="2"/>
  <c r="AE49" i="19"/>
  <c r="BJ146" i="1"/>
  <c r="BJ50" i="1"/>
  <c r="CM7" i="20"/>
  <c r="CM7" i="15"/>
  <c r="J61" i="19"/>
  <c r="AF5" i="1"/>
  <c r="AF4" i="1" s="1"/>
  <c r="AF48" i="1" s="1"/>
  <c r="T46" i="19"/>
  <c r="BX19" i="2"/>
  <c r="T48" i="19" s="1"/>
  <c r="BI576" i="20"/>
  <c r="BI576" i="15"/>
  <c r="AJ110" i="1"/>
  <c r="BL53" i="20"/>
  <c r="BL53" i="15"/>
  <c r="AM24" i="2"/>
  <c r="AM22" i="2"/>
  <c r="AM60" i="2"/>
  <c r="BL112" i="1"/>
  <c r="AS335" i="20"/>
  <c r="AS335" i="15"/>
  <c r="BD75" i="1"/>
  <c r="BD76" i="1" s="1"/>
  <c r="BC76" i="1"/>
  <c r="CJ18" i="1"/>
  <c r="BN144" i="20"/>
  <c r="AT14" i="14"/>
  <c r="AO15" i="14"/>
  <c r="AO139" i="1"/>
  <c r="BN144" i="15"/>
  <c r="AP14" i="14"/>
  <c r="AO51" i="1"/>
  <c r="AP24" i="2"/>
  <c r="CY30" i="15"/>
  <c r="CY30" i="20"/>
  <c r="BZ92" i="1"/>
  <c r="BZ33" i="2"/>
  <c r="CA68" i="2"/>
  <c r="BZ5" i="14"/>
  <c r="BZ8" i="14" s="1"/>
  <c r="BZ9" i="14" s="1"/>
  <c r="DO16" i="20"/>
  <c r="AL51" i="19"/>
  <c r="CR338" i="20"/>
  <c r="BC88" i="2"/>
  <c r="BC86" i="2"/>
  <c r="BC87" i="2" s="1"/>
  <c r="BD580" i="20"/>
  <c r="BD580" i="15"/>
  <c r="AE61" i="2"/>
  <c r="BS104" i="1"/>
  <c r="C22" i="2"/>
  <c r="AB16" i="20" s="1"/>
  <c r="BM13" i="2"/>
  <c r="BN13" i="2" s="1"/>
  <c r="BD162" i="20"/>
  <c r="BD162" i="15"/>
  <c r="AE147" i="1"/>
  <c r="AE79" i="1"/>
  <c r="AS46" i="19"/>
  <c r="BS9" i="20"/>
  <c r="BS9" i="15"/>
  <c r="BK313" i="20"/>
  <c r="BK313" i="15"/>
  <c r="AT110" i="15"/>
  <c r="BP89" i="1"/>
  <c r="AK24" i="2"/>
  <c r="M40" i="2"/>
  <c r="M10" i="2"/>
  <c r="CH18" i="20"/>
  <c r="U57" i="1"/>
  <c r="CM338" i="20"/>
  <c r="DV132" i="1"/>
  <c r="DW132" i="1"/>
  <c r="DX132" i="1" s="1"/>
  <c r="DY132" i="1" s="1"/>
  <c r="DZ132" i="1" s="1"/>
  <c r="Y5" i="1"/>
  <c r="Y4" i="1" s="1"/>
  <c r="DE30" i="20"/>
  <c r="DE30" i="15"/>
  <c r="CF5" i="14"/>
  <c r="CF8" i="14" s="1"/>
  <c r="CF9" i="14" s="1"/>
  <c r="CF33" i="2"/>
  <c r="CF92" i="1"/>
  <c r="AO22" i="19"/>
  <c r="CW21" i="9"/>
  <c r="AS22" i="19" s="1"/>
  <c r="CW29" i="9"/>
  <c r="AS18" i="19"/>
  <c r="CW18" i="9"/>
  <c r="AS19" i="19" s="1"/>
  <c r="AU30" i="19"/>
  <c r="DX578" i="20"/>
  <c r="DW624" i="20"/>
  <c r="DO624" i="20"/>
  <c r="DG624" i="20"/>
  <c r="CY624" i="20"/>
  <c r="CQ624" i="20"/>
  <c r="CI624" i="20"/>
  <c r="CA624" i="20"/>
  <c r="BS624" i="20"/>
  <c r="BK624" i="20"/>
  <c r="BC624" i="20"/>
  <c r="AU624" i="20"/>
  <c r="AM624" i="20"/>
  <c r="AE624" i="20"/>
  <c r="DX584" i="20"/>
  <c r="DP584" i="20"/>
  <c r="DH584" i="20"/>
  <c r="CZ584" i="20"/>
  <c r="CR584" i="20"/>
  <c r="CJ584" i="20"/>
  <c r="CB584" i="20"/>
  <c r="BT584" i="20"/>
  <c r="BL584" i="20"/>
  <c r="BD584" i="20"/>
  <c r="AV584" i="20"/>
  <c r="AN584" i="20"/>
  <c r="AF584" i="20"/>
  <c r="DE624" i="15"/>
  <c r="CW624" i="15"/>
  <c r="CO624" i="15"/>
  <c r="CF624" i="15"/>
  <c r="BX624" i="15"/>
  <c r="BP624" i="15"/>
  <c r="BH624" i="15"/>
  <c r="AZ624" i="15"/>
  <c r="AR624" i="15"/>
  <c r="DC584" i="15"/>
  <c r="CU584" i="15"/>
  <c r="CM584" i="15"/>
  <c r="CD584" i="15"/>
  <c r="BV584" i="15"/>
  <c r="BN584" i="15"/>
  <c r="BF584" i="15"/>
  <c r="AX584" i="15"/>
  <c r="AP584" i="15"/>
  <c r="DV624" i="20"/>
  <c r="DN624" i="20"/>
  <c r="DF624" i="20"/>
  <c r="CX624" i="20"/>
  <c r="CP624" i="20"/>
  <c r="CH624" i="20"/>
  <c r="BZ624" i="20"/>
  <c r="BR624" i="20"/>
  <c r="BJ624" i="20"/>
  <c r="BB624" i="20"/>
  <c r="AT624" i="20"/>
  <c r="AL624" i="20"/>
  <c r="AD624" i="20"/>
  <c r="DW584" i="20"/>
  <c r="DO584" i="20"/>
  <c r="DG584" i="20"/>
  <c r="CY584" i="20"/>
  <c r="CQ584" i="20"/>
  <c r="CI584" i="20"/>
  <c r="CA584" i="20"/>
  <c r="BS584" i="20"/>
  <c r="BK584" i="20"/>
  <c r="BC584" i="20"/>
  <c r="AU584" i="20"/>
  <c r="AM584" i="20"/>
  <c r="AE584" i="20"/>
  <c r="DD624" i="15"/>
  <c r="CV624" i="15"/>
  <c r="CN624" i="15"/>
  <c r="CE624" i="15"/>
  <c r="BW624" i="15"/>
  <c r="BO624" i="15"/>
  <c r="BG624" i="15"/>
  <c r="AY624" i="15"/>
  <c r="AQ624" i="15"/>
  <c r="DB584" i="15"/>
  <c r="CT584" i="15"/>
  <c r="CL584" i="15"/>
  <c r="CC584" i="15"/>
  <c r="BU584" i="15"/>
  <c r="BM584" i="15"/>
  <c r="BE584" i="15"/>
  <c r="AW584" i="15"/>
  <c r="AO584" i="15"/>
  <c r="DU624" i="20"/>
  <c r="DM624" i="20"/>
  <c r="DE624" i="20"/>
  <c r="CW624" i="20"/>
  <c r="CO624" i="20"/>
  <c r="CG624" i="20"/>
  <c r="BY624" i="20"/>
  <c r="BQ624" i="20"/>
  <c r="BI624" i="20"/>
  <c r="BA624" i="20"/>
  <c r="AS624" i="20"/>
  <c r="AK624" i="20"/>
  <c r="AC624" i="20"/>
  <c r="DV584" i="20"/>
  <c r="DN584" i="20"/>
  <c r="DF584" i="20"/>
  <c r="CX584" i="20"/>
  <c r="CP584" i="20"/>
  <c r="CH584" i="20"/>
  <c r="BZ584" i="20"/>
  <c r="BR584" i="20"/>
  <c r="BJ584" i="20"/>
  <c r="BB584" i="20"/>
  <c r="AT584" i="20"/>
  <c r="AL584" i="20"/>
  <c r="AD584" i="20"/>
  <c r="DC624" i="15"/>
  <c r="CU624" i="15"/>
  <c r="CM624" i="15"/>
  <c r="CD624" i="15"/>
  <c r="BV624" i="15"/>
  <c r="BN624" i="15"/>
  <c r="BF624" i="15"/>
  <c r="AX624" i="15"/>
  <c r="AP624" i="15"/>
  <c r="DA584" i="15"/>
  <c r="CS584" i="15"/>
  <c r="CK584" i="15"/>
  <c r="CB584" i="15"/>
  <c r="BT584" i="15"/>
  <c r="BL584" i="15"/>
  <c r="BD584" i="15"/>
  <c r="AV584" i="15"/>
  <c r="DT624" i="20"/>
  <c r="DL624" i="20"/>
  <c r="DD624" i="20"/>
  <c r="CV624" i="20"/>
  <c r="CN624" i="20"/>
  <c r="CF624" i="20"/>
  <c r="BX624" i="20"/>
  <c r="BP624" i="20"/>
  <c r="BH624" i="20"/>
  <c r="AZ624" i="20"/>
  <c r="AR624" i="20"/>
  <c r="AJ624" i="20"/>
  <c r="AB624" i="20"/>
  <c r="DU584" i="20"/>
  <c r="DM584" i="20"/>
  <c r="DE584" i="20"/>
  <c r="CW584" i="20"/>
  <c r="CO584" i="20"/>
  <c r="CG584" i="20"/>
  <c r="BY584" i="20"/>
  <c r="BQ584" i="20"/>
  <c r="BI584" i="20"/>
  <c r="BA584" i="20"/>
  <c r="AS584" i="20"/>
  <c r="AK584" i="20"/>
  <c r="AC584" i="20"/>
  <c r="DB624" i="15"/>
  <c r="CT624" i="15"/>
  <c r="CL624" i="15"/>
  <c r="CC624" i="15"/>
  <c r="BU624" i="15"/>
  <c r="BM624" i="15"/>
  <c r="BE624" i="15"/>
  <c r="AW624" i="15"/>
  <c r="AO624" i="15"/>
  <c r="CZ584" i="15"/>
  <c r="CR584" i="15"/>
  <c r="CJ584" i="15"/>
  <c r="CA584" i="15"/>
  <c r="BS584" i="15"/>
  <c r="BK584" i="15"/>
  <c r="BC584" i="15"/>
  <c r="AU584" i="15"/>
  <c r="EA624" i="20"/>
  <c r="DS624" i="20"/>
  <c r="DK624" i="20"/>
  <c r="DC624" i="20"/>
  <c r="CU624" i="20"/>
  <c r="CM624" i="20"/>
  <c r="CE624" i="20"/>
  <c r="BW624" i="20"/>
  <c r="BO624" i="20"/>
  <c r="BG624" i="20"/>
  <c r="AY624" i="20"/>
  <c r="AQ624" i="20"/>
  <c r="AI624" i="20"/>
  <c r="AA624" i="20"/>
  <c r="DT584" i="20"/>
  <c r="DL584" i="20"/>
  <c r="DD584" i="20"/>
  <c r="CV584" i="20"/>
  <c r="CN584" i="20"/>
  <c r="CF584" i="20"/>
  <c r="BX584" i="20"/>
  <c r="BP584" i="20"/>
  <c r="BH584" i="20"/>
  <c r="AZ584" i="20"/>
  <c r="AR584" i="20"/>
  <c r="AJ584" i="20"/>
  <c r="AB584" i="20"/>
  <c r="DA624" i="15"/>
  <c r="CS624" i="15"/>
  <c r="CK624" i="15"/>
  <c r="CB624" i="15"/>
  <c r="BT624" i="15"/>
  <c r="BL624" i="15"/>
  <c r="BD624" i="15"/>
  <c r="AV624" i="15"/>
  <c r="DG584" i="15"/>
  <c r="CY584" i="15"/>
  <c r="CQ584" i="15"/>
  <c r="CI584" i="15"/>
  <c r="BZ584" i="15"/>
  <c r="BR584" i="15"/>
  <c r="BJ584" i="15"/>
  <c r="BB584" i="15"/>
  <c r="AT584" i="15"/>
  <c r="C25" i="11"/>
  <c r="I9" i="16"/>
  <c r="J9" i="16" s="1"/>
  <c r="J8" i="16" s="1"/>
  <c r="DZ624" i="20"/>
  <c r="DR624" i="20"/>
  <c r="DJ624" i="20"/>
  <c r="DB624" i="20"/>
  <c r="CT624" i="20"/>
  <c r="CL624" i="20"/>
  <c r="CD624" i="20"/>
  <c r="BV624" i="20"/>
  <c r="BN624" i="20"/>
  <c r="BF624" i="20"/>
  <c r="AX624" i="20"/>
  <c r="AP624" i="20"/>
  <c r="AH624" i="20"/>
  <c r="EA584" i="20"/>
  <c r="DS584" i="20"/>
  <c r="DK584" i="20"/>
  <c r="DC584" i="20"/>
  <c r="CU584" i="20"/>
  <c r="CM584" i="20"/>
  <c r="CE584" i="20"/>
  <c r="BW584" i="20"/>
  <c r="BO584" i="20"/>
  <c r="BG584" i="20"/>
  <c r="AY584" i="20"/>
  <c r="AQ584" i="20"/>
  <c r="AI584" i="20"/>
  <c r="AA584" i="20"/>
  <c r="CZ624" i="15"/>
  <c r="CR624" i="15"/>
  <c r="CJ624" i="15"/>
  <c r="CA624" i="15"/>
  <c r="BS624" i="15"/>
  <c r="BK624" i="15"/>
  <c r="BC624" i="15"/>
  <c r="AU624" i="15"/>
  <c r="DF584" i="15"/>
  <c r="CX584" i="15"/>
  <c r="CP584" i="15"/>
  <c r="CG584" i="15"/>
  <c r="BY584" i="15"/>
  <c r="BQ584" i="15"/>
  <c r="BI584" i="15"/>
  <c r="BA584" i="15"/>
  <c r="AS584" i="15"/>
  <c r="DY624" i="20"/>
  <c r="DQ624" i="20"/>
  <c r="DI624" i="20"/>
  <c r="DA624" i="20"/>
  <c r="CS624" i="20"/>
  <c r="CK624" i="20"/>
  <c r="CC624" i="20"/>
  <c r="BU624" i="20"/>
  <c r="BM624" i="20"/>
  <c r="BE624" i="20"/>
  <c r="AW624" i="20"/>
  <c r="AO624" i="20"/>
  <c r="AG624" i="20"/>
  <c r="DZ584" i="20"/>
  <c r="DR584" i="20"/>
  <c r="DJ584" i="20"/>
  <c r="DB584" i="20"/>
  <c r="CT584" i="20"/>
  <c r="CL584" i="20"/>
  <c r="CD584" i="20"/>
  <c r="BV584" i="20"/>
  <c r="BN584" i="20"/>
  <c r="BF584" i="20"/>
  <c r="AX584" i="20"/>
  <c r="AP584" i="20"/>
  <c r="AH584" i="20"/>
  <c r="DG624" i="15"/>
  <c r="CY624" i="15"/>
  <c r="CQ624" i="15"/>
  <c r="CI624" i="15"/>
  <c r="BZ624" i="15"/>
  <c r="BR624" i="15"/>
  <c r="BJ624" i="15"/>
  <c r="BB624" i="15"/>
  <c r="AT624" i="15"/>
  <c r="DE584" i="15"/>
  <c r="CW584" i="15"/>
  <c r="CO584" i="15"/>
  <c r="CF584" i="15"/>
  <c r="BX584" i="15"/>
  <c r="BP584" i="15"/>
  <c r="BH584" i="15"/>
  <c r="AZ584" i="15"/>
  <c r="AR584" i="15"/>
  <c r="C23" i="11"/>
  <c r="DX624" i="20"/>
  <c r="DP624" i="20"/>
  <c r="DH624" i="20"/>
  <c r="CZ624" i="20"/>
  <c r="CR624" i="20"/>
  <c r="CJ624" i="20"/>
  <c r="CB624" i="20"/>
  <c r="BT624" i="20"/>
  <c r="BL624" i="20"/>
  <c r="BD624" i="20"/>
  <c r="AV624" i="20"/>
  <c r="AN624" i="20"/>
  <c r="AF624" i="20"/>
  <c r="DY584" i="20"/>
  <c r="DQ584" i="20"/>
  <c r="DI584" i="20"/>
  <c r="DA584" i="20"/>
  <c r="CS584" i="20"/>
  <c r="CK584" i="20"/>
  <c r="CC584" i="20"/>
  <c r="BU584" i="20"/>
  <c r="BM584" i="20"/>
  <c r="BE584" i="20"/>
  <c r="AW584" i="20"/>
  <c r="AO584" i="20"/>
  <c r="AG584" i="20"/>
  <c r="DF624" i="15"/>
  <c r="CX624" i="15"/>
  <c r="CP624" i="15"/>
  <c r="CG624" i="15"/>
  <c r="BY624" i="15"/>
  <c r="BQ624" i="15"/>
  <c r="BI624" i="15"/>
  <c r="BA624" i="15"/>
  <c r="AS624" i="15"/>
  <c r="DD584" i="15"/>
  <c r="CV584" i="15"/>
  <c r="CN584" i="15"/>
  <c r="CE584" i="15"/>
  <c r="BW584" i="15"/>
  <c r="BO584" i="15"/>
  <c r="BG584" i="15"/>
  <c r="AY584" i="15"/>
  <c r="AQ584" i="15"/>
  <c r="DB28" i="9"/>
  <c r="AX29" i="19" s="1"/>
  <c r="DN52" i="9"/>
  <c r="DB4" i="9"/>
  <c r="DV626" i="20"/>
  <c r="DN626" i="20"/>
  <c r="DF626" i="20"/>
  <c r="CX626" i="20"/>
  <c r="CP626" i="20"/>
  <c r="CH626" i="20"/>
  <c r="BZ626" i="20"/>
  <c r="BR626" i="20"/>
  <c r="BJ626" i="20"/>
  <c r="BB626" i="20"/>
  <c r="AT626" i="20"/>
  <c r="AL626" i="20"/>
  <c r="AD626" i="20"/>
  <c r="DW585" i="20"/>
  <c r="DO585" i="20"/>
  <c r="DG585" i="20"/>
  <c r="CY585" i="20"/>
  <c r="CQ585" i="20"/>
  <c r="CI585" i="20"/>
  <c r="CA585" i="20"/>
  <c r="BS585" i="20"/>
  <c r="BK585" i="20"/>
  <c r="BC585" i="20"/>
  <c r="AU585" i="20"/>
  <c r="AM585" i="20"/>
  <c r="AE585" i="20"/>
  <c r="DG626" i="15"/>
  <c r="CY626" i="15"/>
  <c r="CQ626" i="15"/>
  <c r="CI626" i="15"/>
  <c r="BZ626" i="15"/>
  <c r="BR626" i="15"/>
  <c r="BJ626" i="15"/>
  <c r="BB626" i="15"/>
  <c r="AT626" i="15"/>
  <c r="DE585" i="15"/>
  <c r="CW585" i="15"/>
  <c r="CO585" i="15"/>
  <c r="CF585" i="15"/>
  <c r="BX585" i="15"/>
  <c r="BP585" i="15"/>
  <c r="BH585" i="15"/>
  <c r="AZ585" i="15"/>
  <c r="AR585" i="15"/>
  <c r="DU626" i="20"/>
  <c r="DM626" i="20"/>
  <c r="DE626" i="20"/>
  <c r="CW626" i="20"/>
  <c r="CO626" i="20"/>
  <c r="CG626" i="20"/>
  <c r="BY626" i="20"/>
  <c r="BQ626" i="20"/>
  <c r="BI626" i="20"/>
  <c r="BA626" i="20"/>
  <c r="AS626" i="20"/>
  <c r="AK626" i="20"/>
  <c r="AC626" i="20"/>
  <c r="DV585" i="20"/>
  <c r="DN585" i="20"/>
  <c r="DF585" i="20"/>
  <c r="CX585" i="20"/>
  <c r="CP585" i="20"/>
  <c r="CH585" i="20"/>
  <c r="BZ585" i="20"/>
  <c r="BR585" i="20"/>
  <c r="BJ585" i="20"/>
  <c r="BB585" i="20"/>
  <c r="AT585" i="20"/>
  <c r="AL585" i="20"/>
  <c r="AD585" i="20"/>
  <c r="DF626" i="15"/>
  <c r="CX626" i="15"/>
  <c r="CP626" i="15"/>
  <c r="CG626" i="15"/>
  <c r="BY626" i="15"/>
  <c r="BQ626" i="15"/>
  <c r="BI626" i="15"/>
  <c r="BA626" i="15"/>
  <c r="AS626" i="15"/>
  <c r="DD585" i="15"/>
  <c r="CV585" i="15"/>
  <c r="CN585" i="15"/>
  <c r="CE585" i="15"/>
  <c r="BW585" i="15"/>
  <c r="BO585" i="15"/>
  <c r="BG585" i="15"/>
  <c r="AY585" i="15"/>
  <c r="AQ585" i="15"/>
  <c r="DT626" i="20"/>
  <c r="DL626" i="20"/>
  <c r="DD626" i="20"/>
  <c r="CV626" i="20"/>
  <c r="CN626" i="20"/>
  <c r="CF626" i="20"/>
  <c r="BX626" i="20"/>
  <c r="BP626" i="20"/>
  <c r="BH626" i="20"/>
  <c r="AZ626" i="20"/>
  <c r="AR626" i="20"/>
  <c r="AJ626" i="20"/>
  <c r="AB626" i="20"/>
  <c r="DU585" i="20"/>
  <c r="DM585" i="20"/>
  <c r="DE585" i="20"/>
  <c r="CW585" i="20"/>
  <c r="CO585" i="20"/>
  <c r="CG585" i="20"/>
  <c r="BY585" i="20"/>
  <c r="BQ585" i="20"/>
  <c r="BI585" i="20"/>
  <c r="BA585" i="20"/>
  <c r="AS585" i="20"/>
  <c r="AK585" i="20"/>
  <c r="AC585" i="20"/>
  <c r="DE626" i="15"/>
  <c r="CW626" i="15"/>
  <c r="CO626" i="15"/>
  <c r="CF626" i="15"/>
  <c r="BX626" i="15"/>
  <c r="BP626" i="15"/>
  <c r="BH626" i="15"/>
  <c r="AZ626" i="15"/>
  <c r="AR626" i="15"/>
  <c r="DC585" i="15"/>
  <c r="CU585" i="15"/>
  <c r="CM585" i="15"/>
  <c r="CD585" i="15"/>
  <c r="BV585" i="15"/>
  <c r="BN585" i="15"/>
  <c r="BF585" i="15"/>
  <c r="AX585" i="15"/>
  <c r="AP585" i="15"/>
  <c r="EA626" i="20"/>
  <c r="DS626" i="20"/>
  <c r="DK626" i="20"/>
  <c r="DC626" i="20"/>
  <c r="CU626" i="20"/>
  <c r="CM626" i="20"/>
  <c r="CE626" i="20"/>
  <c r="BW626" i="20"/>
  <c r="BO626" i="20"/>
  <c r="BG626" i="20"/>
  <c r="AY626" i="20"/>
  <c r="AQ626" i="20"/>
  <c r="AI626" i="20"/>
  <c r="AA626" i="20"/>
  <c r="DT585" i="20"/>
  <c r="DL585" i="20"/>
  <c r="DD585" i="20"/>
  <c r="CV585" i="20"/>
  <c r="CN585" i="20"/>
  <c r="CF585" i="20"/>
  <c r="BX585" i="20"/>
  <c r="BP585" i="20"/>
  <c r="BH585" i="20"/>
  <c r="AZ585" i="20"/>
  <c r="AR585" i="20"/>
  <c r="AJ585" i="20"/>
  <c r="AB585" i="20"/>
  <c r="DD626" i="15"/>
  <c r="CV626" i="15"/>
  <c r="CN626" i="15"/>
  <c r="CE626" i="15"/>
  <c r="BW626" i="15"/>
  <c r="BO626" i="15"/>
  <c r="BG626" i="15"/>
  <c r="AY626" i="15"/>
  <c r="AQ626" i="15"/>
  <c r="DB585" i="15"/>
  <c r="CT585" i="15"/>
  <c r="CL585" i="15"/>
  <c r="CC585" i="15"/>
  <c r="BU585" i="15"/>
  <c r="BM585" i="15"/>
  <c r="BE585" i="15"/>
  <c r="AW585" i="15"/>
  <c r="AO585" i="15"/>
  <c r="DZ626" i="20"/>
  <c r="DR626" i="20"/>
  <c r="DJ626" i="20"/>
  <c r="DB626" i="20"/>
  <c r="CT626" i="20"/>
  <c r="CL626" i="20"/>
  <c r="CD626" i="20"/>
  <c r="BV626" i="20"/>
  <c r="BN626" i="20"/>
  <c r="BF626" i="20"/>
  <c r="AX626" i="20"/>
  <c r="AP626" i="20"/>
  <c r="AH626" i="20"/>
  <c r="EA585" i="20"/>
  <c r="DS585" i="20"/>
  <c r="DK585" i="20"/>
  <c r="DC585" i="20"/>
  <c r="CU585" i="20"/>
  <c r="CM585" i="20"/>
  <c r="CE585" i="20"/>
  <c r="BW585" i="20"/>
  <c r="BO585" i="20"/>
  <c r="BG585" i="20"/>
  <c r="AY585" i="20"/>
  <c r="AQ585" i="20"/>
  <c r="AI585" i="20"/>
  <c r="AA585" i="20"/>
  <c r="DC626" i="15"/>
  <c r="CU626" i="15"/>
  <c r="CM626" i="15"/>
  <c r="CD626" i="15"/>
  <c r="BV626" i="15"/>
  <c r="BN626" i="15"/>
  <c r="BF626" i="15"/>
  <c r="AX626" i="15"/>
  <c r="AP626" i="15"/>
  <c r="DA585" i="15"/>
  <c r="CS585" i="15"/>
  <c r="CK585" i="15"/>
  <c r="CB585" i="15"/>
  <c r="BT585" i="15"/>
  <c r="BL585" i="15"/>
  <c r="BD585" i="15"/>
  <c r="AV585" i="15"/>
  <c r="DY626" i="20"/>
  <c r="DQ626" i="20"/>
  <c r="DI626" i="20"/>
  <c r="DA626" i="20"/>
  <c r="CS626" i="20"/>
  <c r="CK626" i="20"/>
  <c r="CC626" i="20"/>
  <c r="BU626" i="20"/>
  <c r="BM626" i="20"/>
  <c r="BE626" i="20"/>
  <c r="AW626" i="20"/>
  <c r="AO626" i="20"/>
  <c r="AG626" i="20"/>
  <c r="DZ585" i="20"/>
  <c r="DR585" i="20"/>
  <c r="DJ585" i="20"/>
  <c r="DB585" i="20"/>
  <c r="CT585" i="20"/>
  <c r="CL585" i="20"/>
  <c r="CD585" i="20"/>
  <c r="BV585" i="20"/>
  <c r="BN585" i="20"/>
  <c r="BF585" i="20"/>
  <c r="AX585" i="20"/>
  <c r="AP585" i="20"/>
  <c r="AH585" i="20"/>
  <c r="DB626" i="15"/>
  <c r="CT626" i="15"/>
  <c r="CL626" i="15"/>
  <c r="CC626" i="15"/>
  <c r="BU626" i="15"/>
  <c r="BM626" i="15"/>
  <c r="BE626" i="15"/>
  <c r="AW626" i="15"/>
  <c r="AO626" i="15"/>
  <c r="CZ585" i="15"/>
  <c r="CR585" i="15"/>
  <c r="CJ585" i="15"/>
  <c r="CA585" i="15"/>
  <c r="BS585" i="15"/>
  <c r="BK585" i="15"/>
  <c r="BC585" i="15"/>
  <c r="AU585" i="15"/>
  <c r="DX626" i="20"/>
  <c r="DP626" i="20"/>
  <c r="DH626" i="20"/>
  <c r="CZ626" i="20"/>
  <c r="CR626" i="20"/>
  <c r="CJ626" i="20"/>
  <c r="CB626" i="20"/>
  <c r="BT626" i="20"/>
  <c r="BL626" i="20"/>
  <c r="BD626" i="20"/>
  <c r="AV626" i="20"/>
  <c r="AN626" i="20"/>
  <c r="AF626" i="20"/>
  <c r="DY585" i="20"/>
  <c r="DQ585" i="20"/>
  <c r="DI585" i="20"/>
  <c r="DA585" i="20"/>
  <c r="CS585" i="20"/>
  <c r="CK585" i="20"/>
  <c r="CC585" i="20"/>
  <c r="BU585" i="20"/>
  <c r="BM585" i="20"/>
  <c r="BE585" i="20"/>
  <c r="AW585" i="20"/>
  <c r="AO585" i="20"/>
  <c r="AG585" i="20"/>
  <c r="DA626" i="15"/>
  <c r="CS626" i="15"/>
  <c r="CK626" i="15"/>
  <c r="CB626" i="15"/>
  <c r="BT626" i="15"/>
  <c r="BL626" i="15"/>
  <c r="BD626" i="15"/>
  <c r="AV626" i="15"/>
  <c r="DG585" i="15"/>
  <c r="CY585" i="15"/>
  <c r="CQ585" i="15"/>
  <c r="CI585" i="15"/>
  <c r="BZ585" i="15"/>
  <c r="BR585" i="15"/>
  <c r="BJ585" i="15"/>
  <c r="BB585" i="15"/>
  <c r="AT585" i="15"/>
  <c r="DW626" i="20"/>
  <c r="DO626" i="20"/>
  <c r="DG626" i="20"/>
  <c r="CY626" i="20"/>
  <c r="CQ626" i="20"/>
  <c r="CI626" i="20"/>
  <c r="CA626" i="20"/>
  <c r="BS626" i="20"/>
  <c r="BK626" i="20"/>
  <c r="BC626" i="20"/>
  <c r="AU626" i="20"/>
  <c r="AM626" i="20"/>
  <c r="AE626" i="20"/>
  <c r="DX585" i="20"/>
  <c r="DP585" i="20"/>
  <c r="DH585" i="20"/>
  <c r="CZ585" i="20"/>
  <c r="CR585" i="20"/>
  <c r="CJ585" i="20"/>
  <c r="CB585" i="20"/>
  <c r="BT585" i="20"/>
  <c r="BL585" i="20"/>
  <c r="BD585" i="20"/>
  <c r="AV585" i="20"/>
  <c r="AN585" i="20"/>
  <c r="AF585" i="20"/>
  <c r="CZ626" i="15"/>
  <c r="CR626" i="15"/>
  <c r="CJ626" i="15"/>
  <c r="CA626" i="15"/>
  <c r="BS626" i="15"/>
  <c r="BK626" i="15"/>
  <c r="BC626" i="15"/>
  <c r="AU626" i="15"/>
  <c r="DF585" i="15"/>
  <c r="CX585" i="15"/>
  <c r="CP585" i="15"/>
  <c r="CG585" i="15"/>
  <c r="BY585" i="15"/>
  <c r="BQ585" i="15"/>
  <c r="BI585" i="15"/>
  <c r="BA585" i="15"/>
  <c r="AS585" i="15"/>
  <c r="AU9" i="19"/>
  <c r="DX587" i="20"/>
  <c r="AW5" i="19"/>
  <c r="DM6" i="9" l="1"/>
  <c r="BG7" i="19"/>
  <c r="DP20" i="9"/>
  <c r="BL21" i="19" s="1"/>
  <c r="BK21" i="19"/>
  <c r="DT19" i="2"/>
  <c r="DY19" i="2" s="1"/>
  <c r="ED19" i="2" s="1"/>
  <c r="BK48" i="19"/>
  <c r="DK20" i="9"/>
  <c r="BG21" i="19" s="1"/>
  <c r="BF21" i="19"/>
  <c r="AZ122" i="1"/>
  <c r="BJ10" i="14"/>
  <c r="O3" i="9"/>
  <c r="O52" i="2"/>
  <c r="O59" i="1"/>
  <c r="BG18" i="2"/>
  <c r="BB410" i="15"/>
  <c r="BG53" i="2"/>
  <c r="M56" i="2"/>
  <c r="BW144" i="1"/>
  <c r="BW138" i="1" s="1"/>
  <c r="CN367" i="15"/>
  <c r="BF367" i="20"/>
  <c r="CA27" i="1"/>
  <c r="CA26" i="1" s="1"/>
  <c r="K49" i="19"/>
  <c r="BF15" i="2"/>
  <c r="BF2" i="2" s="1"/>
  <c r="BC19" i="2"/>
  <c r="CV147" i="15"/>
  <c r="CB5" i="1"/>
  <c r="CB4" i="1" s="1"/>
  <c r="BC29" i="9"/>
  <c r="BN21" i="9"/>
  <c r="J22" i="19" s="1"/>
  <c r="CE63" i="1"/>
  <c r="CE40" i="2" s="1"/>
  <c r="AA70" i="19" s="1"/>
  <c r="AS5" i="1"/>
  <c r="AS4" i="1" s="1"/>
  <c r="BR147" i="15"/>
  <c r="CF3" i="20"/>
  <c r="CK16" i="20"/>
  <c r="BK410" i="20"/>
  <c r="AT18" i="1"/>
  <c r="AT5" i="1" s="1"/>
  <c r="AT4" i="1" s="1"/>
  <c r="H51" i="19"/>
  <c r="CN6" i="15"/>
  <c r="DA335" i="20"/>
  <c r="AG41" i="19"/>
  <c r="AS144" i="1"/>
  <c r="AS138" i="1" s="1"/>
  <c r="P9" i="7"/>
  <c r="AK18" i="2"/>
  <c r="BA18" i="9"/>
  <c r="BX192" i="1"/>
  <c r="P130" i="1"/>
  <c r="R22" i="2"/>
  <c r="AQ16" i="20" s="1"/>
  <c r="AH367" i="20"/>
  <c r="CN5" i="1"/>
  <c r="CN4" i="1" s="1"/>
  <c r="BW5" i="1"/>
  <c r="BW4" i="1" s="1"/>
  <c r="T23" i="2"/>
  <c r="T60" i="2" s="1"/>
  <c r="T59" i="2" s="1"/>
  <c r="AK21" i="2"/>
  <c r="AQ53" i="15"/>
  <c r="R24" i="2"/>
  <c r="O27" i="11"/>
  <c r="R60" i="2"/>
  <c r="R59" i="2" s="1"/>
  <c r="AX36" i="9"/>
  <c r="AX43" i="9" s="1"/>
  <c r="CU4" i="2"/>
  <c r="CU9" i="2" s="1"/>
  <c r="AQ38" i="19" s="1"/>
  <c r="AX21" i="9"/>
  <c r="O3" i="2"/>
  <c r="BS31" i="11"/>
  <c r="BB27" i="1"/>
  <c r="BB26" i="1" s="1"/>
  <c r="BB149" i="1"/>
  <c r="BB145" i="1" s="1"/>
  <c r="CW31" i="11"/>
  <c r="CH31" i="11"/>
  <c r="CC31" i="11"/>
  <c r="CA163" i="20"/>
  <c r="CR31" i="11"/>
  <c r="AK53" i="2"/>
  <c r="AK55" i="2" s="1"/>
  <c r="AK57" i="2" s="1"/>
  <c r="BO335" i="15"/>
  <c r="CV20" i="9"/>
  <c r="AR21" i="19" s="1"/>
  <c r="O3" i="14"/>
  <c r="O106" i="1"/>
  <c r="CG410" i="15"/>
  <c r="O130" i="1"/>
  <c r="AK26" i="2"/>
  <c r="CR60" i="1"/>
  <c r="CS63" i="1" s="1"/>
  <c r="AI367" i="20"/>
  <c r="DQ145" i="20"/>
  <c r="CA55" i="1"/>
  <c r="BJ3" i="15"/>
  <c r="BQ335" i="15"/>
  <c r="AQ5" i="1"/>
  <c r="AQ4" i="1" s="1"/>
  <c r="AE60" i="1"/>
  <c r="AF63" i="1" s="1"/>
  <c r="AF40" i="2" s="1"/>
  <c r="CD327" i="15"/>
  <c r="CI144" i="1"/>
  <c r="CI138" i="1" s="1"/>
  <c r="BA63" i="1"/>
  <c r="BA40" i="2" s="1"/>
  <c r="CR191" i="1"/>
  <c r="CD327" i="20"/>
  <c r="AY587" i="15"/>
  <c r="AJ53" i="1"/>
  <c r="AJ122" i="1" s="1"/>
  <c r="CR140" i="1"/>
  <c r="BZ313" i="20"/>
  <c r="P27" i="11"/>
  <c r="AF20" i="9"/>
  <c r="CF3" i="15"/>
  <c r="BX18" i="1"/>
  <c r="BX144" i="1" s="1"/>
  <c r="AF6" i="14"/>
  <c r="BE310" i="20" s="1"/>
  <c r="P106" i="1"/>
  <c r="BD145" i="20"/>
  <c r="CN6" i="20"/>
  <c r="P23" i="9"/>
  <c r="P51" i="9"/>
  <c r="AW367" i="15"/>
  <c r="BI146" i="1"/>
  <c r="P3" i="2"/>
  <c r="AW327" i="20"/>
  <c r="DA410" i="15"/>
  <c r="AA48" i="1"/>
  <c r="BG21" i="2"/>
  <c r="AR581" i="20"/>
  <c r="P83" i="2"/>
  <c r="AW367" i="20"/>
  <c r="CE55" i="2"/>
  <c r="CE70" i="2" s="1"/>
  <c r="AA78" i="19" s="1"/>
  <c r="BK63" i="1"/>
  <c r="BK40" i="2" s="1"/>
  <c r="G70" i="19" s="1"/>
  <c r="BS146" i="15"/>
  <c r="Z4" i="2"/>
  <c r="Z9" i="2" s="1"/>
  <c r="P93" i="2"/>
  <c r="AJ20" i="9"/>
  <c r="BQ16" i="15"/>
  <c r="CG335" i="20"/>
  <c r="DA33" i="2"/>
  <c r="DA92" i="1"/>
  <c r="BK55" i="2"/>
  <c r="BK57" i="2" s="1"/>
  <c r="CR192" i="1"/>
  <c r="X95" i="1"/>
  <c r="BE581" i="20"/>
  <c r="O77" i="2"/>
  <c r="BZ63" i="1"/>
  <c r="BZ40" i="2" s="1"/>
  <c r="V70" i="19" s="1"/>
  <c r="DC367" i="20"/>
  <c r="DA47" i="9"/>
  <c r="BI60" i="2"/>
  <c r="AT85" i="2"/>
  <c r="AT86" i="2" s="1"/>
  <c r="AT87" i="2" s="1"/>
  <c r="O9" i="7"/>
  <c r="CG147" i="15"/>
  <c r="BL72" i="1"/>
  <c r="AL122" i="1"/>
  <c r="AF54" i="1"/>
  <c r="Q16" i="2"/>
  <c r="Q36" i="2" s="1"/>
  <c r="BV63" i="1"/>
  <c r="BV40" i="2" s="1"/>
  <c r="R70" i="19" s="1"/>
  <c r="CT145" i="1"/>
  <c r="O51" i="9"/>
  <c r="BE410" i="15"/>
  <c r="BO578" i="15"/>
  <c r="DA54" i="2"/>
  <c r="DA11" i="2"/>
  <c r="DD70" i="1" s="1"/>
  <c r="DA71" i="2"/>
  <c r="DA113" i="1" s="1"/>
  <c r="AU49" i="19"/>
  <c r="DA36" i="9"/>
  <c r="DA4" i="2"/>
  <c r="AM6" i="20"/>
  <c r="BI18" i="1"/>
  <c r="CH147" i="20" s="1"/>
  <c r="BZ6" i="15"/>
  <c r="DC367" i="15"/>
  <c r="BJ367" i="15"/>
  <c r="O32" i="9"/>
  <c r="O23" i="9"/>
  <c r="CG147" i="20"/>
  <c r="BH144" i="1"/>
  <c r="BH138" i="1" s="1"/>
  <c r="CH76" i="1"/>
  <c r="BK30" i="14"/>
  <c r="CP138" i="1"/>
  <c r="CA149" i="1"/>
  <c r="CA145" i="1" s="1"/>
  <c r="CD163" i="20"/>
  <c r="BE27" i="1"/>
  <c r="BE26" i="1" s="1"/>
  <c r="BQ149" i="1"/>
  <c r="BQ145" i="1" s="1"/>
  <c r="CZ163" i="20"/>
  <c r="CN27" i="1"/>
  <c r="CN26" i="1" s="1"/>
  <c r="DM163" i="20"/>
  <c r="CC40" i="1"/>
  <c r="CC27" i="1" s="1"/>
  <c r="CC26" i="1" s="1"/>
  <c r="BW163" i="15"/>
  <c r="CN122" i="1"/>
  <c r="BR144" i="1"/>
  <c r="BR138" i="1" s="1"/>
  <c r="BF18" i="2"/>
  <c r="AT69" i="1"/>
  <c r="AU72" i="1" s="1"/>
  <c r="AX149" i="1"/>
  <c r="AX145" i="1" s="1"/>
  <c r="BS192" i="1"/>
  <c r="P3" i="14"/>
  <c r="AE140" i="1"/>
  <c r="O3" i="1"/>
  <c r="X63" i="1"/>
  <c r="X40" i="2" s="1"/>
  <c r="CY116" i="1"/>
  <c r="CY118" i="1" s="1"/>
  <c r="CU36" i="9"/>
  <c r="CU43" i="9" s="1"/>
  <c r="CE3" i="20"/>
  <c r="BC14" i="9"/>
  <c r="BC34" i="9" s="1"/>
  <c r="BI192" i="1"/>
  <c r="CB6" i="14"/>
  <c r="DA310" i="20" s="1"/>
  <c r="CD367" i="15"/>
  <c r="CS327" i="15"/>
  <c r="BV26" i="2"/>
  <c r="R55" i="19" s="1"/>
  <c r="BF42" i="2"/>
  <c r="BS69" i="1"/>
  <c r="BT72" i="1" s="1"/>
  <c r="AQ34" i="19"/>
  <c r="BI69" i="1"/>
  <c r="BJ72" i="1" s="1"/>
  <c r="BO5" i="1"/>
  <c r="BO4" i="1" s="1"/>
  <c r="DN327" i="20"/>
  <c r="H101" i="1"/>
  <c r="BI141" i="1"/>
  <c r="CS367" i="20"/>
  <c r="BY163" i="20"/>
  <c r="BL367" i="20"/>
  <c r="AW310" i="15"/>
  <c r="BY367" i="15"/>
  <c r="CT38" i="9"/>
  <c r="CT39" i="9" s="1"/>
  <c r="P3" i="1"/>
  <c r="CR69" i="1"/>
  <c r="CS72" i="1" s="1"/>
  <c r="CS327" i="20"/>
  <c r="AZ27" i="1"/>
  <c r="AZ26" i="1" s="1"/>
  <c r="O93" i="2"/>
  <c r="O45" i="9"/>
  <c r="CI48" i="1"/>
  <c r="DH147" i="20"/>
  <c r="BF53" i="2"/>
  <c r="BF55" i="2" s="1"/>
  <c r="BF70" i="2" s="1"/>
  <c r="Z26" i="2"/>
  <c r="CO31" i="2"/>
  <c r="AK60" i="19" s="1"/>
  <c r="H85" i="1"/>
  <c r="BY367" i="20"/>
  <c r="DA163" i="20"/>
  <c r="BB21" i="9"/>
  <c r="AU144" i="1"/>
  <c r="AU138" i="1" s="1"/>
  <c r="BM72" i="1"/>
  <c r="CT122" i="1"/>
  <c r="AX53" i="20"/>
  <c r="AV19" i="2"/>
  <c r="P25" i="1"/>
  <c r="CG410" i="20"/>
  <c r="CL86" i="2"/>
  <c r="CL87" i="2" s="1"/>
  <c r="DQ146" i="20"/>
  <c r="BJ327" i="20"/>
  <c r="DA163" i="15"/>
  <c r="CB27" i="1"/>
  <c r="CB26" i="1" s="1"/>
  <c r="O25" i="1"/>
  <c r="O3" i="11"/>
  <c r="BJ30" i="14"/>
  <c r="BS141" i="1"/>
  <c r="CE3" i="15"/>
  <c r="BU144" i="1"/>
  <c r="BU138" i="1" s="1"/>
  <c r="BB29" i="9"/>
  <c r="AU5" i="1"/>
  <c r="AU4" i="1" s="1"/>
  <c r="Y63" i="1"/>
  <c r="Y40" i="2" s="1"/>
  <c r="BU86" i="2"/>
  <c r="BT147" i="15"/>
  <c r="BB14" i="9"/>
  <c r="BB34" i="9" s="1"/>
  <c r="CX56" i="2"/>
  <c r="Z23" i="2"/>
  <c r="AY53" i="20" s="1"/>
  <c r="R79" i="19"/>
  <c r="P3" i="9"/>
  <c r="BU26" i="2"/>
  <c r="Q55" i="19" s="1"/>
  <c r="CW146" i="15"/>
  <c r="CK147" i="15"/>
  <c r="AX18" i="9"/>
  <c r="AT26" i="2"/>
  <c r="CW146" i="20"/>
  <c r="CN327" i="15"/>
  <c r="CK147" i="20"/>
  <c r="K122" i="1"/>
  <c r="AV18" i="9"/>
  <c r="BE410" i="20"/>
  <c r="BA29" i="9"/>
  <c r="AV21" i="9"/>
  <c r="CT86" i="2"/>
  <c r="CE327" i="15"/>
  <c r="AZ149" i="1"/>
  <c r="AZ145" i="1" s="1"/>
  <c r="CN138" i="1"/>
  <c r="CN151" i="1" s="1"/>
  <c r="CN152" i="1" s="1"/>
  <c r="BV15" i="2"/>
  <c r="R44" i="19" s="1"/>
  <c r="BG63" i="1"/>
  <c r="BG40" i="2" s="1"/>
  <c r="Y30" i="14"/>
  <c r="AF122" i="1"/>
  <c r="AR51" i="19"/>
  <c r="CR146" i="15"/>
  <c r="P52" i="2"/>
  <c r="CT26" i="2"/>
  <c r="AP55" i="19" s="1"/>
  <c r="AV310" i="15"/>
  <c r="BC21" i="9"/>
  <c r="CE367" i="20"/>
  <c r="CI367" i="15"/>
  <c r="AL327" i="20"/>
  <c r="AI138" i="1"/>
  <c r="CW26" i="2"/>
  <c r="AS55" i="19" s="1"/>
  <c r="G42" i="2"/>
  <c r="BS5" i="1"/>
  <c r="BS4" i="1" s="1"/>
  <c r="AJ60" i="19"/>
  <c r="AX29" i="9"/>
  <c r="AV29" i="9"/>
  <c r="CE367" i="15"/>
  <c r="BL144" i="1"/>
  <c r="BL138" i="1" s="1"/>
  <c r="BB19" i="2"/>
  <c r="AX19" i="2"/>
  <c r="BU5" i="1"/>
  <c r="BU4" i="1" s="1"/>
  <c r="H98" i="1"/>
  <c r="DU16" i="20"/>
  <c r="P59" i="1"/>
  <c r="CZ335" i="15"/>
  <c r="CI327" i="15"/>
  <c r="CB49" i="1"/>
  <c r="S57" i="2"/>
  <c r="S58" i="2" s="1"/>
  <c r="G15" i="2"/>
  <c r="G36" i="2" s="1"/>
  <c r="CB122" i="1"/>
  <c r="CI327" i="20"/>
  <c r="BB43" i="2"/>
  <c r="BB56" i="2" s="1"/>
  <c r="BQ26" i="2"/>
  <c r="M55" i="19" s="1"/>
  <c r="BY327" i="15"/>
  <c r="BO144" i="1"/>
  <c r="BO138" i="1" s="1"/>
  <c r="DA581" i="15"/>
  <c r="Z44" i="19"/>
  <c r="BZ6" i="20"/>
  <c r="CL30" i="15"/>
  <c r="BO21" i="2"/>
  <c r="K50" i="19" s="1"/>
  <c r="AT141" i="1"/>
  <c r="BZ313" i="15"/>
  <c r="BJ115" i="1"/>
  <c r="BJ117" i="1" s="1"/>
  <c r="CW578" i="15"/>
  <c r="BK581" i="15"/>
  <c r="P32" i="9"/>
  <c r="P77" i="2"/>
  <c r="BQ27" i="1"/>
  <c r="BQ26" i="1" s="1"/>
  <c r="AP16" i="20"/>
  <c r="BI10" i="14"/>
  <c r="CH335" i="20" s="1"/>
  <c r="G53" i="2"/>
  <c r="G55" i="2" s="1"/>
  <c r="G57" i="2" s="1"/>
  <c r="G74" i="2" s="1"/>
  <c r="DM147" i="20"/>
  <c r="G21" i="2"/>
  <c r="BH30" i="14"/>
  <c r="CD163" i="15"/>
  <c r="AR410" i="15"/>
  <c r="DC327" i="15"/>
  <c r="CO6" i="14"/>
  <c r="DN310" i="20" s="1"/>
  <c r="BX69" i="1"/>
  <c r="CB144" i="1"/>
  <c r="CB138" i="1" s="1"/>
  <c r="CZ410" i="15"/>
  <c r="AU79" i="19"/>
  <c r="AR410" i="20"/>
  <c r="BE145" i="1"/>
  <c r="AX53" i="15"/>
  <c r="P3" i="11"/>
  <c r="CP163" i="20"/>
  <c r="CC18" i="1"/>
  <c r="DB147" i="15" s="1"/>
  <c r="DA147" i="15"/>
  <c r="CT147" i="15"/>
  <c r="B151" i="1"/>
  <c r="AA592" i="20" s="1"/>
  <c r="BG138" i="1"/>
  <c r="BK5" i="1"/>
  <c r="BK4" i="1" s="1"/>
  <c r="CN327" i="20"/>
  <c r="M31" i="2"/>
  <c r="M16" i="2" s="1"/>
  <c r="AL54" i="1"/>
  <c r="CY115" i="1"/>
  <c r="CY117" i="1" s="1"/>
  <c r="CS147" i="15"/>
  <c r="O40" i="2"/>
  <c r="AK61" i="1"/>
  <c r="AK62" i="1" s="1"/>
  <c r="AZ367" i="15"/>
  <c r="CT367" i="20"/>
  <c r="J18" i="19"/>
  <c r="BJ3" i="20"/>
  <c r="AL55" i="1"/>
  <c r="AL86" i="2"/>
  <c r="AL87" i="2" s="1"/>
  <c r="AD30" i="14"/>
  <c r="AC54" i="1"/>
  <c r="BS60" i="1"/>
  <c r="BT63" i="1" s="1"/>
  <c r="AA30" i="14"/>
  <c r="BJ327" i="15"/>
  <c r="AC122" i="1"/>
  <c r="BP581" i="20"/>
  <c r="CZ86" i="2"/>
  <c r="CZ87" i="2" s="1"/>
  <c r="CZ26" i="2"/>
  <c r="BS578" i="20"/>
  <c r="AI63" i="1"/>
  <c r="AI40" i="2" s="1"/>
  <c r="CS147" i="20"/>
  <c r="AX27" i="1"/>
  <c r="AX26" i="1" s="1"/>
  <c r="AX48" i="1" s="1"/>
  <c r="BW20" i="9"/>
  <c r="S21" i="19" s="1"/>
  <c r="AH48" i="1"/>
  <c r="CB55" i="1"/>
  <c r="CO86" i="2"/>
  <c r="CO87" i="2" s="1"/>
  <c r="BT144" i="1"/>
  <c r="BT138" i="1" s="1"/>
  <c r="BG5" i="1"/>
  <c r="BG4" i="1" s="1"/>
  <c r="AL26" i="2"/>
  <c r="CY47" i="9"/>
  <c r="CW578" i="20"/>
  <c r="CB54" i="1"/>
  <c r="CB145" i="1"/>
  <c r="BG30" i="14"/>
  <c r="BI145" i="20"/>
  <c r="BO30" i="14"/>
  <c r="BL367" i="15"/>
  <c r="CC60" i="1"/>
  <c r="CD63" i="1" s="1"/>
  <c r="CD91" i="2" s="1"/>
  <c r="BS191" i="1"/>
  <c r="CM34" i="9"/>
  <c r="CF147" i="20"/>
  <c r="CY93" i="1"/>
  <c r="CY95" i="1"/>
  <c r="BS54" i="15"/>
  <c r="BS54" i="20"/>
  <c r="CZ71" i="2"/>
  <c r="CZ113" i="1" s="1"/>
  <c r="CZ36" i="9"/>
  <c r="CZ4" i="2"/>
  <c r="BS140" i="1"/>
  <c r="BO122" i="1"/>
  <c r="BL327" i="15"/>
  <c r="AU30" i="14"/>
  <c r="Y10" i="2"/>
  <c r="Y61" i="1" s="1"/>
  <c r="Y65" i="1" s="1"/>
  <c r="BX20" i="9"/>
  <c r="T21" i="19" s="1"/>
  <c r="AD138" i="1"/>
  <c r="AD151" i="1" s="1"/>
  <c r="AW5" i="1"/>
  <c r="AW4" i="1" s="1"/>
  <c r="CF147" i="15"/>
  <c r="CJ147" i="15"/>
  <c r="CY43" i="2"/>
  <c r="CR145" i="20"/>
  <c r="CT335" i="20"/>
  <c r="AK42" i="2"/>
  <c r="AC55" i="1"/>
  <c r="BW163" i="20"/>
  <c r="M93" i="1"/>
  <c r="AJ581" i="20"/>
  <c r="AW144" i="1"/>
  <c r="AW138" i="1" s="1"/>
  <c r="CZ92" i="1"/>
  <c r="CZ33" i="2"/>
  <c r="AO173" i="20"/>
  <c r="P121" i="1"/>
  <c r="P52" i="1"/>
  <c r="P120" i="1"/>
  <c r="P57" i="1"/>
  <c r="F48" i="1"/>
  <c r="K54" i="1"/>
  <c r="AG310" i="20"/>
  <c r="AW26" i="19"/>
  <c r="DR18" i="9"/>
  <c r="DW18" i="9" s="1"/>
  <c r="EB18" i="9" s="1"/>
  <c r="DY574" i="20"/>
  <c r="AV46" i="19"/>
  <c r="BV27" i="1"/>
  <c r="BV26" i="1" s="1"/>
  <c r="BV48" i="1" s="1"/>
  <c r="BN57" i="1"/>
  <c r="BD40" i="1"/>
  <c r="BD149" i="1" s="1"/>
  <c r="CM173" i="15"/>
  <c r="BN120" i="1"/>
  <c r="BN52" i="1"/>
  <c r="BC149" i="1"/>
  <c r="BC145" i="1" s="1"/>
  <c r="CN163" i="15"/>
  <c r="DR163" i="20"/>
  <c r="CS27" i="1"/>
  <c r="CS26" i="1" s="1"/>
  <c r="DJ163" i="20"/>
  <c r="BZ27" i="1"/>
  <c r="BZ26" i="1" s="1"/>
  <c r="BZ48" i="1" s="1"/>
  <c r="N55" i="1"/>
  <c r="CK149" i="1"/>
  <c r="CK145" i="1" s="1"/>
  <c r="CS145" i="1"/>
  <c r="BN121" i="1"/>
  <c r="CU163" i="15"/>
  <c r="DB15" i="9"/>
  <c r="DB16" i="9" s="1"/>
  <c r="AX17" i="19" s="1"/>
  <c r="AV16" i="19"/>
  <c r="DE410" i="20"/>
  <c r="DE581" i="15"/>
  <c r="N92" i="1"/>
  <c r="N95" i="1" s="1"/>
  <c r="CC191" i="1"/>
  <c r="AW42" i="2"/>
  <c r="AT49" i="19"/>
  <c r="BM9" i="2"/>
  <c r="I38" i="19" s="1"/>
  <c r="Y22" i="2"/>
  <c r="AX16" i="15" s="1"/>
  <c r="D30" i="19"/>
  <c r="BI145" i="15"/>
  <c r="BM10" i="2"/>
  <c r="BM61" i="1" s="1"/>
  <c r="BM67" i="1" s="1"/>
  <c r="CG20" i="9"/>
  <c r="AC21" i="19" s="1"/>
  <c r="BV3" i="20"/>
  <c r="DR147" i="20"/>
  <c r="Y60" i="2"/>
  <c r="Y59" i="2" s="1"/>
  <c r="CC578" i="15"/>
  <c r="S95" i="1"/>
  <c r="CT327" i="15"/>
  <c r="DI367" i="20"/>
  <c r="BN4" i="2"/>
  <c r="J33" i="19" s="1"/>
  <c r="BM37" i="9"/>
  <c r="BR122" i="1"/>
  <c r="Z111" i="1"/>
  <c r="AW21" i="2"/>
  <c r="CB63" i="1"/>
  <c r="CB40" i="2" s="1"/>
  <c r="X70" i="19" s="1"/>
  <c r="DB145" i="20"/>
  <c r="AW53" i="2"/>
  <c r="AY33" i="2"/>
  <c r="C62" i="19" s="1"/>
  <c r="CT327" i="20"/>
  <c r="BF30" i="14"/>
  <c r="F55" i="1"/>
  <c r="G18" i="2"/>
  <c r="CF63" i="1"/>
  <c r="CF40" i="2" s="1"/>
  <c r="AB70" i="19" s="1"/>
  <c r="CQ72" i="1"/>
  <c r="AX43" i="2"/>
  <c r="BW313" i="15" s="1"/>
  <c r="CJ147" i="20"/>
  <c r="AW28" i="19"/>
  <c r="AN592" i="20"/>
  <c r="BM40" i="2"/>
  <c r="I70" i="19" s="1"/>
  <c r="CN147" i="15"/>
  <c r="AZ327" i="15"/>
  <c r="BN19" i="2"/>
  <c r="J48" i="19" s="1"/>
  <c r="BP147" i="20"/>
  <c r="BO27" i="1"/>
  <c r="BO26" i="1" s="1"/>
  <c r="CG86" i="2"/>
  <c r="CG87" i="2" s="1"/>
  <c r="BP122" i="1"/>
  <c r="DK163" i="20"/>
  <c r="CM40" i="1"/>
  <c r="DL163" i="20" s="1"/>
  <c r="AP33" i="19"/>
  <c r="BN29" i="9"/>
  <c r="BY115" i="1"/>
  <c r="BY117" i="1" s="1"/>
  <c r="AA36" i="2"/>
  <c r="AA38" i="2" s="1"/>
  <c r="BO149" i="1"/>
  <c r="BO145" i="1" s="1"/>
  <c r="BW30" i="14"/>
  <c r="CB72" i="1"/>
  <c r="CL149" i="1"/>
  <c r="CL145" i="1" s="1"/>
  <c r="CT40" i="2"/>
  <c r="AP70" i="19" s="1"/>
  <c r="AS313" i="20"/>
  <c r="BP147" i="15"/>
  <c r="S36" i="2"/>
  <c r="S38" i="2" s="1"/>
  <c r="S63" i="2" s="1"/>
  <c r="AS313" i="15"/>
  <c r="BM38" i="9"/>
  <c r="BM39" i="9" s="1"/>
  <c r="CX16" i="2"/>
  <c r="AT45" i="19" s="1"/>
  <c r="CX21" i="2"/>
  <c r="AT50" i="19" s="1"/>
  <c r="BC122" i="1"/>
  <c r="AV310" i="20"/>
  <c r="CY163" i="15"/>
  <c r="BV149" i="1"/>
  <c r="BV145" i="1" s="1"/>
  <c r="DB578" i="15"/>
  <c r="DB578" i="20"/>
  <c r="AV368" i="20"/>
  <c r="CP5" i="1"/>
  <c r="CP4" i="1" s="1"/>
  <c r="CP48" i="1" s="1"/>
  <c r="BZ149" i="1"/>
  <c r="BZ145" i="1" s="1"/>
  <c r="BH5" i="14"/>
  <c r="BH8" i="14" s="1"/>
  <c r="BH9" i="14" s="1"/>
  <c r="CG367" i="20" s="1"/>
  <c r="DR367" i="20"/>
  <c r="BH410" i="20"/>
  <c r="DW367" i="20"/>
  <c r="CF138" i="1"/>
  <c r="AJ89" i="1"/>
  <c r="O33" i="2"/>
  <c r="O68" i="2" s="1"/>
  <c r="AN30" i="20" s="1"/>
  <c r="CS138" i="1"/>
  <c r="AM26" i="2"/>
  <c r="BU3" i="15"/>
  <c r="AB141" i="1"/>
  <c r="AB138" i="1" s="1"/>
  <c r="AB151" i="1" s="1"/>
  <c r="BA592" i="20" s="1"/>
  <c r="O15" i="19"/>
  <c r="CO20" i="2"/>
  <c r="CO21" i="2" s="1"/>
  <c r="AK50" i="19" s="1"/>
  <c r="AL30" i="14"/>
  <c r="CT10" i="2"/>
  <c r="CT42" i="2" s="1"/>
  <c r="AP72" i="19" s="1"/>
  <c r="CT43" i="9"/>
  <c r="BV147" i="15"/>
  <c r="W63" i="1"/>
  <c r="W40" i="2" s="1"/>
  <c r="AH30" i="14"/>
  <c r="CX115" i="1"/>
  <c r="CX117" i="1" s="1"/>
  <c r="BP335" i="15"/>
  <c r="CX116" i="1"/>
  <c r="CX118" i="1" s="1"/>
  <c r="N5" i="14"/>
  <c r="N8" i="14" s="1"/>
  <c r="N9" i="14" s="1"/>
  <c r="AM367" i="20" s="1"/>
  <c r="X26" i="2"/>
  <c r="Y43" i="9"/>
  <c r="BW18" i="20"/>
  <c r="O43" i="9"/>
  <c r="R3" i="7"/>
  <c r="R77" i="2" s="1"/>
  <c r="AC51" i="19"/>
  <c r="DE335" i="15"/>
  <c r="F6" i="9"/>
  <c r="BX40" i="1"/>
  <c r="CI10" i="14"/>
  <c r="DH335" i="20" s="1"/>
  <c r="BW54" i="2"/>
  <c r="F122" i="1"/>
  <c r="J72" i="1"/>
  <c r="AD15" i="19"/>
  <c r="BQ147" i="20"/>
  <c r="CL72" i="1"/>
  <c r="AI72" i="1"/>
  <c r="AA57" i="2"/>
  <c r="AA58" i="2" s="1"/>
  <c r="AA56" i="1" s="1"/>
  <c r="W70" i="1"/>
  <c r="W80" i="1" s="1"/>
  <c r="W81" i="1" s="1"/>
  <c r="Y15" i="19"/>
  <c r="DG578" i="15"/>
  <c r="AE43" i="9"/>
  <c r="CH22" i="2"/>
  <c r="DG16" i="20" s="1"/>
  <c r="U11" i="2"/>
  <c r="AT4" i="20" s="1"/>
  <c r="DF16" i="20"/>
  <c r="N106" i="1"/>
  <c r="V48" i="1"/>
  <c r="BW71" i="2"/>
  <c r="BW113" i="1" s="1"/>
  <c r="CG144" i="1"/>
  <c r="CG138" i="1" s="1"/>
  <c r="AN30" i="14"/>
  <c r="BN76" i="1"/>
  <c r="AV367" i="15"/>
  <c r="CA54" i="1"/>
  <c r="CJ6" i="14"/>
  <c r="DI310" i="20" s="1"/>
  <c r="BQ147" i="15"/>
  <c r="AR5" i="1"/>
  <c r="AR4" i="1" s="1"/>
  <c r="S41" i="19"/>
  <c r="BI121" i="1"/>
  <c r="AD72" i="1"/>
  <c r="AV327" i="15"/>
  <c r="CH53" i="20"/>
  <c r="O26" i="1"/>
  <c r="O48" i="1" s="1"/>
  <c r="BT2" i="2"/>
  <c r="AC30" i="14"/>
  <c r="AJ31" i="2"/>
  <c r="BI120" i="1"/>
  <c r="CT48" i="1"/>
  <c r="AV367" i="20"/>
  <c r="BK72" i="1"/>
  <c r="BC55" i="1"/>
  <c r="BU18" i="2"/>
  <c r="Q47" i="19" s="1"/>
  <c r="AJ95" i="1"/>
  <c r="CK11" i="2"/>
  <c r="AG40" i="19" s="1"/>
  <c r="CE72" i="1"/>
  <c r="DG578" i="20"/>
  <c r="CV163" i="20"/>
  <c r="CV163" i="15"/>
  <c r="V70" i="1"/>
  <c r="CX27" i="1"/>
  <c r="CX26" i="1" s="1"/>
  <c r="CX48" i="1" s="1"/>
  <c r="CL12" i="2"/>
  <c r="CM12" i="2" s="1"/>
  <c r="CM71" i="2" s="1"/>
  <c r="AI79" i="19" s="1"/>
  <c r="K55" i="1"/>
  <c r="AP368" i="15"/>
  <c r="AK19" i="9"/>
  <c r="AO19" i="9" s="1"/>
  <c r="AO20" i="9" s="1"/>
  <c r="CI57" i="2"/>
  <c r="CI74" i="2" s="1"/>
  <c r="AE82" i="19" s="1"/>
  <c r="AJ60" i="1"/>
  <c r="AP310" i="20"/>
  <c r="CS5" i="1"/>
  <c r="CS4" i="1" s="1"/>
  <c r="BW27" i="1"/>
  <c r="BW26" i="1" s="1"/>
  <c r="BU53" i="2"/>
  <c r="BU55" i="2" s="1"/>
  <c r="BU70" i="2" s="1"/>
  <c r="Q78" i="19" s="1"/>
  <c r="AO33" i="2"/>
  <c r="BT163" i="20"/>
  <c r="CK71" i="2"/>
  <c r="AG79" i="19" s="1"/>
  <c r="AE54" i="2"/>
  <c r="F54" i="1"/>
  <c r="DO147" i="20"/>
  <c r="BK138" i="1"/>
  <c r="AP310" i="15"/>
  <c r="CT6" i="14"/>
  <c r="DS310" i="20" s="1"/>
  <c r="BR6" i="14"/>
  <c r="CQ368" i="15" s="1"/>
  <c r="CB30" i="14"/>
  <c r="CT3" i="20"/>
  <c r="DD335" i="20"/>
  <c r="K95" i="1"/>
  <c r="D151" i="1"/>
  <c r="AC592" i="20" s="1"/>
  <c r="DC147" i="15"/>
  <c r="CX149" i="1"/>
  <c r="CX145" i="1" s="1"/>
  <c r="CX151" i="1" s="1"/>
  <c r="Z30" i="19"/>
  <c r="DC578" i="15"/>
  <c r="AM31" i="2"/>
  <c r="AO31" i="2" s="1"/>
  <c r="BM24" i="2"/>
  <c r="I53" i="19" s="1"/>
  <c r="CD138" i="1"/>
  <c r="AY120" i="1"/>
  <c r="CX54" i="1"/>
  <c r="BS589" i="20"/>
  <c r="AX31" i="2"/>
  <c r="AY31" i="2" s="1"/>
  <c r="C60" i="19" s="1"/>
  <c r="V30" i="14"/>
  <c r="AZ327" i="20"/>
  <c r="CB335" i="15"/>
  <c r="N27" i="11"/>
  <c r="CS2" i="2"/>
  <c r="BL30" i="14"/>
  <c r="F10" i="9"/>
  <c r="F11" i="9" s="1"/>
  <c r="AZ115" i="1"/>
  <c r="AZ117" i="1" s="1"/>
  <c r="BM22" i="2"/>
  <c r="BN22" i="2" s="1"/>
  <c r="J51" i="19" s="1"/>
  <c r="CW86" i="2"/>
  <c r="AY52" i="1"/>
  <c r="BE10" i="14"/>
  <c r="CD335" i="15" s="1"/>
  <c r="I52" i="19"/>
  <c r="DE410" i="15"/>
  <c r="Y86" i="2"/>
  <c r="Y87" i="2" s="1"/>
  <c r="N54" i="1"/>
  <c r="CX55" i="1"/>
  <c r="Q62" i="19"/>
  <c r="BN23" i="2"/>
  <c r="CM53" i="15" s="1"/>
  <c r="AI122" i="1"/>
  <c r="BX12" i="2"/>
  <c r="BX71" i="2" s="1"/>
  <c r="T79" i="19" s="1"/>
  <c r="AM20" i="2"/>
  <c r="AM56" i="2" s="1"/>
  <c r="DE147" i="20"/>
  <c r="Z36" i="9"/>
  <c r="Z37" i="9" s="1"/>
  <c r="BX173" i="20"/>
  <c r="CU335" i="20"/>
  <c r="AN23" i="2"/>
  <c r="AN22" i="2" s="1"/>
  <c r="AE31" i="2"/>
  <c r="CD5" i="1"/>
  <c r="CD4" i="1" s="1"/>
  <c r="BU42" i="2"/>
  <c r="Q72" i="19" s="1"/>
  <c r="CL53" i="15"/>
  <c r="CA122" i="1"/>
  <c r="X115" i="1"/>
  <c r="X117" i="1" s="1"/>
  <c r="AV15" i="2"/>
  <c r="AV91" i="2" s="1"/>
  <c r="DE581" i="20"/>
  <c r="X48" i="1"/>
  <c r="N154" i="1"/>
  <c r="DW410" i="20"/>
  <c r="CJ113" i="1"/>
  <c r="BN14" i="9"/>
  <c r="BM60" i="2"/>
  <c r="BW70" i="1"/>
  <c r="BW71" i="1" s="1"/>
  <c r="AE313" i="20"/>
  <c r="BV5" i="14"/>
  <c r="BV8" i="14" s="1"/>
  <c r="BV9" i="14" s="1"/>
  <c r="CU327" i="20" s="1"/>
  <c r="R40" i="19"/>
  <c r="N152" i="1"/>
  <c r="DW581" i="20"/>
  <c r="CB163" i="15"/>
  <c r="CG30" i="20"/>
  <c r="BU20" i="2"/>
  <c r="Q49" i="19" s="1"/>
  <c r="T42" i="19"/>
  <c r="N3" i="11"/>
  <c r="CW580" i="15"/>
  <c r="AE52" i="20"/>
  <c r="CA581" i="15"/>
  <c r="BW33" i="2"/>
  <c r="S62" i="19" s="1"/>
  <c r="AT147" i="1"/>
  <c r="AN43" i="9"/>
  <c r="Q39" i="19"/>
  <c r="BF327" i="15"/>
  <c r="AB313" i="20"/>
  <c r="AY121" i="1"/>
  <c r="AT79" i="1"/>
  <c r="CU30" i="15"/>
  <c r="CU4" i="15"/>
  <c r="DC147" i="20"/>
  <c r="BU15" i="2"/>
  <c r="Q44" i="19" s="1"/>
  <c r="BF327" i="20"/>
  <c r="BI68" i="2"/>
  <c r="CH30" i="20" s="1"/>
  <c r="BC27" i="1"/>
  <c r="BC26" i="1" s="1"/>
  <c r="O52" i="1"/>
  <c r="AN173" i="20"/>
  <c r="H15" i="19"/>
  <c r="O7" i="2"/>
  <c r="O10" i="2" s="1"/>
  <c r="O18" i="2" s="1"/>
  <c r="P8" i="2"/>
  <c r="CW580" i="20"/>
  <c r="BN86" i="2"/>
  <c r="BN87" i="2" s="1"/>
  <c r="H138" i="1"/>
  <c r="H151" i="1" s="1"/>
  <c r="AG592" i="20" s="1"/>
  <c r="AY57" i="1"/>
  <c r="AY31" i="11" s="1"/>
  <c r="BR27" i="1"/>
  <c r="BR26" i="1" s="1"/>
  <c r="BS162" i="15"/>
  <c r="CU30" i="20"/>
  <c r="AM30" i="14"/>
  <c r="BI335" i="15"/>
  <c r="BI52" i="1"/>
  <c r="AD48" i="1"/>
  <c r="CG30" i="15"/>
  <c r="N32" i="2"/>
  <c r="AW56" i="19"/>
  <c r="CL92" i="1"/>
  <c r="CL93" i="1" s="1"/>
  <c r="CL5" i="14"/>
  <c r="CL8" i="14" s="1"/>
  <c r="CL9" i="14" s="1"/>
  <c r="DK327" i="20" s="1"/>
  <c r="DK30" i="20"/>
  <c r="CM68" i="2"/>
  <c r="DL30" i="20" s="1"/>
  <c r="AK367" i="20"/>
  <c r="AK327" i="20"/>
  <c r="CQ5" i="14"/>
  <c r="CQ8" i="14" s="1"/>
  <c r="CQ9" i="14" s="1"/>
  <c r="DP367" i="20" s="1"/>
  <c r="CR68" i="2"/>
  <c r="DQ30" i="20" s="1"/>
  <c r="CQ92" i="1"/>
  <c r="CQ95" i="1" s="1"/>
  <c r="F11" i="2"/>
  <c r="AE4" i="20" s="1"/>
  <c r="AB30" i="14"/>
  <c r="CL9" i="2"/>
  <c r="AH38" i="19" s="1"/>
  <c r="D14" i="19"/>
  <c r="CL59" i="2"/>
  <c r="BW7" i="15"/>
  <c r="AX63" i="1"/>
  <c r="AT54" i="15"/>
  <c r="U26" i="2"/>
  <c r="AT54" i="20"/>
  <c r="U61" i="2"/>
  <c r="D70" i="1"/>
  <c r="D71" i="1" s="1"/>
  <c r="BB6" i="14"/>
  <c r="CA368" i="20" s="1"/>
  <c r="AC55" i="2"/>
  <c r="AC57" i="2" s="1"/>
  <c r="DB145" i="15"/>
  <c r="AW18" i="2"/>
  <c r="I104" i="1"/>
  <c r="AV42" i="2"/>
  <c r="CH173" i="20"/>
  <c r="CC589" i="15"/>
  <c r="AS14" i="9"/>
  <c r="AS34" i="9" s="1"/>
  <c r="BW7" i="20"/>
  <c r="BV6" i="15"/>
  <c r="BV313" i="20"/>
  <c r="BV6" i="20"/>
  <c r="BV313" i="15"/>
  <c r="AW56" i="2"/>
  <c r="AN15" i="19"/>
  <c r="CR34" i="9"/>
  <c r="BT122" i="1"/>
  <c r="E70" i="1"/>
  <c r="E71" i="1" s="1"/>
  <c r="BW580" i="20"/>
  <c r="AY13" i="2"/>
  <c r="BW580" i="15"/>
  <c r="AX61" i="2"/>
  <c r="CM4" i="2"/>
  <c r="AI33" i="19" s="1"/>
  <c r="BK149" i="1"/>
  <c r="BK145" i="1" s="1"/>
  <c r="CJ163" i="20"/>
  <c r="CJ163" i="15"/>
  <c r="AX88" i="2"/>
  <c r="AY85" i="2"/>
  <c r="AY88" i="2" s="1"/>
  <c r="BN43" i="9"/>
  <c r="AN72" i="1"/>
  <c r="CB581" i="15"/>
  <c r="CQ144" i="1"/>
  <c r="CQ138" i="1" s="1"/>
  <c r="AW11" i="2"/>
  <c r="AW54" i="2"/>
  <c r="AX12" i="2"/>
  <c r="AW71" i="2"/>
  <c r="AW113" i="1" s="1"/>
  <c r="BP27" i="1"/>
  <c r="BP26" i="1" s="1"/>
  <c r="CO163" i="20"/>
  <c r="BB122" i="1"/>
  <c r="CR18" i="1"/>
  <c r="DQ147" i="20" s="1"/>
  <c r="P54" i="2"/>
  <c r="AO92" i="1"/>
  <c r="AO93" i="1" s="1"/>
  <c r="BK147" i="20"/>
  <c r="CL10" i="2"/>
  <c r="CM10" i="2" s="1"/>
  <c r="CM18" i="2" s="1"/>
  <c r="AI47" i="19" s="1"/>
  <c r="AI30" i="14"/>
  <c r="AX4" i="2"/>
  <c r="AX10" i="2" s="1"/>
  <c r="CK6" i="14"/>
  <c r="DJ368" i="20" s="1"/>
  <c r="CO163" i="15"/>
  <c r="AL144" i="1"/>
  <c r="AL138" i="1" s="1"/>
  <c r="AH310" i="20"/>
  <c r="CJ15" i="2"/>
  <c r="DI4" i="20"/>
  <c r="AF40" i="19"/>
  <c r="BL48" i="1"/>
  <c r="BM6" i="14"/>
  <c r="CL368" i="20" s="1"/>
  <c r="CQ43" i="9"/>
  <c r="O59" i="2"/>
  <c r="DJ46" i="1"/>
  <c r="DK46" i="1" s="1"/>
  <c r="AW368" i="15"/>
  <c r="BA21" i="9"/>
  <c r="Q40" i="19"/>
  <c r="BP149" i="1"/>
  <c r="BP145" i="1" s="1"/>
  <c r="AE50" i="1"/>
  <c r="AF26" i="2" s="1"/>
  <c r="CW24" i="2"/>
  <c r="AS53" i="19" s="1"/>
  <c r="BB54" i="1"/>
  <c r="AE410" i="20"/>
  <c r="BC310" i="20"/>
  <c r="CV30" i="20"/>
  <c r="BM43" i="9"/>
  <c r="AS4" i="20"/>
  <c r="AS4" i="15"/>
  <c r="CG53" i="1"/>
  <c r="CG55" i="1" s="1"/>
  <c r="BR5" i="1"/>
  <c r="BR4" i="1" s="1"/>
  <c r="CQ147" i="20"/>
  <c r="CQ147" i="15"/>
  <c r="BC310" i="15"/>
  <c r="CG26" i="2"/>
  <c r="AC55" i="19" s="1"/>
  <c r="P6" i="14"/>
  <c r="AO368" i="20" s="1"/>
  <c r="BW145" i="1"/>
  <c r="BC368" i="15"/>
  <c r="BW92" i="1"/>
  <c r="BW93" i="1" s="1"/>
  <c r="P138" i="1"/>
  <c r="G51" i="19"/>
  <c r="BM92" i="1"/>
  <c r="BN92" i="1" s="1"/>
  <c r="BN93" i="1" s="1"/>
  <c r="BA122" i="1"/>
  <c r="BL24" i="1"/>
  <c r="BK27" i="1"/>
  <c r="BK26" i="1" s="1"/>
  <c r="AI55" i="1"/>
  <c r="L95" i="1"/>
  <c r="N59" i="1"/>
  <c r="AC138" i="1"/>
  <c r="AC151" i="1" s="1"/>
  <c r="BB592" i="20" s="1"/>
  <c r="AW310" i="20"/>
  <c r="BA14" i="9"/>
  <c r="BA34" i="9" s="1"/>
  <c r="CT4" i="15"/>
  <c r="AF10" i="14"/>
  <c r="BE335" i="20" s="1"/>
  <c r="CW60" i="2"/>
  <c r="CA410" i="15"/>
  <c r="DF335" i="15"/>
  <c r="CJ95" i="1"/>
  <c r="CV30" i="15"/>
  <c r="BM30" i="14"/>
  <c r="CQ5" i="1"/>
  <c r="CQ4" i="1" s="1"/>
  <c r="CQ48" i="1" s="1"/>
  <c r="BU30" i="14"/>
  <c r="BZ6" i="14"/>
  <c r="CY310" i="20" s="1"/>
  <c r="P85" i="2"/>
  <c r="P86" i="2" s="1"/>
  <c r="BJ48" i="1"/>
  <c r="BK147" i="15"/>
  <c r="AK30" i="14"/>
  <c r="CJ16" i="15"/>
  <c r="BM5" i="14"/>
  <c r="BM8" i="14" s="1"/>
  <c r="BM9" i="14" s="1"/>
  <c r="CL367" i="20" s="1"/>
  <c r="BV92" i="1"/>
  <c r="BV93" i="1" s="1"/>
  <c r="BX11" i="2"/>
  <c r="CW4" i="15" s="1"/>
  <c r="AI54" i="1"/>
  <c r="S55" i="1"/>
  <c r="CC140" i="1"/>
  <c r="N3" i="1"/>
  <c r="CT4" i="20"/>
  <c r="AE27" i="1"/>
  <c r="AE26" i="1" s="1"/>
  <c r="AS52" i="19"/>
  <c r="BB55" i="1"/>
  <c r="AA122" i="1"/>
  <c r="F64" i="2"/>
  <c r="AX64" i="2"/>
  <c r="U113" i="1"/>
  <c r="T114" i="1"/>
  <c r="U114" i="1" s="1"/>
  <c r="DB46" i="9"/>
  <c r="AZ30" i="14"/>
  <c r="CL40" i="2"/>
  <c r="AH70" i="19" s="1"/>
  <c r="AT72" i="2"/>
  <c r="U30" i="14"/>
  <c r="AX138" i="1"/>
  <c r="S122" i="1"/>
  <c r="CL30" i="20"/>
  <c r="CV63" i="1"/>
  <c r="BX68" i="2"/>
  <c r="CW30" i="20" s="1"/>
  <c r="N32" i="9"/>
  <c r="CI63" i="1"/>
  <c r="CI40" i="2" s="1"/>
  <c r="AE70" i="19" s="1"/>
  <c r="AE146" i="1"/>
  <c r="AE145" i="1" s="1"/>
  <c r="BX18" i="15"/>
  <c r="BW18" i="15"/>
  <c r="AB48" i="1"/>
  <c r="AS9" i="2"/>
  <c r="C54" i="19"/>
  <c r="BX54" i="20"/>
  <c r="BX54" i="15"/>
  <c r="CM30" i="20"/>
  <c r="CM30" i="15"/>
  <c r="BN5" i="14"/>
  <c r="BN8" i="14" s="1"/>
  <c r="BN9" i="14" s="1"/>
  <c r="CM327" i="20" s="1"/>
  <c r="CV36" i="9"/>
  <c r="CV43" i="9" s="1"/>
  <c r="AR34" i="19"/>
  <c r="CV4" i="2"/>
  <c r="CV10" i="2" s="1"/>
  <c r="CW5" i="2"/>
  <c r="AS34" i="19" s="1"/>
  <c r="BV6" i="14"/>
  <c r="CU310" i="20" s="1"/>
  <c r="AR138" i="1"/>
  <c r="AM72" i="1"/>
  <c r="BT115" i="1"/>
  <c r="BT117" i="1" s="1"/>
  <c r="CO16" i="20"/>
  <c r="CO16" i="15"/>
  <c r="L51" i="19"/>
  <c r="F13" i="9"/>
  <c r="AE589" i="20" s="1"/>
  <c r="F84" i="1"/>
  <c r="AX30" i="20"/>
  <c r="Y5" i="14"/>
  <c r="Y8" i="14" s="1"/>
  <c r="Y9" i="14" s="1"/>
  <c r="AX30" i="15"/>
  <c r="Y92" i="1"/>
  <c r="Z92" i="1" s="1"/>
  <c r="Z93" i="1" s="1"/>
  <c r="CO26" i="2"/>
  <c r="AK55" i="19" s="1"/>
  <c r="BQ6" i="14"/>
  <c r="CP368" i="20" s="1"/>
  <c r="CV6" i="14"/>
  <c r="DU368" i="20" s="1"/>
  <c r="BW63" i="1"/>
  <c r="BW40" i="2" s="1"/>
  <c r="S70" i="19" s="1"/>
  <c r="BG92" i="1"/>
  <c r="BI92" i="1" s="1"/>
  <c r="BI93" i="1" s="1"/>
  <c r="BB30" i="14"/>
  <c r="N3" i="2"/>
  <c r="N3" i="9"/>
  <c r="CK5" i="1"/>
  <c r="CK4" i="1" s="1"/>
  <c r="CK48" i="1" s="1"/>
  <c r="AF138" i="1"/>
  <c r="AF151" i="1" s="1"/>
  <c r="AF152" i="1" s="1"/>
  <c r="AS327" i="15"/>
  <c r="AU9" i="2"/>
  <c r="AU10" i="2"/>
  <c r="E85" i="1"/>
  <c r="E104" i="1"/>
  <c r="E98" i="1"/>
  <c r="E101" i="1"/>
  <c r="AX7" i="20"/>
  <c r="Y31" i="2"/>
  <c r="Z31" i="2" s="1"/>
  <c r="AX7" i="15"/>
  <c r="CE144" i="1"/>
  <c r="CE138" i="1" s="1"/>
  <c r="CE5" i="1"/>
  <c r="CE4" i="1" s="1"/>
  <c r="G101" i="1"/>
  <c r="G85" i="1"/>
  <c r="G98" i="1"/>
  <c r="AD86" i="2"/>
  <c r="AD87" i="2" s="1"/>
  <c r="AD53" i="1"/>
  <c r="AD26" i="2"/>
  <c r="AL37" i="9"/>
  <c r="AL56" i="9" s="1"/>
  <c r="AL40" i="9"/>
  <c r="AL41" i="9" s="1"/>
  <c r="CF410" i="20"/>
  <c r="CF581" i="20"/>
  <c r="CF410" i="15"/>
  <c r="G48" i="1"/>
  <c r="CM140" i="1"/>
  <c r="CM60" i="1"/>
  <c r="CR20" i="9"/>
  <c r="AN21" i="19" s="1"/>
  <c r="DL145" i="20"/>
  <c r="CQ20" i="9"/>
  <c r="AM21" i="19" s="1"/>
  <c r="CM191" i="1"/>
  <c r="BC335" i="20"/>
  <c r="BC335" i="15"/>
  <c r="BA72" i="19"/>
  <c r="AU60" i="2"/>
  <c r="AU59" i="2" s="1"/>
  <c r="AU22" i="2"/>
  <c r="AU24" i="2"/>
  <c r="AX23" i="2"/>
  <c r="BT53" i="20"/>
  <c r="BT53" i="15"/>
  <c r="CF30" i="15"/>
  <c r="N25" i="1"/>
  <c r="N23" i="9"/>
  <c r="E35" i="9"/>
  <c r="AV53" i="2"/>
  <c r="AV55" i="2" s="1"/>
  <c r="AV70" i="2" s="1"/>
  <c r="CH196" i="1"/>
  <c r="CX72" i="1"/>
  <c r="AS367" i="15"/>
  <c r="BS76" i="1"/>
  <c r="U30" i="19"/>
  <c r="CX578" i="20"/>
  <c r="CX578" i="15"/>
  <c r="AU37" i="9"/>
  <c r="AU43" i="9"/>
  <c r="AU38" i="9"/>
  <c r="AU39" i="9" s="1"/>
  <c r="AA5" i="7"/>
  <c r="V3" i="7"/>
  <c r="CO95" i="1"/>
  <c r="CO93" i="1"/>
  <c r="AD52" i="19"/>
  <c r="DG53" i="20"/>
  <c r="CH24" i="2"/>
  <c r="AD53" i="19" s="1"/>
  <c r="DG53" i="15"/>
  <c r="CH60" i="2"/>
  <c r="CG63" i="1"/>
  <c r="CG40" i="2" s="1"/>
  <c r="AC70" i="19" s="1"/>
  <c r="CA63" i="1"/>
  <c r="CA40" i="2" s="1"/>
  <c r="W70" i="19" s="1"/>
  <c r="Z72" i="1"/>
  <c r="AY89" i="1"/>
  <c r="AY29" i="14"/>
  <c r="P30" i="14"/>
  <c r="N93" i="2"/>
  <c r="AU145" i="1"/>
  <c r="BU16" i="20"/>
  <c r="BU16" i="15"/>
  <c r="N51" i="9"/>
  <c r="H72" i="1"/>
  <c r="BY30" i="14"/>
  <c r="DP30" i="20"/>
  <c r="BN580" i="20"/>
  <c r="BN580" i="15"/>
  <c r="AQ72" i="1"/>
  <c r="CH36" i="9"/>
  <c r="CH37" i="9" s="1"/>
  <c r="BM122" i="1"/>
  <c r="CF5" i="1"/>
  <c r="CF4" i="1" s="1"/>
  <c r="BW6" i="14"/>
  <c r="CV310" i="15" s="1"/>
  <c r="BG5" i="14"/>
  <c r="BG8" i="14" s="1"/>
  <c r="BG9" i="14" s="1"/>
  <c r="CF367" i="15" s="1"/>
  <c r="BP30" i="14"/>
  <c r="N52" i="2"/>
  <c r="N130" i="1"/>
  <c r="BP6" i="14"/>
  <c r="CO310" i="20" s="1"/>
  <c r="BI36" i="9"/>
  <c r="BI37" i="9" s="1"/>
  <c r="BD98" i="1"/>
  <c r="AV21" i="2"/>
  <c r="BH49" i="1"/>
  <c r="AS367" i="20"/>
  <c r="Q51" i="9"/>
  <c r="Q3" i="9"/>
  <c r="Q106" i="1"/>
  <c r="Q25" i="1"/>
  <c r="Q3" i="2"/>
  <c r="Q9" i="7"/>
  <c r="Q77" i="2"/>
  <c r="Q32" i="9"/>
  <c r="Q59" i="1"/>
  <c r="Q3" i="1"/>
  <c r="Q23" i="9"/>
  <c r="Q93" i="2"/>
  <c r="Q3" i="14"/>
  <c r="Q130" i="1"/>
  <c r="Q3" i="11"/>
  <c r="Q45" i="9"/>
  <c r="Q27" i="11"/>
  <c r="Q83" i="2"/>
  <c r="Q52" i="2"/>
  <c r="CI149" i="1"/>
  <c r="CI145" i="1" s="1"/>
  <c r="DH163" i="20"/>
  <c r="BE144" i="1"/>
  <c r="BE138" i="1" s="1"/>
  <c r="CD147" i="15"/>
  <c r="CD147" i="20"/>
  <c r="BE5" i="1"/>
  <c r="BE4" i="1" s="1"/>
  <c r="CP92" i="1"/>
  <c r="CP5" i="14"/>
  <c r="CP8" i="14" s="1"/>
  <c r="CP9" i="14" s="1"/>
  <c r="DO30" i="20"/>
  <c r="CP33" i="2"/>
  <c r="AS60" i="2"/>
  <c r="AS59" i="2" s="1"/>
  <c r="AS22" i="2"/>
  <c r="AT22" i="2" s="1"/>
  <c r="AS24" i="2"/>
  <c r="BR53" i="20"/>
  <c r="BR53" i="15"/>
  <c r="AT27" i="19"/>
  <c r="DD147" i="15"/>
  <c r="AR63" i="1"/>
  <c r="AR40" i="2" s="1"/>
  <c r="N3" i="14"/>
  <c r="BZ72" i="1"/>
  <c r="C56" i="2"/>
  <c r="DF147" i="20"/>
  <c r="DF147" i="15"/>
  <c r="P4" i="2"/>
  <c r="CF30" i="20"/>
  <c r="N77" i="2"/>
  <c r="N45" i="9"/>
  <c r="CH18" i="1"/>
  <c r="CH144" i="1" s="1"/>
  <c r="CH138" i="1" s="1"/>
  <c r="BD104" i="1"/>
  <c r="AV18" i="2"/>
  <c r="CG581" i="15"/>
  <c r="AL43" i="9"/>
  <c r="CH146" i="1"/>
  <c r="CH50" i="1"/>
  <c r="CH53" i="1" s="1"/>
  <c r="DG410" i="15" s="1"/>
  <c r="CV53" i="1"/>
  <c r="DU581" i="20" s="1"/>
  <c r="CV86" i="2"/>
  <c r="BV53" i="1"/>
  <c r="BV49" i="1" s="1"/>
  <c r="BV86" i="2"/>
  <c r="AT24" i="2"/>
  <c r="BS53" i="15"/>
  <c r="AT60" i="2"/>
  <c r="BS53" i="20"/>
  <c r="BP410" i="20"/>
  <c r="BQ581" i="15"/>
  <c r="BP410" i="15"/>
  <c r="AQ55" i="1"/>
  <c r="AQ54" i="1"/>
  <c r="BD101" i="1"/>
  <c r="AJ141" i="1"/>
  <c r="AJ138" i="1" s="1"/>
  <c r="BI146" i="15"/>
  <c r="AJ69" i="1"/>
  <c r="AK72" i="1" s="1"/>
  <c r="BI146" i="20"/>
  <c r="AJ5" i="1"/>
  <c r="AJ4" i="1" s="1"/>
  <c r="AQ122" i="1"/>
  <c r="AY6" i="20"/>
  <c r="AY6" i="15"/>
  <c r="BO16" i="15"/>
  <c r="BO16" i="20"/>
  <c r="BF144" i="1"/>
  <c r="BF138" i="1" s="1"/>
  <c r="BF5" i="1"/>
  <c r="BF4" i="1" s="1"/>
  <c r="BF48" i="1" s="1"/>
  <c r="CE147" i="15"/>
  <c r="CE147" i="20"/>
  <c r="CE53" i="1"/>
  <c r="CE54" i="1" s="1"/>
  <c r="CF26" i="2"/>
  <c r="AB55" i="19" s="1"/>
  <c r="CF86" i="2"/>
  <c r="G104" i="1"/>
  <c r="CU72" i="1"/>
  <c r="CT144" i="1"/>
  <c r="CT138" i="1" s="1"/>
  <c r="DS147" i="20"/>
  <c r="BD146" i="1"/>
  <c r="BD50" i="1"/>
  <c r="BD53" i="1" s="1"/>
  <c r="CC410" i="15" s="1"/>
  <c r="AT20" i="20"/>
  <c r="U65" i="2"/>
  <c r="AT20" i="15"/>
  <c r="Z32" i="2"/>
  <c r="AE30" i="19"/>
  <c r="DH578" i="20"/>
  <c r="CJ31" i="2"/>
  <c r="CJ20" i="2"/>
  <c r="AF62" i="19"/>
  <c r="CK55" i="2"/>
  <c r="CK70" i="2" s="1"/>
  <c r="AG78" i="19" s="1"/>
  <c r="N83" i="2"/>
  <c r="O154" i="1"/>
  <c r="AM59" i="2"/>
  <c r="DE147" i="15"/>
  <c r="X72" i="1"/>
  <c r="AQ138" i="1"/>
  <c r="AE6" i="14"/>
  <c r="BD368" i="15" s="1"/>
  <c r="BT163" i="15"/>
  <c r="W95" i="1"/>
  <c r="W93" i="1"/>
  <c r="AL9" i="2"/>
  <c r="AL10" i="2"/>
  <c r="CK5" i="14"/>
  <c r="CK8" i="14" s="1"/>
  <c r="CK9" i="14" s="1"/>
  <c r="CK33" i="2"/>
  <c r="CL33" i="2" s="1"/>
  <c r="DJ30" i="20"/>
  <c r="CK92" i="1"/>
  <c r="AI16" i="2"/>
  <c r="AJ16" i="2" s="1"/>
  <c r="AI56" i="2"/>
  <c r="AI21" i="2"/>
  <c r="BH6" i="20"/>
  <c r="BH6" i="15"/>
  <c r="AE26" i="2"/>
  <c r="AY64" i="2"/>
  <c r="BB17" i="19"/>
  <c r="I101" i="1"/>
  <c r="I85" i="1"/>
  <c r="BN20" i="9"/>
  <c r="J21" i="19" s="1"/>
  <c r="BI191" i="1"/>
  <c r="CH145" i="20"/>
  <c r="BM20" i="9"/>
  <c r="I21" i="19" s="1"/>
  <c r="BI140" i="1"/>
  <c r="BI60" i="1"/>
  <c r="BJ144" i="1"/>
  <c r="BJ138" i="1" s="1"/>
  <c r="CI147" i="15"/>
  <c r="CI147" i="20"/>
  <c r="DU30" i="20"/>
  <c r="CV5" i="14"/>
  <c r="CV8" i="14" s="1"/>
  <c r="CV9" i="14" s="1"/>
  <c r="CV92" i="1"/>
  <c r="O41" i="19"/>
  <c r="BS54" i="2"/>
  <c r="BS71" i="2"/>
  <c r="O79" i="19" s="1"/>
  <c r="AN144" i="1"/>
  <c r="AN138" i="1" s="1"/>
  <c r="AO18" i="1"/>
  <c r="AO5" i="1" s="1"/>
  <c r="AO4" i="1" s="1"/>
  <c r="BM147" i="20"/>
  <c r="BM147" i="15"/>
  <c r="CP3" i="20"/>
  <c r="BQ53" i="2"/>
  <c r="BQ55" i="2" s="1"/>
  <c r="M39" i="19"/>
  <c r="CP3" i="15"/>
  <c r="BQ18" i="2"/>
  <c r="M47" i="19" s="1"/>
  <c r="BQ15" i="2"/>
  <c r="BQ42" i="2"/>
  <c r="M72" i="19" s="1"/>
  <c r="BQ21" i="2"/>
  <c r="M50" i="19" s="1"/>
  <c r="E26" i="19"/>
  <c r="BI76" i="1"/>
  <c r="CF95" i="1"/>
  <c r="CF93" i="1"/>
  <c r="CH92" i="1"/>
  <c r="CH93" i="1" s="1"/>
  <c r="BH122" i="1"/>
  <c r="BH54" i="1"/>
  <c r="Y33" i="19"/>
  <c r="CC9" i="2"/>
  <c r="Y38" i="19" s="1"/>
  <c r="AA49" i="19"/>
  <c r="CE43" i="2"/>
  <c r="CE56" i="2" s="1"/>
  <c r="CE16" i="2"/>
  <c r="AA45" i="19" s="1"/>
  <c r="CE21" i="2"/>
  <c r="AA50" i="19" s="1"/>
  <c r="AH26" i="2"/>
  <c r="AG53" i="1"/>
  <c r="AH86" i="2"/>
  <c r="AH87" i="2" s="1"/>
  <c r="AJ26" i="2"/>
  <c r="AG26" i="2"/>
  <c r="AG86" i="2"/>
  <c r="AG87" i="2" s="1"/>
  <c r="T37" i="9"/>
  <c r="T56" i="9" s="1"/>
  <c r="T43" i="9"/>
  <c r="AD5" i="7"/>
  <c r="Z5" i="7"/>
  <c r="Z3" i="7" s="1"/>
  <c r="Y3" i="7"/>
  <c r="BR30" i="20"/>
  <c r="BR30" i="15"/>
  <c r="AS92" i="1"/>
  <c r="AS5" i="14"/>
  <c r="AS8" i="14" s="1"/>
  <c r="AS9" i="14" s="1"/>
  <c r="AT68" i="2"/>
  <c r="AT313" i="20"/>
  <c r="AT52" i="15"/>
  <c r="AT52" i="20"/>
  <c r="AT313" i="15"/>
  <c r="AT18" i="15"/>
  <c r="AT18" i="20"/>
  <c r="U64" i="2"/>
  <c r="AN53" i="1"/>
  <c r="AN122" i="1" s="1"/>
  <c r="AN26" i="2"/>
  <c r="BZ30" i="14"/>
  <c r="AO575" i="20"/>
  <c r="AO575" i="15"/>
  <c r="P11" i="9"/>
  <c r="AS368" i="20"/>
  <c r="AS310" i="15"/>
  <c r="AS368" i="15"/>
  <c r="AS310" i="20"/>
  <c r="AU327" i="20"/>
  <c r="AU367" i="20"/>
  <c r="AU367" i="15"/>
  <c r="AU327" i="15"/>
  <c r="BD367" i="20"/>
  <c r="BD327" i="20"/>
  <c r="BD367" i="15"/>
  <c r="BD327" i="15"/>
  <c r="AM63" i="1"/>
  <c r="AM40" i="2" s="1"/>
  <c r="AN63" i="1"/>
  <c r="AN40" i="2" s="1"/>
  <c r="CI335" i="20"/>
  <c r="CI335" i="15"/>
  <c r="CO4" i="20"/>
  <c r="L40" i="19"/>
  <c r="CO4" i="15"/>
  <c r="AL29" i="9"/>
  <c r="AL21" i="9"/>
  <c r="AL14" i="9"/>
  <c r="AL34" i="9" s="1"/>
  <c r="AL39" i="9" s="1"/>
  <c r="AB5" i="7"/>
  <c r="W3" i="7"/>
  <c r="CD112" i="1"/>
  <c r="CD115" i="1"/>
  <c r="CD117" i="1" s="1"/>
  <c r="U86" i="2"/>
  <c r="U87" i="2" s="1"/>
  <c r="U88" i="2"/>
  <c r="CZ30" i="20"/>
  <c r="CZ30" i="15"/>
  <c r="CA5" i="14"/>
  <c r="CA8" i="14" s="1"/>
  <c r="CA9" i="14" s="1"/>
  <c r="CA92" i="1"/>
  <c r="CA33" i="2"/>
  <c r="CB33" i="2" s="1"/>
  <c r="BW26" i="15"/>
  <c r="BW26" i="20"/>
  <c r="AY49" i="2"/>
  <c r="AX81" i="2"/>
  <c r="BO3" i="20"/>
  <c r="AP15" i="2"/>
  <c r="BO3" i="15"/>
  <c r="AP53" i="2"/>
  <c r="AP55" i="2" s="1"/>
  <c r="AP18" i="2"/>
  <c r="AP42" i="2"/>
  <c r="AO53" i="20"/>
  <c r="AO53" i="15"/>
  <c r="P24" i="2"/>
  <c r="P60" i="2"/>
  <c r="CP4" i="20"/>
  <c r="M40" i="19"/>
  <c r="CP4" i="15"/>
  <c r="AI575" i="20"/>
  <c r="J35" i="9"/>
  <c r="AI592" i="20"/>
  <c r="J152" i="1"/>
  <c r="J154" i="1"/>
  <c r="BE39" i="9"/>
  <c r="AB592" i="20"/>
  <c r="C152" i="1"/>
  <c r="C154" i="1"/>
  <c r="AE368" i="20"/>
  <c r="AE310" i="20"/>
  <c r="Z146" i="1"/>
  <c r="Z145" i="1" s="1"/>
  <c r="Z27" i="1"/>
  <c r="Z26" i="1" s="1"/>
  <c r="Z48" i="1" s="1"/>
  <c r="Z50" i="1"/>
  <c r="AA10" i="14"/>
  <c r="AE10" i="14"/>
  <c r="AJ86" i="2"/>
  <c r="AJ87" i="2" s="1"/>
  <c r="CM86" i="2"/>
  <c r="CM87" i="2" s="1"/>
  <c r="CM88" i="2"/>
  <c r="AK592" i="20"/>
  <c r="L152" i="1"/>
  <c r="L154" i="1"/>
  <c r="EB132" i="1"/>
  <c r="EC132" i="1" s="1"/>
  <c r="ED132" i="1" s="1"/>
  <c r="EE132" i="1" s="1"/>
  <c r="EF132" i="1" s="1"/>
  <c r="EA132" i="1"/>
  <c r="CB68" i="2"/>
  <c r="AE45" i="19"/>
  <c r="BO4" i="15"/>
  <c r="BO4" i="20"/>
  <c r="AV410" i="20"/>
  <c r="AV581" i="20"/>
  <c r="AV410" i="15"/>
  <c r="W54" i="1"/>
  <c r="W55" i="1"/>
  <c r="W122" i="1"/>
  <c r="BS146" i="1"/>
  <c r="BS50" i="1"/>
  <c r="BS10" i="14"/>
  <c r="BT10" i="14"/>
  <c r="S33" i="19"/>
  <c r="BW10" i="2"/>
  <c r="CA61" i="1" s="1"/>
  <c r="BW9" i="2"/>
  <c r="S38" i="19" s="1"/>
  <c r="BX4" i="2"/>
  <c r="AI30" i="9"/>
  <c r="AI29" i="9"/>
  <c r="M79" i="19"/>
  <c r="BQ113" i="1"/>
  <c r="BE367" i="20"/>
  <c r="BE367" i="15"/>
  <c r="BE327" i="20"/>
  <c r="BE327" i="15"/>
  <c r="BV114" i="1"/>
  <c r="BV116" i="1" s="1"/>
  <c r="BV118" i="1" s="1"/>
  <c r="BV115" i="1"/>
  <c r="BV117" i="1" s="1"/>
  <c r="DO335" i="20"/>
  <c r="BS335" i="20"/>
  <c r="BS335" i="15"/>
  <c r="W26" i="2"/>
  <c r="W86" i="2"/>
  <c r="W87" i="2" s="1"/>
  <c r="V53" i="1"/>
  <c r="AZ581" i="20" s="1"/>
  <c r="CY3" i="20"/>
  <c r="CY3" i="15"/>
  <c r="BZ53" i="2"/>
  <c r="BZ55" i="2" s="1"/>
  <c r="BZ15" i="2"/>
  <c r="BZ18" i="2"/>
  <c r="V47" i="19" s="1"/>
  <c r="V39" i="19"/>
  <c r="BZ42" i="2"/>
  <c r="V72" i="19" s="1"/>
  <c r="AP39" i="9"/>
  <c r="BD16" i="20"/>
  <c r="BD16" i="15"/>
  <c r="AS581" i="20"/>
  <c r="AS410" i="20"/>
  <c r="AS581" i="15"/>
  <c r="AS410" i="15"/>
  <c r="T54" i="1"/>
  <c r="T55" i="1"/>
  <c r="T122" i="1"/>
  <c r="BI6" i="20"/>
  <c r="BI6" i="15"/>
  <c r="AJ56" i="2"/>
  <c r="L70" i="2"/>
  <c r="L57" i="2"/>
  <c r="AS112" i="1"/>
  <c r="AT112" i="1" s="1"/>
  <c r="AT111" i="1"/>
  <c r="CL112" i="20"/>
  <c r="I85" i="19"/>
  <c r="CL112" i="15"/>
  <c r="AX368" i="20"/>
  <c r="AX310" i="20"/>
  <c r="AX310" i="15"/>
  <c r="AX368" i="15"/>
  <c r="DA580" i="20"/>
  <c r="DA580" i="15"/>
  <c r="X42" i="19"/>
  <c r="CB61" i="2"/>
  <c r="CB59" i="2" s="1"/>
  <c r="CC13" i="2"/>
  <c r="BD146" i="20"/>
  <c r="BD146" i="15"/>
  <c r="AE141" i="1"/>
  <c r="AE69" i="1"/>
  <c r="AE5" i="1"/>
  <c r="AE4" i="1" s="1"/>
  <c r="J71" i="1"/>
  <c r="BA144" i="1"/>
  <c r="BA138" i="1" s="1"/>
  <c r="BZ147" i="15"/>
  <c r="BZ147" i="20"/>
  <c r="CQ410" i="20"/>
  <c r="CQ581" i="20"/>
  <c r="CQ410" i="15"/>
  <c r="BR54" i="1"/>
  <c r="BR55" i="1"/>
  <c r="DM98" i="1"/>
  <c r="DJ98" i="1"/>
  <c r="DK98" i="1" s="1"/>
  <c r="CG38" i="9"/>
  <c r="CG39" i="9" s="1"/>
  <c r="CG37" i="9"/>
  <c r="BS20" i="20"/>
  <c r="BS20" i="15"/>
  <c r="AT65" i="2"/>
  <c r="BM48" i="1"/>
  <c r="BY410" i="15"/>
  <c r="BY410" i="20"/>
  <c r="AZ55" i="1"/>
  <c r="AZ54" i="1"/>
  <c r="U92" i="1"/>
  <c r="U93" i="1" s="1"/>
  <c r="Q95" i="1"/>
  <c r="Q93" i="1"/>
  <c r="AX335" i="20"/>
  <c r="AX335" i="15"/>
  <c r="AS35" i="19"/>
  <c r="CW72" i="2"/>
  <c r="AS80" i="19" s="1"/>
  <c r="AJ20" i="20"/>
  <c r="K65" i="2"/>
  <c r="CX3" i="20"/>
  <c r="CX3" i="15"/>
  <c r="U39" i="19"/>
  <c r="BY42" i="2"/>
  <c r="U72" i="19" s="1"/>
  <c r="BY53" i="2"/>
  <c r="BY55" i="2" s="1"/>
  <c r="BY15" i="2"/>
  <c r="BY18" i="2"/>
  <c r="U47" i="19" s="1"/>
  <c r="V57" i="2"/>
  <c r="V70" i="2"/>
  <c r="CT581" i="20"/>
  <c r="CT410" i="20"/>
  <c r="CT410" i="15"/>
  <c r="CT581" i="15"/>
  <c r="BU55" i="1"/>
  <c r="BU49" i="1"/>
  <c r="BU54" i="1"/>
  <c r="DC335" i="20"/>
  <c r="DC335" i="15"/>
  <c r="CN578" i="20"/>
  <c r="K30" i="19"/>
  <c r="CN578" i="15"/>
  <c r="BD3" i="20"/>
  <c r="BD3" i="15"/>
  <c r="AE61" i="1"/>
  <c r="AE53" i="2"/>
  <c r="AE42" i="2"/>
  <c r="AE18" i="2"/>
  <c r="CN116" i="1"/>
  <c r="CR112" i="1"/>
  <c r="T10" i="2"/>
  <c r="T61" i="1" s="1"/>
  <c r="T40" i="2"/>
  <c r="T9" i="2"/>
  <c r="U45" i="9"/>
  <c r="U3" i="14"/>
  <c r="U51" i="9"/>
  <c r="U27" i="11"/>
  <c r="U3" i="11"/>
  <c r="U83" i="2"/>
  <c r="U3" i="2"/>
  <c r="U106" i="1"/>
  <c r="U77" i="2"/>
  <c r="U3" i="1"/>
  <c r="U93" i="2"/>
  <c r="U32" i="9"/>
  <c r="U130" i="1"/>
  <c r="U59" i="1"/>
  <c r="U52" i="2"/>
  <c r="U25" i="1"/>
  <c r="U9" i="7"/>
  <c r="U23" i="9"/>
  <c r="U3" i="9"/>
  <c r="CR10" i="14"/>
  <c r="CR146" i="1"/>
  <c r="CR50" i="1"/>
  <c r="CS10" i="14"/>
  <c r="BY16" i="20"/>
  <c r="BY16" i="15"/>
  <c r="DP410" i="20"/>
  <c r="DP581" i="20"/>
  <c r="CQ54" i="1"/>
  <c r="CQ55" i="1"/>
  <c r="X116" i="1"/>
  <c r="X118" i="1" s="1"/>
  <c r="Z112" i="1"/>
  <c r="AV122" i="1"/>
  <c r="AV55" i="1"/>
  <c r="AV54" i="1"/>
  <c r="X36" i="2"/>
  <c r="X38" i="2" s="1"/>
  <c r="DM578" i="20"/>
  <c r="AJ30" i="19"/>
  <c r="CL144" i="1"/>
  <c r="CL138" i="1" s="1"/>
  <c r="CM18" i="1"/>
  <c r="DK147" i="20"/>
  <c r="CL6" i="14"/>
  <c r="B71" i="1"/>
  <c r="B80" i="1"/>
  <c r="B81" i="1" s="1"/>
  <c r="B76" i="1"/>
  <c r="CU5" i="14"/>
  <c r="CU8" i="14" s="1"/>
  <c r="CU9" i="14" s="1"/>
  <c r="CU92" i="1"/>
  <c r="DT30" i="20"/>
  <c r="CU33" i="2"/>
  <c r="CV33" i="2" s="1"/>
  <c r="CW33" i="2" s="1"/>
  <c r="AS62" i="19" s="1"/>
  <c r="CW68" i="2"/>
  <c r="AJ575" i="20"/>
  <c r="K11" i="9"/>
  <c r="K35" i="9"/>
  <c r="K37" i="9" s="1"/>
  <c r="CJ335" i="20"/>
  <c r="CJ335" i="15"/>
  <c r="CB53" i="20"/>
  <c r="CB53" i="15"/>
  <c r="BC24" i="2"/>
  <c r="BC22" i="2"/>
  <c r="BD22" i="2" s="1"/>
  <c r="BC60" i="2"/>
  <c r="AT145" i="20"/>
  <c r="AT145" i="15"/>
  <c r="U140" i="1"/>
  <c r="U60" i="1"/>
  <c r="Z20" i="9"/>
  <c r="U6" i="14"/>
  <c r="V6" i="14"/>
  <c r="U5" i="1"/>
  <c r="U4" i="1" s="1"/>
  <c r="DP335" i="20"/>
  <c r="AM43" i="9"/>
  <c r="AO42" i="9"/>
  <c r="AF310" i="20"/>
  <c r="AF368" i="20"/>
  <c r="AY149" i="1"/>
  <c r="BX163" i="20"/>
  <c r="BX163" i="15"/>
  <c r="AJ327" i="20"/>
  <c r="AJ367" i="20"/>
  <c r="CS6" i="20"/>
  <c r="CS6" i="15"/>
  <c r="P49" i="19"/>
  <c r="BT56" i="2"/>
  <c r="BT57" i="2" s="1"/>
  <c r="BT21" i="2"/>
  <c r="P50" i="19" s="1"/>
  <c r="BJ57" i="2"/>
  <c r="BJ70" i="2"/>
  <c r="F78" i="19" s="1"/>
  <c r="T71" i="1"/>
  <c r="T80" i="1"/>
  <c r="T81" i="1" s="1"/>
  <c r="T45" i="9"/>
  <c r="T51" i="9"/>
  <c r="T3" i="9"/>
  <c r="T27" i="11"/>
  <c r="T3" i="14"/>
  <c r="T32" i="9"/>
  <c r="T93" i="2"/>
  <c r="T106" i="1"/>
  <c r="T77" i="2"/>
  <c r="T3" i="11"/>
  <c r="T3" i="2"/>
  <c r="T52" i="2"/>
  <c r="T130" i="1"/>
  <c r="T59" i="1"/>
  <c r="T25" i="1"/>
  <c r="T3" i="1"/>
  <c r="T23" i="9"/>
  <c r="T9" i="7"/>
  <c r="T83" i="2"/>
  <c r="BY39" i="9"/>
  <c r="BA410" i="20"/>
  <c r="BA581" i="15"/>
  <c r="BA410" i="15"/>
  <c r="BA581" i="20"/>
  <c r="AB55" i="1"/>
  <c r="AB54" i="1"/>
  <c r="BB581" i="15"/>
  <c r="P19" i="2"/>
  <c r="CS70" i="2"/>
  <c r="AO78" i="19" s="1"/>
  <c r="AN4" i="20"/>
  <c r="Q70" i="1"/>
  <c r="S70" i="1"/>
  <c r="I70" i="2"/>
  <c r="I57" i="2"/>
  <c r="BR335" i="15"/>
  <c r="BR335" i="20"/>
  <c r="AG63" i="1"/>
  <c r="AG40" i="2" s="1"/>
  <c r="CO63" i="1"/>
  <c r="CO40" i="2" s="1"/>
  <c r="AK70" i="19" s="1"/>
  <c r="CP63" i="1"/>
  <c r="CP40" i="2" s="1"/>
  <c r="AL70" i="19" s="1"/>
  <c r="BZ144" i="1"/>
  <c r="BZ138" i="1" s="1"/>
  <c r="CY147" i="15"/>
  <c r="CY147" i="20"/>
  <c r="CA6" i="14"/>
  <c r="AK116" i="1"/>
  <c r="AG367" i="20"/>
  <c r="AG327" i="20"/>
  <c r="DY166" i="20"/>
  <c r="DQ53" i="20"/>
  <c r="AN52" i="19"/>
  <c r="CR24" i="2"/>
  <c r="AN53" i="19" s="1"/>
  <c r="CR60" i="2"/>
  <c r="AN29" i="9"/>
  <c r="AN21" i="9"/>
  <c r="AN14" i="9"/>
  <c r="AN34" i="9" s="1"/>
  <c r="AN39" i="9" s="1"/>
  <c r="CO581" i="15"/>
  <c r="CO410" i="20"/>
  <c r="CO410" i="15"/>
  <c r="BP49" i="1"/>
  <c r="BP55" i="1"/>
  <c r="BP54" i="1"/>
  <c r="CK313" i="20"/>
  <c r="H73" i="19"/>
  <c r="CK313" i="15"/>
  <c r="BL56" i="2"/>
  <c r="BM43" i="2"/>
  <c r="CK6" i="20"/>
  <c r="CK6" i="15"/>
  <c r="CM26" i="20"/>
  <c r="CM26" i="15"/>
  <c r="BN81" i="2"/>
  <c r="AP21" i="2"/>
  <c r="AS20" i="2"/>
  <c r="AT20" i="2" s="1"/>
  <c r="BO6" i="20"/>
  <c r="BO6" i="15"/>
  <c r="AP56" i="2"/>
  <c r="AQ43" i="2"/>
  <c r="F63" i="1"/>
  <c r="G63" i="1"/>
  <c r="G40" i="2" s="1"/>
  <c r="DB53" i="15"/>
  <c r="DB53" i="20"/>
  <c r="Y52" i="19"/>
  <c r="CC24" i="2"/>
  <c r="Y53" i="19" s="1"/>
  <c r="CC60" i="2"/>
  <c r="AH53" i="1"/>
  <c r="BL581" i="20" s="1"/>
  <c r="AI26" i="2"/>
  <c r="AI86" i="2"/>
  <c r="AI87" i="2" s="1"/>
  <c r="AO29" i="14"/>
  <c r="AO89" i="1"/>
  <c r="U36" i="9"/>
  <c r="U37" i="9" s="1"/>
  <c r="Z86" i="2"/>
  <c r="Z87" i="2" s="1"/>
  <c r="Z88" i="2"/>
  <c r="CY327" i="20"/>
  <c r="CY367" i="20"/>
  <c r="CY327" i="15"/>
  <c r="CY367" i="15"/>
  <c r="L116" i="1"/>
  <c r="AP62" i="19"/>
  <c r="CT20" i="2"/>
  <c r="CT31" i="2"/>
  <c r="AP60" i="19" s="1"/>
  <c r="AR71" i="2"/>
  <c r="AR11" i="2"/>
  <c r="AR15" i="2" s="1"/>
  <c r="AR113" i="1"/>
  <c r="AR54" i="2"/>
  <c r="AT12" i="2"/>
  <c r="AQ36" i="19"/>
  <c r="CW7" i="2"/>
  <c r="AS36" i="19" s="1"/>
  <c r="O114" i="1"/>
  <c r="P114" i="1" s="1"/>
  <c r="P113" i="1"/>
  <c r="AB122" i="1"/>
  <c r="BC3" i="20"/>
  <c r="BC3" i="15"/>
  <c r="AD15" i="2"/>
  <c r="AD42" i="2"/>
  <c r="AD53" i="2"/>
  <c r="AD55" i="2" s="1"/>
  <c r="AD18" i="2"/>
  <c r="AD21" i="2"/>
  <c r="AR367" i="20"/>
  <c r="AR327" i="20"/>
  <c r="AR367" i="15"/>
  <c r="AR327" i="15"/>
  <c r="BS580" i="20"/>
  <c r="BS580" i="15"/>
  <c r="AT61" i="2"/>
  <c r="DS327" i="20"/>
  <c r="DS367" i="20"/>
  <c r="N41" i="19"/>
  <c r="BR71" i="2"/>
  <c r="BR54" i="2"/>
  <c r="BR11" i="2"/>
  <c r="BR70" i="1" s="1"/>
  <c r="CP53" i="1"/>
  <c r="CP122" i="1" s="1"/>
  <c r="CQ26" i="2"/>
  <c r="AM55" i="19" s="1"/>
  <c r="CR26" i="2"/>
  <c r="AN55" i="19" s="1"/>
  <c r="CR86" i="2"/>
  <c r="CR87" i="2" s="1"/>
  <c r="CN39" i="9"/>
  <c r="CK144" i="1"/>
  <c r="CK138" i="1" s="1"/>
  <c r="DJ147" i="20"/>
  <c r="CR40" i="1"/>
  <c r="CR27" i="1" s="1"/>
  <c r="CR26" i="1" s="1"/>
  <c r="CQ149" i="1"/>
  <c r="CQ145" i="1" s="1"/>
  <c r="DP163" i="20"/>
  <c r="CQ6" i="14"/>
  <c r="CH587" i="20"/>
  <c r="E9" i="19"/>
  <c r="AS37" i="9"/>
  <c r="AS38" i="9"/>
  <c r="AS39" i="9" s="1"/>
  <c r="AS43" i="9"/>
  <c r="DQ16" i="20"/>
  <c r="AN51" i="19"/>
  <c r="BS9" i="2"/>
  <c r="O38" i="19" s="1"/>
  <c r="CW34" i="9"/>
  <c r="U4" i="2"/>
  <c r="BT367" i="20"/>
  <c r="BT327" i="20"/>
  <c r="BT367" i="15"/>
  <c r="BT327" i="15"/>
  <c r="CM580" i="20"/>
  <c r="CM580" i="15"/>
  <c r="J42" i="19"/>
  <c r="BN61" i="2"/>
  <c r="BR30" i="14"/>
  <c r="BT30" i="14"/>
  <c r="CD149" i="1"/>
  <c r="CD145" i="1" s="1"/>
  <c r="DC163" i="20"/>
  <c r="DC163" i="15"/>
  <c r="BW38" i="9"/>
  <c r="BW39" i="9" s="1"/>
  <c r="BW37" i="9"/>
  <c r="BX36" i="9"/>
  <c r="BX37" i="9" s="1"/>
  <c r="BW43" i="9"/>
  <c r="BM144" i="1"/>
  <c r="BM138" i="1" s="1"/>
  <c r="BN18" i="1"/>
  <c r="BN5" i="1" s="1"/>
  <c r="BN4" i="1" s="1"/>
  <c r="CL147" i="20"/>
  <c r="CL147" i="15"/>
  <c r="BQ3" i="20"/>
  <c r="BQ3" i="15"/>
  <c r="AR18" i="2"/>
  <c r="AR42" i="2"/>
  <c r="AR53" i="2"/>
  <c r="AR21" i="2"/>
  <c r="BX10" i="14"/>
  <c r="BX50" i="1"/>
  <c r="BX146" i="1"/>
  <c r="CR37" i="9"/>
  <c r="CR43" i="9"/>
  <c r="AS10" i="2"/>
  <c r="AS61" i="1" s="1"/>
  <c r="AD592" i="20"/>
  <c r="E154" i="1"/>
  <c r="E152" i="1"/>
  <c r="BU114" i="1"/>
  <c r="BU116" i="1" s="1"/>
  <c r="BU118" i="1" s="1"/>
  <c r="BU115" i="1"/>
  <c r="BU117" i="1" s="1"/>
  <c r="W41" i="19"/>
  <c r="CA71" i="2"/>
  <c r="CA54" i="2"/>
  <c r="CA11" i="2"/>
  <c r="CB12" i="2"/>
  <c r="CC12" i="2" s="1"/>
  <c r="BO581" i="20"/>
  <c r="BO410" i="20"/>
  <c r="BO410" i="15"/>
  <c r="AP55" i="1"/>
  <c r="AP54" i="1"/>
  <c r="BP581" i="15"/>
  <c r="AP122" i="1"/>
  <c r="E44" i="2"/>
  <c r="E63" i="2"/>
  <c r="AE6" i="20"/>
  <c r="F56" i="2"/>
  <c r="F19" i="2"/>
  <c r="AO587" i="20"/>
  <c r="AO587" i="15"/>
  <c r="Z54" i="2"/>
  <c r="Z71" i="2"/>
  <c r="AC33" i="19"/>
  <c r="CG10" i="2"/>
  <c r="CH4" i="2"/>
  <c r="CG9" i="2"/>
  <c r="AC38" i="19" s="1"/>
  <c r="O70" i="1"/>
  <c r="BS86" i="2"/>
  <c r="BS87" i="2" s="1"/>
  <c r="BD26" i="20"/>
  <c r="BD26" i="15"/>
  <c r="AE81" i="2"/>
  <c r="AT30" i="20"/>
  <c r="U5" i="14"/>
  <c r="U8" i="14" s="1"/>
  <c r="U9" i="14" s="1"/>
  <c r="AT30" i="15"/>
  <c r="AI20" i="20"/>
  <c r="J65" i="2"/>
  <c r="DQ7" i="20"/>
  <c r="AN61" i="19"/>
  <c r="CI53" i="1"/>
  <c r="CJ86" i="2"/>
  <c r="CJ87" i="2" s="1"/>
  <c r="CJ26" i="2"/>
  <c r="AF55" i="19" s="1"/>
  <c r="CM26" i="2"/>
  <c r="AI55" i="19" s="1"/>
  <c r="AV149" i="1"/>
  <c r="AV145" i="1" s="1"/>
  <c r="AV151" i="1" s="1"/>
  <c r="BU163" i="20"/>
  <c r="BU163" i="15"/>
  <c r="AV27" i="1"/>
  <c r="AV26" i="1" s="1"/>
  <c r="AV48" i="1" s="1"/>
  <c r="AV6" i="14"/>
  <c r="BF368" i="20"/>
  <c r="BF310" i="20"/>
  <c r="BF310" i="15"/>
  <c r="BF368" i="15"/>
  <c r="BG26" i="2"/>
  <c r="BF53" i="1"/>
  <c r="BG86" i="2"/>
  <c r="BG87" i="2" s="1"/>
  <c r="DL16" i="20"/>
  <c r="AI51" i="19"/>
  <c r="AK36" i="2"/>
  <c r="AK2" i="2"/>
  <c r="AT40" i="1"/>
  <c r="AS149" i="1"/>
  <c r="AS145" i="1" s="1"/>
  <c r="BR163" i="15"/>
  <c r="BR163" i="20"/>
  <c r="AS27" i="1"/>
  <c r="AS26" i="1" s="1"/>
  <c r="AO4" i="20"/>
  <c r="AO4" i="15"/>
  <c r="P70" i="1"/>
  <c r="BN146" i="20"/>
  <c r="BN146" i="15"/>
  <c r="AO141" i="1"/>
  <c r="AO69" i="1"/>
  <c r="BJ116" i="1"/>
  <c r="BW53" i="1"/>
  <c r="BW26" i="2"/>
  <c r="S55" i="19" s="1"/>
  <c r="BW86" i="2"/>
  <c r="BW87" i="2" s="1"/>
  <c r="BX86" i="2"/>
  <c r="BX26" i="2"/>
  <c r="T55" i="19" s="1"/>
  <c r="BF3" i="15"/>
  <c r="BF3" i="20"/>
  <c r="AG53" i="2"/>
  <c r="AG55" i="2" s="1"/>
  <c r="AG18" i="2"/>
  <c r="AG61" i="1"/>
  <c r="AG15" i="2"/>
  <c r="AG42" i="2"/>
  <c r="AH61" i="1"/>
  <c r="AG21" i="2"/>
  <c r="DG580" i="20"/>
  <c r="DG580" i="15"/>
  <c r="AD42" i="19"/>
  <c r="CH61" i="2"/>
  <c r="AB62" i="19"/>
  <c r="CF20" i="2"/>
  <c r="CF31" i="2"/>
  <c r="AB60" i="19" s="1"/>
  <c r="CG33" i="2"/>
  <c r="BJ53" i="1"/>
  <c r="BJ122" i="1" s="1"/>
  <c r="BK86" i="2"/>
  <c r="BK87" i="2" s="1"/>
  <c r="BK26" i="2"/>
  <c r="G55" i="19" s="1"/>
  <c r="BN26" i="2"/>
  <c r="J55" i="19" s="1"/>
  <c r="AQ30" i="14"/>
  <c r="AR30" i="14"/>
  <c r="CM38" i="9"/>
  <c r="CI39" i="9"/>
  <c r="D49" i="19"/>
  <c r="BI327" i="20"/>
  <c r="BI367" i="20"/>
  <c r="BI367" i="15"/>
  <c r="BI327" i="15"/>
  <c r="CQ30" i="20"/>
  <c r="CQ30" i="15"/>
  <c r="BR5" i="14"/>
  <c r="BR8" i="14" s="1"/>
  <c r="BR9" i="14" s="1"/>
  <c r="BR92" i="1"/>
  <c r="BW30" i="15"/>
  <c r="AX5" i="14"/>
  <c r="AX8" i="14" s="1"/>
  <c r="AX9" i="14" s="1"/>
  <c r="BW30" i="20"/>
  <c r="AX92" i="1"/>
  <c r="AY68" i="2"/>
  <c r="DA16" i="15"/>
  <c r="X51" i="19"/>
  <c r="DA16" i="20"/>
  <c r="CC22" i="2"/>
  <c r="D44" i="2"/>
  <c r="D63" i="2"/>
  <c r="CE335" i="20"/>
  <c r="CE335" i="15"/>
  <c r="CL5" i="1"/>
  <c r="CL4" i="1" s="1"/>
  <c r="CL48" i="1" s="1"/>
  <c r="DE327" i="20"/>
  <c r="DE367" i="15"/>
  <c r="DE367" i="20"/>
  <c r="DE327" i="15"/>
  <c r="B16" i="2"/>
  <c r="B36" i="2" s="1"/>
  <c r="AK144" i="1"/>
  <c r="AK138" i="1" s="1"/>
  <c r="BJ147" i="20"/>
  <c r="BJ147" i="15"/>
  <c r="CR7" i="20"/>
  <c r="CR7" i="15"/>
  <c r="O61" i="19"/>
  <c r="AN5" i="1"/>
  <c r="AN4" i="1" s="1"/>
  <c r="AY145" i="20"/>
  <c r="AY145" i="15"/>
  <c r="Z140" i="1"/>
  <c r="Z6" i="14"/>
  <c r="Z60" i="1"/>
  <c r="AA6" i="14"/>
  <c r="AE20" i="9"/>
  <c r="CZ3" i="20"/>
  <c r="W39" i="19"/>
  <c r="CZ3" i="15"/>
  <c r="CA18" i="2"/>
  <c r="W47" i="19" s="1"/>
  <c r="CA53" i="2"/>
  <c r="CA42" i="2"/>
  <c r="W72" i="19" s="1"/>
  <c r="K16" i="2"/>
  <c r="CH580" i="20"/>
  <c r="E42" i="19"/>
  <c r="BY116" i="1"/>
  <c r="CC112" i="1"/>
  <c r="BM335" i="20"/>
  <c r="BM335" i="15"/>
  <c r="BU149" i="1"/>
  <c r="BU145" i="1" s="1"/>
  <c r="CT163" i="15"/>
  <c r="BU27" i="1"/>
  <c r="BU26" i="1" s="1"/>
  <c r="CT163" i="20"/>
  <c r="BU6" i="14"/>
  <c r="DS410" i="20"/>
  <c r="CT49" i="1"/>
  <c r="CT54" i="1"/>
  <c r="CT55" i="1"/>
  <c r="BS37" i="9"/>
  <c r="BS43" i="9"/>
  <c r="AA116" i="1"/>
  <c r="AE112" i="1"/>
  <c r="AT53" i="1"/>
  <c r="AT122" i="1" s="1"/>
  <c r="AU86" i="2"/>
  <c r="AU87" i="2" s="1"/>
  <c r="AU26" i="2"/>
  <c r="CE149" i="1"/>
  <c r="CE145" i="1" s="1"/>
  <c r="DD163" i="20"/>
  <c r="DD163" i="15"/>
  <c r="CE27" i="1"/>
  <c r="CE26" i="1" s="1"/>
  <c r="CE6" i="14"/>
  <c r="DB335" i="20"/>
  <c r="DB335" i="15"/>
  <c r="BH55" i="1"/>
  <c r="AP119" i="1"/>
  <c r="AQ116" i="1"/>
  <c r="CC9" i="15"/>
  <c r="D64" i="19"/>
  <c r="CC9" i="20"/>
  <c r="O19" i="2"/>
  <c r="AE54" i="20"/>
  <c r="F26" i="2"/>
  <c r="F61" i="2"/>
  <c r="F59" i="2" s="1"/>
  <c r="CF122" i="1"/>
  <c r="CF54" i="1"/>
  <c r="CF55" i="1"/>
  <c r="AE115" i="1"/>
  <c r="AE117" i="1" s="1"/>
  <c r="AD117" i="1"/>
  <c r="F138" i="1"/>
  <c r="F151" i="1" s="1"/>
  <c r="AQ581" i="20"/>
  <c r="AQ581" i="15"/>
  <c r="AQ410" i="15"/>
  <c r="AQ410" i="20"/>
  <c r="R55" i="1"/>
  <c r="R54" i="1"/>
  <c r="R122" i="1"/>
  <c r="AR581" i="15"/>
  <c r="CA30" i="14"/>
  <c r="CJ144" i="1"/>
  <c r="CJ138" i="1" s="1"/>
  <c r="CJ151" i="1" s="1"/>
  <c r="DI147" i="20"/>
  <c r="CJ5" i="1"/>
  <c r="CJ4" i="1" s="1"/>
  <c r="CJ48" i="1" s="1"/>
  <c r="BB144" i="1"/>
  <c r="BB138" i="1" s="1"/>
  <c r="CA147" i="20"/>
  <c r="CA147" i="15"/>
  <c r="BB5" i="1"/>
  <c r="BB4" i="1" s="1"/>
  <c r="AR72" i="1"/>
  <c r="AS72" i="1"/>
  <c r="BS144" i="1"/>
  <c r="CR147" i="15"/>
  <c r="CR147" i="20"/>
  <c r="R70" i="1"/>
  <c r="DP580" i="20"/>
  <c r="AM42" i="19"/>
  <c r="CQ61" i="2"/>
  <c r="CQ59" i="2" s="1"/>
  <c r="CR13" i="2"/>
  <c r="CQ12" i="2"/>
  <c r="DX109" i="20"/>
  <c r="CY185" i="1"/>
  <c r="DY112" i="20"/>
  <c r="CY81" i="2"/>
  <c r="DX110" i="20"/>
  <c r="DX111" i="20"/>
  <c r="DN3" i="20"/>
  <c r="AK39" i="19"/>
  <c r="CO53" i="2"/>
  <c r="CO55" i="2" s="1"/>
  <c r="CO18" i="2"/>
  <c r="AK47" i="19" s="1"/>
  <c r="CO15" i="2"/>
  <c r="CO42" i="2"/>
  <c r="AK72" i="19" s="1"/>
  <c r="BN335" i="20"/>
  <c r="BN335" i="15"/>
  <c r="BZ53" i="1"/>
  <c r="CA26" i="2"/>
  <c r="W55" i="19" s="1"/>
  <c r="CA86" i="2"/>
  <c r="CA87" i="2" s="1"/>
  <c r="AN54" i="2"/>
  <c r="AN71" i="2"/>
  <c r="AN11" i="2"/>
  <c r="AN113" i="1"/>
  <c r="AO12" i="2"/>
  <c r="AG3" i="20"/>
  <c r="H61" i="1"/>
  <c r="H21" i="2"/>
  <c r="H18" i="2"/>
  <c r="H53" i="2"/>
  <c r="H55" i="2" s="1"/>
  <c r="H42" i="2"/>
  <c r="H15" i="2"/>
  <c r="K10" i="2"/>
  <c r="J61" i="1"/>
  <c r="I61" i="1"/>
  <c r="L61" i="1"/>
  <c r="CQ335" i="20"/>
  <c r="CQ335" i="15"/>
  <c r="BI580" i="20"/>
  <c r="BI580" i="15"/>
  <c r="AJ61" i="2"/>
  <c r="AP327" i="20"/>
  <c r="AP367" i="20"/>
  <c r="AP327" i="15"/>
  <c r="AP367" i="15"/>
  <c r="AL3" i="20"/>
  <c r="M61" i="1"/>
  <c r="M53" i="2"/>
  <c r="M55" i="2" s="1"/>
  <c r="M15" i="2"/>
  <c r="M21" i="2"/>
  <c r="M18" i="2"/>
  <c r="M42" i="2"/>
  <c r="BZ95" i="1"/>
  <c r="BZ93" i="1"/>
  <c r="BL16" i="20"/>
  <c r="BL16" i="15"/>
  <c r="BI26" i="2"/>
  <c r="E55" i="19" s="1"/>
  <c r="AQ576" i="20"/>
  <c r="AQ576" i="15"/>
  <c r="R110" i="1"/>
  <c r="R121" i="1"/>
  <c r="DG335" i="20"/>
  <c r="DG335" i="15"/>
  <c r="BB4" i="20"/>
  <c r="BB4" i="15"/>
  <c r="AC15" i="2"/>
  <c r="AD70" i="1"/>
  <c r="AE11" i="2"/>
  <c r="C46" i="19"/>
  <c r="BX146" i="20"/>
  <c r="AY5" i="1"/>
  <c r="AY4" i="1" s="1"/>
  <c r="BX146" i="15"/>
  <c r="AY141" i="1"/>
  <c r="AY69" i="1"/>
  <c r="AE44" i="19"/>
  <c r="CI36" i="2"/>
  <c r="CI2" i="2"/>
  <c r="X33" i="19"/>
  <c r="CB10" i="2"/>
  <c r="CB61" i="1" s="1"/>
  <c r="CB9" i="2"/>
  <c r="X38" i="19" s="1"/>
  <c r="BL53" i="1"/>
  <c r="CL581" i="15" s="1"/>
  <c r="BM26" i="2"/>
  <c r="I55" i="19" s="1"/>
  <c r="BM86" i="2"/>
  <c r="BM87" i="2" s="1"/>
  <c r="V36" i="2"/>
  <c r="CD27" i="1"/>
  <c r="CD26" i="1" s="1"/>
  <c r="G79" i="19"/>
  <c r="BK113" i="1"/>
  <c r="F22" i="2"/>
  <c r="AE16" i="20" s="1"/>
  <c r="AU115" i="1"/>
  <c r="AU117" i="1" s="1"/>
  <c r="AU112" i="1"/>
  <c r="BF26" i="2"/>
  <c r="BF86" i="2"/>
  <c r="BF87" i="2" s="1"/>
  <c r="BE53" i="1"/>
  <c r="BP63" i="1"/>
  <c r="BQ63" i="1"/>
  <c r="CC43" i="9"/>
  <c r="AP116" i="1"/>
  <c r="CU11" i="2"/>
  <c r="AQ41" i="19"/>
  <c r="CU71" i="2"/>
  <c r="CU54" i="2"/>
  <c r="CV12" i="2"/>
  <c r="BH10" i="2"/>
  <c r="BH61" i="1" s="1"/>
  <c r="BH9" i="2"/>
  <c r="BH40" i="2"/>
  <c r="BI4" i="2"/>
  <c r="BY10" i="14"/>
  <c r="B67" i="1"/>
  <c r="B62" i="1"/>
  <c r="B65" i="1"/>
  <c r="AJ9" i="2"/>
  <c r="X53" i="1"/>
  <c r="X86" i="2"/>
  <c r="X87" i="2" s="1"/>
  <c r="Y26" i="2"/>
  <c r="AM3" i="20"/>
  <c r="N35" i="2"/>
  <c r="N15" i="2"/>
  <c r="N21" i="2"/>
  <c r="N61" i="1"/>
  <c r="N53" i="2"/>
  <c r="N55" i="2" s="1"/>
  <c r="N42" i="2"/>
  <c r="BS18" i="15"/>
  <c r="BS18" i="20"/>
  <c r="AT64" i="2"/>
  <c r="BE112" i="1"/>
  <c r="BE115" i="1"/>
  <c r="BE117" i="1" s="1"/>
  <c r="CP335" i="20"/>
  <c r="CP335" i="15"/>
  <c r="CL581" i="20"/>
  <c r="CL410" i="20"/>
  <c r="CL410" i="15"/>
  <c r="BM55" i="1"/>
  <c r="BM54" i="1"/>
  <c r="AC114" i="1"/>
  <c r="AC116" i="1" s="1"/>
  <c r="AC118" i="1" s="1"/>
  <c r="AC115" i="1"/>
  <c r="AC117" i="1" s="1"/>
  <c r="DM3" i="20"/>
  <c r="AJ39" i="19"/>
  <c r="CN18" i="2"/>
  <c r="AJ47" i="19" s="1"/>
  <c r="CN53" i="2"/>
  <c r="CN55" i="2" s="1"/>
  <c r="CN42" i="2"/>
  <c r="AJ72" i="19" s="1"/>
  <c r="CN15" i="2"/>
  <c r="CN21" i="2"/>
  <c r="AJ50" i="19" s="1"/>
  <c r="CF313" i="20"/>
  <c r="CF313" i="15"/>
  <c r="BH43" i="2"/>
  <c r="BI43" i="2" s="1"/>
  <c r="CF6" i="15"/>
  <c r="CF6" i="20"/>
  <c r="BG56" i="2"/>
  <c r="Q72" i="1"/>
  <c r="CD26" i="2"/>
  <c r="Z55" i="19" s="1"/>
  <c r="CD86" i="2"/>
  <c r="CC53" i="1"/>
  <c r="BH149" i="1"/>
  <c r="BH145" i="1" s="1"/>
  <c r="BI40" i="1"/>
  <c r="CG163" i="20"/>
  <c r="CG163" i="15"/>
  <c r="BH6" i="14"/>
  <c r="BH27" i="1"/>
  <c r="BH26" i="1" s="1"/>
  <c r="BH48" i="1" s="1"/>
  <c r="BU122" i="1"/>
  <c r="CV144" i="1"/>
  <c r="CV138" i="1" s="1"/>
  <c r="CW18" i="1"/>
  <c r="DU147" i="20"/>
  <c r="CV5" i="1"/>
  <c r="CV4" i="1" s="1"/>
  <c r="BL335" i="20"/>
  <c r="BL335" i="15"/>
  <c r="CW145" i="20"/>
  <c r="CW145" i="15"/>
  <c r="CB20" i="9"/>
  <c r="X21" i="19" s="1"/>
  <c r="BX191" i="1"/>
  <c r="BX140" i="1"/>
  <c r="BX60" i="1"/>
  <c r="CC20" i="9"/>
  <c r="Y21" i="19" s="1"/>
  <c r="AT164" i="20"/>
  <c r="U28" i="1"/>
  <c r="Z10" i="14" s="1"/>
  <c r="AT164" i="15"/>
  <c r="W36" i="2"/>
  <c r="W38" i="2" s="1"/>
  <c r="CT95" i="1"/>
  <c r="CT93" i="1"/>
  <c r="DW578" i="20"/>
  <c r="AT30" i="19"/>
  <c r="AM21" i="9"/>
  <c r="AM29" i="9"/>
  <c r="AM14" i="9"/>
  <c r="AM34" i="9" s="1"/>
  <c r="AM39" i="9" s="1"/>
  <c r="BD23" i="2"/>
  <c r="AQ3" i="20"/>
  <c r="R15" i="2"/>
  <c r="AQ3" i="15"/>
  <c r="R53" i="2"/>
  <c r="R55" i="2" s="1"/>
  <c r="R18" i="2"/>
  <c r="R42" i="2"/>
  <c r="R21" i="2"/>
  <c r="L39" i="19"/>
  <c r="CO3" i="20"/>
  <c r="BP18" i="2"/>
  <c r="L47" i="19" s="1"/>
  <c r="BP42" i="2"/>
  <c r="L72" i="19" s="1"/>
  <c r="BP15" i="2"/>
  <c r="BP53" i="2"/>
  <c r="BP55" i="2" s="1"/>
  <c r="CO3" i="15"/>
  <c r="AS113" i="1"/>
  <c r="AS115" i="1" s="1"/>
  <c r="AS11" i="2"/>
  <c r="AS71" i="2"/>
  <c r="AS54" i="2"/>
  <c r="AY85" i="1"/>
  <c r="AY98" i="1"/>
  <c r="AY104" i="1"/>
  <c r="AJ37" i="9"/>
  <c r="AJ43" i="9"/>
  <c r="AT37" i="9"/>
  <c r="AT43" i="9"/>
  <c r="CJ63" i="1"/>
  <c r="CK63" i="1"/>
  <c r="CK40" i="2" s="1"/>
  <c r="AG70" i="19" s="1"/>
  <c r="BS29" i="14"/>
  <c r="V62" i="19"/>
  <c r="BZ20" i="2"/>
  <c r="BZ31" i="2"/>
  <c r="BI61" i="2"/>
  <c r="S115" i="1"/>
  <c r="S117" i="1" s="1"/>
  <c r="S112" i="1"/>
  <c r="S116" i="1" s="1"/>
  <c r="S118" i="1" s="1"/>
  <c r="DM367" i="20"/>
  <c r="DM327" i="20"/>
  <c r="CC86" i="2"/>
  <c r="CC87" i="2" s="1"/>
  <c r="CC88" i="2"/>
  <c r="CI115" i="1"/>
  <c r="CI117" i="1" s="1"/>
  <c r="CI112" i="1"/>
  <c r="AE327" i="20"/>
  <c r="AE367" i="20"/>
  <c r="AI368" i="20"/>
  <c r="AI310" i="20"/>
  <c r="K63" i="1"/>
  <c r="K40" i="2" s="1"/>
  <c r="L63" i="1"/>
  <c r="L40" i="2" s="1"/>
  <c r="P63" i="1"/>
  <c r="CH16" i="20"/>
  <c r="E51" i="19"/>
  <c r="DK410" i="20"/>
  <c r="CL55" i="1"/>
  <c r="CL54" i="1"/>
  <c r="CL122" i="1"/>
  <c r="AN95" i="1"/>
  <c r="AN93" i="1"/>
  <c r="CS112" i="1"/>
  <c r="CS115" i="1"/>
  <c r="CS117" i="1" s="1"/>
  <c r="R35" i="9"/>
  <c r="R37" i="9" s="1"/>
  <c r="R56" i="9" s="1"/>
  <c r="Q112" i="1"/>
  <c r="Q33" i="9"/>
  <c r="Q109" i="1"/>
  <c r="R111" i="1"/>
  <c r="T115" i="1"/>
  <c r="U111" i="1"/>
  <c r="T112" i="1"/>
  <c r="CN410" i="20"/>
  <c r="CN410" i="15"/>
  <c r="BO55" i="1"/>
  <c r="BO54" i="1"/>
  <c r="CB38" i="9"/>
  <c r="CB39" i="9" s="1"/>
  <c r="CB37" i="9"/>
  <c r="CB43" i="9"/>
  <c r="CK335" i="20"/>
  <c r="CK335" i="15"/>
  <c r="T52" i="19"/>
  <c r="CW53" i="15"/>
  <c r="CW53" i="20"/>
  <c r="BX60" i="2"/>
  <c r="BX59" i="2" s="1"/>
  <c r="BX24" i="2"/>
  <c r="T53" i="19" s="1"/>
  <c r="CE26" i="2"/>
  <c r="AA55" i="19" s="1"/>
  <c r="CD53" i="1"/>
  <c r="CD122" i="1" s="1"/>
  <c r="CE86" i="2"/>
  <c r="CH26" i="2"/>
  <c r="AD55" i="19" s="1"/>
  <c r="CH86" i="2"/>
  <c r="CJ4" i="20"/>
  <c r="G40" i="19"/>
  <c r="CJ4" i="15"/>
  <c r="BK15" i="2"/>
  <c r="CQ86" i="2"/>
  <c r="CQ87" i="2" s="1"/>
  <c r="AP26" i="2"/>
  <c r="AP86" i="2"/>
  <c r="AP87" i="2" s="1"/>
  <c r="AO53" i="1"/>
  <c r="BO581" i="15" s="1"/>
  <c r="AP115" i="1"/>
  <c r="AP117" i="1" s="1"/>
  <c r="AE95" i="1"/>
  <c r="DU580" i="20"/>
  <c r="AR42" i="19"/>
  <c r="CV61" i="2"/>
  <c r="CV59" i="2" s="1"/>
  <c r="CW13" i="2"/>
  <c r="BX112" i="1"/>
  <c r="BT116" i="1"/>
  <c r="CW16" i="20"/>
  <c r="CW16" i="15"/>
  <c r="T51" i="19"/>
  <c r="BZ26" i="2"/>
  <c r="V55" i="19" s="1"/>
  <c r="BZ86" i="2"/>
  <c r="BZ87" i="2" s="1"/>
  <c r="BY53" i="1"/>
  <c r="CC26" i="2"/>
  <c r="Y55" i="19" s="1"/>
  <c r="BG163" i="20"/>
  <c r="BG163" i="15"/>
  <c r="AI39" i="1"/>
  <c r="AH149" i="1"/>
  <c r="AH145" i="1" s="1"/>
  <c r="AH151" i="1" s="1"/>
  <c r="AH6" i="14"/>
  <c r="I72" i="1"/>
  <c r="I71" i="1"/>
  <c r="CF335" i="20"/>
  <c r="CF335" i="15"/>
  <c r="AT9" i="2"/>
  <c r="AZ116" i="1"/>
  <c r="BD112" i="1"/>
  <c r="AD61" i="1"/>
  <c r="CN115" i="1"/>
  <c r="CN117" i="1" s="1"/>
  <c r="BI53" i="20"/>
  <c r="BI53" i="15"/>
  <c r="AJ60" i="2"/>
  <c r="AJ24" i="2"/>
  <c r="CM146" i="20"/>
  <c r="CM146" i="15"/>
  <c r="BN192" i="1"/>
  <c r="BN69" i="1"/>
  <c r="BN141" i="1"/>
  <c r="BQ367" i="20"/>
  <c r="BQ327" i="20"/>
  <c r="BQ367" i="15"/>
  <c r="BQ327" i="15"/>
  <c r="BO39" i="9"/>
  <c r="AR18" i="9"/>
  <c r="AR21" i="9"/>
  <c r="AR29" i="9"/>
  <c r="AR19" i="2"/>
  <c r="AR14" i="9"/>
  <c r="AR34" i="9" s="1"/>
  <c r="BB48" i="19"/>
  <c r="CQ53" i="20"/>
  <c r="CQ53" i="15"/>
  <c r="N52" i="19"/>
  <c r="BR60" i="2"/>
  <c r="BR59" i="2" s="1"/>
  <c r="BR24" i="2"/>
  <c r="N53" i="19" s="1"/>
  <c r="BR22" i="2"/>
  <c r="BS22" i="2" s="1"/>
  <c r="CU149" i="1"/>
  <c r="CU145" i="1" s="1"/>
  <c r="DT163" i="20"/>
  <c r="CU27" i="1"/>
  <c r="CU26" i="1" s="1"/>
  <c r="CU48" i="1" s="1"/>
  <c r="AZ144" i="1"/>
  <c r="AZ138" i="1" s="1"/>
  <c r="BY147" i="20"/>
  <c r="BY147" i="15"/>
  <c r="BH335" i="15"/>
  <c r="BH335" i="20"/>
  <c r="AW149" i="1"/>
  <c r="AW145" i="1" s="1"/>
  <c r="BV163" i="15"/>
  <c r="BV163" i="20"/>
  <c r="AW6" i="14"/>
  <c r="CV335" i="15"/>
  <c r="CV335" i="20"/>
  <c r="DG7" i="20"/>
  <c r="AD61" i="19"/>
  <c r="DG7" i="15"/>
  <c r="BL149" i="1"/>
  <c r="BL145" i="1" s="1"/>
  <c r="CK163" i="20"/>
  <c r="CK163" i="15"/>
  <c r="BL6" i="14"/>
  <c r="L62" i="19"/>
  <c r="BP31" i="2"/>
  <c r="BP20" i="2"/>
  <c r="BR33" i="2"/>
  <c r="BS33" i="2" s="1"/>
  <c r="O62" i="19" s="1"/>
  <c r="BU367" i="20"/>
  <c r="BU367" i="15"/>
  <c r="BU327" i="15"/>
  <c r="BU327" i="20"/>
  <c r="AJ368" i="20"/>
  <c r="AJ310" i="20"/>
  <c r="BH38" i="9"/>
  <c r="BH39" i="9" s="1"/>
  <c r="BH37" i="9"/>
  <c r="DP16" i="20"/>
  <c r="AM51" i="19"/>
  <c r="AS63" i="1"/>
  <c r="AS40" i="2" s="1"/>
  <c r="AF581" i="20"/>
  <c r="AF410" i="20"/>
  <c r="G55" i="1"/>
  <c r="G54" i="1"/>
  <c r="AK581" i="20"/>
  <c r="B70" i="2"/>
  <c r="B57" i="2"/>
  <c r="AL114" i="1"/>
  <c r="AL116" i="1" s="1"/>
  <c r="AL118" i="1" s="1"/>
  <c r="AL115" i="1"/>
  <c r="AL117" i="1" s="1"/>
  <c r="X55" i="2"/>
  <c r="CB30" i="20"/>
  <c r="CB30" i="15"/>
  <c r="BC5" i="14"/>
  <c r="BC8" i="14" s="1"/>
  <c r="BC9" i="14" s="1"/>
  <c r="BC92" i="1"/>
  <c r="T15" i="19"/>
  <c r="BX34" i="9"/>
  <c r="DK335" i="20"/>
  <c r="BS587" i="20"/>
  <c r="BS587" i="15"/>
  <c r="BA72" i="1"/>
  <c r="AO54" i="20"/>
  <c r="AO54" i="15"/>
  <c r="P61" i="2"/>
  <c r="P26" i="2"/>
  <c r="BM367" i="20"/>
  <c r="BM327" i="20"/>
  <c r="BM367" i="15"/>
  <c r="BM327" i="15"/>
  <c r="DL173" i="20"/>
  <c r="CM121" i="1"/>
  <c r="CM57" i="1"/>
  <c r="CM52" i="1"/>
  <c r="CM120" i="1"/>
  <c r="AW335" i="20"/>
  <c r="AW335" i="15"/>
  <c r="CW173" i="20"/>
  <c r="CW173" i="15"/>
  <c r="BX120" i="1"/>
  <c r="BX121" i="1"/>
  <c r="BX52" i="1"/>
  <c r="BX57" i="1"/>
  <c r="AH113" i="1"/>
  <c r="AH54" i="2"/>
  <c r="AH55" i="2" s="1"/>
  <c r="AH11" i="2"/>
  <c r="AH71" i="2"/>
  <c r="BH93" i="1"/>
  <c r="BH95" i="1"/>
  <c r="P10" i="14"/>
  <c r="P50" i="1"/>
  <c r="Q10" i="14"/>
  <c r="P146" i="1"/>
  <c r="P145" i="1" s="1"/>
  <c r="P27" i="1"/>
  <c r="P26" i="1" s="1"/>
  <c r="P48" i="1" s="1"/>
  <c r="CL335" i="20"/>
  <c r="CL335" i="15"/>
  <c r="AO20" i="15"/>
  <c r="AO20" i="20"/>
  <c r="P65" i="2"/>
  <c r="C16" i="19"/>
  <c r="AY16" i="9"/>
  <c r="C17" i="19" s="1"/>
  <c r="DV16" i="20"/>
  <c r="AS51" i="19"/>
  <c r="BF335" i="20"/>
  <c r="BF335" i="15"/>
  <c r="L79" i="19"/>
  <c r="BP113" i="1"/>
  <c r="O9" i="2"/>
  <c r="CM43" i="9"/>
  <c r="BN10" i="14"/>
  <c r="BN146" i="1"/>
  <c r="BN50" i="1"/>
  <c r="BO10" i="14"/>
  <c r="BX587" i="20"/>
  <c r="BX587" i="15"/>
  <c r="C9" i="19"/>
  <c r="CH578" i="20"/>
  <c r="E30" i="19"/>
  <c r="BX578" i="15"/>
  <c r="BX578" i="20"/>
  <c r="C30" i="19"/>
  <c r="AP144" i="1"/>
  <c r="AP138" i="1" s="1"/>
  <c r="BO147" i="20"/>
  <c r="BO147" i="15"/>
  <c r="CM145" i="20"/>
  <c r="CM145" i="15"/>
  <c r="BR20" i="9"/>
  <c r="N21" i="19" s="1"/>
  <c r="BN140" i="1"/>
  <c r="BN191" i="1"/>
  <c r="BN60" i="1"/>
  <c r="BS20" i="9"/>
  <c r="O21" i="19" s="1"/>
  <c r="C10" i="2"/>
  <c r="F4" i="2"/>
  <c r="C40" i="2"/>
  <c r="BE16" i="20"/>
  <c r="BE16" i="15"/>
  <c r="AJ22" i="2"/>
  <c r="CN3" i="20"/>
  <c r="K39" i="19"/>
  <c r="BO18" i="2"/>
  <c r="K47" i="19" s="1"/>
  <c r="BO42" i="2"/>
  <c r="K72" i="19" s="1"/>
  <c r="BO53" i="2"/>
  <c r="BO55" i="2" s="1"/>
  <c r="CN3" i="15"/>
  <c r="BO15" i="2"/>
  <c r="DB146" i="20"/>
  <c r="DB146" i="15"/>
  <c r="CC141" i="1"/>
  <c r="CC69" i="1"/>
  <c r="CH72" i="1" s="1"/>
  <c r="CC192" i="1"/>
  <c r="BF577" i="20"/>
  <c r="BF577" i="15"/>
  <c r="AG64" i="9"/>
  <c r="AF24" i="9"/>
  <c r="AH28" i="9"/>
  <c r="AG76" i="1"/>
  <c r="AH18" i="9"/>
  <c r="AR95" i="1"/>
  <c r="AR93" i="1"/>
  <c r="BB38" i="19"/>
  <c r="DN9" i="2"/>
  <c r="CX6" i="15"/>
  <c r="U49" i="19"/>
  <c r="CX6" i="20"/>
  <c r="BY16" i="2"/>
  <c r="BY56" i="2"/>
  <c r="BY21" i="2"/>
  <c r="U50" i="19" s="1"/>
  <c r="CG149" i="1"/>
  <c r="CG145" i="1" s="1"/>
  <c r="CH40" i="1"/>
  <c r="CG27" i="1"/>
  <c r="CG26" i="1" s="1"/>
  <c r="CG48" i="1" s="1"/>
  <c r="DF163" i="15"/>
  <c r="CG6" i="14"/>
  <c r="DF163" i="20"/>
  <c r="BS23" i="2"/>
  <c r="BS112" i="20"/>
  <c r="BS112" i="15"/>
  <c r="AT32" i="11"/>
  <c r="BG149" i="1"/>
  <c r="BG145" i="1" s="1"/>
  <c r="BG6" i="14"/>
  <c r="BG27" i="1"/>
  <c r="BG26" i="1" s="1"/>
  <c r="CF163" i="20"/>
  <c r="CF163" i="15"/>
  <c r="CV4" i="20"/>
  <c r="S40" i="19"/>
  <c r="CV4" i="15"/>
  <c r="BY70" i="1"/>
  <c r="AM144" i="1"/>
  <c r="AM138" i="1" s="1"/>
  <c r="BL147" i="15"/>
  <c r="BL147" i="20"/>
  <c r="I63" i="2"/>
  <c r="I44" i="2"/>
  <c r="AG151" i="1"/>
  <c r="CS39" i="9"/>
  <c r="CY335" i="20"/>
  <c r="CY335" i="15"/>
  <c r="BP95" i="1"/>
  <c r="BP93" i="1"/>
  <c r="DY164" i="20"/>
  <c r="AM113" i="1"/>
  <c r="AM114" i="1" s="1"/>
  <c r="AM11" i="2"/>
  <c r="AM54" i="2"/>
  <c r="AM71" i="2"/>
  <c r="CW10" i="14"/>
  <c r="CW50" i="1"/>
  <c r="CW146" i="1"/>
  <c r="CX10" i="14"/>
  <c r="AH592" i="20"/>
  <c r="I152" i="1"/>
  <c r="I154" i="1"/>
  <c r="CU144" i="1"/>
  <c r="CU138" i="1" s="1"/>
  <c r="DT147" i="20"/>
  <c r="BA95" i="1"/>
  <c r="BA93" i="1"/>
  <c r="BG335" i="15"/>
  <c r="BG335" i="20"/>
  <c r="BW335" i="20"/>
  <c r="BW335" i="15"/>
  <c r="AM16" i="20"/>
  <c r="P22" i="2"/>
  <c r="BD18" i="1"/>
  <c r="BD5" i="1" s="1"/>
  <c r="BD4" i="1" s="1"/>
  <c r="BC144" i="1"/>
  <c r="BC138" i="1" s="1"/>
  <c r="CB147" i="15"/>
  <c r="CB147" i="20"/>
  <c r="BE34" i="9"/>
  <c r="BI14" i="9"/>
  <c r="C49" i="19"/>
  <c r="CA144" i="1"/>
  <c r="CA138" i="1" s="1"/>
  <c r="CZ147" i="20"/>
  <c r="CZ147" i="15"/>
  <c r="AW4" i="20"/>
  <c r="AW4" i="15"/>
  <c r="X70" i="1"/>
  <c r="CV367" i="20"/>
  <c r="CV367" i="15"/>
  <c r="CV327" i="20"/>
  <c r="CV327" i="15"/>
  <c r="BY149" i="1"/>
  <c r="BY145" i="1" s="1"/>
  <c r="CX163" i="15"/>
  <c r="CX163" i="20"/>
  <c r="BC4" i="20"/>
  <c r="BC4" i="15"/>
  <c r="AF70" i="1"/>
  <c r="BC30" i="14"/>
  <c r="CS410" i="20"/>
  <c r="CS581" i="20"/>
  <c r="CS410" i="15"/>
  <c r="BT54" i="1"/>
  <c r="BT55" i="1"/>
  <c r="AF367" i="20"/>
  <c r="AF327" i="20"/>
  <c r="BL93" i="1"/>
  <c r="BL95" i="1"/>
  <c r="AM10" i="2"/>
  <c r="AO4" i="2"/>
  <c r="AO9" i="2" s="1"/>
  <c r="BP3" i="20"/>
  <c r="AQ18" i="2"/>
  <c r="BP3" i="15"/>
  <c r="AQ53" i="2"/>
  <c r="AQ55" i="2" s="1"/>
  <c r="AQ42" i="2"/>
  <c r="AQ15" i="2"/>
  <c r="DH367" i="20"/>
  <c r="DH327" i="20"/>
  <c r="BL313" i="20"/>
  <c r="BL313" i="15"/>
  <c r="AO7" i="2"/>
  <c r="AV56" i="19"/>
  <c r="AO26" i="2"/>
  <c r="BB72" i="1"/>
  <c r="Q70" i="2"/>
  <c r="Q57" i="2"/>
  <c r="AC5" i="7"/>
  <c r="X3" i="7"/>
  <c r="BV30" i="14"/>
  <c r="CD39" i="9"/>
  <c r="BX589" i="20"/>
  <c r="BX589" i="15"/>
  <c r="C14" i="19"/>
  <c r="AP5" i="1"/>
  <c r="AP4" i="1" s="1"/>
  <c r="C115" i="1"/>
  <c r="C117" i="1" s="1"/>
  <c r="C112" i="1"/>
  <c r="AI3" i="20"/>
  <c r="J18" i="2"/>
  <c r="J53" i="2"/>
  <c r="J55" i="2" s="1"/>
  <c r="J42" i="2"/>
  <c r="J21" i="2"/>
  <c r="J15" i="2"/>
  <c r="J36" i="2" s="1"/>
  <c r="J38" i="2" s="1"/>
  <c r="BX7" i="20"/>
  <c r="BX7" i="15"/>
  <c r="C61" i="19"/>
  <c r="AS21" i="9"/>
  <c r="AS29" i="9"/>
  <c r="AS18" i="9"/>
  <c r="AN86" i="2"/>
  <c r="AN87" i="2" s="1"/>
  <c r="AN88" i="2"/>
  <c r="BA6" i="20"/>
  <c r="BA6" i="15"/>
  <c r="AB56" i="2"/>
  <c r="AB57" i="2" s="1"/>
  <c r="AB21" i="2"/>
  <c r="AB16" i="2"/>
  <c r="AE16" i="2" s="1"/>
  <c r="AE20" i="2"/>
  <c r="AC63" i="1"/>
  <c r="AC40" i="2" s="1"/>
  <c r="AD63" i="1"/>
  <c r="AD40" i="2" s="1"/>
  <c r="U72" i="1"/>
  <c r="V72" i="1"/>
  <c r="CN16" i="20"/>
  <c r="CN16" i="15"/>
  <c r="K51" i="19"/>
  <c r="CU122" i="1"/>
  <c r="AX6" i="14"/>
  <c r="DC6" i="20"/>
  <c r="Z49" i="19"/>
  <c r="CD21" i="2"/>
  <c r="Z50" i="19" s="1"/>
  <c r="CD16" i="2"/>
  <c r="CD56" i="2"/>
  <c r="CD57" i="2" s="1"/>
  <c r="DC6" i="15"/>
  <c r="AZ5" i="1"/>
  <c r="AZ4" i="1" s="1"/>
  <c r="BY3" i="20"/>
  <c r="AZ53" i="2"/>
  <c r="AZ55" i="2" s="1"/>
  <c r="AZ42" i="2"/>
  <c r="AZ15" i="2"/>
  <c r="BY3" i="15"/>
  <c r="AZ18" i="2"/>
  <c r="AZ21" i="2"/>
  <c r="CD3" i="20"/>
  <c r="CD3" i="15"/>
  <c r="BE53" i="2"/>
  <c r="BE55" i="2" s="1"/>
  <c r="BE18" i="2"/>
  <c r="BE15" i="2"/>
  <c r="BE42" i="2"/>
  <c r="BE21" i="2"/>
  <c r="BG122" i="1"/>
  <c r="BG54" i="1"/>
  <c r="BG55" i="1"/>
  <c r="BK16" i="20"/>
  <c r="BK16" i="15"/>
  <c r="N33" i="19"/>
  <c r="BR10" i="2"/>
  <c r="BS10" i="2" s="1"/>
  <c r="BR40" i="2"/>
  <c r="N70" i="19" s="1"/>
  <c r="BR9" i="2"/>
  <c r="N38" i="19" s="1"/>
  <c r="BR48" i="2"/>
  <c r="AP30" i="14"/>
  <c r="AM5" i="1"/>
  <c r="AM4" i="1" s="1"/>
  <c r="G72" i="1"/>
  <c r="BN145" i="20"/>
  <c r="BN145" i="15"/>
  <c r="AO140" i="1"/>
  <c r="AP19" i="9"/>
  <c r="AO60" i="1"/>
  <c r="BN578" i="20"/>
  <c r="BN578" i="15"/>
  <c r="AQ7" i="20"/>
  <c r="AQ7" i="15"/>
  <c r="R31" i="2"/>
  <c r="R56" i="2"/>
  <c r="AV93" i="1"/>
  <c r="AV95" i="1"/>
  <c r="BJ149" i="1"/>
  <c r="BJ145" i="1" s="1"/>
  <c r="BK6" i="14"/>
  <c r="CI163" i="15"/>
  <c r="CI163" i="20"/>
  <c r="BD16" i="9"/>
  <c r="D17" i="19" s="1"/>
  <c r="D16" i="19"/>
  <c r="DZ152" i="20"/>
  <c r="DB21" i="1"/>
  <c r="BN112" i="1"/>
  <c r="V79" i="19"/>
  <c r="BZ113" i="1"/>
  <c r="CY10" i="14"/>
  <c r="DX335" i="20" s="1"/>
  <c r="CY146" i="1"/>
  <c r="BE3" i="20"/>
  <c r="BE3" i="15"/>
  <c r="AF18" i="2"/>
  <c r="AI61" i="1"/>
  <c r="AF42" i="2"/>
  <c r="AF15" i="2"/>
  <c r="AF61" i="1"/>
  <c r="AF53" i="2"/>
  <c r="AF55" i="2" s="1"/>
  <c r="AJ10" i="2"/>
  <c r="AJ21" i="2" s="1"/>
  <c r="AL95" i="1"/>
  <c r="AL93" i="1"/>
  <c r="BK14" i="20"/>
  <c r="AL62" i="2"/>
  <c r="AL159" i="1"/>
  <c r="AL28" i="2"/>
  <c r="AL16" i="2" s="1"/>
  <c r="BK14" i="15"/>
  <c r="AM30" i="2"/>
  <c r="BV70" i="2"/>
  <c r="R78" i="19" s="1"/>
  <c r="F71" i="2"/>
  <c r="F54" i="2"/>
  <c r="DN4" i="20"/>
  <c r="AK40" i="19"/>
  <c r="CA30" i="20"/>
  <c r="BB5" i="14"/>
  <c r="BB8" i="14" s="1"/>
  <c r="BB9" i="14" s="1"/>
  <c r="BB92" i="1"/>
  <c r="CA30" i="15"/>
  <c r="BD68" i="2"/>
  <c r="C9" i="2"/>
  <c r="AB41" i="19"/>
  <c r="CF11" i="2"/>
  <c r="CF71" i="2"/>
  <c r="CF54" i="2"/>
  <c r="CF55" i="2" s="1"/>
  <c r="CG12" i="2"/>
  <c r="BI86" i="2"/>
  <c r="BI87" i="2" s="1"/>
  <c r="AQ21" i="2"/>
  <c r="BA30" i="14"/>
  <c r="BQ72" i="1"/>
  <c r="BR72" i="1"/>
  <c r="P36" i="9"/>
  <c r="P37" i="9" s="1"/>
  <c r="F44" i="19"/>
  <c r="BJ2" i="2"/>
  <c r="AW27" i="1"/>
  <c r="AW26" i="1" s="1"/>
  <c r="CC146" i="20"/>
  <c r="CC146" i="15"/>
  <c r="BD141" i="1"/>
  <c r="BD69" i="1"/>
  <c r="BV144" i="1"/>
  <c r="BV138" i="1" s="1"/>
  <c r="CU147" i="15"/>
  <c r="CU147" i="20"/>
  <c r="CA5" i="1"/>
  <c r="CA4" i="1" s="1"/>
  <c r="AM86" i="2"/>
  <c r="AM87" i="2" s="1"/>
  <c r="CX367" i="20"/>
  <c r="CX327" i="20"/>
  <c r="CX327" i="15"/>
  <c r="CX367" i="15"/>
  <c r="BH580" i="20"/>
  <c r="BH580" i="15"/>
  <c r="AI61" i="2"/>
  <c r="AI59" i="2" s="1"/>
  <c r="AI12" i="2"/>
  <c r="AJ12" i="2" s="1"/>
  <c r="AA133" i="1"/>
  <c r="AB157" i="1" s="1"/>
  <c r="K80" i="1"/>
  <c r="K81" i="1" s="1"/>
  <c r="AO589" i="20"/>
  <c r="AO589" i="15"/>
  <c r="AB70" i="2"/>
  <c r="AA72" i="1"/>
  <c r="CO27" i="1"/>
  <c r="CO26" i="1" s="1"/>
  <c r="CO48" i="1" s="1"/>
  <c r="BO327" i="20"/>
  <c r="BO367" i="20"/>
  <c r="BO327" i="15"/>
  <c r="BO367" i="15"/>
  <c r="CK327" i="20"/>
  <c r="CK367" i="20"/>
  <c r="CK327" i="15"/>
  <c r="CK367" i="15"/>
  <c r="AM112" i="1"/>
  <c r="AB7" i="20"/>
  <c r="C31" i="2"/>
  <c r="C16" i="2" s="1"/>
  <c r="V93" i="1"/>
  <c r="V95" i="1"/>
  <c r="BE30" i="14"/>
  <c r="DM410" i="20"/>
  <c r="CN55" i="1"/>
  <c r="CN54" i="1"/>
  <c r="O115" i="1"/>
  <c r="O112" i="1"/>
  <c r="P112" i="1" s="1"/>
  <c r="P111" i="1"/>
  <c r="S45" i="9"/>
  <c r="S106" i="1"/>
  <c r="S3" i="9"/>
  <c r="S51" i="9"/>
  <c r="S32" i="9"/>
  <c r="S27" i="11"/>
  <c r="S3" i="11"/>
  <c r="S23" i="9"/>
  <c r="S130" i="1"/>
  <c r="S77" i="2"/>
  <c r="S3" i="14"/>
  <c r="S3" i="2"/>
  <c r="S59" i="1"/>
  <c r="S52" i="2"/>
  <c r="S93" i="2"/>
  <c r="S25" i="1"/>
  <c r="S3" i="1"/>
  <c r="S9" i="7"/>
  <c r="S83" i="2"/>
  <c r="BR149" i="1"/>
  <c r="BR145" i="1" s="1"/>
  <c r="BS40" i="1"/>
  <c r="CQ163" i="20"/>
  <c r="CQ163" i="15"/>
  <c r="BP72" i="1"/>
  <c r="BN30" i="20"/>
  <c r="BN30" i="15"/>
  <c r="AO5" i="14"/>
  <c r="AO8" i="14" s="1"/>
  <c r="AO9" i="14" s="1"/>
  <c r="DV578" i="20"/>
  <c r="AS30" i="19"/>
  <c r="CC76" i="1"/>
  <c r="V118" i="1"/>
  <c r="BK53" i="1"/>
  <c r="CO581" i="20" s="1"/>
  <c r="BL26" i="2"/>
  <c r="H55" i="19" s="1"/>
  <c r="BL86" i="2"/>
  <c r="BL87" i="2" s="1"/>
  <c r="AP79" i="19"/>
  <c r="CT113" i="1"/>
  <c r="AL41" i="19"/>
  <c r="CP54" i="2"/>
  <c r="CP55" i="2" s="1"/>
  <c r="CP71" i="2"/>
  <c r="CP11" i="2"/>
  <c r="AE59" i="2"/>
  <c r="DV145" i="20"/>
  <c r="CW60" i="1"/>
  <c r="CW140" i="1"/>
  <c r="AG70" i="1"/>
  <c r="AT6" i="20"/>
  <c r="AT6" i="15"/>
  <c r="U56" i="2"/>
  <c r="Z60" i="19"/>
  <c r="D33" i="19"/>
  <c r="CF149" i="1"/>
  <c r="CF145" i="1" s="1"/>
  <c r="DE163" i="20"/>
  <c r="DE163" i="15"/>
  <c r="CF27" i="1"/>
  <c r="CF26" i="1" s="1"/>
  <c r="CF6" i="14"/>
  <c r="AW80" i="19"/>
  <c r="AU112" i="20"/>
  <c r="AU112" i="15"/>
  <c r="BR37" i="9"/>
  <c r="BR38" i="9"/>
  <c r="BR39" i="9" s="1"/>
  <c r="BR43" i="9"/>
  <c r="BJ581" i="20"/>
  <c r="BJ410" i="20"/>
  <c r="BJ410" i="15"/>
  <c r="AK54" i="1"/>
  <c r="AK55" i="1"/>
  <c r="AK122" i="1"/>
  <c r="BZ3" i="20"/>
  <c r="BZ3" i="15"/>
  <c r="BA42" i="2"/>
  <c r="BA15" i="2"/>
  <c r="BA53" i="2"/>
  <c r="BA55" i="2" s="1"/>
  <c r="BA18" i="2"/>
  <c r="BA21" i="2"/>
  <c r="AL592" i="20"/>
  <c r="M154" i="1"/>
  <c r="M152" i="1"/>
  <c r="AV26" i="2"/>
  <c r="AU53" i="1"/>
  <c r="AY26" i="2"/>
  <c r="C55" i="19" s="1"/>
  <c r="AV86" i="2"/>
  <c r="AV87" i="2" s="1"/>
  <c r="W57" i="2"/>
  <c r="W70" i="2"/>
  <c r="BC10" i="2"/>
  <c r="BC61" i="1" s="1"/>
  <c r="BC40" i="2"/>
  <c r="BC9" i="2"/>
  <c r="CP30" i="20"/>
  <c r="BQ5" i="14"/>
  <c r="BQ8" i="14" s="1"/>
  <c r="BQ9" i="14" s="1"/>
  <c r="CP30" i="15"/>
  <c r="BQ92" i="1"/>
  <c r="BS68" i="2"/>
  <c r="AO17" i="9"/>
  <c r="AK14" i="9"/>
  <c r="AT7" i="15"/>
  <c r="AT7" i="20"/>
  <c r="CY4" i="20"/>
  <c r="CY4" i="15"/>
  <c r="V40" i="19"/>
  <c r="BZ70" i="1"/>
  <c r="AL72" i="1"/>
  <c r="AY101" i="1"/>
  <c r="BK327" i="20"/>
  <c r="BK367" i="15"/>
  <c r="BK327" i="15"/>
  <c r="BK367" i="20"/>
  <c r="DM31" i="1"/>
  <c r="DN31" i="1" s="1"/>
  <c r="DO31" i="1" s="1"/>
  <c r="DP31" i="1" s="1"/>
  <c r="DL31" i="1"/>
  <c r="C43" i="19"/>
  <c r="AY72" i="2"/>
  <c r="C80" i="19" s="1"/>
  <c r="CU6" i="14"/>
  <c r="AK79" i="19"/>
  <c r="CO113" i="1"/>
  <c r="BZ367" i="20"/>
  <c r="BZ327" i="20"/>
  <c r="BZ327" i="15"/>
  <c r="BZ367" i="15"/>
  <c r="DW3" i="20"/>
  <c r="AT39" i="19"/>
  <c r="CX15" i="2"/>
  <c r="CX53" i="2"/>
  <c r="CX55" i="2" s="1"/>
  <c r="CX42" i="2"/>
  <c r="AT72" i="19" s="1"/>
  <c r="CX18" i="2"/>
  <c r="AT47" i="19" s="1"/>
  <c r="DF580" i="20"/>
  <c r="DF580" i="15"/>
  <c r="AC42" i="19"/>
  <c r="CG61" i="2"/>
  <c r="CG59" i="2" s="1"/>
  <c r="CK53" i="1"/>
  <c r="CL49" i="1" s="1"/>
  <c r="CL26" i="2"/>
  <c r="AH55" i="19" s="1"/>
  <c r="K29" i="14"/>
  <c r="K89" i="1"/>
  <c r="E57" i="2"/>
  <c r="E70" i="2"/>
  <c r="AN10" i="2"/>
  <c r="AR61" i="1" s="1"/>
  <c r="CC580" i="20"/>
  <c r="CC580" i="15"/>
  <c r="D42" i="19"/>
  <c r="BD61" i="2"/>
  <c r="BQ144" i="1"/>
  <c r="BQ138" i="1" s="1"/>
  <c r="CP147" i="15"/>
  <c r="CP147" i="20"/>
  <c r="BC6" i="14"/>
  <c r="E18" i="19"/>
  <c r="BI29" i="9"/>
  <c r="BI18" i="9"/>
  <c r="E19" i="19" s="1"/>
  <c r="Y113" i="1"/>
  <c r="Y54" i="2"/>
  <c r="Y11" i="2"/>
  <c r="Y71" i="2"/>
  <c r="DD4" i="15"/>
  <c r="AA40" i="19"/>
  <c r="DD4" i="20"/>
  <c r="CE15" i="2"/>
  <c r="CA72" i="1"/>
  <c r="CR580" i="20"/>
  <c r="O42" i="19"/>
  <c r="CR580" i="15"/>
  <c r="BS61" i="2"/>
  <c r="P98" i="1"/>
  <c r="P85" i="1"/>
  <c r="P104" i="1"/>
  <c r="G122" i="1"/>
  <c r="AB91" i="2"/>
  <c r="AX581" i="20"/>
  <c r="AX410" i="20"/>
  <c r="AX410" i="15"/>
  <c r="Y55" i="1"/>
  <c r="Y54" i="1"/>
  <c r="Y122" i="1"/>
  <c r="DG30" i="20"/>
  <c r="CH5" i="14"/>
  <c r="CH8" i="14" s="1"/>
  <c r="CH9" i="14" s="1"/>
  <c r="DG30" i="15"/>
  <c r="DL580" i="20"/>
  <c r="AI42" i="19"/>
  <c r="CM61" i="2"/>
  <c r="AO85" i="2"/>
  <c r="CJ53" i="1"/>
  <c r="CK26" i="2"/>
  <c r="AG55" i="19" s="1"/>
  <c r="CK86" i="2"/>
  <c r="CK87" i="2" s="1"/>
  <c r="CP26" i="2"/>
  <c r="AL55" i="19" s="1"/>
  <c r="CP86" i="2"/>
  <c r="CP87" i="2" s="1"/>
  <c r="CO53" i="1"/>
  <c r="CO122" i="1" s="1"/>
  <c r="CL580" i="20"/>
  <c r="CL580" i="15"/>
  <c r="I42" i="19"/>
  <c r="BM61" i="2"/>
  <c r="AM37" i="9"/>
  <c r="AM56" i="9" s="1"/>
  <c r="AM40" i="9"/>
  <c r="AO36" i="9"/>
  <c r="AO37" i="9" s="1"/>
  <c r="AC72" i="1"/>
  <c r="AY30" i="15"/>
  <c r="Z5" i="14"/>
  <c r="Z8" i="14" s="1"/>
  <c r="Z9" i="14" s="1"/>
  <c r="AY30" i="20"/>
  <c r="CM9" i="20"/>
  <c r="CM9" i="15"/>
  <c r="J64" i="19"/>
  <c r="BP144" i="1"/>
  <c r="BP138" i="1" s="1"/>
  <c r="CO147" i="15"/>
  <c r="CO147" i="20"/>
  <c r="BF149" i="1"/>
  <c r="BF145" i="1" s="1"/>
  <c r="BF6" i="14"/>
  <c r="CE163" i="15"/>
  <c r="CE163" i="20"/>
  <c r="BM149" i="1"/>
  <c r="BM145" i="1" s="1"/>
  <c r="BN40" i="1"/>
  <c r="CL163" i="20"/>
  <c r="CL163" i="15"/>
  <c r="BA149" i="1"/>
  <c r="BA145" i="1" s="1"/>
  <c r="BZ163" i="15"/>
  <c r="BZ163" i="20"/>
  <c r="BA6" i="14"/>
  <c r="BA27" i="1"/>
  <c r="BA26" i="1" s="1"/>
  <c r="BA48" i="1" s="1"/>
  <c r="BP5" i="1"/>
  <c r="BP4" i="1" s="1"/>
  <c r="C43" i="9"/>
  <c r="F36" i="9"/>
  <c r="BL410" i="20"/>
  <c r="BL581" i="15"/>
  <c r="BL410" i="15"/>
  <c r="AM54" i="1"/>
  <c r="AM55" i="1"/>
  <c r="AM122" i="1"/>
  <c r="BQ581" i="20"/>
  <c r="H41" i="19"/>
  <c r="BL54" i="2"/>
  <c r="BL55" i="2" s="1"/>
  <c r="BL71" i="2"/>
  <c r="BL11" i="2"/>
  <c r="BM12" i="2"/>
  <c r="BN12" i="2" s="1"/>
  <c r="CA3" i="20"/>
  <c r="CA3" i="15"/>
  <c r="BB53" i="2"/>
  <c r="BB18" i="2"/>
  <c r="BB42" i="2"/>
  <c r="BB21" i="2"/>
  <c r="AJ112" i="1"/>
  <c r="AF116" i="1"/>
  <c r="G116" i="1"/>
  <c r="K112" i="1"/>
  <c r="DS4" i="20"/>
  <c r="AP40" i="19"/>
  <c r="BJ26" i="2"/>
  <c r="F55" i="19" s="1"/>
  <c r="BI53" i="1"/>
  <c r="BJ86" i="2"/>
  <c r="BJ87" i="2" s="1"/>
  <c r="CO149" i="1"/>
  <c r="CO145" i="1" s="1"/>
  <c r="CO151" i="1" s="1"/>
  <c r="DN163" i="20"/>
  <c r="AV30" i="14"/>
  <c r="G138" i="1"/>
  <c r="G151" i="1" s="1"/>
  <c r="BX145" i="20"/>
  <c r="BX145" i="15"/>
  <c r="AY60" i="1"/>
  <c r="AZ19" i="9"/>
  <c r="AY140" i="1"/>
  <c r="AZ6" i="14"/>
  <c r="AU27" i="1"/>
  <c r="AU26" i="1" s="1"/>
  <c r="CQ122" i="1"/>
  <c r="AS53" i="1"/>
  <c r="AS26" i="2"/>
  <c r="BC38" i="9"/>
  <c r="BC39" i="9" s="1"/>
  <c r="BC37" i="9"/>
  <c r="BC43" i="9"/>
  <c r="BD36" i="9"/>
  <c r="CO367" i="20"/>
  <c r="CO327" i="20"/>
  <c r="CO367" i="15"/>
  <c r="CO327" i="15"/>
  <c r="AK54" i="9"/>
  <c r="AK30" i="9"/>
  <c r="BY27" i="1"/>
  <c r="BY26" i="1" s="1"/>
  <c r="BY48" i="1" s="1"/>
  <c r="CC587" i="20"/>
  <c r="CC587" i="15"/>
  <c r="D9" i="19"/>
  <c r="CY14" i="20"/>
  <c r="CY14" i="15"/>
  <c r="V59" i="19"/>
  <c r="BZ62" i="2"/>
  <c r="CA30" i="2"/>
  <c r="BZ159" i="1"/>
  <c r="BZ28" i="2"/>
  <c r="BS145" i="15"/>
  <c r="BS145" i="20"/>
  <c r="AT60" i="1"/>
  <c r="AU19" i="9"/>
  <c r="AT140" i="1"/>
  <c r="AM33" i="19"/>
  <c r="CQ10" i="2"/>
  <c r="CQ9" i="2"/>
  <c r="AM38" i="19" s="1"/>
  <c r="CQ40" i="2"/>
  <c r="AM70" i="19" s="1"/>
  <c r="BX147" i="15"/>
  <c r="BK4" i="20"/>
  <c r="BK4" i="15"/>
  <c r="BX52" i="20"/>
  <c r="BX52" i="15"/>
  <c r="C71" i="19"/>
  <c r="DT410" i="20"/>
  <c r="CU49" i="1"/>
  <c r="CU54" i="1"/>
  <c r="CU55" i="1"/>
  <c r="CG16" i="20"/>
  <c r="CG16" i="15"/>
  <c r="AB4" i="20"/>
  <c r="C70" i="1"/>
  <c r="BT39" i="9"/>
  <c r="C64" i="19"/>
  <c r="BX9" i="20"/>
  <c r="BX9" i="15"/>
  <c r="DR410" i="20"/>
  <c r="DR581" i="20"/>
  <c r="CS54" i="1"/>
  <c r="CS55" i="1"/>
  <c r="CS122" i="1"/>
  <c r="DJ335" i="20"/>
  <c r="AO111" i="1"/>
  <c r="AN112" i="1"/>
  <c r="BB54" i="2"/>
  <c r="BB71" i="2"/>
  <c r="BB113" i="1" s="1"/>
  <c r="BB11" i="2"/>
  <c r="BC12" i="2"/>
  <c r="BD12" i="2" s="1"/>
  <c r="BQ5" i="1"/>
  <c r="BQ4" i="1" s="1"/>
  <c r="AW53" i="1"/>
  <c r="AX26" i="2"/>
  <c r="AW26" i="2"/>
  <c r="AX86" i="2"/>
  <c r="AX87" i="2" s="1"/>
  <c r="AW86" i="2"/>
  <c r="AW87" i="2" s="1"/>
  <c r="BC72" i="1"/>
  <c r="BS7" i="15"/>
  <c r="BS7" i="20"/>
  <c r="BZ581" i="20"/>
  <c r="BZ410" i="20"/>
  <c r="BZ581" i="15"/>
  <c r="BZ410" i="15"/>
  <c r="BA55" i="1"/>
  <c r="BA54" i="1"/>
  <c r="DL53" i="20"/>
  <c r="AI52" i="19"/>
  <c r="CM60" i="2"/>
  <c r="CM24" i="2"/>
  <c r="AI53" i="19" s="1"/>
  <c r="BC112" i="20"/>
  <c r="BC112" i="15"/>
  <c r="BY144" i="1"/>
  <c r="BY138" i="1" s="1"/>
  <c r="CX147" i="15"/>
  <c r="CX147" i="20"/>
  <c r="AN9" i="2"/>
  <c r="AD114" i="1"/>
  <c r="AD116" i="1" s="1"/>
  <c r="AD118" i="1" s="1"/>
  <c r="AE113" i="1"/>
  <c r="Y48" i="1"/>
  <c r="CG578" i="20"/>
  <c r="CG578" i="15"/>
  <c r="CG95" i="1"/>
  <c r="CG93" i="1"/>
  <c r="DI335" i="20"/>
  <c r="BS112" i="1"/>
  <c r="BO116" i="1"/>
  <c r="BB368" i="20"/>
  <c r="BB310" i="20"/>
  <c r="BB368" i="15"/>
  <c r="BB310" i="15"/>
  <c r="AW5" i="14"/>
  <c r="AW8" i="14" s="1"/>
  <c r="AW9" i="14" s="1"/>
  <c r="BV30" i="15"/>
  <c r="AW92" i="1"/>
  <c r="BV30" i="20"/>
  <c r="AY10" i="14"/>
  <c r="AY27" i="1"/>
  <c r="AY26" i="1" s="1"/>
  <c r="AY50" i="1"/>
  <c r="AY146" i="1"/>
  <c r="BD10" i="14"/>
  <c r="AZ10" i="14"/>
  <c r="CR4" i="2"/>
  <c r="AJ146" i="20"/>
  <c r="K69" i="1"/>
  <c r="P72" i="1" s="1"/>
  <c r="K141" i="1"/>
  <c r="K138" i="1" s="1"/>
  <c r="K151" i="1" s="1"/>
  <c r="K5" i="1"/>
  <c r="K4" i="1" s="1"/>
  <c r="K48" i="1" s="1"/>
  <c r="L6" i="14"/>
  <c r="BT335" i="20"/>
  <c r="BT335" i="15"/>
  <c r="AS86" i="2"/>
  <c r="AS87" i="2" s="1"/>
  <c r="CM10" i="14"/>
  <c r="CM146" i="1"/>
  <c r="CM50" i="1"/>
  <c r="CN10" i="14"/>
  <c r="L36" i="2"/>
  <c r="CV16" i="20"/>
  <c r="CV16" i="15"/>
  <c r="S51" i="19"/>
  <c r="DZ153" i="20"/>
  <c r="DB23" i="1"/>
  <c r="CQ38" i="9"/>
  <c r="CQ39" i="9" s="1"/>
  <c r="CQ37" i="9"/>
  <c r="BX147" i="20"/>
  <c r="AZ410" i="20"/>
  <c r="AZ410" i="15"/>
  <c r="AA55" i="1"/>
  <c r="AA54" i="1"/>
  <c r="CV149" i="1"/>
  <c r="CV145" i="1" s="1"/>
  <c r="CW40" i="1"/>
  <c r="CV27" i="1"/>
  <c r="CV26" i="1" s="1"/>
  <c r="DU163" i="20"/>
  <c r="AU21" i="19"/>
  <c r="BG11" i="2"/>
  <c r="BG71" i="2"/>
  <c r="BG113" i="1" s="1"/>
  <c r="BG54" i="2"/>
  <c r="BG55" i="2" s="1"/>
  <c r="BH12" i="2"/>
  <c r="BI12" i="2" s="1"/>
  <c r="BT149" i="1"/>
  <c r="BT145" i="1" s="1"/>
  <c r="CS163" i="20"/>
  <c r="BT27" i="1"/>
  <c r="BT26" i="1" s="1"/>
  <c r="BT48" i="1" s="1"/>
  <c r="CS163" i="15"/>
  <c r="D57" i="2"/>
  <c r="D70" i="2"/>
  <c r="AO60" i="19"/>
  <c r="DL7" i="20"/>
  <c r="AI61" i="19"/>
  <c r="AN37" i="9"/>
  <c r="AN56" i="9" s="1"/>
  <c r="AN40" i="9"/>
  <c r="AN41" i="9" s="1"/>
  <c r="AN44" i="9"/>
  <c r="CB580" i="20"/>
  <c r="CB580" i="15"/>
  <c r="BC61" i="2"/>
  <c r="AL63" i="1"/>
  <c r="AL40" i="2" s="1"/>
  <c r="BV335" i="20"/>
  <c r="BV335" i="15"/>
  <c r="BC5" i="1"/>
  <c r="BC4" i="1" s="1"/>
  <c r="BI21" i="9"/>
  <c r="E22" i="19" s="1"/>
  <c r="BJ39" i="9"/>
  <c r="AA79" i="19"/>
  <c r="CE113" i="1"/>
  <c r="DR6" i="20"/>
  <c r="AO49" i="19"/>
  <c r="CS16" i="2"/>
  <c r="CS21" i="2"/>
  <c r="AO50" i="19" s="1"/>
  <c r="CS56" i="2"/>
  <c r="CS57" i="2" s="1"/>
  <c r="DL146" i="20"/>
  <c r="CM141" i="1"/>
  <c r="CM192" i="1"/>
  <c r="CM69" i="1"/>
  <c r="CM72" i="1" s="1"/>
  <c r="BA368" i="20"/>
  <c r="BA310" i="20"/>
  <c r="BA368" i="15"/>
  <c r="BA310" i="15"/>
  <c r="CM578" i="20"/>
  <c r="CM578" i="15"/>
  <c r="J30" i="19"/>
  <c r="BQ53" i="1"/>
  <c r="BR26" i="2"/>
  <c r="N55" i="19" s="1"/>
  <c r="BR86" i="2"/>
  <c r="BR87" i="2" s="1"/>
  <c r="BS26" i="2"/>
  <c r="O55" i="19" s="1"/>
  <c r="DK16" i="20"/>
  <c r="AH51" i="19"/>
  <c r="AY589" i="20"/>
  <c r="AY589" i="15"/>
  <c r="DF327" i="20"/>
  <c r="DF367" i="15"/>
  <c r="DF367" i="20"/>
  <c r="DF327" i="15"/>
  <c r="CP149" i="1"/>
  <c r="CP145" i="1" s="1"/>
  <c r="DO163" i="20"/>
  <c r="CP6" i="14"/>
  <c r="DN335" i="20"/>
  <c r="BO115" i="1"/>
  <c r="BO117" i="1" s="1"/>
  <c r="BX18" i="20"/>
  <c r="CY4" i="2"/>
  <c r="CY9" i="2" s="1"/>
  <c r="AU38" i="19" s="1"/>
  <c r="AU34" i="19"/>
  <c r="AU35" i="19"/>
  <c r="AU43" i="19"/>
  <c r="CY11" i="1"/>
  <c r="CY69" i="1" s="1"/>
  <c r="AU8" i="19"/>
  <c r="DX586" i="20"/>
  <c r="DJ53" i="9"/>
  <c r="DZ574" i="20"/>
  <c r="AW6" i="19"/>
  <c r="AV9" i="19"/>
  <c r="DY587" i="20"/>
  <c r="DK53" i="9"/>
  <c r="DB5" i="9"/>
  <c r="DY589" i="20"/>
  <c r="AV14" i="19"/>
  <c r="AW16" i="19"/>
  <c r="AX5" i="19"/>
  <c r="CW47" i="9"/>
  <c r="DB2" i="9"/>
  <c r="DX589" i="20"/>
  <c r="AU14" i="19"/>
  <c r="CF5" i="11"/>
  <c r="CD5" i="11"/>
  <c r="BM5" i="11"/>
  <c r="BW5" i="11"/>
  <c r="BU5" i="11"/>
  <c r="BH5" i="11"/>
  <c r="AI41" i="19" l="1"/>
  <c r="DJ16" i="9"/>
  <c r="BE17" i="19"/>
  <c r="DO9" i="2"/>
  <c r="BJ38" i="19"/>
  <c r="AK49" i="19"/>
  <c r="DU19" i="2"/>
  <c r="DZ19" i="2" s="1"/>
  <c r="EE19" i="2" s="1"/>
  <c r="BL48" i="19"/>
  <c r="DN6" i="9"/>
  <c r="BI7" i="19"/>
  <c r="CR5" i="14"/>
  <c r="CR8" i="14" s="1"/>
  <c r="CR9" i="14" s="1"/>
  <c r="DQ327" i="20" s="1"/>
  <c r="BS147" i="20"/>
  <c r="BI196" i="1"/>
  <c r="CA48" i="1"/>
  <c r="BF91" i="2"/>
  <c r="CB48" i="1"/>
  <c r="BS147" i="15"/>
  <c r="BY6" i="14"/>
  <c r="CX368" i="15" s="1"/>
  <c r="BW48" i="1"/>
  <c r="AE63" i="1"/>
  <c r="AE40" i="2" s="1"/>
  <c r="AQ33" i="19"/>
  <c r="AQ16" i="15"/>
  <c r="CH122" i="1"/>
  <c r="BX196" i="1"/>
  <c r="BF57" i="2"/>
  <c r="BF74" i="2" s="1"/>
  <c r="AK70" i="2"/>
  <c r="AS48" i="1"/>
  <c r="AT144" i="1"/>
  <c r="AT138" i="1" s="1"/>
  <c r="R16" i="2"/>
  <c r="AY36" i="9"/>
  <c r="AY37" i="9" s="1"/>
  <c r="BH151" i="1"/>
  <c r="CG592" i="20" s="1"/>
  <c r="CU40" i="2"/>
  <c r="AQ70" i="19" s="1"/>
  <c r="CP151" i="1"/>
  <c r="CP152" i="1" s="1"/>
  <c r="AX38" i="9"/>
  <c r="AX39" i="9" s="1"/>
  <c r="AY6" i="14"/>
  <c r="BX368" i="20" s="1"/>
  <c r="CN48" i="1"/>
  <c r="T24" i="2"/>
  <c r="CW147" i="20"/>
  <c r="BX5" i="1"/>
  <c r="BX4" i="1" s="1"/>
  <c r="BU151" i="1"/>
  <c r="CT592" i="15" s="1"/>
  <c r="BB151" i="1"/>
  <c r="CA592" i="15" s="1"/>
  <c r="AJ63" i="1"/>
  <c r="AJ40" i="2" s="1"/>
  <c r="BE368" i="20"/>
  <c r="AS53" i="20"/>
  <c r="BB48" i="1"/>
  <c r="U23" i="2"/>
  <c r="U24" i="2" s="1"/>
  <c r="AE138" i="1"/>
  <c r="AE151" i="1" s="1"/>
  <c r="AX37" i="9"/>
  <c r="AF86" i="2"/>
  <c r="AF87" i="2" s="1"/>
  <c r="T22" i="2"/>
  <c r="T16" i="2" s="1"/>
  <c r="DD80" i="1"/>
  <c r="DD81" i="1" s="1"/>
  <c r="DD71" i="1"/>
  <c r="CW147" i="15"/>
  <c r="AK29" i="9"/>
  <c r="G58" i="2"/>
  <c r="G56" i="1" s="1"/>
  <c r="CU10" i="2"/>
  <c r="CV61" i="1" s="1"/>
  <c r="CV62" i="1" s="1"/>
  <c r="AS53" i="15"/>
  <c r="CR196" i="1"/>
  <c r="BN31" i="11"/>
  <c r="CM31" i="11"/>
  <c r="BX31" i="11"/>
  <c r="CT151" i="1"/>
  <c r="DS592" i="20" s="1"/>
  <c r="BE48" i="1"/>
  <c r="CR63" i="1"/>
  <c r="CR40" i="2" s="1"/>
  <c r="AN70" i="19" s="1"/>
  <c r="AJ55" i="1"/>
  <c r="CW72" i="1"/>
  <c r="CE57" i="2"/>
  <c r="CE58" i="2" s="1"/>
  <c r="AC61" i="1"/>
  <c r="AC67" i="1" s="1"/>
  <c r="U70" i="1"/>
  <c r="U71" i="1" s="1"/>
  <c r="AJ54" i="1"/>
  <c r="CC144" i="1"/>
  <c r="CC138" i="1" s="1"/>
  <c r="CF48" i="1"/>
  <c r="AT4" i="15"/>
  <c r="BI410" i="20"/>
  <c r="Z43" i="9"/>
  <c r="BJ581" i="15"/>
  <c r="BI410" i="15"/>
  <c r="CG327" i="20"/>
  <c r="CM39" i="9"/>
  <c r="AB61" i="1"/>
  <c r="AB62" i="1" s="1"/>
  <c r="AU48" i="1"/>
  <c r="BK70" i="2"/>
  <c r="G78" i="19" s="1"/>
  <c r="CC149" i="1"/>
  <c r="CC145" i="1" s="1"/>
  <c r="BX72" i="1"/>
  <c r="DB147" i="20"/>
  <c r="BT151" i="1"/>
  <c r="CS592" i="15" s="1"/>
  <c r="BU2" i="2"/>
  <c r="P40" i="2"/>
  <c r="CA6" i="15"/>
  <c r="AK65" i="1"/>
  <c r="DC47" i="9"/>
  <c r="CD6" i="14"/>
  <c r="DC368" i="20" s="1"/>
  <c r="AT88" i="2"/>
  <c r="CL16" i="20"/>
  <c r="CC5" i="1"/>
  <c r="CC4" i="1" s="1"/>
  <c r="CC48" i="1" s="1"/>
  <c r="Z60" i="2"/>
  <c r="Z59" i="2" s="1"/>
  <c r="CA6" i="20"/>
  <c r="Z24" i="2"/>
  <c r="BE310" i="15"/>
  <c r="BC43" i="2"/>
  <c r="BD43" i="2" s="1"/>
  <c r="D73" i="19" s="1"/>
  <c r="BI59" i="2"/>
  <c r="AY53" i="15"/>
  <c r="BE368" i="15"/>
  <c r="X91" i="2"/>
  <c r="CA313" i="15"/>
  <c r="AK67" i="1"/>
  <c r="I51" i="19"/>
  <c r="BM93" i="1"/>
  <c r="CA313" i="20"/>
  <c r="AO23" i="2"/>
  <c r="BN53" i="20" s="1"/>
  <c r="CT15" i="2"/>
  <c r="CT91" i="2" s="1"/>
  <c r="DS3" i="20"/>
  <c r="AN24" i="2"/>
  <c r="CC196" i="1"/>
  <c r="BM53" i="20"/>
  <c r="AY72" i="1"/>
  <c r="DA10" i="2"/>
  <c r="DE61" i="1" s="1"/>
  <c r="DA9" i="2"/>
  <c r="AW38" i="19" s="1"/>
  <c r="DA38" i="9"/>
  <c r="DA39" i="9" s="1"/>
  <c r="DA37" i="9"/>
  <c r="DA43" i="9"/>
  <c r="DA114" i="1"/>
  <c r="DA116" i="1" s="1"/>
  <c r="DA118" i="1" s="1"/>
  <c r="DA115" i="1"/>
  <c r="DA117" i="1" s="1"/>
  <c r="CT61" i="1"/>
  <c r="CT62" i="1" s="1"/>
  <c r="AW48" i="1"/>
  <c r="DA368" i="20"/>
  <c r="BI5" i="1"/>
  <c r="BI4" i="1" s="1"/>
  <c r="DA93" i="1"/>
  <c r="DA95" i="1"/>
  <c r="AN60" i="2"/>
  <c r="AN59" i="2" s="1"/>
  <c r="BV95" i="1"/>
  <c r="BI144" i="1"/>
  <c r="BI138" i="1" s="1"/>
  <c r="DA31" i="2"/>
  <c r="CA151" i="1"/>
  <c r="CZ592" i="20" s="1"/>
  <c r="DA368" i="15"/>
  <c r="DA310" i="15"/>
  <c r="DB163" i="20"/>
  <c r="BQ48" i="1"/>
  <c r="DB163" i="15"/>
  <c r="DN368" i="20"/>
  <c r="AZ48" i="1"/>
  <c r="CD40" i="2"/>
  <c r="Z70" i="19" s="1"/>
  <c r="BG48" i="1"/>
  <c r="DB27" i="9"/>
  <c r="BE151" i="1"/>
  <c r="CD592" i="20" s="1"/>
  <c r="BR151" i="1"/>
  <c r="CQ592" i="20" s="1"/>
  <c r="AZ151" i="1"/>
  <c r="BY592" i="20" s="1"/>
  <c r="BM53" i="15"/>
  <c r="AU151" i="1"/>
  <c r="BT592" i="20" s="1"/>
  <c r="AX151" i="1"/>
  <c r="AX154" i="1" s="1"/>
  <c r="BY72" i="1"/>
  <c r="CC63" i="1"/>
  <c r="CC40" i="2" s="1"/>
  <c r="Y70" i="19" s="1"/>
  <c r="CI58" i="2"/>
  <c r="CI56" i="1" s="1"/>
  <c r="AK21" i="9"/>
  <c r="AO21" i="9" s="1"/>
  <c r="BU48" i="1"/>
  <c r="DJ4" i="20"/>
  <c r="AK63" i="1"/>
  <c r="AK40" i="2" s="1"/>
  <c r="BI72" i="1"/>
  <c r="BE335" i="15"/>
  <c r="AE53" i="1"/>
  <c r="BI581" i="15" s="1"/>
  <c r="BS138" i="1"/>
  <c r="BV91" i="2"/>
  <c r="BN72" i="1"/>
  <c r="S79" i="19"/>
  <c r="BV2" i="2"/>
  <c r="BU43" i="2"/>
  <c r="BU56" i="2" s="1"/>
  <c r="BU57" i="2" s="1"/>
  <c r="CH63" i="1"/>
  <c r="CH40" i="2" s="1"/>
  <c r="AD70" i="19" s="1"/>
  <c r="CU38" i="9"/>
  <c r="CU39" i="9" s="1"/>
  <c r="CU37" i="9"/>
  <c r="R93" i="2"/>
  <c r="BK151" i="1"/>
  <c r="CJ592" i="15" s="1"/>
  <c r="B152" i="1"/>
  <c r="Y15" i="2"/>
  <c r="Y91" i="2" s="1"/>
  <c r="CH38" i="9"/>
  <c r="CH39" i="9" s="1"/>
  <c r="AM21" i="2"/>
  <c r="S74" i="2"/>
  <c r="CG54" i="1"/>
  <c r="BQ61" i="1"/>
  <c r="BQ67" i="1" s="1"/>
  <c r="G70" i="2"/>
  <c r="BO48" i="1"/>
  <c r="BS196" i="1"/>
  <c r="BU91" i="2"/>
  <c r="S44" i="2"/>
  <c r="S47" i="2" s="1"/>
  <c r="BX54" i="2"/>
  <c r="CL95" i="1"/>
  <c r="DT581" i="20"/>
  <c r="BM65" i="1"/>
  <c r="BK48" i="1"/>
  <c r="CT18" i="2"/>
  <c r="AP47" i="19" s="1"/>
  <c r="BG151" i="1"/>
  <c r="CF592" i="15" s="1"/>
  <c r="BX70" i="1"/>
  <c r="BX80" i="1" s="1"/>
  <c r="BX81" i="1" s="1"/>
  <c r="BL6" i="15"/>
  <c r="BM53" i="2"/>
  <c r="AB152" i="1"/>
  <c r="CM196" i="1"/>
  <c r="CC410" i="20"/>
  <c r="AY30" i="14"/>
  <c r="AP39" i="19"/>
  <c r="CW4" i="20"/>
  <c r="BL6" i="20"/>
  <c r="M36" i="2"/>
  <c r="M38" i="2" s="1"/>
  <c r="M63" i="2" s="1"/>
  <c r="AT59" i="2"/>
  <c r="AB154" i="1"/>
  <c r="B154" i="1"/>
  <c r="BX92" i="1"/>
  <c r="BX93" i="1" s="1"/>
  <c r="CL16" i="15"/>
  <c r="BI30" i="14"/>
  <c r="AC70" i="2"/>
  <c r="CB151" i="1"/>
  <c r="CB184" i="1" s="1"/>
  <c r="CB188" i="1" s="1"/>
  <c r="AX9" i="2"/>
  <c r="Y21" i="2"/>
  <c r="CN61" i="1"/>
  <c r="CN65" i="1" s="1"/>
  <c r="CM53" i="20"/>
  <c r="T40" i="19"/>
  <c r="AN20" i="2"/>
  <c r="AO20" i="2" s="1"/>
  <c r="AO72" i="1"/>
  <c r="BA592" i="15"/>
  <c r="AO30" i="14"/>
  <c r="BS63" i="1"/>
  <c r="BS40" i="2" s="1"/>
  <c r="O70" i="19" s="1"/>
  <c r="R59" i="1"/>
  <c r="DK367" i="20"/>
  <c r="W91" i="2"/>
  <c r="BM49" i="1"/>
  <c r="BW95" i="1"/>
  <c r="Z30" i="14"/>
  <c r="AD152" i="1"/>
  <c r="BC592" i="15"/>
  <c r="BC592" i="20"/>
  <c r="AD154" i="1"/>
  <c r="AR33" i="19"/>
  <c r="AX3" i="15"/>
  <c r="BW80" i="1"/>
  <c r="BW81" i="1" s="1"/>
  <c r="AX3" i="20"/>
  <c r="Y62" i="1"/>
  <c r="CZ20" i="2"/>
  <c r="CZ43" i="2" s="1"/>
  <c r="CZ31" i="2"/>
  <c r="CZ10" i="2"/>
  <c r="CZ9" i="2"/>
  <c r="AV38" i="19" s="1"/>
  <c r="W71" i="1"/>
  <c r="BJ151" i="1"/>
  <c r="CI592" i="15" s="1"/>
  <c r="BP61" i="1"/>
  <c r="BP65" i="1" s="1"/>
  <c r="CL53" i="2"/>
  <c r="BO61" i="1"/>
  <c r="BO65" i="1" s="1"/>
  <c r="BW313" i="20"/>
  <c r="BM42" i="2"/>
  <c r="I72" i="19" s="1"/>
  <c r="R32" i="9"/>
  <c r="Y67" i="1"/>
  <c r="BN10" i="2"/>
  <c r="J39" i="19" s="1"/>
  <c r="BN30" i="14"/>
  <c r="CS48" i="1"/>
  <c r="CZ95" i="1"/>
  <c r="CZ93" i="1"/>
  <c r="CZ38" i="9"/>
  <c r="CZ39" i="9" s="1"/>
  <c r="CZ37" i="9"/>
  <c r="CZ43" i="9"/>
  <c r="BM62" i="1"/>
  <c r="BM21" i="2"/>
  <c r="I50" i="19" s="1"/>
  <c r="AX56" i="2"/>
  <c r="BM18" i="2"/>
  <c r="I47" i="19" s="1"/>
  <c r="CK15" i="2"/>
  <c r="AG44" i="19" s="1"/>
  <c r="AW55" i="2"/>
  <c r="AW70" i="2" s="1"/>
  <c r="CZ114" i="1"/>
  <c r="CZ116" i="1" s="1"/>
  <c r="CZ118" i="1" s="1"/>
  <c r="CZ115" i="1"/>
  <c r="CZ117" i="1" s="1"/>
  <c r="DK3" i="20"/>
  <c r="CW4" i="2"/>
  <c r="AS33" i="19" s="1"/>
  <c r="I39" i="19"/>
  <c r="N93" i="1"/>
  <c r="AJ30" i="14"/>
  <c r="CL3" i="15"/>
  <c r="BW6" i="20"/>
  <c r="BW6" i="15"/>
  <c r="CY72" i="1"/>
  <c r="CZ72" i="1"/>
  <c r="Z10" i="2"/>
  <c r="Z18" i="2" s="1"/>
  <c r="Y42" i="2"/>
  <c r="AY43" i="2"/>
  <c r="BX6" i="20" s="1"/>
  <c r="CL71" i="2"/>
  <c r="AH79" i="19" s="1"/>
  <c r="CQ151" i="1"/>
  <c r="CQ184" i="1" s="1"/>
  <c r="AA61" i="1"/>
  <c r="AA65" i="1" s="1"/>
  <c r="R25" i="1"/>
  <c r="AW151" i="1"/>
  <c r="BV592" i="20" s="1"/>
  <c r="Y18" i="2"/>
  <c r="AO95" i="1"/>
  <c r="Y53" i="2"/>
  <c r="Y55" i="2" s="1"/>
  <c r="Y70" i="2" s="1"/>
  <c r="R9" i="7"/>
  <c r="CZ47" i="9"/>
  <c r="CV368" i="15"/>
  <c r="CV368" i="20"/>
  <c r="CS151" i="1"/>
  <c r="DR592" i="20" s="1"/>
  <c r="CC163" i="15"/>
  <c r="CC163" i="20"/>
  <c r="AE48" i="1"/>
  <c r="BD27" i="1"/>
  <c r="BD26" i="1" s="1"/>
  <c r="BD48" i="1" s="1"/>
  <c r="DB9" i="1"/>
  <c r="DB64" i="1" s="1"/>
  <c r="DB77" i="1"/>
  <c r="AX16" i="19"/>
  <c r="CQ310" i="20"/>
  <c r="CW163" i="20"/>
  <c r="CW163" i="15"/>
  <c r="BX149" i="1"/>
  <c r="BX145" i="1" s="1"/>
  <c r="CM149" i="1"/>
  <c r="CM145" i="1" s="1"/>
  <c r="DI368" i="20"/>
  <c r="CM27" i="1"/>
  <c r="CM26" i="1" s="1"/>
  <c r="BP151" i="1"/>
  <c r="CO592" i="20" s="1"/>
  <c r="CC6" i="14"/>
  <c r="DB310" i="20" s="1"/>
  <c r="BX27" i="1"/>
  <c r="BX26" i="1" s="1"/>
  <c r="CU368" i="15"/>
  <c r="DJ310" i="20"/>
  <c r="CL151" i="1"/>
  <c r="CL184" i="1" s="1"/>
  <c r="BC48" i="1"/>
  <c r="AU6" i="14"/>
  <c r="BT310" i="20" s="1"/>
  <c r="BC151" i="1"/>
  <c r="BC152" i="1" s="1"/>
  <c r="BR48" i="1"/>
  <c r="CV310" i="20"/>
  <c r="CQ368" i="20"/>
  <c r="CY26" i="2"/>
  <c r="CY86" i="2"/>
  <c r="CY87" i="2" s="1"/>
  <c r="DG410" i="20"/>
  <c r="CI26" i="2"/>
  <c r="AE55" i="19" s="1"/>
  <c r="CO43" i="2"/>
  <c r="DN6" i="20" s="1"/>
  <c r="BL151" i="1"/>
  <c r="CK592" i="20" s="1"/>
  <c r="DG581" i="20"/>
  <c r="BN9" i="2"/>
  <c r="J38" i="19" s="1"/>
  <c r="CO16" i="2"/>
  <c r="CO36" i="2" s="1"/>
  <c r="CG367" i="15"/>
  <c r="H154" i="1"/>
  <c r="CG327" i="15"/>
  <c r="BM95" i="1"/>
  <c r="BN95" i="1" s="1"/>
  <c r="AH41" i="19"/>
  <c r="CM54" i="2"/>
  <c r="CQ310" i="15"/>
  <c r="Z22" i="2"/>
  <c r="AY16" i="20" s="1"/>
  <c r="CV122" i="1"/>
  <c r="AM327" i="20"/>
  <c r="AU73" i="19"/>
  <c r="AY145" i="1"/>
  <c r="CU327" i="15"/>
  <c r="AX16" i="20"/>
  <c r="CF367" i="20"/>
  <c r="BN38" i="9"/>
  <c r="BV151" i="1"/>
  <c r="CU592" i="15" s="1"/>
  <c r="CF151" i="1"/>
  <c r="DE592" i="15" s="1"/>
  <c r="CT53" i="2"/>
  <c r="CT55" i="2" s="1"/>
  <c r="CT70" i="2" s="1"/>
  <c r="AP78" i="19" s="1"/>
  <c r="CU367" i="20"/>
  <c r="D76" i="1"/>
  <c r="CD48" i="1"/>
  <c r="CL3" i="20"/>
  <c r="F35" i="9"/>
  <c r="F37" i="9" s="1"/>
  <c r="CA368" i="15"/>
  <c r="CK113" i="1"/>
  <c r="CK115" i="1" s="1"/>
  <c r="CK117" i="1" s="1"/>
  <c r="U95" i="1"/>
  <c r="AE575" i="20"/>
  <c r="DB27" i="2"/>
  <c r="AX56" i="19" s="1"/>
  <c r="CH55" i="1"/>
  <c r="CD335" i="20"/>
  <c r="CA310" i="15"/>
  <c r="BO151" i="1"/>
  <c r="BO152" i="1" s="1"/>
  <c r="CL11" i="2"/>
  <c r="DK4" i="20" s="1"/>
  <c r="D152" i="1"/>
  <c r="R23" i="9"/>
  <c r="D154" i="1"/>
  <c r="R106" i="1"/>
  <c r="CL54" i="2"/>
  <c r="R83" i="2"/>
  <c r="R52" i="2"/>
  <c r="O5" i="14"/>
  <c r="O8" i="14" s="1"/>
  <c r="O9" i="14" s="1"/>
  <c r="AN327" i="20" s="1"/>
  <c r="AA74" i="2"/>
  <c r="BI5" i="14"/>
  <c r="BI8" i="14" s="1"/>
  <c r="BI9" i="14" s="1"/>
  <c r="CH367" i="20" s="1"/>
  <c r="CY310" i="15"/>
  <c r="AS151" i="1"/>
  <c r="AS165" i="1" s="1"/>
  <c r="CG122" i="1"/>
  <c r="R27" i="11"/>
  <c r="R51" i="9"/>
  <c r="CL61" i="1"/>
  <c r="CL62" i="1" s="1"/>
  <c r="CY368" i="15"/>
  <c r="R3" i="1"/>
  <c r="R45" i="9"/>
  <c r="DK581" i="20"/>
  <c r="BQ151" i="1"/>
  <c r="CP592" i="20" s="1"/>
  <c r="AH39" i="19"/>
  <c r="CU367" i="15"/>
  <c r="CY368" i="20"/>
  <c r="R3" i="2"/>
  <c r="R3" i="9"/>
  <c r="BD310" i="20"/>
  <c r="P33" i="2"/>
  <c r="R130" i="1"/>
  <c r="R3" i="14"/>
  <c r="AN6" i="20"/>
  <c r="R3" i="11"/>
  <c r="P68" i="2"/>
  <c r="CM16" i="15"/>
  <c r="O92" i="1"/>
  <c r="P92" i="1" s="1"/>
  <c r="P93" i="1" s="1"/>
  <c r="CX184" i="1"/>
  <c r="CX165" i="1"/>
  <c r="CX154" i="1"/>
  <c r="CX155" i="1" s="1"/>
  <c r="DW592" i="20"/>
  <c r="CX152" i="1"/>
  <c r="P151" i="1"/>
  <c r="P152" i="1" s="1"/>
  <c r="DS368" i="20"/>
  <c r="DG16" i="15"/>
  <c r="CQ93" i="1"/>
  <c r="H152" i="1"/>
  <c r="AY86" i="2"/>
  <c r="AY87" i="2" s="1"/>
  <c r="CR144" i="1"/>
  <c r="CR138" i="1" s="1"/>
  <c r="CM5" i="14"/>
  <c r="CM8" i="14" s="1"/>
  <c r="CM9" i="14" s="1"/>
  <c r="DL367" i="20" s="1"/>
  <c r="AX40" i="2"/>
  <c r="P43" i="9"/>
  <c r="BN24" i="2"/>
  <c r="J53" i="19" s="1"/>
  <c r="BX138" i="1"/>
  <c r="BW31" i="2"/>
  <c r="S60" i="19" s="1"/>
  <c r="BN60" i="2"/>
  <c r="BN59" i="2" s="1"/>
  <c r="E80" i="1"/>
  <c r="E81" i="1" s="1"/>
  <c r="AF154" i="1"/>
  <c r="J52" i="19"/>
  <c r="BX33" i="2"/>
  <c r="T62" i="19" s="1"/>
  <c r="E76" i="1"/>
  <c r="AD51" i="19"/>
  <c r="V71" i="1"/>
  <c r="V80" i="1"/>
  <c r="V81" i="1" s="1"/>
  <c r="BW20" i="2"/>
  <c r="S49" i="19" s="1"/>
  <c r="AE55" i="2"/>
  <c r="AE70" i="2" s="1"/>
  <c r="CR92" i="1"/>
  <c r="CR93" i="1" s="1"/>
  <c r="AE30" i="14"/>
  <c r="CH43" i="9"/>
  <c r="T41" i="19"/>
  <c r="CN581" i="20"/>
  <c r="AS70" i="1"/>
  <c r="AS71" i="1" s="1"/>
  <c r="DS581" i="20"/>
  <c r="BU21" i="2"/>
  <c r="Q50" i="19" s="1"/>
  <c r="AN313" i="20"/>
  <c r="P7" i="2"/>
  <c r="Y70" i="1"/>
  <c r="Y80" i="1" s="1"/>
  <c r="Y81" i="1" s="1"/>
  <c r="T116" i="1"/>
  <c r="T118" i="1" s="1"/>
  <c r="AV581" i="15"/>
  <c r="BN34" i="9"/>
  <c r="J15" i="19"/>
  <c r="CJ114" i="1"/>
  <c r="CJ116" i="1" s="1"/>
  <c r="CJ118" i="1" s="1"/>
  <c r="CJ115" i="1"/>
  <c r="CJ117" i="1" s="1"/>
  <c r="O122" i="1"/>
  <c r="O54" i="1"/>
  <c r="O55" i="1"/>
  <c r="CL368" i="15"/>
  <c r="BM59" i="2"/>
  <c r="CM61" i="1"/>
  <c r="CM65" i="1" s="1"/>
  <c r="CP310" i="15"/>
  <c r="CL310" i="15"/>
  <c r="DG147" i="15"/>
  <c r="BE592" i="15"/>
  <c r="BW151" i="1"/>
  <c r="CV592" i="20" s="1"/>
  <c r="AT30" i="14"/>
  <c r="CM42" i="2"/>
  <c r="AI72" i="19" s="1"/>
  <c r="AJ59" i="2"/>
  <c r="CP310" i="20"/>
  <c r="CK151" i="1"/>
  <c r="CK165" i="1" s="1"/>
  <c r="AB36" i="2"/>
  <c r="AB38" i="2" s="1"/>
  <c r="AB63" i="2" s="1"/>
  <c r="BD30" i="14"/>
  <c r="BL122" i="1"/>
  <c r="AI39" i="19"/>
  <c r="CP368" i="15"/>
  <c r="CL310" i="20"/>
  <c r="CP61" i="1"/>
  <c r="CP65" i="1" s="1"/>
  <c r="CN154" i="1"/>
  <c r="CN155" i="1" s="1"/>
  <c r="CL327" i="15"/>
  <c r="BE592" i="20"/>
  <c r="CI151" i="1"/>
  <c r="CI165" i="1" s="1"/>
  <c r="CM53" i="2"/>
  <c r="DM592" i="20"/>
  <c r="Y16" i="2"/>
  <c r="Z16" i="2" s="1"/>
  <c r="P9" i="2"/>
  <c r="O32" i="2"/>
  <c r="N56" i="2"/>
  <c r="N57" i="2" s="1"/>
  <c r="AM7" i="20"/>
  <c r="N31" i="2"/>
  <c r="N16" i="2" s="1"/>
  <c r="CL18" i="2"/>
  <c r="AH47" i="19" s="1"/>
  <c r="DL3" i="20"/>
  <c r="CM9" i="2"/>
  <c r="AI38" i="19" s="1"/>
  <c r="CD151" i="1"/>
  <c r="DC592" i="20" s="1"/>
  <c r="AY48" i="1"/>
  <c r="CV48" i="1"/>
  <c r="CL42" i="2"/>
  <c r="AH72" i="19" s="1"/>
  <c r="CG151" i="1"/>
  <c r="CG165" i="1" s="1"/>
  <c r="CO61" i="1"/>
  <c r="CO62" i="1" s="1"/>
  <c r="BD368" i="20"/>
  <c r="BB61" i="1"/>
  <c r="BB65" i="1" s="1"/>
  <c r="BA61" i="1"/>
  <c r="BA67" i="1" s="1"/>
  <c r="CR72" i="1"/>
  <c r="BR61" i="1"/>
  <c r="BR65" i="1" s="1"/>
  <c r="U10" i="2"/>
  <c r="U61" i="1" s="1"/>
  <c r="D80" i="1"/>
  <c r="D81" i="1" s="1"/>
  <c r="CW30" i="15"/>
  <c r="DP327" i="20"/>
  <c r="CL367" i="15"/>
  <c r="CJ2" i="2"/>
  <c r="AF44" i="19"/>
  <c r="BX580" i="20"/>
  <c r="C42" i="19"/>
  <c r="BX580" i="15"/>
  <c r="AY61" i="2"/>
  <c r="AX90" i="2"/>
  <c r="BN6" i="14"/>
  <c r="CM310" i="15" s="1"/>
  <c r="CM16" i="20"/>
  <c r="CL327" i="20"/>
  <c r="AF165" i="1"/>
  <c r="CE151" i="1"/>
  <c r="CE152" i="1" s="1"/>
  <c r="BS30" i="14"/>
  <c r="AY4" i="2"/>
  <c r="C33" i="19" s="1"/>
  <c r="CV38" i="9"/>
  <c r="CV39" i="9" s="1"/>
  <c r="CO310" i="15"/>
  <c r="CM327" i="15"/>
  <c r="AO310" i="15"/>
  <c r="AC152" i="1"/>
  <c r="F70" i="1"/>
  <c r="F71" i="1" s="1"/>
  <c r="CA310" i="20"/>
  <c r="CM59" i="2"/>
  <c r="CV37" i="9"/>
  <c r="CO368" i="20"/>
  <c r="CM367" i="20"/>
  <c r="CI91" i="2"/>
  <c r="AO368" i="15"/>
  <c r="CN184" i="1"/>
  <c r="AC154" i="1"/>
  <c r="BZ151" i="1"/>
  <c r="CY592" i="20" s="1"/>
  <c r="AW15" i="2"/>
  <c r="BV4" i="20"/>
  <c r="BV4" i="15"/>
  <c r="AW114" i="1"/>
  <c r="AW116" i="1" s="1"/>
  <c r="AW118" i="1" s="1"/>
  <c r="AW115" i="1"/>
  <c r="AW117" i="1" s="1"/>
  <c r="BX38" i="9"/>
  <c r="BX39" i="9" s="1"/>
  <c r="AY138" i="1"/>
  <c r="BP48" i="1"/>
  <c r="CF327" i="20"/>
  <c r="CM33" i="2"/>
  <c r="AI62" i="19" s="1"/>
  <c r="CM367" i="15"/>
  <c r="AY12" i="2"/>
  <c r="AX54" i="2"/>
  <c r="AX71" i="2"/>
  <c r="AX113" i="1" s="1"/>
  <c r="AX11" i="2"/>
  <c r="AX15" i="2" s="1"/>
  <c r="AO310" i="20"/>
  <c r="CN165" i="1"/>
  <c r="BB592" i="15"/>
  <c r="CR5" i="1"/>
  <c r="CR4" i="1" s="1"/>
  <c r="CR48" i="1" s="1"/>
  <c r="CW36" i="9"/>
  <c r="CW37" i="9" s="1"/>
  <c r="BX5" i="14"/>
  <c r="BX8" i="14" s="1"/>
  <c r="BX9" i="14" s="1"/>
  <c r="CW367" i="20" s="1"/>
  <c r="CF327" i="15"/>
  <c r="DF581" i="20"/>
  <c r="DF581" i="15"/>
  <c r="DF410" i="20"/>
  <c r="DF410" i="15"/>
  <c r="CG49" i="1"/>
  <c r="AT11" i="2"/>
  <c r="BS4" i="20" s="1"/>
  <c r="DB48" i="9"/>
  <c r="AT72" i="1"/>
  <c r="BG95" i="1"/>
  <c r="BI95" i="1" s="1"/>
  <c r="BS48" i="2"/>
  <c r="BE86" i="2"/>
  <c r="BE87" i="2" s="1"/>
  <c r="AX22" i="2"/>
  <c r="BW53" i="15"/>
  <c r="AX24" i="2"/>
  <c r="BW53" i="20"/>
  <c r="AX60" i="2"/>
  <c r="AX59" i="2" s="1"/>
  <c r="AX367" i="15"/>
  <c r="AX367" i="20"/>
  <c r="AX327" i="15"/>
  <c r="AX327" i="20"/>
  <c r="CO368" i="15"/>
  <c r="CH54" i="1"/>
  <c r="CV40" i="2"/>
  <c r="AR70" i="19" s="1"/>
  <c r="CR38" i="9"/>
  <c r="CR39" i="9" s="1"/>
  <c r="AT10" i="2"/>
  <c r="AT42" i="2" s="1"/>
  <c r="BD310" i="15"/>
  <c r="V130" i="1"/>
  <c r="V9" i="7"/>
  <c r="V45" i="9"/>
  <c r="V93" i="2"/>
  <c r="V3" i="2"/>
  <c r="V3" i="14"/>
  <c r="V3" i="1"/>
  <c r="V52" i="2"/>
  <c r="V77" i="2"/>
  <c r="V27" i="11"/>
  <c r="V3" i="11"/>
  <c r="V25" i="1"/>
  <c r="V3" i="9"/>
  <c r="V106" i="1"/>
  <c r="V51" i="9"/>
  <c r="V83" i="2"/>
  <c r="V59" i="1"/>
  <c r="V32" i="9"/>
  <c r="V23" i="9"/>
  <c r="CN63" i="1"/>
  <c r="CN40" i="2" s="1"/>
  <c r="AJ70" i="19" s="1"/>
  <c r="CM63" i="1"/>
  <c r="CM40" i="2" s="1"/>
  <c r="AI70" i="19" s="1"/>
  <c r="DJ327" i="20"/>
  <c r="DJ367" i="20"/>
  <c r="AY7" i="20"/>
  <c r="AY7" i="15"/>
  <c r="CE55" i="1"/>
  <c r="CF49" i="1"/>
  <c r="DD410" i="20"/>
  <c r="DD410" i="15"/>
  <c r="K71" i="1"/>
  <c r="BD145" i="1"/>
  <c r="CV9" i="2"/>
  <c r="AR38" i="19" s="1"/>
  <c r="AL42" i="2"/>
  <c r="AL21" i="2"/>
  <c r="AL18" i="2"/>
  <c r="BK3" i="15"/>
  <c r="AL53" i="2"/>
  <c r="AL55" i="2" s="1"/>
  <c r="AL61" i="1"/>
  <c r="AL15" i="2"/>
  <c r="AL36" i="2" s="1"/>
  <c r="AL38" i="2" s="1"/>
  <c r="BK3" i="20"/>
  <c r="CP20" i="2"/>
  <c r="AL62" i="19"/>
  <c r="CP31" i="2"/>
  <c r="BC581" i="20"/>
  <c r="BC581" i="15"/>
  <c r="BC410" i="20"/>
  <c r="BH581" i="20"/>
  <c r="BC410" i="15"/>
  <c r="AD55" i="1"/>
  <c r="AD54" i="1"/>
  <c r="AD122" i="1"/>
  <c r="CE122" i="1"/>
  <c r="CN72" i="1"/>
  <c r="BN27" i="1"/>
  <c r="BN26" i="1" s="1"/>
  <c r="BN48" i="1" s="1"/>
  <c r="CH5" i="1"/>
  <c r="CH4" i="1" s="1"/>
  <c r="BI38" i="9"/>
  <c r="BI63" i="1"/>
  <c r="BI48" i="2" s="1"/>
  <c r="BJ63" i="1"/>
  <c r="DO367" i="20"/>
  <c r="DO327" i="20"/>
  <c r="AA3" i="7"/>
  <c r="AF5" i="7"/>
  <c r="BT16" i="20"/>
  <c r="BT16" i="15"/>
  <c r="F101" i="1"/>
  <c r="F98" i="1"/>
  <c r="F104" i="1"/>
  <c r="F85" i="1"/>
  <c r="CU310" i="15"/>
  <c r="AO43" i="9"/>
  <c r="BB55" i="2"/>
  <c r="BB70" i="2" s="1"/>
  <c r="AP72" i="1"/>
  <c r="CC33" i="2"/>
  <c r="Y62" i="19" s="1"/>
  <c r="F31" i="2"/>
  <c r="CJ21" i="2"/>
  <c r="AF50" i="19" s="1"/>
  <c r="CJ16" i="2"/>
  <c r="AF49" i="19"/>
  <c r="CJ43" i="2"/>
  <c r="DI6" i="20" s="1"/>
  <c r="CP93" i="1"/>
  <c r="CP95" i="1"/>
  <c r="CR95" i="1" s="1"/>
  <c r="AU42" i="2"/>
  <c r="BT3" i="20"/>
  <c r="BT3" i="15"/>
  <c r="AU18" i="2"/>
  <c r="AU53" i="2"/>
  <c r="AU55" i="2" s="1"/>
  <c r="AU21" i="2"/>
  <c r="AU15" i="2"/>
  <c r="DG147" i="20"/>
  <c r="BD122" i="1"/>
  <c r="CU368" i="20"/>
  <c r="DU410" i="20"/>
  <c r="CV55" i="1"/>
  <c r="CV54" i="1"/>
  <c r="CV49" i="1"/>
  <c r="CI86" i="2"/>
  <c r="CI87" i="2" s="1"/>
  <c r="BI43" i="9"/>
  <c r="AT38" i="9"/>
  <c r="AT39" i="9" s="1"/>
  <c r="BS11" i="2"/>
  <c r="CR4" i="20" s="1"/>
  <c r="CK95" i="1"/>
  <c r="CK93" i="1"/>
  <c r="CM92" i="1"/>
  <c r="CM93" i="1" s="1"/>
  <c r="AF60" i="19"/>
  <c r="CU410" i="20"/>
  <c r="CU410" i="15"/>
  <c r="BV55" i="1"/>
  <c r="BV54" i="1"/>
  <c r="BV122" i="1"/>
  <c r="CZ581" i="20"/>
  <c r="BS16" i="20"/>
  <c r="BS16" i="15"/>
  <c r="BG93" i="1"/>
  <c r="DX580" i="20"/>
  <c r="AU42" i="19"/>
  <c r="BB72" i="19"/>
  <c r="AH62" i="19"/>
  <c r="CL31" i="2"/>
  <c r="AH60" i="19" s="1"/>
  <c r="BD55" i="1"/>
  <c r="AV57" i="2"/>
  <c r="AV74" i="2" s="1"/>
  <c r="BF151" i="1"/>
  <c r="CE592" i="20" s="1"/>
  <c r="BD54" i="1"/>
  <c r="O116" i="1"/>
  <c r="O118" i="1" s="1"/>
  <c r="CV151" i="1"/>
  <c r="CV184" i="1" s="1"/>
  <c r="CE48" i="1"/>
  <c r="CH59" i="2"/>
  <c r="CC30" i="14"/>
  <c r="CH95" i="1"/>
  <c r="DU310" i="20"/>
  <c r="Z56" i="2"/>
  <c r="AY23" i="2"/>
  <c r="BE26" i="2"/>
  <c r="CU151" i="1"/>
  <c r="CU165" i="1" s="1"/>
  <c r="U31" i="2"/>
  <c r="CU581" i="15"/>
  <c r="AG62" i="19"/>
  <c r="CK20" i="2"/>
  <c r="CK31" i="2"/>
  <c r="AG60" i="19" s="1"/>
  <c r="CQ33" i="2"/>
  <c r="BR16" i="20"/>
  <c r="BR16" i="15"/>
  <c r="Y93" i="1"/>
  <c r="Y95" i="1"/>
  <c r="Z95" i="1" s="1"/>
  <c r="B38" i="2"/>
  <c r="BR80" i="1"/>
  <c r="BR81" i="1" s="1"/>
  <c r="BR71" i="1"/>
  <c r="DN592" i="20"/>
  <c r="CO152" i="1"/>
  <c r="CO154" i="1"/>
  <c r="CO155" i="1" s="1"/>
  <c r="CO165" i="1"/>
  <c r="CO166" i="1" s="1"/>
  <c r="CO184" i="1"/>
  <c r="BD71" i="2"/>
  <c r="D79" i="19" s="1"/>
  <c r="D41" i="19"/>
  <c r="BD54" i="2"/>
  <c r="AR65" i="1"/>
  <c r="AR62" i="1"/>
  <c r="AR67" i="1"/>
  <c r="CB65" i="1"/>
  <c r="CB62" i="1"/>
  <c r="CB67" i="1"/>
  <c r="CP70" i="2"/>
  <c r="AL78" i="19" s="1"/>
  <c r="AT115" i="1"/>
  <c r="AT117" i="1" s="1"/>
  <c r="AS117" i="1"/>
  <c r="T65" i="1"/>
  <c r="T62" i="1"/>
  <c r="T67" i="1"/>
  <c r="CS74" i="2"/>
  <c r="AO82" i="19" s="1"/>
  <c r="CS58" i="2"/>
  <c r="BH62" i="1"/>
  <c r="BH65" i="1"/>
  <c r="BH67" i="1"/>
  <c r="DI592" i="20"/>
  <c r="CJ165" i="1"/>
  <c r="CJ154" i="1"/>
  <c r="CJ155" i="1" s="1"/>
  <c r="CJ152" i="1"/>
  <c r="CJ184" i="1"/>
  <c r="G118" i="1"/>
  <c r="K116" i="1"/>
  <c r="K118" i="1" s="1"/>
  <c r="CO114" i="1"/>
  <c r="CO115" i="1"/>
  <c r="CO117" i="1" s="1"/>
  <c r="DE4" i="20"/>
  <c r="DE4" i="15"/>
  <c r="AB40" i="19"/>
  <c r="CF15" i="2"/>
  <c r="DV335" i="20"/>
  <c r="AJ71" i="2"/>
  <c r="AJ54" i="2"/>
  <c r="CX581" i="20"/>
  <c r="CX410" i="20"/>
  <c r="CX410" i="15"/>
  <c r="BY55" i="1"/>
  <c r="BY54" i="1"/>
  <c r="BK2" i="2"/>
  <c r="G44" i="19"/>
  <c r="BK91" i="2"/>
  <c r="AY112" i="1"/>
  <c r="AU116" i="1"/>
  <c r="S71" i="1"/>
  <c r="S80" i="1"/>
  <c r="S81" i="1" s="1"/>
  <c r="CM144" i="1"/>
  <c r="CM138" i="1" s="1"/>
  <c r="DL147" i="20"/>
  <c r="CZ367" i="20"/>
  <c r="CZ327" i="20"/>
  <c r="CZ327" i="15"/>
  <c r="CZ367" i="15"/>
  <c r="BQ70" i="2"/>
  <c r="M78" i="19" s="1"/>
  <c r="I41" i="19"/>
  <c r="BM54" i="2"/>
  <c r="BM71" i="2"/>
  <c r="BM11" i="2"/>
  <c r="CR30" i="20"/>
  <c r="CR30" i="15"/>
  <c r="BS5" i="14"/>
  <c r="BS8" i="14" s="1"/>
  <c r="BS9" i="14" s="1"/>
  <c r="BA57" i="2"/>
  <c r="BA70" i="2"/>
  <c r="X80" i="1"/>
  <c r="X81" i="1" s="1"/>
  <c r="X71" i="1"/>
  <c r="BY80" i="1"/>
  <c r="BY81" i="1" s="1"/>
  <c r="BY71" i="1"/>
  <c r="AN3" i="20"/>
  <c r="O15" i="2"/>
  <c r="P15" i="2" s="1"/>
  <c r="O53" i="2"/>
  <c r="O55" i="2" s="1"/>
  <c r="O42" i="2"/>
  <c r="Q61" i="1"/>
  <c r="B58" i="2"/>
  <c r="B74" i="2"/>
  <c r="X62" i="19"/>
  <c r="CB31" i="2"/>
  <c r="X60" i="19" s="1"/>
  <c r="BI112" i="1"/>
  <c r="BE116" i="1"/>
  <c r="AR41" i="19"/>
  <c r="CV54" i="2"/>
  <c r="CV11" i="2"/>
  <c r="CV15" i="2" s="1"/>
  <c r="CV71" i="2"/>
  <c r="BQ48" i="2"/>
  <c r="BQ40" i="2"/>
  <c r="M70" i="19" s="1"/>
  <c r="P10" i="2"/>
  <c r="AO54" i="2"/>
  <c r="AO71" i="2"/>
  <c r="CA65" i="1"/>
  <c r="CA62" i="1"/>
  <c r="CA67" i="1"/>
  <c r="CV410" i="20"/>
  <c r="CV581" i="20"/>
  <c r="CV410" i="15"/>
  <c r="CV581" i="15"/>
  <c r="BW54" i="1"/>
  <c r="BW49" i="1"/>
  <c r="BW55" i="1"/>
  <c r="BW122" i="1"/>
  <c r="DA581" i="20"/>
  <c r="L118" i="1"/>
  <c r="BP313" i="20"/>
  <c r="BP313" i="15"/>
  <c r="AR43" i="2"/>
  <c r="BP6" i="20"/>
  <c r="BP6" i="15"/>
  <c r="AQ56" i="2"/>
  <c r="AQ57" i="2" s="1"/>
  <c r="Q71" i="1"/>
  <c r="Q80" i="1"/>
  <c r="Q81" i="1" s="1"/>
  <c r="CU95" i="1"/>
  <c r="CU93" i="1"/>
  <c r="T33" i="19"/>
  <c r="BX9" i="2"/>
  <c r="T38" i="19" s="1"/>
  <c r="BY122" i="1"/>
  <c r="BS30" i="20"/>
  <c r="BS30" i="15"/>
  <c r="AT5" i="14"/>
  <c r="AT8" i="14" s="1"/>
  <c r="AT9" i="14" s="1"/>
  <c r="CP410" i="20"/>
  <c r="CP581" i="15"/>
  <c r="CP581" i="20"/>
  <c r="CP410" i="15"/>
  <c r="BQ49" i="1"/>
  <c r="BQ54" i="1"/>
  <c r="BQ55" i="1"/>
  <c r="CU581" i="20"/>
  <c r="BQ122" i="1"/>
  <c r="CK4" i="20"/>
  <c r="CK4" i="15"/>
  <c r="H40" i="19"/>
  <c r="BL15" i="2"/>
  <c r="BQ95" i="1"/>
  <c r="BQ93" i="1"/>
  <c r="CJ410" i="20"/>
  <c r="CJ581" i="20"/>
  <c r="CJ581" i="15"/>
  <c r="CJ410" i="15"/>
  <c r="BK54" i="1"/>
  <c r="BK55" i="1"/>
  <c r="BK49" i="1"/>
  <c r="BK122" i="1"/>
  <c r="CJ310" i="20"/>
  <c r="CJ368" i="20"/>
  <c r="CJ310" i="15"/>
  <c r="CJ368" i="15"/>
  <c r="J57" i="2"/>
  <c r="J70" i="2"/>
  <c r="AQ70" i="2"/>
  <c r="CN335" i="20"/>
  <c r="CN335" i="15"/>
  <c r="BP114" i="1"/>
  <c r="BP115" i="1"/>
  <c r="BP117" i="1" s="1"/>
  <c r="AZ118" i="1"/>
  <c r="V60" i="19"/>
  <c r="CW12" i="2"/>
  <c r="L62" i="1"/>
  <c r="L67" i="1"/>
  <c r="L65" i="1"/>
  <c r="AM41" i="19"/>
  <c r="CQ71" i="2"/>
  <c r="CQ54" i="2"/>
  <c r="CQ11" i="2"/>
  <c r="CQ70" i="1" s="1"/>
  <c r="CR12" i="2"/>
  <c r="CT368" i="20"/>
  <c r="CT310" i="20"/>
  <c r="CT310" i="15"/>
  <c r="CT368" i="15"/>
  <c r="BJ118" i="1"/>
  <c r="AT367" i="20"/>
  <c r="AT327" i="20"/>
  <c r="AT367" i="15"/>
  <c r="AT327" i="15"/>
  <c r="AT71" i="2"/>
  <c r="AT54" i="2"/>
  <c r="AT368" i="20"/>
  <c r="AT310" i="15"/>
  <c r="AT368" i="15"/>
  <c r="AT310" i="20"/>
  <c r="BQ114" i="1"/>
  <c r="BQ116" i="1" s="1"/>
  <c r="BQ118" i="1" s="1"/>
  <c r="BQ115" i="1"/>
  <c r="BQ117" i="1" s="1"/>
  <c r="BR367" i="20"/>
  <c r="BR327" i="20"/>
  <c r="BR367" i="15"/>
  <c r="BR327" i="15"/>
  <c r="H79" i="19"/>
  <c r="BL113" i="1"/>
  <c r="CB368" i="20"/>
  <c r="CB310" i="20"/>
  <c r="CB368" i="15"/>
  <c r="CB310" i="15"/>
  <c r="E58" i="2"/>
  <c r="E74" i="2"/>
  <c r="BZ71" i="1"/>
  <c r="BZ80" i="1"/>
  <c r="BZ81" i="1" s="1"/>
  <c r="BS149" i="1"/>
  <c r="BS145" i="1" s="1"/>
  <c r="CR163" i="15"/>
  <c r="CR163" i="20"/>
  <c r="BT6" i="14"/>
  <c r="O117" i="1"/>
  <c r="P115" i="1"/>
  <c r="P117" i="1" s="1"/>
  <c r="BZ114" i="1"/>
  <c r="BZ115" i="1"/>
  <c r="BZ117" i="1" s="1"/>
  <c r="BC65" i="1"/>
  <c r="BC67" i="1"/>
  <c r="BC62" i="1"/>
  <c r="CR53" i="20"/>
  <c r="O52" i="19"/>
  <c r="CR53" i="15"/>
  <c r="BS60" i="2"/>
  <c r="BS59" i="2" s="1"/>
  <c r="BS24" i="2"/>
  <c r="O53" i="19" s="1"/>
  <c r="CR3" i="15"/>
  <c r="CR3" i="20"/>
  <c r="O39" i="19"/>
  <c r="BS53" i="2"/>
  <c r="BS55" i="2" s="1"/>
  <c r="BS61" i="1"/>
  <c r="BS18" i="2"/>
  <c r="O47" i="19" s="1"/>
  <c r="BS42" i="2"/>
  <c r="O72" i="19" s="1"/>
  <c r="F40" i="2"/>
  <c r="BG592" i="20"/>
  <c r="BG592" i="15"/>
  <c r="AH152" i="1"/>
  <c r="AH165" i="1"/>
  <c r="AH154" i="1"/>
  <c r="V49" i="19"/>
  <c r="BZ16" i="2"/>
  <c r="V45" i="19" s="1"/>
  <c r="BZ21" i="2"/>
  <c r="V50" i="19" s="1"/>
  <c r="BZ43" i="2"/>
  <c r="CY6" i="20" s="1"/>
  <c r="W44" i="2"/>
  <c r="W63" i="2"/>
  <c r="CR10" i="2"/>
  <c r="I65" i="1"/>
  <c r="I67" i="1"/>
  <c r="I62" i="1"/>
  <c r="DX112" i="20"/>
  <c r="DQ580" i="20"/>
  <c r="AN42" i="19"/>
  <c r="CR61" i="2"/>
  <c r="CR59" i="2" s="1"/>
  <c r="D47" i="2"/>
  <c r="D46" i="2"/>
  <c r="BW327" i="20"/>
  <c r="BW367" i="20"/>
  <c r="BW367" i="15"/>
  <c r="BW327" i="15"/>
  <c r="AB49" i="19"/>
  <c r="CF16" i="2"/>
  <c r="AB45" i="19" s="1"/>
  <c r="CF21" i="2"/>
  <c r="AB50" i="19" s="1"/>
  <c r="AG91" i="2"/>
  <c r="AG36" i="2"/>
  <c r="AG38" i="2" s="1"/>
  <c r="AK38" i="2"/>
  <c r="DF3" i="20"/>
  <c r="DF3" i="15"/>
  <c r="AC39" i="19"/>
  <c r="CG18" i="2"/>
  <c r="AC47" i="19" s="1"/>
  <c r="CG53" i="2"/>
  <c r="CH10" i="2"/>
  <c r="CI61" i="1"/>
  <c r="CJ61" i="1"/>
  <c r="CG42" i="2"/>
  <c r="AC72" i="19" s="1"/>
  <c r="CG61" i="1"/>
  <c r="CK61" i="1"/>
  <c r="E47" i="2"/>
  <c r="E46" i="2"/>
  <c r="BN144" i="1"/>
  <c r="BN138" i="1" s="1"/>
  <c r="CM147" i="20"/>
  <c r="CM147" i="15"/>
  <c r="N79" i="19"/>
  <c r="BR113" i="1"/>
  <c r="AY335" i="20"/>
  <c r="AY335" i="15"/>
  <c r="AS93" i="1"/>
  <c r="AS95" i="1"/>
  <c r="AT95" i="1" s="1"/>
  <c r="AT92" i="1"/>
  <c r="AT93" i="1" s="1"/>
  <c r="BF581" i="20"/>
  <c r="BF410" i="15"/>
  <c r="BF410" i="20"/>
  <c r="BF581" i="15"/>
  <c r="AG54" i="1"/>
  <c r="AG55" i="1"/>
  <c r="BK581" i="20"/>
  <c r="AG122" i="1"/>
  <c r="E41" i="19"/>
  <c r="BI71" i="2"/>
  <c r="E79" i="19" s="1"/>
  <c r="BI54" i="2"/>
  <c r="BY335" i="20"/>
  <c r="BY335" i="15"/>
  <c r="AW95" i="1"/>
  <c r="AW93" i="1"/>
  <c r="BV581" i="20"/>
  <c r="BV410" i="20"/>
  <c r="BV581" i="15"/>
  <c r="BV410" i="15"/>
  <c r="AW54" i="1"/>
  <c r="AW55" i="1"/>
  <c r="BW581" i="15"/>
  <c r="CA581" i="20"/>
  <c r="C76" i="1"/>
  <c r="C80" i="1"/>
  <c r="C81" i="1" s="1"/>
  <c r="C71" i="1"/>
  <c r="AF592" i="20"/>
  <c r="G152" i="1"/>
  <c r="G154" i="1"/>
  <c r="BL57" i="2"/>
  <c r="BL70" i="2"/>
  <c r="H78" i="19" s="1"/>
  <c r="CP367" i="20"/>
  <c r="CP327" i="20"/>
  <c r="CP327" i="15"/>
  <c r="CP367" i="15"/>
  <c r="DO4" i="20"/>
  <c r="AL40" i="19"/>
  <c r="CP15" i="2"/>
  <c r="AF70" i="2"/>
  <c r="AF57" i="2"/>
  <c r="AY92" i="1"/>
  <c r="AY93" i="1" s="1"/>
  <c r="N39" i="19"/>
  <c r="CQ3" i="15"/>
  <c r="CQ3" i="20"/>
  <c r="BR15" i="2"/>
  <c r="BS15" i="2" s="1"/>
  <c r="BR53" i="2"/>
  <c r="BR55" i="2" s="1"/>
  <c r="BR42" i="2"/>
  <c r="N72" i="19" s="1"/>
  <c r="BR18" i="2"/>
  <c r="N47" i="19" s="1"/>
  <c r="BT61" i="1"/>
  <c r="BV61" i="1"/>
  <c r="BU61" i="1"/>
  <c r="BI10" i="2"/>
  <c r="AZ2" i="2"/>
  <c r="Z45" i="19"/>
  <c r="CD36" i="2"/>
  <c r="AQ61" i="1"/>
  <c r="K44" i="19"/>
  <c r="BO2" i="2"/>
  <c r="AB3" i="20"/>
  <c r="C61" i="1"/>
  <c r="C15" i="2"/>
  <c r="C53" i="2"/>
  <c r="C55" i="2" s="1"/>
  <c r="C42" i="2"/>
  <c r="G61" i="1"/>
  <c r="E61" i="1"/>
  <c r="F10" i="2"/>
  <c r="C18" i="2"/>
  <c r="D61" i="1"/>
  <c r="C21" i="2"/>
  <c r="BO86" i="2"/>
  <c r="BO87" i="2" s="1"/>
  <c r="BN53" i="1"/>
  <c r="BO26" i="2"/>
  <c r="K55" i="19" s="1"/>
  <c r="AH114" i="1"/>
  <c r="AH115" i="1"/>
  <c r="AH117" i="1" s="1"/>
  <c r="BC95" i="1"/>
  <c r="BC93" i="1"/>
  <c r="BX6" i="14"/>
  <c r="AQ79" i="19"/>
  <c r="CU113" i="1"/>
  <c r="BK114" i="1"/>
  <c r="BK115" i="1"/>
  <c r="BK117" i="1" s="1"/>
  <c r="J67" i="1"/>
  <c r="J62" i="1"/>
  <c r="J65" i="1"/>
  <c r="AE116" i="1"/>
  <c r="AE118" i="1" s="1"/>
  <c r="AA118" i="1"/>
  <c r="CE410" i="20"/>
  <c r="CE581" i="20"/>
  <c r="CE410" i="15"/>
  <c r="CE581" i="15"/>
  <c r="BF49" i="1"/>
  <c r="BF54" i="1"/>
  <c r="BF55" i="1"/>
  <c r="CF581" i="15"/>
  <c r="BG49" i="1"/>
  <c r="BM151" i="1"/>
  <c r="AR114" i="1"/>
  <c r="AR115" i="1"/>
  <c r="AR117" i="1" s="1"/>
  <c r="U63" i="1"/>
  <c r="U40" i="2" s="1"/>
  <c r="V63" i="1"/>
  <c r="AE65" i="1"/>
  <c r="AE67" i="1"/>
  <c r="AE62" i="1"/>
  <c r="CV3" i="20"/>
  <c r="CV3" i="15"/>
  <c r="S39" i="19"/>
  <c r="BW53" i="2"/>
  <c r="BW55" i="2" s="1"/>
  <c r="BW15" i="2"/>
  <c r="BW18" i="2"/>
  <c r="S47" i="19" s="1"/>
  <c r="BW42" i="2"/>
  <c r="S72" i="19" s="1"/>
  <c r="BX10" i="2"/>
  <c r="BW61" i="1"/>
  <c r="AS65" i="1"/>
  <c r="AS67" i="1"/>
  <c r="AS62" i="1"/>
  <c r="CC335" i="20"/>
  <c r="CC335" i="15"/>
  <c r="BR581" i="20"/>
  <c r="BR410" i="20"/>
  <c r="BR410" i="15"/>
  <c r="AS54" i="1"/>
  <c r="AS55" i="1"/>
  <c r="BR581" i="15"/>
  <c r="BW581" i="20"/>
  <c r="AT44" i="19"/>
  <c r="CX2" i="2"/>
  <c r="CX36" i="2"/>
  <c r="AG80" i="1"/>
  <c r="AG81" i="1" s="1"/>
  <c r="AG71" i="1"/>
  <c r="AM115" i="1"/>
  <c r="AM117" i="1" s="1"/>
  <c r="BB95" i="1"/>
  <c r="BB93" i="1"/>
  <c r="BD92" i="1"/>
  <c r="BD93" i="1" s="1"/>
  <c r="AF65" i="1"/>
  <c r="AF67" i="1"/>
  <c r="AF62" i="1"/>
  <c r="AO16" i="15"/>
  <c r="AO16" i="20"/>
  <c r="CZ10" i="14"/>
  <c r="DY335" i="20" s="1"/>
  <c r="DF368" i="20"/>
  <c r="DF310" i="20"/>
  <c r="DF310" i="15"/>
  <c r="DF368" i="15"/>
  <c r="BO6" i="14"/>
  <c r="P53" i="1"/>
  <c r="Q86" i="2"/>
  <c r="CK368" i="20"/>
  <c r="CK310" i="20"/>
  <c r="CK310" i="15"/>
  <c r="CK368" i="15"/>
  <c r="BD38" i="9"/>
  <c r="U115" i="1"/>
  <c r="U117" i="1" s="1"/>
  <c r="T117" i="1"/>
  <c r="AW581" i="20"/>
  <c r="AW410" i="20"/>
  <c r="AW410" i="15"/>
  <c r="AW581" i="15"/>
  <c r="X54" i="1"/>
  <c r="X55" i="1"/>
  <c r="BB581" i="20"/>
  <c r="X122" i="1"/>
  <c r="CD410" i="20"/>
  <c r="CD410" i="15"/>
  <c r="CD581" i="20"/>
  <c r="CD581" i="15"/>
  <c r="BE49" i="1"/>
  <c r="BE54" i="1"/>
  <c r="BE55" i="1"/>
  <c r="BE122" i="1"/>
  <c r="AE66" i="19"/>
  <c r="CI38" i="2"/>
  <c r="AJ3" i="20"/>
  <c r="K53" i="2"/>
  <c r="K55" i="2" s="1"/>
  <c r="K61" i="1"/>
  <c r="K21" i="2"/>
  <c r="K18" i="2"/>
  <c r="K42" i="2"/>
  <c r="G38" i="2"/>
  <c r="BR95" i="1"/>
  <c r="BR93" i="1"/>
  <c r="BG57" i="2"/>
  <c r="BG70" i="2"/>
  <c r="CC16" i="15"/>
  <c r="CC16" i="20"/>
  <c r="D51" i="19"/>
  <c r="CC10" i="2"/>
  <c r="CQ581" i="15"/>
  <c r="BH578" i="20"/>
  <c r="BH578" i="15"/>
  <c r="AI63" i="9"/>
  <c r="BS72" i="1"/>
  <c r="AP70" i="2"/>
  <c r="AP57" i="2"/>
  <c r="BW112" i="15"/>
  <c r="BW112" i="20"/>
  <c r="DZ164" i="20"/>
  <c r="DB29" i="1"/>
  <c r="BF592" i="20"/>
  <c r="BF592" i="15"/>
  <c r="AG152" i="1"/>
  <c r="AG165" i="1"/>
  <c r="AG154" i="1"/>
  <c r="CM335" i="20"/>
  <c r="CM335" i="15"/>
  <c r="AO335" i="20"/>
  <c r="AO335" i="15"/>
  <c r="DX30" i="20"/>
  <c r="CY5" i="14"/>
  <c r="CY31" i="2"/>
  <c r="AU60" i="19" s="1"/>
  <c r="R115" i="1"/>
  <c r="R117" i="1" s="1"/>
  <c r="R112" i="1"/>
  <c r="R116" i="1" s="1"/>
  <c r="R118" i="1" s="1"/>
  <c r="L44" i="19"/>
  <c r="BP2" i="2"/>
  <c r="BP91" i="2"/>
  <c r="DT4" i="20"/>
  <c r="AQ40" i="19"/>
  <c r="AZ368" i="20"/>
  <c r="AZ310" i="20"/>
  <c r="AZ368" i="15"/>
  <c r="AZ310" i="15"/>
  <c r="CQ367" i="20"/>
  <c r="CQ327" i="20"/>
  <c r="CQ327" i="15"/>
  <c r="CQ367" i="15"/>
  <c r="AG70" i="2"/>
  <c r="AG57" i="2"/>
  <c r="DH581" i="20"/>
  <c r="DH410" i="20"/>
  <c r="CI54" i="1"/>
  <c r="CI55" i="1"/>
  <c r="CI49" i="1"/>
  <c r="CI122" i="1"/>
  <c r="X41" i="19"/>
  <c r="CB54" i="2"/>
  <c r="CB71" i="2"/>
  <c r="CB11" i="2"/>
  <c r="CF70" i="1" s="1"/>
  <c r="BX43" i="9"/>
  <c r="AK118" i="1"/>
  <c r="BZ61" i="1"/>
  <c r="CS335" i="20"/>
  <c r="CS335" i="15"/>
  <c r="AO45" i="19"/>
  <c r="CS36" i="2"/>
  <c r="L38" i="2"/>
  <c r="AY53" i="1"/>
  <c r="AZ26" i="2"/>
  <c r="AZ86" i="2"/>
  <c r="AZ87" i="2" s="1"/>
  <c r="AT63" i="1"/>
  <c r="AT40" i="2" s="1"/>
  <c r="AU63" i="1"/>
  <c r="BL14" i="20"/>
  <c r="BL14" i="15"/>
  <c r="AM159" i="1"/>
  <c r="AM62" i="2"/>
  <c r="AM28" i="2"/>
  <c r="AM16" i="2" s="1"/>
  <c r="AN30" i="2"/>
  <c r="DG21" i="1"/>
  <c r="DJ21" i="1" s="1"/>
  <c r="DK21" i="1" s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V21" i="1" s="1"/>
  <c r="DW21" i="1" s="1"/>
  <c r="DX21" i="1" s="1"/>
  <c r="DY21" i="1" s="1"/>
  <c r="DZ21" i="1" s="1"/>
  <c r="EA21" i="1" s="1"/>
  <c r="EB21" i="1" s="1"/>
  <c r="EC21" i="1" s="1"/>
  <c r="ED21" i="1" s="1"/>
  <c r="EE21" i="1" s="1"/>
  <c r="EF21" i="1" s="1"/>
  <c r="EA152" i="20"/>
  <c r="AZ57" i="2"/>
  <c r="AZ70" i="2"/>
  <c r="DL46" i="1"/>
  <c r="DM46" i="1"/>
  <c r="AF71" i="1"/>
  <c r="AF80" i="1"/>
  <c r="AF81" i="1" s="1"/>
  <c r="I47" i="2"/>
  <c r="I46" i="2"/>
  <c r="BE577" i="20"/>
  <c r="AF64" i="9"/>
  <c r="BE577" i="15"/>
  <c r="AG28" i="9"/>
  <c r="AD24" i="9"/>
  <c r="AG18" i="9"/>
  <c r="AF76" i="1"/>
  <c r="BS38" i="9"/>
  <c r="BS39" i="9" s="1"/>
  <c r="CM6" i="14"/>
  <c r="U146" i="1"/>
  <c r="U145" i="1" s="1"/>
  <c r="U10" i="14"/>
  <c r="U50" i="1"/>
  <c r="U27" i="1"/>
  <c r="U26" i="1" s="1"/>
  <c r="U48" i="1" s="1"/>
  <c r="V10" i="14"/>
  <c r="BO72" i="1"/>
  <c r="DP368" i="20"/>
  <c r="DP310" i="20"/>
  <c r="BY2" i="2"/>
  <c r="U44" i="19"/>
  <c r="BY36" i="2"/>
  <c r="AE72" i="1"/>
  <c r="AF72" i="1"/>
  <c r="AJ72" i="1"/>
  <c r="V44" i="19"/>
  <c r="BZ2" i="2"/>
  <c r="BZ91" i="2"/>
  <c r="CR335" i="20"/>
  <c r="CR335" i="15"/>
  <c r="DA30" i="20"/>
  <c r="DA30" i="15"/>
  <c r="CB5" i="14"/>
  <c r="CB8" i="14" s="1"/>
  <c r="CB9" i="14" s="1"/>
  <c r="CB92" i="1"/>
  <c r="AP61" i="1"/>
  <c r="BX26" i="20"/>
  <c r="BX26" i="15"/>
  <c r="AY81" i="2"/>
  <c r="W3" i="14"/>
  <c r="W51" i="9"/>
  <c r="W27" i="11"/>
  <c r="W3" i="11"/>
  <c r="W32" i="9"/>
  <c r="W3" i="9"/>
  <c r="W23" i="9"/>
  <c r="W25" i="1"/>
  <c r="W59" i="1"/>
  <c r="W3" i="1"/>
  <c r="W45" i="9"/>
  <c r="W93" i="2"/>
  <c r="W83" i="2"/>
  <c r="W3" i="2"/>
  <c r="W130" i="1"/>
  <c r="W9" i="7"/>
  <c r="W77" i="2"/>
  <c r="W106" i="1"/>
  <c r="W52" i="2"/>
  <c r="BM410" i="20"/>
  <c r="BM581" i="20"/>
  <c r="BM410" i="15"/>
  <c r="BM581" i="15"/>
  <c r="AN55" i="1"/>
  <c r="AN54" i="1"/>
  <c r="Z27" i="11"/>
  <c r="Z3" i="11"/>
  <c r="Z55" i="9"/>
  <c r="Z130" i="1"/>
  <c r="Z32" i="9"/>
  <c r="Z51" i="9"/>
  <c r="Z93" i="2"/>
  <c r="Z106" i="1"/>
  <c r="Z25" i="1"/>
  <c r="Z3" i="14"/>
  <c r="Z3" i="1"/>
  <c r="Z9" i="7"/>
  <c r="Z3" i="9"/>
  <c r="Z3" i="2"/>
  <c r="Z52" i="2"/>
  <c r="Z83" i="2"/>
  <c r="Z45" i="9"/>
  <c r="Z23" i="9"/>
  <c r="Z77" i="2"/>
  <c r="Z59" i="1"/>
  <c r="CF4" i="20"/>
  <c r="CF4" i="15"/>
  <c r="BG15" i="2"/>
  <c r="CA4" i="20"/>
  <c r="CA4" i="15"/>
  <c r="BB15" i="2"/>
  <c r="DI581" i="20"/>
  <c r="DI410" i="20"/>
  <c r="CJ55" i="1"/>
  <c r="CJ54" i="1"/>
  <c r="CJ49" i="1"/>
  <c r="CJ122" i="1"/>
  <c r="AX581" i="15"/>
  <c r="AY80" i="19"/>
  <c r="BW3" i="15"/>
  <c r="BW3" i="20"/>
  <c r="AX53" i="2"/>
  <c r="AY10" i="2"/>
  <c r="AX61" i="1"/>
  <c r="AX21" i="2"/>
  <c r="AX42" i="2"/>
  <c r="AX18" i="2"/>
  <c r="CW63" i="1"/>
  <c r="CX63" i="1"/>
  <c r="CX40" i="2" s="1"/>
  <c r="AT70" i="19" s="1"/>
  <c r="CT114" i="1"/>
  <c r="CT115" i="1"/>
  <c r="CT117" i="1" s="1"/>
  <c r="BN367" i="20"/>
  <c r="BN327" i="20"/>
  <c r="BN367" i="15"/>
  <c r="BN327" i="15"/>
  <c r="AA141" i="1"/>
  <c r="AA138" i="1" s="1"/>
  <c r="AA151" i="1" s="1"/>
  <c r="Y133" i="1"/>
  <c r="AC41" i="19"/>
  <c r="CG11" i="2"/>
  <c r="CG70" i="1" s="1"/>
  <c r="CG71" i="2"/>
  <c r="CG54" i="2"/>
  <c r="AI67" i="1"/>
  <c r="AI62" i="1"/>
  <c r="AI65" i="1"/>
  <c r="AZ61" i="1"/>
  <c r="AE21" i="2"/>
  <c r="AE56" i="2"/>
  <c r="BD6" i="20"/>
  <c r="BD6" i="15"/>
  <c r="C116" i="1"/>
  <c r="F112" i="1"/>
  <c r="AC3" i="7"/>
  <c r="AH5" i="7"/>
  <c r="BL3" i="15"/>
  <c r="BL3" i="20"/>
  <c r="AM61" i="1"/>
  <c r="AM53" i="2"/>
  <c r="AM55" i="2" s="1"/>
  <c r="AM42" i="2"/>
  <c r="AM15" i="2"/>
  <c r="AM18" i="2"/>
  <c r="AO10" i="2"/>
  <c r="AN61" i="1"/>
  <c r="DW335" i="20"/>
  <c r="BS92" i="1"/>
  <c r="BS93" i="1" s="1"/>
  <c r="CF368" i="20"/>
  <c r="CF310" i="20"/>
  <c r="CF368" i="15"/>
  <c r="CF310" i="15"/>
  <c r="CH149" i="1"/>
  <c r="CH145" i="1" s="1"/>
  <c r="CH151" i="1" s="1"/>
  <c r="CH27" i="1"/>
  <c r="CH26" i="1" s="1"/>
  <c r="CH6" i="14"/>
  <c r="CI6" i="14"/>
  <c r="DG163" i="20"/>
  <c r="DG163" i="15"/>
  <c r="AD62" i="1"/>
  <c r="AD67" i="1"/>
  <c r="AD65" i="1"/>
  <c r="AI149" i="1"/>
  <c r="AI145" i="1" s="1"/>
  <c r="AI151" i="1" s="1"/>
  <c r="AJ39" i="1"/>
  <c r="AI6" i="14"/>
  <c r="AI27" i="1"/>
  <c r="AI26" i="1" s="1"/>
  <c r="AI48" i="1" s="1"/>
  <c r="BH163" i="20"/>
  <c r="BH163" i="15"/>
  <c r="DV580" i="20"/>
  <c r="AS42" i="19"/>
  <c r="CW61" i="2"/>
  <c r="CW59" i="2" s="1"/>
  <c r="BN581" i="20"/>
  <c r="BN410" i="20"/>
  <c r="BN410" i="15"/>
  <c r="BN581" i="15"/>
  <c r="AO55" i="1"/>
  <c r="AO54" i="1"/>
  <c r="DC410" i="15"/>
  <c r="DC581" i="15"/>
  <c r="DC410" i="20"/>
  <c r="CD49" i="1"/>
  <c r="DC581" i="20"/>
  <c r="CD54" i="1"/>
  <c r="CD55" i="1"/>
  <c r="CE49" i="1"/>
  <c r="CG313" i="20"/>
  <c r="CG313" i="15"/>
  <c r="CG6" i="20"/>
  <c r="BH56" i="2"/>
  <c r="CG6" i="15"/>
  <c r="CX335" i="20"/>
  <c r="CX335" i="15"/>
  <c r="V38" i="2"/>
  <c r="AC91" i="2"/>
  <c r="AC36" i="2"/>
  <c r="AC38" i="2" s="1"/>
  <c r="AE15" i="2"/>
  <c r="H57" i="2"/>
  <c r="H70" i="2"/>
  <c r="CY410" i="20"/>
  <c r="CY581" i="15"/>
  <c r="CY581" i="20"/>
  <c r="CY410" i="15"/>
  <c r="BZ55" i="1"/>
  <c r="BZ49" i="1"/>
  <c r="BZ54" i="1"/>
  <c r="BZ122" i="1"/>
  <c r="CZ581" i="15"/>
  <c r="DD581" i="20"/>
  <c r="CA49" i="1"/>
  <c r="DD581" i="15"/>
  <c r="R71" i="1"/>
  <c r="R80" i="1"/>
  <c r="R81" i="1" s="1"/>
  <c r="AY368" i="20"/>
  <c r="AY310" i="20"/>
  <c r="AY310" i="15"/>
  <c r="AY368" i="15"/>
  <c r="AR579" i="20"/>
  <c r="AR579" i="15"/>
  <c r="S73" i="2"/>
  <c r="S56" i="1"/>
  <c r="AT149" i="1"/>
  <c r="AT145" i="1" s="1"/>
  <c r="BS163" i="20"/>
  <c r="BS163" i="15"/>
  <c r="AT27" i="1"/>
  <c r="AT26" i="1" s="1"/>
  <c r="AT48" i="1" s="1"/>
  <c r="BU592" i="20"/>
  <c r="BU592" i="15"/>
  <c r="AV152" i="1"/>
  <c r="AV165" i="1"/>
  <c r="AV154" i="1"/>
  <c r="BX30" i="14"/>
  <c r="CC68" i="2"/>
  <c r="AO122" i="1"/>
  <c r="AR62" i="19"/>
  <c r="CV31" i="2"/>
  <c r="AR60" i="19" s="1"/>
  <c r="CC38" i="9"/>
  <c r="CC39" i="9" s="1"/>
  <c r="BJ74" i="2"/>
  <c r="F82" i="19" s="1"/>
  <c r="BJ58" i="2"/>
  <c r="DR335" i="20"/>
  <c r="BY57" i="2"/>
  <c r="BY70" i="2"/>
  <c r="U78" i="19" s="1"/>
  <c r="BZ70" i="2"/>
  <c r="V78" i="19" s="1"/>
  <c r="BS27" i="1"/>
  <c r="BS26" i="1" s="1"/>
  <c r="BS48" i="1" s="1"/>
  <c r="BF122" i="1"/>
  <c r="AB3" i="7"/>
  <c r="AG5" i="7"/>
  <c r="AE5" i="7"/>
  <c r="AE3" i="7" s="1"/>
  <c r="AD3" i="7"/>
  <c r="AI5" i="7"/>
  <c r="DD313" i="20"/>
  <c r="DD313" i="15"/>
  <c r="AA73" i="19"/>
  <c r="CF43" i="2"/>
  <c r="CF56" i="2" s="1"/>
  <c r="CF57" i="2" s="1"/>
  <c r="M44" i="19"/>
  <c r="BQ2" i="2"/>
  <c r="BQ91" i="2"/>
  <c r="CV93" i="1"/>
  <c r="CV95" i="1"/>
  <c r="BD19" i="9"/>
  <c r="AZ17" i="9"/>
  <c r="J41" i="19"/>
  <c r="BN54" i="2"/>
  <c r="BN71" i="2"/>
  <c r="J79" i="19" s="1"/>
  <c r="AA63" i="2"/>
  <c r="AA44" i="2"/>
  <c r="U45" i="19"/>
  <c r="AJ44" i="19"/>
  <c r="CN36" i="2"/>
  <c r="CN2" i="2"/>
  <c r="CG3" i="20"/>
  <c r="CG3" i="15"/>
  <c r="BH53" i="2"/>
  <c r="BH18" i="2"/>
  <c r="BH42" i="2"/>
  <c r="BJ61" i="1"/>
  <c r="BH21" i="2"/>
  <c r="BL61" i="1"/>
  <c r="BK61" i="1"/>
  <c r="F16" i="2"/>
  <c r="AC62" i="19"/>
  <c r="CG31" i="2"/>
  <c r="AC60" i="19" s="1"/>
  <c r="DQ335" i="20"/>
  <c r="DL335" i="20"/>
  <c r="AY63" i="1"/>
  <c r="AZ63" i="1"/>
  <c r="AZ40" i="2" s="1"/>
  <c r="BD63" i="1"/>
  <c r="AY367" i="20"/>
  <c r="AY327" i="20"/>
  <c r="AY367" i="15"/>
  <c r="AY327" i="15"/>
  <c r="BM3" i="15"/>
  <c r="BM3" i="20"/>
  <c r="AN15" i="2"/>
  <c r="AN53" i="2"/>
  <c r="AN55" i="2" s="1"/>
  <c r="AN42" i="2"/>
  <c r="AN18" i="2"/>
  <c r="CR16" i="20"/>
  <c r="CR16" i="15"/>
  <c r="O51" i="19"/>
  <c r="CC72" i="1"/>
  <c r="CD72" i="1"/>
  <c r="CC53" i="15"/>
  <c r="D52" i="19"/>
  <c r="CC53" i="20"/>
  <c r="BD24" i="2"/>
  <c r="D53" i="19" s="1"/>
  <c r="BD60" i="2"/>
  <c r="BD59" i="2" s="1"/>
  <c r="AX95" i="1"/>
  <c r="AX93" i="1"/>
  <c r="AH67" i="1"/>
  <c r="AH62" i="1"/>
  <c r="AH65" i="1"/>
  <c r="CQ4" i="20"/>
  <c r="N40" i="19"/>
  <c r="CQ4" i="15"/>
  <c r="BT70" i="1"/>
  <c r="BU70" i="1"/>
  <c r="BV70" i="1"/>
  <c r="DP3" i="20"/>
  <c r="AM39" i="19"/>
  <c r="CQ18" i="2"/>
  <c r="AM47" i="19" s="1"/>
  <c r="CQ53" i="2"/>
  <c r="CS61" i="1"/>
  <c r="CQ42" i="2"/>
  <c r="AM72" i="19" s="1"/>
  <c r="BJ578" i="20"/>
  <c r="BJ578" i="15"/>
  <c r="DG327" i="20"/>
  <c r="DG367" i="15"/>
  <c r="DG367" i="20"/>
  <c r="DG327" i="15"/>
  <c r="DT368" i="20"/>
  <c r="DT310" i="20"/>
  <c r="BT410" i="20"/>
  <c r="BT581" i="20"/>
  <c r="BT581" i="15"/>
  <c r="BT410" i="15"/>
  <c r="AU54" i="1"/>
  <c r="AU55" i="1"/>
  <c r="BU581" i="15"/>
  <c r="BA2" i="2"/>
  <c r="BA91" i="2"/>
  <c r="CI116" i="1"/>
  <c r="CM112" i="1"/>
  <c r="AT113" i="1"/>
  <c r="AS114" i="1"/>
  <c r="AS116" i="1" s="1"/>
  <c r="AS118" i="1" s="1"/>
  <c r="CN57" i="2"/>
  <c r="CN70" i="2"/>
  <c r="AJ78" i="19" s="1"/>
  <c r="BP40" i="2"/>
  <c r="L70" i="19" s="1"/>
  <c r="BP48" i="2"/>
  <c r="AN114" i="1"/>
  <c r="AN116" i="1" s="1"/>
  <c r="AN118" i="1" s="1"/>
  <c r="AO113" i="1"/>
  <c r="AE592" i="20"/>
  <c r="F154" i="1"/>
  <c r="F152" i="1"/>
  <c r="BS581" i="20"/>
  <c r="BS410" i="20"/>
  <c r="BS581" i="15"/>
  <c r="AT54" i="1"/>
  <c r="BS410" i="15"/>
  <c r="AT55" i="1"/>
  <c r="AD33" i="19"/>
  <c r="CH9" i="2"/>
  <c r="AD38" i="19" s="1"/>
  <c r="BT74" i="2"/>
  <c r="P82" i="19" s="1"/>
  <c r="BT58" i="2"/>
  <c r="DT327" i="20"/>
  <c r="DT367" i="20"/>
  <c r="BY151" i="1"/>
  <c r="DN581" i="20"/>
  <c r="DN410" i="20"/>
  <c r="CO49" i="1"/>
  <c r="CO54" i="1"/>
  <c r="CO55" i="1"/>
  <c r="CE91" i="2"/>
  <c r="CE2" i="2"/>
  <c r="AA44" i="19"/>
  <c r="CE36" i="2"/>
  <c r="CC30" i="20"/>
  <c r="CC30" i="15"/>
  <c r="BD5" i="14"/>
  <c r="BD8" i="14" s="1"/>
  <c r="BD9" i="14" s="1"/>
  <c r="BI3" i="20"/>
  <c r="BI3" i="15"/>
  <c r="AJ53" i="2"/>
  <c r="AJ61" i="1"/>
  <c r="AJ18" i="2"/>
  <c r="AJ42" i="2"/>
  <c r="CD58" i="2"/>
  <c r="CD74" i="2"/>
  <c r="Z82" i="19" s="1"/>
  <c r="BL4" i="20"/>
  <c r="BL4" i="15"/>
  <c r="AN70" i="1"/>
  <c r="AO11" i="2"/>
  <c r="AH70" i="2"/>
  <c r="AH57" i="2"/>
  <c r="BM4" i="20"/>
  <c r="BM4" i="15"/>
  <c r="BR49" i="1"/>
  <c r="CX57" i="2"/>
  <c r="CX70" i="2"/>
  <c r="AT78" i="19" s="1"/>
  <c r="AO63" i="1"/>
  <c r="AO40" i="2" s="1"/>
  <c r="AP63" i="1"/>
  <c r="AP40" i="2" s="1"/>
  <c r="BD144" i="1"/>
  <c r="BD138" i="1" s="1"/>
  <c r="CC147" i="15"/>
  <c r="CC147" i="20"/>
  <c r="AP335" i="20"/>
  <c r="AP335" i="15"/>
  <c r="S61" i="1"/>
  <c r="CG310" i="20"/>
  <c r="CG368" i="20"/>
  <c r="CG368" i="15"/>
  <c r="CG310" i="15"/>
  <c r="DB16" i="15"/>
  <c r="DB16" i="20"/>
  <c r="Y51" i="19"/>
  <c r="AG65" i="1"/>
  <c r="AG67" i="1"/>
  <c r="AG62" i="1"/>
  <c r="BU368" i="20"/>
  <c r="BU310" i="20"/>
  <c r="BU310" i="15"/>
  <c r="BU368" i="15"/>
  <c r="AR91" i="2"/>
  <c r="BG581" i="20"/>
  <c r="BG581" i="15"/>
  <c r="BG410" i="15"/>
  <c r="BG410" i="20"/>
  <c r="AH54" i="1"/>
  <c r="AH55" i="1"/>
  <c r="BH581" i="15"/>
  <c r="AH122" i="1"/>
  <c r="I73" i="19"/>
  <c r="CL313" i="15"/>
  <c r="CL6" i="15"/>
  <c r="CL313" i="20"/>
  <c r="BM56" i="2"/>
  <c r="BN43" i="2"/>
  <c r="CL6" i="20"/>
  <c r="V74" i="2"/>
  <c r="V58" i="2"/>
  <c r="V56" i="1" s="1"/>
  <c r="BH11" i="2"/>
  <c r="BI11" i="2" s="1"/>
  <c r="BH54" i="2"/>
  <c r="BH71" i="2"/>
  <c r="BH113" i="1" s="1"/>
  <c r="CB3" i="20"/>
  <c r="CB3" i="15"/>
  <c r="BC53" i="2"/>
  <c r="BC42" i="2"/>
  <c r="BC18" i="2"/>
  <c r="BF61" i="1"/>
  <c r="BC21" i="2"/>
  <c r="BG61" i="1"/>
  <c r="AL79" i="19"/>
  <c r="CP113" i="1"/>
  <c r="AB58" i="2"/>
  <c r="AB74" i="2"/>
  <c r="BE91" i="2"/>
  <c r="BE2" i="2"/>
  <c r="CG20" i="2"/>
  <c r="CH20" i="2" s="1"/>
  <c r="AZ579" i="20"/>
  <c r="AZ579" i="15"/>
  <c r="AA73" i="2"/>
  <c r="CB327" i="20"/>
  <c r="CB367" i="20"/>
  <c r="CB327" i="15"/>
  <c r="CB367" i="15"/>
  <c r="BV310" i="20"/>
  <c r="BV368" i="20"/>
  <c r="BV368" i="15"/>
  <c r="BV310" i="15"/>
  <c r="BP70" i="2"/>
  <c r="L78" i="19" s="1"/>
  <c r="Y41" i="19"/>
  <c r="CC54" i="2"/>
  <c r="CC71" i="2"/>
  <c r="Y79" i="19" s="1"/>
  <c r="AR55" i="2"/>
  <c r="BQ4" i="20"/>
  <c r="BQ4" i="15"/>
  <c r="AR70" i="1"/>
  <c r="I74" i="2"/>
  <c r="I58" i="2"/>
  <c r="BT40" i="2"/>
  <c r="P70" i="19" s="1"/>
  <c r="BT91" i="2"/>
  <c r="BV367" i="20"/>
  <c r="BV327" i="20"/>
  <c r="BV367" i="15"/>
  <c r="BV327" i="15"/>
  <c r="BC71" i="2"/>
  <c r="BC113" i="1" s="1"/>
  <c r="BC54" i="2"/>
  <c r="BC11" i="2"/>
  <c r="BC70" i="1" s="1"/>
  <c r="AU17" i="9"/>
  <c r="AY19" i="9"/>
  <c r="Q38" i="2"/>
  <c r="DR31" i="1"/>
  <c r="DS31" i="1" s="1"/>
  <c r="DT31" i="1" s="1"/>
  <c r="DU31" i="1" s="1"/>
  <c r="DQ31" i="1"/>
  <c r="CA367" i="20"/>
  <c r="CA327" i="20"/>
  <c r="CA327" i="15"/>
  <c r="CA367" i="15"/>
  <c r="AT19" i="9"/>
  <c r="AT20" i="9" s="1"/>
  <c r="AP17" i="9"/>
  <c r="BE61" i="1"/>
  <c r="BD10" i="2"/>
  <c r="AH54" i="9"/>
  <c r="AH30" i="9"/>
  <c r="AH29" i="9"/>
  <c r="BO70" i="2"/>
  <c r="K78" i="19" s="1"/>
  <c r="BO57" i="2"/>
  <c r="BG368" i="20"/>
  <c r="BG310" i="20"/>
  <c r="BG368" i="15"/>
  <c r="BG310" i="15"/>
  <c r="CQ61" i="1"/>
  <c r="BD4" i="20"/>
  <c r="AE70" i="1"/>
  <c r="BD4" i="15"/>
  <c r="M57" i="2"/>
  <c r="M70" i="2"/>
  <c r="H36" i="2"/>
  <c r="H38" i="2" s="1"/>
  <c r="K15" i="2"/>
  <c r="DY109" i="20"/>
  <c r="DZ110" i="20"/>
  <c r="BD112" i="20"/>
  <c r="BD112" i="15"/>
  <c r="AS21" i="2"/>
  <c r="AS122" i="1"/>
  <c r="X44" i="2"/>
  <c r="X63" i="2"/>
  <c r="BG114" i="1"/>
  <c r="BG115" i="1"/>
  <c r="BG117" i="1" s="1"/>
  <c r="BI149" i="1"/>
  <c r="BI145" i="1" s="1"/>
  <c r="BI27" i="1"/>
  <c r="BI26" i="1" s="1"/>
  <c r="BI6" i="14"/>
  <c r="CH163" i="20"/>
  <c r="BJ6" i="14"/>
  <c r="AD71" i="1"/>
  <c r="AD80" i="1"/>
  <c r="AD81" i="1" s="1"/>
  <c r="M62" i="1"/>
  <c r="M67" i="1"/>
  <c r="M65" i="1"/>
  <c r="DD368" i="20"/>
  <c r="DD310" i="20"/>
  <c r="DD368" i="15"/>
  <c r="DD310" i="15"/>
  <c r="CZ4" i="20"/>
  <c r="CZ4" i="15"/>
  <c r="W40" i="19"/>
  <c r="CA70" i="1"/>
  <c r="DU3" i="20"/>
  <c r="AR39" i="19"/>
  <c r="CV53" i="2"/>
  <c r="CV42" i="2"/>
  <c r="AR72" i="19" s="1"/>
  <c r="CV18" i="2"/>
  <c r="AR47" i="19" s="1"/>
  <c r="U9" i="2"/>
  <c r="DO581" i="20"/>
  <c r="DO410" i="20"/>
  <c r="CP49" i="1"/>
  <c r="CP54" i="1"/>
  <c r="CP55" i="1"/>
  <c r="E73" i="19"/>
  <c r="CH6" i="20"/>
  <c r="BI56" i="2"/>
  <c r="CH313" i="20"/>
  <c r="BY368" i="20"/>
  <c r="BY310" i="20"/>
  <c r="BY310" i="15"/>
  <c r="BY368" i="15"/>
  <c r="F43" i="9"/>
  <c r="DO310" i="20"/>
  <c r="DO368" i="20"/>
  <c r="AW21" i="19"/>
  <c r="AV21" i="19"/>
  <c r="CW149" i="1"/>
  <c r="CW145" i="1" s="1"/>
  <c r="DV163" i="20"/>
  <c r="DG23" i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A153" i="20"/>
  <c r="DM335" i="20"/>
  <c r="AJ592" i="20"/>
  <c r="K152" i="1"/>
  <c r="K154" i="1"/>
  <c r="BX335" i="20"/>
  <c r="BX335" i="15"/>
  <c r="BB114" i="1"/>
  <c r="BB115" i="1"/>
  <c r="BB117" i="1" s="1"/>
  <c r="BD37" i="9"/>
  <c r="BD43" i="9"/>
  <c r="BD6" i="14"/>
  <c r="AO86" i="2"/>
  <c r="AO87" i="2" s="1"/>
  <c r="AO88" i="2"/>
  <c r="AX4" i="20"/>
  <c r="AX4" i="15"/>
  <c r="AA70" i="1"/>
  <c r="AB70" i="1"/>
  <c r="CX6" i="14"/>
  <c r="DM581" i="20"/>
  <c r="AI113" i="1"/>
  <c r="AI54" i="2"/>
  <c r="AI55" i="2" s="1"/>
  <c r="AI11" i="2"/>
  <c r="AI70" i="1" s="1"/>
  <c r="AI71" i="2"/>
  <c r="CH12" i="2"/>
  <c r="BE70" i="2"/>
  <c r="BE57" i="2"/>
  <c r="Q58" i="2"/>
  <c r="Q74" i="2"/>
  <c r="CW27" i="1"/>
  <c r="CW26" i="1" s="1"/>
  <c r="BN196" i="1"/>
  <c r="N62" i="19"/>
  <c r="BR31" i="2"/>
  <c r="N60" i="19" s="1"/>
  <c r="CN6" i="14"/>
  <c r="Q116" i="1"/>
  <c r="R70" i="2"/>
  <c r="R57" i="2"/>
  <c r="CW92" i="1"/>
  <c r="CW93" i="1" s="1"/>
  <c r="DB410" i="20"/>
  <c r="DB410" i="15"/>
  <c r="CC54" i="1"/>
  <c r="CC55" i="1"/>
  <c r="CC122" i="1"/>
  <c r="N70" i="2"/>
  <c r="E33" i="19"/>
  <c r="BI9" i="2"/>
  <c r="E38" i="19" s="1"/>
  <c r="CK581" i="20"/>
  <c r="CK410" i="20"/>
  <c r="CK581" i="15"/>
  <c r="CK410" i="15"/>
  <c r="BL55" i="1"/>
  <c r="BL54" i="1"/>
  <c r="BL49" i="1"/>
  <c r="AC70" i="1"/>
  <c r="CO70" i="2"/>
  <c r="AK78" i="19" s="1"/>
  <c r="DY111" i="20"/>
  <c r="F9" i="2"/>
  <c r="AQ118" i="1"/>
  <c r="AQ119" i="1"/>
  <c r="W79" i="19"/>
  <c r="CA113" i="1"/>
  <c r="BX53" i="1"/>
  <c r="CX581" i="15" s="1"/>
  <c r="BY26" i="2"/>
  <c r="U55" i="19" s="1"/>
  <c r="BY86" i="2"/>
  <c r="BY87" i="2" s="1"/>
  <c r="AD70" i="2"/>
  <c r="AD57" i="2"/>
  <c r="CM112" i="20"/>
  <c r="CM112" i="15"/>
  <c r="J85" i="19"/>
  <c r="BN32" i="11"/>
  <c r="DZ166" i="20"/>
  <c r="DB30" i="1"/>
  <c r="CZ368" i="20"/>
  <c r="CZ310" i="15"/>
  <c r="CZ310" i="20"/>
  <c r="CZ368" i="15"/>
  <c r="L74" i="2"/>
  <c r="L58" i="2"/>
  <c r="BC56" i="2"/>
  <c r="BS53" i="1"/>
  <c r="BT26" i="2"/>
  <c r="P55" i="19" s="1"/>
  <c r="BT86" i="2"/>
  <c r="P59" i="2"/>
  <c r="AO144" i="1"/>
  <c r="AO138" i="1" s="1"/>
  <c r="BN147" i="15"/>
  <c r="BN147" i="20"/>
  <c r="DU327" i="20"/>
  <c r="DU367" i="20"/>
  <c r="CE368" i="20"/>
  <c r="CE310" i="20"/>
  <c r="CE368" i="15"/>
  <c r="CE310" i="15"/>
  <c r="AO14" i="9"/>
  <c r="AO34" i="9" s="1"/>
  <c r="AO39" i="9" s="1"/>
  <c r="AK34" i="9"/>
  <c r="AK39" i="9" s="1"/>
  <c r="DE368" i="20"/>
  <c r="DE368" i="15"/>
  <c r="DE310" i="15"/>
  <c r="DE310" i="20"/>
  <c r="CW6" i="14"/>
  <c r="BE6" i="14"/>
  <c r="CF70" i="2"/>
  <c r="AB78" i="19" s="1"/>
  <c r="BW368" i="20"/>
  <c r="BW310" i="20"/>
  <c r="BW310" i="15"/>
  <c r="BW368" i="15"/>
  <c r="AW122" i="1"/>
  <c r="X70" i="2"/>
  <c r="X57" i="2"/>
  <c r="L49" i="19"/>
  <c r="BP21" i="2"/>
  <c r="L50" i="19" s="1"/>
  <c r="BP43" i="2"/>
  <c r="BR20" i="2"/>
  <c r="BS20" i="2" s="1"/>
  <c r="CQ16" i="20"/>
  <c r="CQ16" i="15"/>
  <c r="N51" i="19"/>
  <c r="CJ40" i="2"/>
  <c r="AF70" i="19" s="1"/>
  <c r="CJ91" i="2"/>
  <c r="AE114" i="1"/>
  <c r="N62" i="1"/>
  <c r="N67" i="1"/>
  <c r="N65" i="1"/>
  <c r="AP118" i="1"/>
  <c r="DY110" i="20"/>
  <c r="CA15" i="2"/>
  <c r="P71" i="1"/>
  <c r="P80" i="1"/>
  <c r="P81" i="1" s="1"/>
  <c r="O71" i="1"/>
  <c r="O80" i="1"/>
  <c r="O81" i="1" s="1"/>
  <c r="BR3" i="20"/>
  <c r="BR3" i="15"/>
  <c r="AS53" i="2"/>
  <c r="AS55" i="2" s="1"/>
  <c r="AS15" i="2"/>
  <c r="AT15" i="2" s="1"/>
  <c r="AS18" i="2"/>
  <c r="AS42" i="2"/>
  <c r="AW61" i="1"/>
  <c r="AV61" i="1"/>
  <c r="AU61" i="1"/>
  <c r="CW335" i="20"/>
  <c r="CW335" i="15"/>
  <c r="CR149" i="1"/>
  <c r="CR145" i="1" s="1"/>
  <c r="CS6" i="14"/>
  <c r="DQ163" i="20"/>
  <c r="CR6" i="14"/>
  <c r="AP49" i="19"/>
  <c r="CT43" i="2"/>
  <c r="CT16" i="2"/>
  <c r="AP45" i="19" s="1"/>
  <c r="CT21" i="2"/>
  <c r="AP50" i="19" s="1"/>
  <c r="U43" i="9"/>
  <c r="BC59" i="2"/>
  <c r="DV30" i="20"/>
  <c r="CW5" i="14"/>
  <c r="CW8" i="14" s="1"/>
  <c r="CW9" i="14" s="1"/>
  <c r="DK310" i="20"/>
  <c r="DK368" i="20"/>
  <c r="CS26" i="2"/>
  <c r="AO55" i="19" s="1"/>
  <c r="CR53" i="1"/>
  <c r="CS86" i="2"/>
  <c r="AS3" i="15"/>
  <c r="AS3" i="20"/>
  <c r="T53" i="2"/>
  <c r="T55" i="2" s="1"/>
  <c r="T15" i="2"/>
  <c r="T18" i="2"/>
  <c r="T42" i="2"/>
  <c r="T21" i="2"/>
  <c r="W61" i="1"/>
  <c r="X61" i="1"/>
  <c r="V61" i="1"/>
  <c r="BA151" i="1"/>
  <c r="AP70" i="1"/>
  <c r="BD335" i="20"/>
  <c r="BD335" i="15"/>
  <c r="W62" i="19"/>
  <c r="CA20" i="2"/>
  <c r="CA31" i="2"/>
  <c r="W60" i="19" s="1"/>
  <c r="DD6" i="15"/>
  <c r="BZ368" i="20"/>
  <c r="BZ310" i="20"/>
  <c r="BZ310" i="15"/>
  <c r="BZ368" i="15"/>
  <c r="CS40" i="2"/>
  <c r="AO70" i="19" s="1"/>
  <c r="CS91" i="2"/>
  <c r="AQ91" i="2"/>
  <c r="BX63" i="1"/>
  <c r="BX40" i="2" s="1"/>
  <c r="T70" i="19" s="1"/>
  <c r="BY63" i="1"/>
  <c r="BY40" i="2" s="1"/>
  <c r="U70" i="19" s="1"/>
  <c r="CW144" i="1"/>
  <c r="CW138" i="1" s="1"/>
  <c r="DV147" i="20"/>
  <c r="CW5" i="1"/>
  <c r="CW4" i="1" s="1"/>
  <c r="DA3" i="15"/>
  <c r="X39" i="19"/>
  <c r="DA3" i="20"/>
  <c r="CB53" i="2"/>
  <c r="CB42" i="2"/>
  <c r="X72" i="19" s="1"/>
  <c r="CD61" i="1"/>
  <c r="CF61" i="1"/>
  <c r="CE61" i="1"/>
  <c r="CB18" i="2"/>
  <c r="X47" i="19" s="1"/>
  <c r="BX30" i="15"/>
  <c r="AY5" i="14"/>
  <c r="AY8" i="14" s="1"/>
  <c r="AY9" i="14" s="1"/>
  <c r="BX30" i="20"/>
  <c r="CN118" i="1"/>
  <c r="Z53" i="1"/>
  <c r="AA26" i="2"/>
  <c r="AA86" i="2"/>
  <c r="AA87" i="2" s="1"/>
  <c r="CE114" i="1"/>
  <c r="CE115" i="1"/>
  <c r="CE117" i="1" s="1"/>
  <c r="AN33" i="19"/>
  <c r="CR9" i="2"/>
  <c r="AN38" i="19" s="1"/>
  <c r="CZ14" i="20"/>
  <c r="CZ14" i="15"/>
  <c r="W59" i="19"/>
  <c r="CB30" i="2"/>
  <c r="CC30" i="2" s="1"/>
  <c r="CA159" i="1"/>
  <c r="CA28" i="2"/>
  <c r="W57" i="19" s="1"/>
  <c r="CA62" i="2"/>
  <c r="AF118" i="1"/>
  <c r="CS116" i="1"/>
  <c r="CW112" i="1"/>
  <c r="BR4" i="20"/>
  <c r="BR4" i="15"/>
  <c r="AV70" i="1"/>
  <c r="AU70" i="1"/>
  <c r="AW70" i="1"/>
  <c r="AM9" i="20"/>
  <c r="N62" i="2"/>
  <c r="O35" i="2"/>
  <c r="P35" i="2" s="1"/>
  <c r="BK74" i="2"/>
  <c r="G82" i="19" s="1"/>
  <c r="BK58" i="2"/>
  <c r="BX113" i="1"/>
  <c r="BW114" i="1"/>
  <c r="BW116" i="1" s="1"/>
  <c r="BW118" i="1" s="1"/>
  <c r="BW115" i="1"/>
  <c r="CH33" i="2"/>
  <c r="AD62" i="19" s="1"/>
  <c r="AC58" i="2"/>
  <c r="AC74" i="2"/>
  <c r="AU310" i="20"/>
  <c r="AU310" i="15"/>
  <c r="AU368" i="20"/>
  <c r="AU368" i="15"/>
  <c r="AK74" i="2"/>
  <c r="AK58" i="2"/>
  <c r="BG4" i="20"/>
  <c r="BG4" i="15"/>
  <c r="AH70" i="1"/>
  <c r="AH15" i="2"/>
  <c r="BN149" i="1"/>
  <c r="BN145" i="1" s="1"/>
  <c r="CM163" i="20"/>
  <c r="CM163" i="15"/>
  <c r="AM116" i="1"/>
  <c r="AM118" i="1" s="1"/>
  <c r="AO112" i="1"/>
  <c r="AF91" i="2"/>
  <c r="AF36" i="2"/>
  <c r="BT118" i="1"/>
  <c r="AK44" i="19"/>
  <c r="CO91" i="2"/>
  <c r="CO2" i="2"/>
  <c r="CD116" i="1"/>
  <c r="CH112" i="1"/>
  <c r="Y27" i="11"/>
  <c r="Y3" i="11"/>
  <c r="Y51" i="9"/>
  <c r="Y32" i="9"/>
  <c r="Y3" i="9"/>
  <c r="Y3" i="14"/>
  <c r="Y23" i="9"/>
  <c r="Y106" i="1"/>
  <c r="Y59" i="1"/>
  <c r="Y130" i="1"/>
  <c r="Y83" i="2"/>
  <c r="Y3" i="1"/>
  <c r="Y9" i="7"/>
  <c r="Y25" i="1"/>
  <c r="Y3" i="2"/>
  <c r="Y52" i="2"/>
  <c r="Y45" i="9"/>
  <c r="Y93" i="2"/>
  <c r="Y77" i="2"/>
  <c r="AK368" i="20"/>
  <c r="AK310" i="20"/>
  <c r="BS6" i="14"/>
  <c r="AM41" i="9"/>
  <c r="AO40" i="9"/>
  <c r="AO41" i="9" s="1"/>
  <c r="DJ581" i="20"/>
  <c r="DJ410" i="20"/>
  <c r="CK55" i="1"/>
  <c r="CK49" i="1"/>
  <c r="CK54" i="1"/>
  <c r="CK122" i="1"/>
  <c r="X27" i="11"/>
  <c r="X3" i="11"/>
  <c r="X51" i="9"/>
  <c r="X32" i="9"/>
  <c r="X3" i="9"/>
  <c r="X3" i="14"/>
  <c r="X23" i="9"/>
  <c r="X59" i="1"/>
  <c r="X3" i="1"/>
  <c r="X83" i="2"/>
  <c r="X3" i="2"/>
  <c r="X25" i="1"/>
  <c r="X130" i="1"/>
  <c r="X9" i="7"/>
  <c r="X45" i="9"/>
  <c r="X77" i="2"/>
  <c r="X106" i="1"/>
  <c r="X93" i="2"/>
  <c r="X52" i="2"/>
  <c r="BN63" i="1"/>
  <c r="BO63" i="1"/>
  <c r="BO91" i="2" s="1"/>
  <c r="AP576" i="20"/>
  <c r="AP576" i="15"/>
  <c r="Q110" i="1"/>
  <c r="Q121" i="1"/>
  <c r="R61" i="1"/>
  <c r="AA63" i="1"/>
  <c r="Z63" i="1"/>
  <c r="Z40" i="2" s="1"/>
  <c r="BY581" i="20"/>
  <c r="K72" i="1"/>
  <c r="L72" i="1"/>
  <c r="CM5" i="1"/>
  <c r="CM4" i="1" s="1"/>
  <c r="D58" i="2"/>
  <c r="D74" i="2"/>
  <c r="CM53" i="1"/>
  <c r="CN26" i="2"/>
  <c r="AJ55" i="19" s="1"/>
  <c r="CN86" i="2"/>
  <c r="CN87" i="2" s="1"/>
  <c r="BO118" i="1"/>
  <c r="AN115" i="1"/>
  <c r="V57" i="19"/>
  <c r="CH581" i="20"/>
  <c r="CH410" i="20"/>
  <c r="BI55" i="1"/>
  <c r="BI54" i="1"/>
  <c r="BI49" i="1"/>
  <c r="AU122" i="1"/>
  <c r="Z113" i="1"/>
  <c r="Y114" i="1"/>
  <c r="Y115" i="1"/>
  <c r="AO29" i="9"/>
  <c r="AO18" i="9"/>
  <c r="W74" i="2"/>
  <c r="W58" i="2"/>
  <c r="BD72" i="1"/>
  <c r="BE72" i="1"/>
  <c r="AB79" i="19"/>
  <c r="CF113" i="1"/>
  <c r="J44" i="2"/>
  <c r="J63" i="2"/>
  <c r="Z11" i="2"/>
  <c r="E15" i="19"/>
  <c r="BI34" i="9"/>
  <c r="CX26" i="2"/>
  <c r="AT55" i="19" s="1"/>
  <c r="CW53" i="1"/>
  <c r="CX86" i="2"/>
  <c r="CX87" i="2" s="1"/>
  <c r="AZ72" i="1"/>
  <c r="BI16" i="15"/>
  <c r="BI16" i="20"/>
  <c r="L60" i="19"/>
  <c r="BM16" i="15"/>
  <c r="BM16" i="20"/>
  <c r="AO22" i="2"/>
  <c r="H65" i="1"/>
  <c r="H67" i="1"/>
  <c r="H62" i="1"/>
  <c r="BY118" i="1"/>
  <c r="CA55" i="2"/>
  <c r="DG581" i="15"/>
  <c r="CI581" i="20"/>
  <c r="CI410" i="20"/>
  <c r="CI410" i="15"/>
  <c r="CI581" i="15"/>
  <c r="BJ49" i="1"/>
  <c r="BJ54" i="1"/>
  <c r="BJ55" i="1"/>
  <c r="BI122" i="1"/>
  <c r="AD91" i="2"/>
  <c r="AD36" i="2"/>
  <c r="AD38" i="2" s="1"/>
  <c r="CB16" i="20"/>
  <c r="CB16" i="15"/>
  <c r="AQ62" i="19"/>
  <c r="CU20" i="2"/>
  <c r="CU31" i="2"/>
  <c r="CQ49" i="1"/>
  <c r="BY61" i="1"/>
  <c r="DN98" i="1"/>
  <c r="DO98" i="1" s="1"/>
  <c r="DP98" i="1" s="1"/>
  <c r="DR98" i="1"/>
  <c r="DB580" i="20"/>
  <c r="DB580" i="15"/>
  <c r="Y42" i="19"/>
  <c r="CC61" i="2"/>
  <c r="CC59" i="2" s="1"/>
  <c r="AU410" i="20"/>
  <c r="AU581" i="20"/>
  <c r="AU410" i="15"/>
  <c r="V54" i="1"/>
  <c r="V55" i="1"/>
  <c r="V122" i="1"/>
  <c r="AQ70" i="1"/>
  <c r="AZ335" i="15"/>
  <c r="AZ335" i="20"/>
  <c r="CA95" i="1"/>
  <c r="CA93" i="1"/>
  <c r="DD6" i="20"/>
  <c r="O61" i="1"/>
  <c r="CY11" i="2"/>
  <c r="DA70" i="1" s="1"/>
  <c r="CY54" i="2"/>
  <c r="AU41" i="19"/>
  <c r="DX576" i="20"/>
  <c r="DX146" i="20"/>
  <c r="AU61" i="19"/>
  <c r="DX7" i="20"/>
  <c r="AU33" i="19"/>
  <c r="AY5" i="19"/>
  <c r="DS52" i="9"/>
  <c r="DR52" i="9"/>
  <c r="DG4" i="9"/>
  <c r="DH25" i="9" s="1"/>
  <c r="DH26" i="9" s="1"/>
  <c r="DP52" i="9"/>
  <c r="DO52" i="9"/>
  <c r="CZ5" i="11"/>
  <c r="DA5" i="11" s="1"/>
  <c r="DF5" i="11" s="1"/>
  <c r="AX6" i="19"/>
  <c r="EA574" i="20"/>
  <c r="DB6" i="9"/>
  <c r="AZ5" i="19"/>
  <c r="AZ6" i="19"/>
  <c r="AV8" i="19"/>
  <c r="DY586" i="20"/>
  <c r="BO5" i="11"/>
  <c r="AW9" i="19"/>
  <c r="DZ587" i="20"/>
  <c r="DB7" i="9"/>
  <c r="BA5" i="19"/>
  <c r="BA6" i="19"/>
  <c r="DL53" i="9"/>
  <c r="DX588" i="20"/>
  <c r="AU13" i="19"/>
  <c r="BB5" i="19"/>
  <c r="BB6" i="19"/>
  <c r="BD72" i="19" l="1"/>
  <c r="DQ367" i="20"/>
  <c r="DP9" i="2"/>
  <c r="BK38" i="19"/>
  <c r="DO6" i="9"/>
  <c r="BJ7" i="19"/>
  <c r="DK16" i="9"/>
  <c r="BF17" i="19"/>
  <c r="CX368" i="20"/>
  <c r="BX310" i="15"/>
  <c r="CP184" i="1"/>
  <c r="CP165" i="1"/>
  <c r="DE67" i="1"/>
  <c r="DE65" i="1"/>
  <c r="DE62" i="1"/>
  <c r="CX310" i="20"/>
  <c r="BB165" i="1"/>
  <c r="BQ65" i="1"/>
  <c r="CT592" i="20"/>
  <c r="BV43" i="2"/>
  <c r="CU313" i="20" s="1"/>
  <c r="Q73" i="19"/>
  <c r="BF5" i="19"/>
  <c r="AS16" i="15"/>
  <c r="BF58" i="2"/>
  <c r="BF56" i="1" s="1"/>
  <c r="AC62" i="1"/>
  <c r="BN21" i="2"/>
  <c r="J50" i="19" s="1"/>
  <c r="BX310" i="20"/>
  <c r="Z42" i="2"/>
  <c r="BX95" i="1"/>
  <c r="Z61" i="1"/>
  <c r="Z67" i="1" s="1"/>
  <c r="DO592" i="20"/>
  <c r="CU18" i="2"/>
  <c r="AQ47" i="19" s="1"/>
  <c r="CI73" i="2"/>
  <c r="AE81" i="19" s="1"/>
  <c r="AK73" i="19"/>
  <c r="AE65" i="19"/>
  <c r="AY38" i="9"/>
  <c r="AY39" i="9" s="1"/>
  <c r="DH579" i="20"/>
  <c r="CT152" i="1"/>
  <c r="CP154" i="1"/>
  <c r="CP155" i="1" s="1"/>
  <c r="CX310" i="15"/>
  <c r="BN53" i="15"/>
  <c r="CW10" i="2"/>
  <c r="DV3" i="20" s="1"/>
  <c r="U16" i="2"/>
  <c r="R36" i="2"/>
  <c r="R38" i="2" s="1"/>
  <c r="R63" i="2" s="1"/>
  <c r="AY43" i="9"/>
  <c r="BH165" i="1"/>
  <c r="BU154" i="1"/>
  <c r="BU155" i="1" s="1"/>
  <c r="BB154" i="1"/>
  <c r="CB313" i="20"/>
  <c r="AO24" i="2"/>
  <c r="CT2" i="2"/>
  <c r="BH152" i="1"/>
  <c r="BU165" i="1"/>
  <c r="CO70" i="1"/>
  <c r="CO80" i="1" s="1"/>
  <c r="CO81" i="1" s="1"/>
  <c r="AP44" i="19"/>
  <c r="BH154" i="1"/>
  <c r="BH155" i="1" s="1"/>
  <c r="CG592" i="15"/>
  <c r="AN21" i="2"/>
  <c r="BX368" i="15"/>
  <c r="CB6" i="20"/>
  <c r="M44" i="2"/>
  <c r="M47" i="2" s="1"/>
  <c r="AC65" i="1"/>
  <c r="BB152" i="1"/>
  <c r="CB313" i="15"/>
  <c r="AO60" i="2"/>
  <c r="AO59" i="2" s="1"/>
  <c r="U22" i="2"/>
  <c r="BE581" i="15"/>
  <c r="AE55" i="1"/>
  <c r="CU15" i="2"/>
  <c r="AQ44" i="19" s="1"/>
  <c r="S46" i="2"/>
  <c r="BD56" i="2"/>
  <c r="AT53" i="15"/>
  <c r="AE54" i="1"/>
  <c r="CU61" i="1"/>
  <c r="CU62" i="1" s="1"/>
  <c r="AB65" i="1"/>
  <c r="CT65" i="1"/>
  <c r="CC6" i="15"/>
  <c r="BX20" i="2"/>
  <c r="T49" i="19" s="1"/>
  <c r="CU42" i="2"/>
  <c r="AQ72" i="19" s="1"/>
  <c r="CT67" i="1"/>
  <c r="CA592" i="20"/>
  <c r="BD410" i="15"/>
  <c r="AQ39" i="19"/>
  <c r="CW367" i="15"/>
  <c r="AB67" i="1"/>
  <c r="CC6" i="20"/>
  <c r="BI48" i="1"/>
  <c r="U60" i="2"/>
  <c r="U59" i="2" s="1"/>
  <c r="AE122" i="1"/>
  <c r="CU53" i="2"/>
  <c r="CU55" i="2" s="1"/>
  <c r="CU70" i="2" s="1"/>
  <c r="AQ78" i="19" s="1"/>
  <c r="BI581" i="20"/>
  <c r="CC313" i="15"/>
  <c r="AK45" i="19"/>
  <c r="G73" i="2"/>
  <c r="AF579" i="20"/>
  <c r="CE74" i="2"/>
  <c r="AA82" i="19" s="1"/>
  <c r="DT3" i="20"/>
  <c r="AY9" i="2"/>
  <c r="C38" i="19" s="1"/>
  <c r="BU152" i="1"/>
  <c r="CP43" i="2"/>
  <c r="DO313" i="20" s="1"/>
  <c r="CX61" i="1"/>
  <c r="CX67" i="1" s="1"/>
  <c r="U80" i="1"/>
  <c r="U81" i="1" s="1"/>
  <c r="CC313" i="20"/>
  <c r="BW21" i="2"/>
  <c r="S50" i="19" s="1"/>
  <c r="CB6" i="15"/>
  <c r="BX48" i="1"/>
  <c r="AT53" i="20"/>
  <c r="DD61" i="1"/>
  <c r="AS16" i="20"/>
  <c r="CT165" i="1"/>
  <c r="CT154" i="1"/>
  <c r="CT155" i="1" s="1"/>
  <c r="CT184" i="1"/>
  <c r="CC151" i="1"/>
  <c r="DB592" i="20" s="1"/>
  <c r="DC310" i="15"/>
  <c r="DC368" i="15"/>
  <c r="DC310" i="20"/>
  <c r="CS592" i="20"/>
  <c r="BT152" i="1"/>
  <c r="BT154" i="1"/>
  <c r="BT155" i="1" s="1"/>
  <c r="BT165" i="1"/>
  <c r="CL65" i="1"/>
  <c r="Z15" i="2"/>
  <c r="Z2" i="2" s="1"/>
  <c r="CT6" i="20"/>
  <c r="CM95" i="1"/>
  <c r="AX28" i="19"/>
  <c r="BU74" i="2"/>
  <c r="Q82" i="19" s="1"/>
  <c r="BU58" i="2"/>
  <c r="CT579" i="20" s="1"/>
  <c r="AV73" i="19"/>
  <c r="CT313" i="15"/>
  <c r="CT313" i="20"/>
  <c r="CL67" i="1"/>
  <c r="DA18" i="2"/>
  <c r="DA53" i="2"/>
  <c r="DA55" i="2" s="1"/>
  <c r="DA70" i="2" s="1"/>
  <c r="DA42" i="2"/>
  <c r="AW72" i="19" s="1"/>
  <c r="DA15" i="2"/>
  <c r="CT6" i="15"/>
  <c r="AA67" i="1"/>
  <c r="AA62" i="1"/>
  <c r="AY95" i="1"/>
  <c r="BI151" i="1"/>
  <c r="BI152" i="1" s="1"/>
  <c r="BN39" i="9"/>
  <c r="DC70" i="1"/>
  <c r="DA80" i="1"/>
  <c r="DA81" i="1" s="1"/>
  <c r="DA71" i="1"/>
  <c r="BQ62" i="1"/>
  <c r="DA20" i="2"/>
  <c r="DA43" i="2" s="1"/>
  <c r="DA56" i="2" s="1"/>
  <c r="CA152" i="1"/>
  <c r="CA154" i="1"/>
  <c r="CA155" i="1" s="1"/>
  <c r="CA165" i="1"/>
  <c r="CZ592" i="15"/>
  <c r="AX152" i="1"/>
  <c r="CJ592" i="20"/>
  <c r="BG165" i="1"/>
  <c r="BG154" i="1"/>
  <c r="CF592" i="20"/>
  <c r="BW592" i="15"/>
  <c r="BG152" i="1"/>
  <c r="BE154" i="1"/>
  <c r="CB152" i="1"/>
  <c r="BE165" i="1"/>
  <c r="BJ165" i="1"/>
  <c r="AZ154" i="1"/>
  <c r="BF155" i="1" s="1"/>
  <c r="CI592" i="20"/>
  <c r="AZ165" i="1"/>
  <c r="AZ152" i="1"/>
  <c r="BY592" i="15"/>
  <c r="BK154" i="1"/>
  <c r="BK156" i="1" s="1"/>
  <c r="BK165" i="1"/>
  <c r="BR154" i="1"/>
  <c r="BK152" i="1"/>
  <c r="AY56" i="19"/>
  <c r="BR165" i="1"/>
  <c r="CQ592" i="15"/>
  <c r="BR152" i="1"/>
  <c r="BS151" i="1"/>
  <c r="CR592" i="20" s="1"/>
  <c r="DA592" i="20"/>
  <c r="CM48" i="1"/>
  <c r="Z21" i="2"/>
  <c r="CN67" i="1"/>
  <c r="BD410" i="20"/>
  <c r="DN313" i="20"/>
  <c r="CW38" i="9"/>
  <c r="CW39" i="9" s="1"/>
  <c r="DA592" i="15"/>
  <c r="AX165" i="1"/>
  <c r="BE152" i="1"/>
  <c r="BD581" i="20"/>
  <c r="AY3" i="15"/>
  <c r="CO56" i="2"/>
  <c r="CO57" i="2" s="1"/>
  <c r="CO58" i="2" s="1"/>
  <c r="AU165" i="1"/>
  <c r="CB165" i="1"/>
  <c r="CB154" i="1"/>
  <c r="CB155" i="1" s="1"/>
  <c r="AU154" i="1"/>
  <c r="O93" i="1"/>
  <c r="CD592" i="15"/>
  <c r="AY3" i="20"/>
  <c r="AU152" i="1"/>
  <c r="BO62" i="1"/>
  <c r="BW592" i="20"/>
  <c r="CN62" i="1"/>
  <c r="AY16" i="15"/>
  <c r="BT592" i="15"/>
  <c r="BO67" i="1"/>
  <c r="AW57" i="2"/>
  <c r="AW74" i="2" s="1"/>
  <c r="Z53" i="2"/>
  <c r="Z55" i="2" s="1"/>
  <c r="Z57" i="2" s="1"/>
  <c r="BA65" i="1"/>
  <c r="CL113" i="1"/>
  <c r="CM113" i="1" s="1"/>
  <c r="AK91" i="2"/>
  <c r="AN367" i="20"/>
  <c r="CM55" i="2"/>
  <c r="CM70" i="2" s="1"/>
  <c r="AI78" i="19" s="1"/>
  <c r="AN43" i="2"/>
  <c r="BM6" i="15" s="1"/>
  <c r="AO21" i="2"/>
  <c r="U53" i="2"/>
  <c r="U55" i="2" s="1"/>
  <c r="U57" i="2" s="1"/>
  <c r="CK91" i="2"/>
  <c r="BN61" i="1"/>
  <c r="BN65" i="1" s="1"/>
  <c r="BN53" i="2"/>
  <c r="BN55" i="2" s="1"/>
  <c r="BN70" i="2" s="1"/>
  <c r="J78" i="19" s="1"/>
  <c r="CM3" i="20"/>
  <c r="CK114" i="1"/>
  <c r="CK116" i="1" s="1"/>
  <c r="CK118" i="1" s="1"/>
  <c r="AW154" i="1"/>
  <c r="AY48" i="2"/>
  <c r="AB44" i="2"/>
  <c r="AB47" i="2" s="1"/>
  <c r="AW165" i="1"/>
  <c r="AS168" i="1" s="1"/>
  <c r="BX71" i="1"/>
  <c r="AW152" i="1"/>
  <c r="CL55" i="2"/>
  <c r="CL70" i="2" s="1"/>
  <c r="AH78" i="19" s="1"/>
  <c r="CK2" i="2"/>
  <c r="Y36" i="2"/>
  <c r="Y38" i="2" s="1"/>
  <c r="Y63" i="2" s="1"/>
  <c r="AV58" i="2"/>
  <c r="AV56" i="1" s="1"/>
  <c r="BV592" i="15"/>
  <c r="CM3" i="15"/>
  <c r="BW16" i="2"/>
  <c r="S45" i="19" s="1"/>
  <c r="CW43" i="9"/>
  <c r="AS80" i="1"/>
  <c r="AS81" i="1" s="1"/>
  <c r="BJ154" i="1"/>
  <c r="BJ155" i="1" s="1"/>
  <c r="BN18" i="2"/>
  <c r="J47" i="19" s="1"/>
  <c r="BX151" i="1"/>
  <c r="CW592" i="15" s="1"/>
  <c r="BN42" i="2"/>
  <c r="J72" i="19" s="1"/>
  <c r="BJ152" i="1"/>
  <c r="CW327" i="20"/>
  <c r="BM55" i="2"/>
  <c r="BM57" i="2" s="1"/>
  <c r="CH327" i="20"/>
  <c r="CZ21" i="2"/>
  <c r="CZ16" i="2"/>
  <c r="CZ56" i="2"/>
  <c r="AV49" i="19"/>
  <c r="CR151" i="1"/>
  <c r="CR184" i="1" s="1"/>
  <c r="CW40" i="2"/>
  <c r="AS70" i="19" s="1"/>
  <c r="CY70" i="1"/>
  <c r="O95" i="1"/>
  <c r="P95" i="1" s="1"/>
  <c r="C73" i="19"/>
  <c r="BX313" i="15"/>
  <c r="BX313" i="20"/>
  <c r="DB14" i="1"/>
  <c r="AT3" i="15"/>
  <c r="BR62" i="1"/>
  <c r="CQ165" i="1"/>
  <c r="BP67" i="1"/>
  <c r="BR67" i="1"/>
  <c r="CQ152" i="1"/>
  <c r="BX6" i="15"/>
  <c r="AT3" i="20"/>
  <c r="CQ154" i="1"/>
  <c r="CQ155" i="1" s="1"/>
  <c r="CW9" i="2"/>
  <c r="AS38" i="19" s="1"/>
  <c r="BP62" i="1"/>
  <c r="DP592" i="20"/>
  <c r="AY56" i="2"/>
  <c r="CZ42" i="2"/>
  <c r="AV72" i="19" s="1"/>
  <c r="CZ18" i="2"/>
  <c r="CZ15" i="2"/>
  <c r="CZ53" i="2"/>
  <c r="CZ55" i="2" s="1"/>
  <c r="CS152" i="1"/>
  <c r="BP154" i="1"/>
  <c r="BP155" i="1" s="1"/>
  <c r="BP152" i="1"/>
  <c r="CS154" i="1"/>
  <c r="CS155" i="1" s="1"/>
  <c r="BP165" i="1"/>
  <c r="CO592" i="15"/>
  <c r="CS184" i="1"/>
  <c r="CS165" i="1"/>
  <c r="CL152" i="1"/>
  <c r="CL154" i="1"/>
  <c r="CL155" i="1" s="1"/>
  <c r="DB368" i="20"/>
  <c r="CL165" i="1"/>
  <c r="DK592" i="20"/>
  <c r="BT368" i="20"/>
  <c r="BT368" i="15"/>
  <c r="AY151" i="1"/>
  <c r="BX592" i="15" s="1"/>
  <c r="CD184" i="1"/>
  <c r="CK154" i="1"/>
  <c r="CK155" i="1" s="1"/>
  <c r="CD152" i="1"/>
  <c r="DB368" i="15"/>
  <c r="AS152" i="1"/>
  <c r="DJ592" i="20"/>
  <c r="DB310" i="15"/>
  <c r="BC154" i="1"/>
  <c r="BC165" i="1"/>
  <c r="BL154" i="1"/>
  <c r="CB592" i="15"/>
  <c r="CD165" i="1"/>
  <c r="CB592" i="20"/>
  <c r="CD154" i="1"/>
  <c r="CD155" i="1" s="1"/>
  <c r="CI184" i="1"/>
  <c r="DE592" i="20"/>
  <c r="BL152" i="1"/>
  <c r="BT310" i="15"/>
  <c r="DC592" i="15"/>
  <c r="CU592" i="20"/>
  <c r="CF184" i="1"/>
  <c r="BW165" i="1"/>
  <c r="BW154" i="1"/>
  <c r="BW155" i="1" s="1"/>
  <c r="BV165" i="1"/>
  <c r="BL165" i="1"/>
  <c r="BL168" i="1" s="1"/>
  <c r="CF165" i="1"/>
  <c r="P154" i="1"/>
  <c r="CV592" i="15"/>
  <c r="BV152" i="1"/>
  <c r="CK592" i="15"/>
  <c r="CF154" i="1"/>
  <c r="CF155" i="1" s="1"/>
  <c r="AO592" i="15"/>
  <c r="BV154" i="1"/>
  <c r="CF152" i="1"/>
  <c r="AS154" i="1"/>
  <c r="BR592" i="15"/>
  <c r="AO592" i="20"/>
  <c r="BO154" i="1"/>
  <c r="BO155" i="1" s="1"/>
  <c r="CN592" i="20"/>
  <c r="CL15" i="2"/>
  <c r="AH44" i="19" s="1"/>
  <c r="CM11" i="2"/>
  <c r="CP70" i="1" s="1"/>
  <c r="CG152" i="1"/>
  <c r="CI152" i="1"/>
  <c r="CL70" i="1"/>
  <c r="CL80" i="1" s="1"/>
  <c r="CL81" i="1" s="1"/>
  <c r="BQ165" i="1"/>
  <c r="AE57" i="2"/>
  <c r="AE74" i="2" s="1"/>
  <c r="BB67" i="1"/>
  <c r="CN70" i="1"/>
  <c r="CN80" i="1" s="1"/>
  <c r="CN81" i="1" s="1"/>
  <c r="DF592" i="15"/>
  <c r="CN592" i="15"/>
  <c r="CV70" i="1"/>
  <c r="CV80" i="1" s="1"/>
  <c r="CV81" i="1" s="1"/>
  <c r="AH40" i="19"/>
  <c r="BR592" i="20"/>
  <c r="CP62" i="1"/>
  <c r="BO165" i="1"/>
  <c r="BQ154" i="1"/>
  <c r="DL327" i="20"/>
  <c r="BQ152" i="1"/>
  <c r="AO6" i="15"/>
  <c r="AO6" i="20"/>
  <c r="CP592" i="15"/>
  <c r="BB57" i="2"/>
  <c r="BB58" i="2" s="1"/>
  <c r="BX31" i="2"/>
  <c r="T60" i="19" s="1"/>
  <c r="AO30" i="15"/>
  <c r="AO30" i="20"/>
  <c r="P5" i="14"/>
  <c r="P8" i="14" s="1"/>
  <c r="P9" i="14" s="1"/>
  <c r="BS95" i="1"/>
  <c r="CV165" i="1"/>
  <c r="BB70" i="1"/>
  <c r="BB80" i="1" s="1"/>
  <c r="BB81" i="1" s="1"/>
  <c r="DU592" i="20"/>
  <c r="DH592" i="20"/>
  <c r="CU154" i="1"/>
  <c r="CU155" i="1" s="1"/>
  <c r="CU152" i="1"/>
  <c r="DT592" i="20"/>
  <c r="CI154" i="1"/>
  <c r="CI155" i="1" s="1"/>
  <c r="CG154" i="1"/>
  <c r="CG155" i="1" s="1"/>
  <c r="BA62" i="1"/>
  <c r="BS4" i="15"/>
  <c r="BF154" i="1"/>
  <c r="BF156" i="1" s="1"/>
  <c r="AT21" i="2"/>
  <c r="CK184" i="1"/>
  <c r="AT70" i="1"/>
  <c r="AT71" i="1" s="1"/>
  <c r="CY56" i="2"/>
  <c r="CP67" i="1"/>
  <c r="DF592" i="20"/>
  <c r="CK152" i="1"/>
  <c r="BD95" i="1"/>
  <c r="CV152" i="1"/>
  <c r="CV154" i="1"/>
  <c r="CV155" i="1" s="1"/>
  <c r="BI40" i="2"/>
  <c r="E70" i="19" s="1"/>
  <c r="DD592" i="15"/>
  <c r="BS70" i="1"/>
  <c r="BS80" i="1" s="1"/>
  <c r="BS81" i="1" s="1"/>
  <c r="P32" i="2"/>
  <c r="O31" i="2"/>
  <c r="P31" i="2" s="1"/>
  <c r="AN7" i="20"/>
  <c r="O56" i="2"/>
  <c r="O57" i="2" s="1"/>
  <c r="Y57" i="2"/>
  <c r="Y58" i="2" s="1"/>
  <c r="CB15" i="2"/>
  <c r="CC15" i="2" s="1"/>
  <c r="CH31" i="2"/>
  <c r="AD60" i="19" s="1"/>
  <c r="CV55" i="2"/>
  <c r="CV70" i="2" s="1"/>
  <c r="AR78" i="19" s="1"/>
  <c r="CO67" i="1"/>
  <c r="CH48" i="1"/>
  <c r="CR4" i="15"/>
  <c r="BW152" i="1"/>
  <c r="CO65" i="1"/>
  <c r="AZ91" i="2"/>
  <c r="O40" i="19"/>
  <c r="DD592" i="20"/>
  <c r="CH11" i="2"/>
  <c r="CH70" i="1" s="1"/>
  <c r="CN91" i="2"/>
  <c r="Y71" i="1"/>
  <c r="CM67" i="1"/>
  <c r="P116" i="1"/>
  <c r="P118" i="1" s="1"/>
  <c r="BB62" i="1"/>
  <c r="CG184" i="1"/>
  <c r="AT18" i="2"/>
  <c r="CM62" i="1"/>
  <c r="BZ165" i="1"/>
  <c r="AO313" i="15"/>
  <c r="AO313" i="20"/>
  <c r="CW95" i="1"/>
  <c r="AT53" i="2"/>
  <c r="AT55" i="2" s="1"/>
  <c r="CM368" i="15"/>
  <c r="AX115" i="1"/>
  <c r="AX114" i="1"/>
  <c r="AY113" i="1"/>
  <c r="CY592" i="15"/>
  <c r="BC15" i="2"/>
  <c r="BC91" i="2" s="1"/>
  <c r="BZ152" i="1"/>
  <c r="C41" i="19"/>
  <c r="AY71" i="2"/>
  <c r="C79" i="19" s="1"/>
  <c r="AY54" i="2"/>
  <c r="AW2" i="2"/>
  <c r="AW91" i="2"/>
  <c r="CW327" i="15"/>
  <c r="BZ154" i="1"/>
  <c r="AT151" i="1"/>
  <c r="BS592" i="20" s="1"/>
  <c r="BD151" i="1"/>
  <c r="CC592" i="15" s="1"/>
  <c r="CB55" i="2"/>
  <c r="CB70" i="2" s="1"/>
  <c r="X78" i="19" s="1"/>
  <c r="F80" i="1"/>
  <c r="F81" i="1" s="1"/>
  <c r="AO114" i="1"/>
  <c r="CM310" i="20"/>
  <c r="CV65" i="1"/>
  <c r="CE165" i="1"/>
  <c r="AE38" i="2"/>
  <c r="AE63" i="2" s="1"/>
  <c r="CM368" i="20"/>
  <c r="BS3" i="15"/>
  <c r="AX55" i="2"/>
  <c r="AX57" i="2" s="1"/>
  <c r="CV67" i="1"/>
  <c r="BX116" i="1"/>
  <c r="BX118" i="1" s="1"/>
  <c r="U42" i="2"/>
  <c r="CE154" i="1"/>
  <c r="CE155" i="1" s="1"/>
  <c r="U21" i="2"/>
  <c r="BZ36" i="2"/>
  <c r="V66" i="19" s="1"/>
  <c r="U18" i="2"/>
  <c r="AJ55" i="2"/>
  <c r="AJ57" i="2" s="1"/>
  <c r="AT61" i="1"/>
  <c r="AT67" i="1" s="1"/>
  <c r="DB12" i="1"/>
  <c r="DB73" i="1"/>
  <c r="DB74" i="1" s="1"/>
  <c r="CE184" i="1"/>
  <c r="BS3" i="20"/>
  <c r="AX70" i="1"/>
  <c r="BW4" i="20"/>
  <c r="BW4" i="15"/>
  <c r="AY11" i="2"/>
  <c r="BA70" i="1"/>
  <c r="AZ70" i="1"/>
  <c r="AA3" i="1"/>
  <c r="AA77" i="2"/>
  <c r="AA106" i="1"/>
  <c r="AA51" i="9"/>
  <c r="AA59" i="1"/>
  <c r="AA27" i="11"/>
  <c r="AA25" i="1"/>
  <c r="AA9" i="7"/>
  <c r="AA52" i="2"/>
  <c r="AA55" i="9"/>
  <c r="AA32" i="9"/>
  <c r="AA3" i="9"/>
  <c r="AA3" i="11"/>
  <c r="AA23" i="9"/>
  <c r="AA3" i="2"/>
  <c r="AA83" i="2"/>
  <c r="AA45" i="9"/>
  <c r="AA130" i="1"/>
  <c r="AA3" i="14"/>
  <c r="AA93" i="2"/>
  <c r="DE6" i="15"/>
  <c r="AM62" i="19"/>
  <c r="CQ31" i="2"/>
  <c r="AM60" i="19" s="1"/>
  <c r="C52" i="19"/>
  <c r="BX53" i="15"/>
  <c r="AY24" i="2"/>
  <c r="C53" i="19" s="1"/>
  <c r="BX53" i="20"/>
  <c r="AY60" i="2"/>
  <c r="AY59" i="2" s="1"/>
  <c r="AL2" i="2"/>
  <c r="AL91" i="2"/>
  <c r="DI313" i="20"/>
  <c r="CJ56" i="2"/>
  <c r="CJ57" i="2" s="1"/>
  <c r="AF73" i="19"/>
  <c r="CK43" i="2"/>
  <c r="AL62" i="1"/>
  <c r="AL67" i="1"/>
  <c r="AL65" i="1"/>
  <c r="CP16" i="2"/>
  <c r="AL45" i="19" s="1"/>
  <c r="CP21" i="2"/>
  <c r="AL50" i="19" s="1"/>
  <c r="CQ20" i="2"/>
  <c r="AL49" i="19"/>
  <c r="CC49" i="1"/>
  <c r="CM151" i="1"/>
  <c r="DL592" i="20" s="1"/>
  <c r="DB581" i="20"/>
  <c r="CG15" i="2"/>
  <c r="CH15" i="2" s="1"/>
  <c r="CH91" i="2" s="1"/>
  <c r="DE6" i="20"/>
  <c r="AE36" i="2"/>
  <c r="BX114" i="1"/>
  <c r="DB581" i="15"/>
  <c r="CH49" i="1"/>
  <c r="AY40" i="2"/>
  <c r="C70" i="19" s="1"/>
  <c r="K36" i="2"/>
  <c r="CX91" i="2"/>
  <c r="BN151" i="1"/>
  <c r="BN152" i="1" s="1"/>
  <c r="CK21" i="2"/>
  <c r="AG50" i="19" s="1"/>
  <c r="AG49" i="19"/>
  <c r="CK16" i="2"/>
  <c r="BJ40" i="2"/>
  <c r="F70" i="19" s="1"/>
  <c r="BJ91" i="2"/>
  <c r="AL57" i="2"/>
  <c r="AL70" i="2"/>
  <c r="AK5" i="7"/>
  <c r="AF3" i="7"/>
  <c r="BH55" i="2"/>
  <c r="BH57" i="2" s="1"/>
  <c r="CW11" i="2"/>
  <c r="CZ70" i="1" s="1"/>
  <c r="BY49" i="1"/>
  <c r="AF45" i="19"/>
  <c r="CJ36" i="2"/>
  <c r="BD11" i="2"/>
  <c r="CC4" i="15" s="1"/>
  <c r="BF165" i="1"/>
  <c r="BF168" i="1" s="1"/>
  <c r="AU70" i="2"/>
  <c r="AU57" i="2"/>
  <c r="BX122" i="1"/>
  <c r="BI39" i="9"/>
  <c r="CW48" i="1"/>
  <c r="BF152" i="1"/>
  <c r="CU184" i="1"/>
  <c r="CR33" i="2"/>
  <c r="AN62" i="19" s="1"/>
  <c r="CL20" i="2"/>
  <c r="CE592" i="15"/>
  <c r="CM31" i="2"/>
  <c r="AI60" i="19" s="1"/>
  <c r="BW16" i="20"/>
  <c r="BW16" i="15"/>
  <c r="AY22" i="2"/>
  <c r="AL60" i="19"/>
  <c r="AQ58" i="2"/>
  <c r="AQ74" i="2"/>
  <c r="CF58" i="2"/>
  <c r="CF74" i="2"/>
  <c r="AB82" i="19" s="1"/>
  <c r="AT69" i="2"/>
  <c r="AT91" i="2"/>
  <c r="AT92" i="2" s="1"/>
  <c r="AT2" i="2"/>
  <c r="Y59" i="19"/>
  <c r="CC62" i="2"/>
  <c r="CC159" i="1"/>
  <c r="DB14" i="20"/>
  <c r="DB14" i="15"/>
  <c r="DV327" i="20"/>
  <c r="DV367" i="20"/>
  <c r="CO313" i="20"/>
  <c r="CO313" i="15"/>
  <c r="L73" i="19"/>
  <c r="BQ43" i="2"/>
  <c r="BN48" i="2"/>
  <c r="BN40" i="2"/>
  <c r="J70" i="19" s="1"/>
  <c r="AL63" i="2"/>
  <c r="AL44" i="2"/>
  <c r="AH91" i="2"/>
  <c r="AH36" i="2"/>
  <c r="AH38" i="2" s="1"/>
  <c r="X74" i="2"/>
  <c r="X58" i="2"/>
  <c r="AE71" i="1"/>
  <c r="AE80" i="1"/>
  <c r="AE81" i="1" s="1"/>
  <c r="AH80" i="1"/>
  <c r="AH81" i="1" s="1"/>
  <c r="AH71" i="1"/>
  <c r="BB579" i="20"/>
  <c r="BB579" i="15"/>
  <c r="AC73" i="2"/>
  <c r="AC56" i="1"/>
  <c r="AO9" i="20"/>
  <c r="AO9" i="15"/>
  <c r="P62" i="2"/>
  <c r="CF62" i="1"/>
  <c r="CF65" i="1"/>
  <c r="CF67" i="1"/>
  <c r="BZ592" i="15"/>
  <c r="BZ592" i="20"/>
  <c r="BA165" i="1"/>
  <c r="BA154" i="1"/>
  <c r="BA152" i="1"/>
  <c r="DS313" i="20"/>
  <c r="AP73" i="19"/>
  <c r="CU43" i="2"/>
  <c r="CU56" i="2" s="1"/>
  <c r="AV62" i="1"/>
  <c r="AV67" i="1"/>
  <c r="AV65" i="1"/>
  <c r="CQ80" i="1"/>
  <c r="CQ81" i="1" s="1"/>
  <c r="CQ71" i="1"/>
  <c r="AR70" i="2"/>
  <c r="CP114" i="1"/>
  <c r="CP116" i="1" s="1"/>
  <c r="CP118" i="1" s="1"/>
  <c r="CP115" i="1"/>
  <c r="CP117" i="1" s="1"/>
  <c r="AA47" i="2"/>
  <c r="AA46" i="2"/>
  <c r="AE45" i="9"/>
  <c r="AE3" i="14"/>
  <c r="AE106" i="1"/>
  <c r="AE130" i="1"/>
  <c r="AE3" i="9"/>
  <c r="AE55" i="9"/>
  <c r="AE59" i="1"/>
  <c r="AE32" i="9"/>
  <c r="AE83" i="2"/>
  <c r="AE9" i="7"/>
  <c r="AE27" i="11"/>
  <c r="AE25" i="1"/>
  <c r="AE51" i="9"/>
  <c r="AE52" i="2"/>
  <c r="AE3" i="11"/>
  <c r="AE23" i="9"/>
  <c r="AE3" i="2"/>
  <c r="AE77" i="2"/>
  <c r="AE93" i="2"/>
  <c r="AE3" i="1"/>
  <c r="BY74" i="2"/>
  <c r="U82" i="19" s="1"/>
  <c r="BY58" i="2"/>
  <c r="AM57" i="2"/>
  <c r="AM70" i="2"/>
  <c r="AZ67" i="1"/>
  <c r="AZ65" i="1"/>
  <c r="AZ62" i="1"/>
  <c r="BC71" i="1"/>
  <c r="BC80" i="1"/>
  <c r="BC81" i="1" s="1"/>
  <c r="U66" i="19"/>
  <c r="BY38" i="2"/>
  <c r="K67" i="1"/>
  <c r="K62" i="1"/>
  <c r="K65" i="1"/>
  <c r="AO410" i="20"/>
  <c r="AO581" i="20"/>
  <c r="P55" i="1"/>
  <c r="P54" i="1"/>
  <c r="AO410" i="15"/>
  <c r="AO581" i="15"/>
  <c r="AP581" i="15"/>
  <c r="P122" i="1"/>
  <c r="CW3" i="20"/>
  <c r="CW3" i="15"/>
  <c r="T39" i="19"/>
  <c r="BX61" i="1"/>
  <c r="BX53" i="2"/>
  <c r="BX55" i="2" s="1"/>
  <c r="BX42" i="2"/>
  <c r="T72" i="19" s="1"/>
  <c r="BX18" i="2"/>
  <c r="T47" i="19" s="1"/>
  <c r="U65" i="1"/>
  <c r="U67" i="1"/>
  <c r="U62" i="1"/>
  <c r="AN9" i="20"/>
  <c r="O62" i="2"/>
  <c r="W44" i="19"/>
  <c r="CA2" i="2"/>
  <c r="CA91" i="2"/>
  <c r="CD368" i="20"/>
  <c r="CD310" i="20"/>
  <c r="CD368" i="15"/>
  <c r="CD310" i="15"/>
  <c r="CR410" i="20"/>
  <c r="CR581" i="20"/>
  <c r="CR581" i="15"/>
  <c r="BS54" i="1"/>
  <c r="CR410" i="15"/>
  <c r="BS55" i="1"/>
  <c r="BS49" i="1"/>
  <c r="BQ100" i="2" s="1"/>
  <c r="CS581" i="15"/>
  <c r="BS122" i="1"/>
  <c r="BT49" i="1"/>
  <c r="R74" i="2"/>
  <c r="R58" i="2"/>
  <c r="AD41" i="19"/>
  <c r="CH71" i="2"/>
  <c r="AD79" i="19" s="1"/>
  <c r="CH54" i="2"/>
  <c r="CT36" i="2"/>
  <c r="DZ109" i="20"/>
  <c r="DA185" i="1"/>
  <c r="DB78" i="2"/>
  <c r="EA111" i="20" s="1"/>
  <c r="DB79" i="2"/>
  <c r="DB82" i="2" s="1"/>
  <c r="BE65" i="1"/>
  <c r="BE67" i="1"/>
  <c r="BE62" i="1"/>
  <c r="BI113" i="1"/>
  <c r="BH114" i="1"/>
  <c r="BH116" i="1" s="1"/>
  <c r="BH118" i="1" s="1"/>
  <c r="BH115" i="1"/>
  <c r="AA66" i="19"/>
  <c r="CE38" i="2"/>
  <c r="BJ65" i="1"/>
  <c r="BJ62" i="1"/>
  <c r="BJ67" i="1"/>
  <c r="AM62" i="1"/>
  <c r="AM65" i="1"/>
  <c r="AM67" i="1"/>
  <c r="BX112" i="20"/>
  <c r="C85" i="19"/>
  <c r="AY32" i="11"/>
  <c r="BX112" i="15"/>
  <c r="DL368" i="20"/>
  <c r="DL310" i="20"/>
  <c r="V40" i="2"/>
  <c r="V91" i="2"/>
  <c r="AO3" i="20"/>
  <c r="AO3" i="15"/>
  <c r="P61" i="1"/>
  <c r="P53" i="2"/>
  <c r="P55" i="2" s="1"/>
  <c r="P21" i="2"/>
  <c r="P42" i="2"/>
  <c r="P18" i="2"/>
  <c r="DS98" i="1"/>
  <c r="DT98" i="1" s="1"/>
  <c r="DU98" i="1" s="1"/>
  <c r="DW98" i="1"/>
  <c r="DV581" i="20"/>
  <c r="DV410" i="20"/>
  <c r="CW55" i="1"/>
  <c r="CW49" i="1"/>
  <c r="CW54" i="1"/>
  <c r="CX49" i="1"/>
  <c r="CW122" i="1"/>
  <c r="AV579" i="20"/>
  <c r="AV579" i="15"/>
  <c r="W73" i="2"/>
  <c r="W56" i="1"/>
  <c r="AC579" i="20"/>
  <c r="D73" i="2"/>
  <c r="D56" i="1"/>
  <c r="CE116" i="1"/>
  <c r="CE118" i="1" s="1"/>
  <c r="AP18" i="9"/>
  <c r="AP29" i="9"/>
  <c r="AT17" i="9"/>
  <c r="AP21" i="9"/>
  <c r="AT21" i="9" s="1"/>
  <c r="AP19" i="2"/>
  <c r="AP14" i="9"/>
  <c r="DW31" i="1"/>
  <c r="DX31" i="1" s="1"/>
  <c r="DY31" i="1" s="1"/>
  <c r="DZ31" i="1" s="1"/>
  <c r="DV31" i="1"/>
  <c r="BG67" i="1"/>
  <c r="BG62" i="1"/>
  <c r="BG65" i="1"/>
  <c r="DC579" i="15"/>
  <c r="Z65" i="19"/>
  <c r="DC579" i="20"/>
  <c r="CD73" i="2"/>
  <c r="Z81" i="19" s="1"/>
  <c r="AN70" i="2"/>
  <c r="AB27" i="11"/>
  <c r="AB3" i="11"/>
  <c r="AB45" i="9"/>
  <c r="AB23" i="9"/>
  <c r="AB55" i="9"/>
  <c r="AB32" i="9"/>
  <c r="AB51" i="9"/>
  <c r="AB130" i="1"/>
  <c r="AB77" i="2"/>
  <c r="AB106" i="1"/>
  <c r="AB25" i="1"/>
  <c r="AB3" i="9"/>
  <c r="AB52" i="2"/>
  <c r="AB3" i="14"/>
  <c r="AB83" i="2"/>
  <c r="AB3" i="1"/>
  <c r="AB3" i="2"/>
  <c r="AB93" i="2"/>
  <c r="AB9" i="7"/>
  <c r="AB59" i="1"/>
  <c r="DX151" i="20"/>
  <c r="EA164" i="20"/>
  <c r="DB28" i="1"/>
  <c r="CN368" i="20"/>
  <c r="CN368" i="15"/>
  <c r="CN310" i="15"/>
  <c r="CN310" i="20"/>
  <c r="BS67" i="1"/>
  <c r="BS62" i="1"/>
  <c r="BS65" i="1"/>
  <c r="AM79" i="19"/>
  <c r="CQ113" i="1"/>
  <c r="BN16" i="15"/>
  <c r="BN16" i="20"/>
  <c r="AU67" i="1"/>
  <c r="AU62" i="1"/>
  <c r="AU65" i="1"/>
  <c r="AD58" i="2"/>
  <c r="AD74" i="2"/>
  <c r="AD49" i="19"/>
  <c r="CH21" i="2"/>
  <c r="AD50" i="19" s="1"/>
  <c r="DL581" i="20"/>
  <c r="DL410" i="20"/>
  <c r="CM54" i="1"/>
  <c r="CM55" i="1"/>
  <c r="CN49" i="1"/>
  <c r="CR49" i="1" s="1"/>
  <c r="CC3" i="20"/>
  <c r="CC3" i="15"/>
  <c r="D39" i="19"/>
  <c r="BD61" i="1"/>
  <c r="BD53" i="2"/>
  <c r="BD55" i="2" s="1"/>
  <c r="BD42" i="2"/>
  <c r="D72" i="19" s="1"/>
  <c r="BD18" i="2"/>
  <c r="D47" i="19" s="1"/>
  <c r="BD21" i="2"/>
  <c r="D50" i="19" s="1"/>
  <c r="DD579" i="15"/>
  <c r="DD579" i="20"/>
  <c r="AA65" i="19"/>
  <c r="CE73" i="2"/>
  <c r="AA81" i="19" s="1"/>
  <c r="CE56" i="1"/>
  <c r="AC49" i="19"/>
  <c r="CG21" i="2"/>
  <c r="AC50" i="19" s="1"/>
  <c r="CG16" i="2"/>
  <c r="AE2" i="2"/>
  <c r="AE91" i="2"/>
  <c r="AE69" i="2"/>
  <c r="CB113" i="1"/>
  <c r="X79" i="19"/>
  <c r="CM581" i="20"/>
  <c r="CM410" i="20"/>
  <c r="CM410" i="15"/>
  <c r="CM581" i="15"/>
  <c r="BN55" i="1"/>
  <c r="BN49" i="1"/>
  <c r="BN54" i="1"/>
  <c r="CN581" i="15"/>
  <c r="BO49" i="1"/>
  <c r="BN122" i="1"/>
  <c r="DP4" i="20"/>
  <c r="AM40" i="19"/>
  <c r="CS70" i="1"/>
  <c r="CT70" i="1"/>
  <c r="CL4" i="20"/>
  <c r="CL4" i="15"/>
  <c r="I40" i="19"/>
  <c r="BO70" i="1"/>
  <c r="BM15" i="2"/>
  <c r="BP70" i="1"/>
  <c r="BQ70" i="1"/>
  <c r="CF80" i="1"/>
  <c r="CF81" i="1" s="1"/>
  <c r="CF71" i="1"/>
  <c r="O67" i="1"/>
  <c r="O62" i="1"/>
  <c r="O65" i="1"/>
  <c r="CD67" i="1"/>
  <c r="CD62" i="1"/>
  <c r="CD65" i="1"/>
  <c r="CT56" i="2"/>
  <c r="CT57" i="2" s="1"/>
  <c r="AW62" i="1"/>
  <c r="AW67" i="1"/>
  <c r="AW65" i="1"/>
  <c r="CQ67" i="1"/>
  <c r="CQ62" i="1"/>
  <c r="CQ65" i="1"/>
  <c r="AG3" i="7"/>
  <c r="AL5" i="7"/>
  <c r="AC63" i="2"/>
  <c r="AC44" i="2"/>
  <c r="K57" i="2"/>
  <c r="K70" i="2"/>
  <c r="BP116" i="1"/>
  <c r="I79" i="19"/>
  <c r="BM113" i="1"/>
  <c r="AD63" i="2"/>
  <c r="AD44" i="2"/>
  <c r="BS31" i="2"/>
  <c r="O60" i="19" s="1"/>
  <c r="AA40" i="2"/>
  <c r="AA91" i="2"/>
  <c r="BX115" i="1"/>
  <c r="BX117" i="1" s="1"/>
  <c r="BW117" i="1"/>
  <c r="DQ410" i="20"/>
  <c r="DQ581" i="20"/>
  <c r="CR55" i="1"/>
  <c r="CR54" i="1"/>
  <c r="CR122" i="1"/>
  <c r="CS49" i="1"/>
  <c r="O49" i="19"/>
  <c r="BS21" i="2"/>
  <c r="O50" i="19" s="1"/>
  <c r="BB116" i="1"/>
  <c r="CI310" i="20"/>
  <c r="CI368" i="20"/>
  <c r="CI310" i="15"/>
  <c r="CI368" i="15"/>
  <c r="AZ56" i="19"/>
  <c r="CD118" i="1"/>
  <c r="CG71" i="1"/>
  <c r="CG80" i="1"/>
  <c r="CG81" i="1" s="1"/>
  <c r="V67" i="1"/>
  <c r="V62" i="1"/>
  <c r="V65" i="1"/>
  <c r="DS6" i="20"/>
  <c r="N49" i="19"/>
  <c r="BR21" i="2"/>
  <c r="N50" i="19" s="1"/>
  <c r="EA166" i="20"/>
  <c r="DG30" i="1"/>
  <c r="DJ30" i="1" s="1"/>
  <c r="DK30" i="1" s="1"/>
  <c r="DL30" i="1" s="1"/>
  <c r="DM30" i="1" s="1"/>
  <c r="DN30" i="1" s="1"/>
  <c r="DO30" i="1" s="1"/>
  <c r="DP30" i="1" s="1"/>
  <c r="DQ30" i="1" s="1"/>
  <c r="DR30" i="1" s="1"/>
  <c r="DS30" i="1" s="1"/>
  <c r="DT30" i="1" s="1"/>
  <c r="DU30" i="1" s="1"/>
  <c r="DV30" i="1" s="1"/>
  <c r="DW30" i="1" s="1"/>
  <c r="DX30" i="1" s="1"/>
  <c r="DY30" i="1" s="1"/>
  <c r="DZ30" i="1" s="1"/>
  <c r="EA30" i="1" s="1"/>
  <c r="EB30" i="1" s="1"/>
  <c r="EC30" i="1" s="1"/>
  <c r="ED30" i="1" s="1"/>
  <c r="EE30" i="1" s="1"/>
  <c r="EF30" i="1" s="1"/>
  <c r="U112" i="1"/>
  <c r="BH4" i="20"/>
  <c r="BH4" i="15"/>
  <c r="AI15" i="2"/>
  <c r="AJ15" i="2" s="1"/>
  <c r="AK70" i="1"/>
  <c r="AL70" i="1"/>
  <c r="DZ111" i="20"/>
  <c r="CG4" i="20"/>
  <c r="CG4" i="15"/>
  <c r="BJ70" i="1"/>
  <c r="BK70" i="1"/>
  <c r="CS579" i="20"/>
  <c r="P65" i="19"/>
  <c r="CS579" i="15"/>
  <c r="BT73" i="2"/>
  <c r="P81" i="19" s="1"/>
  <c r="BT56" i="1"/>
  <c r="BV80" i="1"/>
  <c r="BV81" i="1" s="1"/>
  <c r="BV71" i="1"/>
  <c r="AN91" i="2"/>
  <c r="AN2" i="2"/>
  <c r="BH15" i="2"/>
  <c r="CI579" i="20"/>
  <c r="CI579" i="15"/>
  <c r="F65" i="19"/>
  <c r="BJ73" i="2"/>
  <c r="F81" i="19" s="1"/>
  <c r="V44" i="2"/>
  <c r="V63" i="2"/>
  <c r="DY151" i="20"/>
  <c r="DN46" i="1"/>
  <c r="DO46" i="1" s="1"/>
  <c r="DP46" i="1" s="1"/>
  <c r="CW151" i="1"/>
  <c r="BG58" i="2"/>
  <c r="BG74" i="2"/>
  <c r="S44" i="19"/>
  <c r="BW91" i="2"/>
  <c r="BW2" i="2"/>
  <c r="BX15" i="2"/>
  <c r="D67" i="1"/>
  <c r="D62" i="1"/>
  <c r="D65" i="1"/>
  <c r="O44" i="19"/>
  <c r="BS91" i="2"/>
  <c r="BS92" i="2" s="1"/>
  <c r="BS69" i="2"/>
  <c r="BS2" i="2"/>
  <c r="AD340" i="20"/>
  <c r="E4" i="14"/>
  <c r="E66" i="2"/>
  <c r="E50" i="2"/>
  <c r="BS70" i="2"/>
  <c r="O78" i="19" s="1"/>
  <c r="AD579" i="20"/>
  <c r="E73" i="2"/>
  <c r="E56" i="1"/>
  <c r="AA579" i="20"/>
  <c r="B73" i="2"/>
  <c r="B56" i="1"/>
  <c r="Z115" i="1"/>
  <c r="Z117" i="1" s="1"/>
  <c r="Y117" i="1"/>
  <c r="DA14" i="20"/>
  <c r="DA14" i="15"/>
  <c r="X59" i="19"/>
  <c r="CB159" i="1"/>
  <c r="CB28" i="2"/>
  <c r="X57" i="19" s="1"/>
  <c r="CB62" i="2"/>
  <c r="AV55" i="19"/>
  <c r="AV54" i="19"/>
  <c r="DY54" i="20"/>
  <c r="DR368" i="20"/>
  <c r="DR310" i="20"/>
  <c r="AR44" i="19"/>
  <c r="CV2" i="2"/>
  <c r="BO58" i="2"/>
  <c r="BO74" i="2"/>
  <c r="K82" i="19" s="1"/>
  <c r="BA579" i="20"/>
  <c r="BA579" i="15"/>
  <c r="AB73" i="2"/>
  <c r="AB56" i="1"/>
  <c r="CE67" i="1"/>
  <c r="CE62" i="1"/>
  <c r="CE65" i="1"/>
  <c r="BY65" i="1"/>
  <c r="BY67" i="1"/>
  <c r="BY62" i="1"/>
  <c r="CR368" i="20"/>
  <c r="CR368" i="15"/>
  <c r="CR310" i="20"/>
  <c r="CR310" i="15"/>
  <c r="AK66" i="19"/>
  <c r="CO38" i="2"/>
  <c r="BJ579" i="20"/>
  <c r="BJ579" i="15"/>
  <c r="AK73" i="2"/>
  <c r="AK56" i="1"/>
  <c r="AW71" i="1"/>
  <c r="AW80" i="1"/>
  <c r="AW81" i="1" s="1"/>
  <c r="X62" i="1"/>
  <c r="X65" i="1"/>
  <c r="X67" i="1"/>
  <c r="DQ368" i="20"/>
  <c r="DQ310" i="20"/>
  <c r="AS91" i="2"/>
  <c r="DV368" i="20"/>
  <c r="DV310" i="20"/>
  <c r="Q118" i="1"/>
  <c r="U116" i="1"/>
  <c r="AI70" i="2"/>
  <c r="AI57" i="2"/>
  <c r="AB80" i="1"/>
  <c r="AB81" i="1" s="1"/>
  <c r="AB71" i="1"/>
  <c r="CH368" i="20"/>
  <c r="CH310" i="20"/>
  <c r="Q44" i="2"/>
  <c r="Q63" i="2"/>
  <c r="BF67" i="1"/>
  <c r="BF62" i="1"/>
  <c r="BF65" i="1"/>
  <c r="AU579" i="20"/>
  <c r="AU579" i="15"/>
  <c r="V73" i="2"/>
  <c r="BU80" i="1"/>
  <c r="BU81" i="1" s="1"/>
  <c r="BU71" i="1"/>
  <c r="AH3" i="7"/>
  <c r="AM5" i="7"/>
  <c r="CR11" i="2"/>
  <c r="AX67" i="1"/>
  <c r="AX65" i="1"/>
  <c r="AX62" i="1"/>
  <c r="AP65" i="1"/>
  <c r="AP67" i="1"/>
  <c r="AP62" i="1"/>
  <c r="BY91" i="2"/>
  <c r="BC577" i="20"/>
  <c r="AD64" i="9"/>
  <c r="BC577" i="15"/>
  <c r="AC24" i="9"/>
  <c r="AE24" i="9"/>
  <c r="AD76" i="1"/>
  <c r="AU40" i="2"/>
  <c r="AU91" i="2"/>
  <c r="CM49" i="1"/>
  <c r="DA10" i="14"/>
  <c r="DZ335" i="20" s="1"/>
  <c r="DA146" i="1"/>
  <c r="BW70" i="2"/>
  <c r="S78" i="19" s="1"/>
  <c r="AR116" i="1"/>
  <c r="AT114" i="1"/>
  <c r="CU114" i="1"/>
  <c r="CU116" i="1" s="1"/>
  <c r="CU118" i="1" s="1"/>
  <c r="CU115" i="1"/>
  <c r="CU117" i="1" s="1"/>
  <c r="CH3" i="20"/>
  <c r="E39" i="19"/>
  <c r="BI61" i="1"/>
  <c r="BI53" i="2"/>
  <c r="BI55" i="2" s="1"/>
  <c r="BI18" i="2"/>
  <c r="E47" i="19" s="1"/>
  <c r="BI42" i="2"/>
  <c r="E72" i="19" s="1"/>
  <c r="BI21" i="2"/>
  <c r="E50" i="19" s="1"/>
  <c r="AF58" i="2"/>
  <c r="AF74" i="2"/>
  <c r="CK67" i="1"/>
  <c r="CK62" i="1"/>
  <c r="CK65" i="1"/>
  <c r="AR79" i="19"/>
  <c r="CV113" i="1"/>
  <c r="Q65" i="1"/>
  <c r="Q67" i="1"/>
  <c r="Q62" i="1"/>
  <c r="AU118" i="1"/>
  <c r="CA70" i="2"/>
  <c r="W78" i="19" s="1"/>
  <c r="R65" i="1"/>
  <c r="R67" i="1"/>
  <c r="R62" i="1"/>
  <c r="CJ579" i="20"/>
  <c r="CJ579" i="15"/>
  <c r="G65" i="19"/>
  <c r="BK73" i="2"/>
  <c r="G81" i="19" s="1"/>
  <c r="AU80" i="1"/>
  <c r="AU81" i="1" s="1"/>
  <c r="AU71" i="1"/>
  <c r="AY410" i="20"/>
  <c r="AY410" i="15"/>
  <c r="Z55" i="1"/>
  <c r="Z54" i="1"/>
  <c r="Z122" i="1"/>
  <c r="AZ581" i="15"/>
  <c r="W49" i="19"/>
  <c r="CA21" i="2"/>
  <c r="W50" i="19" s="1"/>
  <c r="CA16" i="2"/>
  <c r="CA36" i="2" s="1"/>
  <c r="CB20" i="2"/>
  <c r="CC20" i="2" s="1"/>
  <c r="W67" i="1"/>
  <c r="W62" i="1"/>
  <c r="W65" i="1"/>
  <c r="AS70" i="2"/>
  <c r="BP56" i="2"/>
  <c r="BP57" i="2" s="1"/>
  <c r="DM368" i="20"/>
  <c r="DM310" i="20"/>
  <c r="AI114" i="1"/>
  <c r="AI116" i="1" s="1"/>
  <c r="AI118" i="1" s="1"/>
  <c r="AJ113" i="1"/>
  <c r="AI115" i="1"/>
  <c r="AA80" i="1"/>
  <c r="AA81" i="1" s="1"/>
  <c r="AA71" i="1"/>
  <c r="C20" i="19"/>
  <c r="AY20" i="9"/>
  <c r="C21" i="19" s="1"/>
  <c r="S65" i="1"/>
  <c r="S62" i="1"/>
  <c r="S67" i="1"/>
  <c r="AJ62" i="1"/>
  <c r="AJ65" i="1"/>
  <c r="AJ67" i="1"/>
  <c r="CI118" i="1"/>
  <c r="BT80" i="1"/>
  <c r="BT81" i="1" s="1"/>
  <c r="BT71" i="1"/>
  <c r="DE313" i="20"/>
  <c r="DE313" i="15"/>
  <c r="AB73" i="19"/>
  <c r="CG43" i="2"/>
  <c r="DF6" i="20" s="1"/>
  <c r="AP91" i="2"/>
  <c r="AY28" i="19"/>
  <c r="BD581" i="15"/>
  <c r="BH368" i="20"/>
  <c r="BH310" i="20"/>
  <c r="BH310" i="15"/>
  <c r="BH368" i="15"/>
  <c r="AC45" i="9"/>
  <c r="AC23" i="9"/>
  <c r="AC27" i="11"/>
  <c r="AC3" i="11"/>
  <c r="AC51" i="9"/>
  <c r="AC130" i="1"/>
  <c r="AC106" i="1"/>
  <c r="AC3" i="14"/>
  <c r="AC3" i="1"/>
  <c r="AC3" i="9"/>
  <c r="AC52" i="2"/>
  <c r="AC55" i="9"/>
  <c r="AC32" i="9"/>
  <c r="AC9" i="7"/>
  <c r="AC83" i="2"/>
  <c r="AC93" i="2"/>
  <c r="AC77" i="2"/>
  <c r="AC59" i="1"/>
  <c r="AC25" i="1"/>
  <c r="AC3" i="2"/>
  <c r="C39" i="19"/>
  <c r="BX3" i="20"/>
  <c r="AY61" i="1"/>
  <c r="AY53" i="2"/>
  <c r="BX3" i="15"/>
  <c r="AY42" i="2"/>
  <c r="C72" i="19" s="1"/>
  <c r="AY21" i="2"/>
  <c r="C50" i="19" s="1"/>
  <c r="AY18" i="2"/>
  <c r="C47" i="19" s="1"/>
  <c r="BG91" i="2"/>
  <c r="BG2" i="2"/>
  <c r="CB93" i="1"/>
  <c r="CB95" i="1"/>
  <c r="CC95" i="1" s="1"/>
  <c r="CC92" i="1"/>
  <c r="CC93" i="1" s="1"/>
  <c r="AG54" i="9"/>
  <c r="AG30" i="9"/>
  <c r="AG29" i="9"/>
  <c r="AR340" i="15"/>
  <c r="S4" i="14"/>
  <c r="AR340" i="20"/>
  <c r="S50" i="2"/>
  <c r="S66" i="2"/>
  <c r="AE68" i="19"/>
  <c r="CI63" i="2"/>
  <c r="CI44" i="2"/>
  <c r="CL592" i="20"/>
  <c r="CL592" i="15"/>
  <c r="BM165" i="1"/>
  <c r="BM154" i="1"/>
  <c r="BM155" i="1" s="1"/>
  <c r="BM152" i="1"/>
  <c r="AE3" i="20"/>
  <c r="F61" i="1"/>
  <c r="F53" i="2"/>
  <c r="F55" i="2" s="1"/>
  <c r="F42" i="2"/>
  <c r="F21" i="2"/>
  <c r="F18" i="2"/>
  <c r="BU67" i="1"/>
  <c r="BU62" i="1"/>
  <c r="BU65" i="1"/>
  <c r="BL74" i="2"/>
  <c r="H82" i="19" s="1"/>
  <c r="BL58" i="2"/>
  <c r="CG67" i="1"/>
  <c r="CG65" i="1"/>
  <c r="CG62" i="1"/>
  <c r="AK44" i="2"/>
  <c r="AK63" i="2"/>
  <c r="BZ116" i="1"/>
  <c r="AR40" i="19"/>
  <c r="DU4" i="20"/>
  <c r="CX70" i="1"/>
  <c r="BA58" i="2"/>
  <c r="BA74" i="2"/>
  <c r="CO116" i="1"/>
  <c r="O70" i="2"/>
  <c r="CR367" i="20"/>
  <c r="CR327" i="20"/>
  <c r="CR367" i="15"/>
  <c r="CR327" i="15"/>
  <c r="N36" i="2"/>
  <c r="B63" i="2"/>
  <c r="B44" i="2"/>
  <c r="AK579" i="20"/>
  <c r="L73" i="2"/>
  <c r="L56" i="1"/>
  <c r="CW581" i="20"/>
  <c r="CW410" i="20"/>
  <c r="CW581" i="15"/>
  <c r="BX55" i="1"/>
  <c r="CW410" i="15"/>
  <c r="BX49" i="1"/>
  <c r="BX54" i="1"/>
  <c r="AC80" i="1"/>
  <c r="AC81" i="1" s="1"/>
  <c r="AC71" i="1"/>
  <c r="H63" i="2"/>
  <c r="H44" i="2"/>
  <c r="CB4" i="20"/>
  <c r="CB4" i="15"/>
  <c r="BE70" i="1"/>
  <c r="BF70" i="1"/>
  <c r="AH579" i="20"/>
  <c r="I73" i="2"/>
  <c r="I56" i="1"/>
  <c r="BC55" i="2"/>
  <c r="J73" i="19"/>
  <c r="CM6" i="15"/>
  <c r="CM6" i="20"/>
  <c r="CM313" i="20"/>
  <c r="CM313" i="15"/>
  <c r="BN56" i="2"/>
  <c r="BH592" i="20"/>
  <c r="BH592" i="15"/>
  <c r="AI152" i="1"/>
  <c r="AI165" i="1"/>
  <c r="AI154" i="1"/>
  <c r="AN65" i="1"/>
  <c r="AN67" i="1"/>
  <c r="AN62" i="1"/>
  <c r="C118" i="1"/>
  <c r="F116" i="1"/>
  <c r="F118" i="1" s="1"/>
  <c r="DF4" i="20"/>
  <c r="DF4" i="15"/>
  <c r="AC40" i="19"/>
  <c r="CJ70" i="1"/>
  <c r="CI70" i="1"/>
  <c r="BH70" i="1"/>
  <c r="G63" i="2"/>
  <c r="K38" i="2"/>
  <c r="K63" i="2" s="1"/>
  <c r="G44" i="2"/>
  <c r="G65" i="1"/>
  <c r="G62" i="1"/>
  <c r="G67" i="1"/>
  <c r="BT62" i="1"/>
  <c r="BT65" i="1"/>
  <c r="BT67" i="1"/>
  <c r="CJ62" i="1"/>
  <c r="CJ65" i="1"/>
  <c r="CJ67" i="1"/>
  <c r="AC340" i="20"/>
  <c r="D66" i="2"/>
  <c r="D50" i="2"/>
  <c r="D4" i="14"/>
  <c r="CY313" i="20"/>
  <c r="V73" i="19"/>
  <c r="CA43" i="2"/>
  <c r="CA56" i="2" s="1"/>
  <c r="CA57" i="2" s="1"/>
  <c r="CY313" i="15"/>
  <c r="AS41" i="19"/>
  <c r="CW71" i="2"/>
  <c r="AS79" i="19" s="1"/>
  <c r="CW54" i="2"/>
  <c r="AZ21" i="9"/>
  <c r="BD21" i="9" s="1"/>
  <c r="D22" i="19" s="1"/>
  <c r="BD17" i="9"/>
  <c r="AZ29" i="9"/>
  <c r="AZ19" i="2"/>
  <c r="AZ18" i="9"/>
  <c r="AZ14" i="9"/>
  <c r="CD56" i="1"/>
  <c r="DH368" i="20"/>
  <c r="DH310" i="20"/>
  <c r="BN3" i="20"/>
  <c r="BN3" i="15"/>
  <c r="AO61" i="1"/>
  <c r="AO53" i="2"/>
  <c r="AO55" i="2" s="1"/>
  <c r="AO42" i="2"/>
  <c r="AO18" i="2"/>
  <c r="BB2" i="2"/>
  <c r="BB91" i="2"/>
  <c r="BG70" i="1"/>
  <c r="AU335" i="20"/>
  <c r="AU335" i="15"/>
  <c r="BX410" i="20"/>
  <c r="BX581" i="20"/>
  <c r="BX581" i="15"/>
  <c r="BX410" i="15"/>
  <c r="AY55" i="1"/>
  <c r="AY54" i="1"/>
  <c r="CC581" i="20"/>
  <c r="BY581" i="15"/>
  <c r="AY122" i="1"/>
  <c r="CC581" i="15"/>
  <c r="BD49" i="1"/>
  <c r="AO116" i="1"/>
  <c r="AO118" i="1" s="1"/>
  <c r="AQ65" i="1"/>
  <c r="AQ62" i="1"/>
  <c r="AQ67" i="1"/>
  <c r="CI67" i="1"/>
  <c r="CI62" i="1"/>
  <c r="CI65" i="1"/>
  <c r="AN39" i="19"/>
  <c r="CR61" i="1"/>
  <c r="DQ3" i="20"/>
  <c r="CR18" i="2"/>
  <c r="AN47" i="19" s="1"/>
  <c r="CR53" i="2"/>
  <c r="CR42" i="2"/>
  <c r="AN72" i="19" s="1"/>
  <c r="CS368" i="20"/>
  <c r="CS310" i="20"/>
  <c r="CS368" i="15"/>
  <c r="CS310" i="15"/>
  <c r="BL114" i="1"/>
  <c r="BL116" i="1" s="1"/>
  <c r="BL118" i="1" s="1"/>
  <c r="BL115" i="1"/>
  <c r="BL117" i="1" s="1"/>
  <c r="CC31" i="2"/>
  <c r="Y60" i="19" s="1"/>
  <c r="BK56" i="1"/>
  <c r="H44" i="19"/>
  <c r="BL91" i="2"/>
  <c r="BL2" i="2"/>
  <c r="DY30" i="20"/>
  <c r="CZ5" i="14"/>
  <c r="BE118" i="1"/>
  <c r="AY4" i="20"/>
  <c r="AY4" i="15"/>
  <c r="Z70" i="1"/>
  <c r="AV80" i="1"/>
  <c r="AV81" i="1" s="1"/>
  <c r="AV71" i="1"/>
  <c r="AU21" i="9"/>
  <c r="AY21" i="9" s="1"/>
  <c r="C22" i="19" s="1"/>
  <c r="AU18" i="9"/>
  <c r="AU29" i="9"/>
  <c r="AY17" i="9"/>
  <c r="AU14" i="9"/>
  <c r="AU19" i="2"/>
  <c r="AH74" i="2"/>
  <c r="AH58" i="2"/>
  <c r="DG592" i="20"/>
  <c r="DG592" i="15"/>
  <c r="CH165" i="1"/>
  <c r="CH154" i="1"/>
  <c r="CH152" i="1"/>
  <c r="CH184" i="1"/>
  <c r="AK39" i="1"/>
  <c r="AJ149" i="1"/>
  <c r="AJ145" i="1" s="1"/>
  <c r="AJ151" i="1" s="1"/>
  <c r="BI163" i="20"/>
  <c r="AJ27" i="1"/>
  <c r="AJ26" i="1" s="1"/>
  <c r="AJ48" i="1" s="1"/>
  <c r="BI163" i="15"/>
  <c r="AJ6" i="14"/>
  <c r="AC79" i="19"/>
  <c r="CG113" i="1"/>
  <c r="AX2" i="2"/>
  <c r="AX91" i="2"/>
  <c r="AY15" i="2"/>
  <c r="CH4" i="20"/>
  <c r="E40" i="19"/>
  <c r="BI70" i="1"/>
  <c r="DA367" i="20"/>
  <c r="DA327" i="20"/>
  <c r="DA327" i="15"/>
  <c r="DA367" i="15"/>
  <c r="AZ74" i="2"/>
  <c r="AZ58" i="2"/>
  <c r="BZ65" i="1"/>
  <c r="BZ62" i="1"/>
  <c r="BZ67" i="1"/>
  <c r="Y39" i="19"/>
  <c r="DB3" i="20"/>
  <c r="DB3" i="15"/>
  <c r="CC53" i="2"/>
  <c r="CC55" i="2" s="1"/>
  <c r="CC42" i="2"/>
  <c r="Y72" i="19" s="1"/>
  <c r="CC61" i="1"/>
  <c r="CC18" i="2"/>
  <c r="Y47" i="19" s="1"/>
  <c r="CW368" i="20"/>
  <c r="CW310" i="20"/>
  <c r="CW368" i="15"/>
  <c r="CW310" i="15"/>
  <c r="E65" i="1"/>
  <c r="E67" i="1"/>
  <c r="E62" i="1"/>
  <c r="BV67" i="1"/>
  <c r="BV62" i="1"/>
  <c r="BV65" i="1"/>
  <c r="AL44" i="19"/>
  <c r="CP91" i="2"/>
  <c r="CP2" i="2"/>
  <c r="AG44" i="2"/>
  <c r="AG63" i="2"/>
  <c r="AQ60" i="19"/>
  <c r="CW31" i="2"/>
  <c r="AS60" i="19" s="1"/>
  <c r="Z114" i="1"/>
  <c r="Y116" i="1"/>
  <c r="AN117" i="1"/>
  <c r="AO115" i="1"/>
  <c r="AO117" i="1" s="1"/>
  <c r="AQ71" i="1"/>
  <c r="AQ80" i="1"/>
  <c r="AQ81" i="1" s="1"/>
  <c r="AQ49" i="19"/>
  <c r="CU21" i="2"/>
  <c r="AQ50" i="19" s="1"/>
  <c r="CU16" i="2"/>
  <c r="AQ45" i="19" s="1"/>
  <c r="CV20" i="2"/>
  <c r="CW20" i="2" s="1"/>
  <c r="BM70" i="1"/>
  <c r="J47" i="2"/>
  <c r="J46" i="2"/>
  <c r="BX327" i="20"/>
  <c r="BX327" i="15"/>
  <c r="BX367" i="20"/>
  <c r="BX367" i="15"/>
  <c r="CO6" i="15"/>
  <c r="CA114" i="1"/>
  <c r="CA116" i="1" s="1"/>
  <c r="CA118" i="1" s="1"/>
  <c r="CA115" i="1"/>
  <c r="CA117" i="1" s="1"/>
  <c r="CM122" i="1"/>
  <c r="AP579" i="20"/>
  <c r="AP579" i="15"/>
  <c r="Q73" i="2"/>
  <c r="Q56" i="1"/>
  <c r="DW368" i="20"/>
  <c r="DW310" i="20"/>
  <c r="BG116" i="1"/>
  <c r="BG118" i="1" s="1"/>
  <c r="BN4" i="20"/>
  <c r="BN4" i="15"/>
  <c r="AO70" i="1"/>
  <c r="CS65" i="1"/>
  <c r="CS62" i="1"/>
  <c r="CS67" i="1"/>
  <c r="CF115" i="1"/>
  <c r="CF117" i="1" s="1"/>
  <c r="CF114" i="1"/>
  <c r="CF116" i="1" s="1"/>
  <c r="CF118" i="1" s="1"/>
  <c r="AI80" i="1"/>
  <c r="AI81" i="1" s="1"/>
  <c r="AI71" i="1"/>
  <c r="T36" i="2"/>
  <c r="T38" i="2" s="1"/>
  <c r="U15" i="2"/>
  <c r="BE58" i="2"/>
  <c r="BE74" i="2"/>
  <c r="CA71" i="1"/>
  <c r="CA80" i="1"/>
  <c r="CA81" i="1" s="1"/>
  <c r="M74" i="2"/>
  <c r="M58" i="2"/>
  <c r="BG578" i="20"/>
  <c r="BG578" i="15"/>
  <c r="AH63" i="9"/>
  <c r="BC114" i="1"/>
  <c r="BC116" i="1" s="1"/>
  <c r="BC118" i="1" s="1"/>
  <c r="BD113" i="1"/>
  <c r="BC115" i="1"/>
  <c r="AR71" i="1"/>
  <c r="AR80" i="1"/>
  <c r="AR81" i="1" s="1"/>
  <c r="CX74" i="2"/>
  <c r="AT82" i="19" s="1"/>
  <c r="CX58" i="2"/>
  <c r="AN71" i="1"/>
  <c r="AN80" i="1"/>
  <c r="AN81" i="1" s="1"/>
  <c r="CC327" i="20"/>
  <c r="CC367" i="20"/>
  <c r="CC367" i="15"/>
  <c r="CC327" i="15"/>
  <c r="CQ15" i="2"/>
  <c r="CR15" i="2" s="1"/>
  <c r="D20" i="19"/>
  <c r="BD20" i="9"/>
  <c r="D21" i="19" s="1"/>
  <c r="DB30" i="20"/>
  <c r="DB30" i="15"/>
  <c r="CC5" i="14"/>
  <c r="CC8" i="14" s="1"/>
  <c r="CC9" i="14" s="1"/>
  <c r="DG368" i="20"/>
  <c r="DG310" i="20"/>
  <c r="DG368" i="15"/>
  <c r="DG310" i="15"/>
  <c r="AN159" i="1"/>
  <c r="AN62" i="2"/>
  <c r="BM14" i="15"/>
  <c r="AN28" i="2"/>
  <c r="BM14" i="20"/>
  <c r="AO30" i="2"/>
  <c r="AP30" i="2"/>
  <c r="L44" i="2"/>
  <c r="L63" i="2"/>
  <c r="AP58" i="2"/>
  <c r="AP74" i="2"/>
  <c r="BK116" i="1"/>
  <c r="C70" i="2"/>
  <c r="C57" i="2"/>
  <c r="Z66" i="19"/>
  <c r="CD38" i="2"/>
  <c r="BR114" i="1"/>
  <c r="BR116" i="1" s="1"/>
  <c r="BR118" i="1" s="1"/>
  <c r="BS113" i="1"/>
  <c r="BR115" i="1"/>
  <c r="DG3" i="20"/>
  <c r="DG3" i="15"/>
  <c r="AD39" i="19"/>
  <c r="CH61" i="1"/>
  <c r="CH18" i="2"/>
  <c r="AD47" i="19" s="1"/>
  <c r="CH53" i="2"/>
  <c r="CH42" i="2"/>
  <c r="AD72" i="19" s="1"/>
  <c r="BQ313" i="20"/>
  <c r="BQ313" i="15"/>
  <c r="AS43" i="2"/>
  <c r="BQ6" i="15"/>
  <c r="AR56" i="2"/>
  <c r="AR57" i="2" s="1"/>
  <c r="BQ6" i="20"/>
  <c r="BL70" i="1"/>
  <c r="BJ56" i="1"/>
  <c r="BO48" i="2"/>
  <c r="BO40" i="2"/>
  <c r="K70" i="19" s="1"/>
  <c r="AF38" i="2"/>
  <c r="AJ11" i="2"/>
  <c r="CS118" i="1"/>
  <c r="AP71" i="1"/>
  <c r="AP80" i="1"/>
  <c r="AP81" i="1" s="1"/>
  <c r="T57" i="2"/>
  <c r="T70" i="2"/>
  <c r="BN11" i="2"/>
  <c r="CO6" i="20"/>
  <c r="BD592" i="20"/>
  <c r="BD592" i="15"/>
  <c r="AE152" i="1"/>
  <c r="AE154" i="1"/>
  <c r="AE165" i="1"/>
  <c r="N58" i="2"/>
  <c r="N74" i="2"/>
  <c r="CC368" i="20"/>
  <c r="CC368" i="15"/>
  <c r="CC310" i="15"/>
  <c r="CC310" i="20"/>
  <c r="X46" i="2"/>
  <c r="X47" i="2"/>
  <c r="AM70" i="1"/>
  <c r="CQ55" i="2"/>
  <c r="BD40" i="2"/>
  <c r="D70" i="19" s="1"/>
  <c r="BD48" i="2"/>
  <c r="BK62" i="1"/>
  <c r="BK67" i="1"/>
  <c r="BK65" i="1"/>
  <c r="AN5" i="7"/>
  <c r="AI3" i="7"/>
  <c r="AJ5" i="7"/>
  <c r="AJ3" i="7" s="1"/>
  <c r="AM36" i="2"/>
  <c r="AM38" i="2" s="1"/>
  <c r="AM91" i="2"/>
  <c r="AM2" i="2"/>
  <c r="AO15" i="2"/>
  <c r="X133" i="1"/>
  <c r="Z133" i="1"/>
  <c r="Y141" i="1"/>
  <c r="Y138" i="1" s="1"/>
  <c r="Y151" i="1" s="1"/>
  <c r="CT116" i="1"/>
  <c r="CT118" i="1" s="1"/>
  <c r="AZ80" i="19"/>
  <c r="U53" i="1"/>
  <c r="V26" i="2"/>
  <c r="V86" i="2"/>
  <c r="V87" i="2" s="1"/>
  <c r="AH340" i="20"/>
  <c r="I50" i="2"/>
  <c r="I4" i="14"/>
  <c r="I66" i="2"/>
  <c r="AG74" i="2"/>
  <c r="AG58" i="2"/>
  <c r="AH116" i="1"/>
  <c r="C36" i="2"/>
  <c r="F15" i="2"/>
  <c r="BR70" i="2"/>
  <c r="N78" i="19" s="1"/>
  <c r="CG55" i="2"/>
  <c r="W46" i="2"/>
  <c r="W47" i="2"/>
  <c r="BZ56" i="2"/>
  <c r="BZ57" i="2" s="1"/>
  <c r="CX592" i="20"/>
  <c r="BY165" i="1"/>
  <c r="BY154" i="1"/>
  <c r="BY152" i="1"/>
  <c r="CX592" i="15"/>
  <c r="CN58" i="2"/>
  <c r="CN74" i="2"/>
  <c r="AJ82" i="19" s="1"/>
  <c r="BL62" i="1"/>
  <c r="BL67" i="1"/>
  <c r="BL65" i="1"/>
  <c r="AJ66" i="19"/>
  <c r="CN38" i="2"/>
  <c r="AD106" i="1"/>
  <c r="AD130" i="1"/>
  <c r="AD3" i="9"/>
  <c r="AD32" i="9"/>
  <c r="AD52" i="2"/>
  <c r="AD3" i="14"/>
  <c r="AD3" i="11"/>
  <c r="AD83" i="2"/>
  <c r="AD9" i="7"/>
  <c r="AD27" i="11"/>
  <c r="AD93" i="2"/>
  <c r="AD51" i="9"/>
  <c r="AD55" i="9"/>
  <c r="AD59" i="1"/>
  <c r="AD23" i="9"/>
  <c r="AD45" i="9"/>
  <c r="AD77" i="2"/>
  <c r="AD3" i="1"/>
  <c r="AD3" i="2"/>
  <c r="AD25" i="1"/>
  <c r="H58" i="2"/>
  <c r="H74" i="2"/>
  <c r="AZ592" i="20"/>
  <c r="AZ592" i="15"/>
  <c r="AA152" i="1"/>
  <c r="AA154" i="1"/>
  <c r="AT335" i="20"/>
  <c r="AT335" i="15"/>
  <c r="AO66" i="19"/>
  <c r="CS38" i="2"/>
  <c r="DA4" i="20"/>
  <c r="DA4" i="15"/>
  <c r="X40" i="19"/>
  <c r="CD70" i="1"/>
  <c r="CB70" i="1"/>
  <c r="CE70" i="1"/>
  <c r="CC11" i="2"/>
  <c r="AU62" i="19"/>
  <c r="DX6" i="20"/>
  <c r="AT66" i="19"/>
  <c r="CX38" i="2"/>
  <c r="BW65" i="1"/>
  <c r="BW62" i="1"/>
  <c r="BW67" i="1"/>
  <c r="C65" i="1"/>
  <c r="C67" i="1"/>
  <c r="C62" i="1"/>
  <c r="N44" i="19"/>
  <c r="BR2" i="2"/>
  <c r="BR91" i="2"/>
  <c r="CY6" i="15"/>
  <c r="AN41" i="19"/>
  <c r="CR71" i="2"/>
  <c r="AN79" i="19" s="1"/>
  <c r="CR54" i="2"/>
  <c r="J74" i="2"/>
  <c r="J58" i="2"/>
  <c r="BS367" i="15"/>
  <c r="BS367" i="20"/>
  <c r="BS327" i="15"/>
  <c r="BS327" i="20"/>
  <c r="CF91" i="2"/>
  <c r="CF36" i="2"/>
  <c r="AB44" i="19"/>
  <c r="CF2" i="2"/>
  <c r="DR579" i="20"/>
  <c r="CS73" i="2"/>
  <c r="AO81" i="19" s="1"/>
  <c r="AO65" i="19"/>
  <c r="CS56" i="1"/>
  <c r="AU37" i="19"/>
  <c r="CY7" i="2"/>
  <c r="AU57" i="19"/>
  <c r="DX14" i="20"/>
  <c r="AU59" i="19"/>
  <c r="CY159" i="1"/>
  <c r="DX4" i="20"/>
  <c r="AU40" i="19"/>
  <c r="AY8" i="19"/>
  <c r="BB16" i="19"/>
  <c r="AX7" i="19"/>
  <c r="BB12" i="19"/>
  <c r="BA12" i="19"/>
  <c r="AZ12" i="19"/>
  <c r="AY12" i="19"/>
  <c r="AY6" i="19"/>
  <c r="DG5" i="9"/>
  <c r="DG25" i="9"/>
  <c r="BC26" i="19" s="1"/>
  <c r="BB26" i="19"/>
  <c r="DG15" i="9"/>
  <c r="AY16" i="19"/>
  <c r="BC5" i="19"/>
  <c r="DB47" i="9"/>
  <c r="EA586" i="20"/>
  <c r="AX8" i="19"/>
  <c r="DB8" i="9"/>
  <c r="AZ16" i="19"/>
  <c r="DH5" i="11"/>
  <c r="DI5" i="11" s="1"/>
  <c r="DJ5" i="11" s="1"/>
  <c r="DK5" i="11" s="1"/>
  <c r="DM5" i="11" s="1"/>
  <c r="DN5" i="11" s="1"/>
  <c r="DO5" i="11" s="1"/>
  <c r="DP5" i="11" s="1"/>
  <c r="DR5" i="11" s="1"/>
  <c r="DS5" i="11" s="1"/>
  <c r="DT5" i="11" s="1"/>
  <c r="DU5" i="11" s="1"/>
  <c r="DW5" i="11" s="1"/>
  <c r="DX5" i="11" s="1"/>
  <c r="DY5" i="11" s="1"/>
  <c r="DZ5" i="11" s="1"/>
  <c r="EB5" i="11" s="1"/>
  <c r="EC5" i="11" s="1"/>
  <c r="ED5" i="11" s="1"/>
  <c r="EE5" i="11" s="1"/>
  <c r="DQ52" i="9"/>
  <c r="AZ26" i="19"/>
  <c r="BA16" i="19"/>
  <c r="AW8" i="19"/>
  <c r="DZ586" i="20"/>
  <c r="DN53" i="9"/>
  <c r="BP5" i="11"/>
  <c r="BA26" i="19"/>
  <c r="DZ589" i="20"/>
  <c r="AW14" i="19"/>
  <c r="AY9" i="19"/>
  <c r="AY26" i="19"/>
  <c r="DM53" i="9"/>
  <c r="BG5" i="19" l="1"/>
  <c r="DH47" i="9"/>
  <c r="BE5" i="19"/>
  <c r="DF47" i="9"/>
  <c r="BD5" i="19"/>
  <c r="DM16" i="9"/>
  <c r="BG17" i="19"/>
  <c r="DP6" i="9"/>
  <c r="BK7" i="19"/>
  <c r="DR9" i="2"/>
  <c r="DS9" i="2" s="1"/>
  <c r="DT9" i="2" s="1"/>
  <c r="DU9" i="2" s="1"/>
  <c r="DW9" i="2" s="1"/>
  <c r="DX9" i="2" s="1"/>
  <c r="DY9" i="2" s="1"/>
  <c r="DZ9" i="2" s="1"/>
  <c r="EB9" i="2" s="1"/>
  <c r="EC9" i="2" s="1"/>
  <c r="ED9" i="2" s="1"/>
  <c r="EE9" i="2" s="1"/>
  <c r="BL38" i="19"/>
  <c r="BE72" i="19"/>
  <c r="BU56" i="1"/>
  <c r="CU6" i="20"/>
  <c r="BW43" i="2"/>
  <c r="BX43" i="2" s="1"/>
  <c r="CW313" i="20" s="1"/>
  <c r="R73" i="19"/>
  <c r="CU313" i="15"/>
  <c r="CU6" i="15"/>
  <c r="BV56" i="2"/>
  <c r="BV57" i="2" s="1"/>
  <c r="DE47" i="9"/>
  <c r="DD47" i="9"/>
  <c r="CW18" i="2"/>
  <c r="AS47" i="19" s="1"/>
  <c r="BF73" i="2"/>
  <c r="CE579" i="15"/>
  <c r="CE579" i="20"/>
  <c r="U38" i="2"/>
  <c r="U63" i="2" s="1"/>
  <c r="CC184" i="1"/>
  <c r="CC188" i="1" s="1"/>
  <c r="AS39" i="19"/>
  <c r="CO71" i="1"/>
  <c r="CC165" i="1"/>
  <c r="CC154" i="1"/>
  <c r="Z65" i="1"/>
  <c r="CW42" i="2"/>
  <c r="AS72" i="19" s="1"/>
  <c r="CU91" i="2"/>
  <c r="CC152" i="1"/>
  <c r="Z62" i="1"/>
  <c r="CU2" i="2"/>
  <c r="CW53" i="2"/>
  <c r="CW55" i="2" s="1"/>
  <c r="CW70" i="2" s="1"/>
  <c r="AS78" i="19" s="1"/>
  <c r="CU65" i="1"/>
  <c r="CT579" i="15"/>
  <c r="BU73" i="2"/>
  <c r="Q81" i="19" s="1"/>
  <c r="R44" i="2"/>
  <c r="R46" i="2" s="1"/>
  <c r="CW15" i="2"/>
  <c r="AS44" i="19" s="1"/>
  <c r="DB592" i="15"/>
  <c r="Q65" i="19"/>
  <c r="CW61" i="1"/>
  <c r="CW62" i="1" s="1"/>
  <c r="M46" i="2"/>
  <c r="Z91" i="2"/>
  <c r="DO6" i="20"/>
  <c r="CP56" i="2"/>
  <c r="CP57" i="2" s="1"/>
  <c r="CP74" i="2" s="1"/>
  <c r="AL82" i="19" s="1"/>
  <c r="AT16" i="15"/>
  <c r="AT16" i="20"/>
  <c r="AL73" i="19"/>
  <c r="CU57" i="2"/>
  <c r="CU58" i="2" s="1"/>
  <c r="U70" i="2"/>
  <c r="CQ43" i="2"/>
  <c r="CR43" i="2" s="1"/>
  <c r="AN73" i="19" s="1"/>
  <c r="BX21" i="2"/>
  <c r="T50" i="19" s="1"/>
  <c r="BM70" i="2"/>
  <c r="I78" i="19" s="1"/>
  <c r="CU67" i="1"/>
  <c r="CX65" i="1"/>
  <c r="DD62" i="1"/>
  <c r="DD67" i="1"/>
  <c r="DD65" i="1"/>
  <c r="BC2" i="2"/>
  <c r="CX62" i="1"/>
  <c r="Z70" i="2"/>
  <c r="AW58" i="2"/>
  <c r="AW56" i="1" s="1"/>
  <c r="CN71" i="1"/>
  <c r="Z38" i="2"/>
  <c r="Z63" i="2" s="1"/>
  <c r="AV73" i="2"/>
  <c r="BI165" i="1"/>
  <c r="BS71" i="1"/>
  <c r="BU579" i="15"/>
  <c r="BI154" i="1"/>
  <c r="BU579" i="20"/>
  <c r="BN62" i="1"/>
  <c r="DA57" i="2"/>
  <c r="DA74" i="2" s="1"/>
  <c r="CH592" i="20"/>
  <c r="DC80" i="1"/>
  <c r="DC81" i="1" s="1"/>
  <c r="DC71" i="1"/>
  <c r="CW70" i="1"/>
  <c r="CW71" i="1" s="1"/>
  <c r="DV4" i="20"/>
  <c r="CO74" i="2"/>
  <c r="AK82" i="19" s="1"/>
  <c r="DA16" i="2"/>
  <c r="DA36" i="2" s="1"/>
  <c r="DA38" i="2" s="1"/>
  <c r="DA21" i="2"/>
  <c r="AS40" i="19"/>
  <c r="BS165" i="1"/>
  <c r="CR165" i="1"/>
  <c r="CR152" i="1"/>
  <c r="BS154" i="1"/>
  <c r="BX154" i="1"/>
  <c r="CR592" i="15"/>
  <c r="BS152" i="1"/>
  <c r="AY154" i="1"/>
  <c r="AZ155" i="1" s="1"/>
  <c r="AN56" i="2"/>
  <c r="AN57" i="2" s="1"/>
  <c r="AN74" i="2" s="1"/>
  <c r="DQ592" i="20"/>
  <c r="CL115" i="1"/>
  <c r="CM115" i="1" s="1"/>
  <c r="CM117" i="1" s="1"/>
  <c r="CL114" i="1"/>
  <c r="CL116" i="1" s="1"/>
  <c r="CL118" i="1" s="1"/>
  <c r="Y44" i="2"/>
  <c r="Z44" i="2" s="1"/>
  <c r="Z46" i="2" s="1"/>
  <c r="CC28" i="2"/>
  <c r="Y57" i="19" s="1"/>
  <c r="BW36" i="2"/>
  <c r="BW38" i="2" s="1"/>
  <c r="CV71" i="1"/>
  <c r="BM313" i="20"/>
  <c r="BN67" i="1"/>
  <c r="CH55" i="2"/>
  <c r="CH70" i="2" s="1"/>
  <c r="AD78" i="19" s="1"/>
  <c r="Z36" i="2"/>
  <c r="CB2" i="2"/>
  <c r="BM313" i="15"/>
  <c r="BX165" i="1"/>
  <c r="CW592" i="20"/>
  <c r="AO43" i="2"/>
  <c r="BN313" i="20" s="1"/>
  <c r="BM6" i="20"/>
  <c r="AB46" i="2"/>
  <c r="BX152" i="1"/>
  <c r="CR154" i="1"/>
  <c r="AX70" i="2"/>
  <c r="CY71" i="1"/>
  <c r="CY80" i="1"/>
  <c r="CY81" i="1" s="1"/>
  <c r="BN57" i="2"/>
  <c r="BN123" i="1" s="1"/>
  <c r="CL71" i="1"/>
  <c r="AE123" i="1"/>
  <c r="CZ57" i="2"/>
  <c r="CZ70" i="2"/>
  <c r="AE58" i="2"/>
  <c r="BD579" i="15" s="1"/>
  <c r="BB71" i="1"/>
  <c r="CZ36" i="2"/>
  <c r="CZ38" i="2" s="1"/>
  <c r="CL2" i="2"/>
  <c r="BH70" i="2"/>
  <c r="CZ71" i="1"/>
  <c r="CZ80" i="1"/>
  <c r="CZ81" i="1" s="1"/>
  <c r="DJ81" i="1" s="1"/>
  <c r="DK81" i="1" s="1"/>
  <c r="DM81" i="1" s="1"/>
  <c r="DN81" i="1" s="1"/>
  <c r="DO81" i="1" s="1"/>
  <c r="DP81" i="1" s="1"/>
  <c r="DR81" i="1" s="1"/>
  <c r="DS81" i="1" s="1"/>
  <c r="DT81" i="1" s="1"/>
  <c r="DU81" i="1" s="1"/>
  <c r="DW81" i="1" s="1"/>
  <c r="DX81" i="1" s="1"/>
  <c r="DY81" i="1" s="1"/>
  <c r="DZ81" i="1" s="1"/>
  <c r="EB81" i="1" s="1"/>
  <c r="EC81" i="1" s="1"/>
  <c r="ED81" i="1" s="1"/>
  <c r="EE81" i="1" s="1"/>
  <c r="AY152" i="1"/>
  <c r="AY165" i="1"/>
  <c r="BX592" i="20"/>
  <c r="CM592" i="20"/>
  <c r="AT165" i="1"/>
  <c r="BD152" i="1"/>
  <c r="BD154" i="1"/>
  <c r="AT154" i="1"/>
  <c r="BS592" i="15"/>
  <c r="AT152" i="1"/>
  <c r="BN165" i="1"/>
  <c r="AX83" i="19"/>
  <c r="CM70" i="1"/>
  <c r="CM71" i="1" s="1"/>
  <c r="AT80" i="1"/>
  <c r="AT81" i="1" s="1"/>
  <c r="AI40" i="19"/>
  <c r="DL4" i="20"/>
  <c r="CC592" i="20"/>
  <c r="Y74" i="2"/>
  <c r="BN154" i="1"/>
  <c r="BD15" i="2"/>
  <c r="D44" i="19" s="1"/>
  <c r="AJ114" i="1"/>
  <c r="BZ38" i="2"/>
  <c r="V68" i="19" s="1"/>
  <c r="X44" i="19"/>
  <c r="CM15" i="2"/>
  <c r="AI44" i="19" s="1"/>
  <c r="O16" i="2"/>
  <c r="BB74" i="2"/>
  <c r="AO327" i="15"/>
  <c r="AO327" i="20"/>
  <c r="AO367" i="20"/>
  <c r="AO367" i="15"/>
  <c r="CM592" i="15"/>
  <c r="DG4" i="15"/>
  <c r="AD40" i="19"/>
  <c r="DG4" i="20"/>
  <c r="CH69" i="2"/>
  <c r="AO7" i="15"/>
  <c r="AO7" i="20"/>
  <c r="P56" i="2"/>
  <c r="P57" i="2" s="1"/>
  <c r="AT65" i="1"/>
  <c r="CP36" i="2"/>
  <c r="AL66" i="19" s="1"/>
  <c r="AT62" i="1"/>
  <c r="CM165" i="1"/>
  <c r="CK70" i="1"/>
  <c r="CK80" i="1" s="1"/>
  <c r="CK81" i="1" s="1"/>
  <c r="AJ70" i="2"/>
  <c r="DT6" i="20"/>
  <c r="BD165" i="1"/>
  <c r="BA71" i="1"/>
  <c r="BA80" i="1"/>
  <c r="BA81" i="1" s="1"/>
  <c r="AX71" i="1"/>
  <c r="AX80" i="1"/>
  <c r="AX81" i="1" s="1"/>
  <c r="BD70" i="1"/>
  <c r="BD71" i="1" s="1"/>
  <c r="AZ80" i="1"/>
  <c r="AZ81" i="1" s="1"/>
  <c r="AZ71" i="1"/>
  <c r="BX4" i="15"/>
  <c r="BX4" i="20"/>
  <c r="C40" i="19"/>
  <c r="AY70" i="1"/>
  <c r="AY114" i="1"/>
  <c r="AX116" i="1"/>
  <c r="AY55" i="2"/>
  <c r="AY70" i="2" s="1"/>
  <c r="C78" i="19" s="1"/>
  <c r="AX117" i="1"/>
  <c r="AY115" i="1"/>
  <c r="AY117" i="1" s="1"/>
  <c r="CC4" i="20"/>
  <c r="CH2" i="2"/>
  <c r="CM184" i="1"/>
  <c r="CG91" i="2"/>
  <c r="AD44" i="19"/>
  <c r="CR31" i="2"/>
  <c r="AN60" i="19" s="1"/>
  <c r="D40" i="19"/>
  <c r="DJ313" i="20"/>
  <c r="AG73" i="19"/>
  <c r="CL43" i="2"/>
  <c r="DJ6" i="20"/>
  <c r="CK56" i="2"/>
  <c r="CK57" i="2" s="1"/>
  <c r="CJ74" i="2"/>
  <c r="AF82" i="19" s="1"/>
  <c r="CJ58" i="2"/>
  <c r="CG2" i="2"/>
  <c r="CB91" i="2"/>
  <c r="CM152" i="1"/>
  <c r="AC44" i="19"/>
  <c r="CL21" i="2"/>
  <c r="AH50" i="19" s="1"/>
  <c r="CL16" i="2"/>
  <c r="AH49" i="19"/>
  <c r="CM20" i="2"/>
  <c r="CJ38" i="2"/>
  <c r="AF66" i="19"/>
  <c r="AG45" i="19"/>
  <c r="CK36" i="2"/>
  <c r="BI114" i="1"/>
  <c r="CM154" i="1"/>
  <c r="BX16" i="20"/>
  <c r="C51" i="19"/>
  <c r="BX16" i="15"/>
  <c r="AF51" i="9"/>
  <c r="AF32" i="9"/>
  <c r="AF23" i="9"/>
  <c r="AF3" i="2"/>
  <c r="AF83" i="2"/>
  <c r="AF9" i="7"/>
  <c r="AF3" i="1"/>
  <c r="AF45" i="9"/>
  <c r="AF77" i="2"/>
  <c r="AF55" i="9"/>
  <c r="AF93" i="2"/>
  <c r="AF59" i="1"/>
  <c r="AF3" i="11"/>
  <c r="AF27" i="11"/>
  <c r="AF130" i="1"/>
  <c r="AF52" i="2"/>
  <c r="AF3" i="14"/>
  <c r="AF25" i="1"/>
  <c r="AF3" i="9"/>
  <c r="AF106" i="1"/>
  <c r="CR20" i="2"/>
  <c r="AM49" i="19"/>
  <c r="CQ16" i="2"/>
  <c r="CQ36" i="2" s="1"/>
  <c r="CQ21" i="2"/>
  <c r="AM50" i="19" s="1"/>
  <c r="AU58" i="2"/>
  <c r="AU74" i="2"/>
  <c r="AP5" i="7"/>
  <c r="AK3" i="7"/>
  <c r="CL91" i="2"/>
  <c r="CG36" i="2"/>
  <c r="CH36" i="2" s="1"/>
  <c r="AD66" i="19" s="1"/>
  <c r="AL74" i="2"/>
  <c r="AL58" i="2"/>
  <c r="CA58" i="2"/>
  <c r="CA74" i="2"/>
  <c r="W82" i="19" s="1"/>
  <c r="DB25" i="2"/>
  <c r="DB85" i="2"/>
  <c r="DB86" i="2" s="1"/>
  <c r="DB87" i="2" s="1"/>
  <c r="AU54" i="19"/>
  <c r="DX54" i="20"/>
  <c r="CY61" i="2"/>
  <c r="AU55" i="19"/>
  <c r="Y49" i="19"/>
  <c r="CC21" i="2"/>
  <c r="Y50" i="19" s="1"/>
  <c r="AI3" i="14"/>
  <c r="AI55" i="9"/>
  <c r="AI51" i="9"/>
  <c r="AI32" i="9"/>
  <c r="AI3" i="9"/>
  <c r="AI45" i="9"/>
  <c r="AI27" i="11"/>
  <c r="AI23" i="9"/>
  <c r="AI25" i="1"/>
  <c r="AI59" i="1"/>
  <c r="AI3" i="1"/>
  <c r="AI77" i="2"/>
  <c r="AI3" i="2"/>
  <c r="AI3" i="11"/>
  <c r="AI9" i="7"/>
  <c r="AI93" i="2"/>
  <c r="AI83" i="2"/>
  <c r="AI106" i="1"/>
  <c r="AI52" i="2"/>
  <c r="AI130" i="1"/>
  <c r="BZ118" i="1"/>
  <c r="AC47" i="2"/>
  <c r="AC46" i="2"/>
  <c r="AR58" i="2"/>
  <c r="AR74" i="2"/>
  <c r="AG579" i="20"/>
  <c r="H73" i="2"/>
  <c r="H56" i="1"/>
  <c r="I7" i="14"/>
  <c r="I11" i="14"/>
  <c r="I12" i="14" s="1"/>
  <c r="CD63" i="2"/>
  <c r="CD44" i="2"/>
  <c r="Z68" i="19"/>
  <c r="DW579" i="20"/>
  <c r="AT65" i="19"/>
  <c r="CX73" i="2"/>
  <c r="AT81" i="19" s="1"/>
  <c r="CX56" i="1"/>
  <c r="CG70" i="2"/>
  <c r="AC78" i="19" s="1"/>
  <c r="AX592" i="20"/>
  <c r="AX592" i="15"/>
  <c r="Y154" i="1"/>
  <c r="Y152" i="1"/>
  <c r="CM4" i="20"/>
  <c r="J40" i="19"/>
  <c r="CM4" i="15"/>
  <c r="BN70" i="1"/>
  <c r="CC70" i="2"/>
  <c r="Y78" i="19" s="1"/>
  <c r="H47" i="2"/>
  <c r="H46" i="2"/>
  <c r="CZ6" i="20"/>
  <c r="Q47" i="2"/>
  <c r="Q46" i="2"/>
  <c r="CF579" i="20"/>
  <c r="CF579" i="15"/>
  <c r="BG73" i="2"/>
  <c r="BG56" i="1"/>
  <c r="AG45" i="9"/>
  <c r="AG3" i="14"/>
  <c r="AG55" i="9"/>
  <c r="AG51" i="9"/>
  <c r="AG3" i="9"/>
  <c r="AG27" i="11"/>
  <c r="AG23" i="9"/>
  <c r="AG32" i="9"/>
  <c r="AG130" i="1"/>
  <c r="AG59" i="1"/>
  <c r="AG77" i="2"/>
  <c r="AG3" i="2"/>
  <c r="AG25" i="1"/>
  <c r="AG106" i="1"/>
  <c r="AG3" i="1"/>
  <c r="AG93" i="2"/>
  <c r="AG3" i="11"/>
  <c r="AG9" i="7"/>
  <c r="AG83" i="2"/>
  <c r="AG52" i="2"/>
  <c r="EA109" i="20"/>
  <c r="DB185" i="1"/>
  <c r="DB29" i="11"/>
  <c r="AM74" i="2"/>
  <c r="AM58" i="2"/>
  <c r="AE44" i="2"/>
  <c r="AE46" i="2" s="1"/>
  <c r="AI579" i="20"/>
  <c r="J73" i="2"/>
  <c r="J56" i="1"/>
  <c r="DB4" i="15"/>
  <c r="DB4" i="20"/>
  <c r="CC70" i="1"/>
  <c r="Y40" i="19"/>
  <c r="Z141" i="1"/>
  <c r="Z138" i="1" s="1"/>
  <c r="Z151" i="1" s="1"/>
  <c r="AA157" i="1"/>
  <c r="AE157" i="1" s="1"/>
  <c r="AN16" i="2"/>
  <c r="AO28" i="2"/>
  <c r="CD579" i="20"/>
  <c r="CD579" i="15"/>
  <c r="BE73" i="2"/>
  <c r="BE56" i="1"/>
  <c r="AO70" i="2"/>
  <c r="CO118" i="1"/>
  <c r="F57" i="2"/>
  <c r="F70" i="2"/>
  <c r="S67" i="2"/>
  <c r="S80" i="2" s="1"/>
  <c r="S75" i="2"/>
  <c r="S79" i="2"/>
  <c r="DB92" i="1"/>
  <c r="AL80" i="1"/>
  <c r="AL81" i="1" s="1"/>
  <c r="AL71" i="1"/>
  <c r="BD114" i="1"/>
  <c r="DB10" i="14"/>
  <c r="EA335" i="20" s="1"/>
  <c r="DB50" i="1"/>
  <c r="DB146" i="1"/>
  <c r="CX579" i="20"/>
  <c r="CX579" i="15"/>
  <c r="U65" i="19"/>
  <c r="BY73" i="2"/>
  <c r="U81" i="19" s="1"/>
  <c r="BY56" i="1"/>
  <c r="AZ340" i="20"/>
  <c r="AZ340" i="15"/>
  <c r="AA4" i="14"/>
  <c r="AA66" i="2"/>
  <c r="AA50" i="2"/>
  <c r="W133" i="1"/>
  <c r="X157" i="1" s="1"/>
  <c r="X161" i="1" s="1"/>
  <c r="X141" i="1"/>
  <c r="X138" i="1" s="1"/>
  <c r="X151" i="1" s="1"/>
  <c r="T58" i="2"/>
  <c r="T74" i="2"/>
  <c r="BC117" i="1"/>
  <c r="BD115" i="1"/>
  <c r="BD117" i="1" s="1"/>
  <c r="U2" i="2"/>
  <c r="U91" i="2"/>
  <c r="AI340" i="20"/>
  <c r="J4" i="14"/>
  <c r="J66" i="2"/>
  <c r="J50" i="2"/>
  <c r="AJ123" i="1"/>
  <c r="AJ74" i="2"/>
  <c r="AJ58" i="2"/>
  <c r="AO67" i="1"/>
  <c r="AO62" i="1"/>
  <c r="AO65" i="1"/>
  <c r="F65" i="1"/>
  <c r="F62" i="1"/>
  <c r="F67" i="1"/>
  <c r="AZ28" i="19"/>
  <c r="BB118" i="1"/>
  <c r="BD116" i="1"/>
  <c r="BD118" i="1" s="1"/>
  <c r="CG56" i="2"/>
  <c r="CG57" i="2" s="1"/>
  <c r="P70" i="2"/>
  <c r="EA110" i="20"/>
  <c r="BZ74" i="2"/>
  <c r="V82" i="19" s="1"/>
  <c r="BZ58" i="2"/>
  <c r="BR313" i="15"/>
  <c r="BR313" i="20"/>
  <c r="BR6" i="15"/>
  <c r="AS56" i="2"/>
  <c r="AS57" i="2" s="1"/>
  <c r="BR6" i="20"/>
  <c r="E7" i="14"/>
  <c r="E11" i="14"/>
  <c r="E12" i="14" s="1"/>
  <c r="CC65" i="1"/>
  <c r="CC67" i="1"/>
  <c r="CC62" i="1"/>
  <c r="CG114" i="1"/>
  <c r="CG116" i="1" s="1"/>
  <c r="CG118" i="1" s="1"/>
  <c r="CH113" i="1"/>
  <c r="CG115" i="1"/>
  <c r="BI368" i="20"/>
  <c r="BI310" i="15"/>
  <c r="BI310" i="20"/>
  <c r="BI368" i="15"/>
  <c r="D18" i="19"/>
  <c r="BD18" i="9"/>
  <c r="D19" i="19" s="1"/>
  <c r="BD29" i="9"/>
  <c r="BD19" i="2"/>
  <c r="D48" i="19" s="1"/>
  <c r="BH80" i="1"/>
  <c r="BH81" i="1" s="1"/>
  <c r="BH71" i="1"/>
  <c r="N38" i="2"/>
  <c r="AX579" i="20"/>
  <c r="AX579" i="15"/>
  <c r="Y73" i="2"/>
  <c r="Y56" i="1"/>
  <c r="BC579" i="20"/>
  <c r="BC579" i="15"/>
  <c r="AD73" i="2"/>
  <c r="AD56" i="1"/>
  <c r="C58" i="2"/>
  <c r="C74" i="2"/>
  <c r="AK46" i="2"/>
  <c r="AK47" i="2"/>
  <c r="V46" i="2"/>
  <c r="V47" i="2"/>
  <c r="CE80" i="1"/>
  <c r="CE81" i="1" s="1"/>
  <c r="CE71" i="1"/>
  <c r="DM579" i="20"/>
  <c r="AJ65" i="19"/>
  <c r="CN73" i="2"/>
  <c r="AJ81" i="19" s="1"/>
  <c r="CN56" i="1"/>
  <c r="Z74" i="2"/>
  <c r="Z123" i="1"/>
  <c r="Z58" i="2"/>
  <c r="CR62" i="1"/>
  <c r="CR65" i="1"/>
  <c r="CR67" i="1"/>
  <c r="D7" i="14"/>
  <c r="D11" i="14"/>
  <c r="D12" i="14" s="1"/>
  <c r="AX74" i="2"/>
  <c r="AX58" i="2"/>
  <c r="AK71" i="1"/>
  <c r="AK80" i="1"/>
  <c r="AK81" i="1" s="1"/>
  <c r="CE44" i="2"/>
  <c r="CE63" i="2"/>
  <c r="AA68" i="19"/>
  <c r="AW579" i="20"/>
  <c r="AW579" i="15"/>
  <c r="X73" i="2"/>
  <c r="X56" i="1"/>
  <c r="CB71" i="1"/>
  <c r="CB80" i="1"/>
  <c r="CB81" i="1" s="1"/>
  <c r="CU36" i="2"/>
  <c r="Y157" i="1"/>
  <c r="AM579" i="20"/>
  <c r="N73" i="2"/>
  <c r="N56" i="1"/>
  <c r="CH67" i="1"/>
  <c r="CH62" i="1"/>
  <c r="CH65" i="1"/>
  <c r="AM44" i="19"/>
  <c r="CQ91" i="2"/>
  <c r="CQ2" i="2"/>
  <c r="T44" i="2"/>
  <c r="T63" i="2"/>
  <c r="AO71" i="1"/>
  <c r="AO80" i="1"/>
  <c r="AO81" i="1" s="1"/>
  <c r="BM71" i="1"/>
  <c r="BM80" i="1"/>
  <c r="BM81" i="1" s="1"/>
  <c r="BI71" i="1"/>
  <c r="BI80" i="1"/>
  <c r="BI81" i="1" s="1"/>
  <c r="BV74" i="2"/>
  <c r="R82" i="19" s="1"/>
  <c r="BV58" i="2"/>
  <c r="CP80" i="1"/>
  <c r="CP81" i="1" s="1"/>
  <c r="CP71" i="1"/>
  <c r="CI71" i="1"/>
  <c r="CI80" i="1"/>
  <c r="CI81" i="1" s="1"/>
  <c r="B47" i="2"/>
  <c r="B46" i="2"/>
  <c r="AI36" i="2"/>
  <c r="AI91" i="2"/>
  <c r="BN113" i="1"/>
  <c r="BM114" i="1"/>
  <c r="BM116" i="1" s="1"/>
  <c r="BM118" i="1" s="1"/>
  <c r="BM115" i="1"/>
  <c r="CT71" i="1"/>
  <c r="CT80" i="1"/>
  <c r="CT81" i="1" s="1"/>
  <c r="CB114" i="1"/>
  <c r="CB115" i="1"/>
  <c r="CC113" i="1"/>
  <c r="DF6" i="15"/>
  <c r="EA31" i="1"/>
  <c r="EB31" i="1"/>
  <c r="EC31" i="1" s="1"/>
  <c r="ED31" i="1" s="1"/>
  <c r="EE31" i="1" s="1"/>
  <c r="EF31" i="1" s="1"/>
  <c r="P67" i="1"/>
  <c r="P62" i="1"/>
  <c r="P65" i="1"/>
  <c r="DT313" i="20"/>
  <c r="AQ73" i="19"/>
  <c r="CV43" i="2"/>
  <c r="CV56" i="2" s="1"/>
  <c r="CV57" i="2" s="1"/>
  <c r="DN579" i="20"/>
  <c r="AK65" i="19"/>
  <c r="CO73" i="2"/>
  <c r="AK81" i="19" s="1"/>
  <c r="CO56" i="1"/>
  <c r="I79" i="2"/>
  <c r="I75" i="2"/>
  <c r="I67" i="2"/>
  <c r="I80" i="2" s="1"/>
  <c r="L47" i="2"/>
  <c r="L46" i="2"/>
  <c r="Z80" i="1"/>
  <c r="Z81" i="1" s="1"/>
  <c r="Z71" i="1"/>
  <c r="AE74" i="19"/>
  <c r="CI47" i="2"/>
  <c r="CI46" i="2"/>
  <c r="AE76" i="19" s="1"/>
  <c r="CV114" i="1"/>
  <c r="CW113" i="1"/>
  <c r="CV115" i="1"/>
  <c r="BP71" i="1"/>
  <c r="BP80" i="1"/>
  <c r="BP81" i="1" s="1"/>
  <c r="AO69" i="2"/>
  <c r="AO91" i="2"/>
  <c r="AO92" i="2" s="1"/>
  <c r="AO2" i="2"/>
  <c r="AS49" i="19"/>
  <c r="CW21" i="2"/>
  <c r="AS50" i="19" s="1"/>
  <c r="S7" i="14"/>
  <c r="S11" i="14"/>
  <c r="S12" i="14" s="1"/>
  <c r="CS80" i="1"/>
  <c r="CS81" i="1" s="1"/>
  <c r="CS71" i="1"/>
  <c r="BD70" i="2"/>
  <c r="D78" i="19" s="1"/>
  <c r="BD57" i="2"/>
  <c r="CQ114" i="1"/>
  <c r="CR113" i="1"/>
  <c r="CQ115" i="1"/>
  <c r="AP34" i="9"/>
  <c r="AT14" i="9"/>
  <c r="AT34" i="9" s="1"/>
  <c r="EB98" i="1"/>
  <c r="EC98" i="1" s="1"/>
  <c r="ED98" i="1" s="1"/>
  <c r="EE98" i="1" s="1"/>
  <c r="DX98" i="1"/>
  <c r="DY98" i="1" s="1"/>
  <c r="DZ98" i="1" s="1"/>
  <c r="BH117" i="1"/>
  <c r="BI115" i="1"/>
  <c r="BI117" i="1" s="1"/>
  <c r="U68" i="19"/>
  <c r="BY44" i="2"/>
  <c r="BY63" i="2"/>
  <c r="BL71" i="1"/>
  <c r="BL80" i="1"/>
  <c r="BL81" i="1" s="1"/>
  <c r="AR118" i="1"/>
  <c r="AT116" i="1"/>
  <c r="AT118" i="1" s="1"/>
  <c r="AC45" i="19"/>
  <c r="CH16" i="2"/>
  <c r="AD45" i="19" s="1"/>
  <c r="CY158" i="1"/>
  <c r="BO579" i="20"/>
  <c r="BO579" i="15"/>
  <c r="AP73" i="2"/>
  <c r="AP56" i="1"/>
  <c r="C44" i="19"/>
  <c r="AY2" i="2"/>
  <c r="AY91" i="2"/>
  <c r="AY92" i="2" s="1"/>
  <c r="AY69" i="2"/>
  <c r="CX71" i="1"/>
  <c r="CX80" i="1"/>
  <c r="CX81" i="1" s="1"/>
  <c r="BE579" i="20"/>
  <c r="BE579" i="15"/>
  <c r="AF73" i="2"/>
  <c r="AF56" i="1"/>
  <c r="BD577" i="20"/>
  <c r="BD577" i="15"/>
  <c r="AF28" i="9"/>
  <c r="AF18" i="9"/>
  <c r="AJ28" i="9"/>
  <c r="AJ18" i="9"/>
  <c r="AE76" i="1"/>
  <c r="DQ4" i="20"/>
  <c r="AN40" i="19"/>
  <c r="CR70" i="1"/>
  <c r="CU70" i="1"/>
  <c r="AI74" i="2"/>
  <c r="AI58" i="2"/>
  <c r="BX91" i="2"/>
  <c r="BX92" i="2" s="1"/>
  <c r="BX2" i="2"/>
  <c r="T44" i="19"/>
  <c r="BX69" i="2"/>
  <c r="CW165" i="1"/>
  <c r="CW154" i="1"/>
  <c r="CW152" i="1"/>
  <c r="DV592" i="20"/>
  <c r="CW184" i="1"/>
  <c r="BP118" i="1"/>
  <c r="BS116" i="1"/>
  <c r="BS118" i="1" s="1"/>
  <c r="W66" i="19"/>
  <c r="CA38" i="2"/>
  <c r="AB66" i="19"/>
  <c r="CF38" i="2"/>
  <c r="AT68" i="19"/>
  <c r="CX63" i="2"/>
  <c r="CX44" i="2"/>
  <c r="CX48" i="2" s="1"/>
  <c r="CN63" i="2"/>
  <c r="CN44" i="2"/>
  <c r="AJ68" i="19"/>
  <c r="BF579" i="20"/>
  <c r="BF579" i="15"/>
  <c r="AG73" i="2"/>
  <c r="AG56" i="1"/>
  <c r="AT581" i="20"/>
  <c r="AT410" i="20"/>
  <c r="AT581" i="15"/>
  <c r="AT410" i="15"/>
  <c r="U54" i="1"/>
  <c r="U55" i="1"/>
  <c r="U122" i="1"/>
  <c r="AU581" i="15"/>
  <c r="AM63" i="2"/>
  <c r="AM44" i="2"/>
  <c r="AW340" i="20"/>
  <c r="AW340" i="15"/>
  <c r="X4" i="14"/>
  <c r="X50" i="2"/>
  <c r="X66" i="2"/>
  <c r="BI4" i="20"/>
  <c r="BI4" i="15"/>
  <c r="AJ70" i="1"/>
  <c r="BR117" i="1"/>
  <c r="BS115" i="1"/>
  <c r="BS117" i="1" s="1"/>
  <c r="BY579" i="20"/>
  <c r="BY579" i="15"/>
  <c r="AZ73" i="2"/>
  <c r="AZ56" i="1"/>
  <c r="AY14" i="9"/>
  <c r="AU34" i="9"/>
  <c r="BI116" i="1"/>
  <c r="BI118" i="1" s="1"/>
  <c r="BG80" i="1"/>
  <c r="BG81" i="1" s="1"/>
  <c r="BG71" i="1"/>
  <c r="BF578" i="20"/>
  <c r="BF578" i="15"/>
  <c r="AG63" i="9"/>
  <c r="W45" i="19"/>
  <c r="AY581" i="20"/>
  <c r="BB577" i="20"/>
  <c r="AD28" i="9"/>
  <c r="AB24" i="9"/>
  <c r="AC64" i="9"/>
  <c r="BB577" i="15"/>
  <c r="AC76" i="1"/>
  <c r="AM3" i="7"/>
  <c r="AR5" i="7"/>
  <c r="DR46" i="1"/>
  <c r="DQ46" i="1"/>
  <c r="BA340" i="20"/>
  <c r="BA340" i="15"/>
  <c r="AB66" i="2"/>
  <c r="AB50" i="2"/>
  <c r="AB4" i="14"/>
  <c r="AB161" i="1"/>
  <c r="BK71" i="1"/>
  <c r="BK80" i="1"/>
  <c r="BK81" i="1" s="1"/>
  <c r="AT18" i="9"/>
  <c r="AT29" i="9"/>
  <c r="AT19" i="2"/>
  <c r="AP66" i="19"/>
  <c r="CT38" i="2"/>
  <c r="AL47" i="2"/>
  <c r="AL46" i="2"/>
  <c r="BE80" i="1"/>
  <c r="BE81" i="1" s="1"/>
  <c r="BE71" i="1"/>
  <c r="AK68" i="19"/>
  <c r="CO63" i="2"/>
  <c r="CO44" i="2"/>
  <c r="CD80" i="1"/>
  <c r="CD81" i="1" s="1"/>
  <c r="CD71" i="1"/>
  <c r="C38" i="2"/>
  <c r="F36" i="2"/>
  <c r="BK118" i="1"/>
  <c r="AG46" i="2"/>
  <c r="AG47" i="2"/>
  <c r="BI592" i="20"/>
  <c r="BI592" i="15"/>
  <c r="AJ152" i="1"/>
  <c r="AJ154" i="1"/>
  <c r="AJ165" i="1"/>
  <c r="BG579" i="20"/>
  <c r="BG579" i="15"/>
  <c r="AH73" i="2"/>
  <c r="AH56" i="1"/>
  <c r="D79" i="2"/>
  <c r="D75" i="2"/>
  <c r="D67" i="2"/>
  <c r="D80" i="2" s="1"/>
  <c r="CJ71" i="1"/>
  <c r="CJ80" i="1"/>
  <c r="CJ81" i="1" s="1"/>
  <c r="BC70" i="2"/>
  <c r="BC57" i="2"/>
  <c r="AC73" i="19"/>
  <c r="DF313" i="20"/>
  <c r="DF313" i="15"/>
  <c r="CH43" i="2"/>
  <c r="CH71" i="1"/>
  <c r="CH80" i="1"/>
  <c r="CH81" i="1" s="1"/>
  <c r="AH118" i="1"/>
  <c r="AJ116" i="1"/>
  <c r="AJ118" i="1" s="1"/>
  <c r="CQ70" i="2"/>
  <c r="AM78" i="19" s="1"/>
  <c r="AR49" i="19"/>
  <c r="CV21" i="2"/>
  <c r="AR50" i="19" s="1"/>
  <c r="CV16" i="2"/>
  <c r="AL39" i="1"/>
  <c r="AK40" i="1"/>
  <c r="AK149" i="1" s="1"/>
  <c r="AK145" i="1" s="1"/>
  <c r="AK151" i="1" s="1"/>
  <c r="O58" i="2"/>
  <c r="O74" i="2"/>
  <c r="BZ579" i="20"/>
  <c r="BZ579" i="15"/>
  <c r="BA73" i="2"/>
  <c r="BA56" i="1"/>
  <c r="CK579" i="20"/>
  <c r="CK579" i="15"/>
  <c r="H65" i="19"/>
  <c r="BL73" i="2"/>
  <c r="H81" i="19" s="1"/>
  <c r="BL56" i="1"/>
  <c r="X49" i="19"/>
  <c r="CB21" i="2"/>
  <c r="X50" i="19" s="1"/>
  <c r="CB16" i="2"/>
  <c r="CC16" i="2" s="1"/>
  <c r="Y45" i="19" s="1"/>
  <c r="CA579" i="20"/>
  <c r="CA579" i="15"/>
  <c r="BB73" i="2"/>
  <c r="BB56" i="1"/>
  <c r="BS114" i="1"/>
  <c r="BD65" i="1"/>
  <c r="BD67" i="1"/>
  <c r="BD62" i="1"/>
  <c r="AH44" i="2"/>
  <c r="AH63" i="2"/>
  <c r="BM74" i="2"/>
  <c r="I82" i="19" s="1"/>
  <c r="BM58" i="2"/>
  <c r="AM80" i="1"/>
  <c r="AM81" i="1" s="1"/>
  <c r="AM71" i="1"/>
  <c r="AJ69" i="2"/>
  <c r="AJ2" i="2"/>
  <c r="AJ91" i="2"/>
  <c r="AI117" i="1"/>
  <c r="AJ115" i="1"/>
  <c r="AJ117" i="1" s="1"/>
  <c r="AT70" i="2"/>
  <c r="AO68" i="19"/>
  <c r="CS44" i="2"/>
  <c r="CS63" i="2"/>
  <c r="AT43" i="2"/>
  <c r="BA80" i="19"/>
  <c r="AJ27" i="11"/>
  <c r="AJ3" i="14"/>
  <c r="AJ32" i="9"/>
  <c r="AJ3" i="9"/>
  <c r="AJ45" i="9"/>
  <c r="AJ59" i="1"/>
  <c r="AJ3" i="1"/>
  <c r="AJ83" i="2"/>
  <c r="AJ52" i="2"/>
  <c r="AJ3" i="11"/>
  <c r="AJ3" i="2"/>
  <c r="AJ93" i="2"/>
  <c r="AJ9" i="7"/>
  <c r="AJ51" i="9"/>
  <c r="AJ23" i="9"/>
  <c r="AJ106" i="1"/>
  <c r="AJ25" i="1"/>
  <c r="AJ77" i="2"/>
  <c r="AJ130" i="1"/>
  <c r="AJ55" i="9"/>
  <c r="AF44" i="2"/>
  <c r="AF63" i="2"/>
  <c r="AL579" i="20"/>
  <c r="M73" i="2"/>
  <c r="M56" i="1"/>
  <c r="C18" i="19"/>
  <c r="AY18" i="9"/>
  <c r="C19" i="19" s="1"/>
  <c r="AY29" i="9"/>
  <c r="AY19" i="2"/>
  <c r="C48" i="19" s="1"/>
  <c r="AZ34" i="9"/>
  <c r="BD14" i="9"/>
  <c r="G46" i="2"/>
  <c r="K44" i="2"/>
  <c r="K46" i="2" s="1"/>
  <c r="G47" i="2"/>
  <c r="BF80" i="1"/>
  <c r="BF81" i="1" s="1"/>
  <c r="BF71" i="1"/>
  <c r="AY65" i="1"/>
  <c r="AY67" i="1"/>
  <c r="AY62" i="1"/>
  <c r="BH58" i="2"/>
  <c r="BH74" i="2"/>
  <c r="AY581" i="15"/>
  <c r="AH3" i="14"/>
  <c r="AH55" i="9"/>
  <c r="AH51" i="9"/>
  <c r="AH3" i="9"/>
  <c r="AH27" i="11"/>
  <c r="AH23" i="9"/>
  <c r="AH25" i="1"/>
  <c r="AH59" i="1"/>
  <c r="AH77" i="2"/>
  <c r="AH32" i="9"/>
  <c r="AH93" i="2"/>
  <c r="AH83" i="2"/>
  <c r="AH3" i="11"/>
  <c r="AH3" i="2"/>
  <c r="AH130" i="1"/>
  <c r="AH3" i="1"/>
  <c r="AH106" i="1"/>
  <c r="AH52" i="2"/>
  <c r="AH9" i="7"/>
  <c r="AH45" i="9"/>
  <c r="U118" i="1"/>
  <c r="CN579" i="20"/>
  <c r="CN579" i="15"/>
  <c r="K65" i="19"/>
  <c r="BO73" i="2"/>
  <c r="K81" i="19" s="1"/>
  <c r="BO56" i="1"/>
  <c r="E67" i="2"/>
  <c r="E80" i="2" s="1"/>
  <c r="E79" i="2"/>
  <c r="E75" i="2"/>
  <c r="BH91" i="2"/>
  <c r="BH2" i="2"/>
  <c r="BI15" i="2"/>
  <c r="BJ71" i="1"/>
  <c r="BJ80" i="1"/>
  <c r="BJ81" i="1" s="1"/>
  <c r="AD47" i="2"/>
  <c r="AD46" i="2"/>
  <c r="U123" i="1"/>
  <c r="U58" i="2"/>
  <c r="U56" i="1" s="1"/>
  <c r="U74" i="2"/>
  <c r="CT74" i="2"/>
  <c r="AP82" i="19" s="1"/>
  <c r="CT58" i="2"/>
  <c r="BQ71" i="1"/>
  <c r="BQ80" i="1"/>
  <c r="BQ81" i="1" s="1"/>
  <c r="DE579" i="20"/>
  <c r="DE579" i="15"/>
  <c r="AB65" i="19"/>
  <c r="CF73" i="2"/>
  <c r="AB81" i="19" s="1"/>
  <c r="CF56" i="1"/>
  <c r="DB367" i="20"/>
  <c r="DB327" i="20"/>
  <c r="DB367" i="15"/>
  <c r="DB327" i="15"/>
  <c r="Y118" i="1"/>
  <c r="Z116" i="1"/>
  <c r="Z118" i="1" s="1"/>
  <c r="AV340" i="20"/>
  <c r="AV340" i="15"/>
  <c r="W4" i="14"/>
  <c r="W50" i="2"/>
  <c r="W66" i="2"/>
  <c r="AO5" i="7"/>
  <c r="AN3" i="7"/>
  <c r="AS5" i="7"/>
  <c r="BO14" i="20"/>
  <c r="BO14" i="15"/>
  <c r="AP159" i="1"/>
  <c r="AQ30" i="2"/>
  <c r="AP28" i="2"/>
  <c r="AP62" i="2"/>
  <c r="CZ313" i="20"/>
  <c r="W73" i="19"/>
  <c r="CB43" i="2"/>
  <c r="CC43" i="2" s="1"/>
  <c r="CZ313" i="15"/>
  <c r="BI57" i="2"/>
  <c r="BI70" i="2"/>
  <c r="E78" i="19" s="1"/>
  <c r="AL340" i="20"/>
  <c r="M4" i="14"/>
  <c r="M66" i="2"/>
  <c r="M50" i="2"/>
  <c r="K74" i="2"/>
  <c r="K58" i="2"/>
  <c r="I44" i="19"/>
  <c r="BM2" i="2"/>
  <c r="BM91" i="2"/>
  <c r="BN15" i="2"/>
  <c r="BX70" i="2"/>
  <c r="T78" i="19" s="1"/>
  <c r="AV62" i="19"/>
  <c r="DY6" i="20"/>
  <c r="AN44" i="19"/>
  <c r="CR69" i="2"/>
  <c r="CR2" i="2"/>
  <c r="AO159" i="1"/>
  <c r="AO62" i="2"/>
  <c r="BN14" i="20"/>
  <c r="BN14" i="15"/>
  <c r="CR55" i="2"/>
  <c r="BP58" i="2"/>
  <c r="BP74" i="2"/>
  <c r="L82" i="19" s="1"/>
  <c r="CZ6" i="15"/>
  <c r="BI65" i="1"/>
  <c r="BI62" i="1"/>
  <c r="BI67" i="1"/>
  <c r="CV91" i="2"/>
  <c r="U36" i="2"/>
  <c r="Y44" i="19"/>
  <c r="CC69" i="2"/>
  <c r="CC91" i="2"/>
  <c r="CC92" i="2" s="1"/>
  <c r="CC2" i="2"/>
  <c r="AQ5" i="7"/>
  <c r="AL3" i="7"/>
  <c r="BO71" i="1"/>
  <c r="BO80" i="1"/>
  <c r="BO81" i="1" s="1"/>
  <c r="AQ579" i="20"/>
  <c r="AQ579" i="15"/>
  <c r="R73" i="2"/>
  <c r="R56" i="1"/>
  <c r="BX65" i="1"/>
  <c r="BX67" i="1"/>
  <c r="BX62" i="1"/>
  <c r="CP313" i="20"/>
  <c r="CP313" i="15"/>
  <c r="M73" i="19"/>
  <c r="BR43" i="2"/>
  <c r="CP6" i="20"/>
  <c r="BQ56" i="2"/>
  <c r="BQ57" i="2" s="1"/>
  <c r="CP6" i="15"/>
  <c r="BP579" i="20"/>
  <c r="BP579" i="15"/>
  <c r="AQ73" i="2"/>
  <c r="AQ56" i="1"/>
  <c r="AU36" i="19"/>
  <c r="CY10" i="2"/>
  <c r="BQ5" i="11"/>
  <c r="DJ25" i="9"/>
  <c r="BF26" i="19" s="1"/>
  <c r="DI19" i="2"/>
  <c r="BE48" i="19" s="1"/>
  <c r="BE6" i="19"/>
  <c r="BC6" i="19"/>
  <c r="DG2" i="9"/>
  <c r="DG6" i="9"/>
  <c r="DK25" i="9"/>
  <c r="BG26" i="19" s="1"/>
  <c r="DJ15" i="9"/>
  <c r="BF16" i="19" s="1"/>
  <c r="DJ5" i="9"/>
  <c r="BF6" i="19" s="1"/>
  <c r="BC16" i="19"/>
  <c r="DG16" i="9"/>
  <c r="BC17" i="19" s="1"/>
  <c r="DD48" i="9"/>
  <c r="DD74" i="1" s="1"/>
  <c r="AZ9" i="19"/>
  <c r="BA14" i="19"/>
  <c r="DK15" i="9"/>
  <c r="BG16" i="19" s="1"/>
  <c r="DK5" i="9"/>
  <c r="BG6" i="19" s="1"/>
  <c r="DX52" i="9"/>
  <c r="DW52" i="9"/>
  <c r="BE26" i="19"/>
  <c r="BD16" i="19"/>
  <c r="DL4" i="9"/>
  <c r="BH5" i="19" s="1"/>
  <c r="DT52" i="9"/>
  <c r="BD26" i="19"/>
  <c r="DU52" i="9"/>
  <c r="AX9" i="19"/>
  <c r="EA587" i="20"/>
  <c r="AZ14" i="19"/>
  <c r="AY14" i="19"/>
  <c r="BE16" i="19" l="1"/>
  <c r="BD6" i="19"/>
  <c r="CV313" i="20"/>
  <c r="S73" i="19"/>
  <c r="BF72" i="19"/>
  <c r="CW91" i="2"/>
  <c r="BW56" i="2"/>
  <c r="BW57" i="2" s="1"/>
  <c r="CW69" i="2"/>
  <c r="DR6" i="9"/>
  <c r="DS6" i="9" s="1"/>
  <c r="DT6" i="9" s="1"/>
  <c r="DU6" i="9" s="1"/>
  <c r="DW6" i="9" s="1"/>
  <c r="DX6" i="9" s="1"/>
  <c r="DY6" i="9" s="1"/>
  <c r="DZ6" i="9" s="1"/>
  <c r="EB6" i="9" s="1"/>
  <c r="EC6" i="9" s="1"/>
  <c r="ED6" i="9" s="1"/>
  <c r="EE6" i="9" s="1"/>
  <c r="BL7" i="19"/>
  <c r="CV6" i="20"/>
  <c r="CV6" i="15"/>
  <c r="DN16" i="9"/>
  <c r="BI17" i="19"/>
  <c r="CV313" i="15"/>
  <c r="T73" i="19"/>
  <c r="CW6" i="20"/>
  <c r="CW6" i="15"/>
  <c r="R47" i="2"/>
  <c r="AQ340" i="20" s="1"/>
  <c r="DN4" i="9"/>
  <c r="BJ5" i="19" s="1"/>
  <c r="DM4" i="9"/>
  <c r="DP4" i="9"/>
  <c r="BL5" i="19" s="1"/>
  <c r="DO4" i="9"/>
  <c r="BK5" i="19" s="1"/>
  <c r="BX56" i="2"/>
  <c r="BX57" i="2" s="1"/>
  <c r="BX74" i="2" s="1"/>
  <c r="T82" i="19" s="1"/>
  <c r="CW2" i="2"/>
  <c r="CW313" i="15"/>
  <c r="CP58" i="2"/>
  <c r="CP73" i="2" s="1"/>
  <c r="AL81" i="19" s="1"/>
  <c r="AW73" i="2"/>
  <c r="CW65" i="1"/>
  <c r="CW67" i="1"/>
  <c r="U44" i="2"/>
  <c r="U46" i="2" s="1"/>
  <c r="DP6" i="20"/>
  <c r="DQ313" i="20"/>
  <c r="BV579" i="15"/>
  <c r="S66" i="19"/>
  <c r="CU74" i="2"/>
  <c r="AQ82" i="19" s="1"/>
  <c r="BV579" i="20"/>
  <c r="DQ6" i="20"/>
  <c r="BD91" i="2"/>
  <c r="BD92" i="2" s="1"/>
  <c r="AN58" i="2"/>
  <c r="BM579" i="20" s="1"/>
  <c r="DP313" i="20"/>
  <c r="CQ56" i="2"/>
  <c r="CQ57" i="2" s="1"/>
  <c r="CQ74" i="2" s="1"/>
  <c r="AM82" i="19" s="1"/>
  <c r="AM73" i="19"/>
  <c r="CM80" i="1"/>
  <c r="CM81" i="1" s="1"/>
  <c r="CM116" i="1"/>
  <c r="CM118" i="1" s="1"/>
  <c r="DA58" i="2"/>
  <c r="DA73" i="2" s="1"/>
  <c r="Y46" i="2"/>
  <c r="CL117" i="1"/>
  <c r="CR56" i="2"/>
  <c r="CR57" i="2" s="1"/>
  <c r="BN74" i="2"/>
  <c r="J82" i="19" s="1"/>
  <c r="Y47" i="2"/>
  <c r="Y50" i="2" s="1"/>
  <c r="CW80" i="1"/>
  <c r="CW81" i="1" s="1"/>
  <c r="DA63" i="2"/>
  <c r="DA44" i="2"/>
  <c r="CM114" i="1"/>
  <c r="DA61" i="1"/>
  <c r="DC61" i="1"/>
  <c r="BD579" i="20"/>
  <c r="AE73" i="2"/>
  <c r="AO56" i="2"/>
  <c r="AO57" i="2" s="1"/>
  <c r="AO123" i="1" s="1"/>
  <c r="BN6" i="15"/>
  <c r="BN58" i="2"/>
  <c r="BN56" i="1" s="1"/>
  <c r="BN6" i="20"/>
  <c r="AE56" i="1"/>
  <c r="BN313" i="15"/>
  <c r="DU6" i="20"/>
  <c r="CY42" i="2"/>
  <c r="AU72" i="19" s="1"/>
  <c r="CY18" i="2"/>
  <c r="AU47" i="19" s="1"/>
  <c r="CY61" i="1"/>
  <c r="CY21" i="2"/>
  <c r="AU50" i="19" s="1"/>
  <c r="CZ61" i="1"/>
  <c r="CZ44" i="2"/>
  <c r="CZ48" i="2" s="1"/>
  <c r="CZ63" i="2"/>
  <c r="CZ58" i="2"/>
  <c r="CZ74" i="2"/>
  <c r="CM91" i="2"/>
  <c r="BZ44" i="2"/>
  <c r="BZ46" i="2" s="1"/>
  <c r="V76" i="19" s="1"/>
  <c r="BD2" i="2"/>
  <c r="BZ63" i="2"/>
  <c r="CM2" i="2"/>
  <c r="BD69" i="2"/>
  <c r="CM69" i="2"/>
  <c r="CG38" i="2"/>
  <c r="CH38" i="2" s="1"/>
  <c r="CK71" i="1"/>
  <c r="P16" i="2"/>
  <c r="O36" i="2"/>
  <c r="AA161" i="1"/>
  <c r="AK6" i="14"/>
  <c r="BJ310" i="20" s="1"/>
  <c r="CP38" i="2"/>
  <c r="AL68" i="19" s="1"/>
  <c r="AC66" i="19"/>
  <c r="AY71" i="1"/>
  <c r="AY80" i="1"/>
  <c r="AY81" i="1" s="1"/>
  <c r="AX118" i="1"/>
  <c r="AY116" i="1"/>
  <c r="AY118" i="1" s="1"/>
  <c r="AY57" i="2"/>
  <c r="AY74" i="2" s="1"/>
  <c r="C82" i="19" s="1"/>
  <c r="BD80" i="1"/>
  <c r="BD81" i="1" s="1"/>
  <c r="AE47" i="2"/>
  <c r="AE4" i="14" s="1"/>
  <c r="AH73" i="19"/>
  <c r="DK313" i="20"/>
  <c r="AH45" i="19"/>
  <c r="CL36" i="2"/>
  <c r="CM16" i="2"/>
  <c r="AI45" i="19" s="1"/>
  <c r="AM45" i="19"/>
  <c r="CR16" i="2"/>
  <c r="AN45" i="19" s="1"/>
  <c r="DA6" i="20"/>
  <c r="CR21" i="2"/>
  <c r="AN50" i="19" s="1"/>
  <c r="AN49" i="19"/>
  <c r="BK579" i="20"/>
  <c r="AL73" i="2"/>
  <c r="AL56" i="1"/>
  <c r="BK579" i="15"/>
  <c r="AG66" i="19"/>
  <c r="CK38" i="2"/>
  <c r="BN116" i="1"/>
  <c r="BN118" i="1" s="1"/>
  <c r="CK58" i="2"/>
  <c r="CK74" i="2"/>
  <c r="AG82" i="19" s="1"/>
  <c r="BT579" i="15"/>
  <c r="AU73" i="2"/>
  <c r="AU56" i="1"/>
  <c r="BT579" i="20"/>
  <c r="CH116" i="1"/>
  <c r="CH118" i="1" s="1"/>
  <c r="DB84" i="2"/>
  <c r="DB88" i="2" s="1"/>
  <c r="CJ73" i="2"/>
  <c r="AF81" i="19" s="1"/>
  <c r="CJ56" i="1"/>
  <c r="AF65" i="19"/>
  <c r="DI579" i="20"/>
  <c r="CR91" i="2"/>
  <c r="AK45" i="9"/>
  <c r="AK52" i="2"/>
  <c r="AK59" i="1"/>
  <c r="AK55" i="9"/>
  <c r="AK106" i="1"/>
  <c r="AK25" i="1"/>
  <c r="AK3" i="1"/>
  <c r="AK77" i="2"/>
  <c r="AK130" i="1"/>
  <c r="AK83" i="2"/>
  <c r="AK27" i="11"/>
  <c r="AK23" i="9"/>
  <c r="AK3" i="2"/>
  <c r="AK3" i="14"/>
  <c r="AK51" i="9"/>
  <c r="AK9" i="7"/>
  <c r="AK32" i="9"/>
  <c r="AK3" i="9"/>
  <c r="AK93" i="2"/>
  <c r="AK3" i="11"/>
  <c r="CJ44" i="2"/>
  <c r="CJ63" i="2"/>
  <c r="AF68" i="19"/>
  <c r="CL56" i="2"/>
  <c r="CL57" i="2" s="1"/>
  <c r="DA6" i="15"/>
  <c r="AP3" i="7"/>
  <c r="AU5" i="7"/>
  <c r="AI49" i="19"/>
  <c r="CM21" i="2"/>
  <c r="AI50" i="19" s="1"/>
  <c r="CM43" i="2"/>
  <c r="DL6" i="20" s="1"/>
  <c r="DK6" i="20"/>
  <c r="Y73" i="19"/>
  <c r="DB313" i="15"/>
  <c r="DB313" i="20"/>
  <c r="DB6" i="15"/>
  <c r="DB6" i="20"/>
  <c r="CC56" i="2"/>
  <c r="CC57" i="2" s="1"/>
  <c r="M7" i="14"/>
  <c r="M11" i="14"/>
  <c r="M12" i="14" s="1"/>
  <c r="AA340" i="20"/>
  <c r="B4" i="14"/>
  <c r="B66" i="2"/>
  <c r="B50" i="2"/>
  <c r="AA74" i="19"/>
  <c r="CE47" i="2"/>
  <c r="CE46" i="2"/>
  <c r="AA76" i="19" s="1"/>
  <c r="AP340" i="20"/>
  <c r="AP340" i="15"/>
  <c r="Q66" i="2"/>
  <c r="Q50" i="2"/>
  <c r="Q4" i="14"/>
  <c r="J7" i="14"/>
  <c r="J11" i="14"/>
  <c r="J12" i="14" s="1"/>
  <c r="I13" i="14"/>
  <c r="AX54" i="19"/>
  <c r="EA54" i="20"/>
  <c r="DB26" i="2"/>
  <c r="AX55" i="19" s="1"/>
  <c r="AD73" i="19"/>
  <c r="DG313" i="20"/>
  <c r="DG313" i="15"/>
  <c r="DG6" i="15"/>
  <c r="DG6" i="20"/>
  <c r="CH56" i="2"/>
  <c r="CH57" i="2" s="1"/>
  <c r="AW5" i="7"/>
  <c r="AR3" i="7"/>
  <c r="BB340" i="20"/>
  <c r="BB340" i="15"/>
  <c r="AC4" i="14"/>
  <c r="AC161" i="1"/>
  <c r="AC50" i="2"/>
  <c r="AC66" i="2"/>
  <c r="BI74" i="2"/>
  <c r="E82" i="19" s="1"/>
  <c r="BI123" i="1"/>
  <c r="BI58" i="2"/>
  <c r="AJ74" i="19"/>
  <c r="CN46" i="2"/>
  <c r="AJ76" i="19" s="1"/>
  <c r="CN47" i="2"/>
  <c r="AF54" i="9"/>
  <c r="AF29" i="9"/>
  <c r="AF30" i="9"/>
  <c r="DC10" i="14"/>
  <c r="DC146" i="1"/>
  <c r="CQ38" i="2"/>
  <c r="AM66" i="19"/>
  <c r="CR36" i="2"/>
  <c r="AN66" i="19" s="1"/>
  <c r="AA75" i="2"/>
  <c r="AA67" i="2"/>
  <c r="AA80" i="2" s="1"/>
  <c r="AA79" i="2"/>
  <c r="AG340" i="20"/>
  <c r="H4" i="14"/>
  <c r="H50" i="2"/>
  <c r="H66" i="2"/>
  <c r="CG74" i="2"/>
  <c r="AC82" i="19" s="1"/>
  <c r="CG58" i="2"/>
  <c r="S68" i="19"/>
  <c r="BW44" i="2"/>
  <c r="BW63" i="2"/>
  <c r="AS3" i="7"/>
  <c r="AX5" i="7"/>
  <c r="BS313" i="20"/>
  <c r="BS313" i="15"/>
  <c r="BS6" i="20"/>
  <c r="BS6" i="15"/>
  <c r="AT56" i="2"/>
  <c r="AT57" i="2" s="1"/>
  <c r="CB56" i="2"/>
  <c r="CB57" i="2" s="1"/>
  <c r="BM117" i="1"/>
  <c r="BN115" i="1"/>
  <c r="BN117" i="1" s="1"/>
  <c r="CU579" i="20"/>
  <c r="R65" i="19"/>
  <c r="BV73" i="2"/>
  <c r="R81" i="19" s="1"/>
  <c r="CU579" i="15"/>
  <c r="BV56" i="1"/>
  <c r="BC58" i="2"/>
  <c r="BC74" i="2"/>
  <c r="CQ117" i="1"/>
  <c r="CR115" i="1"/>
  <c r="CR117" i="1" s="1"/>
  <c r="AY579" i="20"/>
  <c r="AY579" i="15"/>
  <c r="Z73" i="2"/>
  <c r="Z56" i="1"/>
  <c r="AU340" i="20"/>
  <c r="AU340" i="15"/>
  <c r="V4" i="14"/>
  <c r="V50" i="2"/>
  <c r="V66" i="2"/>
  <c r="BN71" i="1"/>
  <c r="BN80" i="1"/>
  <c r="BN81" i="1" s="1"/>
  <c r="BQ579" i="20"/>
  <c r="BQ579" i="15"/>
  <c r="AR73" i="2"/>
  <c r="AR56" i="1"/>
  <c r="AW55" i="19"/>
  <c r="AW54" i="19"/>
  <c r="DZ54" i="20"/>
  <c r="BJ340" i="20"/>
  <c r="BJ340" i="15"/>
  <c r="AK161" i="1"/>
  <c r="AK4" i="14"/>
  <c r="AK66" i="2"/>
  <c r="AK50" i="2"/>
  <c r="CV58" i="2"/>
  <c r="CV74" i="2"/>
  <c r="AR82" i="19" s="1"/>
  <c r="AJ30" i="9"/>
  <c r="AJ29" i="9"/>
  <c r="E13" i="14"/>
  <c r="AN51" i="9"/>
  <c r="AN23" i="9"/>
  <c r="AN55" i="9"/>
  <c r="AN130" i="1"/>
  <c r="AN3" i="11"/>
  <c r="AN32" i="9"/>
  <c r="AN77" i="2"/>
  <c r="AN3" i="14"/>
  <c r="AN45" i="9"/>
  <c r="AN25" i="1"/>
  <c r="AN93" i="2"/>
  <c r="AN106" i="1"/>
  <c r="AN3" i="1"/>
  <c r="AN52" i="2"/>
  <c r="AN27" i="11"/>
  <c r="AN3" i="9"/>
  <c r="AN3" i="2"/>
  <c r="AN83" i="2"/>
  <c r="AN59" i="1"/>
  <c r="AN9" i="7"/>
  <c r="AF46" i="2"/>
  <c r="AF47" i="2"/>
  <c r="C63" i="2"/>
  <c r="C44" i="2"/>
  <c r="F38" i="2"/>
  <c r="F63" i="2" s="1"/>
  <c r="DH340" i="20"/>
  <c r="AE77" i="19"/>
  <c r="CI161" i="1"/>
  <c r="CI66" i="2"/>
  <c r="CI4" i="14"/>
  <c r="CI50" i="2"/>
  <c r="BQ58" i="2"/>
  <c r="BQ74" i="2"/>
  <c r="M82" i="19" s="1"/>
  <c r="AW62" i="19"/>
  <c r="DB33" i="2"/>
  <c r="AJ579" i="20"/>
  <c r="K73" i="2"/>
  <c r="K56" i="1"/>
  <c r="AO3" i="7"/>
  <c r="AT5" i="7"/>
  <c r="AH46" i="2"/>
  <c r="AH47" i="2"/>
  <c r="X45" i="19"/>
  <c r="CB36" i="2"/>
  <c r="BJ163" i="15"/>
  <c r="X7" i="14"/>
  <c r="X11" i="14"/>
  <c r="X12" i="14" s="1"/>
  <c r="CR70" i="2"/>
  <c r="AN78" i="19" s="1"/>
  <c r="D15" i="19"/>
  <c r="BD34" i="9"/>
  <c r="BD39" i="9" s="1"/>
  <c r="AN579" i="20"/>
  <c r="O73" i="2"/>
  <c r="O56" i="1"/>
  <c r="BJ163" i="20"/>
  <c r="AB7" i="14"/>
  <c r="AB11" i="14"/>
  <c r="AB12" i="14" s="1"/>
  <c r="BA577" i="20"/>
  <c r="AB64" i="9"/>
  <c r="AA24" i="9"/>
  <c r="AC28" i="9"/>
  <c r="BA577" i="15"/>
  <c r="AB76" i="1"/>
  <c r="CU80" i="1"/>
  <c r="CU81" i="1" s="1"/>
  <c r="CU71" i="1"/>
  <c r="BN114" i="1"/>
  <c r="DZ30" i="20"/>
  <c r="DA5" i="14"/>
  <c r="DB68" i="2"/>
  <c r="AY592" i="20"/>
  <c r="AY592" i="15"/>
  <c r="Z165" i="1"/>
  <c r="Z154" i="1"/>
  <c r="Z152" i="1"/>
  <c r="M79" i="2"/>
  <c r="M75" i="2"/>
  <c r="M67" i="2"/>
  <c r="M80" i="2" s="1"/>
  <c r="E44" i="19"/>
  <c r="BI91" i="2"/>
  <c r="BI92" i="2" s="1"/>
  <c r="BI69" i="2"/>
  <c r="BI2" i="2"/>
  <c r="BW579" i="20"/>
  <c r="BW579" i="15"/>
  <c r="AX73" i="2"/>
  <c r="AX56" i="1"/>
  <c r="AO16" i="2"/>
  <c r="AN36" i="2"/>
  <c r="CC115" i="1"/>
  <c r="CC117" i="1" s="1"/>
  <c r="CB117" i="1"/>
  <c r="DS579" i="20"/>
  <c r="CT73" i="2"/>
  <c r="AP81" i="19" s="1"/>
  <c r="AP65" i="19"/>
  <c r="CT56" i="1"/>
  <c r="CB116" i="1"/>
  <c r="CC114" i="1"/>
  <c r="BB80" i="19"/>
  <c r="AM3" i="11"/>
  <c r="AM51" i="9"/>
  <c r="AM23" i="9"/>
  <c r="AM55" i="9"/>
  <c r="AM32" i="9"/>
  <c r="AM130" i="1"/>
  <c r="AM25" i="1"/>
  <c r="AM106" i="1"/>
  <c r="AM3" i="1"/>
  <c r="AM52" i="2"/>
  <c r="AM27" i="11"/>
  <c r="AM77" i="2"/>
  <c r="AM93" i="2"/>
  <c r="AM3" i="2"/>
  <c r="AM3" i="9"/>
  <c r="AM9" i="7"/>
  <c r="AM45" i="9"/>
  <c r="AM3" i="14"/>
  <c r="AM83" i="2"/>
  <c r="AM59" i="1"/>
  <c r="AQ66" i="19"/>
  <c r="CU38" i="2"/>
  <c r="AB579" i="20"/>
  <c r="C73" i="2"/>
  <c r="C56" i="1"/>
  <c r="P58" i="2"/>
  <c r="P74" i="2"/>
  <c r="AT579" i="20"/>
  <c r="AT579" i="15"/>
  <c r="U73" i="2"/>
  <c r="BJ592" i="20"/>
  <c r="BJ592" i="15"/>
  <c r="AK154" i="1"/>
  <c r="AK165" i="1"/>
  <c r="AK152" i="1"/>
  <c r="AT74" i="19"/>
  <c r="CX47" i="2"/>
  <c r="CX46" i="2"/>
  <c r="AT76" i="19" s="1"/>
  <c r="AP68" i="19"/>
  <c r="CT44" i="2"/>
  <c r="CT63" i="2"/>
  <c r="AS58" i="2"/>
  <c r="AS74" i="2"/>
  <c r="BI579" i="20"/>
  <c r="BI579" i="15"/>
  <c r="AJ73" i="2"/>
  <c r="AJ56" i="1"/>
  <c r="AS579" i="20"/>
  <c r="AS579" i="15"/>
  <c r="T73" i="2"/>
  <c r="T56" i="1"/>
  <c r="DB95" i="1"/>
  <c r="DC185" i="1"/>
  <c r="CZ579" i="15"/>
  <c r="CZ579" i="20"/>
  <c r="W65" i="19"/>
  <c r="CA73" i="2"/>
  <c r="W81" i="19" s="1"/>
  <c r="CA56" i="1"/>
  <c r="AK340" i="20"/>
  <c r="L4" i="14"/>
  <c r="L66" i="2"/>
  <c r="L50" i="2"/>
  <c r="BP14" i="20"/>
  <c r="BP14" i="15"/>
  <c r="AQ159" i="1"/>
  <c r="AR30" i="2"/>
  <c r="AQ28" i="2"/>
  <c r="AQ16" i="2" s="1"/>
  <c r="AQ36" i="2" s="1"/>
  <c r="AQ38" i="2" s="1"/>
  <c r="AQ62" i="2"/>
  <c r="DD10" i="14"/>
  <c r="BF340" i="20"/>
  <c r="AG4" i="14"/>
  <c r="AG66" i="2"/>
  <c r="AG50" i="2"/>
  <c r="AG161" i="1"/>
  <c r="BF340" i="15"/>
  <c r="CY579" i="20"/>
  <c r="CY579" i="15"/>
  <c r="V65" i="19"/>
  <c r="BZ73" i="2"/>
  <c r="V81" i="19" s="1"/>
  <c r="BZ56" i="1"/>
  <c r="AL27" i="11"/>
  <c r="AL3" i="11"/>
  <c r="AL51" i="9"/>
  <c r="AL130" i="1"/>
  <c r="AL3" i="9"/>
  <c r="AL23" i="9"/>
  <c r="AL106" i="1"/>
  <c r="AL55" i="9"/>
  <c r="AL93" i="2"/>
  <c r="AL3" i="14"/>
  <c r="AL83" i="2"/>
  <c r="AL9" i="7"/>
  <c r="AL3" i="1"/>
  <c r="AL32" i="9"/>
  <c r="AL52" i="2"/>
  <c r="AL77" i="2"/>
  <c r="AL3" i="2"/>
  <c r="AL45" i="9"/>
  <c r="AL59" i="1"/>
  <c r="AL25" i="1"/>
  <c r="DS46" i="1"/>
  <c r="DT46" i="1" s="1"/>
  <c r="DU46" i="1" s="1"/>
  <c r="F58" i="2"/>
  <c r="F74" i="2"/>
  <c r="DB20" i="2"/>
  <c r="AW49" i="19"/>
  <c r="S13" i="14"/>
  <c r="S31" i="14"/>
  <c r="D13" i="14"/>
  <c r="CH115" i="1"/>
  <c r="CH117" i="1" s="1"/>
  <c r="CG117" i="1"/>
  <c r="CL579" i="20"/>
  <c r="CL579" i="15"/>
  <c r="I65" i="19"/>
  <c r="BM73" i="2"/>
  <c r="I81" i="19" s="1"/>
  <c r="BM56" i="1"/>
  <c r="N63" i="2"/>
  <c r="N44" i="2"/>
  <c r="CO579" i="20"/>
  <c r="CO579" i="15"/>
  <c r="L65" i="19"/>
  <c r="BP73" i="2"/>
  <c r="L81" i="19" s="1"/>
  <c r="BP56" i="1"/>
  <c r="C15" i="19"/>
  <c r="AY34" i="9"/>
  <c r="AA7" i="14"/>
  <c r="AA11" i="14"/>
  <c r="AA12" i="14" s="1"/>
  <c r="BL579" i="15"/>
  <c r="BL579" i="20"/>
  <c r="AM73" i="2"/>
  <c r="AM56" i="1"/>
  <c r="N73" i="19"/>
  <c r="CQ313" i="20"/>
  <c r="CQ313" i="15"/>
  <c r="CQ6" i="15"/>
  <c r="BS43" i="2"/>
  <c r="CQ6" i="20"/>
  <c r="BR56" i="2"/>
  <c r="BR57" i="2" s="1"/>
  <c r="AO74" i="19"/>
  <c r="CS47" i="2"/>
  <c r="CS46" i="2"/>
  <c r="AO76" i="19" s="1"/>
  <c r="AK27" i="1"/>
  <c r="AK26" i="1" s="1"/>
  <c r="AK48" i="1" s="1"/>
  <c r="AK74" i="19"/>
  <c r="CO46" i="2"/>
  <c r="AK76" i="19" s="1"/>
  <c r="CO47" i="2"/>
  <c r="AB68" i="19"/>
  <c r="CF44" i="2"/>
  <c r="CF63" i="2"/>
  <c r="CR80" i="1"/>
  <c r="CR81" i="1" s="1"/>
  <c r="CR71" i="1"/>
  <c r="CQ116" i="1"/>
  <c r="CR114" i="1"/>
  <c r="AP16" i="2"/>
  <c r="AM39" i="1"/>
  <c r="AL40" i="1"/>
  <c r="AL149" i="1" s="1"/>
  <c r="AL145" i="1" s="1"/>
  <c r="AL151" i="1" s="1"/>
  <c r="AB79" i="2"/>
  <c r="AB75" i="2"/>
  <c r="AB67" i="2"/>
  <c r="AB80" i="2" s="1"/>
  <c r="BD58" i="2"/>
  <c r="BD123" i="1"/>
  <c r="BD74" i="2"/>
  <c r="D82" i="19" s="1"/>
  <c r="AR73" i="19"/>
  <c r="DU313" i="20"/>
  <c r="CW43" i="2"/>
  <c r="AI38" i="2"/>
  <c r="AJ36" i="2"/>
  <c r="AW592" i="20"/>
  <c r="AW592" i="15"/>
  <c r="X154" i="1"/>
  <c r="X152" i="1"/>
  <c r="CC80" i="1"/>
  <c r="CC81" i="1" s="1"/>
  <c r="CC71" i="1"/>
  <c r="CV117" i="1"/>
  <c r="CW115" i="1"/>
  <c r="CW117" i="1" s="1"/>
  <c r="J67" i="2"/>
  <c r="J80" i="2" s="1"/>
  <c r="J79" i="2"/>
  <c r="J75" i="2"/>
  <c r="J44" i="19"/>
  <c r="BN91" i="2"/>
  <c r="BN92" i="2" s="1"/>
  <c r="BN69" i="2"/>
  <c r="BN2" i="2"/>
  <c r="AJ80" i="1"/>
  <c r="AJ81" i="1" s="1"/>
  <c r="AJ71" i="1"/>
  <c r="AQ3" i="7"/>
  <c r="AV5" i="7"/>
  <c r="BK340" i="20"/>
  <c r="BK340" i="15"/>
  <c r="AL161" i="1"/>
  <c r="AL4" i="14"/>
  <c r="AL66" i="2"/>
  <c r="AL50" i="2"/>
  <c r="CV116" i="1"/>
  <c r="CW114" i="1"/>
  <c r="T47" i="2"/>
  <c r="U47" i="2" s="1"/>
  <c r="T46" i="2"/>
  <c r="AR45" i="19"/>
  <c r="CW16" i="2"/>
  <c r="AS45" i="19" s="1"/>
  <c r="CV36" i="2"/>
  <c r="CW36" i="2" s="1"/>
  <c r="AS66" i="19" s="1"/>
  <c r="BH579" i="20"/>
  <c r="BH579" i="15"/>
  <c r="AI73" i="2"/>
  <c r="AI56" i="1"/>
  <c r="AF340" i="20"/>
  <c r="G4" i="14"/>
  <c r="G50" i="2"/>
  <c r="K47" i="2"/>
  <c r="G66" i="2"/>
  <c r="X79" i="2"/>
  <c r="X67" i="2"/>
  <c r="X80" i="2" s="1"/>
  <c r="X75" i="2"/>
  <c r="X73" i="19"/>
  <c r="DA313" i="20"/>
  <c r="DA313" i="15"/>
  <c r="W79" i="2"/>
  <c r="W75" i="2"/>
  <c r="W67" i="2"/>
  <c r="W80" i="2" s="1"/>
  <c r="BC340" i="20"/>
  <c r="BC340" i="15"/>
  <c r="AD4" i="14"/>
  <c r="AD66" i="2"/>
  <c r="AD161" i="1"/>
  <c r="AD50" i="2"/>
  <c r="AD54" i="9"/>
  <c r="AD30" i="9"/>
  <c r="AD29" i="9"/>
  <c r="CH114" i="1"/>
  <c r="W7" i="14"/>
  <c r="W11" i="14"/>
  <c r="W12" i="14" s="1"/>
  <c r="CG579" i="20"/>
  <c r="CG579" i="15"/>
  <c r="BH73" i="2"/>
  <c r="BH56" i="1"/>
  <c r="BW74" i="2"/>
  <c r="S82" i="19" s="1"/>
  <c r="BW58" i="2"/>
  <c r="CY157" i="1"/>
  <c r="CY141" i="1"/>
  <c r="AM47" i="2"/>
  <c r="AM46" i="2"/>
  <c r="W68" i="19"/>
  <c r="CA63" i="2"/>
  <c r="CA44" i="2"/>
  <c r="U74" i="19"/>
  <c r="BY47" i="2"/>
  <c r="BY46" i="2"/>
  <c r="U76" i="19" s="1"/>
  <c r="R66" i="2"/>
  <c r="R50" i="2"/>
  <c r="BA28" i="19"/>
  <c r="V133" i="1"/>
  <c r="W157" i="1" s="1"/>
  <c r="W161" i="1" s="1"/>
  <c r="W141" i="1"/>
  <c r="W138" i="1" s="1"/>
  <c r="W151" i="1" s="1"/>
  <c r="Z74" i="19"/>
  <c r="CD46" i="2"/>
  <c r="Z76" i="19" s="1"/>
  <c r="CD47" i="2"/>
  <c r="DT579" i="20"/>
  <c r="AQ65" i="19"/>
  <c r="CU73" i="2"/>
  <c r="AQ81" i="19" s="1"/>
  <c r="CU56" i="1"/>
  <c r="DV52" i="9"/>
  <c r="DX3" i="20"/>
  <c r="CY53" i="2"/>
  <c r="CY55" i="2" s="1"/>
  <c r="CY70" i="2" s="1"/>
  <c r="AU39" i="19"/>
  <c r="CY15" i="2"/>
  <c r="CY147" i="1"/>
  <c r="DX162" i="20"/>
  <c r="DL15" i="9"/>
  <c r="BC7" i="19"/>
  <c r="BF12" i="19"/>
  <c r="BG12" i="19"/>
  <c r="BD12" i="19"/>
  <c r="BE12" i="19"/>
  <c r="DL5" i="9"/>
  <c r="AZ8" i="19"/>
  <c r="DO53" i="9"/>
  <c r="DL25" i="9"/>
  <c r="BH26" i="19" s="1"/>
  <c r="BA9" i="19"/>
  <c r="BI5" i="19" l="1"/>
  <c r="DI47" i="9"/>
  <c r="BH6" i="19"/>
  <c r="DN72" i="2"/>
  <c r="BI80" i="19"/>
  <c r="DO16" i="9"/>
  <c r="DO15" i="9" s="1"/>
  <c r="BK16" i="19" s="1"/>
  <c r="BJ17" i="19"/>
  <c r="DL16" i="9"/>
  <c r="BH17" i="19" s="1"/>
  <c r="BH16" i="19"/>
  <c r="BG72" i="19"/>
  <c r="R4" i="14"/>
  <c r="AQ340" i="15"/>
  <c r="BX123" i="1"/>
  <c r="BX58" i="2"/>
  <c r="CW579" i="15" s="1"/>
  <c r="DO579" i="20"/>
  <c r="AL65" i="19"/>
  <c r="CP56" i="1"/>
  <c r="DA56" i="1"/>
  <c r="AN56" i="1"/>
  <c r="AN73" i="2"/>
  <c r="CQ58" i="2"/>
  <c r="CQ56" i="1" s="1"/>
  <c r="AX340" i="20"/>
  <c r="BM579" i="15"/>
  <c r="DD26" i="2"/>
  <c r="DD86" i="2"/>
  <c r="DD87" i="2" s="1"/>
  <c r="AX340" i="15"/>
  <c r="Z47" i="2"/>
  <c r="Z66" i="2" s="1"/>
  <c r="Y4" i="14"/>
  <c r="Y7" i="14" s="1"/>
  <c r="Y161" i="1"/>
  <c r="Y66" i="2"/>
  <c r="Y75" i="2" s="1"/>
  <c r="DA48" i="2"/>
  <c r="DA47" i="2"/>
  <c r="DA46" i="2"/>
  <c r="DA67" i="1"/>
  <c r="DA62" i="1"/>
  <c r="DA65" i="1"/>
  <c r="DC67" i="1"/>
  <c r="DC65" i="1"/>
  <c r="DC62" i="1"/>
  <c r="DC26" i="2"/>
  <c r="DC86" i="2"/>
  <c r="DC87" i="2" s="1"/>
  <c r="BN73" i="2"/>
  <c r="J81" i="19" s="1"/>
  <c r="J65" i="19"/>
  <c r="AO74" i="2"/>
  <c r="CM579" i="15"/>
  <c r="AO58" i="2"/>
  <c r="BN579" i="15" s="1"/>
  <c r="CM579" i="20"/>
  <c r="CZ47" i="2"/>
  <c r="CZ46" i="2"/>
  <c r="V74" i="19"/>
  <c r="CZ65" i="1"/>
  <c r="CZ62" i="1"/>
  <c r="CZ67" i="1"/>
  <c r="CP63" i="2"/>
  <c r="CY67" i="1"/>
  <c r="CY65" i="1"/>
  <c r="CY62" i="1"/>
  <c r="CZ73" i="2"/>
  <c r="CZ56" i="1"/>
  <c r="BZ47" i="2"/>
  <c r="BZ4" i="14" s="1"/>
  <c r="CP44" i="2"/>
  <c r="CP46" i="2" s="1"/>
  <c r="AL76" i="19" s="1"/>
  <c r="AX49" i="19"/>
  <c r="CG63" i="2"/>
  <c r="CG44" i="2"/>
  <c r="CH44" i="2" s="1"/>
  <c r="AC68" i="19"/>
  <c r="BJ310" i="15"/>
  <c r="BJ368" i="20"/>
  <c r="O38" i="2"/>
  <c r="P36" i="2"/>
  <c r="BJ368" i="15"/>
  <c r="AY123" i="1"/>
  <c r="CM56" i="2"/>
  <c r="CM57" i="2" s="1"/>
  <c r="CM58" i="2" s="1"/>
  <c r="AY58" i="2"/>
  <c r="BX579" i="15" s="1"/>
  <c r="BD340" i="15"/>
  <c r="BD340" i="20"/>
  <c r="AL6" i="14"/>
  <c r="BK310" i="15" s="1"/>
  <c r="AE50" i="2"/>
  <c r="AE66" i="2"/>
  <c r="AE67" i="2" s="1"/>
  <c r="AE80" i="2" s="1"/>
  <c r="AZ5" i="7"/>
  <c r="AU3" i="7"/>
  <c r="CK73" i="2"/>
  <c r="AG81" i="19" s="1"/>
  <c r="DJ579" i="20"/>
  <c r="AG65" i="19"/>
  <c r="CK56" i="1"/>
  <c r="CK63" i="2"/>
  <c r="CK44" i="2"/>
  <c r="AG68" i="19"/>
  <c r="AH66" i="19"/>
  <c r="CL38" i="2"/>
  <c r="CM36" i="2"/>
  <c r="AI66" i="19" s="1"/>
  <c r="CL74" i="2"/>
  <c r="AH82" i="19" s="1"/>
  <c r="CL58" i="2"/>
  <c r="AE161" i="1"/>
  <c r="AE163" i="1" s="1"/>
  <c r="AF74" i="19"/>
  <c r="CJ47" i="2"/>
  <c r="CJ46" i="2"/>
  <c r="AF76" i="19" s="1"/>
  <c r="AP130" i="1"/>
  <c r="AP83" i="2"/>
  <c r="AP3" i="14"/>
  <c r="AP77" i="2"/>
  <c r="AP32" i="9"/>
  <c r="AP3" i="2"/>
  <c r="AP3" i="11"/>
  <c r="AP93" i="2"/>
  <c r="AP23" i="9"/>
  <c r="AP9" i="7"/>
  <c r="AP25" i="1"/>
  <c r="AP27" i="11"/>
  <c r="AP3" i="1"/>
  <c r="AP45" i="9"/>
  <c r="AP106" i="1"/>
  <c r="AP55" i="9"/>
  <c r="AP59" i="1"/>
  <c r="AP51" i="9"/>
  <c r="AP52" i="2"/>
  <c r="AP3" i="9"/>
  <c r="J13" i="14"/>
  <c r="J17" i="14" s="1"/>
  <c r="AI583" i="20" s="1"/>
  <c r="AI73" i="19"/>
  <c r="DL313" i="20"/>
  <c r="AL79" i="2"/>
  <c r="AL67" i="2"/>
  <c r="AL80" i="2" s="1"/>
  <c r="AL75" i="2"/>
  <c r="AD68" i="19"/>
  <c r="CH63" i="2"/>
  <c r="AN38" i="2"/>
  <c r="AO36" i="2"/>
  <c r="CB118" i="1"/>
  <c r="CC116" i="1"/>
  <c r="CC118" i="1" s="1"/>
  <c r="AE7" i="14"/>
  <c r="AE11" i="14"/>
  <c r="AE12" i="14" s="1"/>
  <c r="AT3" i="7"/>
  <c r="AY5" i="7"/>
  <c r="V7" i="14"/>
  <c r="V11" i="14"/>
  <c r="V12" i="14" s="1"/>
  <c r="O73" i="19"/>
  <c r="CR313" i="20"/>
  <c r="CR313" i="15"/>
  <c r="BS56" i="2"/>
  <c r="BS57" i="2" s="1"/>
  <c r="CR6" i="20"/>
  <c r="CR6" i="15"/>
  <c r="AQ63" i="2"/>
  <c r="AQ44" i="2"/>
  <c r="AM68" i="19"/>
  <c r="CQ63" i="2"/>
  <c r="CQ44" i="2"/>
  <c r="CR38" i="2"/>
  <c r="BA5" i="7"/>
  <c r="AV3" i="7"/>
  <c r="AC54" i="9"/>
  <c r="AC29" i="9"/>
  <c r="AC30" i="9"/>
  <c r="AC75" i="2"/>
  <c r="AC67" i="2"/>
  <c r="AC80" i="2" s="1"/>
  <c r="AC79" i="2"/>
  <c r="Q79" i="2"/>
  <c r="Q75" i="2"/>
  <c r="Q67" i="2"/>
  <c r="Q80" i="2" s="1"/>
  <c r="W31" i="14"/>
  <c r="W13" i="14"/>
  <c r="AQ45" i="9"/>
  <c r="AQ27" i="11"/>
  <c r="AQ3" i="11"/>
  <c r="AQ106" i="1"/>
  <c r="AQ3" i="14"/>
  <c r="AQ32" i="9"/>
  <c r="AQ23" i="9"/>
  <c r="AQ55" i="9"/>
  <c r="AQ3" i="1"/>
  <c r="AQ3" i="9"/>
  <c r="AQ25" i="1"/>
  <c r="AQ52" i="2"/>
  <c r="AQ59" i="1"/>
  <c r="AQ51" i="9"/>
  <c r="AQ130" i="1"/>
  <c r="AQ9" i="7"/>
  <c r="AQ83" i="2"/>
  <c r="AQ77" i="2"/>
  <c r="AQ3" i="2"/>
  <c r="AQ93" i="2"/>
  <c r="AZ577" i="20"/>
  <c r="AA64" i="9"/>
  <c r="AZ577" i="15"/>
  <c r="Y24" i="9"/>
  <c r="AB28" i="9"/>
  <c r="AA76" i="1"/>
  <c r="AT123" i="1"/>
  <c r="AT58" i="2"/>
  <c r="AT74" i="2"/>
  <c r="H75" i="2"/>
  <c r="H67" i="2"/>
  <c r="H80" i="2" s="1"/>
  <c r="H79" i="2"/>
  <c r="I16" i="14"/>
  <c r="AH582" i="20" s="1"/>
  <c r="I18" i="14"/>
  <c r="I17" i="14"/>
  <c r="AH583" i="20" s="1"/>
  <c r="M13" i="14"/>
  <c r="M31" i="14"/>
  <c r="AD79" i="2"/>
  <c r="AD67" i="2"/>
  <c r="AD80" i="2" s="1"/>
  <c r="AD75" i="2"/>
  <c r="DR340" i="20"/>
  <c r="CS161" i="1"/>
  <c r="AO77" i="19"/>
  <c r="CS50" i="2"/>
  <c r="CS66" i="2"/>
  <c r="CS4" i="14"/>
  <c r="DG9" i="1"/>
  <c r="V67" i="2"/>
  <c r="V80" i="2" s="1"/>
  <c r="V75" i="2"/>
  <c r="V79" i="2"/>
  <c r="BK163" i="20"/>
  <c r="S74" i="19"/>
  <c r="BW47" i="2"/>
  <c r="BW46" i="2"/>
  <c r="S76" i="19" s="1"/>
  <c r="B75" i="2"/>
  <c r="B67" i="2"/>
  <c r="B80" i="2" s="1"/>
  <c r="B79" i="2"/>
  <c r="BK163" i="15"/>
  <c r="AA13" i="14"/>
  <c r="AA31" i="14"/>
  <c r="Q7" i="14"/>
  <c r="Q11" i="14"/>
  <c r="Q12" i="14" s="1"/>
  <c r="R7" i="14"/>
  <c r="R11" i="14"/>
  <c r="R12" i="14" s="1"/>
  <c r="DC340" i="20"/>
  <c r="DC340" i="15"/>
  <c r="CD4" i="14"/>
  <c r="CD161" i="1"/>
  <c r="CD66" i="2"/>
  <c r="Z77" i="19"/>
  <c r="CD50" i="2"/>
  <c r="G67" i="2"/>
  <c r="G80" i="2" s="1"/>
  <c r="G79" i="2"/>
  <c r="G75" i="2"/>
  <c r="AO579" i="20"/>
  <c r="AO579" i="15"/>
  <c r="P73" i="2"/>
  <c r="P56" i="1"/>
  <c r="AX62" i="19"/>
  <c r="C47" i="2"/>
  <c r="C46" i="2"/>
  <c r="F44" i="2"/>
  <c r="F46" i="2" s="1"/>
  <c r="AK79" i="2"/>
  <c r="AK67" i="2"/>
  <c r="AK80" i="2" s="1"/>
  <c r="AK75" i="2"/>
  <c r="BE578" i="20"/>
  <c r="BE578" i="15"/>
  <c r="AF63" i="9"/>
  <c r="AR45" i="9"/>
  <c r="AR27" i="11"/>
  <c r="AR3" i="11"/>
  <c r="AR55" i="9"/>
  <c r="AR32" i="9"/>
  <c r="AR3" i="14"/>
  <c r="AR106" i="1"/>
  <c r="AR83" i="2"/>
  <c r="AR23" i="9"/>
  <c r="AR3" i="9"/>
  <c r="AR59" i="1"/>
  <c r="AR51" i="9"/>
  <c r="AR3" i="1"/>
  <c r="AR52" i="2"/>
  <c r="AR3" i="2"/>
  <c r="AR25" i="1"/>
  <c r="AR93" i="2"/>
  <c r="AR77" i="2"/>
  <c r="AR9" i="7"/>
  <c r="AR130" i="1"/>
  <c r="CW579" i="20"/>
  <c r="T133" i="1"/>
  <c r="V141" i="1"/>
  <c r="V138" i="1" s="1"/>
  <c r="V151" i="1" s="1"/>
  <c r="CV579" i="20"/>
  <c r="S65" i="19"/>
  <c r="CV579" i="15"/>
  <c r="BW73" i="2"/>
  <c r="S81" i="19" s="1"/>
  <c r="BW56" i="1"/>
  <c r="DW46" i="1"/>
  <c r="DV46" i="1"/>
  <c r="BC5" i="7"/>
  <c r="AX3" i="7"/>
  <c r="AB74" i="19"/>
  <c r="CF46" i="2"/>
  <c r="AB76" i="19" s="1"/>
  <c r="CF47" i="2"/>
  <c r="BB56" i="19"/>
  <c r="AL11" i="14"/>
  <c r="AL12" i="14" s="1"/>
  <c r="CH579" i="20"/>
  <c r="BI73" i="2"/>
  <c r="E81" i="19" s="1"/>
  <c r="E65" i="19"/>
  <c r="BI56" i="1"/>
  <c r="B7" i="14"/>
  <c r="B13" i="14" s="1"/>
  <c r="B11" i="14"/>
  <c r="AN39" i="1"/>
  <c r="AM40" i="1"/>
  <c r="AM149" i="1" s="1"/>
  <c r="AM145" i="1" s="1"/>
  <c r="AM151" i="1" s="1"/>
  <c r="DF579" i="20"/>
  <c r="DF579" i="15"/>
  <c r="CG73" i="2"/>
  <c r="AC81" i="19" s="1"/>
  <c r="AC65" i="19"/>
  <c r="CG56" i="1"/>
  <c r="AW73" i="19"/>
  <c r="DB43" i="2"/>
  <c r="AG67" i="2"/>
  <c r="AG80" i="2" s="1"/>
  <c r="AG79" i="2"/>
  <c r="AG75" i="2"/>
  <c r="DD185" i="1"/>
  <c r="BR579" i="20"/>
  <c r="BR579" i="15"/>
  <c r="AS73" i="2"/>
  <c r="AS56" i="1"/>
  <c r="X31" i="14"/>
  <c r="X13" i="14"/>
  <c r="E17" i="14"/>
  <c r="AD583" i="20" s="1"/>
  <c r="E16" i="14"/>
  <c r="AD582" i="20" s="1"/>
  <c r="E18" i="14"/>
  <c r="H7" i="14"/>
  <c r="H11" i="14"/>
  <c r="H12" i="14" s="1"/>
  <c r="AC7" i="14"/>
  <c r="AC11" i="14"/>
  <c r="AC12" i="14" s="1"/>
  <c r="BB5" i="7"/>
  <c r="AW3" i="7"/>
  <c r="L7" i="14"/>
  <c r="L11" i="14"/>
  <c r="L12" i="14" s="1"/>
  <c r="AD7" i="14"/>
  <c r="AD11" i="14"/>
  <c r="AD12" i="14" s="1"/>
  <c r="AQ68" i="19"/>
  <c r="CU63" i="2"/>
  <c r="CU44" i="2"/>
  <c r="BG340" i="20"/>
  <c r="AH161" i="1"/>
  <c r="BG340" i="15"/>
  <c r="AH4" i="14"/>
  <c r="AH66" i="2"/>
  <c r="AH50" i="2"/>
  <c r="DG29" i="1"/>
  <c r="DG28" i="1" s="1"/>
  <c r="D17" i="14"/>
  <c r="AC583" i="20" s="1"/>
  <c r="D16" i="14"/>
  <c r="AC582" i="20" s="1"/>
  <c r="D18" i="14"/>
  <c r="BB28" i="19"/>
  <c r="DG27" i="9"/>
  <c r="DW340" i="20"/>
  <c r="AT77" i="19"/>
  <c r="CX4" i="14"/>
  <c r="CX161" i="1"/>
  <c r="CX50" i="2"/>
  <c r="CX66" i="2"/>
  <c r="AT340" i="20"/>
  <c r="AT340" i="15"/>
  <c r="U4" i="14"/>
  <c r="U66" i="2"/>
  <c r="U50" i="2"/>
  <c r="S16" i="14"/>
  <c r="S18" i="14"/>
  <c r="S17" i="14"/>
  <c r="AO27" i="11"/>
  <c r="AO23" i="9"/>
  <c r="AO55" i="9"/>
  <c r="AO130" i="1"/>
  <c r="AO3" i="14"/>
  <c r="AO32" i="9"/>
  <c r="AO3" i="11"/>
  <c r="AO45" i="9"/>
  <c r="AO51" i="9"/>
  <c r="AO106" i="1"/>
  <c r="AO3" i="1"/>
  <c r="AO52" i="2"/>
  <c r="AO25" i="1"/>
  <c r="AO77" i="2"/>
  <c r="AO3" i="2"/>
  <c r="AO93" i="2"/>
  <c r="AO3" i="9"/>
  <c r="AO59" i="1"/>
  <c r="AO83" i="2"/>
  <c r="AO9" i="7"/>
  <c r="W74" i="19"/>
  <c r="CA46" i="2"/>
  <c r="W76" i="19" s="1"/>
  <c r="CA47" i="2"/>
  <c r="BA56" i="19"/>
  <c r="BQ14" i="20"/>
  <c r="BQ14" i="15"/>
  <c r="AR159" i="1"/>
  <c r="AR28" i="2"/>
  <c r="AR16" i="2" s="1"/>
  <c r="AR36" i="2" s="1"/>
  <c r="AR38" i="2" s="1"/>
  <c r="AS30" i="2"/>
  <c r="AU30" i="2" s="1"/>
  <c r="AR62" i="2"/>
  <c r="R67" i="2"/>
  <c r="R80" i="2" s="1"/>
  <c r="R75" i="2"/>
  <c r="R79" i="2"/>
  <c r="DN340" i="20"/>
  <c r="AK77" i="19"/>
  <c r="CO4" i="14"/>
  <c r="CO161" i="1"/>
  <c r="CO66" i="2"/>
  <c r="CO50" i="2"/>
  <c r="CB58" i="2"/>
  <c r="CB74" i="2"/>
  <c r="X82" i="19" s="1"/>
  <c r="AS73" i="19"/>
  <c r="DV313" i="20"/>
  <c r="CW56" i="2"/>
  <c r="CW57" i="2" s="1"/>
  <c r="DV6" i="20"/>
  <c r="AG7" i="14"/>
  <c r="AG11" i="14"/>
  <c r="AG12" i="14" s="1"/>
  <c r="L79" i="2"/>
  <c r="L75" i="2"/>
  <c r="L67" i="2"/>
  <c r="L80" i="2" s="1"/>
  <c r="DB91" i="1"/>
  <c r="EA30" i="20"/>
  <c r="DB5" i="14"/>
  <c r="BE340" i="20"/>
  <c r="AF4" i="14"/>
  <c r="BE340" i="15"/>
  <c r="AF161" i="1"/>
  <c r="AF50" i="2"/>
  <c r="AF66" i="2"/>
  <c r="AK7" i="14"/>
  <c r="AK11" i="14"/>
  <c r="AK12" i="14" s="1"/>
  <c r="CB579" i="20"/>
  <c r="CB579" i="15"/>
  <c r="BC73" i="2"/>
  <c r="BC56" i="1"/>
  <c r="CH123" i="1"/>
  <c r="CH74" i="2"/>
  <c r="AD82" i="19" s="1"/>
  <c r="CH58" i="2"/>
  <c r="BK592" i="20"/>
  <c r="BK592" i="15"/>
  <c r="AL165" i="1"/>
  <c r="AL154" i="1"/>
  <c r="AL152" i="1"/>
  <c r="N47" i="2"/>
  <c r="N46" i="2"/>
  <c r="AS45" i="9"/>
  <c r="AS3" i="14"/>
  <c r="AS55" i="9"/>
  <c r="AS51" i="9"/>
  <c r="AS106" i="1"/>
  <c r="AS130" i="1"/>
  <c r="AS23" i="9"/>
  <c r="AS32" i="9"/>
  <c r="AS77" i="2"/>
  <c r="AS3" i="2"/>
  <c r="AS3" i="11"/>
  <c r="AS59" i="1"/>
  <c r="AS9" i="7"/>
  <c r="AS83" i="2"/>
  <c r="AS52" i="2"/>
  <c r="AS25" i="1"/>
  <c r="AS3" i="9"/>
  <c r="AS27" i="11"/>
  <c r="AS3" i="1"/>
  <c r="AS93" i="2"/>
  <c r="AL27" i="1"/>
  <c r="AL26" i="1" s="1"/>
  <c r="AL48" i="1" s="1"/>
  <c r="BR58" i="2"/>
  <c r="BR74" i="2"/>
  <c r="N82" i="19" s="1"/>
  <c r="CI7" i="14"/>
  <c r="CI11" i="14"/>
  <c r="CI12" i="14" s="1"/>
  <c r="DE10" i="14"/>
  <c r="DE86" i="2"/>
  <c r="DE87" i="2" s="1"/>
  <c r="CX340" i="20"/>
  <c r="CX340" i="15"/>
  <c r="BY4" i="14"/>
  <c r="BY50" i="2"/>
  <c r="BY66" i="2"/>
  <c r="U77" i="19"/>
  <c r="BY161" i="1"/>
  <c r="CC579" i="20"/>
  <c r="CC579" i="15"/>
  <c r="D65" i="19"/>
  <c r="BD73" i="2"/>
  <c r="D81" i="19" s="1"/>
  <c r="BD56" i="1"/>
  <c r="CI67" i="2"/>
  <c r="CI80" i="2" s="1"/>
  <c r="CI79" i="2"/>
  <c r="CI75" i="2"/>
  <c r="DU579" i="20"/>
  <c r="CV73" i="2"/>
  <c r="AR81" i="19" s="1"/>
  <c r="AR65" i="19"/>
  <c r="CV56" i="1"/>
  <c r="CV38" i="2"/>
  <c r="CW38" i="2" s="1"/>
  <c r="AR66" i="19"/>
  <c r="BC578" i="20"/>
  <c r="BC578" i="15"/>
  <c r="AD63" i="9"/>
  <c r="AP36" i="2"/>
  <c r="CR58" i="2"/>
  <c r="CR123" i="1"/>
  <c r="CR74" i="2"/>
  <c r="AN82" i="19" s="1"/>
  <c r="BL340" i="20"/>
  <c r="AM161" i="1"/>
  <c r="BL340" i="15"/>
  <c r="AM66" i="2"/>
  <c r="AM4" i="14"/>
  <c r="AM50" i="2"/>
  <c r="AJ340" i="20"/>
  <c r="K4" i="14"/>
  <c r="K66" i="2"/>
  <c r="K50" i="2"/>
  <c r="AS340" i="15"/>
  <c r="T4" i="14"/>
  <c r="AS340" i="20"/>
  <c r="T50" i="2"/>
  <c r="T66" i="2"/>
  <c r="AI44" i="2"/>
  <c r="AI63" i="2"/>
  <c r="AJ38" i="2"/>
  <c r="AJ63" i="2" s="1"/>
  <c r="CQ118" i="1"/>
  <c r="CR116" i="1"/>
  <c r="CR118" i="1" s="1"/>
  <c r="AV592" i="20"/>
  <c r="AV592" i="15"/>
  <c r="W152" i="1"/>
  <c r="W154" i="1"/>
  <c r="G7" i="14"/>
  <c r="G11" i="14"/>
  <c r="G12" i="14" s="1"/>
  <c r="CV118" i="1"/>
  <c r="CW116" i="1"/>
  <c r="CW118" i="1" s="1"/>
  <c r="AE579" i="20"/>
  <c r="F73" i="2"/>
  <c r="F56" i="1"/>
  <c r="CT47" i="2"/>
  <c r="AP74" i="19"/>
  <c r="CT46" i="2"/>
  <c r="AP76" i="19" s="1"/>
  <c r="AB31" i="14"/>
  <c r="AB13" i="14"/>
  <c r="X66" i="19"/>
  <c r="CB38" i="2"/>
  <c r="CC36" i="2"/>
  <c r="CP579" i="20"/>
  <c r="CP579" i="15"/>
  <c r="M65" i="19"/>
  <c r="BQ73" i="2"/>
  <c r="M81" i="19" s="1"/>
  <c r="BQ56" i="1"/>
  <c r="BI578" i="20"/>
  <c r="BI578" i="15"/>
  <c r="DM340" i="20"/>
  <c r="CN4" i="14"/>
  <c r="AJ77" i="19"/>
  <c r="CN50" i="2"/>
  <c r="CN161" i="1"/>
  <c r="CN66" i="2"/>
  <c r="DD340" i="20"/>
  <c r="DD340" i="15"/>
  <c r="AA77" i="19"/>
  <c r="CE161" i="1"/>
  <c r="CE4" i="14"/>
  <c r="CE66" i="2"/>
  <c r="CE50" i="2"/>
  <c r="CC123" i="1"/>
  <c r="CC58" i="2"/>
  <c r="CC74" i="2"/>
  <c r="Y82" i="19" s="1"/>
  <c r="AU44" i="19"/>
  <c r="CY2" i="2"/>
  <c r="AU78" i="19"/>
  <c r="CY57" i="2"/>
  <c r="CY74" i="2" s="1"/>
  <c r="EC52" i="9"/>
  <c r="EB52" i="9"/>
  <c r="DN25" i="9"/>
  <c r="BJ26" i="19" s="1"/>
  <c r="DM15" i="9"/>
  <c r="BI16" i="19" s="1"/>
  <c r="DM5" i="9"/>
  <c r="BI6" i="19" s="1"/>
  <c r="DQ4" i="9"/>
  <c r="BM5" i="19" s="1"/>
  <c r="DM25" i="9"/>
  <c r="BI26" i="19" s="1"/>
  <c r="DZ52" i="9"/>
  <c r="DY52" i="9"/>
  <c r="DG46" i="9"/>
  <c r="DP53" i="9"/>
  <c r="DQ53" i="9" s="1"/>
  <c r="DO25" i="9"/>
  <c r="BK26" i="19" s="1"/>
  <c r="DN15" i="9"/>
  <c r="BJ16" i="19" s="1"/>
  <c r="DN5" i="9"/>
  <c r="BJ6" i="19" s="1"/>
  <c r="DL6" i="9"/>
  <c r="BH7" i="19" s="1"/>
  <c r="DP25" i="9"/>
  <c r="BL26" i="19" s="1"/>
  <c r="DO5" i="9"/>
  <c r="BK6" i="19" s="1"/>
  <c r="BA8" i="19"/>
  <c r="DP5" i="9"/>
  <c r="BL6" i="19" s="1"/>
  <c r="BB9" i="19"/>
  <c r="DR53" i="9"/>
  <c r="BB14" i="19"/>
  <c r="BD9" i="19" l="1"/>
  <c r="DN42" i="2"/>
  <c r="BI72" i="19"/>
  <c r="BX56" i="1"/>
  <c r="BX73" i="2"/>
  <c r="T81" i="19" s="1"/>
  <c r="T65" i="19"/>
  <c r="DP16" i="9"/>
  <c r="BK17" i="19"/>
  <c r="DO72" i="2"/>
  <c r="BJ80" i="19"/>
  <c r="CQ73" i="2"/>
  <c r="AM81" i="19" s="1"/>
  <c r="AM65" i="19"/>
  <c r="DP579" i="20"/>
  <c r="DE26" i="2"/>
  <c r="BA55" i="19" s="1"/>
  <c r="Y79" i="2"/>
  <c r="AY340" i="20"/>
  <c r="AO73" i="2"/>
  <c r="BN579" i="20"/>
  <c r="Y11" i="14"/>
  <c r="Y12" i="14" s="1"/>
  <c r="Y13" i="14" s="1"/>
  <c r="Z50" i="2"/>
  <c r="Z4" i="14"/>
  <c r="Z7" i="14" s="1"/>
  <c r="AO56" i="1"/>
  <c r="Y67" i="2"/>
  <c r="Y80" i="2" s="1"/>
  <c r="AY340" i="15"/>
  <c r="CM74" i="2"/>
  <c r="AI82" i="19" s="1"/>
  <c r="CP47" i="2"/>
  <c r="DO340" i="20" s="1"/>
  <c r="AL74" i="19"/>
  <c r="DA66" i="2"/>
  <c r="DA50" i="2"/>
  <c r="AZ55" i="19"/>
  <c r="BZ161" i="1"/>
  <c r="AY56" i="1"/>
  <c r="BZ66" i="2"/>
  <c r="BZ75" i="2" s="1"/>
  <c r="CM123" i="1"/>
  <c r="BZ50" i="2"/>
  <c r="CY340" i="20"/>
  <c r="V77" i="19"/>
  <c r="AY73" i="2"/>
  <c r="C81" i="19" s="1"/>
  <c r="C65" i="19"/>
  <c r="BX579" i="20"/>
  <c r="CY340" i="15"/>
  <c r="CG46" i="2"/>
  <c r="AC76" i="19" s="1"/>
  <c r="CG47" i="2"/>
  <c r="DF340" i="20" s="1"/>
  <c r="CZ161" i="1"/>
  <c r="CZ50" i="2"/>
  <c r="CZ66" i="2"/>
  <c r="AY49" i="19"/>
  <c r="BK368" i="15"/>
  <c r="BK368" i="20"/>
  <c r="AL7" i="14"/>
  <c r="AL13" i="14" s="1"/>
  <c r="AD74" i="19"/>
  <c r="CH46" i="2"/>
  <c r="AD76" i="19" s="1"/>
  <c r="AC74" i="19"/>
  <c r="BK310" i="20"/>
  <c r="AE79" i="2"/>
  <c r="O63" i="2"/>
  <c r="O44" i="2"/>
  <c r="P38" i="2"/>
  <c r="P63" i="2" s="1"/>
  <c r="AE75" i="2"/>
  <c r="J18" i="14"/>
  <c r="J16" i="14"/>
  <c r="AI582" i="20" s="1"/>
  <c r="DG27" i="2"/>
  <c r="BC56" i="19" s="1"/>
  <c r="AG74" i="19"/>
  <c r="CK46" i="2"/>
  <c r="AG76" i="19" s="1"/>
  <c r="CK47" i="2"/>
  <c r="AM27" i="1"/>
  <c r="AM26" i="1" s="1"/>
  <c r="AM48" i="1" s="1"/>
  <c r="AF77" i="19"/>
  <c r="CJ66" i="2"/>
  <c r="DI340" i="20"/>
  <c r="CJ4" i="14"/>
  <c r="CJ161" i="1"/>
  <c r="CJ50" i="2"/>
  <c r="AM6" i="14"/>
  <c r="BL368" i="15" s="1"/>
  <c r="BL163" i="15"/>
  <c r="DL579" i="20"/>
  <c r="AI65" i="19"/>
  <c r="CM73" i="2"/>
  <c r="AI81" i="19" s="1"/>
  <c r="CM56" i="1"/>
  <c r="CL44" i="2"/>
  <c r="AH68" i="19"/>
  <c r="CM38" i="2"/>
  <c r="CL63" i="2"/>
  <c r="CL56" i="1"/>
  <c r="AH65" i="19"/>
  <c r="DK579" i="20"/>
  <c r="CL73" i="2"/>
  <c r="AH81" i="19" s="1"/>
  <c r="AU3" i="9"/>
  <c r="AU93" i="2"/>
  <c r="AU27" i="11"/>
  <c r="AU52" i="2"/>
  <c r="AU3" i="1"/>
  <c r="AU3" i="14"/>
  <c r="AU106" i="1"/>
  <c r="AU55" i="9"/>
  <c r="AU9" i="7"/>
  <c r="AU32" i="9"/>
  <c r="AU23" i="9"/>
  <c r="AU130" i="1"/>
  <c r="AU59" i="1"/>
  <c r="AU3" i="2"/>
  <c r="AU3" i="11"/>
  <c r="AU83" i="2"/>
  <c r="AU25" i="1"/>
  <c r="AU77" i="2"/>
  <c r="AU51" i="9"/>
  <c r="AU45" i="9"/>
  <c r="BE5" i="7"/>
  <c r="AZ3" i="7"/>
  <c r="BA54" i="19"/>
  <c r="DS340" i="20"/>
  <c r="CT161" i="1"/>
  <c r="CT4" i="14"/>
  <c r="AP77" i="19"/>
  <c r="CT66" i="2"/>
  <c r="CT50" i="2"/>
  <c r="K7" i="14"/>
  <c r="K11" i="14"/>
  <c r="K12" i="14" s="1"/>
  <c r="DQ579" i="20"/>
  <c r="CR73" i="2"/>
  <c r="AN81" i="19" s="1"/>
  <c r="AN65" i="19"/>
  <c r="CR56" i="1"/>
  <c r="CN75" i="2"/>
  <c r="CN79" i="2"/>
  <c r="CN67" i="2"/>
  <c r="CN80" i="2" s="1"/>
  <c r="AI46" i="2"/>
  <c r="AI47" i="2"/>
  <c r="AJ44" i="2"/>
  <c r="AJ46" i="2" s="1"/>
  <c r="AP38" i="2"/>
  <c r="DG579" i="20"/>
  <c r="DG579" i="15"/>
  <c r="AD65" i="19"/>
  <c r="CH73" i="2"/>
  <c r="AD81" i="19" s="1"/>
  <c r="CH56" i="1"/>
  <c r="AQ74" i="19"/>
  <c r="CU47" i="2"/>
  <c r="CU46" i="2"/>
  <c r="AQ76" i="19" s="1"/>
  <c r="BB578" i="20"/>
  <c r="BB578" i="15"/>
  <c r="AC63" i="9"/>
  <c r="CI13" i="14"/>
  <c r="AF7" i="14"/>
  <c r="AF11" i="14"/>
  <c r="AF12" i="14" s="1"/>
  <c r="AQ46" i="2"/>
  <c r="AQ47" i="2"/>
  <c r="CX79" i="2"/>
  <c r="CX67" i="2"/>
  <c r="CX80" i="2" s="1"/>
  <c r="CX75" i="2"/>
  <c r="AS68" i="19"/>
  <c r="CW63" i="2"/>
  <c r="AR583" i="20"/>
  <c r="AR583" i="15"/>
  <c r="S4" i="11"/>
  <c r="AC31" i="14"/>
  <c r="AC13" i="14"/>
  <c r="AY3" i="7"/>
  <c r="BD5" i="7"/>
  <c r="W18" i="14"/>
  <c r="W16" i="14"/>
  <c r="W17" i="14"/>
  <c r="AE13" i="14"/>
  <c r="DG10" i="14"/>
  <c r="DG146" i="1"/>
  <c r="DG50" i="1"/>
  <c r="CE67" i="2"/>
  <c r="CE80" i="2" s="1"/>
  <c r="CE75" i="2"/>
  <c r="CE79" i="2"/>
  <c r="AA83" i="19" s="1"/>
  <c r="AB17" i="14"/>
  <c r="AB18" i="14"/>
  <c r="AB16" i="14"/>
  <c r="AM79" i="2"/>
  <c r="AM75" i="2"/>
  <c r="AM67" i="2"/>
  <c r="AM80" i="2" s="1"/>
  <c r="BY79" i="2"/>
  <c r="U83" i="19" s="1"/>
  <c r="BY67" i="2"/>
  <c r="BY80" i="2" s="1"/>
  <c r="BY75" i="2"/>
  <c r="CQ579" i="20"/>
  <c r="CQ579" i="15"/>
  <c r="N65" i="19"/>
  <c r="BR73" i="2"/>
  <c r="N81" i="19" s="1"/>
  <c r="BR56" i="1"/>
  <c r="AM340" i="20"/>
  <c r="N4" i="14"/>
  <c r="N66" i="2"/>
  <c r="N50" i="2"/>
  <c r="U67" i="2"/>
  <c r="U80" i="2" s="1"/>
  <c r="U75" i="2"/>
  <c r="U79" i="2"/>
  <c r="AD13" i="14"/>
  <c r="AD31" i="14"/>
  <c r="AO39" i="1"/>
  <c r="AN40" i="1"/>
  <c r="AN6" i="14" s="1"/>
  <c r="DE340" i="20"/>
  <c r="DE340" i="15"/>
  <c r="CF161" i="1"/>
  <c r="CF4" i="14"/>
  <c r="AB77" i="19"/>
  <c r="CF50" i="2"/>
  <c r="CF66" i="2"/>
  <c r="AU592" i="20"/>
  <c r="AU592" i="15"/>
  <c r="V152" i="1"/>
  <c r="V154" i="1"/>
  <c r="AB340" i="20"/>
  <c r="C66" i="2"/>
  <c r="C50" i="2"/>
  <c r="C4" i="14"/>
  <c r="F47" i="2"/>
  <c r="AA17" i="14"/>
  <c r="AA18" i="14"/>
  <c r="AA16" i="14"/>
  <c r="DG64" i="1"/>
  <c r="AB30" i="9"/>
  <c r="AB29" i="9"/>
  <c r="AB54" i="9"/>
  <c r="BA3" i="7"/>
  <c r="BF5" i="7"/>
  <c r="Z79" i="2"/>
  <c r="Z75" i="2"/>
  <c r="Z67" i="2"/>
  <c r="Z80" i="2" s="1"/>
  <c r="L13" i="14"/>
  <c r="L31" i="14"/>
  <c r="AN68" i="19"/>
  <c r="CR63" i="2"/>
  <c r="DX46" i="1"/>
  <c r="DY46" i="1" s="1"/>
  <c r="DZ46" i="1" s="1"/>
  <c r="AM74" i="19"/>
  <c r="CQ46" i="2"/>
  <c r="AM76" i="19" s="1"/>
  <c r="CQ47" i="2"/>
  <c r="CR44" i="2"/>
  <c r="AG13" i="14"/>
  <c r="AG31" i="14"/>
  <c r="AT3" i="14"/>
  <c r="AT55" i="9"/>
  <c r="AT51" i="9"/>
  <c r="AT45" i="9"/>
  <c r="AT27" i="11"/>
  <c r="AT3" i="11"/>
  <c r="AT130" i="1"/>
  <c r="AT25" i="1"/>
  <c r="AT23" i="9"/>
  <c r="AT3" i="9"/>
  <c r="AT32" i="9"/>
  <c r="AT3" i="2"/>
  <c r="AT77" i="2"/>
  <c r="AT59" i="1"/>
  <c r="AT9" i="7"/>
  <c r="AT83" i="2"/>
  <c r="AT52" i="2"/>
  <c r="AT3" i="1"/>
  <c r="AT93" i="2"/>
  <c r="AT106" i="1"/>
  <c r="DE185" i="1"/>
  <c r="AM11" i="14"/>
  <c r="AM12" i="14" s="1"/>
  <c r="BL592" i="20"/>
  <c r="BL592" i="15"/>
  <c r="AM165" i="1"/>
  <c r="AM154" i="1"/>
  <c r="AM152" i="1"/>
  <c r="AV27" i="11"/>
  <c r="AV32" i="9"/>
  <c r="AV3" i="9"/>
  <c r="AV3" i="11"/>
  <c r="AV55" i="9"/>
  <c r="AV51" i="9"/>
  <c r="AV3" i="14"/>
  <c r="AV45" i="9"/>
  <c r="AV59" i="1"/>
  <c r="AV3" i="1"/>
  <c r="AV83" i="2"/>
  <c r="AV52" i="2"/>
  <c r="AV130" i="1"/>
  <c r="AV77" i="2"/>
  <c r="AV3" i="2"/>
  <c r="AV9" i="7"/>
  <c r="AV93" i="2"/>
  <c r="AV23" i="9"/>
  <c r="AV106" i="1"/>
  <c r="AV25" i="1"/>
  <c r="CE7" i="14"/>
  <c r="CE11" i="14"/>
  <c r="CE12" i="14" s="1"/>
  <c r="DZ151" i="20"/>
  <c r="DB22" i="1"/>
  <c r="EA151" i="20" s="1"/>
  <c r="DA579" i="20"/>
  <c r="X65" i="19"/>
  <c r="DA579" i="15"/>
  <c r="CB73" i="2"/>
  <c r="X81" i="19" s="1"/>
  <c r="CB56" i="1"/>
  <c r="BR14" i="15"/>
  <c r="BR14" i="20"/>
  <c r="AS159" i="1"/>
  <c r="AS28" i="2"/>
  <c r="AS62" i="2"/>
  <c r="U7" i="14"/>
  <c r="U11" i="14"/>
  <c r="U12" i="14" s="1"/>
  <c r="X18" i="14"/>
  <c r="X16" i="14"/>
  <c r="X17" i="14"/>
  <c r="AX73" i="19"/>
  <c r="BL163" i="20"/>
  <c r="S133" i="1"/>
  <c r="U133" i="1"/>
  <c r="T141" i="1"/>
  <c r="T138" i="1" s="1"/>
  <c r="T151" i="1" s="1"/>
  <c r="M18" i="14"/>
  <c r="M17" i="14"/>
  <c r="M16" i="14"/>
  <c r="AL582" i="20" s="1"/>
  <c r="AX577" i="20"/>
  <c r="AX577" i="15"/>
  <c r="Y64" i="9"/>
  <c r="Z24" i="9"/>
  <c r="X24" i="9"/>
  <c r="Y76" i="1"/>
  <c r="BS123" i="1"/>
  <c r="BS74" i="2"/>
  <c r="O82" i="19" s="1"/>
  <c r="BS58" i="2"/>
  <c r="AT30" i="2"/>
  <c r="AW27" i="11"/>
  <c r="AW3" i="11"/>
  <c r="AW32" i="9"/>
  <c r="AW3" i="9"/>
  <c r="AW3" i="14"/>
  <c r="AW55" i="9"/>
  <c r="AW51" i="9"/>
  <c r="AW59" i="1"/>
  <c r="AW9" i="7"/>
  <c r="AW83" i="2"/>
  <c r="AW93" i="2"/>
  <c r="AW23" i="9"/>
  <c r="AW106" i="1"/>
  <c r="AW77" i="2"/>
  <c r="AW25" i="1"/>
  <c r="AW3" i="2"/>
  <c r="AW3" i="1"/>
  <c r="AW45" i="9"/>
  <c r="AW130" i="1"/>
  <c r="AW52" i="2"/>
  <c r="AF75" i="2"/>
  <c r="AF67" i="2"/>
  <c r="AF80" i="2" s="1"/>
  <c r="AF79" i="2"/>
  <c r="BD28" i="19"/>
  <c r="BC28" i="19"/>
  <c r="CD7" i="14"/>
  <c r="CD11" i="14"/>
  <c r="CD12" i="14" s="1"/>
  <c r="CV340" i="20"/>
  <c r="S77" i="19"/>
  <c r="BW4" i="14"/>
  <c r="CV340" i="15"/>
  <c r="BW66" i="2"/>
  <c r="BW50" i="2"/>
  <c r="BW161" i="1"/>
  <c r="V13" i="14"/>
  <c r="V31" i="14"/>
  <c r="T75" i="2"/>
  <c r="T67" i="2"/>
  <c r="T80" i="2" s="1"/>
  <c r="T79" i="2"/>
  <c r="AR68" i="19"/>
  <c r="CV63" i="2"/>
  <c r="CV44" i="2"/>
  <c r="CW44" i="2" s="1"/>
  <c r="CZ340" i="20"/>
  <c r="W77" i="19"/>
  <c r="CA4" i="14"/>
  <c r="CA50" i="2"/>
  <c r="CA161" i="1"/>
  <c r="CZ340" i="15"/>
  <c r="CA66" i="2"/>
  <c r="CX7" i="14"/>
  <c r="CX11" i="14"/>
  <c r="CX12" i="14" s="1"/>
  <c r="Y31" i="14"/>
  <c r="Y66" i="19"/>
  <c r="CD48" i="2"/>
  <c r="CW123" i="1"/>
  <c r="CW74" i="2"/>
  <c r="AS82" i="19" s="1"/>
  <c r="CW58" i="2"/>
  <c r="AR582" i="20"/>
  <c r="AR582" i="15"/>
  <c r="H13" i="14"/>
  <c r="X68" i="19"/>
  <c r="CB63" i="2"/>
  <c r="CB44" i="2"/>
  <c r="CC38" i="2"/>
  <c r="DF10" i="14"/>
  <c r="DF146" i="1"/>
  <c r="CN7" i="14"/>
  <c r="CN11" i="14"/>
  <c r="CN12" i="14" s="1"/>
  <c r="G13" i="14"/>
  <c r="BT14" i="20"/>
  <c r="BT14" i="15"/>
  <c r="AU159" i="1"/>
  <c r="AU28" i="2"/>
  <c r="AU62" i="2"/>
  <c r="AV30" i="2"/>
  <c r="K79" i="2"/>
  <c r="K75" i="2"/>
  <c r="K67" i="2"/>
  <c r="K80" i="2" s="1"/>
  <c r="AE83" i="19"/>
  <c r="CI95" i="2"/>
  <c r="BY7" i="14"/>
  <c r="BY11" i="14"/>
  <c r="BY12" i="14" s="1"/>
  <c r="DB93" i="1"/>
  <c r="AR63" i="2"/>
  <c r="AR44" i="2"/>
  <c r="AH67" i="2"/>
  <c r="AH80" i="2" s="1"/>
  <c r="AH79" i="2"/>
  <c r="AH75" i="2"/>
  <c r="CS7" i="14"/>
  <c r="CS11" i="14"/>
  <c r="CS12" i="14" s="1"/>
  <c r="AN63" i="2"/>
  <c r="AN44" i="2"/>
  <c r="AO38" i="2"/>
  <c r="AO63" i="2" s="1"/>
  <c r="DG14" i="1"/>
  <c r="DG77" i="1"/>
  <c r="BC3" i="7"/>
  <c r="BH5" i="7"/>
  <c r="CD67" i="2"/>
  <c r="CD80" i="2" s="1"/>
  <c r="CD75" i="2"/>
  <c r="CD79" i="2"/>
  <c r="Z83" i="19" s="1"/>
  <c r="BZ7" i="14"/>
  <c r="BZ11" i="14"/>
  <c r="BZ12" i="14" s="1"/>
  <c r="CO7" i="14"/>
  <c r="CO11" i="14"/>
  <c r="CO12" i="14" s="1"/>
  <c r="BB3" i="7"/>
  <c r="BG5" i="7"/>
  <c r="R13" i="14"/>
  <c r="R31" i="14"/>
  <c r="DB579" i="20"/>
  <c r="Y65" i="19"/>
  <c r="DB579" i="15"/>
  <c r="CC73" i="2"/>
  <c r="Y81" i="19" s="1"/>
  <c r="CC56" i="1"/>
  <c r="BS579" i="20"/>
  <c r="BS579" i="15"/>
  <c r="AT73" i="2"/>
  <c r="AT56" i="1"/>
  <c r="Q31" i="14"/>
  <c r="Q13" i="14"/>
  <c r="T7" i="14"/>
  <c r="T11" i="14"/>
  <c r="T12" i="14" s="1"/>
  <c r="AK13" i="14"/>
  <c r="AK31" i="14"/>
  <c r="CO75" i="2"/>
  <c r="CO67" i="2"/>
  <c r="CO80" i="2" s="1"/>
  <c r="CO79" i="2"/>
  <c r="AH7" i="14"/>
  <c r="AH11" i="14"/>
  <c r="AH12" i="14" s="1"/>
  <c r="B16" i="14"/>
  <c r="AA582" i="20" s="1"/>
  <c r="B17" i="14"/>
  <c r="AA583" i="20" s="1"/>
  <c r="B18" i="14"/>
  <c r="AX27" i="11"/>
  <c r="AX3" i="11"/>
  <c r="AX3" i="14"/>
  <c r="AX130" i="1"/>
  <c r="AX51" i="9"/>
  <c r="AX93" i="2"/>
  <c r="AX45" i="9"/>
  <c r="AX9" i="7"/>
  <c r="AX59" i="1"/>
  <c r="AX83" i="2"/>
  <c r="AX23" i="9"/>
  <c r="AX77" i="2"/>
  <c r="AX32" i="9"/>
  <c r="AX3" i="9"/>
  <c r="AX52" i="2"/>
  <c r="AX3" i="2"/>
  <c r="AX25" i="1"/>
  <c r="AX3" i="1"/>
  <c r="AX55" i="9"/>
  <c r="AX106" i="1"/>
  <c r="CS67" i="2"/>
  <c r="CS80" i="2" s="1"/>
  <c r="CS75" i="2"/>
  <c r="CS79" i="2"/>
  <c r="DX145" i="20"/>
  <c r="CY140" i="1"/>
  <c r="CY58" i="2"/>
  <c r="CY73" i="2" s="1"/>
  <c r="AU82" i="19"/>
  <c r="DQ5" i="9"/>
  <c r="EA52" i="9"/>
  <c r="DG48" i="9"/>
  <c r="DG47" i="9" s="1"/>
  <c r="DQ25" i="9"/>
  <c r="BM26" i="19" s="1"/>
  <c r="BE9" i="19"/>
  <c r="BD8" i="19"/>
  <c r="BB8" i="19"/>
  <c r="DP11" i="9"/>
  <c r="BL12" i="19" s="1"/>
  <c r="DO11" i="9"/>
  <c r="BK12" i="19" s="1"/>
  <c r="DN11" i="9"/>
  <c r="BJ12" i="19" s="1"/>
  <c r="DM11" i="9"/>
  <c r="BI12" i="19" s="1"/>
  <c r="DH74" i="1"/>
  <c r="DJ74" i="1" s="1"/>
  <c r="DM74" i="1" s="1"/>
  <c r="DN74" i="1" s="1"/>
  <c r="DO74" i="1" s="1"/>
  <c r="DP74" i="1" s="1"/>
  <c r="DR74" i="1" s="1"/>
  <c r="DS74" i="1" s="1"/>
  <c r="DT74" i="1" s="1"/>
  <c r="DU74" i="1" s="1"/>
  <c r="DW74" i="1" s="1"/>
  <c r="DX74" i="1" s="1"/>
  <c r="DY74" i="1" s="1"/>
  <c r="DZ74" i="1" s="1"/>
  <c r="EB74" i="1" s="1"/>
  <c r="EC74" i="1" s="1"/>
  <c r="ED74" i="1" s="1"/>
  <c r="EE74" i="1" s="1"/>
  <c r="DU4" i="9"/>
  <c r="DT4" i="9"/>
  <c r="DS4" i="9"/>
  <c r="DR4" i="9"/>
  <c r="DG7" i="9"/>
  <c r="BM6" i="19" l="1"/>
  <c r="DF26" i="2"/>
  <c r="DF86" i="2"/>
  <c r="DF87" i="2" s="1"/>
  <c r="DP72" i="2"/>
  <c r="BK80" i="19"/>
  <c r="DR16" i="9"/>
  <c r="DS16" i="9" s="1"/>
  <c r="DT16" i="9" s="1"/>
  <c r="DU16" i="9" s="1"/>
  <c r="DW16" i="9" s="1"/>
  <c r="DX16" i="9" s="1"/>
  <c r="DY16" i="9" s="1"/>
  <c r="DZ16" i="9" s="1"/>
  <c r="EB16" i="9" s="1"/>
  <c r="EC16" i="9" s="1"/>
  <c r="ED16" i="9" s="1"/>
  <c r="EE16" i="9" s="1"/>
  <c r="BL17" i="19"/>
  <c r="DP15" i="9"/>
  <c r="DO42" i="2"/>
  <c r="BJ72" i="19"/>
  <c r="BD56" i="19"/>
  <c r="Z11" i="14"/>
  <c r="Z12" i="14" s="1"/>
  <c r="Z13" i="14" s="1"/>
  <c r="CP66" i="2"/>
  <c r="CP75" i="2" s="1"/>
  <c r="CP161" i="1"/>
  <c r="AC77" i="19"/>
  <c r="CP50" i="2"/>
  <c r="AL77" i="19"/>
  <c r="CG4" i="14"/>
  <c r="CG11" i="14" s="1"/>
  <c r="CG12" i="14" s="1"/>
  <c r="CP4" i="14"/>
  <c r="CP7" i="14" s="1"/>
  <c r="DQ6" i="9"/>
  <c r="CH47" i="2"/>
  <c r="AD77" i="19" s="1"/>
  <c r="AZ54" i="19"/>
  <c r="BZ79" i="2"/>
  <c r="V83" i="19" s="1"/>
  <c r="BZ67" i="2"/>
  <c r="BZ80" i="2" s="1"/>
  <c r="CG50" i="2"/>
  <c r="CG66" i="2"/>
  <c r="CG79" i="2" s="1"/>
  <c r="AC83" i="19" s="1"/>
  <c r="DA79" i="2"/>
  <c r="DA75" i="2"/>
  <c r="DA67" i="2"/>
  <c r="DA80" i="2" s="1"/>
  <c r="CG161" i="1"/>
  <c r="CH161" i="1" s="1"/>
  <c r="CH163" i="1" s="1"/>
  <c r="DF340" i="15"/>
  <c r="CZ79" i="2"/>
  <c r="CZ95" i="2" s="1"/>
  <c r="CZ67" i="2"/>
  <c r="CZ80" i="2" s="1"/>
  <c r="CZ75" i="2"/>
  <c r="AZ49" i="19"/>
  <c r="AL31" i="14"/>
  <c r="O46" i="2"/>
  <c r="O47" i="2"/>
  <c r="P44" i="2"/>
  <c r="P46" i="2" s="1"/>
  <c r="CD13" i="14"/>
  <c r="CD17" i="14" s="1"/>
  <c r="Z31" i="14"/>
  <c r="AE31" i="14"/>
  <c r="CJ67" i="2"/>
  <c r="CJ80" i="2" s="1"/>
  <c r="CJ79" i="2"/>
  <c r="CJ75" i="2"/>
  <c r="AH74" i="19"/>
  <c r="CL46" i="2"/>
  <c r="AH76" i="19" s="1"/>
  <c r="CL47" i="2"/>
  <c r="CM44" i="2"/>
  <c r="BL310" i="20"/>
  <c r="BL310" i="15"/>
  <c r="DJ340" i="20"/>
  <c r="CK66" i="2"/>
  <c r="AG77" i="19"/>
  <c r="CK50" i="2"/>
  <c r="CK4" i="14"/>
  <c r="CK161" i="1"/>
  <c r="CE13" i="14"/>
  <c r="CE18" i="14" s="1"/>
  <c r="AI68" i="19"/>
  <c r="CM63" i="2"/>
  <c r="DQ2" i="9"/>
  <c r="BL368" i="20"/>
  <c r="AZ55" i="9"/>
  <c r="AZ130" i="1"/>
  <c r="AZ3" i="11"/>
  <c r="AZ59" i="1"/>
  <c r="AZ45" i="9"/>
  <c r="AZ27" i="11"/>
  <c r="AZ51" i="9"/>
  <c r="AZ23" i="9"/>
  <c r="AZ9" i="7"/>
  <c r="AZ25" i="1"/>
  <c r="AZ52" i="2"/>
  <c r="AZ3" i="9"/>
  <c r="AZ3" i="2"/>
  <c r="AZ3" i="14"/>
  <c r="AZ93" i="2"/>
  <c r="AZ83" i="2"/>
  <c r="AZ77" i="2"/>
  <c r="AZ32" i="9"/>
  <c r="AZ3" i="1"/>
  <c r="AZ106" i="1"/>
  <c r="BE3" i="7"/>
  <c r="BJ5" i="7"/>
  <c r="CJ7" i="14"/>
  <c r="CJ11" i="14"/>
  <c r="CJ12" i="14" s="1"/>
  <c r="AM7" i="14"/>
  <c r="AM13" i="14" s="1"/>
  <c r="BM368" i="20"/>
  <c r="BM310" i="20"/>
  <c r="BM368" i="15"/>
  <c r="BM310" i="15"/>
  <c r="DG25" i="2"/>
  <c r="DG85" i="2"/>
  <c r="DG86" i="2" s="1"/>
  <c r="DG87" i="2" s="1"/>
  <c r="AS74" i="19"/>
  <c r="CW46" i="2"/>
  <c r="AS76" i="19" s="1"/>
  <c r="BE28" i="19"/>
  <c r="AW583" i="20"/>
  <c r="AW583" i="15"/>
  <c r="X4" i="11"/>
  <c r="AR46" i="2"/>
  <c r="AR47" i="2"/>
  <c r="AT62" i="2"/>
  <c r="BS14" i="15"/>
  <c r="BS14" i="20"/>
  <c r="AT159" i="1"/>
  <c r="DP340" i="20"/>
  <c r="AM77" i="19"/>
  <c r="CQ66" i="2"/>
  <c r="CQ161" i="1"/>
  <c r="CQ4" i="14"/>
  <c r="CQ50" i="2"/>
  <c r="CR47" i="2"/>
  <c r="BA582" i="20"/>
  <c r="BA582" i="15"/>
  <c r="DJ29" i="1"/>
  <c r="EA46" i="1"/>
  <c r="EB46" i="1"/>
  <c r="BW7" i="14"/>
  <c r="BW11" i="14"/>
  <c r="BW12" i="14" s="1"/>
  <c r="AY27" i="11"/>
  <c r="AY3" i="11"/>
  <c r="AY3" i="14"/>
  <c r="AY23" i="9"/>
  <c r="C24" i="19" s="1"/>
  <c r="AY3" i="9"/>
  <c r="C4" i="19" s="1"/>
  <c r="AY106" i="1"/>
  <c r="AY51" i="9"/>
  <c r="AY93" i="2"/>
  <c r="AY83" i="2"/>
  <c r="AY45" i="9"/>
  <c r="AY59" i="1"/>
  <c r="AY9" i="7"/>
  <c r="AY77" i="2"/>
  <c r="AY3" i="1"/>
  <c r="AY3" i="2"/>
  <c r="C32" i="19" s="1"/>
  <c r="AY52" i="2"/>
  <c r="AY130" i="1"/>
  <c r="AY55" i="9"/>
  <c r="AY32" i="9"/>
  <c r="AY25" i="1"/>
  <c r="AF13" i="14"/>
  <c r="AF31" i="14"/>
  <c r="BU14" i="20"/>
  <c r="BU14" i="15"/>
  <c r="AV159" i="1"/>
  <c r="AV62" i="2"/>
  <c r="AV28" i="2"/>
  <c r="AV16" i="2" s="1"/>
  <c r="AV36" i="2" s="1"/>
  <c r="AV38" i="2" s="1"/>
  <c r="AW30" i="2"/>
  <c r="AW582" i="20"/>
  <c r="AW582" i="15"/>
  <c r="AE340" i="20"/>
  <c r="F4" i="14"/>
  <c r="F66" i="2"/>
  <c r="F50" i="2"/>
  <c r="K48" i="2"/>
  <c r="DH10" i="14"/>
  <c r="DH146" i="1"/>
  <c r="DJ93" i="1"/>
  <c r="BC45" i="9"/>
  <c r="BC51" i="9"/>
  <c r="BC55" i="9"/>
  <c r="BC106" i="1"/>
  <c r="BC130" i="1"/>
  <c r="BC23" i="9"/>
  <c r="BC3" i="9"/>
  <c r="BC27" i="11"/>
  <c r="BC3" i="11"/>
  <c r="BC3" i="1"/>
  <c r="BC52" i="2"/>
  <c r="BC25" i="1"/>
  <c r="BC83" i="2"/>
  <c r="BC3" i="2"/>
  <c r="BC77" i="2"/>
  <c r="BC9" i="7"/>
  <c r="BC93" i="2"/>
  <c r="BC3" i="14"/>
  <c r="BC32" i="9"/>
  <c r="BC59" i="1"/>
  <c r="BB51" i="9"/>
  <c r="BB45" i="9"/>
  <c r="BB130" i="1"/>
  <c r="BB23" i="9"/>
  <c r="BB3" i="9"/>
  <c r="BB25" i="1"/>
  <c r="BB3" i="11"/>
  <c r="BB32" i="9"/>
  <c r="BB55" i="9"/>
  <c r="BB52" i="2"/>
  <c r="BB27" i="11"/>
  <c r="BB3" i="1"/>
  <c r="BB83" i="2"/>
  <c r="BB77" i="2"/>
  <c r="BB3" i="2"/>
  <c r="BB9" i="7"/>
  <c r="BB93" i="2"/>
  <c r="BB3" i="14"/>
  <c r="BB59" i="1"/>
  <c r="BB106" i="1"/>
  <c r="AL583" i="20"/>
  <c r="M4" i="11"/>
  <c r="C75" i="2"/>
  <c r="C79" i="2"/>
  <c r="C67" i="2"/>
  <c r="C80" i="2" s="1"/>
  <c r="AO40" i="1"/>
  <c r="AO149" i="1" s="1"/>
  <c r="AO145" i="1" s="1"/>
  <c r="AO151" i="1" s="1"/>
  <c r="AN149" i="1"/>
  <c r="AN145" i="1" s="1"/>
  <c r="AN151" i="1" s="1"/>
  <c r="AS16" i="2"/>
  <c r="AT28" i="2"/>
  <c r="CX13" i="14"/>
  <c r="CA79" i="2"/>
  <c r="W83" i="19" s="1"/>
  <c r="CA75" i="2"/>
  <c r="CA67" i="2"/>
  <c r="CA80" i="2" s="1"/>
  <c r="R133" i="1"/>
  <c r="S141" i="1"/>
  <c r="S138" i="1" s="1"/>
  <c r="S151" i="1" s="1"/>
  <c r="AG16" i="14"/>
  <c r="AG17" i="14"/>
  <c r="AG18" i="14"/>
  <c r="L18" i="14"/>
  <c r="L16" i="14"/>
  <c r="AK582" i="20" s="1"/>
  <c r="L17" i="14"/>
  <c r="AZ582" i="20"/>
  <c r="AZ582" i="15"/>
  <c r="BM163" i="20"/>
  <c r="N75" i="2"/>
  <c r="N79" i="2"/>
  <c r="N67" i="2"/>
  <c r="N80" i="2" s="1"/>
  <c r="AL16" i="14"/>
  <c r="AL18" i="14"/>
  <c r="AL17" i="14"/>
  <c r="CI15" i="14"/>
  <c r="CI17" i="14"/>
  <c r="CI16" i="14"/>
  <c r="DH582" i="20" s="1"/>
  <c r="CI18" i="14"/>
  <c r="BA23" i="9"/>
  <c r="BA51" i="9"/>
  <c r="BA3" i="9"/>
  <c r="BA45" i="9"/>
  <c r="BA130" i="1"/>
  <c r="BA93" i="2"/>
  <c r="BA59" i="1"/>
  <c r="BA3" i="11"/>
  <c r="BA3" i="1"/>
  <c r="BA52" i="2"/>
  <c r="BA27" i="11"/>
  <c r="BA55" i="9"/>
  <c r="BA83" i="2"/>
  <c r="BA25" i="1"/>
  <c r="BA9" i="7"/>
  <c r="BA3" i="14"/>
  <c r="BA106" i="1"/>
  <c r="BA32" i="9"/>
  <c r="BA77" i="2"/>
  <c r="BA3" i="2"/>
  <c r="CF7" i="14"/>
  <c r="CF11" i="14"/>
  <c r="CF12" i="14" s="1"/>
  <c r="T31" i="14"/>
  <c r="U31" i="14" s="1"/>
  <c r="T13" i="14"/>
  <c r="X74" i="19"/>
  <c r="CB47" i="2"/>
  <c r="CB46" i="2"/>
  <c r="X76" i="19" s="1"/>
  <c r="CC44" i="2"/>
  <c r="BW79" i="2"/>
  <c r="S83" i="19" s="1"/>
  <c r="BW75" i="2"/>
  <c r="BW67" i="2"/>
  <c r="BW80" i="2" s="1"/>
  <c r="CR579" i="20"/>
  <c r="CR579" i="15"/>
  <c r="O65" i="19"/>
  <c r="BS73" i="2"/>
  <c r="O81" i="19" s="1"/>
  <c r="BS56" i="1"/>
  <c r="CO13" i="14"/>
  <c r="AS592" i="20"/>
  <c r="AS592" i="15"/>
  <c r="T152" i="1"/>
  <c r="T154" i="1"/>
  <c r="AN27" i="1"/>
  <c r="AN26" i="1" s="1"/>
  <c r="AN48" i="1" s="1"/>
  <c r="AE17" i="14"/>
  <c r="AE16" i="14"/>
  <c r="AE18" i="14"/>
  <c r="BD3" i="7"/>
  <c r="BI5" i="7"/>
  <c r="CT7" i="14"/>
  <c r="CT11" i="14"/>
  <c r="CT12" i="14" s="1"/>
  <c r="AK83" i="19"/>
  <c r="CO95" i="2"/>
  <c r="BZ13" i="14"/>
  <c r="BZ31" i="14"/>
  <c r="H16" i="14"/>
  <c r="AG582" i="20" s="1"/>
  <c r="H18" i="14"/>
  <c r="H17" i="14"/>
  <c r="AG583" i="20" s="1"/>
  <c r="CS13" i="14"/>
  <c r="G17" i="14"/>
  <c r="AF583" i="20" s="1"/>
  <c r="G16" i="14"/>
  <c r="AF582" i="20" s="1"/>
  <c r="G18" i="14"/>
  <c r="DF185" i="1"/>
  <c r="DG78" i="2"/>
  <c r="BM163" i="15"/>
  <c r="N7" i="14"/>
  <c r="N11" i="14"/>
  <c r="N12" i="14" s="1"/>
  <c r="AV583" i="20"/>
  <c r="AV583" i="15"/>
  <c r="W4" i="11"/>
  <c r="AT83" i="19"/>
  <c r="CX95" i="2"/>
  <c r="AN74" i="19"/>
  <c r="CR46" i="2"/>
  <c r="AN76" i="19" s="1"/>
  <c r="BK5" i="7"/>
  <c r="BF3" i="7"/>
  <c r="BM5" i="7"/>
  <c r="BH3" i="7"/>
  <c r="AP63" i="2"/>
  <c r="AP44" i="2"/>
  <c r="K13" i="14"/>
  <c r="Y68" i="19"/>
  <c r="CC63" i="2"/>
  <c r="AR74" i="19"/>
  <c r="CV47" i="2"/>
  <c r="CV46" i="2"/>
  <c r="AR76" i="19" s="1"/>
  <c r="BA583" i="20"/>
  <c r="BA583" i="15"/>
  <c r="AB4" i="11"/>
  <c r="BH340" i="20"/>
  <c r="BH340" i="15"/>
  <c r="AI161" i="1"/>
  <c r="AJ161" i="1" s="1"/>
  <c r="AJ163" i="1" s="1"/>
  <c r="AI4" i="14"/>
  <c r="AI66" i="2"/>
  <c r="AI50" i="2"/>
  <c r="AJ47" i="2"/>
  <c r="U13" i="14"/>
  <c r="Y16" i="14"/>
  <c r="Y18" i="14"/>
  <c r="Y17" i="14"/>
  <c r="R17" i="14"/>
  <c r="R16" i="14"/>
  <c r="R18" i="14"/>
  <c r="AJ83" i="19"/>
  <c r="CN95" i="2"/>
  <c r="BY31" i="14"/>
  <c r="BY13" i="14"/>
  <c r="U141" i="1"/>
  <c r="U138" i="1" s="1"/>
  <c r="U151" i="1" s="1"/>
  <c r="V157" i="1"/>
  <c r="DV579" i="20"/>
  <c r="CW73" i="2"/>
  <c r="AS81" i="19" s="1"/>
  <c r="AS65" i="19"/>
  <c r="CW56" i="1"/>
  <c r="AW577" i="20"/>
  <c r="AW577" i="15"/>
  <c r="X64" i="9"/>
  <c r="Y28" i="9"/>
  <c r="W24" i="9"/>
  <c r="X76" i="1"/>
  <c r="AY73" i="19"/>
  <c r="AZ583" i="20"/>
  <c r="AZ583" i="15"/>
  <c r="AA4" i="11"/>
  <c r="CF67" i="2"/>
  <c r="CF80" i="2" s="1"/>
  <c r="CF79" i="2"/>
  <c r="AB83" i="19" s="1"/>
  <c r="CF75" i="2"/>
  <c r="AP39" i="1"/>
  <c r="AV582" i="20"/>
  <c r="AV582" i="15"/>
  <c r="BP340" i="20"/>
  <c r="BP340" i="15"/>
  <c r="AQ4" i="14"/>
  <c r="AQ161" i="1"/>
  <c r="AQ66" i="2"/>
  <c r="AQ50" i="2"/>
  <c r="CA7" i="14"/>
  <c r="CA11" i="14"/>
  <c r="CA12" i="14" s="1"/>
  <c r="AD17" i="14"/>
  <c r="AD18" i="14"/>
  <c r="AD16" i="14"/>
  <c r="AY54" i="19"/>
  <c r="AY55" i="19"/>
  <c r="V16" i="14"/>
  <c r="V18" i="14"/>
  <c r="V17" i="14"/>
  <c r="AO83" i="19"/>
  <c r="CS95" i="2"/>
  <c r="BL5" i="7"/>
  <c r="BG3" i="7"/>
  <c r="C7" i="14"/>
  <c r="C11" i="14"/>
  <c r="C12" i="14" s="1"/>
  <c r="DA158" i="1"/>
  <c r="DB158" i="1" s="1"/>
  <c r="DB134" i="1"/>
  <c r="BA578" i="20"/>
  <c r="BA578" i="15"/>
  <c r="AB63" i="9"/>
  <c r="CT67" i="2"/>
  <c r="CT80" i="2" s="1"/>
  <c r="CT79" i="2"/>
  <c r="CT75" i="2"/>
  <c r="Q17" i="14"/>
  <c r="Q18" i="14"/>
  <c r="Q16" i="14"/>
  <c r="AU16" i="2"/>
  <c r="DT340" i="20"/>
  <c r="AQ77" i="19"/>
  <c r="CU4" i="14"/>
  <c r="CU66" i="2"/>
  <c r="CU161" i="1"/>
  <c r="CU50" i="2"/>
  <c r="AH13" i="14"/>
  <c r="AH31" i="14"/>
  <c r="AN47" i="2"/>
  <c r="AN46" i="2"/>
  <c r="AO44" i="2"/>
  <c r="AO46" i="2" s="1"/>
  <c r="AK16" i="14"/>
  <c r="AK18" i="14"/>
  <c r="AK17" i="14"/>
  <c r="CN13" i="14"/>
  <c r="AY577" i="20"/>
  <c r="AY577" i="15"/>
  <c r="AE28" i="9"/>
  <c r="AA28" i="9"/>
  <c r="Z76" i="1"/>
  <c r="AE18" i="9"/>
  <c r="AC17" i="14"/>
  <c r="AC18" i="14"/>
  <c r="AC16" i="14"/>
  <c r="CY150" i="1"/>
  <c r="DX338" i="20"/>
  <c r="DX411" i="20"/>
  <c r="DX171" i="20"/>
  <c r="CY40" i="2"/>
  <c r="AU70" i="19" s="1"/>
  <c r="AV20" i="19"/>
  <c r="AV22" i="19"/>
  <c r="CY19" i="1"/>
  <c r="CY18" i="1" s="1"/>
  <c r="DX155" i="20"/>
  <c r="DX579" i="20"/>
  <c r="AU81" i="19"/>
  <c r="AU65" i="19"/>
  <c r="DS15" i="9"/>
  <c r="DT25" i="9"/>
  <c r="DS5" i="9"/>
  <c r="DU5" i="9"/>
  <c r="DG73" i="1"/>
  <c r="DG74" i="1" s="1"/>
  <c r="DU25" i="9"/>
  <c r="DT5" i="9"/>
  <c r="DS53" i="9"/>
  <c r="DS25" i="9"/>
  <c r="DV4" i="9"/>
  <c r="DR5" i="9"/>
  <c r="EE52" i="9"/>
  <c r="ED52" i="9"/>
  <c r="DR25" i="9"/>
  <c r="BC8" i="19"/>
  <c r="DG8" i="9"/>
  <c r="DJ46" i="9"/>
  <c r="DJ47" i="9"/>
  <c r="DJ8" i="9"/>
  <c r="BF9" i="19" s="1"/>
  <c r="BE8" i="19"/>
  <c r="DR15" i="9" l="1"/>
  <c r="DT15" i="9"/>
  <c r="DH86" i="2"/>
  <c r="DH87" i="2" s="1"/>
  <c r="DH26" i="2"/>
  <c r="DU15" i="9"/>
  <c r="DP42" i="2"/>
  <c r="BK72" i="19"/>
  <c r="BL16" i="19"/>
  <c r="DQ15" i="9"/>
  <c r="DS11" i="9"/>
  <c r="BM7" i="19"/>
  <c r="DR72" i="2"/>
  <c r="DS72" i="2" s="1"/>
  <c r="DT72" i="2" s="1"/>
  <c r="DU72" i="2" s="1"/>
  <c r="DW72" i="2" s="1"/>
  <c r="DX72" i="2" s="1"/>
  <c r="DY72" i="2" s="1"/>
  <c r="DZ72" i="2" s="1"/>
  <c r="EB72" i="2" s="1"/>
  <c r="EC72" i="2" s="1"/>
  <c r="ED72" i="2" s="1"/>
  <c r="EE72" i="2" s="1"/>
  <c r="BL80" i="19"/>
  <c r="CP79" i="2"/>
  <c r="CP67" i="2"/>
  <c r="CP80" i="2" s="1"/>
  <c r="BE56" i="19"/>
  <c r="CR161" i="1"/>
  <c r="CR163" i="1" s="1"/>
  <c r="CG75" i="2"/>
  <c r="CG67" i="2"/>
  <c r="CG80" i="2" s="1"/>
  <c r="CH50" i="2"/>
  <c r="CG7" i="14"/>
  <c r="CG13" i="14" s="1"/>
  <c r="CH4" i="14"/>
  <c r="CH7" i="14" s="1"/>
  <c r="DG340" i="15"/>
  <c r="DG340" i="20"/>
  <c r="CP11" i="14"/>
  <c r="CP12" i="14" s="1"/>
  <c r="CP13" i="14" s="1"/>
  <c r="CH66" i="2"/>
  <c r="CH67" i="2" s="1"/>
  <c r="CH80" i="2" s="1"/>
  <c r="DR11" i="9"/>
  <c r="DU11" i="9"/>
  <c r="DT11" i="9"/>
  <c r="F8" i="16"/>
  <c r="CD18" i="14"/>
  <c r="CD16" i="14"/>
  <c r="DC582" i="15" s="1"/>
  <c r="CD15" i="14"/>
  <c r="DB18" i="1"/>
  <c r="DG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DX147" i="20"/>
  <c r="CY144" i="1"/>
  <c r="AN340" i="20"/>
  <c r="O4" i="14"/>
  <c r="O66" i="2"/>
  <c r="O50" i="2"/>
  <c r="P47" i="2"/>
  <c r="CE16" i="14"/>
  <c r="DD582" i="15" s="1"/>
  <c r="CE15" i="14"/>
  <c r="CE17" i="14"/>
  <c r="DD583" i="15" s="1"/>
  <c r="AI74" i="19"/>
  <c r="CM46" i="2"/>
  <c r="AI76" i="19" s="1"/>
  <c r="AM31" i="14"/>
  <c r="CJ13" i="14"/>
  <c r="BE3" i="1"/>
  <c r="BE45" i="9"/>
  <c r="BE59" i="1"/>
  <c r="BE83" i="2"/>
  <c r="BE130" i="1"/>
  <c r="BE23" i="9"/>
  <c r="BE106" i="1"/>
  <c r="BE52" i="2"/>
  <c r="BE3" i="14"/>
  <c r="BE25" i="1"/>
  <c r="BE51" i="9"/>
  <c r="BE77" i="2"/>
  <c r="BE93" i="2"/>
  <c r="BE3" i="9"/>
  <c r="BE55" i="9"/>
  <c r="BE3" i="2"/>
  <c r="BE27" i="11"/>
  <c r="BE32" i="9"/>
  <c r="BE9" i="7"/>
  <c r="BE3" i="11"/>
  <c r="CK67" i="2"/>
  <c r="CK80" i="2" s="1"/>
  <c r="CK79" i="2"/>
  <c r="CK75" i="2"/>
  <c r="BO5" i="7"/>
  <c r="BJ3" i="7"/>
  <c r="CL4" i="14"/>
  <c r="CM47" i="2"/>
  <c r="CL161" i="1"/>
  <c r="CM161" i="1" s="1"/>
  <c r="CM163" i="1" s="1"/>
  <c r="DK340" i="20"/>
  <c r="AH77" i="19"/>
  <c r="CL50" i="2"/>
  <c r="CL66" i="2"/>
  <c r="CT13" i="14"/>
  <c r="CT18" i="14" s="1"/>
  <c r="CK7" i="14"/>
  <c r="CK11" i="14"/>
  <c r="CK12" i="14" s="1"/>
  <c r="CJ95" i="2"/>
  <c r="AF83" i="19"/>
  <c r="AT592" i="20"/>
  <c r="AT592" i="15"/>
  <c r="U165" i="1"/>
  <c r="U152" i="1"/>
  <c r="U154" i="1"/>
  <c r="BM592" i="20"/>
  <c r="AN165" i="1"/>
  <c r="AN154" i="1"/>
  <c r="AN152" i="1"/>
  <c r="BM592" i="15"/>
  <c r="DK29" i="1"/>
  <c r="DJ28" i="1"/>
  <c r="CS15" i="14"/>
  <c r="CS17" i="14"/>
  <c r="CS16" i="14"/>
  <c r="DR582" i="20" s="1"/>
  <c r="CS18" i="14"/>
  <c r="BI340" i="20"/>
  <c r="BI340" i="15"/>
  <c r="AJ4" i="14"/>
  <c r="AJ66" i="2"/>
  <c r="AJ50" i="2"/>
  <c r="N13" i="14"/>
  <c r="N31" i="14"/>
  <c r="BD583" i="20"/>
  <c r="BD583" i="15"/>
  <c r="AE4" i="11"/>
  <c r="AE30" i="9"/>
  <c r="AE29" i="9"/>
  <c r="AV44" i="2"/>
  <c r="AV63" i="2"/>
  <c r="CA13" i="14"/>
  <c r="CA31" i="14"/>
  <c r="BN163" i="15"/>
  <c r="AV577" i="15"/>
  <c r="W64" i="9"/>
  <c r="AV577" i="20"/>
  <c r="X28" i="9"/>
  <c r="V24" i="9"/>
  <c r="W76" i="1"/>
  <c r="AQ583" i="20"/>
  <c r="AQ583" i="15"/>
  <c r="R4" i="11"/>
  <c r="K18" i="14"/>
  <c r="K17" i="14"/>
  <c r="AJ583" i="20" s="1"/>
  <c r="K16" i="14"/>
  <c r="AJ582" i="20" s="1"/>
  <c r="BZ18" i="14"/>
  <c r="BZ16" i="14"/>
  <c r="BZ17" i="14"/>
  <c r="BZ15" i="14"/>
  <c r="AM17" i="14"/>
  <c r="AM18" i="14"/>
  <c r="AM16" i="14"/>
  <c r="DQ340" i="20"/>
  <c r="CR66" i="2"/>
  <c r="CR4" i="14"/>
  <c r="CR51" i="2"/>
  <c r="AN77" i="19"/>
  <c r="CR50" i="2"/>
  <c r="BM3" i="7"/>
  <c r="BR5" i="7"/>
  <c r="T16" i="14"/>
  <c r="T18" i="14"/>
  <c r="T17" i="14"/>
  <c r="AP582" i="20"/>
  <c r="AP582" i="15"/>
  <c r="AU582" i="15"/>
  <c r="AU582" i="20"/>
  <c r="BK3" i="7"/>
  <c r="BP5" i="7"/>
  <c r="BD582" i="20"/>
  <c r="BD582" i="15"/>
  <c r="CF13" i="14"/>
  <c r="BK583" i="20"/>
  <c r="BK583" i="15"/>
  <c r="AL4" i="11"/>
  <c r="AL6" i="11" s="1"/>
  <c r="DG185" i="1"/>
  <c r="DG29" i="11"/>
  <c r="BK582" i="20"/>
  <c r="BK582" i="15"/>
  <c r="BL3" i="7"/>
  <c r="BQ5" i="7"/>
  <c r="CN16" i="14"/>
  <c r="DM582" i="20" s="1"/>
  <c r="CN17" i="14"/>
  <c r="CN15" i="14"/>
  <c r="CN18" i="14"/>
  <c r="CU7" i="14"/>
  <c r="CU11" i="14"/>
  <c r="CU12" i="14" s="1"/>
  <c r="BN163" i="20"/>
  <c r="Y30" i="9"/>
  <c r="Y55" i="9"/>
  <c r="Y54" i="9"/>
  <c r="AX583" i="15"/>
  <c r="AX583" i="20"/>
  <c r="Y4" i="11"/>
  <c r="Y74" i="19"/>
  <c r="CC46" i="2"/>
  <c r="Y76" i="19" s="1"/>
  <c r="DC5" i="14"/>
  <c r="F7" i="14"/>
  <c r="F13" i="14" s="1"/>
  <c r="F11" i="14"/>
  <c r="DJ27" i="9"/>
  <c r="BF28" i="19" s="1"/>
  <c r="Z18" i="14"/>
  <c r="Z16" i="14"/>
  <c r="Z17" i="14"/>
  <c r="BD45" i="9"/>
  <c r="BD55" i="9"/>
  <c r="BD32" i="9"/>
  <c r="BD23" i="9"/>
  <c r="D24" i="19" s="1"/>
  <c r="BD51" i="9"/>
  <c r="BD3" i="9"/>
  <c r="D4" i="19" s="1"/>
  <c r="BD3" i="14"/>
  <c r="BD3" i="1"/>
  <c r="BD52" i="2"/>
  <c r="BD27" i="11"/>
  <c r="BD130" i="1"/>
  <c r="BD25" i="1"/>
  <c r="BD3" i="2"/>
  <c r="D32" i="19" s="1"/>
  <c r="BD77" i="2"/>
  <c r="BD106" i="1"/>
  <c r="BD93" i="2"/>
  <c r="BD59" i="1"/>
  <c r="BD9" i="7"/>
  <c r="BD3" i="11"/>
  <c r="BD83" i="2"/>
  <c r="AK583" i="20"/>
  <c r="L4" i="11"/>
  <c r="AF16" i="14"/>
  <c r="AF17" i="14"/>
  <c r="AF18" i="14"/>
  <c r="BM340" i="20"/>
  <c r="AN4" i="14"/>
  <c r="BM340" i="15"/>
  <c r="AN161" i="1"/>
  <c r="AO161" i="1" s="1"/>
  <c r="AO163" i="1" s="1"/>
  <c r="AN50" i="2"/>
  <c r="AN66" i="2"/>
  <c r="AO47" i="2"/>
  <c r="BC54" i="19"/>
  <c r="DG26" i="2"/>
  <c r="BC55" i="19" s="1"/>
  <c r="DI50" i="1"/>
  <c r="DI146" i="1"/>
  <c r="DI10" i="14"/>
  <c r="AA30" i="9"/>
  <c r="AA29" i="9"/>
  <c r="AA54" i="9"/>
  <c r="BW13" i="14"/>
  <c r="BW31" i="14"/>
  <c r="AP83" i="19"/>
  <c r="CT95" i="2"/>
  <c r="AQ582" i="20"/>
  <c r="AQ582" i="15"/>
  <c r="BQ340" i="20"/>
  <c r="AR4" i="14"/>
  <c r="BQ340" i="15"/>
  <c r="AR66" i="2"/>
  <c r="AR50" i="2"/>
  <c r="AR161" i="1"/>
  <c r="BC582" i="20"/>
  <c r="BC582" i="15"/>
  <c r="AQ79" i="2"/>
  <c r="AQ67" i="2"/>
  <c r="AQ80" i="2" s="1"/>
  <c r="AQ75" i="2"/>
  <c r="AQ39" i="1"/>
  <c r="AP40" i="1"/>
  <c r="AP149" i="1" s="1"/>
  <c r="AP145" i="1" s="1"/>
  <c r="AP151" i="1" s="1"/>
  <c r="AP47" i="2"/>
  <c r="AP46" i="2"/>
  <c r="AR592" i="20"/>
  <c r="AR592" i="15"/>
  <c r="S154" i="1"/>
  <c r="S152" i="1"/>
  <c r="CQ7" i="14"/>
  <c r="CQ11" i="14"/>
  <c r="CQ12" i="14" s="1"/>
  <c r="DC583" i="20"/>
  <c r="DC583" i="15"/>
  <c r="CD4" i="11"/>
  <c r="CD6" i="11" s="1"/>
  <c r="AP583" i="20"/>
  <c r="AP583" i="15"/>
  <c r="Q4" i="11"/>
  <c r="AR77" i="19"/>
  <c r="DU340" i="20"/>
  <c r="CV4" i="14"/>
  <c r="CV161" i="1"/>
  <c r="CW161" i="1" s="1"/>
  <c r="CW163" i="1" s="1"/>
  <c r="CV66" i="2"/>
  <c r="CV50" i="2"/>
  <c r="AH16" i="14"/>
  <c r="AH18" i="14"/>
  <c r="AH17" i="14"/>
  <c r="AT6" i="14"/>
  <c r="BV14" i="20"/>
  <c r="BV14" i="15"/>
  <c r="AW159" i="1"/>
  <c r="AW62" i="2"/>
  <c r="AW28" i="2"/>
  <c r="AX30" i="2"/>
  <c r="AZ30" i="2" s="1"/>
  <c r="C13" i="14"/>
  <c r="AI67" i="2"/>
  <c r="AI80" i="2" s="1"/>
  <c r="AI75" i="2"/>
  <c r="AI79" i="2"/>
  <c r="DK93" i="1"/>
  <c r="AI7" i="14"/>
  <c r="AI11" i="14"/>
  <c r="AI12" i="14" s="1"/>
  <c r="BF582" i="20"/>
  <c r="BF582" i="15"/>
  <c r="CU67" i="2"/>
  <c r="CU80" i="2" s="1"/>
  <c r="CU79" i="2"/>
  <c r="CU75" i="2"/>
  <c r="BB582" i="20"/>
  <c r="BB582" i="15"/>
  <c r="BJ583" i="20"/>
  <c r="BJ583" i="15"/>
  <c r="AK4" i="11"/>
  <c r="AK6" i="11" s="1"/>
  <c r="BC583" i="20"/>
  <c r="BC583" i="15"/>
  <c r="AD4" i="11"/>
  <c r="AL83" i="19"/>
  <c r="CP95" i="2"/>
  <c r="DG84" i="2"/>
  <c r="DG88" i="2" s="1"/>
  <c r="AX582" i="20"/>
  <c r="AX582" i="15"/>
  <c r="DA340" i="20"/>
  <c r="CB4" i="14"/>
  <c r="X77" i="19"/>
  <c r="CB161" i="1"/>
  <c r="CC161" i="1" s="1"/>
  <c r="CC163" i="1" s="1"/>
  <c r="CB50" i="2"/>
  <c r="CB66" i="2"/>
  <c r="DA340" i="15"/>
  <c r="CC47" i="2"/>
  <c r="Q133" i="1"/>
  <c r="Q141" i="1" s="1"/>
  <c r="Q138" i="1" s="1"/>
  <c r="Q151" i="1" s="1"/>
  <c r="R141" i="1"/>
  <c r="R138" i="1" s="1"/>
  <c r="R151" i="1" s="1"/>
  <c r="CX15" i="14"/>
  <c r="CX18" i="14"/>
  <c r="CX17" i="14"/>
  <c r="CX16" i="14"/>
  <c r="DW582" i="20" s="1"/>
  <c r="BN5" i="7"/>
  <c r="BI3" i="7"/>
  <c r="AS36" i="2"/>
  <c r="AT16" i="2"/>
  <c r="BY17" i="14"/>
  <c r="BY18" i="14"/>
  <c r="BY16" i="14"/>
  <c r="BY15" i="14"/>
  <c r="BF3" i="14"/>
  <c r="BF55" i="9"/>
  <c r="BF51" i="9"/>
  <c r="BF3" i="11"/>
  <c r="BF45" i="9"/>
  <c r="BF32" i="9"/>
  <c r="BF23" i="9"/>
  <c r="BF106" i="1"/>
  <c r="BF25" i="1"/>
  <c r="BF130" i="1"/>
  <c r="BF27" i="11"/>
  <c r="BF3" i="9"/>
  <c r="BF77" i="2"/>
  <c r="BF3" i="2"/>
  <c r="BF93" i="2"/>
  <c r="BF52" i="2"/>
  <c r="BF3" i="1"/>
  <c r="BF59" i="1"/>
  <c r="BF9" i="7"/>
  <c r="BF83" i="2"/>
  <c r="DH583" i="20"/>
  <c r="CI4" i="11"/>
  <c r="CI6" i="11" s="1"/>
  <c r="BN592" i="20"/>
  <c r="BN592" i="15"/>
  <c r="AO165" i="1"/>
  <c r="AO154" i="1"/>
  <c r="AO152" i="1"/>
  <c r="AZ73" i="19"/>
  <c r="AO6" i="14"/>
  <c r="BF583" i="20"/>
  <c r="AG4" i="11"/>
  <c r="BF583" i="15"/>
  <c r="BB55" i="19"/>
  <c r="BB54" i="19"/>
  <c r="BG3" i="14"/>
  <c r="BG55" i="9"/>
  <c r="BG51" i="9"/>
  <c r="BG3" i="11"/>
  <c r="BG27" i="11"/>
  <c r="BG32" i="9"/>
  <c r="BG3" i="9"/>
  <c r="BG23" i="9"/>
  <c r="BG106" i="1"/>
  <c r="BG25" i="1"/>
  <c r="BG59" i="1"/>
  <c r="BG3" i="1"/>
  <c r="BG45" i="9"/>
  <c r="BG3" i="2"/>
  <c r="BG9" i="7"/>
  <c r="BG77" i="2"/>
  <c r="BG93" i="2"/>
  <c r="BG52" i="2"/>
  <c r="BG130" i="1"/>
  <c r="BG83" i="2"/>
  <c r="AO27" i="1"/>
  <c r="AO26" i="1" s="1"/>
  <c r="AO48" i="1" s="1"/>
  <c r="BB583" i="20"/>
  <c r="BB583" i="15"/>
  <c r="AC4" i="11"/>
  <c r="BJ582" i="20"/>
  <c r="BJ582" i="15"/>
  <c r="AU36" i="2"/>
  <c r="AU583" i="20"/>
  <c r="AU583" i="15"/>
  <c r="V4" i="11"/>
  <c r="AQ11" i="14"/>
  <c r="AQ12" i="14" s="1"/>
  <c r="Z157" i="1"/>
  <c r="V161" i="1"/>
  <c r="Z161" i="1" s="1"/>
  <c r="Z163" i="1" s="1"/>
  <c r="U16" i="14"/>
  <c r="U18" i="14"/>
  <c r="U17" i="14"/>
  <c r="BH27" i="11"/>
  <c r="BH3" i="11"/>
  <c r="BH55" i="9"/>
  <c r="BH32" i="9"/>
  <c r="BH3" i="9"/>
  <c r="BH45" i="9"/>
  <c r="BH59" i="1"/>
  <c r="BH3" i="1"/>
  <c r="BH83" i="2"/>
  <c r="BH52" i="2"/>
  <c r="BH51" i="9"/>
  <c r="BH25" i="1"/>
  <c r="BH3" i="2"/>
  <c r="BH77" i="2"/>
  <c r="BH106" i="1"/>
  <c r="BH9" i="7"/>
  <c r="BH93" i="2"/>
  <c r="BH130" i="1"/>
  <c r="BH23" i="9"/>
  <c r="BH3" i="14"/>
  <c r="CO16" i="14"/>
  <c r="DN582" i="20" s="1"/>
  <c r="CO17" i="14"/>
  <c r="CO18" i="14"/>
  <c r="CO15" i="14"/>
  <c r="F67" i="2"/>
  <c r="F80" i="2" s="1"/>
  <c r="F79" i="2"/>
  <c r="F75" i="2"/>
  <c r="DJ9" i="1"/>
  <c r="EC46" i="1"/>
  <c r="ED46" i="1" s="1"/>
  <c r="EE46" i="1" s="1"/>
  <c r="EF46" i="1" s="1"/>
  <c r="CQ75" i="2"/>
  <c r="CQ79" i="2"/>
  <c r="CQ67" i="2"/>
  <c r="CQ80" i="2" s="1"/>
  <c r="CW47" i="2"/>
  <c r="CY91" i="2"/>
  <c r="DY20" i="20"/>
  <c r="AV75" i="19"/>
  <c r="CY143" i="1"/>
  <c r="CY8" i="14"/>
  <c r="CY9" i="14" s="1"/>
  <c r="AV15" i="19"/>
  <c r="DV5" i="9"/>
  <c r="DV6" i="9" s="1"/>
  <c r="DT53" i="9"/>
  <c r="DX4" i="9"/>
  <c r="DW4" i="9"/>
  <c r="DZ4" i="9"/>
  <c r="DY4" i="9"/>
  <c r="BC9" i="19"/>
  <c r="DJ13" i="9"/>
  <c r="BF14" i="19" s="1"/>
  <c r="BD14" i="19"/>
  <c r="BE14" i="19"/>
  <c r="DK46" i="9"/>
  <c r="DK47" i="9"/>
  <c r="DJ48" i="9"/>
  <c r="DJ73" i="1" s="1"/>
  <c r="DK8" i="9"/>
  <c r="BG9" i="19" s="1"/>
  <c r="DJ7" i="9"/>
  <c r="BF8" i="19" s="1"/>
  <c r="DG12" i="1"/>
  <c r="EF52" i="9"/>
  <c r="DV25" i="9"/>
  <c r="DI26" i="2" l="1"/>
  <c r="DI86" i="2"/>
  <c r="DI87" i="2" s="1"/>
  <c r="DV15" i="9"/>
  <c r="DV16" i="9" s="1"/>
  <c r="DQ16" i="9"/>
  <c r="BM17" i="19" s="1"/>
  <c r="BM16" i="19"/>
  <c r="DR42" i="2"/>
  <c r="DS42" i="2" s="1"/>
  <c r="DT42" i="2" s="1"/>
  <c r="DU42" i="2" s="1"/>
  <c r="DW42" i="2" s="1"/>
  <c r="DX42" i="2" s="1"/>
  <c r="DY42" i="2" s="1"/>
  <c r="DZ42" i="2" s="1"/>
  <c r="EB42" i="2" s="1"/>
  <c r="EC42" i="2" s="1"/>
  <c r="ED42" i="2" s="1"/>
  <c r="EE42" i="2" s="1"/>
  <c r="BL72" i="19"/>
  <c r="DJ27" i="2"/>
  <c r="BF56" i="19" s="1"/>
  <c r="DC582" i="20"/>
  <c r="CH11" i="14"/>
  <c r="CH12" i="14" s="1"/>
  <c r="CH13" i="14" s="1"/>
  <c r="CH75" i="2"/>
  <c r="CH79" i="2"/>
  <c r="AD83" i="19" s="1"/>
  <c r="AP27" i="1"/>
  <c r="AP26" i="1" s="1"/>
  <c r="AP48" i="1" s="1"/>
  <c r="CE4" i="11"/>
  <c r="CE6" i="11" s="1"/>
  <c r="DD583" i="20"/>
  <c r="CT16" i="14"/>
  <c r="DS582" i="20" s="1"/>
  <c r="CT17" i="14"/>
  <c r="CT4" i="11" s="1"/>
  <c r="CT6" i="11" s="1"/>
  <c r="DD582" i="20"/>
  <c r="CT15" i="14"/>
  <c r="AO340" i="20"/>
  <c r="P4" i="14"/>
  <c r="AO340" i="15"/>
  <c r="P66" i="2"/>
  <c r="P48" i="2"/>
  <c r="P50" i="2"/>
  <c r="U48" i="2"/>
  <c r="O75" i="2"/>
  <c r="O79" i="2"/>
  <c r="O67" i="2"/>
  <c r="O80" i="2" s="1"/>
  <c r="O7" i="14"/>
  <c r="O11" i="14"/>
  <c r="O12" i="14" s="1"/>
  <c r="BO163" i="15"/>
  <c r="BO163" i="20"/>
  <c r="CL79" i="2"/>
  <c r="CL75" i="2"/>
  <c r="CL67" i="2"/>
  <c r="CL80" i="2" s="1"/>
  <c r="BT5" i="7"/>
  <c r="BO3" i="7"/>
  <c r="CJ15" i="14"/>
  <c r="CJ17" i="14"/>
  <c r="CJ16" i="14"/>
  <c r="DI582" i="20" s="1"/>
  <c r="CJ18" i="14"/>
  <c r="CL7" i="14"/>
  <c r="CL11" i="14"/>
  <c r="CL12" i="14" s="1"/>
  <c r="AI77" i="19"/>
  <c r="CM66" i="2"/>
  <c r="CM4" i="14"/>
  <c r="CM51" i="2"/>
  <c r="DL340" i="20"/>
  <c r="CM50" i="2"/>
  <c r="BJ25" i="1"/>
  <c r="BJ106" i="1"/>
  <c r="BJ3" i="11"/>
  <c r="BJ3" i="1"/>
  <c r="BJ3" i="9"/>
  <c r="F4" i="19" s="1"/>
  <c r="BJ77" i="2"/>
  <c r="BJ27" i="11"/>
  <c r="BJ59" i="1"/>
  <c r="BJ3" i="14"/>
  <c r="BJ32" i="9"/>
  <c r="BJ52" i="2"/>
  <c r="BJ9" i="7"/>
  <c r="BJ51" i="9"/>
  <c r="BJ45" i="9"/>
  <c r="BJ55" i="9"/>
  <c r="BJ23" i="9"/>
  <c r="F24" i="19" s="1"/>
  <c r="BJ130" i="1"/>
  <c r="BJ83" i="2"/>
  <c r="BJ93" i="2"/>
  <c r="BJ3" i="2"/>
  <c r="F32" i="19" s="1"/>
  <c r="CK13" i="14"/>
  <c r="AG83" i="19"/>
  <c r="CK95" i="2"/>
  <c r="AP6" i="14"/>
  <c r="BO368" i="15" s="1"/>
  <c r="BY14" i="20"/>
  <c r="BY14" i="15"/>
  <c r="AZ159" i="1"/>
  <c r="AZ62" i="2"/>
  <c r="BA30" i="2"/>
  <c r="AZ28" i="2"/>
  <c r="BS310" i="20"/>
  <c r="BS368" i="20"/>
  <c r="BS368" i="15"/>
  <c r="BS310" i="15"/>
  <c r="BD578" i="20"/>
  <c r="BD578" i="15"/>
  <c r="DV340" i="20"/>
  <c r="AS77" i="19"/>
  <c r="CW51" i="2"/>
  <c r="CW4" i="14"/>
  <c r="CW66" i="2"/>
  <c r="CW50" i="2"/>
  <c r="AX578" i="20"/>
  <c r="AX578" i="15"/>
  <c r="Y63" i="9"/>
  <c r="CF18" i="14"/>
  <c r="CF16" i="14"/>
  <c r="CF17" i="14"/>
  <c r="CF15" i="14"/>
  <c r="AQ83" i="19"/>
  <c r="CU95" i="2"/>
  <c r="DH185" i="1"/>
  <c r="BP3" i="7"/>
  <c r="BU5" i="7"/>
  <c r="BK3" i="11"/>
  <c r="BK27" i="11"/>
  <c r="BK23" i="9"/>
  <c r="G24" i="19" s="1"/>
  <c r="BK3" i="14"/>
  <c r="BK130" i="1"/>
  <c r="BK32" i="9"/>
  <c r="BK106" i="1"/>
  <c r="BK45" i="9"/>
  <c r="BK3" i="9"/>
  <c r="G4" i="19" s="1"/>
  <c r="BK93" i="2"/>
  <c r="BK83" i="2"/>
  <c r="BK51" i="9"/>
  <c r="BK25" i="1"/>
  <c r="BK3" i="1"/>
  <c r="BK55" i="9"/>
  <c r="BK9" i="7"/>
  <c r="BK52" i="2"/>
  <c r="BK3" i="2"/>
  <c r="G32" i="19" s="1"/>
  <c r="BK59" i="1"/>
  <c r="BK77" i="2"/>
  <c r="CB75" i="2"/>
  <c r="CB79" i="2"/>
  <c r="X83" i="19" s="1"/>
  <c r="CB67" i="2"/>
  <c r="CB80" i="2" s="1"/>
  <c r="BI3" i="11"/>
  <c r="BI32" i="9"/>
  <c r="BI3" i="9"/>
  <c r="E4" i="19" s="1"/>
  <c r="BI27" i="11"/>
  <c r="BI45" i="9"/>
  <c r="BI59" i="1"/>
  <c r="BI130" i="1"/>
  <c r="BI55" i="9"/>
  <c r="BI77" i="2"/>
  <c r="BI9" i="7"/>
  <c r="BI106" i="1"/>
  <c r="BI23" i="9"/>
  <c r="E24" i="19" s="1"/>
  <c r="BI52" i="2"/>
  <c r="BI3" i="2"/>
  <c r="E32" i="19" s="1"/>
  <c r="BI3" i="14"/>
  <c r="BI51" i="9"/>
  <c r="BI25" i="1"/>
  <c r="BI3" i="1"/>
  <c r="BI83" i="2"/>
  <c r="BI93" i="2"/>
  <c r="AW16" i="2"/>
  <c r="CV7" i="14"/>
  <c r="CV11" i="14"/>
  <c r="CV12" i="14" s="1"/>
  <c r="CQ13" i="14"/>
  <c r="DM583" i="20"/>
  <c r="CN4" i="11"/>
  <c r="CN6" i="11" s="1"/>
  <c r="BL583" i="20"/>
  <c r="BL583" i="15"/>
  <c r="AM4" i="11"/>
  <c r="AM6" i="11" s="1"/>
  <c r="AJ79" i="2"/>
  <c r="AJ75" i="2"/>
  <c r="AJ67" i="2"/>
  <c r="AJ80" i="2" s="1"/>
  <c r="AJ30" i="11" s="1"/>
  <c r="DM93" i="1"/>
  <c r="BE583" i="20"/>
  <c r="BE583" i="15"/>
  <c r="AF4" i="11"/>
  <c r="BE582" i="20"/>
  <c r="BE582" i="15"/>
  <c r="CX582" i="20"/>
  <c r="CX582" i="15"/>
  <c r="DB340" i="20"/>
  <c r="Y77" i="19"/>
  <c r="CC4" i="14"/>
  <c r="CC66" i="2"/>
  <c r="CC50" i="2"/>
  <c r="DB340" i="15"/>
  <c r="C17" i="14"/>
  <c r="AB583" i="20" s="1"/>
  <c r="C16" i="14"/>
  <c r="AB582" i="20" s="1"/>
  <c r="C18" i="14"/>
  <c r="N17" i="14"/>
  <c r="N18" i="14"/>
  <c r="N16" i="14"/>
  <c r="AM582" i="20" s="1"/>
  <c r="BO340" i="20"/>
  <c r="BO340" i="15"/>
  <c r="AP4" i="14"/>
  <c r="AP161" i="1"/>
  <c r="AP66" i="2"/>
  <c r="AP50" i="2"/>
  <c r="BN310" i="20"/>
  <c r="BN368" i="20"/>
  <c r="BN368" i="15"/>
  <c r="BN310" i="15"/>
  <c r="BN3" i="7"/>
  <c r="BS5" i="7"/>
  <c r="AN7" i="14"/>
  <c r="AN11" i="14"/>
  <c r="AN12" i="14" s="1"/>
  <c r="CH30" i="11"/>
  <c r="CH97" i="2"/>
  <c r="AJ7" i="14"/>
  <c r="AJ11" i="14"/>
  <c r="AJ12" i="14" s="1"/>
  <c r="BG583" i="20"/>
  <c r="BG583" i="15"/>
  <c r="AH4" i="11"/>
  <c r="AR39" i="1"/>
  <c r="AQ40" i="1"/>
  <c r="AQ149" i="1" s="1"/>
  <c r="AQ145" i="1" s="1"/>
  <c r="AQ151" i="1" s="1"/>
  <c r="F16" i="14"/>
  <c r="AE582" i="20" s="1"/>
  <c r="F17" i="14"/>
  <c r="AE583" i="20" s="1"/>
  <c r="F18" i="14"/>
  <c r="BG582" i="15"/>
  <c r="BG582" i="20"/>
  <c r="AS582" i="20"/>
  <c r="AS582" i="15"/>
  <c r="CP16" i="14"/>
  <c r="DO582" i="20" s="1"/>
  <c r="CP18" i="14"/>
  <c r="CP17" i="14"/>
  <c r="CP15" i="14"/>
  <c r="BR3" i="7"/>
  <c r="BW5" i="7"/>
  <c r="CA17" i="14"/>
  <c r="CA18" i="14"/>
  <c r="CA16" i="14"/>
  <c r="CA15" i="14"/>
  <c r="DJ64" i="1"/>
  <c r="DK9" i="1"/>
  <c r="DK27" i="2" s="1"/>
  <c r="BG56" i="19" s="1"/>
  <c r="AR75" i="2"/>
  <c r="AR67" i="2"/>
  <c r="AR80" i="2" s="1"/>
  <c r="AR79" i="2"/>
  <c r="AZ578" i="20"/>
  <c r="AZ578" i="15"/>
  <c r="AA63" i="9"/>
  <c r="BQ3" i="7"/>
  <c r="BV5" i="7"/>
  <c r="CY583" i="20"/>
  <c r="CY583" i="15"/>
  <c r="BZ4" i="11"/>
  <c r="BZ6" i="11" s="1"/>
  <c r="DJ77" i="1"/>
  <c r="DJ14" i="1" s="1"/>
  <c r="DK27" i="9"/>
  <c r="BG28" i="19" s="1"/>
  <c r="CG15" i="14"/>
  <c r="CG16" i="14"/>
  <c r="CG18" i="14"/>
  <c r="CG17" i="14"/>
  <c r="CX583" i="20"/>
  <c r="CX583" i="15"/>
  <c r="BY4" i="11"/>
  <c r="BY6" i="11" s="1"/>
  <c r="AY583" i="20"/>
  <c r="AY583" i="15"/>
  <c r="Z4" i="11"/>
  <c r="CV79" i="2"/>
  <c r="CV67" i="2"/>
  <c r="CV80" i="2" s="1"/>
  <c r="CV75" i="2"/>
  <c r="BL582" i="20"/>
  <c r="BL582" i="15"/>
  <c r="BM3" i="11"/>
  <c r="BM27" i="11"/>
  <c r="BM23" i="9"/>
  <c r="I24" i="19" s="1"/>
  <c r="BM3" i="14"/>
  <c r="BM55" i="9"/>
  <c r="BM32" i="9"/>
  <c r="BM106" i="1"/>
  <c r="BM130" i="1"/>
  <c r="BM93" i="2"/>
  <c r="BM83" i="2"/>
  <c r="BM9" i="7"/>
  <c r="BM45" i="9"/>
  <c r="BM59" i="1"/>
  <c r="BM25" i="1"/>
  <c r="BM3" i="1"/>
  <c r="BM52" i="2"/>
  <c r="BM3" i="9"/>
  <c r="I4" i="19" s="1"/>
  <c r="BM3" i="2"/>
  <c r="I32" i="19" s="1"/>
  <c r="BM77" i="2"/>
  <c r="BM51" i="9"/>
  <c r="BD54" i="19"/>
  <c r="DN583" i="20"/>
  <c r="CO4" i="11"/>
  <c r="CO6" i="11" s="1"/>
  <c r="AU38" i="2"/>
  <c r="CB7" i="14"/>
  <c r="CB11" i="14"/>
  <c r="CB12" i="14" s="1"/>
  <c r="AI13" i="14"/>
  <c r="AI31" i="14"/>
  <c r="AJ31" i="14" s="1"/>
  <c r="BL27" i="11"/>
  <c r="BL23" i="9"/>
  <c r="H24" i="19" s="1"/>
  <c r="BL3" i="14"/>
  <c r="BL106" i="1"/>
  <c r="BL130" i="1"/>
  <c r="BL32" i="9"/>
  <c r="BL77" i="2"/>
  <c r="BL55" i="9"/>
  <c r="BL45" i="9"/>
  <c r="BL3" i="9"/>
  <c r="H4" i="19" s="1"/>
  <c r="BL93" i="2"/>
  <c r="BL83" i="2"/>
  <c r="BL3" i="1"/>
  <c r="BL52" i="2"/>
  <c r="BL3" i="2"/>
  <c r="H32" i="19" s="1"/>
  <c r="BL3" i="11"/>
  <c r="BL25" i="1"/>
  <c r="BL59" i="1"/>
  <c r="BL9" i="7"/>
  <c r="BL51" i="9"/>
  <c r="CR7" i="14"/>
  <c r="CR11" i="14"/>
  <c r="CR12" i="14" s="1"/>
  <c r="CY582" i="20"/>
  <c r="CY582" i="15"/>
  <c r="AU577" i="20"/>
  <c r="AU577" i="15"/>
  <c r="W28" i="9"/>
  <c r="V64" i="9"/>
  <c r="T24" i="9"/>
  <c r="V76" i="1"/>
  <c r="AV46" i="2"/>
  <c r="AV47" i="2"/>
  <c r="AT583" i="20"/>
  <c r="AT583" i="15"/>
  <c r="U4" i="11"/>
  <c r="DR583" i="20"/>
  <c r="CS4" i="11"/>
  <c r="CS6" i="11" s="1"/>
  <c r="AT582" i="20"/>
  <c r="AT582" i="15"/>
  <c r="AQ592" i="20"/>
  <c r="R154" i="1"/>
  <c r="AQ592" i="15"/>
  <c r="R152" i="1"/>
  <c r="AS583" i="20"/>
  <c r="AS583" i="15"/>
  <c r="T4" i="11"/>
  <c r="AM83" i="19"/>
  <c r="CQ95" i="2"/>
  <c r="AP592" i="20"/>
  <c r="AP592" i="15"/>
  <c r="Q154" i="1"/>
  <c r="U163" i="1"/>
  <c r="Q152" i="1"/>
  <c r="BN340" i="20"/>
  <c r="BN340" i="15"/>
  <c r="AO4" i="14"/>
  <c r="AO66" i="2"/>
  <c r="AO50" i="2"/>
  <c r="AY62" i="19"/>
  <c r="DJ10" i="14"/>
  <c r="DJ146" i="1"/>
  <c r="DJ50" i="1"/>
  <c r="DJ85" i="2" s="1"/>
  <c r="AN79" i="2"/>
  <c r="AN75" i="2"/>
  <c r="AN67" i="2"/>
  <c r="AN80" i="2" s="1"/>
  <c r="CU13" i="14"/>
  <c r="DM29" i="1"/>
  <c r="DL29" i="1"/>
  <c r="DL28" i="1" s="1"/>
  <c r="DK28" i="1"/>
  <c r="AY582" i="20"/>
  <c r="AY582" i="15"/>
  <c r="AS38" i="2"/>
  <c r="AT36" i="2"/>
  <c r="BW14" i="20"/>
  <c r="BW14" i="15"/>
  <c r="AX62" i="2"/>
  <c r="AX159" i="1"/>
  <c r="AX28" i="2"/>
  <c r="AX16" i="2" s="1"/>
  <c r="AX36" i="2" s="1"/>
  <c r="AX38" i="2" s="1"/>
  <c r="AY30" i="2"/>
  <c r="BW15" i="14"/>
  <c r="BW17" i="14"/>
  <c r="BW18" i="14"/>
  <c r="BW16" i="14"/>
  <c r="DW583" i="20"/>
  <c r="CX4" i="11"/>
  <c r="CX6" i="11" s="1"/>
  <c r="BO592" i="20"/>
  <c r="BO592" i="15"/>
  <c r="AP165" i="1"/>
  <c r="AP154" i="1"/>
  <c r="AP152" i="1"/>
  <c r="AR11" i="14"/>
  <c r="AR12" i="14" s="1"/>
  <c r="CR75" i="2"/>
  <c r="CR79" i="2"/>
  <c r="CR67" i="2"/>
  <c r="CR80" i="2" s="1"/>
  <c r="X30" i="9"/>
  <c r="X55" i="9"/>
  <c r="X54" i="9"/>
  <c r="DX327" i="20"/>
  <c r="DX367" i="20"/>
  <c r="DV2" i="9"/>
  <c r="AV10" i="19"/>
  <c r="AU69" i="19"/>
  <c r="DX18" i="20"/>
  <c r="DM8" i="9"/>
  <c r="BI9" i="19" s="1"/>
  <c r="DK7" i="9"/>
  <c r="DX25" i="9"/>
  <c r="DW15" i="9"/>
  <c r="EA4" i="9"/>
  <c r="DW5" i="9"/>
  <c r="DW25" i="9"/>
  <c r="DJ12" i="1"/>
  <c r="DY25" i="9"/>
  <c r="DX15" i="9"/>
  <c r="DX5" i="9"/>
  <c r="DZ11" i="9"/>
  <c r="DY11" i="9"/>
  <c r="DW11" i="9"/>
  <c r="DX11" i="9"/>
  <c r="DM47" i="9"/>
  <c r="DM46" i="9" s="1"/>
  <c r="DL46" i="9"/>
  <c r="DK48" i="9"/>
  <c r="DK13" i="9"/>
  <c r="BG14" i="19" s="1"/>
  <c r="DZ15" i="9"/>
  <c r="DZ5" i="9"/>
  <c r="DU53" i="9"/>
  <c r="DV53" i="9" s="1"/>
  <c r="DZ25" i="9"/>
  <c r="DY15" i="9"/>
  <c r="DY5" i="9"/>
  <c r="DL7" i="9" l="1"/>
  <c r="BG8" i="19"/>
  <c r="BE55" i="19"/>
  <c r="BE54" i="19"/>
  <c r="CH95" i="2"/>
  <c r="CH96" i="2" s="1"/>
  <c r="DS583" i="20"/>
  <c r="P75" i="2"/>
  <c r="P67" i="2"/>
  <c r="P80" i="2" s="1"/>
  <c r="P79" i="2"/>
  <c r="P7" i="14"/>
  <c r="P11" i="14"/>
  <c r="P12" i="14" s="1"/>
  <c r="O13" i="14"/>
  <c r="O31" i="14"/>
  <c r="P31" i="14" s="1"/>
  <c r="AY28" i="2"/>
  <c r="C57" i="19" s="1"/>
  <c r="BO310" i="15"/>
  <c r="BO368" i="20"/>
  <c r="AQ27" i="1"/>
  <c r="AQ26" i="1" s="1"/>
  <c r="AQ48" i="1" s="1"/>
  <c r="BO310" i="20"/>
  <c r="BT3" i="7"/>
  <c r="BY5" i="7"/>
  <c r="DI583" i="20"/>
  <c r="CJ4" i="11"/>
  <c r="CJ6" i="11" s="1"/>
  <c r="BO3" i="14"/>
  <c r="BO3" i="1"/>
  <c r="BO27" i="11"/>
  <c r="BO25" i="1"/>
  <c r="BO45" i="9"/>
  <c r="BO55" i="9"/>
  <c r="BO77" i="2"/>
  <c r="BO3" i="2"/>
  <c r="K32" i="19" s="1"/>
  <c r="BO130" i="1"/>
  <c r="BO3" i="11"/>
  <c r="BO52" i="2"/>
  <c r="BO59" i="1"/>
  <c r="BO9" i="7"/>
  <c r="BO51" i="9"/>
  <c r="BO32" i="9"/>
  <c r="BO3" i="9"/>
  <c r="K4" i="19" s="1"/>
  <c r="BO83" i="2"/>
  <c r="BO23" i="9"/>
  <c r="K24" i="19" s="1"/>
  <c r="BO93" i="2"/>
  <c r="BO106" i="1"/>
  <c r="CL13" i="14"/>
  <c r="CK17" i="14"/>
  <c r="CK18" i="14"/>
  <c r="CK15" i="14"/>
  <c r="CK16" i="14"/>
  <c r="DJ582" i="20" s="1"/>
  <c r="CM7" i="14"/>
  <c r="CM11" i="14"/>
  <c r="CM12" i="14" s="1"/>
  <c r="CM79" i="2"/>
  <c r="CM67" i="2"/>
  <c r="CM80" i="2" s="1"/>
  <c r="CM75" i="2"/>
  <c r="CL95" i="2"/>
  <c r="AH83" i="19"/>
  <c r="CV13" i="14"/>
  <c r="CV17" i="14" s="1"/>
  <c r="DJ84" i="2"/>
  <c r="DJ25" i="2" s="1"/>
  <c r="AW578" i="20"/>
  <c r="AW578" i="15"/>
  <c r="X63" i="9"/>
  <c r="CR97" i="2"/>
  <c r="CR30" i="11"/>
  <c r="BP592" i="20"/>
  <c r="AQ165" i="1"/>
  <c r="AQ154" i="1"/>
  <c r="BP592" i="15"/>
  <c r="AQ152" i="1"/>
  <c r="BP163" i="20"/>
  <c r="AZ16" i="2"/>
  <c r="BW3" i="7"/>
  <c r="CB5" i="7"/>
  <c r="C59" i="19"/>
  <c r="AY62" i="2"/>
  <c r="BX14" i="20"/>
  <c r="BX14" i="15"/>
  <c r="AY159" i="1"/>
  <c r="DM28" i="1"/>
  <c r="DN29" i="1"/>
  <c r="AO75" i="2"/>
  <c r="AO79" i="2"/>
  <c r="AO67" i="2"/>
  <c r="AO80" i="2" s="1"/>
  <c r="AO30" i="11" s="1"/>
  <c r="BR3" i="14"/>
  <c r="BR55" i="9"/>
  <c r="BR51" i="9"/>
  <c r="BR3" i="11"/>
  <c r="BR27" i="11"/>
  <c r="BR45" i="9"/>
  <c r="BR25" i="1"/>
  <c r="BR23" i="9"/>
  <c r="N24" i="19" s="1"/>
  <c r="BR83" i="2"/>
  <c r="BR3" i="9"/>
  <c r="N4" i="19" s="1"/>
  <c r="BR3" i="1"/>
  <c r="BR3" i="2"/>
  <c r="N32" i="19" s="1"/>
  <c r="BR32" i="9"/>
  <c r="BR106" i="1"/>
  <c r="BR130" i="1"/>
  <c r="BR59" i="1"/>
  <c r="BR93" i="2"/>
  <c r="BR77" i="2"/>
  <c r="BR52" i="2"/>
  <c r="BR9" i="7"/>
  <c r="BX5" i="7"/>
  <c r="BS3" i="7"/>
  <c r="AP7" i="14"/>
  <c r="AP11" i="14"/>
  <c r="AP12" i="14" s="1"/>
  <c r="CC7" i="14"/>
  <c r="CC11" i="14"/>
  <c r="CC12" i="14" s="1"/>
  <c r="BQ45" i="9"/>
  <c r="BQ3" i="14"/>
  <c r="BQ55" i="9"/>
  <c r="BQ51" i="9"/>
  <c r="BQ3" i="11"/>
  <c r="BQ27" i="11"/>
  <c r="BQ59" i="1"/>
  <c r="BQ52" i="2"/>
  <c r="BQ32" i="9"/>
  <c r="BQ23" i="9"/>
  <c r="M24" i="19" s="1"/>
  <c r="BQ3" i="1"/>
  <c r="BQ3" i="2"/>
  <c r="M32" i="19" s="1"/>
  <c r="BQ106" i="1"/>
  <c r="BQ83" i="2"/>
  <c r="BQ130" i="1"/>
  <c r="BQ93" i="2"/>
  <c r="BQ77" i="2"/>
  <c r="BQ3" i="9"/>
  <c r="M4" i="19" s="1"/>
  <c r="BQ25" i="1"/>
  <c r="BQ9" i="7"/>
  <c r="CZ582" i="20"/>
  <c r="CZ582" i="15"/>
  <c r="W55" i="9"/>
  <c r="W30" i="9"/>
  <c r="W54" i="9"/>
  <c r="CV583" i="20"/>
  <c r="CV583" i="15"/>
  <c r="BW4" i="11"/>
  <c r="BW6" i="11" s="1"/>
  <c r="AR83" i="19"/>
  <c r="CV95" i="2"/>
  <c r="AQ162" i="1"/>
  <c r="AX44" i="2"/>
  <c r="AX63" i="2"/>
  <c r="CU15" i="14"/>
  <c r="CU17" i="14"/>
  <c r="CU16" i="14"/>
  <c r="DT582" i="20" s="1"/>
  <c r="CU18" i="14"/>
  <c r="AO7" i="14"/>
  <c r="AO11" i="14"/>
  <c r="AO12" i="14" s="1"/>
  <c r="AI18" i="14"/>
  <c r="AI17" i="14"/>
  <c r="AI16" i="14"/>
  <c r="AR82" i="2"/>
  <c r="BN3" i="14"/>
  <c r="BN55" i="9"/>
  <c r="BN51" i="9"/>
  <c r="BN3" i="9"/>
  <c r="J4" i="19" s="1"/>
  <c r="BN130" i="1"/>
  <c r="BN27" i="11"/>
  <c r="BN32" i="9"/>
  <c r="BN93" i="2"/>
  <c r="BN83" i="2"/>
  <c r="BN59" i="1"/>
  <c r="BN52" i="2"/>
  <c r="BN9" i="7"/>
  <c r="BN45" i="9"/>
  <c r="BN106" i="1"/>
  <c r="BN25" i="1"/>
  <c r="BN3" i="1"/>
  <c r="BN3" i="2"/>
  <c r="J32" i="19" s="1"/>
  <c r="BN77" i="2"/>
  <c r="BN3" i="11"/>
  <c r="BN23" i="9"/>
  <c r="J24" i="19" s="1"/>
  <c r="CH16" i="14"/>
  <c r="CH17" i="14"/>
  <c r="CH18" i="14"/>
  <c r="AM583" i="20"/>
  <c r="N4" i="11"/>
  <c r="DF583" i="20"/>
  <c r="DF583" i="15"/>
  <c r="CG4" i="11"/>
  <c r="CG6" i="11" s="1"/>
  <c r="BP163" i="15"/>
  <c r="AW36" i="2"/>
  <c r="AY16" i="2"/>
  <c r="C45" i="19" s="1"/>
  <c r="CV582" i="20"/>
  <c r="CV582" i="15"/>
  <c r="CW75" i="2"/>
  <c r="CW67" i="2"/>
  <c r="CW80" i="2" s="1"/>
  <c r="CW79" i="2"/>
  <c r="DL27" i="9"/>
  <c r="DK77" i="1"/>
  <c r="AJ21" i="14"/>
  <c r="AJ13" i="14"/>
  <c r="DN93" i="1"/>
  <c r="DE583" i="15"/>
  <c r="CF4" i="11"/>
  <c r="CF6" i="11" s="1"/>
  <c r="DE583" i="20"/>
  <c r="DL9" i="1"/>
  <c r="DK64" i="1"/>
  <c r="BP45" i="9"/>
  <c r="BP51" i="9"/>
  <c r="BP3" i="9"/>
  <c r="L4" i="19" s="1"/>
  <c r="BP130" i="1"/>
  <c r="BP27" i="11"/>
  <c r="BP55" i="9"/>
  <c r="BP3" i="11"/>
  <c r="BP3" i="14"/>
  <c r="BP25" i="1"/>
  <c r="BP59" i="1"/>
  <c r="BP52" i="2"/>
  <c r="BP23" i="9"/>
  <c r="L24" i="19" s="1"/>
  <c r="BP3" i="1"/>
  <c r="BP9" i="7"/>
  <c r="BP106" i="1"/>
  <c r="BP32" i="9"/>
  <c r="BP93" i="2"/>
  <c r="BP83" i="2"/>
  <c r="BP3" i="2"/>
  <c r="L32" i="19" s="1"/>
  <c r="BP77" i="2"/>
  <c r="AS63" i="2"/>
  <c r="AS44" i="2"/>
  <c r="AT38" i="2"/>
  <c r="AT63" i="2" s="1"/>
  <c r="AS577" i="15"/>
  <c r="AS577" i="20"/>
  <c r="S24" i="9"/>
  <c r="T76" i="1"/>
  <c r="U24" i="9"/>
  <c r="T64" i="9"/>
  <c r="AN31" i="14"/>
  <c r="AO31" i="14" s="1"/>
  <c r="AN13" i="14"/>
  <c r="DI185" i="1"/>
  <c r="DJ78" i="2"/>
  <c r="DJ81" i="2" s="1"/>
  <c r="DC158" i="1"/>
  <c r="AR40" i="1"/>
  <c r="AR149" i="1" s="1"/>
  <c r="AR145" i="1" s="1"/>
  <c r="AR151" i="1" s="1"/>
  <c r="CZ583" i="20"/>
  <c r="CZ583" i="15"/>
  <c r="CA4" i="11"/>
  <c r="CA6" i="11" s="1"/>
  <c r="AP75" i="2"/>
  <c r="AP79" i="2"/>
  <c r="AP67" i="2"/>
  <c r="AP80" i="2" s="1"/>
  <c r="AQ82" i="2" s="1"/>
  <c r="CW7" i="14"/>
  <c r="CW11" i="14"/>
  <c r="CW12" i="14" s="1"/>
  <c r="CC75" i="2"/>
  <c r="CC79" i="2"/>
  <c r="Y83" i="19" s="1"/>
  <c r="CC67" i="2"/>
  <c r="CC80" i="2" s="1"/>
  <c r="CR13" i="14"/>
  <c r="CB13" i="14"/>
  <c r="CB31" i="14"/>
  <c r="CC31" i="14" s="1"/>
  <c r="CQ18" i="14"/>
  <c r="CQ17" i="14"/>
  <c r="CQ15" i="14"/>
  <c r="CQ16" i="14"/>
  <c r="DP582" i="20" s="1"/>
  <c r="DE582" i="20"/>
  <c r="DE582" i="15"/>
  <c r="CA5" i="7"/>
  <c r="BV3" i="7"/>
  <c r="AN83" i="19"/>
  <c r="CR95" i="2"/>
  <c r="DF582" i="20"/>
  <c r="DF582" i="15"/>
  <c r="DK10" i="14"/>
  <c r="DK146" i="1"/>
  <c r="DK50" i="1"/>
  <c r="DK85" i="2" s="1"/>
  <c r="BZ14" i="20"/>
  <c r="BZ14" i="15"/>
  <c r="BA159" i="1"/>
  <c r="BB30" i="2"/>
  <c r="BA62" i="2"/>
  <c r="BA28" i="2"/>
  <c r="BA16" i="2" s="1"/>
  <c r="BA36" i="2" s="1"/>
  <c r="BA38" i="2" s="1"/>
  <c r="DL10" i="14"/>
  <c r="DL146" i="1"/>
  <c r="DL50" i="1"/>
  <c r="BU340" i="20"/>
  <c r="BU340" i="15"/>
  <c r="AV161" i="1"/>
  <c r="AV50" i="2"/>
  <c r="AV66" i="2"/>
  <c r="AV4" i="14"/>
  <c r="AU44" i="2"/>
  <c r="AU63" i="2"/>
  <c r="DL27" i="2"/>
  <c r="BH56" i="19" s="1"/>
  <c r="DO583" i="20"/>
  <c r="CP4" i="11"/>
  <c r="CP6" i="11" s="1"/>
  <c r="AQ6" i="14"/>
  <c r="BZ5" i="7"/>
  <c r="BU3" i="7"/>
  <c r="CY64" i="2"/>
  <c r="DY577" i="20"/>
  <c r="AW29" i="19"/>
  <c r="AV25" i="19"/>
  <c r="AV30" i="19"/>
  <c r="DY578" i="20"/>
  <c r="AV42" i="19"/>
  <c r="DY580" i="20"/>
  <c r="DY575" i="20"/>
  <c r="AV11" i="19"/>
  <c r="DX52" i="20"/>
  <c r="DX313" i="20"/>
  <c r="AU71" i="19"/>
  <c r="AV13" i="19"/>
  <c r="DY588" i="20"/>
  <c r="EE4" i="9"/>
  <c r="ED4" i="9"/>
  <c r="EC4" i="9"/>
  <c r="EB4" i="9"/>
  <c r="EA15" i="9"/>
  <c r="EA16" i="9" s="1"/>
  <c r="DW53" i="9"/>
  <c r="DL48" i="9"/>
  <c r="DL47" i="9" s="1"/>
  <c r="DK73" i="1"/>
  <c r="EA25" i="9"/>
  <c r="EA5" i="9"/>
  <c r="DN8" i="9"/>
  <c r="BJ9" i="19" s="1"/>
  <c r="DM7" i="9"/>
  <c r="BI8" i="19" s="1"/>
  <c r="DN47" i="9"/>
  <c r="DM48" i="9"/>
  <c r="DM73" i="1" s="1"/>
  <c r="DN46" i="9"/>
  <c r="DJ26" i="2" l="1"/>
  <c r="BF55" i="19" s="1"/>
  <c r="BF54" i="19"/>
  <c r="DM27" i="9"/>
  <c r="BI28" i="19" s="1"/>
  <c r="BH28" i="19"/>
  <c r="DL8" i="9"/>
  <c r="DN13" i="9" s="1"/>
  <c r="BJ14" i="19" s="1"/>
  <c r="BH8" i="19"/>
  <c r="CH98" i="2"/>
  <c r="O17" i="14"/>
  <c r="O18" i="14"/>
  <c r="O16" i="14"/>
  <c r="AN582" i="20" s="1"/>
  <c r="P13" i="14"/>
  <c r="CV15" i="14"/>
  <c r="CV18" i="14"/>
  <c r="CV16" i="14"/>
  <c r="DU582" i="20" s="1"/>
  <c r="BQ163" i="20"/>
  <c r="AS6" i="14"/>
  <c r="BR310" i="20" s="1"/>
  <c r="AR27" i="1"/>
  <c r="AR26" i="1" s="1"/>
  <c r="AR48" i="1" s="1"/>
  <c r="BQ163" i="15"/>
  <c r="AI83" i="19"/>
  <c r="CM95" i="2"/>
  <c r="CM13" i="14"/>
  <c r="CK4" i="11"/>
  <c r="CK6" i="11" s="1"/>
  <c r="DJ583" i="20"/>
  <c r="BY3" i="7"/>
  <c r="CD5" i="7"/>
  <c r="CM97" i="2"/>
  <c r="CM30" i="11"/>
  <c r="AR6" i="14"/>
  <c r="AR7" i="14" s="1"/>
  <c r="CL18" i="14"/>
  <c r="CL15" i="14"/>
  <c r="CL16" i="14"/>
  <c r="DK582" i="20" s="1"/>
  <c r="CL17" i="14"/>
  <c r="BT106" i="1"/>
  <c r="BT51" i="9"/>
  <c r="BT3" i="11"/>
  <c r="BT59" i="1"/>
  <c r="BT3" i="2"/>
  <c r="P32" i="19" s="1"/>
  <c r="BT45" i="9"/>
  <c r="BT93" i="2"/>
  <c r="BT3" i="1"/>
  <c r="BT52" i="2"/>
  <c r="BT32" i="9"/>
  <c r="BT9" i="7"/>
  <c r="BT25" i="1"/>
  <c r="BT83" i="2"/>
  <c r="BT3" i="9"/>
  <c r="P4" i="19" s="1"/>
  <c r="BT23" i="9"/>
  <c r="P24" i="19" s="1"/>
  <c r="BT77" i="2"/>
  <c r="BT55" i="9"/>
  <c r="BT130" i="1"/>
  <c r="BT3" i="14"/>
  <c r="DK84" i="2"/>
  <c r="DL85" i="2"/>
  <c r="DL86" i="2" s="1"/>
  <c r="DL87" i="2" s="1"/>
  <c r="DD5" i="14"/>
  <c r="AV578" i="20"/>
  <c r="AV578" i="15"/>
  <c r="W63" i="9"/>
  <c r="BD55" i="19"/>
  <c r="AR577" i="15"/>
  <c r="T28" i="9"/>
  <c r="AR577" i="20"/>
  <c r="R24" i="9"/>
  <c r="S64" i="9"/>
  <c r="S76" i="1"/>
  <c r="BH582" i="15"/>
  <c r="BH582" i="20"/>
  <c r="BS3" i="14"/>
  <c r="BS55" i="9"/>
  <c r="BS51" i="9"/>
  <c r="BS32" i="9"/>
  <c r="BS3" i="9"/>
  <c r="O4" i="19" s="1"/>
  <c r="BS3" i="11"/>
  <c r="BS27" i="11"/>
  <c r="BS23" i="9"/>
  <c r="O24" i="19" s="1"/>
  <c r="BS45" i="9"/>
  <c r="BS25" i="1"/>
  <c r="BS106" i="1"/>
  <c r="BS59" i="1"/>
  <c r="BS3" i="1"/>
  <c r="BS130" i="1"/>
  <c r="BS3" i="2"/>
  <c r="O32" i="19" s="1"/>
  <c r="BS77" i="2"/>
  <c r="BS9" i="7"/>
  <c r="BS83" i="2"/>
  <c r="BS52" i="2"/>
  <c r="BS93" i="2"/>
  <c r="DP583" i="20"/>
  <c r="CQ4" i="11"/>
  <c r="CQ6" i="11" s="1"/>
  <c r="CR6" i="11" s="1"/>
  <c r="CR96" i="2"/>
  <c r="CR98" i="2"/>
  <c r="DG582" i="20"/>
  <c r="DG582" i="15"/>
  <c r="AP31" i="14"/>
  <c r="AP13" i="14"/>
  <c r="AV7" i="14"/>
  <c r="AV11" i="14"/>
  <c r="AV12" i="14" s="1"/>
  <c r="AV67" i="2"/>
  <c r="AV80" i="2" s="1"/>
  <c r="AV79" i="2"/>
  <c r="AV75" i="2"/>
  <c r="BV3" i="11"/>
  <c r="BV55" i="9"/>
  <c r="BV130" i="1"/>
  <c r="BV51" i="9"/>
  <c r="BV45" i="9"/>
  <c r="BV32" i="9"/>
  <c r="BV3" i="14"/>
  <c r="BV93" i="2"/>
  <c r="BV3" i="1"/>
  <c r="BV77" i="2"/>
  <c r="BV9" i="7"/>
  <c r="BV23" i="9"/>
  <c r="R24" i="19" s="1"/>
  <c r="BV25" i="1"/>
  <c r="BV83" i="2"/>
  <c r="BV59" i="1"/>
  <c r="BV3" i="2"/>
  <c r="R32" i="19" s="1"/>
  <c r="BV52" i="2"/>
  <c r="BV3" i="9"/>
  <c r="R4" i="19" s="1"/>
  <c r="BV106" i="1"/>
  <c r="CB16" i="14"/>
  <c r="CB17" i="14"/>
  <c r="CB18" i="14"/>
  <c r="CB15" i="14"/>
  <c r="DL64" i="1"/>
  <c r="DM9" i="1"/>
  <c r="DM27" i="2" s="1"/>
  <c r="BI56" i="19" s="1"/>
  <c r="DK14" i="1"/>
  <c r="DL14" i="1" s="1"/>
  <c r="DL77" i="1"/>
  <c r="BX3" i="7"/>
  <c r="CC5" i="7"/>
  <c r="DN28" i="1"/>
  <c r="DO29" i="1"/>
  <c r="DO93" i="1"/>
  <c r="AT577" i="20"/>
  <c r="AT577" i="15"/>
  <c r="V28" i="9"/>
  <c r="Z28" i="9"/>
  <c r="U76" i="1"/>
  <c r="Z18" i="9"/>
  <c r="CG5" i="7"/>
  <c r="CB3" i="7"/>
  <c r="AJ18" i="14"/>
  <c r="AJ16" i="14"/>
  <c r="AJ17" i="14"/>
  <c r="BW3" i="11"/>
  <c r="BW55" i="9"/>
  <c r="BW45" i="9"/>
  <c r="BW23" i="9"/>
  <c r="S24" i="19" s="1"/>
  <c r="BW32" i="9"/>
  <c r="BW3" i="14"/>
  <c r="BW3" i="9"/>
  <c r="S4" i="19" s="1"/>
  <c r="BW59" i="1"/>
  <c r="BW25" i="1"/>
  <c r="BW83" i="2"/>
  <c r="BW3" i="2"/>
  <c r="S32" i="19" s="1"/>
  <c r="BW52" i="2"/>
  <c r="BW93" i="2"/>
  <c r="BW77" i="2"/>
  <c r="BW106" i="1"/>
  <c r="BW130" i="1"/>
  <c r="BW9" i="7"/>
  <c r="BW51" i="9"/>
  <c r="BW3" i="1"/>
  <c r="AU47" i="2"/>
  <c r="AU46" i="2"/>
  <c r="BH583" i="20"/>
  <c r="BH583" i="15"/>
  <c r="AI4" i="11"/>
  <c r="CA14" i="20"/>
  <c r="CA14" i="15"/>
  <c r="BB159" i="1"/>
  <c r="BC30" i="2"/>
  <c r="BD30" i="2" s="1"/>
  <c r="BB28" i="2"/>
  <c r="BB16" i="2" s="1"/>
  <c r="BB36" i="2" s="1"/>
  <c r="BB38" i="2" s="1"/>
  <c r="BB62" i="2"/>
  <c r="CA3" i="7"/>
  <c r="CF5" i="7"/>
  <c r="CR18" i="14"/>
  <c r="CR17" i="14"/>
  <c r="CR16" i="14"/>
  <c r="DQ582" i="20" s="1"/>
  <c r="AS47" i="2"/>
  <c r="AS46" i="2"/>
  <c r="AT44" i="2"/>
  <c r="AT46" i="2" s="1"/>
  <c r="DN27" i="9"/>
  <c r="BJ28" i="19" s="1"/>
  <c r="DM77" i="1"/>
  <c r="DM14" i="1" s="1"/>
  <c r="AO21" i="14"/>
  <c r="AO13" i="14"/>
  <c r="DM146" i="1"/>
  <c r="DM50" i="1"/>
  <c r="DM85" i="2" s="1"/>
  <c r="DM10" i="14"/>
  <c r="BP368" i="20"/>
  <c r="BP368" i="15"/>
  <c r="BP310" i="20"/>
  <c r="BP310" i="15"/>
  <c r="AQ7" i="14"/>
  <c r="DT583" i="20"/>
  <c r="CU4" i="11"/>
  <c r="CU6" i="11" s="1"/>
  <c r="AX47" i="2"/>
  <c r="AX46" i="2"/>
  <c r="AW38" i="2"/>
  <c r="AY36" i="2"/>
  <c r="C66" i="19" s="1"/>
  <c r="DG583" i="15"/>
  <c r="DG583" i="20"/>
  <c r="CH4" i="11"/>
  <c r="BA63" i="2"/>
  <c r="BA44" i="2"/>
  <c r="BU3" i="11"/>
  <c r="BU51" i="9"/>
  <c r="BU32" i="9"/>
  <c r="BU3" i="9"/>
  <c r="Q4" i="19" s="1"/>
  <c r="BU55" i="9"/>
  <c r="BU23" i="9"/>
  <c r="Q24" i="19" s="1"/>
  <c r="BU106" i="1"/>
  <c r="BU59" i="1"/>
  <c r="BU3" i="14"/>
  <c r="BU3" i="1"/>
  <c r="BU77" i="2"/>
  <c r="BU9" i="7"/>
  <c r="BU25" i="1"/>
  <c r="BU83" i="2"/>
  <c r="BU45" i="9"/>
  <c r="BU52" i="2"/>
  <c r="BU3" i="2"/>
  <c r="Q32" i="19" s="1"/>
  <c r="BU130" i="1"/>
  <c r="BU93" i="2"/>
  <c r="CC30" i="11"/>
  <c r="Y84" i="19"/>
  <c r="DJ185" i="1"/>
  <c r="DK78" i="2"/>
  <c r="CH6" i="11"/>
  <c r="AS83" i="19"/>
  <c r="CW95" i="2"/>
  <c r="DU583" i="20"/>
  <c r="CV4" i="11"/>
  <c r="CV6" i="11" s="1"/>
  <c r="AN17" i="14"/>
  <c r="AN15" i="14"/>
  <c r="AN16" i="14"/>
  <c r="AN18" i="14"/>
  <c r="CW13" i="14"/>
  <c r="CC13" i="14"/>
  <c r="CC21" i="14"/>
  <c r="AZ36" i="2"/>
  <c r="BZ3" i="7"/>
  <c r="CE5" i="7"/>
  <c r="BQ592" i="20"/>
  <c r="BQ592" i="15"/>
  <c r="AR154" i="1"/>
  <c r="AR155" i="1" s="1"/>
  <c r="AR152" i="1"/>
  <c r="AR165" i="1"/>
  <c r="CW97" i="2"/>
  <c r="CW30" i="11"/>
  <c r="AV34" i="19"/>
  <c r="DB40" i="9"/>
  <c r="DB41" i="9" s="1"/>
  <c r="AV35" i="19"/>
  <c r="AV79" i="19"/>
  <c r="AV27" i="19"/>
  <c r="DY147" i="20"/>
  <c r="CY148" i="1"/>
  <c r="DB17" i="9"/>
  <c r="AW18" i="19"/>
  <c r="DX53" i="9"/>
  <c r="EC25" i="9"/>
  <c r="EB15" i="9"/>
  <c r="EF4" i="9"/>
  <c r="EB5" i="9"/>
  <c r="EB25" i="9"/>
  <c r="ED25" i="9"/>
  <c r="EC15" i="9"/>
  <c r="EC5" i="9"/>
  <c r="DO8" i="9"/>
  <c r="DN7" i="9"/>
  <c r="BJ8" i="19" s="1"/>
  <c r="EA6" i="9"/>
  <c r="EA2" i="9"/>
  <c r="DL73" i="1"/>
  <c r="DL74" i="1" s="1"/>
  <c r="DK12" i="1"/>
  <c r="EE25" i="9"/>
  <c r="ED15" i="9"/>
  <c r="ED5" i="9"/>
  <c r="DN48" i="9"/>
  <c r="DN73" i="1" s="1"/>
  <c r="DO46" i="9"/>
  <c r="DO47" i="9"/>
  <c r="EE15" i="9"/>
  <c r="EE5" i="9"/>
  <c r="DM12" i="1"/>
  <c r="BH9" i="19" l="1"/>
  <c r="DM13" i="9"/>
  <c r="BI14" i="19" s="1"/>
  <c r="DO13" i="9"/>
  <c r="BK14" i="19" s="1"/>
  <c r="BK9" i="19"/>
  <c r="BR368" i="20"/>
  <c r="P18" i="14"/>
  <c r="P16" i="14"/>
  <c r="P17" i="14"/>
  <c r="BR310" i="15"/>
  <c r="BR368" i="15"/>
  <c r="AN583" i="20"/>
  <c r="O4" i="11"/>
  <c r="CW6" i="11"/>
  <c r="BE30" i="2"/>
  <c r="BE28" i="2" s="1"/>
  <c r="CH5" i="11"/>
  <c r="BQ368" i="15"/>
  <c r="CI5" i="7"/>
  <c r="CD3" i="7"/>
  <c r="BQ310" i="20"/>
  <c r="BQ310" i="15"/>
  <c r="BQ368" i="20"/>
  <c r="CM16" i="14"/>
  <c r="DL582" i="20" s="1"/>
  <c r="CM17" i="14"/>
  <c r="CM18" i="14"/>
  <c r="BY45" i="9"/>
  <c r="BY3" i="2"/>
  <c r="U32" i="19" s="1"/>
  <c r="BY32" i="9"/>
  <c r="BY93" i="2"/>
  <c r="BY83" i="2"/>
  <c r="BY23" i="9"/>
  <c r="U24" i="19" s="1"/>
  <c r="BY52" i="2"/>
  <c r="BY3" i="1"/>
  <c r="BY3" i="14"/>
  <c r="BY51" i="9"/>
  <c r="BY3" i="11"/>
  <c r="BY77" i="2"/>
  <c r="BY106" i="1"/>
  <c r="BY55" i="9"/>
  <c r="BY3" i="9"/>
  <c r="U4" i="19" s="1"/>
  <c r="BY9" i="7"/>
  <c r="BY130" i="1"/>
  <c r="BY59" i="1"/>
  <c r="BY25" i="1"/>
  <c r="DK583" i="20"/>
  <c r="CL4" i="11"/>
  <c r="CL6" i="11" s="1"/>
  <c r="CM6" i="11" s="1"/>
  <c r="CM96" i="2"/>
  <c r="CM98" i="2"/>
  <c r="BT340" i="20"/>
  <c r="BT340" i="15"/>
  <c r="AU4" i="14"/>
  <c r="AU161" i="1"/>
  <c r="AU50" i="2"/>
  <c r="AU66" i="2"/>
  <c r="AZ38" i="2"/>
  <c r="BM583" i="20"/>
  <c r="BM583" i="15"/>
  <c r="AN4" i="11"/>
  <c r="AN6" i="11" s="1"/>
  <c r="AO6" i="11" s="1"/>
  <c r="BR340" i="20"/>
  <c r="BR340" i="15"/>
  <c r="AS4" i="14"/>
  <c r="AS161" i="1"/>
  <c r="AT161" i="1" s="1"/>
  <c r="AT163" i="1" s="1"/>
  <c r="AS66" i="2"/>
  <c r="AS50" i="2"/>
  <c r="AT47" i="2"/>
  <c r="DO28" i="1"/>
  <c r="DP29" i="1"/>
  <c r="DA583" i="20"/>
  <c r="DA583" i="15"/>
  <c r="CB4" i="11"/>
  <c r="CB6" i="11" s="1"/>
  <c r="CC6" i="11" s="1"/>
  <c r="DM64" i="1"/>
  <c r="DN9" i="1"/>
  <c r="DN27" i="2" s="1"/>
  <c r="BJ56" i="19" s="1"/>
  <c r="CA45" i="9"/>
  <c r="CA3" i="11"/>
  <c r="CA3" i="14"/>
  <c r="CA106" i="1"/>
  <c r="CA130" i="1"/>
  <c r="CA51" i="9"/>
  <c r="CA23" i="9"/>
  <c r="W24" i="19" s="1"/>
  <c r="CA55" i="9"/>
  <c r="CA3" i="9"/>
  <c r="W4" i="19" s="1"/>
  <c r="CA93" i="2"/>
  <c r="CA83" i="2"/>
  <c r="CA52" i="2"/>
  <c r="CA77" i="2"/>
  <c r="CA32" i="9"/>
  <c r="CA25" i="1"/>
  <c r="CA3" i="1"/>
  <c r="CA9" i="7"/>
  <c r="CA3" i="2"/>
  <c r="W32" i="19" s="1"/>
  <c r="CA59" i="1"/>
  <c r="BM582" i="20"/>
  <c r="BM582" i="15"/>
  <c r="BA47" i="2"/>
  <c r="BA46" i="2"/>
  <c r="T55" i="9"/>
  <c r="T30" i="9"/>
  <c r="T54" i="9"/>
  <c r="DP93" i="1"/>
  <c r="BB63" i="2"/>
  <c r="BB44" i="2"/>
  <c r="D59" i="19"/>
  <c r="BD62" i="2"/>
  <c r="BD159" i="1"/>
  <c r="CC14" i="15"/>
  <c r="CC14" i="20"/>
  <c r="CB14" i="15"/>
  <c r="CB14" i="20"/>
  <c r="BC159" i="1"/>
  <c r="BC28" i="2"/>
  <c r="BC16" i="2" s="1"/>
  <c r="BC62" i="2"/>
  <c r="Z29" i="9"/>
  <c r="Z30" i="9"/>
  <c r="DN50" i="1"/>
  <c r="DN85" i="2" s="1"/>
  <c r="DN84" i="2" s="1"/>
  <c r="DN25" i="2" s="1"/>
  <c r="DN146" i="1"/>
  <c r="DN10" i="14"/>
  <c r="DA582" i="20"/>
  <c r="DA582" i="15"/>
  <c r="AV13" i="14"/>
  <c r="AV31" i="14"/>
  <c r="CW17" i="14"/>
  <c r="CW16" i="14"/>
  <c r="DV582" i="20" s="1"/>
  <c r="CW18" i="14"/>
  <c r="DK185" i="1"/>
  <c r="DL78" i="2"/>
  <c r="DQ583" i="20"/>
  <c r="CR4" i="11"/>
  <c r="CR5" i="11" s="1"/>
  <c r="BI583" i="20"/>
  <c r="BI583" i="15"/>
  <c r="AJ4" i="11"/>
  <c r="V55" i="9"/>
  <c r="V30" i="9"/>
  <c r="V54" i="9"/>
  <c r="CH5" i="7"/>
  <c r="CC3" i="7"/>
  <c r="DE33" i="2"/>
  <c r="DE20" i="2" s="1"/>
  <c r="AO17" i="14"/>
  <c r="AO18" i="14"/>
  <c r="AO16" i="14"/>
  <c r="DM84" i="2"/>
  <c r="DM25" i="2" s="1"/>
  <c r="BI54" i="19" s="1"/>
  <c r="BI582" i="20"/>
  <c r="BI582" i="15"/>
  <c r="AR31" i="14"/>
  <c r="AR13" i="14"/>
  <c r="AQ577" i="20"/>
  <c r="AQ577" i="15"/>
  <c r="S28" i="9"/>
  <c r="Q24" i="9"/>
  <c r="R64" i="9"/>
  <c r="R76" i="1"/>
  <c r="CB45" i="9"/>
  <c r="CB3" i="11"/>
  <c r="CB3" i="14"/>
  <c r="CB130" i="1"/>
  <c r="CB51" i="9"/>
  <c r="CB23" i="9"/>
  <c r="X24" i="19" s="1"/>
  <c r="CB83" i="2"/>
  <c r="CB93" i="2"/>
  <c r="CB52" i="2"/>
  <c r="CB106" i="1"/>
  <c r="CB77" i="2"/>
  <c r="CB32" i="9"/>
  <c r="CB25" i="1"/>
  <c r="CB3" i="9"/>
  <c r="X4" i="19" s="1"/>
  <c r="CB55" i="9"/>
  <c r="CB3" i="1"/>
  <c r="CB3" i="2"/>
  <c r="X32" i="19" s="1"/>
  <c r="CB9" i="7"/>
  <c r="CB59" i="1"/>
  <c r="AQ31" i="14"/>
  <c r="AQ13" i="14"/>
  <c r="CL5" i="7"/>
  <c r="CG3" i="7"/>
  <c r="CC16" i="14"/>
  <c r="CC17" i="14"/>
  <c r="CC18" i="14"/>
  <c r="CW96" i="2"/>
  <c r="CW98" i="2"/>
  <c r="BX27" i="11"/>
  <c r="BX45" i="9"/>
  <c r="BX23" i="9"/>
  <c r="T24" i="19" s="1"/>
  <c r="BX32" i="9"/>
  <c r="BX3" i="11"/>
  <c r="BX3" i="9"/>
  <c r="T4" i="19" s="1"/>
  <c r="BX77" i="2"/>
  <c r="BX55" i="9"/>
  <c r="BX3" i="14"/>
  <c r="BX51" i="9"/>
  <c r="BX59" i="1"/>
  <c r="BX3" i="2"/>
  <c r="T32" i="19" s="1"/>
  <c r="BX52" i="2"/>
  <c r="BX93" i="2"/>
  <c r="BX9" i="7"/>
  <c r="BX25" i="1"/>
  <c r="BX83" i="2"/>
  <c r="BX106" i="1"/>
  <c r="BX130" i="1"/>
  <c r="BX3" i="1"/>
  <c r="AP18" i="14"/>
  <c r="AP15" i="14"/>
  <c r="AP16" i="14"/>
  <c r="AP17" i="14"/>
  <c r="BW340" i="20"/>
  <c r="BW340" i="15"/>
  <c r="AX161" i="1"/>
  <c r="AX4" i="14"/>
  <c r="AX66" i="2"/>
  <c r="AX50" i="2"/>
  <c r="CK5" i="7"/>
  <c r="CF3" i="7"/>
  <c r="AZ62" i="19"/>
  <c r="CJ5" i="7"/>
  <c r="CE3" i="7"/>
  <c r="DN77" i="1"/>
  <c r="DN14" i="1" s="1"/>
  <c r="DO27" i="9"/>
  <c r="BK28" i="19" s="1"/>
  <c r="BZ3" i="11"/>
  <c r="BZ45" i="9"/>
  <c r="BZ51" i="9"/>
  <c r="BZ23" i="9"/>
  <c r="V24" i="19" s="1"/>
  <c r="BZ130" i="1"/>
  <c r="BZ32" i="9"/>
  <c r="BZ3" i="14"/>
  <c r="BZ93" i="2"/>
  <c r="BZ83" i="2"/>
  <c r="BZ52" i="2"/>
  <c r="BZ55" i="9"/>
  <c r="BZ77" i="2"/>
  <c r="BZ25" i="1"/>
  <c r="BZ3" i="2"/>
  <c r="V32" i="19" s="1"/>
  <c r="BZ3" i="1"/>
  <c r="BZ106" i="1"/>
  <c r="BZ3" i="9"/>
  <c r="V4" i="19" s="1"/>
  <c r="BZ9" i="7"/>
  <c r="BZ59" i="1"/>
  <c r="AW44" i="2"/>
  <c r="AW63" i="2"/>
  <c r="AY38" i="2"/>
  <c r="DK25" i="2"/>
  <c r="BG54" i="19" s="1"/>
  <c r="DL84" i="2"/>
  <c r="DL88" i="2" s="1"/>
  <c r="AV43" i="19"/>
  <c r="DY576" i="20"/>
  <c r="AX18" i="19"/>
  <c r="DB18" i="9"/>
  <c r="AX19" i="19" s="1"/>
  <c r="DB111" i="1"/>
  <c r="DZ6" i="20"/>
  <c r="DB17" i="2"/>
  <c r="AW46" i="19"/>
  <c r="AV41" i="19"/>
  <c r="AV33" i="19"/>
  <c r="DY7" i="20"/>
  <c r="AV60" i="19"/>
  <c r="AV61" i="19"/>
  <c r="EF5" i="9"/>
  <c r="EF25" i="9"/>
  <c r="DL12" i="1"/>
  <c r="EE11" i="9"/>
  <c r="ED11" i="9"/>
  <c r="EC11" i="9"/>
  <c r="EB11" i="9"/>
  <c r="EF15" i="9"/>
  <c r="EF16" i="9" s="1"/>
  <c r="DO48" i="9"/>
  <c r="DO73" i="1" s="1"/>
  <c r="DP46" i="9"/>
  <c r="DP47" i="9"/>
  <c r="DN12" i="1"/>
  <c r="DY53" i="9"/>
  <c r="DP8" i="9"/>
  <c r="BL9" i="19" s="1"/>
  <c r="DO7" i="9"/>
  <c r="DZ53" i="9" l="1"/>
  <c r="EA53" i="9" s="1"/>
  <c r="BK8" i="19"/>
  <c r="DN26" i="2"/>
  <c r="BJ55" i="19" s="1"/>
  <c r="BJ54" i="19"/>
  <c r="DE31" i="2"/>
  <c r="BE62" i="2"/>
  <c r="BE159" i="1"/>
  <c r="CD14" i="15"/>
  <c r="CD14" i="20"/>
  <c r="BF30" i="2"/>
  <c r="CE14" i="15" s="1"/>
  <c r="AO583" i="20"/>
  <c r="AO583" i="15"/>
  <c r="P4" i="11"/>
  <c r="AO582" i="15"/>
  <c r="AO582" i="20"/>
  <c r="BD28" i="2"/>
  <c r="D57" i="19" s="1"/>
  <c r="DL583" i="20"/>
  <c r="CM4" i="11"/>
  <c r="CM5" i="11" s="1"/>
  <c r="CD25" i="1"/>
  <c r="CD3" i="11"/>
  <c r="CD83" i="2"/>
  <c r="CD23" i="9"/>
  <c r="Z24" i="19" s="1"/>
  <c r="CD52" i="2"/>
  <c r="CD3" i="14"/>
  <c r="CD93" i="2"/>
  <c r="CD45" i="9"/>
  <c r="CD130" i="1"/>
  <c r="CD106" i="1"/>
  <c r="CD3" i="1"/>
  <c r="CD55" i="9"/>
  <c r="CD51" i="9"/>
  <c r="CD3" i="9"/>
  <c r="Z4" i="19" s="1"/>
  <c r="CD77" i="2"/>
  <c r="CD59" i="1"/>
  <c r="CD32" i="9"/>
  <c r="CD3" i="2"/>
  <c r="Z32" i="19" s="1"/>
  <c r="CD9" i="7"/>
  <c r="CI3" i="7"/>
  <c r="CN5" i="7"/>
  <c r="DK26" i="2"/>
  <c r="BG55" i="19" s="1"/>
  <c r="DL25" i="2"/>
  <c r="DR93" i="1"/>
  <c r="BO582" i="15"/>
  <c r="BO582" i="20"/>
  <c r="CF3" i="14"/>
  <c r="CF32" i="9"/>
  <c r="CF3" i="9"/>
  <c r="AB4" i="19" s="1"/>
  <c r="CF59" i="1"/>
  <c r="CF3" i="1"/>
  <c r="CF83" i="2"/>
  <c r="CF52" i="2"/>
  <c r="CF25" i="1"/>
  <c r="CF51" i="9"/>
  <c r="CF106" i="1"/>
  <c r="CF3" i="2"/>
  <c r="AB32" i="19" s="1"/>
  <c r="CF9" i="7"/>
  <c r="CF77" i="2"/>
  <c r="CF3" i="11"/>
  <c r="CF130" i="1"/>
  <c r="CF45" i="9"/>
  <c r="CF93" i="2"/>
  <c r="CF55" i="9"/>
  <c r="CF23" i="9"/>
  <c r="AB24" i="19" s="1"/>
  <c r="DO50" i="1"/>
  <c r="DO85" i="2" s="1"/>
  <c r="DO84" i="2" s="1"/>
  <c r="DO25" i="2" s="1"/>
  <c r="DO146" i="1"/>
  <c r="DO10" i="14"/>
  <c r="DB582" i="20"/>
  <c r="DB582" i="15"/>
  <c r="BZ340" i="20"/>
  <c r="BA161" i="1"/>
  <c r="BA4" i="14"/>
  <c r="BA50" i="2"/>
  <c r="BA66" i="2"/>
  <c r="BZ340" i="15"/>
  <c r="CL3" i="7"/>
  <c r="CQ5" i="7"/>
  <c r="AP577" i="20"/>
  <c r="AP577" i="15"/>
  <c r="R28" i="9"/>
  <c r="Q64" i="9"/>
  <c r="O24" i="9"/>
  <c r="Q76" i="1"/>
  <c r="DV583" i="20"/>
  <c r="CW4" i="11"/>
  <c r="CW5" i="11" s="1"/>
  <c r="AS67" i="2"/>
  <c r="AS80" i="2" s="1"/>
  <c r="AS75" i="2"/>
  <c r="AS79" i="2"/>
  <c r="BO583" i="20"/>
  <c r="BO583" i="15"/>
  <c r="AP4" i="11"/>
  <c r="AP6" i="11" s="1"/>
  <c r="BC36" i="2"/>
  <c r="BD16" i="2"/>
  <c r="D45" i="19" s="1"/>
  <c r="DM26" i="2"/>
  <c r="BI55" i="19" s="1"/>
  <c r="AS578" i="20"/>
  <c r="AS578" i="15"/>
  <c r="T53" i="9"/>
  <c r="T63" i="9"/>
  <c r="AZ63" i="2"/>
  <c r="AZ44" i="2"/>
  <c r="CK3" i="7"/>
  <c r="CP5" i="7"/>
  <c r="AU67" i="2"/>
  <c r="AU80" i="2" s="1"/>
  <c r="AU79" i="2"/>
  <c r="AU75" i="2"/>
  <c r="AX79" i="2"/>
  <c r="AX75" i="2"/>
  <c r="AX67" i="2"/>
  <c r="AX80" i="2" s="1"/>
  <c r="AQ18" i="14"/>
  <c r="AQ15" i="14"/>
  <c r="AQ16" i="14"/>
  <c r="AQ17" i="14"/>
  <c r="S54" i="9"/>
  <c r="S55" i="9"/>
  <c r="S30" i="9"/>
  <c r="BN583" i="20"/>
  <c r="BN583" i="15"/>
  <c r="AO4" i="11"/>
  <c r="AO5" i="11" s="1"/>
  <c r="CJ3" i="7"/>
  <c r="CO5" i="7"/>
  <c r="DL29" i="11"/>
  <c r="DL185" i="1"/>
  <c r="DM78" i="2"/>
  <c r="C68" i="19"/>
  <c r="AY63" i="2"/>
  <c r="DQ29" i="1"/>
  <c r="DQ28" i="1" s="1"/>
  <c r="DR29" i="1"/>
  <c r="DP28" i="1"/>
  <c r="DP27" i="9"/>
  <c r="BL28" i="19" s="1"/>
  <c r="DO77" i="1"/>
  <c r="DO14" i="1" s="1"/>
  <c r="AX7" i="14"/>
  <c r="AX11" i="14"/>
  <c r="AX12" i="14" s="1"/>
  <c r="AS7" i="14"/>
  <c r="AS11" i="14"/>
  <c r="AS12" i="14" s="1"/>
  <c r="AU7" i="14"/>
  <c r="AU11" i="14"/>
  <c r="AU12" i="14" s="1"/>
  <c r="CC45" i="9"/>
  <c r="CC3" i="14"/>
  <c r="CC55" i="9"/>
  <c r="CC51" i="9"/>
  <c r="CC27" i="11"/>
  <c r="CC130" i="1"/>
  <c r="CC3" i="9"/>
  <c r="Y4" i="19" s="1"/>
  <c r="CC32" i="9"/>
  <c r="CC23" i="9"/>
  <c r="Y24" i="19" s="1"/>
  <c r="CC93" i="2"/>
  <c r="CC52" i="2"/>
  <c r="CC3" i="2"/>
  <c r="Y32" i="19" s="1"/>
  <c r="CC106" i="1"/>
  <c r="CC25" i="1"/>
  <c r="CC3" i="1"/>
  <c r="CC9" i="7"/>
  <c r="CC59" i="1"/>
  <c r="CC3" i="11"/>
  <c r="CC83" i="2"/>
  <c r="CC77" i="2"/>
  <c r="CM5" i="7"/>
  <c r="CH3" i="7"/>
  <c r="AV18" i="14"/>
  <c r="AV17" i="14"/>
  <c r="AV16" i="14"/>
  <c r="AV15" i="14"/>
  <c r="BS340" i="20"/>
  <c r="BS340" i="15"/>
  <c r="AT4" i="14"/>
  <c r="AT66" i="2"/>
  <c r="AT50" i="2"/>
  <c r="BN582" i="20"/>
  <c r="BN582" i="15"/>
  <c r="DN64" i="1"/>
  <c r="DO9" i="1"/>
  <c r="DO27" i="2" s="1"/>
  <c r="BK56" i="19" s="1"/>
  <c r="BE16" i="2"/>
  <c r="DE5" i="14"/>
  <c r="AY578" i="20"/>
  <c r="AY578" i="15"/>
  <c r="BB46" i="2"/>
  <c r="BB47" i="2"/>
  <c r="BA62" i="19"/>
  <c r="DB583" i="20"/>
  <c r="DB583" i="15"/>
  <c r="CC4" i="11"/>
  <c r="CC5" i="11" s="1"/>
  <c r="AW46" i="2"/>
  <c r="AW47" i="2"/>
  <c r="AY44" i="2"/>
  <c r="AU578" i="20"/>
  <c r="V63" i="9"/>
  <c r="AU578" i="15"/>
  <c r="CG3" i="11"/>
  <c r="CG32" i="9"/>
  <c r="CG3" i="9"/>
  <c r="AC4" i="19" s="1"/>
  <c r="CG59" i="1"/>
  <c r="CG106" i="1"/>
  <c r="CG3" i="14"/>
  <c r="CG51" i="9"/>
  <c r="CG130" i="1"/>
  <c r="CG9" i="7"/>
  <c r="CG3" i="1"/>
  <c r="CG77" i="2"/>
  <c r="CG55" i="9"/>
  <c r="CG25" i="1"/>
  <c r="CG83" i="2"/>
  <c r="CG23" i="9"/>
  <c r="AC24" i="19" s="1"/>
  <c r="CG93" i="2"/>
  <c r="CG45" i="9"/>
  <c r="CG3" i="2"/>
  <c r="AC32" i="19" s="1"/>
  <c r="CG52" i="2"/>
  <c r="CE3" i="14"/>
  <c r="CE55" i="9"/>
  <c r="CE51" i="9"/>
  <c r="CE32" i="9"/>
  <c r="CE3" i="9"/>
  <c r="AA4" i="19" s="1"/>
  <c r="CE130" i="1"/>
  <c r="CE25" i="1"/>
  <c r="CE59" i="1"/>
  <c r="CE3" i="1"/>
  <c r="CE106" i="1"/>
  <c r="CE83" i="2"/>
  <c r="CE9" i="7"/>
  <c r="CE3" i="2"/>
  <c r="AA32" i="19" s="1"/>
  <c r="CE45" i="9"/>
  <c r="CE93" i="2"/>
  <c r="CE3" i="11"/>
  <c r="CE52" i="2"/>
  <c r="CE77" i="2"/>
  <c r="CE23" i="9"/>
  <c r="AA24" i="19" s="1"/>
  <c r="AR16" i="14"/>
  <c r="AR15" i="14"/>
  <c r="AR17" i="14"/>
  <c r="AR18" i="14"/>
  <c r="DY14" i="20"/>
  <c r="AV59" i="19"/>
  <c r="AV57" i="19"/>
  <c r="AV37" i="19"/>
  <c r="DY4" i="20"/>
  <c r="AV40" i="19"/>
  <c r="AX46" i="19"/>
  <c r="EA6" i="20"/>
  <c r="DB19" i="2"/>
  <c r="AX48" i="19" s="1"/>
  <c r="EF6" i="9"/>
  <c r="EF2" i="9"/>
  <c r="DR8" i="9"/>
  <c r="DP7" i="9"/>
  <c r="BL8" i="19" s="1"/>
  <c r="DP13" i="9"/>
  <c r="BL14" i="19" s="1"/>
  <c r="DR47" i="9"/>
  <c r="DR46" i="9" s="1"/>
  <c r="DQ46" i="9"/>
  <c r="DP48" i="9"/>
  <c r="DO12" i="1"/>
  <c r="DL26" i="2" l="1"/>
  <c r="BH55" i="19" s="1"/>
  <c r="BH54" i="19"/>
  <c r="DO26" i="2"/>
  <c r="BK55" i="19" s="1"/>
  <c r="BK54" i="19"/>
  <c r="DE16" i="2"/>
  <c r="DE36" i="2" s="1"/>
  <c r="DE38" i="2" s="1"/>
  <c r="DE63" i="2" s="1"/>
  <c r="DE21" i="2"/>
  <c r="DE43" i="2"/>
  <c r="DE56" i="2" s="1"/>
  <c r="DE57" i="2" s="1"/>
  <c r="DE74" i="2" s="1"/>
  <c r="DG20" i="2"/>
  <c r="BC49" i="19" s="1"/>
  <c r="BA49" i="19"/>
  <c r="CE14" i="20"/>
  <c r="BG30" i="2"/>
  <c r="CF14" i="20" s="1"/>
  <c r="BF28" i="2"/>
  <c r="BF16" i="2" s="1"/>
  <c r="BF36" i="2" s="1"/>
  <c r="BF38" i="2" s="1"/>
  <c r="BF44" i="2" s="1"/>
  <c r="BF62" i="2"/>
  <c r="BF159" i="1"/>
  <c r="CI55" i="9"/>
  <c r="CI3" i="2"/>
  <c r="AE32" i="19" s="1"/>
  <c r="CI9" i="7"/>
  <c r="CI45" i="9"/>
  <c r="CI52" i="2"/>
  <c r="CI106" i="1"/>
  <c r="CI93" i="2"/>
  <c r="CI25" i="1"/>
  <c r="CI3" i="1"/>
  <c r="CI83" i="2"/>
  <c r="CI3" i="11"/>
  <c r="CI51" i="9"/>
  <c r="CI32" i="9"/>
  <c r="CI59" i="1"/>
  <c r="CI23" i="9"/>
  <c r="AE24" i="19" s="1"/>
  <c r="CI130" i="1"/>
  <c r="CI77" i="2"/>
  <c r="CI3" i="9"/>
  <c r="AE4" i="19" s="1"/>
  <c r="CI3" i="14"/>
  <c r="CN3" i="7"/>
  <c r="CS5" i="7"/>
  <c r="BU582" i="20"/>
  <c r="BU582" i="15"/>
  <c r="C74" i="19"/>
  <c r="AY46" i="2"/>
  <c r="C76" i="19" s="1"/>
  <c r="AU13" i="14"/>
  <c r="AU31" i="14"/>
  <c r="CH3" i="11"/>
  <c r="CH27" i="11"/>
  <c r="CH51" i="9"/>
  <c r="CH130" i="1"/>
  <c r="CH3" i="9"/>
  <c r="AD4" i="19" s="1"/>
  <c r="CH3" i="14"/>
  <c r="CH55" i="9"/>
  <c r="CH23" i="9"/>
  <c r="AD24" i="19" s="1"/>
  <c r="CH32" i="9"/>
  <c r="CH106" i="1"/>
  <c r="CH93" i="2"/>
  <c r="CH45" i="9"/>
  <c r="CH9" i="7"/>
  <c r="CH77" i="2"/>
  <c r="CH59" i="1"/>
  <c r="CH3" i="1"/>
  <c r="CH83" i="2"/>
  <c r="CH25" i="1"/>
  <c r="CH3" i="2"/>
  <c r="AD32" i="19" s="1"/>
  <c r="CH52" i="2"/>
  <c r="CA340" i="20"/>
  <c r="BB4" i="14"/>
  <c r="BB161" i="1"/>
  <c r="CA340" i="15"/>
  <c r="BB50" i="2"/>
  <c r="BB66" i="2"/>
  <c r="AS13" i="14"/>
  <c r="AS31" i="14"/>
  <c r="AT31" i="14" s="1"/>
  <c r="DS29" i="1"/>
  <c r="DR28" i="1"/>
  <c r="DS93" i="1"/>
  <c r="BQ583" i="20"/>
  <c r="BQ583" i="15"/>
  <c r="AR4" i="11"/>
  <c r="AR6" i="11" s="1"/>
  <c r="DQ146" i="1"/>
  <c r="DQ50" i="1"/>
  <c r="DQ10" i="14"/>
  <c r="CV5" i="7"/>
  <c r="CQ3" i="7"/>
  <c r="DG95" i="1"/>
  <c r="DG92" i="1"/>
  <c r="DO64" i="1"/>
  <c r="DP9" i="1"/>
  <c r="DP27" i="2" s="1"/>
  <c r="BC38" i="2"/>
  <c r="BD36" i="2"/>
  <c r="D66" i="19" s="1"/>
  <c r="CK23" i="9"/>
  <c r="AG24" i="19" s="1"/>
  <c r="CK55" i="9"/>
  <c r="CK32" i="9"/>
  <c r="CK45" i="9"/>
  <c r="CK3" i="11"/>
  <c r="CK51" i="9"/>
  <c r="CK3" i="1"/>
  <c r="CK25" i="1"/>
  <c r="CK3" i="9"/>
  <c r="AG4" i="19" s="1"/>
  <c r="CK3" i="14"/>
  <c r="CK83" i="2"/>
  <c r="CK77" i="2"/>
  <c r="CK59" i="1"/>
  <c r="CK3" i="2"/>
  <c r="AG32" i="19" s="1"/>
  <c r="CK9" i="7"/>
  <c r="CK52" i="2"/>
  <c r="CK106" i="1"/>
  <c r="CK130" i="1"/>
  <c r="CK93" i="2"/>
  <c r="R54" i="9"/>
  <c r="R55" i="9"/>
  <c r="R30" i="9"/>
  <c r="AZ47" i="2"/>
  <c r="AZ46" i="2"/>
  <c r="AR578" i="20"/>
  <c r="AR578" i="15"/>
  <c r="S53" i="9"/>
  <c r="S63" i="9"/>
  <c r="CL55" i="9"/>
  <c r="CL45" i="9"/>
  <c r="CL32" i="9"/>
  <c r="CL23" i="9"/>
  <c r="AH24" i="19" s="1"/>
  <c r="CL51" i="9"/>
  <c r="CL106" i="1"/>
  <c r="CL59" i="1"/>
  <c r="CL25" i="1"/>
  <c r="CL3" i="9"/>
  <c r="AH4" i="19" s="1"/>
  <c r="CL3" i="11"/>
  <c r="CL3" i="1"/>
  <c r="CL3" i="14"/>
  <c r="CL83" i="2"/>
  <c r="CL3" i="2"/>
  <c r="AH32" i="19" s="1"/>
  <c r="CL9" i="7"/>
  <c r="CL130" i="1"/>
  <c r="CL52" i="2"/>
  <c r="CL93" i="2"/>
  <c r="CL77" i="2"/>
  <c r="CT5" i="7"/>
  <c r="CO3" i="7"/>
  <c r="CJ51" i="9"/>
  <c r="CJ23" i="9"/>
  <c r="AF24" i="19" s="1"/>
  <c r="CJ55" i="9"/>
  <c r="CJ3" i="14"/>
  <c r="CJ77" i="2"/>
  <c r="CJ130" i="1"/>
  <c r="CJ59" i="1"/>
  <c r="CJ3" i="1"/>
  <c r="CJ3" i="11"/>
  <c r="CJ25" i="1"/>
  <c r="CJ32" i="9"/>
  <c r="CJ9" i="7"/>
  <c r="CJ3" i="9"/>
  <c r="AF4" i="19" s="1"/>
  <c r="CJ45" i="9"/>
  <c r="CJ93" i="2"/>
  <c r="CJ52" i="2"/>
  <c r="CJ3" i="2"/>
  <c r="AF32" i="19" s="1"/>
  <c r="CJ106" i="1"/>
  <c r="CJ83" i="2"/>
  <c r="BU583" i="20"/>
  <c r="BU583" i="15"/>
  <c r="AV4" i="11"/>
  <c r="AV6" i="11" s="1"/>
  <c r="CU5" i="7"/>
  <c r="CP3" i="7"/>
  <c r="CM3" i="7"/>
  <c r="CR5" i="7"/>
  <c r="AS591" i="20"/>
  <c r="AS591" i="15"/>
  <c r="BP582" i="20"/>
  <c r="BP582" i="15"/>
  <c r="DP77" i="1"/>
  <c r="DQ27" i="9"/>
  <c r="AN577" i="20"/>
  <c r="N24" i="9"/>
  <c r="P24" i="9"/>
  <c r="O76" i="1"/>
  <c r="AT67" i="2"/>
  <c r="AT80" i="2" s="1"/>
  <c r="AT30" i="11" s="1"/>
  <c r="AT75" i="2"/>
  <c r="AT79" i="2"/>
  <c r="BQ582" i="20"/>
  <c r="BQ582" i="15"/>
  <c r="AT7" i="14"/>
  <c r="AT11" i="14"/>
  <c r="AT12" i="14" s="1"/>
  <c r="DM185" i="1"/>
  <c r="DN78" i="2"/>
  <c r="DN81" i="2" s="1"/>
  <c r="BA79" i="2"/>
  <c r="BA75" i="2"/>
  <c r="BA67" i="2"/>
  <c r="BA80" i="2" s="1"/>
  <c r="BE36" i="2"/>
  <c r="BA7" i="14"/>
  <c r="BA11" i="14"/>
  <c r="BA12" i="14" s="1"/>
  <c r="BV340" i="20"/>
  <c r="BV340" i="15"/>
  <c r="AW161" i="1"/>
  <c r="AY161" i="1" s="1"/>
  <c r="AY163" i="1" s="1"/>
  <c r="AW4" i="14"/>
  <c r="AW66" i="2"/>
  <c r="AW50" i="2"/>
  <c r="AY47" i="2"/>
  <c r="DP50" i="1"/>
  <c r="DP85" i="2" s="1"/>
  <c r="DP146" i="1"/>
  <c r="DP10" i="14"/>
  <c r="AX13" i="14"/>
  <c r="AX31" i="14"/>
  <c r="BP583" i="20"/>
  <c r="AQ4" i="11"/>
  <c r="AQ6" i="11" s="1"/>
  <c r="BP583" i="15"/>
  <c r="AV36" i="19"/>
  <c r="DY146" i="20"/>
  <c r="DQ7" i="9"/>
  <c r="BM8" i="19" s="1"/>
  <c r="EB53" i="9"/>
  <c r="DS46" i="9"/>
  <c r="DS47" i="9"/>
  <c r="DR48" i="9"/>
  <c r="DR73" i="1" s="1"/>
  <c r="DS8" i="9"/>
  <c r="DR7" i="9"/>
  <c r="DQ48" i="9"/>
  <c r="DQ47" i="9" s="1"/>
  <c r="DP73" i="1"/>
  <c r="DR27" i="9" l="1"/>
  <c r="BM28" i="19"/>
  <c r="DQ27" i="2"/>
  <c r="BM56" i="19" s="1"/>
  <c r="BL56" i="19"/>
  <c r="CF14" i="15"/>
  <c r="BF63" i="2"/>
  <c r="BG62" i="2"/>
  <c r="BH30" i="2"/>
  <c r="BJ30" i="2" s="1"/>
  <c r="F59" i="19" s="1"/>
  <c r="DE58" i="2"/>
  <c r="BB49" i="19"/>
  <c r="BD49" i="19"/>
  <c r="DK20" i="2"/>
  <c r="BA73" i="19"/>
  <c r="BB73" i="19"/>
  <c r="DE44" i="2"/>
  <c r="BG28" i="2"/>
  <c r="BG16" i="2" s="1"/>
  <c r="BG159" i="1"/>
  <c r="DG91" i="1"/>
  <c r="DG93" i="1" s="1"/>
  <c r="CN77" i="2"/>
  <c r="CN3" i="9"/>
  <c r="AJ4" i="19" s="1"/>
  <c r="CN32" i="9"/>
  <c r="CN9" i="7"/>
  <c r="CN3" i="2"/>
  <c r="AJ32" i="19" s="1"/>
  <c r="CN45" i="9"/>
  <c r="CN106" i="1"/>
  <c r="CN51" i="9"/>
  <c r="CN23" i="9"/>
  <c r="AJ24" i="19" s="1"/>
  <c r="CN130" i="1"/>
  <c r="CN59" i="1"/>
  <c r="CN3" i="14"/>
  <c r="CN3" i="11"/>
  <c r="CN25" i="1"/>
  <c r="CN3" i="1"/>
  <c r="CN93" i="2"/>
  <c r="CN55" i="9"/>
  <c r="CN52" i="2"/>
  <c r="CN83" i="2"/>
  <c r="CS3" i="7"/>
  <c r="CX5" i="7"/>
  <c r="DP84" i="2"/>
  <c r="DQ85" i="2"/>
  <c r="DQ86" i="2" s="1"/>
  <c r="DQ87" i="2" s="1"/>
  <c r="CM27" i="11"/>
  <c r="CM45" i="9"/>
  <c r="CM106" i="1"/>
  <c r="CM55" i="9"/>
  <c r="CM32" i="9"/>
  <c r="CM23" i="9"/>
  <c r="AI24" i="19" s="1"/>
  <c r="CM51" i="9"/>
  <c r="CM3" i="11"/>
  <c r="CM130" i="1"/>
  <c r="CM93" i="2"/>
  <c r="CM83" i="2"/>
  <c r="CM3" i="9"/>
  <c r="AI4" i="19" s="1"/>
  <c r="CM3" i="14"/>
  <c r="CM3" i="2"/>
  <c r="AI32" i="19" s="1"/>
  <c r="CM52" i="2"/>
  <c r="CM9" i="7"/>
  <c r="CM59" i="1"/>
  <c r="CM25" i="1"/>
  <c r="CM3" i="1"/>
  <c r="CM77" i="2"/>
  <c r="CP3" i="14"/>
  <c r="CP55" i="9"/>
  <c r="CP51" i="9"/>
  <c r="CP3" i="11"/>
  <c r="CP45" i="9"/>
  <c r="CP130" i="1"/>
  <c r="CP3" i="9"/>
  <c r="AL4" i="19" s="1"/>
  <c r="CP25" i="1"/>
  <c r="CP23" i="9"/>
  <c r="AL24" i="19" s="1"/>
  <c r="CP83" i="2"/>
  <c r="CP93" i="2"/>
  <c r="CP52" i="2"/>
  <c r="CP3" i="2"/>
  <c r="AL32" i="19" s="1"/>
  <c r="CP106" i="1"/>
  <c r="CP59" i="1"/>
  <c r="CP77" i="2"/>
  <c r="CP32" i="9"/>
  <c r="CP3" i="1"/>
  <c r="CP9" i="7"/>
  <c r="BX340" i="20"/>
  <c r="BX340" i="15"/>
  <c r="C77" i="19"/>
  <c r="AY4" i="14"/>
  <c r="AY66" i="2"/>
  <c r="AY50" i="2"/>
  <c r="AU18" i="14"/>
  <c r="AU17" i="14"/>
  <c r="AU16" i="14"/>
  <c r="AU15" i="14"/>
  <c r="BB7" i="14"/>
  <c r="BB11" i="14"/>
  <c r="BB12" i="14" s="1"/>
  <c r="BE38" i="2"/>
  <c r="DF5" i="14"/>
  <c r="DG68" i="2"/>
  <c r="DG5" i="14" s="1"/>
  <c r="DT93" i="1"/>
  <c r="CW5" i="7"/>
  <c r="CR3" i="7"/>
  <c r="CU3" i="7"/>
  <c r="CZ5" i="7"/>
  <c r="CY5" i="7"/>
  <c r="CT3" i="7"/>
  <c r="BA31" i="14"/>
  <c r="BA13" i="14"/>
  <c r="AR591" i="20"/>
  <c r="AR591" i="15"/>
  <c r="DR10" i="14"/>
  <c r="DR146" i="1"/>
  <c r="DR50" i="1"/>
  <c r="DN185" i="1"/>
  <c r="DO78" i="2"/>
  <c r="AO577" i="20"/>
  <c r="AO577" i="15"/>
  <c r="U28" i="9"/>
  <c r="U30" i="9" s="1"/>
  <c r="Q28" i="9"/>
  <c r="P76" i="1"/>
  <c r="AQ578" i="15"/>
  <c r="AQ578" i="20"/>
  <c r="R63" i="9"/>
  <c r="R53" i="9"/>
  <c r="DQ77" i="1"/>
  <c r="DP14" i="1"/>
  <c r="DQ14" i="1" s="1"/>
  <c r="AW7" i="14"/>
  <c r="AW11" i="14"/>
  <c r="AW12" i="14" s="1"/>
  <c r="DT29" i="1"/>
  <c r="DS28" i="1"/>
  <c r="BB75" i="2"/>
  <c r="BB67" i="2"/>
  <c r="BB80" i="2" s="1"/>
  <c r="BB79" i="2"/>
  <c r="BY340" i="20"/>
  <c r="AZ161" i="1"/>
  <c r="AZ66" i="2"/>
  <c r="BY340" i="15"/>
  <c r="AZ50" i="2"/>
  <c r="AZ4" i="14"/>
  <c r="AM577" i="20"/>
  <c r="M24" i="9"/>
  <c r="O28" i="9"/>
  <c r="O30" i="9" s="1"/>
  <c r="AN578" i="20" s="1"/>
  <c r="N76" i="1"/>
  <c r="BC63" i="2"/>
  <c r="BC44" i="2"/>
  <c r="BD38" i="2"/>
  <c r="AT21" i="14"/>
  <c r="AT13" i="14"/>
  <c r="AX15" i="14"/>
  <c r="AX17" i="14"/>
  <c r="AX18" i="14"/>
  <c r="AX16" i="14"/>
  <c r="CQ3" i="14"/>
  <c r="CQ55" i="9"/>
  <c r="CQ51" i="9"/>
  <c r="CQ3" i="11"/>
  <c r="CQ45" i="9"/>
  <c r="CQ32" i="9"/>
  <c r="CQ3" i="9"/>
  <c r="AM4" i="19" s="1"/>
  <c r="CQ25" i="1"/>
  <c r="CQ59" i="1"/>
  <c r="CQ3" i="1"/>
  <c r="CQ93" i="2"/>
  <c r="CQ52" i="2"/>
  <c r="CQ3" i="2"/>
  <c r="AM32" i="19" s="1"/>
  <c r="CQ9" i="7"/>
  <c r="CQ106" i="1"/>
  <c r="CQ83" i="2"/>
  <c r="CQ77" i="2"/>
  <c r="CQ23" i="9"/>
  <c r="AM24" i="19" s="1"/>
  <c r="CQ130" i="1"/>
  <c r="CO45" i="9"/>
  <c r="CO3" i="14"/>
  <c r="CO55" i="9"/>
  <c r="CO51" i="9"/>
  <c r="CO3" i="11"/>
  <c r="CO130" i="1"/>
  <c r="CO3" i="9"/>
  <c r="AK4" i="19" s="1"/>
  <c r="CO32" i="9"/>
  <c r="CO83" i="2"/>
  <c r="CO3" i="2"/>
  <c r="AK32" i="19" s="1"/>
  <c r="CO93" i="2"/>
  <c r="CO52" i="2"/>
  <c r="CO23" i="9"/>
  <c r="AK24" i="19" s="1"/>
  <c r="CO77" i="2"/>
  <c r="CO106" i="1"/>
  <c r="CO59" i="1"/>
  <c r="CO25" i="1"/>
  <c r="CO3" i="1"/>
  <c r="CO9" i="7"/>
  <c r="DS27" i="9"/>
  <c r="DR77" i="1"/>
  <c r="DR14" i="1" s="1"/>
  <c r="DP64" i="1"/>
  <c r="DQ9" i="1"/>
  <c r="AW79" i="2"/>
  <c r="AW75" i="2"/>
  <c r="AW67" i="2"/>
  <c r="AW80" i="2" s="1"/>
  <c r="AW82" i="2" s="1"/>
  <c r="BF46" i="2"/>
  <c r="BF47" i="2"/>
  <c r="CV3" i="7"/>
  <c r="DA5" i="7"/>
  <c r="AS16" i="14"/>
  <c r="AS15" i="14"/>
  <c r="AS17" i="14"/>
  <c r="AS18" i="14"/>
  <c r="DY162" i="20"/>
  <c r="AV39" i="19"/>
  <c r="DY3" i="20"/>
  <c r="AV47" i="19"/>
  <c r="AV50" i="19"/>
  <c r="DQ73" i="1"/>
  <c r="DQ74" i="1" s="1"/>
  <c r="DP12" i="1"/>
  <c r="DQ8" i="9"/>
  <c r="BM9" i="19" s="1"/>
  <c r="DT46" i="9"/>
  <c r="DT47" i="9"/>
  <c r="DS48" i="9"/>
  <c r="DS73" i="1" s="1"/>
  <c r="DR12" i="1"/>
  <c r="EC53" i="9"/>
  <c r="DT8" i="9"/>
  <c r="DS7" i="9"/>
  <c r="ED53" i="9" s="1"/>
  <c r="DP20" i="2" l="1"/>
  <c r="BG49" i="19"/>
  <c r="BK30" i="2"/>
  <c r="BK159" i="1" s="1"/>
  <c r="BI30" i="2"/>
  <c r="BJ28" i="2"/>
  <c r="CG14" i="15"/>
  <c r="BJ62" i="2"/>
  <c r="BH28" i="2"/>
  <c r="BH16" i="2" s="1"/>
  <c r="BH36" i="2" s="1"/>
  <c r="BH38" i="2" s="1"/>
  <c r="BH63" i="2" s="1"/>
  <c r="CI14" i="15"/>
  <c r="CI14" i="20"/>
  <c r="CG14" i="20"/>
  <c r="BJ159" i="1"/>
  <c r="BH62" i="2"/>
  <c r="BH159" i="1"/>
  <c r="DE56" i="1"/>
  <c r="DE73" i="2"/>
  <c r="DE47" i="2"/>
  <c r="DE46" i="2"/>
  <c r="DG43" i="2"/>
  <c r="DC5" i="7"/>
  <c r="CX3" i="7"/>
  <c r="CS130" i="1"/>
  <c r="CS52" i="2"/>
  <c r="CS3" i="14"/>
  <c r="CS59" i="1"/>
  <c r="CS3" i="1"/>
  <c r="CS83" i="2"/>
  <c r="CS9" i="7"/>
  <c r="CS77" i="2"/>
  <c r="CS32" i="9"/>
  <c r="CS3" i="2"/>
  <c r="AO32" i="19" s="1"/>
  <c r="CS51" i="9"/>
  <c r="CS25" i="1"/>
  <c r="CS45" i="9"/>
  <c r="CS3" i="9"/>
  <c r="AO4" i="19" s="1"/>
  <c r="CS23" i="9"/>
  <c r="AO24" i="19" s="1"/>
  <c r="CS55" i="9"/>
  <c r="CS3" i="11"/>
  <c r="CS106" i="1"/>
  <c r="CS93" i="2"/>
  <c r="BR583" i="20"/>
  <c r="BR583" i="15"/>
  <c r="AS4" i="11"/>
  <c r="AS6" i="11" s="1"/>
  <c r="AT6" i="11" s="1"/>
  <c r="D68" i="19"/>
  <c r="BD63" i="2"/>
  <c r="CV23" i="9"/>
  <c r="AR24" i="19" s="1"/>
  <c r="CV3" i="11"/>
  <c r="CV45" i="9"/>
  <c r="CV3" i="9"/>
  <c r="AR4" i="19" s="1"/>
  <c r="CV130" i="1"/>
  <c r="CV106" i="1"/>
  <c r="CV77" i="2"/>
  <c r="CV3" i="14"/>
  <c r="CV3" i="1"/>
  <c r="CV55" i="9"/>
  <c r="CV59" i="1"/>
  <c r="CV52" i="2"/>
  <c r="CV25" i="1"/>
  <c r="CV93" i="2"/>
  <c r="CV3" i="2"/>
  <c r="AR32" i="19" s="1"/>
  <c r="CV51" i="9"/>
  <c r="CV32" i="9"/>
  <c r="CV83" i="2"/>
  <c r="CV9" i="7"/>
  <c r="CE340" i="20"/>
  <c r="CE340" i="15"/>
  <c r="BF4" i="14"/>
  <c r="BF161" i="1"/>
  <c r="BF66" i="2"/>
  <c r="BF50" i="2"/>
  <c r="BB13" i="14"/>
  <c r="BB31" i="14"/>
  <c r="Q54" i="9"/>
  <c r="Q55" i="9"/>
  <c r="Q30" i="9"/>
  <c r="BB62" i="19"/>
  <c r="DG33" i="2"/>
  <c r="AY7" i="14"/>
  <c r="AY11" i="14"/>
  <c r="AY12" i="14" s="1"/>
  <c r="AZ79" i="2"/>
  <c r="AZ75" i="2"/>
  <c r="AZ67" i="2"/>
  <c r="AZ80" i="2" s="1"/>
  <c r="BE44" i="2"/>
  <c r="BE63" i="2"/>
  <c r="BR582" i="20"/>
  <c r="BR582" i="15"/>
  <c r="BC47" i="2"/>
  <c r="BC46" i="2"/>
  <c r="BD44" i="2"/>
  <c r="DE5" i="7"/>
  <c r="CZ3" i="7"/>
  <c r="CU3" i="11"/>
  <c r="CU3" i="14"/>
  <c r="CU23" i="9"/>
  <c r="AQ24" i="19" s="1"/>
  <c r="CU45" i="9"/>
  <c r="CU3" i="9"/>
  <c r="AQ4" i="19" s="1"/>
  <c r="CU55" i="9"/>
  <c r="CU130" i="1"/>
  <c r="CU106" i="1"/>
  <c r="CU77" i="2"/>
  <c r="CU83" i="2"/>
  <c r="CU59" i="1"/>
  <c r="CU52" i="2"/>
  <c r="CU93" i="2"/>
  <c r="CU25" i="1"/>
  <c r="CU3" i="1"/>
  <c r="CU3" i="2"/>
  <c r="AQ32" i="19" s="1"/>
  <c r="CU51" i="9"/>
  <c r="CU9" i="7"/>
  <c r="CU32" i="9"/>
  <c r="DS10" i="14"/>
  <c r="DS146" i="1"/>
  <c r="DS50" i="1"/>
  <c r="DS85" i="2" s="1"/>
  <c r="DS84" i="2" s="1"/>
  <c r="DS25" i="2" s="1"/>
  <c r="DS26" i="2" s="1"/>
  <c r="CR27" i="11"/>
  <c r="CR3" i="11"/>
  <c r="CR32" i="9"/>
  <c r="CR3" i="9"/>
  <c r="AN4" i="19" s="1"/>
  <c r="CR59" i="1"/>
  <c r="CR3" i="1"/>
  <c r="CR83" i="2"/>
  <c r="CR52" i="2"/>
  <c r="CR23" i="9"/>
  <c r="AN24" i="19" s="1"/>
  <c r="CR51" i="9"/>
  <c r="CR3" i="2"/>
  <c r="AN32" i="19" s="1"/>
  <c r="CR45" i="9"/>
  <c r="CR9" i="7"/>
  <c r="CR106" i="1"/>
  <c r="CR77" i="2"/>
  <c r="CR3" i="14"/>
  <c r="CR130" i="1"/>
  <c r="CR25" i="1"/>
  <c r="CR93" i="2"/>
  <c r="DO185" i="1"/>
  <c r="DP78" i="2"/>
  <c r="BW582" i="20"/>
  <c r="BW582" i="15"/>
  <c r="E59" i="19"/>
  <c r="BI62" i="2"/>
  <c r="CH14" i="20"/>
  <c r="BI159" i="1"/>
  <c r="DT27" i="9"/>
  <c r="DS77" i="1"/>
  <c r="DS14" i="1" s="1"/>
  <c r="AQ591" i="15"/>
  <c r="AQ591" i="20"/>
  <c r="CY3" i="7"/>
  <c r="DD5" i="7"/>
  <c r="DA3" i="7"/>
  <c r="DF5" i="7"/>
  <c r="CW3" i="7"/>
  <c r="DB5" i="7"/>
  <c r="F57" i="19"/>
  <c r="BJ16" i="2"/>
  <c r="BT583" i="20"/>
  <c r="BT583" i="15"/>
  <c r="AU4" i="11"/>
  <c r="AU6" i="11" s="1"/>
  <c r="DP25" i="2"/>
  <c r="BL54" i="19" s="1"/>
  <c r="DQ84" i="2"/>
  <c r="DQ88" i="2" s="1"/>
  <c r="DQ64" i="1"/>
  <c r="DR9" i="1"/>
  <c r="AY79" i="2"/>
  <c r="C83" i="19" s="1"/>
  <c r="AY75" i="2"/>
  <c r="AY67" i="2"/>
  <c r="AY80" i="2" s="1"/>
  <c r="AT16" i="14"/>
  <c r="AT18" i="14"/>
  <c r="AT17" i="14"/>
  <c r="AT578" i="20"/>
  <c r="AT578" i="15"/>
  <c r="BG36" i="2"/>
  <c r="CT3" i="11"/>
  <c r="CT3" i="14"/>
  <c r="CT130" i="1"/>
  <c r="CT45" i="9"/>
  <c r="CT23" i="9"/>
  <c r="AP24" i="19" s="1"/>
  <c r="CT3" i="9"/>
  <c r="AP4" i="19" s="1"/>
  <c r="CT55" i="9"/>
  <c r="CT93" i="2"/>
  <c r="CT25" i="1"/>
  <c r="CT9" i="7"/>
  <c r="CT106" i="1"/>
  <c r="CT77" i="2"/>
  <c r="CT83" i="2"/>
  <c r="CT52" i="2"/>
  <c r="CT59" i="1"/>
  <c r="CT51" i="9"/>
  <c r="CT3" i="1"/>
  <c r="CT3" i="2"/>
  <c r="AP32" i="19" s="1"/>
  <c r="CT32" i="9"/>
  <c r="AL577" i="20"/>
  <c r="L24" i="9"/>
  <c r="N28" i="9"/>
  <c r="N30" i="9" s="1"/>
  <c r="AM578" i="20" s="1"/>
  <c r="M76" i="1"/>
  <c r="DU29" i="1"/>
  <c r="DT28" i="1"/>
  <c r="BT582" i="20"/>
  <c r="BT582" i="15"/>
  <c r="DR85" i="2"/>
  <c r="BW583" i="20"/>
  <c r="BW583" i="15"/>
  <c r="AX4" i="11"/>
  <c r="AX6" i="11" s="1"/>
  <c r="AZ7" i="14"/>
  <c r="AZ11" i="14"/>
  <c r="AZ12" i="14" s="1"/>
  <c r="AW13" i="14"/>
  <c r="AW31" i="14"/>
  <c r="AY31" i="14" s="1"/>
  <c r="BA17" i="14"/>
  <c r="BA16" i="14"/>
  <c r="BA15" i="14"/>
  <c r="BA18" i="14"/>
  <c r="DU93" i="1"/>
  <c r="CZ2" i="2"/>
  <c r="AV44" i="19"/>
  <c r="AV78" i="19"/>
  <c r="DS12" i="1"/>
  <c r="DU8" i="9"/>
  <c r="DU13" i="9" s="1"/>
  <c r="DT7" i="9"/>
  <c r="DS13" i="9"/>
  <c r="DT13" i="9"/>
  <c r="DR13" i="9"/>
  <c r="DU46" i="9"/>
  <c r="DU47" i="9"/>
  <c r="DT48" i="9"/>
  <c r="DT73" i="1" s="1"/>
  <c r="DQ12" i="1"/>
  <c r="DJ20" i="2" l="1"/>
  <c r="DL20" i="2" s="1"/>
  <c r="BH49" i="19" s="1"/>
  <c r="BE49" i="19"/>
  <c r="DU20" i="2"/>
  <c r="DZ20" i="2" s="1"/>
  <c r="EE20" i="2" s="1"/>
  <c r="BL49" i="19"/>
  <c r="BK62" i="2"/>
  <c r="G59" i="19"/>
  <c r="CJ14" i="15"/>
  <c r="CJ14" i="20"/>
  <c r="BK28" i="2"/>
  <c r="G57" i="19" s="1"/>
  <c r="BL30" i="2"/>
  <c r="BL28" i="2" s="1"/>
  <c r="BH44" i="2"/>
  <c r="BH47" i="2" s="1"/>
  <c r="BI28" i="2"/>
  <c r="E57" i="19" s="1"/>
  <c r="BI16" i="2"/>
  <c r="E45" i="19" s="1"/>
  <c r="DE66" i="2"/>
  <c r="DE67" i="2" s="1"/>
  <c r="DE80" i="2" s="1"/>
  <c r="DE161" i="1"/>
  <c r="BC73" i="19"/>
  <c r="DA32" i="9"/>
  <c r="DA51" i="9"/>
  <c r="DA23" i="9"/>
  <c r="AW24" i="19" s="1"/>
  <c r="DA45" i="9"/>
  <c r="DA3" i="9"/>
  <c r="AW4" i="19" s="1"/>
  <c r="DA130" i="1"/>
  <c r="DA77" i="2"/>
  <c r="DA3" i="1"/>
  <c r="DA25" i="1"/>
  <c r="DA3" i="2"/>
  <c r="AW32" i="19" s="1"/>
  <c r="DA83" i="2"/>
  <c r="DA59" i="1"/>
  <c r="DA52" i="2"/>
  <c r="DA106" i="1"/>
  <c r="DG22" i="1"/>
  <c r="CZ3" i="9"/>
  <c r="AV4" i="19" s="1"/>
  <c r="CZ51" i="9"/>
  <c r="CZ23" i="9"/>
  <c r="AV24" i="19" s="1"/>
  <c r="CZ32" i="9"/>
  <c r="CZ45" i="9"/>
  <c r="CZ59" i="1"/>
  <c r="CZ52" i="2"/>
  <c r="CZ93" i="2"/>
  <c r="CZ77" i="2"/>
  <c r="CZ25" i="1"/>
  <c r="CZ3" i="2"/>
  <c r="AV32" i="19" s="1"/>
  <c r="CZ106" i="1"/>
  <c r="CZ3" i="1"/>
  <c r="CZ83" i="2"/>
  <c r="CZ130" i="1"/>
  <c r="CX55" i="9"/>
  <c r="CX3" i="2"/>
  <c r="AT32" i="19" s="1"/>
  <c r="CX3" i="9"/>
  <c r="AT4" i="19" s="1"/>
  <c r="CX83" i="2"/>
  <c r="CX77" i="2"/>
  <c r="CX51" i="9"/>
  <c r="CX9" i="7"/>
  <c r="CX3" i="11"/>
  <c r="CX25" i="1"/>
  <c r="CX3" i="1"/>
  <c r="CX45" i="9"/>
  <c r="CX32" i="9"/>
  <c r="CX106" i="1"/>
  <c r="CX59" i="1"/>
  <c r="CX93" i="2"/>
  <c r="CX3" i="14"/>
  <c r="CX23" i="9"/>
  <c r="AT24" i="19" s="1"/>
  <c r="CX130" i="1"/>
  <c r="CX52" i="2"/>
  <c r="DC3" i="7"/>
  <c r="DH5" i="7"/>
  <c r="AK577" i="20"/>
  <c r="J24" i="9"/>
  <c r="M28" i="9"/>
  <c r="M30" i="9" s="1"/>
  <c r="AL578" i="20" s="1"/>
  <c r="L76" i="1"/>
  <c r="DW93" i="1"/>
  <c r="F45" i="19"/>
  <c r="BJ36" i="2"/>
  <c r="DK5" i="7"/>
  <c r="DF3" i="7"/>
  <c r="DF3" i="9" s="1"/>
  <c r="DF158" i="1"/>
  <c r="DG158" i="1" s="1"/>
  <c r="DG134" i="1"/>
  <c r="BF67" i="2"/>
  <c r="BF80" i="2" s="1"/>
  <c r="BF75" i="2"/>
  <c r="BF79" i="2"/>
  <c r="BZ583" i="20"/>
  <c r="BZ583" i="15"/>
  <c r="BA4" i="11"/>
  <c r="BA6" i="11" s="1"/>
  <c r="DJ5" i="7"/>
  <c r="DE3" i="7"/>
  <c r="DT10" i="14"/>
  <c r="DT146" i="1"/>
  <c r="DT50" i="1"/>
  <c r="DT85" i="2" s="1"/>
  <c r="DT84" i="2" s="1"/>
  <c r="DT25" i="2" s="1"/>
  <c r="DT26" i="2" s="1"/>
  <c r="DW29" i="1"/>
  <c r="DU28" i="1"/>
  <c r="DV29" i="1"/>
  <c r="DV28" i="1" s="1"/>
  <c r="BM30" i="2"/>
  <c r="BN30" i="2" s="1"/>
  <c r="BG38" i="2"/>
  <c r="BI36" i="2"/>
  <c r="E66" i="19" s="1"/>
  <c r="AY13" i="14"/>
  <c r="AY21" i="14"/>
  <c r="AP578" i="20"/>
  <c r="AP578" i="15"/>
  <c r="Q63" i="9"/>
  <c r="Q53" i="9"/>
  <c r="DR84" i="2"/>
  <c r="BS582" i="20"/>
  <c r="BS582" i="15"/>
  <c r="DA3" i="14"/>
  <c r="DA55" i="9"/>
  <c r="DA3" i="11"/>
  <c r="DA93" i="2"/>
  <c r="DA9" i="7"/>
  <c r="DR27" i="2"/>
  <c r="DR64" i="1"/>
  <c r="DS9" i="1"/>
  <c r="DP26" i="2"/>
  <c r="BL55" i="19" s="1"/>
  <c r="DQ25" i="2"/>
  <c r="BC62" i="19"/>
  <c r="BS583" i="20"/>
  <c r="BS583" i="15"/>
  <c r="AT4" i="11"/>
  <c r="AT5" i="11" s="1"/>
  <c r="DI5" i="7"/>
  <c r="DD3" i="7"/>
  <c r="DD51" i="9" s="1"/>
  <c r="DP185" i="1"/>
  <c r="DQ78" i="2"/>
  <c r="BF7" i="14"/>
  <c r="BF11" i="14"/>
  <c r="BF12" i="14" s="1"/>
  <c r="DU27" i="9"/>
  <c r="DT77" i="1"/>
  <c r="DT14" i="1" s="1"/>
  <c r="C84" i="19"/>
  <c r="AY30" i="11"/>
  <c r="AT76" i="2"/>
  <c r="DB3" i="7"/>
  <c r="DG5" i="7"/>
  <c r="CY3" i="9"/>
  <c r="AU4" i="19" s="1"/>
  <c r="CY45" i="9"/>
  <c r="CY51" i="9"/>
  <c r="CY55" i="9"/>
  <c r="CY106" i="1"/>
  <c r="CY32" i="9"/>
  <c r="CY3" i="11"/>
  <c r="CY23" i="9"/>
  <c r="AU24" i="19" s="1"/>
  <c r="CY59" i="1"/>
  <c r="CY3" i="1"/>
  <c r="CY25" i="1"/>
  <c r="CY93" i="2"/>
  <c r="CY9" i="7"/>
  <c r="CY130" i="1"/>
  <c r="CY3" i="14"/>
  <c r="CY3" i="2"/>
  <c r="AU32" i="19" s="1"/>
  <c r="CY83" i="2"/>
  <c r="CY77" i="2"/>
  <c r="CY52" i="2"/>
  <c r="BE46" i="2"/>
  <c r="BE47" i="2"/>
  <c r="BB17" i="14"/>
  <c r="BB18" i="14"/>
  <c r="BB16" i="14"/>
  <c r="BB15" i="14"/>
  <c r="AW15" i="14"/>
  <c r="AW18" i="14"/>
  <c r="AW16" i="14"/>
  <c r="AW17" i="14"/>
  <c r="D74" i="19"/>
  <c r="BD46" i="2"/>
  <c r="D76" i="19" s="1"/>
  <c r="AZ31" i="14"/>
  <c r="AZ13" i="14"/>
  <c r="CB340" i="20"/>
  <c r="BC4" i="14"/>
  <c r="CB340" i="15"/>
  <c r="BC50" i="2"/>
  <c r="BC66" i="2"/>
  <c r="BC161" i="1"/>
  <c r="BD161" i="1" s="1"/>
  <c r="BD163" i="1" s="1"/>
  <c r="AY166" i="1" s="1"/>
  <c r="AY168" i="1" s="1"/>
  <c r="BD47" i="2"/>
  <c r="BZ582" i="20"/>
  <c r="BZ582" i="15"/>
  <c r="BD62" i="19"/>
  <c r="CW27" i="11"/>
  <c r="CW23" i="9"/>
  <c r="AS24" i="19" s="1"/>
  <c r="CW51" i="9"/>
  <c r="CW3" i="9"/>
  <c r="AS4" i="19" s="1"/>
  <c r="CW106" i="1"/>
  <c r="CW3" i="14"/>
  <c r="CW45" i="9"/>
  <c r="CW3" i="1"/>
  <c r="CW77" i="2"/>
  <c r="CW3" i="11"/>
  <c r="CW55" i="9"/>
  <c r="CW32" i="9"/>
  <c r="CW59" i="1"/>
  <c r="CW93" i="2"/>
  <c r="CW9" i="7"/>
  <c r="CW130" i="1"/>
  <c r="CW25" i="1"/>
  <c r="CW3" i="2"/>
  <c r="AS32" i="19" s="1"/>
  <c r="CW52" i="2"/>
  <c r="CW83" i="2"/>
  <c r="CZ55" i="9"/>
  <c r="CZ3" i="14"/>
  <c r="CZ3" i="11"/>
  <c r="CZ9" i="7"/>
  <c r="DY145" i="20"/>
  <c r="AV82" i="19"/>
  <c r="DU48" i="9"/>
  <c r="DW47" i="9"/>
  <c r="DW46" i="9" s="1"/>
  <c r="DV46" i="9"/>
  <c r="EE53" i="9"/>
  <c r="EF53" i="9" s="1"/>
  <c r="DW8" i="9"/>
  <c r="DU7" i="9"/>
  <c r="DV7" i="9" s="1"/>
  <c r="DV8" i="9" s="1"/>
  <c r="DT12" i="1"/>
  <c r="DQ26" i="2" l="1"/>
  <c r="BM55" i="19" s="1"/>
  <c r="BM54" i="19"/>
  <c r="BD73" i="19"/>
  <c r="BK16" i="2"/>
  <c r="DM20" i="2"/>
  <c r="BF49" i="19"/>
  <c r="H59" i="19"/>
  <c r="CK14" i="15"/>
  <c r="CK14" i="20"/>
  <c r="BL159" i="1"/>
  <c r="BH46" i="2"/>
  <c r="BL62" i="2"/>
  <c r="DE3" i="2"/>
  <c r="BA32" i="19" s="1"/>
  <c r="DE23" i="9"/>
  <c r="BA24" i="19" s="1"/>
  <c r="DE51" i="9"/>
  <c r="DE45" i="9"/>
  <c r="DE25" i="1"/>
  <c r="DE59" i="1"/>
  <c r="DE130" i="1"/>
  <c r="DE93" i="2"/>
  <c r="DE83" i="2"/>
  <c r="DE79" i="2"/>
  <c r="DE75" i="2"/>
  <c r="DD3" i="2"/>
  <c r="AZ32" i="19" s="1"/>
  <c r="DD45" i="9"/>
  <c r="DD32" i="9"/>
  <c r="DD23" i="9"/>
  <c r="AZ24" i="19" s="1"/>
  <c r="DD59" i="1"/>
  <c r="DD130" i="1"/>
  <c r="DD3" i="1"/>
  <c r="DD106" i="1"/>
  <c r="DD25" i="1"/>
  <c r="DD52" i="2"/>
  <c r="DD93" i="2"/>
  <c r="DD83" i="2"/>
  <c r="DD77" i="2"/>
  <c r="DC3" i="9"/>
  <c r="AY4" i="19" s="1"/>
  <c r="DC32" i="9"/>
  <c r="DC3" i="2"/>
  <c r="AY32" i="19" s="1"/>
  <c r="DC130" i="1"/>
  <c r="DC106" i="1"/>
  <c r="DC52" i="2"/>
  <c r="DC83" i="2"/>
  <c r="DC77" i="2"/>
  <c r="DC59" i="1"/>
  <c r="DC23" i="9"/>
  <c r="AY24" i="19" s="1"/>
  <c r="DC51" i="9"/>
  <c r="DC25" i="1"/>
  <c r="DC3" i="1"/>
  <c r="DC45" i="9"/>
  <c r="DC55" i="9"/>
  <c r="DC9" i="7"/>
  <c r="DC3" i="14"/>
  <c r="DC93" i="2"/>
  <c r="DC3" i="11"/>
  <c r="DM5" i="7"/>
  <c r="DH3" i="7"/>
  <c r="J59" i="19"/>
  <c r="BN62" i="2"/>
  <c r="CM14" i="20"/>
  <c r="CM14" i="15"/>
  <c r="BN159" i="1"/>
  <c r="DE3" i="11"/>
  <c r="DE32" i="9"/>
  <c r="DE3" i="9"/>
  <c r="BA4" i="19" s="1"/>
  <c r="DE3" i="14"/>
  <c r="DE55" i="9"/>
  <c r="DE52" i="2"/>
  <c r="DE9" i="7"/>
  <c r="DE3" i="1"/>
  <c r="DE77" i="2"/>
  <c r="DE106" i="1"/>
  <c r="F66" i="19"/>
  <c r="BJ38" i="2"/>
  <c r="BC7" i="14"/>
  <c r="BC11" i="14"/>
  <c r="BC12" i="14" s="1"/>
  <c r="BF31" i="14"/>
  <c r="BF13" i="14"/>
  <c r="CD340" i="20"/>
  <c r="CD340" i="15"/>
  <c r="BE4" i="14"/>
  <c r="BE66" i="2"/>
  <c r="BE50" i="2"/>
  <c r="BE161" i="1"/>
  <c r="DG3" i="7"/>
  <c r="DL5" i="7"/>
  <c r="DB3" i="14"/>
  <c r="DB55" i="9"/>
  <c r="DB51" i="9"/>
  <c r="DB32" i="9"/>
  <c r="DB23" i="9"/>
  <c r="AX24" i="19" s="1"/>
  <c r="DB130" i="1"/>
  <c r="DB25" i="1"/>
  <c r="DB27" i="11"/>
  <c r="DB3" i="11"/>
  <c r="DB106" i="1"/>
  <c r="DB52" i="2"/>
  <c r="DB93" i="2"/>
  <c r="DB45" i="9"/>
  <c r="DB83" i="2"/>
  <c r="DB3" i="2"/>
  <c r="AX32" i="19" s="1"/>
  <c r="DB3" i="1"/>
  <c r="DB77" i="2"/>
  <c r="DB9" i="7"/>
  <c r="DB3" i="9"/>
  <c r="AX4" i="19" s="1"/>
  <c r="DB59" i="1"/>
  <c r="AY17" i="14"/>
  <c r="AY16" i="14"/>
  <c r="AY18" i="14"/>
  <c r="DV146" i="1"/>
  <c r="DV50" i="1"/>
  <c r="DV10" i="14"/>
  <c r="AP591" i="20"/>
  <c r="AP591" i="15"/>
  <c r="BV583" i="20"/>
  <c r="BV583" i="15"/>
  <c r="AW4" i="11"/>
  <c r="AW6" i="11" s="1"/>
  <c r="AY6" i="11" s="1"/>
  <c r="DU146" i="1"/>
  <c r="DU50" i="1"/>
  <c r="DU85" i="2" s="1"/>
  <c r="DU10" i="14"/>
  <c r="AI577" i="20"/>
  <c r="J76" i="1"/>
  <c r="I24" i="9"/>
  <c r="K24" i="9"/>
  <c r="DD55" i="9"/>
  <c r="DD3" i="9"/>
  <c r="AZ4" i="19" s="1"/>
  <c r="DD3" i="14"/>
  <c r="DD9" i="7"/>
  <c r="DD3" i="11"/>
  <c r="DJ3" i="7"/>
  <c r="DO5" i="7"/>
  <c r="CA583" i="20"/>
  <c r="CA583" i="15"/>
  <c r="BB4" i="11"/>
  <c r="BB6" i="11" s="1"/>
  <c r="BV582" i="20"/>
  <c r="BV582" i="15"/>
  <c r="CG340" i="15"/>
  <c r="CG340" i="20"/>
  <c r="BH4" i="14"/>
  <c r="BH161" i="1"/>
  <c r="BH66" i="2"/>
  <c r="BH50" i="2"/>
  <c r="BG44" i="2"/>
  <c r="BG63" i="2"/>
  <c r="BI38" i="2"/>
  <c r="DW28" i="1"/>
  <c r="DX29" i="1"/>
  <c r="H57" i="19"/>
  <c r="BL16" i="2"/>
  <c r="CA582" i="20"/>
  <c r="CA582" i="15"/>
  <c r="DR25" i="2"/>
  <c r="CC340" i="20"/>
  <c r="BD4" i="14"/>
  <c r="CC340" i="15"/>
  <c r="D77" i="19"/>
  <c r="BD66" i="2"/>
  <c r="BD50" i="2"/>
  <c r="G45" i="19"/>
  <c r="BK36" i="2"/>
  <c r="DU77" i="1"/>
  <c r="DV27" i="9"/>
  <c r="DW27" i="9" s="1"/>
  <c r="DP5" i="7"/>
  <c r="DK3" i="7"/>
  <c r="DI3" i="7"/>
  <c r="DN5" i="7"/>
  <c r="CL14" i="20"/>
  <c r="CL14" i="15"/>
  <c r="I59" i="19"/>
  <c r="BM62" i="2"/>
  <c r="BM28" i="2"/>
  <c r="BM159" i="1"/>
  <c r="DH5" i="14"/>
  <c r="AZ17" i="14"/>
  <c r="AZ16" i="14"/>
  <c r="AZ18" i="14"/>
  <c r="AZ15" i="14"/>
  <c r="DX93" i="1"/>
  <c r="BC75" i="2"/>
  <c r="BC67" i="2"/>
  <c r="BC80" i="2" s="1"/>
  <c r="BC79" i="2"/>
  <c r="DQ29" i="11"/>
  <c r="DR78" i="2"/>
  <c r="DQ185" i="1"/>
  <c r="DS27" i="2"/>
  <c r="DS64" i="1"/>
  <c r="DT9" i="1"/>
  <c r="BO30" i="2"/>
  <c r="DF3" i="11"/>
  <c r="BB4" i="19"/>
  <c r="DF55" i="9"/>
  <c r="DF93" i="2"/>
  <c r="DF3" i="14"/>
  <c r="BB24" i="19"/>
  <c r="DF9" i="7"/>
  <c r="BB32" i="19"/>
  <c r="DY411" i="20"/>
  <c r="DY171" i="20"/>
  <c r="DY338" i="20"/>
  <c r="DY155" i="20"/>
  <c r="AW20" i="19"/>
  <c r="DB19" i="9"/>
  <c r="AV81" i="19"/>
  <c r="AV65" i="19"/>
  <c r="DY579" i="20"/>
  <c r="DW13" i="9"/>
  <c r="DX8" i="9"/>
  <c r="DW7" i="9"/>
  <c r="DW48" i="9"/>
  <c r="DW73" i="1" s="1"/>
  <c r="DX46" i="9"/>
  <c r="DX47" i="9"/>
  <c r="DV48" i="9"/>
  <c r="DV47" i="9" s="1"/>
  <c r="DU73" i="1"/>
  <c r="DH25" i="1" l="1"/>
  <c r="DH93" i="2"/>
  <c r="BI49" i="19"/>
  <c r="DN20" i="2"/>
  <c r="DJ43" i="2"/>
  <c r="BE73" i="19"/>
  <c r="DE95" i="2"/>
  <c r="CZ91" i="2"/>
  <c r="CZ40" i="2"/>
  <c r="AV70" i="19" s="1"/>
  <c r="DH130" i="1"/>
  <c r="DH9" i="7"/>
  <c r="DH51" i="9"/>
  <c r="DH3" i="2"/>
  <c r="BD32" i="19" s="1"/>
  <c r="DH3" i="9"/>
  <c r="BD4" i="19" s="1"/>
  <c r="DH106" i="1"/>
  <c r="DH83" i="2"/>
  <c r="DH55" i="9"/>
  <c r="DH45" i="9"/>
  <c r="DH77" i="2"/>
  <c r="DH32" i="9"/>
  <c r="DH3" i="1"/>
  <c r="DH23" i="9"/>
  <c r="BD24" i="19" s="1"/>
  <c r="DH3" i="11"/>
  <c r="DH3" i="14"/>
  <c r="DH59" i="1"/>
  <c r="DH52" i="2"/>
  <c r="DM3" i="7"/>
  <c r="DR5" i="7"/>
  <c r="DW10" i="14"/>
  <c r="DW50" i="1"/>
  <c r="DW85" i="2" s="1"/>
  <c r="DW146" i="1"/>
  <c r="BD75" i="2"/>
  <c r="BD79" i="2"/>
  <c r="BD67" i="2"/>
  <c r="BD80" i="2" s="1"/>
  <c r="DT27" i="2"/>
  <c r="DT64" i="1"/>
  <c r="DU9" i="1"/>
  <c r="BH67" i="2"/>
  <c r="BH80" i="2" s="1"/>
  <c r="BH75" i="2"/>
  <c r="BH79" i="2"/>
  <c r="DI3" i="11"/>
  <c r="DI23" i="9"/>
  <c r="BE24" i="19" s="1"/>
  <c r="DI3" i="14"/>
  <c r="DI51" i="9"/>
  <c r="DI106" i="1"/>
  <c r="DI32" i="9"/>
  <c r="DI130" i="1"/>
  <c r="DI77" i="2"/>
  <c r="DI3" i="2"/>
  <c r="BE32" i="19" s="1"/>
  <c r="DI83" i="2"/>
  <c r="DI52" i="2"/>
  <c r="DI9" i="7"/>
  <c r="DI55" i="9"/>
  <c r="DI45" i="9"/>
  <c r="DI3" i="1"/>
  <c r="DI59" i="1"/>
  <c r="DI25" i="1"/>
  <c r="DI93" i="2"/>
  <c r="DI3" i="9"/>
  <c r="BE4" i="19" s="1"/>
  <c r="BD7" i="14"/>
  <c r="BD11" i="14"/>
  <c r="BD12" i="14" s="1"/>
  <c r="BH7" i="14"/>
  <c r="BH11" i="14"/>
  <c r="BH12" i="14" s="1"/>
  <c r="BX582" i="20"/>
  <c r="BX582" i="15"/>
  <c r="BG46" i="2"/>
  <c r="BG47" i="2"/>
  <c r="BI44" i="2"/>
  <c r="CN14" i="20"/>
  <c r="K59" i="19"/>
  <c r="BP30" i="2"/>
  <c r="BO62" i="2"/>
  <c r="BO159" i="1"/>
  <c r="BO28" i="2"/>
  <c r="CN14" i="15"/>
  <c r="DY93" i="1"/>
  <c r="DR26" i="2"/>
  <c r="DK45" i="9"/>
  <c r="DK3" i="11"/>
  <c r="DK106" i="1"/>
  <c r="DK3" i="9"/>
  <c r="BG4" i="19" s="1"/>
  <c r="DK130" i="1"/>
  <c r="DK55" i="9"/>
  <c r="DK3" i="1"/>
  <c r="DK23" i="9"/>
  <c r="BG24" i="19" s="1"/>
  <c r="DK83" i="2"/>
  <c r="DK52" i="2"/>
  <c r="DK51" i="9"/>
  <c r="DK77" i="2"/>
  <c r="DK9" i="7"/>
  <c r="DK32" i="9"/>
  <c r="DK59" i="1"/>
  <c r="DK25" i="1"/>
  <c r="DK93" i="2"/>
  <c r="DK3" i="2"/>
  <c r="BG32" i="19" s="1"/>
  <c r="DK3" i="14"/>
  <c r="H45" i="19"/>
  <c r="BL36" i="2"/>
  <c r="BX583" i="20"/>
  <c r="BX583" i="15"/>
  <c r="AY4" i="11"/>
  <c r="AY5" i="11" s="1"/>
  <c r="I57" i="19"/>
  <c r="BM16" i="2"/>
  <c r="BF16" i="14"/>
  <c r="BF18" i="14"/>
  <c r="BF15" i="14"/>
  <c r="BF17" i="14"/>
  <c r="DT5" i="7"/>
  <c r="DO3" i="7"/>
  <c r="DQ5" i="7"/>
  <c r="DL3" i="7"/>
  <c r="DG3" i="11"/>
  <c r="DG23" i="9"/>
  <c r="BC24" i="19" s="1"/>
  <c r="DG55" i="9"/>
  <c r="DG51" i="9"/>
  <c r="DG130" i="1"/>
  <c r="DG45" i="9"/>
  <c r="DG32" i="9"/>
  <c r="DG77" i="2"/>
  <c r="DG3" i="1"/>
  <c r="DG3" i="2"/>
  <c r="BC32" i="19" s="1"/>
  <c r="DG59" i="1"/>
  <c r="DG25" i="1"/>
  <c r="DG93" i="2"/>
  <c r="DG52" i="2"/>
  <c r="DG3" i="9"/>
  <c r="BC4" i="19" s="1"/>
  <c r="DG27" i="11"/>
  <c r="DG106" i="1"/>
  <c r="DG83" i="2"/>
  <c r="DG9" i="7"/>
  <c r="DG3" i="14"/>
  <c r="DR185" i="1"/>
  <c r="DS78" i="2"/>
  <c r="DS81" i="2" s="1"/>
  <c r="AJ577" i="20"/>
  <c r="L28" i="9"/>
  <c r="L30" i="9" s="1"/>
  <c r="AK578" i="20" s="1"/>
  <c r="P28" i="9"/>
  <c r="P30" i="9" s="1"/>
  <c r="K76" i="1"/>
  <c r="E68" i="19"/>
  <c r="BI63" i="2"/>
  <c r="DU84" i="2"/>
  <c r="DV85" i="2"/>
  <c r="DV86" i="2" s="1"/>
  <c r="DV87" i="2" s="1"/>
  <c r="DJ3" i="14"/>
  <c r="DJ3" i="11"/>
  <c r="DJ106" i="1"/>
  <c r="DJ130" i="1"/>
  <c r="DJ32" i="9"/>
  <c r="DJ77" i="2"/>
  <c r="DJ51" i="9"/>
  <c r="DJ23" i="9"/>
  <c r="BF24" i="19" s="1"/>
  <c r="DJ83" i="2"/>
  <c r="DJ52" i="2"/>
  <c r="DJ9" i="7"/>
  <c r="DJ59" i="1"/>
  <c r="DJ93" i="2"/>
  <c r="DJ55" i="9"/>
  <c r="DJ45" i="9"/>
  <c r="DJ3" i="9"/>
  <c r="BF4" i="19" s="1"/>
  <c r="DJ3" i="1"/>
  <c r="DJ3" i="2"/>
  <c r="BF32" i="19" s="1"/>
  <c r="DJ25" i="1"/>
  <c r="DN3" i="7"/>
  <c r="DS5" i="7"/>
  <c r="F68" i="19"/>
  <c r="BJ44" i="2"/>
  <c r="BJ63" i="2"/>
  <c r="BY582" i="20"/>
  <c r="BY582" i="15"/>
  <c r="BY583" i="20"/>
  <c r="BY583" i="15"/>
  <c r="AZ4" i="11"/>
  <c r="AZ6" i="11" s="1"/>
  <c r="DU5" i="7"/>
  <c r="DP3" i="7"/>
  <c r="DX27" i="9"/>
  <c r="DW77" i="1"/>
  <c r="DW14" i="1" s="1"/>
  <c r="BE67" i="2"/>
  <c r="BE80" i="2" s="1"/>
  <c r="BE75" i="2"/>
  <c r="BE79" i="2"/>
  <c r="G66" i="19"/>
  <c r="BK38" i="2"/>
  <c r="AH577" i="20"/>
  <c r="H24" i="9"/>
  <c r="I76" i="1"/>
  <c r="J28" i="9"/>
  <c r="J30" i="9" s="1"/>
  <c r="AI578" i="20" s="1"/>
  <c r="BC13" i="14"/>
  <c r="BC31" i="14"/>
  <c r="BD31" i="14" s="1"/>
  <c r="DU14" i="1"/>
  <c r="DV14" i="1" s="1"/>
  <c r="DV77" i="1"/>
  <c r="DX28" i="1"/>
  <c r="DY29" i="1"/>
  <c r="BE7" i="14"/>
  <c r="BE11" i="14"/>
  <c r="BE12" i="14" s="1"/>
  <c r="BN28" i="2"/>
  <c r="J57" i="19" s="1"/>
  <c r="DZ20" i="20"/>
  <c r="AW75" i="19"/>
  <c r="DB45" i="2"/>
  <c r="AW15" i="19"/>
  <c r="DB14" i="9"/>
  <c r="DB20" i="9"/>
  <c r="AX21" i="19" s="1"/>
  <c r="AX20" i="19"/>
  <c r="DB29" i="9"/>
  <c r="AW22" i="19"/>
  <c r="DB21" i="9"/>
  <c r="AX22" i="19" s="1"/>
  <c r="CZ8" i="14"/>
  <c r="CZ9" i="14" s="1"/>
  <c r="DY8" i="9"/>
  <c r="DY13" i="9" s="1"/>
  <c r="DX7" i="9"/>
  <c r="DX13" i="9"/>
  <c r="DY46" i="9"/>
  <c r="DY47" i="9"/>
  <c r="DX48" i="9"/>
  <c r="DX73" i="1" s="1"/>
  <c r="DV73" i="1"/>
  <c r="DV74" i="1" s="1"/>
  <c r="DU12" i="1"/>
  <c r="DW12" i="1"/>
  <c r="DK43" i="2" l="1"/>
  <c r="BF73" i="19"/>
  <c r="DO20" i="2"/>
  <c r="DQ20" i="2" s="1"/>
  <c r="BM49" i="19" s="1"/>
  <c r="BJ49" i="19"/>
  <c r="DM59" i="1"/>
  <c r="DM25" i="1"/>
  <c r="DM52" i="2"/>
  <c r="DM3" i="9"/>
  <c r="BI4" i="19" s="1"/>
  <c r="DM45" i="9"/>
  <c r="DM3" i="2"/>
  <c r="BI32" i="19" s="1"/>
  <c r="DM3" i="11"/>
  <c r="DM93" i="2"/>
  <c r="DM23" i="9"/>
  <c r="BI24" i="19" s="1"/>
  <c r="DM32" i="9"/>
  <c r="DM3" i="14"/>
  <c r="DM3" i="1"/>
  <c r="DM51" i="9"/>
  <c r="DM77" i="2"/>
  <c r="DM106" i="1"/>
  <c r="DM55" i="9"/>
  <c r="DM83" i="2"/>
  <c r="DM9" i="7"/>
  <c r="DM130" i="1"/>
  <c r="DW5" i="7"/>
  <c r="DR3" i="7"/>
  <c r="DY28" i="1"/>
  <c r="DZ29" i="1"/>
  <c r="DH158" i="1"/>
  <c r="CE582" i="20"/>
  <c r="CE582" i="15"/>
  <c r="DL45" i="9"/>
  <c r="DL27" i="11"/>
  <c r="DL51" i="9"/>
  <c r="DL3" i="9"/>
  <c r="BH4" i="19" s="1"/>
  <c r="DL130" i="1"/>
  <c r="DL106" i="1"/>
  <c r="DL3" i="1"/>
  <c r="DL3" i="11"/>
  <c r="DL83" i="2"/>
  <c r="DL52" i="2"/>
  <c r="DL59" i="1"/>
  <c r="DL77" i="2"/>
  <c r="DL23" i="9"/>
  <c r="BH24" i="19" s="1"/>
  <c r="DL93" i="2"/>
  <c r="DL25" i="1"/>
  <c r="DL3" i="2"/>
  <c r="BH32" i="19" s="1"/>
  <c r="DL32" i="9"/>
  <c r="DL55" i="9"/>
  <c r="DL3" i="14"/>
  <c r="DL9" i="7"/>
  <c r="BD21" i="14"/>
  <c r="BD13" i="14"/>
  <c r="D84" i="19"/>
  <c r="BD30" i="11"/>
  <c r="CE583" i="20"/>
  <c r="BF4" i="11"/>
  <c r="BF6" i="11" s="1"/>
  <c r="CE583" i="15"/>
  <c r="DU25" i="2"/>
  <c r="DV84" i="2"/>
  <c r="DV88" i="2" s="1"/>
  <c r="BC17" i="14"/>
  <c r="BC18" i="14"/>
  <c r="BC16" i="14"/>
  <c r="BC15" i="14"/>
  <c r="DN3" i="14"/>
  <c r="DN55" i="9"/>
  <c r="DN51" i="9"/>
  <c r="DN3" i="11"/>
  <c r="DN130" i="1"/>
  <c r="DN23" i="9"/>
  <c r="BJ24" i="19" s="1"/>
  <c r="DN3" i="9"/>
  <c r="BJ4" i="19" s="1"/>
  <c r="DN25" i="1"/>
  <c r="DN93" i="2"/>
  <c r="DN3" i="1"/>
  <c r="DN3" i="2"/>
  <c r="BJ32" i="19" s="1"/>
  <c r="DN52" i="2"/>
  <c r="DN59" i="1"/>
  <c r="DN77" i="2"/>
  <c r="DN9" i="7"/>
  <c r="DN32" i="9"/>
  <c r="DN45" i="9"/>
  <c r="DN83" i="2"/>
  <c r="DN106" i="1"/>
  <c r="I45" i="19"/>
  <c r="BM36" i="2"/>
  <c r="BN36" i="2" s="1"/>
  <c r="J66" i="19" s="1"/>
  <c r="BN16" i="2"/>
  <c r="J45" i="19" s="1"/>
  <c r="DZ93" i="1"/>
  <c r="E74" i="19"/>
  <c r="BI46" i="2"/>
  <c r="E76" i="19" s="1"/>
  <c r="K57" i="19"/>
  <c r="BO16" i="2"/>
  <c r="DS185" i="1"/>
  <c r="DT78" i="2"/>
  <c r="DT81" i="2" s="1"/>
  <c r="DO3" i="14"/>
  <c r="DO55" i="9"/>
  <c r="DO51" i="9"/>
  <c r="DO32" i="9"/>
  <c r="DO3" i="11"/>
  <c r="DO130" i="1"/>
  <c r="DO45" i="9"/>
  <c r="DO23" i="9"/>
  <c r="BK24" i="19" s="1"/>
  <c r="DO3" i="9"/>
  <c r="BK4" i="19" s="1"/>
  <c r="DO25" i="1"/>
  <c r="DO59" i="1"/>
  <c r="DO3" i="1"/>
  <c r="DO3" i="2"/>
  <c r="BK32" i="19" s="1"/>
  <c r="DO52" i="2"/>
  <c r="DO83" i="2"/>
  <c r="DO9" i="7"/>
  <c r="DO77" i="2"/>
  <c r="DO93" i="2"/>
  <c r="DO106" i="1"/>
  <c r="D83" i="19"/>
  <c r="BD76" i="2"/>
  <c r="DX10" i="14"/>
  <c r="DX146" i="1"/>
  <c r="DX50" i="1"/>
  <c r="DS3" i="7"/>
  <c r="DX5" i="7"/>
  <c r="DU3" i="7"/>
  <c r="DZ5" i="7"/>
  <c r="AO578" i="20"/>
  <c r="AO578" i="15"/>
  <c r="H66" i="19"/>
  <c r="BL38" i="2"/>
  <c r="CF340" i="20"/>
  <c r="BG4" i="14"/>
  <c r="CF340" i="15"/>
  <c r="BG161" i="1"/>
  <c r="BI161" i="1" s="1"/>
  <c r="BI163" i="1" s="1"/>
  <c r="BG66" i="2"/>
  <c r="BG50" i="2"/>
  <c r="BI47" i="2"/>
  <c r="DT3" i="7"/>
  <c r="DY5" i="7"/>
  <c r="F74" i="19"/>
  <c r="BJ47" i="2"/>
  <c r="BJ46" i="2"/>
  <c r="F76" i="19" s="1"/>
  <c r="CO14" i="20"/>
  <c r="L59" i="19"/>
  <c r="CO14" i="15"/>
  <c r="BP28" i="2"/>
  <c r="BP62" i="2"/>
  <c r="BP159" i="1"/>
  <c r="BQ30" i="2"/>
  <c r="DX77" i="1"/>
  <c r="DX14" i="1" s="1"/>
  <c r="DY27" i="9"/>
  <c r="DP51" i="9"/>
  <c r="DP32" i="9"/>
  <c r="DP3" i="9"/>
  <c r="BL4" i="19" s="1"/>
  <c r="DP130" i="1"/>
  <c r="DP45" i="9"/>
  <c r="DP23" i="9"/>
  <c r="BL24" i="19" s="1"/>
  <c r="DP59" i="1"/>
  <c r="DP3" i="1"/>
  <c r="DP83" i="2"/>
  <c r="DP52" i="2"/>
  <c r="DP3" i="2"/>
  <c r="BL32" i="19" s="1"/>
  <c r="DP9" i="7"/>
  <c r="DP3" i="14"/>
  <c r="DP93" i="2"/>
  <c r="DP25" i="1"/>
  <c r="DP106" i="1"/>
  <c r="DP77" i="2"/>
  <c r="DP3" i="11"/>
  <c r="DP55" i="9"/>
  <c r="DW84" i="2"/>
  <c r="DW25" i="2" s="1"/>
  <c r="BH31" i="14"/>
  <c r="BH13" i="14"/>
  <c r="G68" i="19"/>
  <c r="BK63" i="2"/>
  <c r="BK44" i="2"/>
  <c r="DV5" i="7"/>
  <c r="DQ3" i="7"/>
  <c r="BE31" i="14"/>
  <c r="BE13" i="14"/>
  <c r="AG577" i="20"/>
  <c r="G24" i="9"/>
  <c r="H76" i="1"/>
  <c r="I28" i="9"/>
  <c r="I30" i="9" s="1"/>
  <c r="AH578" i="20" s="1"/>
  <c r="DU27" i="2"/>
  <c r="DV27" i="2" s="1"/>
  <c r="DU64" i="1"/>
  <c r="DV9" i="1"/>
  <c r="DB38" i="9"/>
  <c r="DB34" i="9"/>
  <c r="AX15" i="19"/>
  <c r="DB9" i="9"/>
  <c r="AW10" i="19"/>
  <c r="AV69" i="19"/>
  <c r="EA20" i="20"/>
  <c r="DB65" i="2"/>
  <c r="AX75" i="19"/>
  <c r="DY367" i="20"/>
  <c r="DY327" i="20"/>
  <c r="DZ8" i="9"/>
  <c r="DZ13" i="9" s="1"/>
  <c r="DY7" i="9"/>
  <c r="DZ46" i="9"/>
  <c r="DZ47" i="9"/>
  <c r="DY48" i="9"/>
  <c r="DY73" i="1" s="1"/>
  <c r="DX12" i="1"/>
  <c r="DV12" i="1"/>
  <c r="DR20" i="2" l="1"/>
  <c r="BK49" i="19"/>
  <c r="DL43" i="2"/>
  <c r="BG73" i="19"/>
  <c r="DB1" i="9"/>
  <c r="DE84" i="1"/>
  <c r="EB5" i="7"/>
  <c r="EB3" i="7" s="1"/>
  <c r="DW3" i="7"/>
  <c r="DR130" i="1"/>
  <c r="DR51" i="9"/>
  <c r="DR3" i="14"/>
  <c r="DR3" i="9"/>
  <c r="DR55" i="9"/>
  <c r="DR32" i="9"/>
  <c r="DR3" i="1"/>
  <c r="DR106" i="1"/>
  <c r="DR59" i="1"/>
  <c r="DR23" i="9"/>
  <c r="DR3" i="2"/>
  <c r="DR45" i="9"/>
  <c r="DR93" i="2"/>
  <c r="DR77" i="2"/>
  <c r="DR9" i="7"/>
  <c r="DR52" i="2"/>
  <c r="DR25" i="1"/>
  <c r="DR3" i="11"/>
  <c r="DR83" i="2"/>
  <c r="H68" i="19"/>
  <c r="BL63" i="2"/>
  <c r="BL44" i="2"/>
  <c r="DZ27" i="9"/>
  <c r="DY77" i="1"/>
  <c r="DY14" i="1" s="1"/>
  <c r="CI340" i="20"/>
  <c r="CI340" i="15"/>
  <c r="F77" i="19"/>
  <c r="BJ161" i="1"/>
  <c r="BJ50" i="2"/>
  <c r="BJ4" i="14"/>
  <c r="BJ66" i="2"/>
  <c r="AF577" i="20"/>
  <c r="H28" i="9"/>
  <c r="H30" i="9" s="1"/>
  <c r="AG578" i="20" s="1"/>
  <c r="E24" i="9"/>
  <c r="G76" i="1"/>
  <c r="CP14" i="20"/>
  <c r="M59" i="19"/>
  <c r="BQ159" i="1"/>
  <c r="BQ28" i="2"/>
  <c r="BR30" i="2"/>
  <c r="BT30" i="2" s="1"/>
  <c r="CP14" i="15"/>
  <c r="BQ62" i="2"/>
  <c r="DT45" i="9"/>
  <c r="DT23" i="9"/>
  <c r="DT32" i="9"/>
  <c r="DT77" i="2"/>
  <c r="DT3" i="14"/>
  <c r="DT55" i="9"/>
  <c r="DT59" i="1"/>
  <c r="DT93" i="2"/>
  <c r="DT83" i="2"/>
  <c r="DT106" i="1"/>
  <c r="DT51" i="9"/>
  <c r="DT9" i="7"/>
  <c r="DT130" i="1"/>
  <c r="DT25" i="1"/>
  <c r="DT3" i="1"/>
  <c r="DT52" i="2"/>
  <c r="DT3" i="2"/>
  <c r="DT3" i="11"/>
  <c r="DT3" i="9"/>
  <c r="DX85" i="2"/>
  <c r="EE5" i="7"/>
  <c r="EE3" i="7" s="1"/>
  <c r="DZ3" i="7"/>
  <c r="BH18" i="14"/>
  <c r="BH15" i="14"/>
  <c r="BH17" i="14"/>
  <c r="BH16" i="14"/>
  <c r="ED5" i="7"/>
  <c r="ED3" i="7" s="1"/>
  <c r="DY3" i="7"/>
  <c r="K45" i="19"/>
  <c r="BO36" i="2"/>
  <c r="BE16" i="14"/>
  <c r="BE18" i="14"/>
  <c r="BE15" i="14"/>
  <c r="BE17" i="14"/>
  <c r="CH340" i="20"/>
  <c r="BI4" i="14"/>
  <c r="BI50" i="2"/>
  <c r="E77" i="19"/>
  <c r="BI66" i="2"/>
  <c r="DQ3" i="11"/>
  <c r="DQ51" i="9"/>
  <c r="DQ32" i="9"/>
  <c r="DQ27" i="11"/>
  <c r="DQ3" i="9"/>
  <c r="BM4" i="19" s="1"/>
  <c r="DQ55" i="9"/>
  <c r="DQ45" i="9"/>
  <c r="DQ23" i="9"/>
  <c r="BM24" i="19" s="1"/>
  <c r="DQ59" i="1"/>
  <c r="DQ3" i="1"/>
  <c r="DQ25" i="1"/>
  <c r="DQ52" i="2"/>
  <c r="DQ9" i="7"/>
  <c r="DQ106" i="1"/>
  <c r="DQ3" i="14"/>
  <c r="DQ93" i="2"/>
  <c r="DQ83" i="2"/>
  <c r="DQ130" i="1"/>
  <c r="DQ77" i="2"/>
  <c r="DQ3" i="2"/>
  <c r="BM32" i="19" s="1"/>
  <c r="BG67" i="2"/>
  <c r="BG80" i="2" s="1"/>
  <c r="BG79" i="2"/>
  <c r="BG75" i="2"/>
  <c r="DS3" i="11"/>
  <c r="DS55" i="9"/>
  <c r="DS45" i="9"/>
  <c r="DS23" i="9"/>
  <c r="DS32" i="9"/>
  <c r="DS3" i="9"/>
  <c r="DS59" i="1"/>
  <c r="DS83" i="2"/>
  <c r="DS51" i="9"/>
  <c r="DS3" i="14"/>
  <c r="DS93" i="2"/>
  <c r="DS77" i="2"/>
  <c r="DS106" i="1"/>
  <c r="DS9" i="7"/>
  <c r="DS130" i="1"/>
  <c r="DS25" i="1"/>
  <c r="DS3" i="2"/>
  <c r="DS3" i="1"/>
  <c r="DS52" i="2"/>
  <c r="EB93" i="1"/>
  <c r="CB582" i="20"/>
  <c r="CB582" i="15"/>
  <c r="DZ28" i="1"/>
  <c r="EB29" i="1"/>
  <c r="EA29" i="1"/>
  <c r="EA28" i="1" s="1"/>
  <c r="DV64" i="1"/>
  <c r="DW9" i="1"/>
  <c r="DU26" i="2"/>
  <c r="DV25" i="2"/>
  <c r="DV26" i="2" s="1"/>
  <c r="DW26" i="2"/>
  <c r="DU45" i="9"/>
  <c r="DU23" i="9"/>
  <c r="DU3" i="14"/>
  <c r="DU55" i="9"/>
  <c r="DU106" i="1"/>
  <c r="DU51" i="9"/>
  <c r="DU77" i="2"/>
  <c r="DU32" i="9"/>
  <c r="DU25" i="1"/>
  <c r="DU93" i="2"/>
  <c r="DU59" i="1"/>
  <c r="DU83" i="2"/>
  <c r="DU3" i="1"/>
  <c r="DU3" i="11"/>
  <c r="DU3" i="9"/>
  <c r="DU52" i="2"/>
  <c r="DU3" i="2"/>
  <c r="DU130" i="1"/>
  <c r="DU9" i="7"/>
  <c r="L57" i="19"/>
  <c r="BP16" i="2"/>
  <c r="DX3" i="7"/>
  <c r="EC5" i="7"/>
  <c r="EC3" i="7" s="1"/>
  <c r="BD16" i="14"/>
  <c r="BD18" i="14"/>
  <c r="BD17" i="14"/>
  <c r="DV3" i="7"/>
  <c r="EA5" i="7"/>
  <c r="G74" i="19"/>
  <c r="BK47" i="2"/>
  <c r="BK46" i="2"/>
  <c r="G76" i="19" s="1"/>
  <c r="DI5" i="14"/>
  <c r="BE62" i="19"/>
  <c r="DY10" i="14"/>
  <c r="DY146" i="1"/>
  <c r="DY50" i="1"/>
  <c r="BG7" i="14"/>
  <c r="BG11" i="14"/>
  <c r="BG12" i="14" s="1"/>
  <c r="I66" i="19"/>
  <c r="BM38" i="2"/>
  <c r="BN38" i="2" s="1"/>
  <c r="CB583" i="20"/>
  <c r="CB583" i="15"/>
  <c r="BC4" i="11"/>
  <c r="BC6" i="11" s="1"/>
  <c r="BD6" i="11" s="1"/>
  <c r="DT185" i="1"/>
  <c r="DU78" i="2"/>
  <c r="DZ578" i="20"/>
  <c r="AW30" i="19"/>
  <c r="AW11" i="19"/>
  <c r="DZ575" i="20"/>
  <c r="DB10" i="9"/>
  <c r="E18" i="21" s="1"/>
  <c r="E20" i="21" s="1"/>
  <c r="DB24" i="9"/>
  <c r="DC28" i="9" s="1"/>
  <c r="DZ577" i="20"/>
  <c r="AW25" i="19"/>
  <c r="DB112" i="1"/>
  <c r="DB13" i="2"/>
  <c r="AW42" i="19"/>
  <c r="DZ580" i="20"/>
  <c r="DB39" i="9"/>
  <c r="DB34" i="1"/>
  <c r="DB83" i="1" s="1"/>
  <c r="DB36" i="1"/>
  <c r="DB103" i="1" s="1"/>
  <c r="DY52" i="20"/>
  <c r="DY313" i="20"/>
  <c r="AV71" i="19"/>
  <c r="DB35" i="9"/>
  <c r="DB30" i="9"/>
  <c r="DB84" i="1"/>
  <c r="AX10" i="19"/>
  <c r="AW79" i="19"/>
  <c r="DY18" i="20"/>
  <c r="DZ588" i="20"/>
  <c r="AW13" i="19"/>
  <c r="DB12" i="9"/>
  <c r="DB36" i="9"/>
  <c r="EB47" i="9"/>
  <c r="EB46" i="9" s="1"/>
  <c r="EA46" i="9"/>
  <c r="DZ48" i="9"/>
  <c r="DY12" i="1"/>
  <c r="EB8" i="9"/>
  <c r="DZ7" i="9"/>
  <c r="EA7" i="9" s="1"/>
  <c r="EA8" i="9" s="1"/>
  <c r="BH73" i="19" l="1"/>
  <c r="DM43" i="2"/>
  <c r="DS20" i="2"/>
  <c r="DT20" i="2" s="1"/>
  <c r="DW20" i="2" s="1"/>
  <c r="DE85" i="1"/>
  <c r="DJ85" i="1" s="1"/>
  <c r="DK85" i="1" s="1"/>
  <c r="DM85" i="1" s="1"/>
  <c r="DN85" i="1" s="1"/>
  <c r="DO85" i="1" s="1"/>
  <c r="DP85" i="1" s="1"/>
  <c r="DR85" i="1" s="1"/>
  <c r="DS85" i="1" s="1"/>
  <c r="DT85" i="1" s="1"/>
  <c r="DU85" i="1" s="1"/>
  <c r="DW85" i="1" s="1"/>
  <c r="DX85" i="1" s="1"/>
  <c r="DY85" i="1" s="1"/>
  <c r="DZ85" i="1" s="1"/>
  <c r="EB85" i="1" s="1"/>
  <c r="EC85" i="1" s="1"/>
  <c r="ED85" i="1" s="1"/>
  <c r="EE85" i="1" s="1"/>
  <c r="DE104" i="1"/>
  <c r="DJ104" i="1" s="1"/>
  <c r="DK104" i="1" s="1"/>
  <c r="DM104" i="1" s="1"/>
  <c r="DN104" i="1" s="1"/>
  <c r="DO104" i="1" s="1"/>
  <c r="DP104" i="1" s="1"/>
  <c r="DR104" i="1" s="1"/>
  <c r="DS104" i="1" s="1"/>
  <c r="DT104" i="1" s="1"/>
  <c r="DU104" i="1" s="1"/>
  <c r="DW104" i="1" s="1"/>
  <c r="DX104" i="1" s="1"/>
  <c r="DY104" i="1" s="1"/>
  <c r="DZ104" i="1" s="1"/>
  <c r="EB104" i="1" s="1"/>
  <c r="EC104" i="1" s="1"/>
  <c r="ED104" i="1" s="1"/>
  <c r="EE104" i="1" s="1"/>
  <c r="DE98" i="1"/>
  <c r="DE101" i="1"/>
  <c r="DJ101" i="1" s="1"/>
  <c r="DK101" i="1" s="1"/>
  <c r="DM101" i="1" s="1"/>
  <c r="DN101" i="1" s="1"/>
  <c r="DO101" i="1" s="1"/>
  <c r="DP101" i="1" s="1"/>
  <c r="DR101" i="1" s="1"/>
  <c r="DS101" i="1" s="1"/>
  <c r="DT101" i="1" s="1"/>
  <c r="DU101" i="1" s="1"/>
  <c r="DW101" i="1" s="1"/>
  <c r="DX101" i="1" s="1"/>
  <c r="DY101" i="1" s="1"/>
  <c r="DZ101" i="1" s="1"/>
  <c r="EB101" i="1" s="1"/>
  <c r="EC101" i="1" s="1"/>
  <c r="ED101" i="1" s="1"/>
  <c r="EE101" i="1" s="1"/>
  <c r="BS30" i="2"/>
  <c r="O59" i="19" s="1"/>
  <c r="DC30" i="9"/>
  <c r="DC29" i="9"/>
  <c r="I4" i="21"/>
  <c r="I5" i="21" s="1"/>
  <c r="E21" i="21" s="1"/>
  <c r="E23" i="21" s="1"/>
  <c r="E12" i="21" s="1"/>
  <c r="DC18" i="9"/>
  <c r="AY19" i="19" s="1"/>
  <c r="DW51" i="9"/>
  <c r="DW23" i="9"/>
  <c r="DW83" i="2"/>
  <c r="DW3" i="9"/>
  <c r="DW93" i="2"/>
  <c r="DW59" i="1"/>
  <c r="DW3" i="1"/>
  <c r="DW55" i="9"/>
  <c r="DW130" i="1"/>
  <c r="DW3" i="2"/>
  <c r="DW3" i="11"/>
  <c r="DW9" i="7"/>
  <c r="DW77" i="2"/>
  <c r="DW45" i="9"/>
  <c r="DW25" i="1"/>
  <c r="DW3" i="14"/>
  <c r="DW106" i="1"/>
  <c r="DW32" i="9"/>
  <c r="DW52" i="2"/>
  <c r="EB3" i="9"/>
  <c r="EB25" i="1"/>
  <c r="EB3" i="2"/>
  <c r="EB55" i="9"/>
  <c r="EB77" i="2"/>
  <c r="EB130" i="1"/>
  <c r="EB106" i="1"/>
  <c r="EB52" i="2"/>
  <c r="EB51" i="9"/>
  <c r="EB93" i="2"/>
  <c r="EB3" i="14"/>
  <c r="EB9" i="7"/>
  <c r="EB45" i="9"/>
  <c r="EB23" i="9"/>
  <c r="EB3" i="1"/>
  <c r="EB3" i="11"/>
  <c r="EB59" i="1"/>
  <c r="EB83" i="2"/>
  <c r="EB32" i="9"/>
  <c r="CJ340" i="20"/>
  <c r="G77" i="19"/>
  <c r="CJ340" i="15"/>
  <c r="BK161" i="1"/>
  <c r="BK66" i="2"/>
  <c r="BK50" i="2"/>
  <c r="BK4" i="14"/>
  <c r="DZ10" i="14"/>
  <c r="DZ146" i="1"/>
  <c r="DZ50" i="1"/>
  <c r="DZ85" i="2" s="1"/>
  <c r="DZ84" i="2" s="1"/>
  <c r="DZ25" i="2" s="1"/>
  <c r="DZ26" i="2" s="1"/>
  <c r="CC583" i="20"/>
  <c r="CC583" i="15"/>
  <c r="BD4" i="11"/>
  <c r="BD5" i="11" s="1"/>
  <c r="ED3" i="11"/>
  <c r="ED3" i="9"/>
  <c r="ED51" i="9"/>
  <c r="ED130" i="1"/>
  <c r="ED23" i="9"/>
  <c r="ED3" i="14"/>
  <c r="ED93" i="2"/>
  <c r="ED45" i="9"/>
  <c r="ED9" i="7"/>
  <c r="ED52" i="2"/>
  <c r="ED25" i="1"/>
  <c r="ED3" i="1"/>
  <c r="ED83" i="2"/>
  <c r="ED32" i="9"/>
  <c r="ED106" i="1"/>
  <c r="ED77" i="2"/>
  <c r="ED3" i="2"/>
  <c r="ED55" i="9"/>
  <c r="ED59" i="1"/>
  <c r="CG582" i="20"/>
  <c r="CG582" i="15"/>
  <c r="BI7" i="14"/>
  <c r="BI11" i="14"/>
  <c r="BI12" i="14" s="1"/>
  <c r="AD577" i="20"/>
  <c r="D24" i="9"/>
  <c r="F24" i="9"/>
  <c r="DZ77" i="1"/>
  <c r="EA27" i="9"/>
  <c r="EB27" i="9" s="1"/>
  <c r="K66" i="19"/>
  <c r="BO38" i="2"/>
  <c r="BI67" i="2"/>
  <c r="BI80" i="2" s="1"/>
  <c r="BI79" i="2"/>
  <c r="BI75" i="2"/>
  <c r="DJ92" i="1"/>
  <c r="DY85" i="2"/>
  <c r="DY84" i="2" s="1"/>
  <c r="DY25" i="2" s="1"/>
  <c r="DY26" i="2" s="1"/>
  <c r="CC582" i="20"/>
  <c r="CC582" i="15"/>
  <c r="EC93" i="1"/>
  <c r="CG583" i="15"/>
  <c r="BH4" i="11"/>
  <c r="BH6" i="11" s="1"/>
  <c r="CG583" i="20"/>
  <c r="J68" i="19"/>
  <c r="BN63" i="2"/>
  <c r="EC3" i="11"/>
  <c r="EC32" i="9"/>
  <c r="EC3" i="9"/>
  <c r="EC3" i="14"/>
  <c r="EC55" i="9"/>
  <c r="EC130" i="1"/>
  <c r="EC51" i="9"/>
  <c r="EC59" i="1"/>
  <c r="EC9" i="7"/>
  <c r="EC52" i="2"/>
  <c r="EC23" i="9"/>
  <c r="EC3" i="1"/>
  <c r="EC3" i="2"/>
  <c r="EC45" i="9"/>
  <c r="EC106" i="1"/>
  <c r="EC83" i="2"/>
  <c r="EC77" i="2"/>
  <c r="EC25" i="1"/>
  <c r="EC93" i="2"/>
  <c r="DX45" i="9"/>
  <c r="DX3" i="11"/>
  <c r="DX3" i="14"/>
  <c r="DX55" i="9"/>
  <c r="DX32" i="9"/>
  <c r="DX106" i="1"/>
  <c r="DX3" i="9"/>
  <c r="DX51" i="9"/>
  <c r="DX59" i="1"/>
  <c r="DX3" i="2"/>
  <c r="DX3" i="1"/>
  <c r="DX25" i="1"/>
  <c r="DX9" i="7"/>
  <c r="DX52" i="2"/>
  <c r="DX130" i="1"/>
  <c r="DX23" i="9"/>
  <c r="DX93" i="2"/>
  <c r="DX77" i="2"/>
  <c r="DX83" i="2"/>
  <c r="CD583" i="20"/>
  <c r="BE4" i="11"/>
  <c r="BE6" i="11" s="1"/>
  <c r="CD583" i="15"/>
  <c r="CS14" i="15"/>
  <c r="CS14" i="20"/>
  <c r="BT159" i="1"/>
  <c r="BT62" i="2"/>
  <c r="BT28" i="2"/>
  <c r="P59" i="19"/>
  <c r="BU30" i="2"/>
  <c r="H74" i="19"/>
  <c r="BL47" i="2"/>
  <c r="BL46" i="2"/>
  <c r="H76" i="19" s="1"/>
  <c r="EA10" i="14"/>
  <c r="EA146" i="1"/>
  <c r="EA50" i="1"/>
  <c r="EB28" i="1"/>
  <c r="EC29" i="1"/>
  <c r="EF5" i="7"/>
  <c r="EF3" i="7" s="1"/>
  <c r="EA3" i="7"/>
  <c r="DV27" i="11"/>
  <c r="DV3" i="14"/>
  <c r="DV55" i="9"/>
  <c r="DV32" i="9"/>
  <c r="DV51" i="9"/>
  <c r="DV25" i="1"/>
  <c r="DV77" i="2"/>
  <c r="DV3" i="9"/>
  <c r="DV93" i="2"/>
  <c r="DV59" i="1"/>
  <c r="DV106" i="1"/>
  <c r="DV3" i="2"/>
  <c r="DV45" i="9"/>
  <c r="DV3" i="1"/>
  <c r="DV83" i="2"/>
  <c r="DV130" i="1"/>
  <c r="DV3" i="11"/>
  <c r="DV23" i="9"/>
  <c r="DV52" i="2"/>
  <c r="DV9" i="7"/>
  <c r="DY45" i="9"/>
  <c r="DY3" i="14"/>
  <c r="DY55" i="9"/>
  <c r="DY51" i="9"/>
  <c r="DY3" i="11"/>
  <c r="DY106" i="1"/>
  <c r="DY3" i="1"/>
  <c r="DY3" i="9"/>
  <c r="DY3" i="2"/>
  <c r="DY25" i="1"/>
  <c r="DY32" i="9"/>
  <c r="DY23" i="9"/>
  <c r="DY93" i="2"/>
  <c r="DY9" i="7"/>
  <c r="DY130" i="1"/>
  <c r="DY59" i="1"/>
  <c r="DY77" i="2"/>
  <c r="DY52" i="2"/>
  <c r="DY83" i="2"/>
  <c r="DU185" i="1"/>
  <c r="DV78" i="2"/>
  <c r="BJ79" i="2"/>
  <c r="F83" i="19" s="1"/>
  <c r="BJ75" i="2"/>
  <c r="BJ67" i="2"/>
  <c r="BJ80" i="2" s="1"/>
  <c r="F84" i="19" s="1"/>
  <c r="DW27" i="2"/>
  <c r="DW64" i="1"/>
  <c r="DX9" i="1"/>
  <c r="DX27" i="2" s="1"/>
  <c r="EE3" i="11"/>
  <c r="EE51" i="9"/>
  <c r="EE23" i="9"/>
  <c r="EE3" i="9"/>
  <c r="EE3" i="14"/>
  <c r="EE130" i="1"/>
  <c r="EE52" i="2"/>
  <c r="EE3" i="1"/>
  <c r="EE93" i="2"/>
  <c r="EE25" i="1"/>
  <c r="EE83" i="2"/>
  <c r="EE77" i="2"/>
  <c r="EE55" i="9"/>
  <c r="EE45" i="9"/>
  <c r="EE3" i="2"/>
  <c r="EE9" i="7"/>
  <c r="EE106" i="1"/>
  <c r="EE32" i="9"/>
  <c r="EE59" i="1"/>
  <c r="BJ7" i="14"/>
  <c r="BJ11" i="14"/>
  <c r="BJ12" i="14" s="1"/>
  <c r="M57" i="19"/>
  <c r="BQ16" i="2"/>
  <c r="BG31" i="14"/>
  <c r="BI31" i="14" s="1"/>
  <c r="BG13" i="14"/>
  <c r="L45" i="19"/>
  <c r="BP36" i="2"/>
  <c r="DZ3" i="14"/>
  <c r="DZ55" i="9"/>
  <c r="DZ51" i="9"/>
  <c r="DZ3" i="11"/>
  <c r="DZ3" i="9"/>
  <c r="DZ106" i="1"/>
  <c r="DZ45" i="9"/>
  <c r="DZ130" i="1"/>
  <c r="DZ25" i="1"/>
  <c r="DZ23" i="9"/>
  <c r="DZ3" i="2"/>
  <c r="DZ32" i="9"/>
  <c r="DZ3" i="1"/>
  <c r="DZ52" i="2"/>
  <c r="DZ93" i="2"/>
  <c r="DZ9" i="7"/>
  <c r="DZ59" i="1"/>
  <c r="DZ83" i="2"/>
  <c r="DZ77" i="2"/>
  <c r="I68" i="19"/>
  <c r="BM63" i="2"/>
  <c r="BM44" i="2"/>
  <c r="CD582" i="20"/>
  <c r="CD582" i="15"/>
  <c r="DX84" i="2"/>
  <c r="CQ14" i="15"/>
  <c r="CQ14" i="20"/>
  <c r="BR159" i="1"/>
  <c r="N59" i="19"/>
  <c r="BR28" i="2"/>
  <c r="BS28" i="2" s="1"/>
  <c r="O57" i="19" s="1"/>
  <c r="BR62" i="2"/>
  <c r="DB37" i="9"/>
  <c r="DB12" i="2"/>
  <c r="AW41" i="19"/>
  <c r="AW27" i="19"/>
  <c r="DB26" i="9"/>
  <c r="AX27" i="19" s="1"/>
  <c r="DA157" i="1"/>
  <c r="DB157" i="1" s="1"/>
  <c r="DB133" i="1"/>
  <c r="EA588" i="20"/>
  <c r="AX13" i="19"/>
  <c r="DB13" i="9"/>
  <c r="AX42" i="19"/>
  <c r="EA580" i="20"/>
  <c r="DB61" i="2"/>
  <c r="DB15" i="1"/>
  <c r="DZ147" i="20"/>
  <c r="DA144" i="1"/>
  <c r="DB11" i="9"/>
  <c r="AX12" i="19" s="1"/>
  <c r="AX11" i="19"/>
  <c r="EA575" i="20"/>
  <c r="DB17" i="1"/>
  <c r="DA142" i="1"/>
  <c r="AY29" i="19"/>
  <c r="AX25" i="19"/>
  <c r="EA577" i="20"/>
  <c r="DG28" i="9"/>
  <c r="BC29" i="19" s="1"/>
  <c r="EA578" i="20"/>
  <c r="AX30" i="19"/>
  <c r="DB104" i="1"/>
  <c r="DB107" i="1"/>
  <c r="DB85" i="1"/>
  <c r="AW34" i="19"/>
  <c r="DB5" i="2"/>
  <c r="AX34" i="19" s="1"/>
  <c r="DB113" i="1"/>
  <c r="DB116" i="1"/>
  <c r="DB118" i="1" s="1"/>
  <c r="DB42" i="9"/>
  <c r="DB43" i="9" s="1"/>
  <c r="EB13" i="9"/>
  <c r="EA48" i="9"/>
  <c r="EA47" i="9" s="1"/>
  <c r="DZ73" i="1"/>
  <c r="EC46" i="9"/>
  <c r="EC47" i="9"/>
  <c r="EB48" i="9"/>
  <c r="EB73" i="1" s="1"/>
  <c r="EC8" i="9"/>
  <c r="EB7" i="9"/>
  <c r="DV20" i="2" l="1"/>
  <c r="DX20" i="2"/>
  <c r="DY20" i="2" s="1"/>
  <c r="EB20" i="2" s="1"/>
  <c r="EC20" i="2" s="1"/>
  <c r="ED20" i="2" s="1"/>
  <c r="EF20" i="2" s="1"/>
  <c r="DN43" i="2"/>
  <c r="BI73" i="19"/>
  <c r="CR14" i="20"/>
  <c r="CR14" i="15"/>
  <c r="BS159" i="1"/>
  <c r="BS62" i="2"/>
  <c r="DB33" i="9"/>
  <c r="DC40" i="9" s="1"/>
  <c r="DC111" i="1" s="1"/>
  <c r="DC35" i="9"/>
  <c r="DC37" i="9" s="1"/>
  <c r="E9" i="21"/>
  <c r="E26" i="21"/>
  <c r="BI21" i="14"/>
  <c r="BI13" i="14"/>
  <c r="EC27" i="9"/>
  <c r="EB77" i="1"/>
  <c r="EB14" i="1" s="1"/>
  <c r="M45" i="19"/>
  <c r="BQ36" i="2"/>
  <c r="DX64" i="1"/>
  <c r="DY9" i="1"/>
  <c r="EA3" i="14"/>
  <c r="EA55" i="9"/>
  <c r="EA51" i="9"/>
  <c r="EA3" i="11"/>
  <c r="EA32" i="9"/>
  <c r="EA3" i="9"/>
  <c r="EA130" i="1"/>
  <c r="EA106" i="1"/>
  <c r="EA45" i="9"/>
  <c r="EA25" i="1"/>
  <c r="EA59" i="1"/>
  <c r="EA3" i="1"/>
  <c r="EA93" i="2"/>
  <c r="EA3" i="2"/>
  <c r="EA52" i="2"/>
  <c r="EA9" i="7"/>
  <c r="EA83" i="2"/>
  <c r="EA23" i="9"/>
  <c r="EA27" i="11"/>
  <c r="EA77" i="2"/>
  <c r="EA77" i="1"/>
  <c r="DZ14" i="1"/>
  <c r="EA14" i="1" s="1"/>
  <c r="BM47" i="2"/>
  <c r="I74" i="19"/>
  <c r="BM46" i="2"/>
  <c r="I76" i="19" s="1"/>
  <c r="BN44" i="2"/>
  <c r="DJ68" i="2"/>
  <c r="DJ95" i="1"/>
  <c r="DJ91" i="1" s="1"/>
  <c r="BK7" i="14"/>
  <c r="BK11" i="14"/>
  <c r="BK12" i="14" s="1"/>
  <c r="BJ13" i="14"/>
  <c r="BJ31" i="14"/>
  <c r="BJ22" i="14"/>
  <c r="EC28" i="1"/>
  <c r="ED29" i="1"/>
  <c r="P57" i="19"/>
  <c r="BT16" i="2"/>
  <c r="DI158" i="1"/>
  <c r="EB10" i="14"/>
  <c r="EB146" i="1"/>
  <c r="EB50" i="1"/>
  <c r="EB85" i="2" s="1"/>
  <c r="BK79" i="2"/>
  <c r="G83" i="19" s="1"/>
  <c r="BK75" i="2"/>
  <c r="BK67" i="2"/>
  <c r="BK80" i="2" s="1"/>
  <c r="G84" i="19" s="1"/>
  <c r="BO63" i="2"/>
  <c r="K68" i="19"/>
  <c r="BO44" i="2"/>
  <c r="BG18" i="14"/>
  <c r="BG16" i="14"/>
  <c r="BG15" i="14"/>
  <c r="BG17" i="14"/>
  <c r="CK340" i="20"/>
  <c r="H77" i="19"/>
  <c r="CK340" i="15"/>
  <c r="BL161" i="1"/>
  <c r="BL4" i="14"/>
  <c r="BL66" i="2"/>
  <c r="BL50" i="2"/>
  <c r="ED93" i="1"/>
  <c r="N57" i="19"/>
  <c r="BR16" i="2"/>
  <c r="BS16" i="2" s="1"/>
  <c r="O45" i="19" s="1"/>
  <c r="Q59" i="19"/>
  <c r="CT14" i="15"/>
  <c r="BU159" i="1"/>
  <c r="BV30" i="2"/>
  <c r="BU62" i="2"/>
  <c r="CT14" i="20"/>
  <c r="BU28" i="2"/>
  <c r="EA85" i="2"/>
  <c r="EA86" i="2" s="1"/>
  <c r="EA87" i="2" s="1"/>
  <c r="DW78" i="2"/>
  <c r="DV185" i="1"/>
  <c r="DV29" i="11"/>
  <c r="DX25" i="2"/>
  <c r="EA84" i="2"/>
  <c r="E84" i="19"/>
  <c r="BI30" i="11"/>
  <c r="AC577" i="20"/>
  <c r="E28" i="9"/>
  <c r="E30" i="9" s="1"/>
  <c r="AD578" i="20" s="1"/>
  <c r="C24" i="9"/>
  <c r="EF27" i="11"/>
  <c r="EF51" i="9"/>
  <c r="EF23" i="9"/>
  <c r="EF55" i="9"/>
  <c r="EF130" i="1"/>
  <c r="EF3" i="11"/>
  <c r="EF77" i="2"/>
  <c r="EF83" i="2"/>
  <c r="EF3" i="9"/>
  <c r="EF3" i="1"/>
  <c r="EF25" i="1"/>
  <c r="EF32" i="9"/>
  <c r="EF59" i="1"/>
  <c r="EF93" i="2"/>
  <c r="EF45" i="9"/>
  <c r="EF52" i="2"/>
  <c r="EF3" i="2"/>
  <c r="EF106" i="1"/>
  <c r="EF9" i="7"/>
  <c r="EF3" i="14"/>
  <c r="E83" i="19"/>
  <c r="BI76" i="2"/>
  <c r="AE577" i="20"/>
  <c r="G28" i="9"/>
  <c r="G30" i="9" s="1"/>
  <c r="AF578" i="20" s="1"/>
  <c r="K28" i="9"/>
  <c r="K30" i="9" s="1"/>
  <c r="AJ578" i="20" s="1"/>
  <c r="F76" i="1"/>
  <c r="L66" i="19"/>
  <c r="BP38" i="2"/>
  <c r="DB142" i="1"/>
  <c r="DB97" i="1"/>
  <c r="DB98" i="1" s="1"/>
  <c r="EA589" i="20"/>
  <c r="AX14" i="19"/>
  <c r="DB75" i="1"/>
  <c r="DB76" i="1" s="1"/>
  <c r="DZ7" i="20"/>
  <c r="AW61" i="19"/>
  <c r="DB32" i="2"/>
  <c r="DB114" i="1"/>
  <c r="AY18" i="19"/>
  <c r="AY46" i="19"/>
  <c r="DB4" i="2"/>
  <c r="AX33" i="19" s="1"/>
  <c r="AW33" i="19"/>
  <c r="AW35" i="19"/>
  <c r="DB6" i="2"/>
  <c r="AX35" i="19" s="1"/>
  <c r="DB115" i="1"/>
  <c r="DB117" i="1" s="1"/>
  <c r="AW59" i="19"/>
  <c r="DZ14" i="20"/>
  <c r="DA159" i="1"/>
  <c r="DB30" i="2"/>
  <c r="EA147" i="20"/>
  <c r="DB144" i="1"/>
  <c r="DB100" i="1"/>
  <c r="DB101" i="1" s="1"/>
  <c r="AX41" i="19"/>
  <c r="DB71" i="2"/>
  <c r="AX79" i="19" s="1"/>
  <c r="ED8" i="9"/>
  <c r="EC7" i="9"/>
  <c r="EC13" i="9"/>
  <c r="ED47" i="9"/>
  <c r="EC48" i="9"/>
  <c r="EC73" i="1" s="1"/>
  <c r="ED46" i="9"/>
  <c r="EB12" i="1"/>
  <c r="EA73" i="1"/>
  <c r="EA74" i="1" s="1"/>
  <c r="DZ12" i="1"/>
  <c r="EA20" i="2" l="1"/>
  <c r="DO43" i="2"/>
  <c r="BJ73" i="19"/>
  <c r="DC112" i="1"/>
  <c r="DC38" i="9"/>
  <c r="DC39" i="9" s="1"/>
  <c r="EA88" i="2"/>
  <c r="BL79" i="2"/>
  <c r="H83" i="19" s="1"/>
  <c r="BL75" i="2"/>
  <c r="BL67" i="2"/>
  <c r="BL80" i="2" s="1"/>
  <c r="H84" i="19" s="1"/>
  <c r="R59" i="19"/>
  <c r="CU14" i="15"/>
  <c r="CU14" i="20"/>
  <c r="BV159" i="1"/>
  <c r="BV62" i="2"/>
  <c r="BV28" i="2"/>
  <c r="DY27" i="2"/>
  <c r="DY64" i="1"/>
  <c r="DZ9" i="1"/>
  <c r="EC10" i="14"/>
  <c r="EC146" i="1"/>
  <c r="EC50" i="1"/>
  <c r="EC85" i="2" s="1"/>
  <c r="EC84" i="2" s="1"/>
  <c r="EC25" i="2" s="1"/>
  <c r="EC26" i="2" s="1"/>
  <c r="M66" i="19"/>
  <c r="BQ38" i="2"/>
  <c r="N45" i="19"/>
  <c r="BR36" i="2"/>
  <c r="BJ15" i="14"/>
  <c r="BJ17" i="14"/>
  <c r="BJ18" i="14"/>
  <c r="BJ16" i="14"/>
  <c r="EE93" i="1"/>
  <c r="CF582" i="20"/>
  <c r="CF582" i="15"/>
  <c r="BK13" i="14"/>
  <c r="BK31" i="14"/>
  <c r="BK22" i="14"/>
  <c r="ED27" i="9"/>
  <c r="EC77" i="1"/>
  <c r="EC14" i="1" s="1"/>
  <c r="BN46" i="2"/>
  <c r="J76" i="19" s="1"/>
  <c r="J74" i="19"/>
  <c r="L68" i="19"/>
  <c r="BP63" i="2"/>
  <c r="BP44" i="2"/>
  <c r="CF583" i="20"/>
  <c r="CF583" i="15"/>
  <c r="BG4" i="11"/>
  <c r="BG6" i="11" s="1"/>
  <c r="BI6" i="11" s="1"/>
  <c r="DW185" i="1"/>
  <c r="DX78" i="2"/>
  <c r="DX81" i="2" s="1"/>
  <c r="BI18" i="14"/>
  <c r="BI17" i="14"/>
  <c r="BI16" i="14"/>
  <c r="CH582" i="20" s="1"/>
  <c r="BL7" i="14"/>
  <c r="BL11" i="14"/>
  <c r="BL12" i="14" s="1"/>
  <c r="EE29" i="1"/>
  <c r="ED28" i="1"/>
  <c r="CL340" i="20"/>
  <c r="CL340" i="15"/>
  <c r="I77" i="19"/>
  <c r="BM161" i="1"/>
  <c r="BN161" i="1" s="1"/>
  <c r="BN163" i="1" s="1"/>
  <c r="BM4" i="14"/>
  <c r="BM66" i="2"/>
  <c r="BM50" i="2"/>
  <c r="DX26" i="2"/>
  <c r="EA25" i="2"/>
  <c r="EA26" i="2" s="1"/>
  <c r="BN47" i="2"/>
  <c r="K74" i="19"/>
  <c r="BO46" i="2"/>
  <c r="K76" i="19" s="1"/>
  <c r="BO47" i="2"/>
  <c r="DJ22" i="1"/>
  <c r="DJ134" i="1" s="1"/>
  <c r="DK92" i="1"/>
  <c r="EB84" i="2"/>
  <c r="EB25" i="2" s="1"/>
  <c r="AB577" i="20"/>
  <c r="B24" i="9"/>
  <c r="D28" i="9"/>
  <c r="D30" i="9" s="1"/>
  <c r="AC578" i="20" s="1"/>
  <c r="Q57" i="19"/>
  <c r="BU16" i="2"/>
  <c r="P45" i="19"/>
  <c r="BT36" i="2"/>
  <c r="DJ5" i="14"/>
  <c r="DJ33" i="2"/>
  <c r="BF62" i="19" s="1"/>
  <c r="BX30" i="2"/>
  <c r="AW43" i="19"/>
  <c r="DB14" i="2"/>
  <c r="DB108" i="1"/>
  <c r="DC113" i="1" s="1"/>
  <c r="DB13" i="1"/>
  <c r="DB88" i="1" s="1"/>
  <c r="DB35" i="1"/>
  <c r="DB87" i="1" s="1"/>
  <c r="AW37" i="19"/>
  <c r="DB8" i="2"/>
  <c r="AW60" i="19"/>
  <c r="DB31" i="2"/>
  <c r="AX60" i="19" s="1"/>
  <c r="EA7" i="20"/>
  <c r="DB56" i="2"/>
  <c r="AX61" i="19"/>
  <c r="AY59" i="19"/>
  <c r="DC159" i="1"/>
  <c r="AY57" i="19"/>
  <c r="DB28" i="2"/>
  <c r="AX57" i="19" s="1"/>
  <c r="AW57" i="19"/>
  <c r="AX59" i="19"/>
  <c r="EA14" i="20"/>
  <c r="DB159" i="1"/>
  <c r="ED48" i="9"/>
  <c r="ED73" i="1" s="1"/>
  <c r="EE46" i="9"/>
  <c r="EE47" i="9"/>
  <c r="EE8" i="9"/>
  <c r="EE7" i="9" s="1"/>
  <c r="ED7" i="9"/>
  <c r="EC12" i="1"/>
  <c r="EA12" i="1"/>
  <c r="ED13" i="9"/>
  <c r="DP43" i="2" l="1"/>
  <c r="BL73" i="19" s="1"/>
  <c r="BK73" i="19"/>
  <c r="DC114" i="1"/>
  <c r="DC116" i="1" s="1"/>
  <c r="DC118" i="1" s="1"/>
  <c r="DN118" i="1" s="1"/>
  <c r="DO118" i="1" s="1"/>
  <c r="DP118" i="1" s="1"/>
  <c r="DR118" i="1" s="1"/>
  <c r="DS118" i="1" s="1"/>
  <c r="DT118" i="1" s="1"/>
  <c r="DU118" i="1" s="1"/>
  <c r="DW118" i="1" s="1"/>
  <c r="DX118" i="1" s="1"/>
  <c r="DY118" i="1" s="1"/>
  <c r="DZ118" i="1" s="1"/>
  <c r="EB118" i="1" s="1"/>
  <c r="EC118" i="1" s="1"/>
  <c r="ED118" i="1" s="1"/>
  <c r="EE118" i="1" s="1"/>
  <c r="DC115" i="1"/>
  <c r="DC117" i="1" s="1"/>
  <c r="DX185" i="1"/>
  <c r="DY78" i="2"/>
  <c r="BK15" i="14"/>
  <c r="BK17" i="14"/>
  <c r="BK18" i="14"/>
  <c r="BK16" i="14"/>
  <c r="EB26" i="2"/>
  <c r="DZ27" i="2"/>
  <c r="EA27" i="2" s="1"/>
  <c r="EA9" i="1"/>
  <c r="DZ64" i="1"/>
  <c r="CN340" i="20"/>
  <c r="CN340" i="15"/>
  <c r="BO4" i="14"/>
  <c r="K77" i="19"/>
  <c r="BO161" i="1"/>
  <c r="BO50" i="2"/>
  <c r="BO66" i="2"/>
  <c r="EE27" i="9"/>
  <c r="ED77" i="1"/>
  <c r="ED14" i="1" s="1"/>
  <c r="AA577" i="20"/>
  <c r="F28" i="9"/>
  <c r="F30" i="9" s="1"/>
  <c r="AE578" i="20" s="1"/>
  <c r="C28" i="9"/>
  <c r="C30" i="9" s="1"/>
  <c r="AB578" i="20" s="1"/>
  <c r="ED10" i="14"/>
  <c r="ED146" i="1"/>
  <c r="ED50" i="1"/>
  <c r="ED85" i="2" s="1"/>
  <c r="ED84" i="2" s="1"/>
  <c r="ED25" i="2" s="1"/>
  <c r="ED26" i="2" s="1"/>
  <c r="EF29" i="1"/>
  <c r="EF28" i="1" s="1"/>
  <c r="EE28" i="1"/>
  <c r="BM79" i="2"/>
  <c r="I83" i="19" s="1"/>
  <c r="BM75" i="2"/>
  <c r="BM67" i="2"/>
  <c r="BM80" i="2" s="1"/>
  <c r="I84" i="19" s="1"/>
  <c r="Q45" i="19"/>
  <c r="BU36" i="2"/>
  <c r="R57" i="19"/>
  <c r="BV16" i="2"/>
  <c r="BX16" i="2" s="1"/>
  <c r="T45" i="19" s="1"/>
  <c r="BX28" i="2"/>
  <c r="T57" i="19" s="1"/>
  <c r="BP46" i="2"/>
  <c r="L76" i="19" s="1"/>
  <c r="L74" i="19"/>
  <c r="BP47" i="2"/>
  <c r="BM7" i="14"/>
  <c r="BM11" i="14"/>
  <c r="BM12" i="14" s="1"/>
  <c r="CI583" i="15"/>
  <c r="CI583" i="20"/>
  <c r="BJ4" i="11"/>
  <c r="BJ6" i="11" s="1"/>
  <c r="N66" i="19"/>
  <c r="BR38" i="2"/>
  <c r="BS36" i="2"/>
  <c r="O66" i="19" s="1"/>
  <c r="M68" i="19"/>
  <c r="BQ63" i="2"/>
  <c r="BQ44" i="2"/>
  <c r="CM340" i="20"/>
  <c r="CM340" i="15"/>
  <c r="BN4" i="14"/>
  <c r="J77" i="19"/>
  <c r="BN66" i="2"/>
  <c r="BN51" i="2"/>
  <c r="BS51" i="2" s="1"/>
  <c r="BN50" i="2"/>
  <c r="BL31" i="14"/>
  <c r="BL22" i="14"/>
  <c r="BL13" i="14"/>
  <c r="P66" i="19"/>
  <c r="BT38" i="2"/>
  <c r="DK95" i="1"/>
  <c r="DK68" i="2"/>
  <c r="DK33" i="2" s="1"/>
  <c r="DL92" i="1"/>
  <c r="BX62" i="2"/>
  <c r="T59" i="19"/>
  <c r="BX159" i="1"/>
  <c r="CW14" i="20"/>
  <c r="CW14" i="15"/>
  <c r="DJ158" i="1"/>
  <c r="CH583" i="20"/>
  <c r="BI4" i="11"/>
  <c r="BI5" i="11" s="1"/>
  <c r="CI582" i="20"/>
  <c r="CI582" i="15"/>
  <c r="DZ146" i="20"/>
  <c r="DA141" i="1"/>
  <c r="DB11" i="1"/>
  <c r="DB33" i="1"/>
  <c r="DZ576" i="20"/>
  <c r="DB109" i="1"/>
  <c r="DB9" i="2"/>
  <c r="AX38" i="19" s="1"/>
  <c r="AX37" i="19"/>
  <c r="DB11" i="2"/>
  <c r="DE70" i="1" s="1"/>
  <c r="AW40" i="19"/>
  <c r="DZ4" i="20"/>
  <c r="AW36" i="19"/>
  <c r="DB7" i="2"/>
  <c r="AX36" i="19" s="1"/>
  <c r="DB72" i="2"/>
  <c r="AX80" i="19" s="1"/>
  <c r="AX43" i="19"/>
  <c r="DB54" i="2"/>
  <c r="DB89" i="1"/>
  <c r="EF7" i="9"/>
  <c r="EF8" i="9" s="1"/>
  <c r="EE13" i="9"/>
  <c r="EE48" i="9"/>
  <c r="EF46" i="9"/>
  <c r="ED12" i="1"/>
  <c r="DQ43" i="2" l="1"/>
  <c r="DR43" i="2" s="1"/>
  <c r="DL33" i="2"/>
  <c r="BH62" i="19" s="1"/>
  <c r="BG62" i="19"/>
  <c r="DE80" i="1"/>
  <c r="DE81" i="1" s="1"/>
  <c r="DE71" i="1"/>
  <c r="P68" i="19"/>
  <c r="BT44" i="2"/>
  <c r="BT63" i="2"/>
  <c r="CJ582" i="20"/>
  <c r="CJ582" i="15"/>
  <c r="R45" i="19"/>
  <c r="BV36" i="2"/>
  <c r="BN7" i="14"/>
  <c r="BN11" i="14"/>
  <c r="BN12" i="14" s="1"/>
  <c r="BM31" i="14"/>
  <c r="BN31" i="14" s="1"/>
  <c r="BM22" i="14"/>
  <c r="BN22" i="14" s="1"/>
  <c r="BM13" i="14"/>
  <c r="EF10" i="14"/>
  <c r="EF146" i="1"/>
  <c r="EF50" i="1"/>
  <c r="DY185" i="1"/>
  <c r="DZ78" i="2"/>
  <c r="DY81" i="2"/>
  <c r="CO340" i="20"/>
  <c r="CO340" i="15"/>
  <c r="BP4" i="14"/>
  <c r="L77" i="19"/>
  <c r="BP161" i="1"/>
  <c r="BP50" i="2"/>
  <c r="BP66" i="2"/>
  <c r="N68" i="19"/>
  <c r="BR44" i="2"/>
  <c r="BR63" i="2"/>
  <c r="BS38" i="2"/>
  <c r="BO7" i="14"/>
  <c r="BO11" i="14"/>
  <c r="BO12" i="14" s="1"/>
  <c r="CJ583" i="15"/>
  <c r="CJ583" i="20"/>
  <c r="BK4" i="11"/>
  <c r="BK6" i="11" s="1"/>
  <c r="DK5" i="14"/>
  <c r="DL68" i="2"/>
  <c r="DL5" i="14" s="1"/>
  <c r="Q66" i="19"/>
  <c r="BU38" i="2"/>
  <c r="DK91" i="1"/>
  <c r="DL95" i="1"/>
  <c r="BN79" i="2"/>
  <c r="BN75" i="2"/>
  <c r="BN67" i="2"/>
  <c r="BN80" i="2" s="1"/>
  <c r="EF27" i="9"/>
  <c r="EE77" i="1"/>
  <c r="BL17" i="14"/>
  <c r="BL15" i="14"/>
  <c r="BL16" i="14"/>
  <c r="BL18" i="14"/>
  <c r="BQ46" i="2"/>
  <c r="M76" i="19" s="1"/>
  <c r="M74" i="19"/>
  <c r="BQ47" i="2"/>
  <c r="BO75" i="2"/>
  <c r="BO79" i="2"/>
  <c r="K83" i="19" s="1"/>
  <c r="BO67" i="2"/>
  <c r="BO80" i="2" s="1"/>
  <c r="EE10" i="14"/>
  <c r="EE50" i="1"/>
  <c r="EE85" i="2" s="1"/>
  <c r="EE146" i="1"/>
  <c r="EB9" i="1"/>
  <c r="EA64" i="1"/>
  <c r="AW39" i="19"/>
  <c r="DZ3" i="20"/>
  <c r="DB10" i="2"/>
  <c r="DB1" i="2" s="1"/>
  <c r="AW50" i="19"/>
  <c r="AW47" i="19"/>
  <c r="DB110" i="1"/>
  <c r="EA576" i="20"/>
  <c r="EA146" i="20"/>
  <c r="DB141" i="1"/>
  <c r="DB69" i="1"/>
  <c r="DB70" i="1"/>
  <c r="EA4" i="20"/>
  <c r="AX40" i="19"/>
  <c r="EF48" i="9"/>
  <c r="EF47" i="9" s="1"/>
  <c r="EE73" i="1"/>
  <c r="BM73" i="19" l="1"/>
  <c r="DS43" i="2"/>
  <c r="DT43" i="2" s="1"/>
  <c r="DU43" i="2" s="1"/>
  <c r="DB72" i="1"/>
  <c r="DC72" i="1"/>
  <c r="EE84" i="2"/>
  <c r="EE25" i="2" s="1"/>
  <c r="EF85" i="2"/>
  <c r="EF86" i="2" s="1"/>
  <c r="EF87" i="2" s="1"/>
  <c r="R66" i="19"/>
  <c r="BV38" i="2"/>
  <c r="BX36" i="2"/>
  <c r="T66" i="19" s="1"/>
  <c r="CP340" i="20"/>
  <c r="CP340" i="15"/>
  <c r="M77" i="19"/>
  <c r="BQ161" i="1"/>
  <c r="BQ66" i="2"/>
  <c r="BQ4" i="14"/>
  <c r="BQ50" i="2"/>
  <c r="BN21" i="14"/>
  <c r="BN13" i="14"/>
  <c r="DK22" i="1"/>
  <c r="DL91" i="1"/>
  <c r="N74" i="19"/>
  <c r="BR47" i="2"/>
  <c r="BS47" i="2" s="1"/>
  <c r="BR46" i="2"/>
  <c r="N76" i="19" s="1"/>
  <c r="EF77" i="1"/>
  <c r="EE14" i="1"/>
  <c r="EF14" i="1" s="1"/>
  <c r="BM17" i="14"/>
  <c r="BM15" i="14"/>
  <c r="BM16" i="14"/>
  <c r="BM18" i="14"/>
  <c r="EB27" i="2"/>
  <c r="EC9" i="1"/>
  <c r="EC27" i="2" s="1"/>
  <c r="EB64" i="1"/>
  <c r="DZ185" i="1"/>
  <c r="EA78" i="2"/>
  <c r="Q68" i="19"/>
  <c r="BU44" i="2"/>
  <c r="BU63" i="2"/>
  <c r="P74" i="19"/>
  <c r="BT46" i="2"/>
  <c r="P76" i="19" s="1"/>
  <c r="BT47" i="2"/>
  <c r="BO13" i="14"/>
  <c r="BO22" i="14"/>
  <c r="BO31" i="14"/>
  <c r="O68" i="19"/>
  <c r="BS63" i="2"/>
  <c r="BP75" i="2"/>
  <c r="BP67" i="2"/>
  <c r="BP80" i="2" s="1"/>
  <c r="BP79" i="2"/>
  <c r="L83" i="19" s="1"/>
  <c r="CK583" i="20"/>
  <c r="CK583" i="15"/>
  <c r="BL4" i="11"/>
  <c r="BL6" i="11" s="1"/>
  <c r="BP7" i="14"/>
  <c r="BP11" i="14"/>
  <c r="BP12" i="14" s="1"/>
  <c r="J84" i="19"/>
  <c r="BN30" i="11"/>
  <c r="J83" i="19"/>
  <c r="BN76" i="2"/>
  <c r="CK582" i="20"/>
  <c r="CK582" i="15"/>
  <c r="BS44" i="2"/>
  <c r="AW78" i="19"/>
  <c r="DB80" i="1"/>
  <c r="DB71" i="1"/>
  <c r="EA3" i="20"/>
  <c r="DB61" i="1"/>
  <c r="DB18" i="2"/>
  <c r="AX47" i="19" s="1"/>
  <c r="DB53" i="2"/>
  <c r="DB21" i="2"/>
  <c r="AX50" i="19" s="1"/>
  <c r="AX39" i="19"/>
  <c r="DZ162" i="20"/>
  <c r="DA147" i="1"/>
  <c r="DB32" i="1"/>
  <c r="DA2" i="2"/>
  <c r="AW44" i="19"/>
  <c r="DB15" i="2"/>
  <c r="EF73" i="1"/>
  <c r="EF74" i="1" s="1"/>
  <c r="EE12" i="1"/>
  <c r="DV43" i="2" l="1"/>
  <c r="DW43" i="2" s="1"/>
  <c r="DB55" i="2"/>
  <c r="DB70" i="2" s="1"/>
  <c r="AX78" i="19" s="1"/>
  <c r="EF84" i="2"/>
  <c r="EF88" i="2" s="1"/>
  <c r="C9" i="16" s="1"/>
  <c r="EE26" i="2"/>
  <c r="EF25" i="2"/>
  <c r="EF26" i="2" s="1"/>
  <c r="BQ75" i="2"/>
  <c r="BQ79" i="2"/>
  <c r="M83" i="19" s="1"/>
  <c r="BQ67" i="2"/>
  <c r="BQ80" i="2" s="1"/>
  <c r="EB78" i="2"/>
  <c r="EA185" i="1"/>
  <c r="EA29" i="11"/>
  <c r="CL582" i="20"/>
  <c r="CL582" i="15"/>
  <c r="CL583" i="20"/>
  <c r="BM4" i="11"/>
  <c r="BM6" i="11" s="1"/>
  <c r="BN6" i="11" s="1"/>
  <c r="CL583" i="15"/>
  <c r="BO16" i="14"/>
  <c r="BO17" i="14"/>
  <c r="BO15" i="14"/>
  <c r="BO18" i="14"/>
  <c r="DM92" i="1"/>
  <c r="DL93" i="1"/>
  <c r="BP31" i="14"/>
  <c r="BP13" i="14"/>
  <c r="BP22" i="14"/>
  <c r="CS340" i="20"/>
  <c r="P77" i="19"/>
  <c r="CS340" i="15"/>
  <c r="BT161" i="1"/>
  <c r="BT4" i="14"/>
  <c r="BT50" i="2"/>
  <c r="BT66" i="2"/>
  <c r="EC64" i="1"/>
  <c r="ED9" i="1"/>
  <c r="DL22" i="1"/>
  <c r="DK134" i="1"/>
  <c r="R68" i="19"/>
  <c r="BV63" i="2"/>
  <c r="BV44" i="2"/>
  <c r="BX44" i="2" s="1"/>
  <c r="O74" i="19"/>
  <c r="BS46" i="2"/>
  <c r="O76" i="19" s="1"/>
  <c r="O77" i="19"/>
  <c r="CR340" i="15"/>
  <c r="CR340" i="20"/>
  <c r="BS4" i="14"/>
  <c r="BP100" i="2"/>
  <c r="BS50" i="2"/>
  <c r="BS66" i="2"/>
  <c r="Q74" i="19"/>
  <c r="BU46" i="2"/>
  <c r="Q76" i="19" s="1"/>
  <c r="BU47" i="2"/>
  <c r="BQ7" i="14"/>
  <c r="BQ11" i="14"/>
  <c r="BQ12" i="14" s="1"/>
  <c r="CQ340" i="20"/>
  <c r="CQ340" i="15"/>
  <c r="N77" i="19"/>
  <c r="BR161" i="1"/>
  <c r="BS161" i="1" s="1"/>
  <c r="BS163" i="1" s="1"/>
  <c r="BR66" i="2"/>
  <c r="BR4" i="14"/>
  <c r="BR50" i="2"/>
  <c r="BN17" i="14"/>
  <c r="BN16" i="14"/>
  <c r="BN18" i="14"/>
  <c r="BX38" i="2"/>
  <c r="DB69" i="2"/>
  <c r="AX44" i="19"/>
  <c r="DB2" i="2"/>
  <c r="DB65" i="1"/>
  <c r="EA162" i="20"/>
  <c r="DB79" i="1"/>
  <c r="DB81" i="1" s="1"/>
  <c r="DB147" i="1"/>
  <c r="DB10" i="1"/>
  <c r="AW82" i="19"/>
  <c r="EF12" i="1"/>
  <c r="DX43" i="2" l="1"/>
  <c r="DY43" i="2" s="1"/>
  <c r="DZ43" i="2" s="1"/>
  <c r="C25" i="16"/>
  <c r="B11" i="11"/>
  <c r="DB57" i="2"/>
  <c r="DB74" i="2" s="1"/>
  <c r="AX82" i="19" s="1"/>
  <c r="BS7" i="14"/>
  <c r="BS11" i="14"/>
  <c r="BS12" i="14" s="1"/>
  <c r="BQ22" i="14"/>
  <c r="BQ31" i="14"/>
  <c r="BQ13" i="14"/>
  <c r="CT340" i="20"/>
  <c r="CT340" i="15"/>
  <c r="BU161" i="1"/>
  <c r="BU4" i="14"/>
  <c r="BU66" i="2"/>
  <c r="BU50" i="2"/>
  <c r="Q77" i="19"/>
  <c r="R74" i="19"/>
  <c r="BV47" i="2"/>
  <c r="BV46" i="2"/>
  <c r="R76" i="19" s="1"/>
  <c r="BT67" i="2"/>
  <c r="BT80" i="2" s="1"/>
  <c r="BT79" i="2"/>
  <c r="P83" i="19" s="1"/>
  <c r="BT75" i="2"/>
  <c r="CM582" i="20"/>
  <c r="CM582" i="15"/>
  <c r="CN583" i="20"/>
  <c r="CN583" i="15"/>
  <c r="BO4" i="11"/>
  <c r="BO6" i="11" s="1"/>
  <c r="EB185" i="1"/>
  <c r="EC78" i="2"/>
  <c r="EC81" i="2" s="1"/>
  <c r="ED27" i="2"/>
  <c r="EE9" i="1"/>
  <c r="ED64" i="1"/>
  <c r="CM583" i="20"/>
  <c r="CM583" i="15"/>
  <c r="BN4" i="11"/>
  <c r="BN5" i="11" s="1"/>
  <c r="CN582" i="20"/>
  <c r="CN582" i="15"/>
  <c r="BR67" i="2"/>
  <c r="BR80" i="2" s="1"/>
  <c r="BR79" i="2"/>
  <c r="N83" i="19" s="1"/>
  <c r="BR75" i="2"/>
  <c r="DM95" i="1"/>
  <c r="DM68" i="2"/>
  <c r="BS67" i="2"/>
  <c r="BS80" i="2" s="1"/>
  <c r="BS79" i="2"/>
  <c r="O83" i="19" s="1"/>
  <c r="BS75" i="2"/>
  <c r="DL134" i="1"/>
  <c r="DK158" i="1"/>
  <c r="DL158" i="1" s="1"/>
  <c r="BT7" i="14"/>
  <c r="BT11" i="14"/>
  <c r="BT12" i="14" s="1"/>
  <c r="T68" i="19"/>
  <c r="BX63" i="2"/>
  <c r="T74" i="19"/>
  <c r="BX46" i="2"/>
  <c r="T76" i="19" s="1"/>
  <c r="BR7" i="14"/>
  <c r="BR11" i="14"/>
  <c r="BR12" i="14" s="1"/>
  <c r="BP16" i="14"/>
  <c r="BP17" i="14"/>
  <c r="BP15" i="14"/>
  <c r="BP18" i="14"/>
  <c r="AW81" i="19"/>
  <c r="AW65" i="19"/>
  <c r="DZ579" i="20"/>
  <c r="DB66" i="1"/>
  <c r="DB67" i="1" s="1"/>
  <c r="DB8" i="1"/>
  <c r="DF20" i="9" s="1"/>
  <c r="BB21" i="19" s="1"/>
  <c r="DA140" i="1"/>
  <c r="DZ145" i="20"/>
  <c r="EA43" i="2" l="1"/>
  <c r="EB43" i="2" s="1"/>
  <c r="EC43" i="2" s="1"/>
  <c r="ED43" i="2" s="1"/>
  <c r="EE43" i="2" s="1"/>
  <c r="EF43" i="2" s="1"/>
  <c r="DB58" i="2"/>
  <c r="DB73" i="2" s="1"/>
  <c r="AX81" i="19" s="1"/>
  <c r="BQ16" i="14"/>
  <c r="BQ15" i="14"/>
  <c r="BQ18" i="14"/>
  <c r="BQ17" i="14"/>
  <c r="CU340" i="20"/>
  <c r="BV161" i="1"/>
  <c r="BX161" i="1" s="1"/>
  <c r="BX163" i="1" s="1"/>
  <c r="BV4" i="14"/>
  <c r="CU340" i="15"/>
  <c r="R77" i="19"/>
  <c r="BV66" i="2"/>
  <c r="BV50" i="2"/>
  <c r="BX47" i="2"/>
  <c r="O84" i="19"/>
  <c r="BS30" i="11"/>
  <c r="DM5" i="14"/>
  <c r="DM33" i="2"/>
  <c r="BI62" i="19" s="1"/>
  <c r="ED78" i="2"/>
  <c r="EC185" i="1"/>
  <c r="BT31" i="14"/>
  <c r="BT13" i="14"/>
  <c r="BS13" i="14"/>
  <c r="BS21" i="14"/>
  <c r="CO582" i="20"/>
  <c r="CO582" i="15"/>
  <c r="BR13" i="14"/>
  <c r="BR22" i="14"/>
  <c r="BS22" i="14" s="1"/>
  <c r="BR31" i="14"/>
  <c r="BS31" i="14" s="1"/>
  <c r="EE27" i="2"/>
  <c r="EF27" i="2" s="1"/>
  <c r="EF9" i="1"/>
  <c r="EF64" i="1" s="1"/>
  <c r="EE64" i="1"/>
  <c r="DM91" i="1"/>
  <c r="BU7" i="14"/>
  <c r="BU11" i="14"/>
  <c r="BU12" i="14" s="1"/>
  <c r="CO583" i="20"/>
  <c r="CO583" i="15"/>
  <c r="BP4" i="11"/>
  <c r="BP6" i="11" s="1"/>
  <c r="BU67" i="2"/>
  <c r="BU80" i="2" s="1"/>
  <c r="BU79" i="2"/>
  <c r="Q83" i="19" s="1"/>
  <c r="BU75" i="2"/>
  <c r="EA145" i="20"/>
  <c r="DB140" i="1"/>
  <c r="DB60" i="1"/>
  <c r="DC63" i="1" s="1"/>
  <c r="DA150" i="1"/>
  <c r="DB42" i="1"/>
  <c r="DZ411" i="20"/>
  <c r="DZ171" i="20"/>
  <c r="DZ338" i="20"/>
  <c r="DA40" i="2"/>
  <c r="DZ155" i="20"/>
  <c r="DB20" i="1"/>
  <c r="F7" i="16" l="1"/>
  <c r="AW70" i="19"/>
  <c r="EA579" i="20"/>
  <c r="AX65" i="19"/>
  <c r="BV67" i="2"/>
  <c r="BV80" i="2" s="1"/>
  <c r="BV75" i="2"/>
  <c r="BV79" i="2"/>
  <c r="R83" i="19" s="1"/>
  <c r="EE78" i="2"/>
  <c r="ED185" i="1"/>
  <c r="BR16" i="14"/>
  <c r="BR18" i="14"/>
  <c r="BR15" i="14"/>
  <c r="BR17" i="14"/>
  <c r="CP583" i="20"/>
  <c r="BQ4" i="11"/>
  <c r="BQ6" i="11" s="1"/>
  <c r="CP583" i="15"/>
  <c r="BV7" i="14"/>
  <c r="BV11" i="14"/>
  <c r="BV12" i="14" s="1"/>
  <c r="ED81" i="2"/>
  <c r="BU13" i="14"/>
  <c r="BU31" i="14"/>
  <c r="CW340" i="20"/>
  <c r="T77" i="19"/>
  <c r="CW340" i="15"/>
  <c r="BX4" i="14"/>
  <c r="BX50" i="2"/>
  <c r="BX66" i="2"/>
  <c r="CP582" i="20"/>
  <c r="CP582" i="15"/>
  <c r="BS18" i="14"/>
  <c r="BS16" i="14"/>
  <c r="BS17" i="14"/>
  <c r="DM22" i="1"/>
  <c r="DM134" i="1" s="1"/>
  <c r="DN92" i="1"/>
  <c r="BT18" i="14"/>
  <c r="BT15" i="14"/>
  <c r="BT16" i="14"/>
  <c r="BT17" i="14"/>
  <c r="DA91" i="2"/>
  <c r="AY22" i="19"/>
  <c r="AY20" i="19"/>
  <c r="DB63" i="1"/>
  <c r="DB91" i="2" s="1"/>
  <c r="DB62" i="1"/>
  <c r="EA155" i="20"/>
  <c r="DB19" i="1"/>
  <c r="EA411" i="20"/>
  <c r="EA171" i="20"/>
  <c r="EA338" i="20"/>
  <c r="DB150" i="1"/>
  <c r="DA8" i="14"/>
  <c r="DA9" i="14" s="1"/>
  <c r="DA143" i="1"/>
  <c r="BX7" i="14" l="1"/>
  <c r="BX11" i="14"/>
  <c r="BX12" i="14" s="1"/>
  <c r="BU15" i="14"/>
  <c r="BU17" i="14"/>
  <c r="BU18" i="14"/>
  <c r="BU16" i="14"/>
  <c r="DN95" i="1"/>
  <c r="DN91" i="1" s="1"/>
  <c r="DN68" i="2"/>
  <c r="CQ583" i="20"/>
  <c r="CQ583" i="15"/>
  <c r="BR4" i="11"/>
  <c r="BR6" i="11" s="1"/>
  <c r="BS6" i="11" s="1"/>
  <c r="CR582" i="15"/>
  <c r="CR582" i="20"/>
  <c r="EE185" i="1"/>
  <c r="EF78" i="2"/>
  <c r="DM158" i="1"/>
  <c r="CQ582" i="20"/>
  <c r="CQ582" i="15"/>
  <c r="CS583" i="20"/>
  <c r="CS583" i="15"/>
  <c r="BT4" i="11"/>
  <c r="BT6" i="11" s="1"/>
  <c r="CR583" i="20"/>
  <c r="CR583" i="15"/>
  <c r="BS4" i="11"/>
  <c r="CS582" i="20"/>
  <c r="CS582" i="15"/>
  <c r="BX79" i="2"/>
  <c r="T83" i="19" s="1"/>
  <c r="BX67" i="2"/>
  <c r="BX80" i="2" s="1"/>
  <c r="BX75" i="2"/>
  <c r="BV13" i="14"/>
  <c r="BV31" i="14"/>
  <c r="BX31" i="14" s="1"/>
  <c r="DZ327" i="20"/>
  <c r="DZ367" i="20"/>
  <c r="AY15" i="19"/>
  <c r="AY75" i="19"/>
  <c r="DB143" i="1"/>
  <c r="DB8" i="14"/>
  <c r="DB9" i="14" s="1"/>
  <c r="DB39" i="2"/>
  <c r="AW69" i="19"/>
  <c r="BS5" i="11" l="1"/>
  <c r="DN22" i="1"/>
  <c r="DN134" i="1" s="1"/>
  <c r="DO92" i="1"/>
  <c r="CT583" i="20"/>
  <c r="CT583" i="15"/>
  <c r="BU4" i="11"/>
  <c r="BU6" i="11" s="1"/>
  <c r="BV15" i="14"/>
  <c r="BV18" i="14"/>
  <c r="BV16" i="14"/>
  <c r="BV17" i="14"/>
  <c r="DN5" i="14"/>
  <c r="DN33" i="2"/>
  <c r="BJ62" i="19" s="1"/>
  <c r="T84" i="19"/>
  <c r="BX30" i="11"/>
  <c r="CT582" i="20"/>
  <c r="CT582" i="15"/>
  <c r="EF185" i="1"/>
  <c r="EF29" i="11"/>
  <c r="BX21" i="14"/>
  <c r="BX13" i="14"/>
  <c r="AY30" i="19"/>
  <c r="AY13" i="19"/>
  <c r="AY10" i="19"/>
  <c r="AY11" i="19"/>
  <c r="DZ18" i="20"/>
  <c r="DZ52" i="20"/>
  <c r="AW71" i="19"/>
  <c r="DB41" i="2"/>
  <c r="AX69" i="19"/>
  <c r="DB40" i="2"/>
  <c r="AX70" i="19" s="1"/>
  <c r="EA367" i="20"/>
  <c r="EA327" i="20"/>
  <c r="BX17" i="14" l="1"/>
  <c r="BX18" i="14"/>
  <c r="BX16" i="14"/>
  <c r="DO68" i="2"/>
  <c r="DO95" i="1"/>
  <c r="DO91" i="1" s="1"/>
  <c r="CU583" i="20"/>
  <c r="CU583" i="15"/>
  <c r="BV4" i="11"/>
  <c r="BV6" i="11" s="1"/>
  <c r="BX6" i="11" s="1"/>
  <c r="CU582" i="20"/>
  <c r="CU582" i="15"/>
  <c r="DN158" i="1"/>
  <c r="DC142" i="1"/>
  <c r="DC144" i="1"/>
  <c r="DB64" i="2"/>
  <c r="AX71" i="19"/>
  <c r="EA52" i="20"/>
  <c r="DZ313" i="20"/>
  <c r="DA148" i="1"/>
  <c r="DB37" i="1"/>
  <c r="EA313" i="20" s="1"/>
  <c r="DB42" i="2"/>
  <c r="AX72" i="19" s="1"/>
  <c r="AZ29" i="19"/>
  <c r="AY25" i="19"/>
  <c r="EA18" i="20"/>
  <c r="AY42" i="19"/>
  <c r="DC157" i="1" l="1"/>
  <c r="DO5" i="14"/>
  <c r="DO22" i="1"/>
  <c r="DO134" i="1" s="1"/>
  <c r="DP92" i="1"/>
  <c r="CW582" i="20"/>
  <c r="CW582" i="15"/>
  <c r="DO33" i="2"/>
  <c r="BK62" i="19" s="1"/>
  <c r="CW583" i="20"/>
  <c r="CW583" i="15"/>
  <c r="BX4" i="11"/>
  <c r="BX5" i="11" s="1"/>
  <c r="AY79" i="19"/>
  <c r="AY34" i="19"/>
  <c r="DB148" i="1"/>
  <c r="AZ18" i="19"/>
  <c r="AZ46" i="19"/>
  <c r="AY43" i="19"/>
  <c r="AY35" i="19"/>
  <c r="AY27" i="19"/>
  <c r="DP68" i="2" l="1"/>
  <c r="DP95" i="1"/>
  <c r="DQ95" i="1" s="1"/>
  <c r="DQ92" i="1"/>
  <c r="DO158" i="1"/>
  <c r="AY41" i="19"/>
  <c r="AY33" i="19"/>
  <c r="AY61" i="19"/>
  <c r="AY60" i="19"/>
  <c r="DP5" i="14" l="1"/>
  <c r="DQ68" i="2"/>
  <c r="DQ5" i="14" s="1"/>
  <c r="DP33" i="2"/>
  <c r="DP91" i="1"/>
  <c r="AY37" i="19"/>
  <c r="AY40" i="19"/>
  <c r="DQ33" i="2" l="1"/>
  <c r="BM62" i="19" s="1"/>
  <c r="BL62" i="19"/>
  <c r="DQ91" i="1"/>
  <c r="DP22" i="1"/>
  <c r="AY36" i="19"/>
  <c r="DC141" i="1"/>
  <c r="DQ22" i="1" l="1"/>
  <c r="DP134" i="1"/>
  <c r="DR92" i="1"/>
  <c r="DQ93" i="1"/>
  <c r="DC147" i="1"/>
  <c r="AY50" i="19"/>
  <c r="AY47" i="19"/>
  <c r="AY39" i="19"/>
  <c r="DR68" i="2" l="1"/>
  <c r="DR95" i="1"/>
  <c r="DP158" i="1"/>
  <c r="DQ158" i="1" s="1"/>
  <c r="DQ134" i="1"/>
  <c r="AY78" i="19"/>
  <c r="AY44" i="19"/>
  <c r="DC2" i="2"/>
  <c r="DR91" i="1" l="1"/>
  <c r="DR5" i="14"/>
  <c r="DR33" i="2"/>
  <c r="AY82" i="19"/>
  <c r="DC140" i="1"/>
  <c r="DR22" i="1" l="1"/>
  <c r="DR134" i="1" s="1"/>
  <c r="DS92" i="1"/>
  <c r="AZ20" i="19"/>
  <c r="AZ22" i="19"/>
  <c r="DC143" i="1"/>
  <c r="DC8" i="14"/>
  <c r="DC9" i="14" s="1"/>
  <c r="DC150" i="1"/>
  <c r="AY81" i="19"/>
  <c r="AY65" i="19"/>
  <c r="DC40" i="2" l="1"/>
  <c r="AY70" i="19" s="1"/>
  <c r="DC91" i="2"/>
  <c r="DS95" i="1"/>
  <c r="DS68" i="2"/>
  <c r="DR158" i="1"/>
  <c r="AZ75" i="19"/>
  <c r="AZ15" i="19"/>
  <c r="DS91" i="1" l="1"/>
  <c r="DS5" i="14"/>
  <c r="DS33" i="2"/>
  <c r="AZ30" i="19"/>
  <c r="AZ11" i="19"/>
  <c r="AZ10" i="19"/>
  <c r="AZ13" i="19"/>
  <c r="AY69" i="19"/>
  <c r="DS22" i="1" l="1"/>
  <c r="DS134" i="1" s="1"/>
  <c r="DT92" i="1"/>
  <c r="AY71" i="19"/>
  <c r="AZ25" i="19"/>
  <c r="BA29" i="19"/>
  <c r="AZ42" i="19"/>
  <c r="DS158" i="1" l="1"/>
  <c r="DT68" i="2"/>
  <c r="DT95" i="1"/>
  <c r="AZ35" i="19"/>
  <c r="AZ43" i="19"/>
  <c r="BA46" i="19"/>
  <c r="BA18" i="19"/>
  <c r="AZ34" i="19"/>
  <c r="AZ27" i="19"/>
  <c r="AZ79" i="19"/>
  <c r="DC148" i="1"/>
  <c r="DT91" i="1" l="1"/>
  <c r="DT5" i="14"/>
  <c r="DT33" i="2"/>
  <c r="AZ41" i="19"/>
  <c r="AZ33" i="19"/>
  <c r="AZ61" i="19"/>
  <c r="AZ60" i="19"/>
  <c r="DT22" i="1" l="1"/>
  <c r="DT134" i="1" s="1"/>
  <c r="DU92" i="1"/>
  <c r="AZ37" i="19"/>
  <c r="AZ59" i="19"/>
  <c r="AZ57" i="19"/>
  <c r="AZ40" i="19"/>
  <c r="DU95" i="1" l="1"/>
  <c r="DV95" i="1" s="1"/>
  <c r="DU68" i="2"/>
  <c r="DV92" i="1"/>
  <c r="DT158" i="1"/>
  <c r="AZ36" i="19"/>
  <c r="DU91" i="1" l="1"/>
  <c r="DU22" i="1" s="1"/>
  <c r="DU5" i="14"/>
  <c r="DV68" i="2"/>
  <c r="DV5" i="14" s="1"/>
  <c r="DU33" i="2"/>
  <c r="DV33" i="2" s="1"/>
  <c r="AZ50" i="19"/>
  <c r="AZ47" i="19"/>
  <c r="AZ39" i="19"/>
  <c r="DV91" i="1" l="1"/>
  <c r="DV93" i="1" s="1"/>
  <c r="DV22" i="1"/>
  <c r="DU134" i="1"/>
  <c r="AZ78" i="19"/>
  <c r="AZ44" i="19"/>
  <c r="DD2" i="2"/>
  <c r="DW92" i="1" l="1"/>
  <c r="DW95" i="1" s="1"/>
  <c r="DW91" i="1" s="1"/>
  <c r="DU158" i="1"/>
  <c r="DV158" i="1" s="1"/>
  <c r="DV134" i="1"/>
  <c r="AZ82" i="19"/>
  <c r="DW68" i="2" l="1"/>
  <c r="DW5" i="14" s="1"/>
  <c r="DW22" i="1"/>
  <c r="DW134" i="1" s="1"/>
  <c r="DX92" i="1"/>
  <c r="AZ81" i="19"/>
  <c r="AZ65" i="19"/>
  <c r="DD8" i="14"/>
  <c r="DD9" i="14" s="1"/>
  <c r="BA22" i="19"/>
  <c r="BA20" i="19"/>
  <c r="DW33" i="2" l="1"/>
  <c r="DD40" i="2"/>
  <c r="AZ70" i="19" s="1"/>
  <c r="DD91" i="2"/>
  <c r="DW158" i="1"/>
  <c r="DX68" i="2"/>
  <c r="DX95" i="1"/>
  <c r="BA75" i="19"/>
  <c r="BA15" i="19"/>
  <c r="DX33" i="2" l="1"/>
  <c r="DX5" i="14"/>
  <c r="DX91" i="1"/>
  <c r="BA10" i="19"/>
  <c r="BA30" i="19"/>
  <c r="BA11" i="19"/>
  <c r="BA13" i="19"/>
  <c r="AZ69" i="19"/>
  <c r="DX22" i="1" l="1"/>
  <c r="DX134" i="1" s="1"/>
  <c r="DY92" i="1"/>
  <c r="BA25" i="19"/>
  <c r="BB29" i="19"/>
  <c r="AZ71" i="19"/>
  <c r="BA79" i="19"/>
  <c r="BA42" i="19"/>
  <c r="BA41" i="19" l="1"/>
  <c r="DX158" i="1"/>
  <c r="DY68" i="2"/>
  <c r="DY95" i="1"/>
  <c r="DY91" i="1" s="1"/>
  <c r="BA27" i="19"/>
  <c r="DG40" i="9"/>
  <c r="DG41" i="9" s="1"/>
  <c r="BA34" i="19"/>
  <c r="BB18" i="19"/>
  <c r="DG17" i="9"/>
  <c r="BA35" i="19"/>
  <c r="BA59" i="19" l="1"/>
  <c r="DY22" i="1"/>
  <c r="DY134" i="1" s="1"/>
  <c r="DZ92" i="1"/>
  <c r="DY5" i="14"/>
  <c r="DY33" i="2"/>
  <c r="BA43" i="19"/>
  <c r="BA33" i="19"/>
  <c r="DG111" i="1"/>
  <c r="DG17" i="2"/>
  <c r="BB46" i="19"/>
  <c r="DG18" i="9"/>
  <c r="BC19" i="19" s="1"/>
  <c r="BC18" i="19"/>
  <c r="BA60" i="19"/>
  <c r="BA61" i="19"/>
  <c r="BA57" i="19" l="1"/>
  <c r="DZ95" i="1"/>
  <c r="EA95" i="1" s="1"/>
  <c r="DZ68" i="2"/>
  <c r="DZ33" i="2" s="1"/>
  <c r="EA33" i="2" s="1"/>
  <c r="EA92" i="1"/>
  <c r="DY158" i="1"/>
  <c r="BA40" i="19"/>
  <c r="BA37" i="19"/>
  <c r="BC46" i="19"/>
  <c r="DG19" i="2"/>
  <c r="BC48" i="19" s="1"/>
  <c r="DZ91" i="1" l="1"/>
  <c r="DZ5" i="14"/>
  <c r="EA68" i="2"/>
  <c r="EA5" i="14" s="1"/>
  <c r="BA36" i="19"/>
  <c r="DZ22" i="1" l="1"/>
  <c r="EA91" i="1"/>
  <c r="BA39" i="19"/>
  <c r="BA47" i="19"/>
  <c r="BA50" i="19"/>
  <c r="EB92" i="1" l="1"/>
  <c r="EA93" i="1"/>
  <c r="EA22" i="1"/>
  <c r="DZ134" i="1"/>
  <c r="BA78" i="19"/>
  <c r="BA44" i="19"/>
  <c r="DE2" i="2"/>
  <c r="DZ158" i="1" l="1"/>
  <c r="EA158" i="1" s="1"/>
  <c r="EA134" i="1"/>
  <c r="EB95" i="1"/>
  <c r="EB91" i="1" s="1"/>
  <c r="EB68" i="2"/>
  <c r="BA82" i="19"/>
  <c r="EB22" i="1" l="1"/>
  <c r="EB134" i="1" s="1"/>
  <c r="EC92" i="1"/>
  <c r="EB5" i="14"/>
  <c r="EB33" i="2"/>
  <c r="DE8" i="14"/>
  <c r="DE9" i="14" s="1"/>
  <c r="BB20" i="19"/>
  <c r="DG19" i="9"/>
  <c r="BA81" i="19"/>
  <c r="BA65" i="19"/>
  <c r="DE40" i="2" l="1"/>
  <c r="BA70" i="19" s="1"/>
  <c r="DE91" i="2"/>
  <c r="EB158" i="1"/>
  <c r="EC95" i="1"/>
  <c r="EC91" i="1" s="1"/>
  <c r="EC68" i="2"/>
  <c r="BB22" i="19"/>
  <c r="DG21" i="9"/>
  <c r="BC22" i="19" s="1"/>
  <c r="DG14" i="9"/>
  <c r="BB15" i="19"/>
  <c r="BB75" i="19"/>
  <c r="DG45" i="2"/>
  <c r="BC20" i="19"/>
  <c r="DG20" i="9"/>
  <c r="BC21" i="19" s="1"/>
  <c r="DG29" i="9"/>
  <c r="EC5" i="14" l="1"/>
  <c r="EC22" i="1"/>
  <c r="EC134" i="1" s="1"/>
  <c r="ED92" i="1"/>
  <c r="EC33" i="2"/>
  <c r="DG9" i="9"/>
  <c r="BB10" i="19"/>
  <c r="BC15" i="19"/>
  <c r="DG34" i="9"/>
  <c r="BA69" i="19"/>
  <c r="DG38" i="9"/>
  <c r="DG65" i="2"/>
  <c r="BC75" i="19"/>
  <c r="BB30" i="19" l="1"/>
  <c r="EC158" i="1"/>
  <c r="ED95" i="1"/>
  <c r="ED91" i="1" s="1"/>
  <c r="ED68" i="2"/>
  <c r="ED33" i="2" s="1"/>
  <c r="DG39" i="9"/>
  <c r="BB79" i="19"/>
  <c r="BB25" i="19"/>
  <c r="DG24" i="9"/>
  <c r="DH18" i="9" s="1"/>
  <c r="BD19" i="19" s="1"/>
  <c r="DG13" i="2"/>
  <c r="BB42" i="19"/>
  <c r="BB13" i="19"/>
  <c r="DG12" i="9"/>
  <c r="BC13" i="19" s="1"/>
  <c r="BA71" i="19"/>
  <c r="DG34" i="1"/>
  <c r="DG83" i="1" s="1"/>
  <c r="DG36" i="1"/>
  <c r="DG103" i="1" s="1"/>
  <c r="DG30" i="9"/>
  <c r="BC10" i="19"/>
  <c r="DG84" i="1"/>
  <c r="DG35" i="9"/>
  <c r="DG112" i="1"/>
  <c r="DG36" i="9"/>
  <c r="BB11" i="19"/>
  <c r="DG10" i="9"/>
  <c r="BC30" i="19" l="1"/>
  <c r="DG12" i="2"/>
  <c r="ED22" i="1"/>
  <c r="ED134" i="1" s="1"/>
  <c r="EE92" i="1"/>
  <c r="ED5" i="14"/>
  <c r="DG13" i="9"/>
  <c r="BC14" i="19" s="1"/>
  <c r="DL28" i="9"/>
  <c r="BH29" i="19" s="1"/>
  <c r="BC25" i="19"/>
  <c r="BD29" i="19"/>
  <c r="BC11" i="19"/>
  <c r="DG11" i="9"/>
  <c r="BC12" i="19" s="1"/>
  <c r="DG116" i="1"/>
  <c r="DG118" i="1" s="1"/>
  <c r="DG85" i="1"/>
  <c r="DG61" i="2"/>
  <c r="BC42" i="19"/>
  <c r="DG15" i="1"/>
  <c r="DF144" i="1"/>
  <c r="DG42" i="9"/>
  <c r="DG43" i="9" s="1"/>
  <c r="BB27" i="19"/>
  <c r="DG26" i="9"/>
  <c r="BC27" i="19" s="1"/>
  <c r="DG37" i="9"/>
  <c r="DG17" i="1"/>
  <c r="DF142" i="1"/>
  <c r="DG113" i="1"/>
  <c r="DG5" i="2"/>
  <c r="BC34" i="19" s="1"/>
  <c r="BB34" i="19"/>
  <c r="DG107" i="1"/>
  <c r="DG33" i="9" s="1"/>
  <c r="DG104" i="1"/>
  <c r="DF157" i="1"/>
  <c r="DG157" i="1" s="1"/>
  <c r="DG133" i="1"/>
  <c r="BD18" i="19" l="1"/>
  <c r="BB41" i="19"/>
  <c r="DF159" i="1"/>
  <c r="EE95" i="1"/>
  <c r="EF95" i="1" s="1"/>
  <c r="EE68" i="2"/>
  <c r="EF92" i="1"/>
  <c r="ED158" i="1"/>
  <c r="DG4" i="2"/>
  <c r="BC33" i="19" s="1"/>
  <c r="BB33" i="19"/>
  <c r="DG115" i="1"/>
  <c r="DG117" i="1" s="1"/>
  <c r="BB35" i="19"/>
  <c r="DG6" i="2"/>
  <c r="BC35" i="19" s="1"/>
  <c r="BD46" i="19"/>
  <c r="DG142" i="1"/>
  <c r="DG97" i="1"/>
  <c r="DG98" i="1" s="1"/>
  <c r="DG114" i="1"/>
  <c r="DG71" i="2"/>
  <c r="BC79" i="19" s="1"/>
  <c r="BC41" i="19"/>
  <c r="DG32" i="2"/>
  <c r="E10" i="21" s="1"/>
  <c r="BB61" i="19"/>
  <c r="DG75" i="1"/>
  <c r="DG76" i="1" s="1"/>
  <c r="DG100" i="1"/>
  <c r="DG101" i="1" s="1"/>
  <c r="DG144" i="1"/>
  <c r="BB57" i="19" l="1"/>
  <c r="DG30" i="2"/>
  <c r="BC59" i="19" s="1"/>
  <c r="BB59" i="19"/>
  <c r="EE91" i="1"/>
  <c r="EF91" i="1" s="1"/>
  <c r="EF93" i="1" s="1"/>
  <c r="EE5" i="14"/>
  <c r="EF68" i="2"/>
  <c r="EF5" i="14" s="1"/>
  <c r="EE33" i="2"/>
  <c r="EF33" i="2" s="1"/>
  <c r="BB43" i="19"/>
  <c r="DG14" i="2"/>
  <c r="DG108" i="1"/>
  <c r="DG31" i="2"/>
  <c r="BC60" i="19" s="1"/>
  <c r="BB60" i="19"/>
  <c r="DG13" i="1"/>
  <c r="DG88" i="1" s="1"/>
  <c r="DG35" i="1"/>
  <c r="DG87" i="1" s="1"/>
  <c r="BC61" i="19"/>
  <c r="DG56" i="2"/>
  <c r="BB37" i="19"/>
  <c r="DG8" i="2"/>
  <c r="DH159" i="1" l="1"/>
  <c r="BD59" i="19"/>
  <c r="BD57" i="19"/>
  <c r="DG159" i="1"/>
  <c r="DG28" i="2"/>
  <c r="BC57" i="19" s="1"/>
  <c r="EE22" i="1"/>
  <c r="EE134" i="1" s="1"/>
  <c r="DG89" i="1"/>
  <c r="DG11" i="1"/>
  <c r="DF141" i="1"/>
  <c r="DG33" i="1"/>
  <c r="BC43" i="19"/>
  <c r="DG72" i="2"/>
  <c r="BC80" i="19" s="1"/>
  <c r="DG54" i="2"/>
  <c r="BB40" i="19"/>
  <c r="DG11" i="2"/>
  <c r="DG109" i="1"/>
  <c r="DG110" i="1" s="1"/>
  <c r="BB36" i="19"/>
  <c r="DG7" i="2"/>
  <c r="BC36" i="19" s="1"/>
  <c r="BC37" i="19"/>
  <c r="DG9" i="2"/>
  <c r="BC38" i="19" s="1"/>
  <c r="EF22" i="1" l="1"/>
  <c r="EE158" i="1"/>
  <c r="EF158" i="1" s="1"/>
  <c r="EF134" i="1"/>
  <c r="BB39" i="19"/>
  <c r="BB47" i="19"/>
  <c r="DG10" i="2"/>
  <c r="BB50" i="19"/>
  <c r="DG70" i="1"/>
  <c r="BC40" i="19"/>
  <c r="DG141" i="1"/>
  <c r="DG69" i="1"/>
  <c r="DG72" i="1" s="1"/>
  <c r="DG1" i="2" l="1"/>
  <c r="BB78" i="19"/>
  <c r="DG61" i="1"/>
  <c r="DG21" i="2"/>
  <c r="BC50" i="19" s="1"/>
  <c r="DG18" i="2"/>
  <c r="BC47" i="19" s="1"/>
  <c r="DG53" i="2"/>
  <c r="BC39" i="19"/>
  <c r="BB44" i="19"/>
  <c r="DG15" i="2"/>
  <c r="DF2" i="2"/>
  <c r="DG71" i="1"/>
  <c r="DG80" i="1"/>
  <c r="DF147" i="1"/>
  <c r="DG32" i="1"/>
  <c r="DG55" i="2" l="1"/>
  <c r="DG65" i="1"/>
  <c r="BB82" i="19"/>
  <c r="DG10" i="1"/>
  <c r="DG79" i="1"/>
  <c r="DG81" i="1" s="1"/>
  <c r="DG147" i="1"/>
  <c r="DG2" i="2"/>
  <c r="BC44" i="19"/>
  <c r="DG69" i="2"/>
  <c r="DG57" i="2" l="1"/>
  <c r="DG74" i="2" s="1"/>
  <c r="BC82" i="19" s="1"/>
  <c r="DG70" i="2"/>
  <c r="BC78" i="19" s="1"/>
  <c r="BB65" i="19"/>
  <c r="BB81" i="19"/>
  <c r="DF140" i="1"/>
  <c r="DG66" i="1"/>
  <c r="DG67" i="1" s="1"/>
  <c r="DG8" i="1"/>
  <c r="DG58" i="2" l="1"/>
  <c r="DG73" i="2" s="1"/>
  <c r="BC81" i="19" s="1"/>
  <c r="DF40" i="2"/>
  <c r="DG20" i="1"/>
  <c r="DG19" i="1" s="1"/>
  <c r="DF150" i="1"/>
  <c r="DG42" i="1"/>
  <c r="BD75" i="19" s="1"/>
  <c r="BD20" i="19"/>
  <c r="DG140" i="1"/>
  <c r="DG60" i="1"/>
  <c r="BB70" i="19" l="1"/>
  <c r="BC65" i="19"/>
  <c r="DG150" i="1"/>
  <c r="BD22" i="19"/>
  <c r="BD15" i="19"/>
  <c r="DG143" i="1"/>
  <c r="DG8" i="14"/>
  <c r="DG9" i="14" s="1"/>
  <c r="DF143" i="1"/>
  <c r="DF8" i="14"/>
  <c r="DF9" i="14" s="1"/>
  <c r="DG63" i="1"/>
  <c r="DG91" i="2" s="1"/>
  <c r="DG62" i="1"/>
  <c r="DF91" i="2"/>
  <c r="BD10" i="19" l="1"/>
  <c r="DG39" i="2"/>
  <c r="BB69" i="19"/>
  <c r="BD42" i="19" l="1"/>
  <c r="DG40" i="2"/>
  <c r="BC70" i="19" s="1"/>
  <c r="BC69" i="19"/>
  <c r="DG41" i="2"/>
  <c r="BC71" i="19" s="1"/>
  <c r="BB71" i="19"/>
  <c r="BD30" i="19"/>
  <c r="BD13" i="19"/>
  <c r="BD25" i="19"/>
  <c r="BD11" i="19" l="1"/>
  <c r="BD79" i="19"/>
  <c r="BD35" i="19"/>
  <c r="BE29" i="19"/>
  <c r="DG37" i="1"/>
  <c r="DF148" i="1"/>
  <c r="DG42" i="2"/>
  <c r="BC72" i="19" s="1"/>
  <c r="DH144" i="1"/>
  <c r="DH142" i="1"/>
  <c r="DG64" i="2"/>
  <c r="BE18" i="19" l="1"/>
  <c r="BD27" i="19"/>
  <c r="BD61" i="19"/>
  <c r="BD34" i="19"/>
  <c r="DH157" i="1"/>
  <c r="BE46" i="19"/>
  <c r="BD33" i="19"/>
  <c r="BD43" i="19"/>
  <c r="DG148" i="1"/>
  <c r="BD41" i="19"/>
  <c r="BD60" i="19" l="1"/>
  <c r="BD40" i="19" l="1"/>
  <c r="BD37" i="19"/>
  <c r="DH141" i="1"/>
  <c r="BD36" i="19" l="1"/>
  <c r="DH147" i="1"/>
  <c r="BD39" i="19" l="1"/>
  <c r="BD47" i="19"/>
  <c r="BD50" i="19"/>
  <c r="BD78" i="19" l="1"/>
  <c r="DH2" i="2"/>
  <c r="BD44" i="19"/>
  <c r="DH140" i="1" l="1"/>
  <c r="BD82" i="19"/>
  <c r="BD81" i="19" l="1"/>
  <c r="BD65" i="19"/>
  <c r="BE20" i="19"/>
  <c r="DI34" i="9"/>
  <c r="BE22" i="19"/>
  <c r="DH150" i="1"/>
  <c r="DH8" i="14"/>
  <c r="DH9" i="14" s="1"/>
  <c r="DH143" i="1"/>
  <c r="DH40" i="2" l="1"/>
  <c r="BD70" i="19" s="1"/>
  <c r="DH91" i="2"/>
  <c r="BE15" i="19"/>
  <c r="DK1" i="9"/>
  <c r="BE75" i="19"/>
  <c r="BD69" i="19" l="1"/>
  <c r="BE10" i="19"/>
  <c r="BE13" i="19"/>
  <c r="BE30" i="19"/>
  <c r="DI76" i="1"/>
  <c r="DJ76" i="1" s="1"/>
  <c r="DK76" i="1" s="1"/>
  <c r="DM76" i="1" s="1"/>
  <c r="DN76" i="1" s="1"/>
  <c r="DO76" i="1" s="1"/>
  <c r="DP76" i="1" s="1"/>
  <c r="DR76" i="1" s="1"/>
  <c r="DS76" i="1" s="1"/>
  <c r="DT76" i="1" s="1"/>
  <c r="DU76" i="1" s="1"/>
  <c r="DW76" i="1" s="1"/>
  <c r="DX76" i="1" s="1"/>
  <c r="DY76" i="1" s="1"/>
  <c r="DZ76" i="1" s="1"/>
  <c r="EB76" i="1" s="1"/>
  <c r="EC76" i="1" s="1"/>
  <c r="ED76" i="1" s="1"/>
  <c r="EE76" i="1" s="1"/>
  <c r="BE11" i="19" l="1"/>
  <c r="DK2" i="9"/>
  <c r="DI142" i="1"/>
  <c r="DI144" i="1"/>
  <c r="BE25" i="19"/>
  <c r="DJ28" i="9"/>
  <c r="BF29" i="19" s="1"/>
  <c r="DJ17" i="9"/>
  <c r="DJ39" i="9" s="1"/>
  <c r="BE42" i="19"/>
  <c r="DI157" i="1"/>
  <c r="BD71" i="19"/>
  <c r="DH148" i="1"/>
  <c r="DI33" i="9" l="1"/>
  <c r="DJ40" i="9" s="1"/>
  <c r="DJ111" i="1" s="1"/>
  <c r="BE79" i="19"/>
  <c r="BE27" i="19"/>
  <c r="BE34" i="19"/>
  <c r="BE35" i="19"/>
  <c r="BE43" i="19"/>
  <c r="BF18" i="19"/>
  <c r="DJ17" i="2"/>
  <c r="BF46" i="19" s="1"/>
  <c r="BE61" i="19" l="1"/>
  <c r="BE60" i="19"/>
  <c r="BE33" i="19"/>
  <c r="BE41" i="19"/>
  <c r="BE59" i="19" l="1"/>
  <c r="BE57" i="19"/>
  <c r="DI159" i="1"/>
  <c r="BE40" i="19"/>
  <c r="BE37" i="19"/>
  <c r="DI141" i="1" l="1"/>
  <c r="BE36" i="19"/>
  <c r="DI147" i="1" l="1"/>
  <c r="BE39" i="19"/>
  <c r="BE47" i="19"/>
  <c r="BE50" i="19"/>
  <c r="DI2" i="2" l="1"/>
  <c r="BE44" i="19"/>
  <c r="BE78" i="19"/>
  <c r="DI140" i="1" l="1"/>
  <c r="DJ19" i="9"/>
  <c r="BE82" i="19"/>
  <c r="BF20" i="19" l="1"/>
  <c r="DJ29" i="9"/>
  <c r="DJ21" i="9"/>
  <c r="BF22" i="19" s="1"/>
  <c r="DJ14" i="9"/>
  <c r="DI8" i="14"/>
  <c r="DI9" i="14" s="1"/>
  <c r="DI143" i="1"/>
  <c r="DJ45" i="2"/>
  <c r="DI150" i="1"/>
  <c r="BE81" i="19"/>
  <c r="BE65" i="19"/>
  <c r="DI40" i="2"/>
  <c r="DJ40" i="2" l="1"/>
  <c r="BE70" i="19"/>
  <c r="DI91" i="2"/>
  <c r="BF75" i="19"/>
  <c r="DJ65" i="2"/>
  <c r="BF15" i="19"/>
  <c r="DJ34" i="9"/>
  <c r="DJ38" i="9" s="1"/>
  <c r="DJ9" i="9"/>
  <c r="DK40" i="2" l="1"/>
  <c r="BF70" i="19"/>
  <c r="DJ13" i="2"/>
  <c r="DJ36" i="9"/>
  <c r="BF10" i="19"/>
  <c r="DJ35" i="9"/>
  <c r="DJ84" i="1"/>
  <c r="DJ24" i="9"/>
  <c r="DJ112" i="1"/>
  <c r="DJ10" i="9"/>
  <c r="BF11" i="19" s="1"/>
  <c r="DJ30" i="9"/>
  <c r="BF30" i="19" s="1"/>
  <c r="DJ12" i="9"/>
  <c r="BF13" i="19" s="1"/>
  <c r="BE69" i="19"/>
  <c r="BG70" i="19" l="1"/>
  <c r="DM40" i="2"/>
  <c r="BE71" i="19"/>
  <c r="DI148" i="1"/>
  <c r="BF25" i="19"/>
  <c r="DJ26" i="9"/>
  <c r="DK17" i="9"/>
  <c r="DK39" i="9" s="1"/>
  <c r="DK28" i="9"/>
  <c r="BG29" i="19" s="1"/>
  <c r="DJ116" i="1"/>
  <c r="DJ114" i="1" s="1"/>
  <c r="DJ107" i="1"/>
  <c r="DJ100" i="1"/>
  <c r="DJ15" i="1" s="1"/>
  <c r="DJ144" i="1" s="1"/>
  <c r="DJ103" i="1"/>
  <c r="DJ36" i="1" s="1"/>
  <c r="DJ83" i="1"/>
  <c r="DJ34" i="1" s="1"/>
  <c r="DJ97" i="1"/>
  <c r="DJ17" i="1" s="1"/>
  <c r="DJ142" i="1" s="1"/>
  <c r="DJ71" i="2"/>
  <c r="DJ37" i="9"/>
  <c r="DJ5" i="2"/>
  <c r="DJ42" i="9"/>
  <c r="DJ6" i="2" s="1"/>
  <c r="BF42" i="19"/>
  <c r="DJ133" i="1"/>
  <c r="DJ157" i="1" s="1"/>
  <c r="DJ61" i="2"/>
  <c r="BI70" i="19" l="1"/>
  <c r="DN40" i="2"/>
  <c r="DJ33" i="9"/>
  <c r="DK40" i="9" s="1"/>
  <c r="DL40" i="9" s="1"/>
  <c r="DL41" i="9" s="1"/>
  <c r="DJ75" i="1"/>
  <c r="BF27" i="19"/>
  <c r="BF79" i="19"/>
  <c r="DJ113" i="1"/>
  <c r="DJ115" i="1" s="1"/>
  <c r="DJ117" i="1" s="1"/>
  <c r="DJ12" i="2"/>
  <c r="DJ108" i="1"/>
  <c r="DJ109" i="1" s="1"/>
  <c r="DJ110" i="1" s="1"/>
  <c r="BG18" i="19"/>
  <c r="DK17" i="2"/>
  <c r="DL17" i="9"/>
  <c r="DJ4" i="2"/>
  <c r="BF35" i="19"/>
  <c r="DJ14" i="2"/>
  <c r="BF43" i="19" s="1"/>
  <c r="DJ32" i="2"/>
  <c r="BF34" i="19"/>
  <c r="BJ70" i="19" l="1"/>
  <c r="DO40" i="2"/>
  <c r="DK111" i="1"/>
  <c r="DL111" i="1" s="1"/>
  <c r="BF33" i="19"/>
  <c r="DJ8" i="2"/>
  <c r="DJ30" i="2"/>
  <c r="BF41" i="19"/>
  <c r="DJ11" i="2"/>
  <c r="DJ54" i="2"/>
  <c r="BH18" i="19"/>
  <c r="DL18" i="9"/>
  <c r="BH19" i="19" s="1"/>
  <c r="BG46" i="19"/>
  <c r="DL17" i="2"/>
  <c r="DJ13" i="1"/>
  <c r="DJ69" i="1"/>
  <c r="DJ72" i="1" s="1"/>
  <c r="BF61" i="19"/>
  <c r="DJ31" i="2"/>
  <c r="BF60" i="19" s="1"/>
  <c r="DJ56" i="2"/>
  <c r="DP40" i="2" l="1"/>
  <c r="BK70" i="19"/>
  <c r="DJ88" i="1"/>
  <c r="DJ87" i="1" s="1"/>
  <c r="DJ35" i="1" s="1"/>
  <c r="DJ11" i="1"/>
  <c r="BH46" i="19"/>
  <c r="DL19" i="2"/>
  <c r="BH48" i="19" s="1"/>
  <c r="BF40" i="19"/>
  <c r="DJ70" i="1"/>
  <c r="BF59" i="19"/>
  <c r="DJ159" i="1"/>
  <c r="DJ28" i="2"/>
  <c r="BF57" i="19" s="1"/>
  <c r="BF37" i="19"/>
  <c r="DJ7" i="2"/>
  <c r="DR40" i="2" l="1"/>
  <c r="DS40" i="2" s="1"/>
  <c r="DT40" i="2" s="1"/>
  <c r="DU40" i="2" s="1"/>
  <c r="DW40" i="2" s="1"/>
  <c r="DX40" i="2" s="1"/>
  <c r="DY40" i="2" s="1"/>
  <c r="DZ40" i="2" s="1"/>
  <c r="EB40" i="2" s="1"/>
  <c r="EC40" i="2" s="1"/>
  <c r="ED40" i="2" s="1"/>
  <c r="EE40" i="2" s="1"/>
  <c r="BL70" i="19"/>
  <c r="BF36" i="19"/>
  <c r="DJ10" i="2"/>
  <c r="DJ71" i="1"/>
  <c r="DJ80" i="1"/>
  <c r="DJ79" i="1" s="1"/>
  <c r="DJ32" i="1" s="1"/>
  <c r="DJ141" i="1"/>
  <c r="DJ33" i="1"/>
  <c r="DJ147" i="1" l="1"/>
  <c r="BF39" i="19"/>
  <c r="DJ53" i="2"/>
  <c r="DJ55" i="2" s="1"/>
  <c r="DJ18" i="2"/>
  <c r="BF47" i="19" s="1"/>
  <c r="DJ21" i="2"/>
  <c r="BF50" i="19" s="1"/>
  <c r="DJ61" i="1"/>
  <c r="DJ15" i="2"/>
  <c r="BF44" i="19" l="1"/>
  <c r="DJ2" i="2"/>
  <c r="DJ65" i="1"/>
  <c r="DJ66" i="1"/>
  <c r="DJ10" i="1" s="1"/>
  <c r="DJ8" i="1" s="1"/>
  <c r="DJ70" i="2"/>
  <c r="BF78" i="19" s="1"/>
  <c r="DJ57" i="2"/>
  <c r="DJ58" i="2" l="1"/>
  <c r="DJ74" i="2"/>
  <c r="BF82" i="19" s="1"/>
  <c r="DJ20" i="1"/>
  <c r="DJ19" i="1" s="1"/>
  <c r="DJ42" i="1"/>
  <c r="DK19" i="9"/>
  <c r="DJ140" i="1"/>
  <c r="DJ60" i="1"/>
  <c r="BG20" i="19" l="1"/>
  <c r="DL19" i="9"/>
  <c r="DK14" i="9"/>
  <c r="DK21" i="9"/>
  <c r="DK29" i="9"/>
  <c r="DK45" i="2"/>
  <c r="DJ150" i="1"/>
  <c r="DJ143" i="1"/>
  <c r="DJ8" i="14"/>
  <c r="DJ9" i="14" s="1"/>
  <c r="DJ63" i="1"/>
  <c r="DJ62" i="1"/>
  <c r="DJ73" i="2"/>
  <c r="BF81" i="19" s="1"/>
  <c r="BF65" i="19"/>
  <c r="BG15" i="19" l="1"/>
  <c r="DK34" i="9"/>
  <c r="DK38" i="9" s="1"/>
  <c r="DK9" i="9"/>
  <c r="DL14" i="9"/>
  <c r="DJ39" i="2"/>
  <c r="DJ91" i="2"/>
  <c r="DL45" i="2"/>
  <c r="BG75" i="19"/>
  <c r="DK65" i="2"/>
  <c r="BH20" i="19"/>
  <c r="DL20" i="9"/>
  <c r="BH21" i="19" s="1"/>
  <c r="DL29" i="9"/>
  <c r="DL21" i="9"/>
  <c r="BH22" i="19" s="1"/>
  <c r="BG22" i="19"/>
  <c r="BH75" i="19" l="1"/>
  <c r="DL65" i="2"/>
  <c r="DL34" i="9"/>
  <c r="BH15" i="19"/>
  <c r="DK13" i="2"/>
  <c r="DK36" i="9"/>
  <c r="DL38" i="9"/>
  <c r="BF69" i="19"/>
  <c r="DJ41" i="2"/>
  <c r="BG10" i="19"/>
  <c r="DK35" i="9"/>
  <c r="DK112" i="1"/>
  <c r="DK12" i="9"/>
  <c r="DL9" i="9"/>
  <c r="DK30" i="9"/>
  <c r="BG30" i="19" s="1"/>
  <c r="DK10" i="9"/>
  <c r="DK84" i="1"/>
  <c r="DK24" i="9"/>
  <c r="DL39" i="9" l="1"/>
  <c r="DK42" i="9"/>
  <c r="DK5" i="2"/>
  <c r="DK37" i="9"/>
  <c r="DL36" i="9"/>
  <c r="DL112" i="1"/>
  <c r="DK116" i="1"/>
  <c r="DK107" i="1"/>
  <c r="DL13" i="2"/>
  <c r="BG42" i="19"/>
  <c r="DK61" i="2"/>
  <c r="DK133" i="1"/>
  <c r="BF71" i="19"/>
  <c r="DJ37" i="1"/>
  <c r="DJ148" i="1" s="1"/>
  <c r="DJ64" i="2"/>
  <c r="DK71" i="2"/>
  <c r="BG25" i="19"/>
  <c r="DL24" i="9"/>
  <c r="DK26" i="9"/>
  <c r="DK97" i="1"/>
  <c r="DK17" i="1" s="1"/>
  <c r="DK100" i="1"/>
  <c r="DK15" i="1" s="1"/>
  <c r="DK103" i="1"/>
  <c r="DK36" i="1" s="1"/>
  <c r="DL36" i="1" s="1"/>
  <c r="DL103" i="1" s="1"/>
  <c r="DK83" i="1"/>
  <c r="DK34" i="1" s="1"/>
  <c r="DL34" i="1" s="1"/>
  <c r="DL83" i="1" s="1"/>
  <c r="DL10" i="9"/>
  <c r="BG11" i="19"/>
  <c r="BH10" i="19"/>
  <c r="DL84" i="1"/>
  <c r="DL35" i="9"/>
  <c r="DL30" i="9"/>
  <c r="DL12" i="9"/>
  <c r="BH13" i="19" s="1"/>
  <c r="BG13" i="19"/>
  <c r="BH30" i="19" l="1"/>
  <c r="DL13" i="9"/>
  <c r="BH14" i="19" s="1"/>
  <c r="DL85" i="1"/>
  <c r="DL133" i="1"/>
  <c r="DK157" i="1"/>
  <c r="DL157" i="1" s="1"/>
  <c r="DL104" i="1"/>
  <c r="DL15" i="1"/>
  <c r="DK144" i="1"/>
  <c r="BG34" i="19"/>
  <c r="DL5" i="2"/>
  <c r="BH34" i="19" s="1"/>
  <c r="DK32" i="2"/>
  <c r="BH11" i="19"/>
  <c r="DL11" i="9"/>
  <c r="BH12" i="19" s="1"/>
  <c r="BH42" i="19"/>
  <c r="DL61" i="2"/>
  <c r="DK33" i="9"/>
  <c r="DL107" i="1"/>
  <c r="DL33" i="9" s="1"/>
  <c r="DM40" i="9" s="1"/>
  <c r="DM111" i="1" s="1"/>
  <c r="DL116" i="1"/>
  <c r="DL118" i="1" s="1"/>
  <c r="DK114" i="1"/>
  <c r="DK142" i="1"/>
  <c r="DL17" i="1"/>
  <c r="BG27" i="19"/>
  <c r="DL26" i="9"/>
  <c r="BH27" i="19" s="1"/>
  <c r="DK75" i="1"/>
  <c r="DL37" i="9"/>
  <c r="BH25" i="19"/>
  <c r="DM28" i="9"/>
  <c r="BI29" i="19" s="1"/>
  <c r="DQ28" i="9"/>
  <c r="BM29" i="19" s="1"/>
  <c r="DM17" i="9"/>
  <c r="BG79" i="19"/>
  <c r="DK12" i="2"/>
  <c r="DK113" i="1"/>
  <c r="DK6" i="2"/>
  <c r="DK4" i="2" s="1"/>
  <c r="DL42" i="9"/>
  <c r="DL43" i="9" s="1"/>
  <c r="DL142" i="1" l="1"/>
  <c r="DL97" i="1"/>
  <c r="DL98" i="1" s="1"/>
  <c r="DL113" i="1"/>
  <c r="DK115" i="1"/>
  <c r="DK13" i="1"/>
  <c r="DL75" i="1"/>
  <c r="DL76" i="1" s="1"/>
  <c r="DK69" i="1"/>
  <c r="DK72" i="1" s="1"/>
  <c r="BG35" i="19"/>
  <c r="DL6" i="2"/>
  <c r="BH35" i="19" s="1"/>
  <c r="DK14" i="2"/>
  <c r="DK11" i="2" s="1"/>
  <c r="DK108" i="1"/>
  <c r="DL114" i="1"/>
  <c r="DL100" i="1"/>
  <c r="DL101" i="1" s="1"/>
  <c r="DL144" i="1"/>
  <c r="BG41" i="19"/>
  <c r="DL12" i="2"/>
  <c r="DK30" i="2"/>
  <c r="DL32" i="2"/>
  <c r="BG61" i="19"/>
  <c r="DK31" i="2"/>
  <c r="DK56" i="2"/>
  <c r="BG33" i="19"/>
  <c r="DK8" i="2"/>
  <c r="DL4" i="2"/>
  <c r="BH33" i="19" s="1"/>
  <c r="DM39" i="9"/>
  <c r="BI18" i="19"/>
  <c r="DM17" i="2"/>
  <c r="BI46" i="19" s="1"/>
  <c r="DL11" i="2" l="1"/>
  <c r="BG40" i="19"/>
  <c r="DK70" i="1"/>
  <c r="DL108" i="1"/>
  <c r="DK109" i="1"/>
  <c r="DL13" i="1"/>
  <c r="DL88" i="1" s="1"/>
  <c r="DK88" i="1"/>
  <c r="DK87" i="1" s="1"/>
  <c r="DK35" i="1" s="1"/>
  <c r="DL35" i="1" s="1"/>
  <c r="DL87" i="1" s="1"/>
  <c r="DK11" i="1"/>
  <c r="DL14" i="2"/>
  <c r="DL54" i="2" s="1"/>
  <c r="BG43" i="19"/>
  <c r="BH61" i="19"/>
  <c r="DL56" i="2"/>
  <c r="DK54" i="2"/>
  <c r="DL115" i="1"/>
  <c r="DL117" i="1" s="1"/>
  <c r="DK117" i="1"/>
  <c r="BH41" i="19"/>
  <c r="DL71" i="2"/>
  <c r="BH79" i="19" s="1"/>
  <c r="BG37" i="19"/>
  <c r="DK7" i="2"/>
  <c r="DL8" i="2"/>
  <c r="DL31" i="2"/>
  <c r="BH60" i="19" s="1"/>
  <c r="BG60" i="19"/>
  <c r="BG59" i="19"/>
  <c r="DM30" i="2"/>
  <c r="DK159" i="1"/>
  <c r="DK28" i="2"/>
  <c r="DL30" i="2"/>
  <c r="DL89" i="1" l="1"/>
  <c r="BH59" i="19"/>
  <c r="DL159" i="1"/>
  <c r="BH43" i="19"/>
  <c r="DL72" i="2"/>
  <c r="BH80" i="19" s="1"/>
  <c r="DK141" i="1"/>
  <c r="DL11" i="1"/>
  <c r="DK33" i="1"/>
  <c r="DL33" i="1" s="1"/>
  <c r="DL9" i="2"/>
  <c r="BH38" i="19" s="1"/>
  <c r="BH37" i="19"/>
  <c r="BG36" i="19"/>
  <c r="DL7" i="2"/>
  <c r="BH36" i="19" s="1"/>
  <c r="DK10" i="2"/>
  <c r="DL109" i="1"/>
  <c r="DL110" i="1" s="1"/>
  <c r="DK110" i="1"/>
  <c r="BG57" i="19"/>
  <c r="DL28" i="2"/>
  <c r="BH57" i="19" s="1"/>
  <c r="BI59" i="19"/>
  <c r="DM159" i="1"/>
  <c r="DM28" i="2"/>
  <c r="BI57" i="19" s="1"/>
  <c r="DK71" i="1"/>
  <c r="DK80" i="1"/>
  <c r="DK79" i="1" s="1"/>
  <c r="DK32" i="1" s="1"/>
  <c r="DL70" i="1"/>
  <c r="BH40" i="19"/>
  <c r="BG39" i="19" l="1"/>
  <c r="DK61" i="1"/>
  <c r="DK18" i="2"/>
  <c r="BG47" i="19" s="1"/>
  <c r="DL10" i="2"/>
  <c r="DK21" i="2"/>
  <c r="BG50" i="19" s="1"/>
  <c r="DK15" i="2"/>
  <c r="DK53" i="2"/>
  <c r="DK55" i="2" s="1"/>
  <c r="DL80" i="1"/>
  <c r="DL32" i="1"/>
  <c r="DK147" i="1"/>
  <c r="DL141" i="1"/>
  <c r="DL69" i="1"/>
  <c r="DL72" i="1" s="1"/>
  <c r="DK70" i="2" l="1"/>
  <c r="BG78" i="19" s="1"/>
  <c r="DK57" i="2"/>
  <c r="BH39" i="19"/>
  <c r="DL53" i="2"/>
  <c r="DL55" i="2" s="1"/>
  <c r="DL18" i="2"/>
  <c r="BH47" i="19" s="1"/>
  <c r="DL61" i="1"/>
  <c r="DL65" i="1" s="1"/>
  <c r="DL21" i="2"/>
  <c r="BH50" i="19" s="1"/>
  <c r="DK65" i="1"/>
  <c r="DK66" i="1"/>
  <c r="DK10" i="1" s="1"/>
  <c r="DL79" i="1"/>
  <c r="DL81" i="1" s="1"/>
  <c r="DL147" i="1"/>
  <c r="DL71" i="1"/>
  <c r="BG44" i="19"/>
  <c r="DK2" i="2"/>
  <c r="DL15" i="2"/>
  <c r="DL10" i="1" l="1"/>
  <c r="DK8" i="1"/>
  <c r="DL70" i="2"/>
  <c r="BH78" i="19" s="1"/>
  <c r="DL57" i="2"/>
  <c r="DK58" i="2"/>
  <c r="DK74" i="2"/>
  <c r="BG82" i="19" s="1"/>
  <c r="BH44" i="19"/>
  <c r="DL69" i="2"/>
  <c r="DL2" i="2"/>
  <c r="DK73" i="2" l="1"/>
  <c r="BG81" i="19" s="1"/>
  <c r="BG65" i="19"/>
  <c r="DL58" i="2"/>
  <c r="DL74" i="2"/>
  <c r="BH82" i="19" s="1"/>
  <c r="DK42" i="1"/>
  <c r="DK60" i="1"/>
  <c r="DK20" i="1"/>
  <c r="DK140" i="1"/>
  <c r="DL66" i="1"/>
  <c r="DL67" i="1" s="1"/>
  <c r="DL8" i="1"/>
  <c r="DK19" i="1" l="1"/>
  <c r="DL20" i="1"/>
  <c r="DL19" i="1" s="1"/>
  <c r="DK62" i="1"/>
  <c r="DK63" i="1"/>
  <c r="DK150" i="1"/>
  <c r="DL42" i="1"/>
  <c r="DL73" i="2"/>
  <c r="BH81" i="19" s="1"/>
  <c r="BH65" i="19"/>
  <c r="DL60" i="1"/>
  <c r="DL140" i="1"/>
  <c r="DM19" i="9"/>
  <c r="DM45" i="2" l="1"/>
  <c r="DL150" i="1"/>
  <c r="DL63" i="1"/>
  <c r="DL91" i="2" s="1"/>
  <c r="DL62" i="1"/>
  <c r="DK39" i="2"/>
  <c r="DK91" i="2"/>
  <c r="BI20" i="19"/>
  <c r="DM21" i="9"/>
  <c r="BI22" i="19" s="1"/>
  <c r="DM14" i="9"/>
  <c r="DM29" i="9"/>
  <c r="DL8" i="14"/>
  <c r="DL9" i="14" s="1"/>
  <c r="DL143" i="1"/>
  <c r="DK8" i="14"/>
  <c r="DK9" i="14" s="1"/>
  <c r="DK143" i="1"/>
  <c r="BI15" i="19" l="1"/>
  <c r="DM34" i="9"/>
  <c r="DM38" i="9" s="1"/>
  <c r="DM9" i="9"/>
  <c r="BG69" i="19"/>
  <c r="DL39" i="2"/>
  <c r="DK41" i="2"/>
  <c r="BI75" i="19"/>
  <c r="DM65" i="2"/>
  <c r="BH69" i="19" l="1"/>
  <c r="DL40" i="2"/>
  <c r="BH70" i="19" s="1"/>
  <c r="DK64" i="2"/>
  <c r="BG71" i="19"/>
  <c r="DK37" i="1"/>
  <c r="DL41" i="2"/>
  <c r="BI10" i="19"/>
  <c r="DM12" i="9"/>
  <c r="BI13" i="19" s="1"/>
  <c r="DM112" i="1"/>
  <c r="DM24" i="9"/>
  <c r="DM10" i="9"/>
  <c r="BI11" i="19" s="1"/>
  <c r="DM35" i="9"/>
  <c r="DM30" i="9"/>
  <c r="BI30" i="19" s="1"/>
  <c r="DM84" i="1"/>
  <c r="DM13" i="2"/>
  <c r="DM36" i="9"/>
  <c r="BI25" i="19" l="1"/>
  <c r="DN17" i="9"/>
  <c r="DN28" i="9"/>
  <c r="BJ29" i="19" s="1"/>
  <c r="DM26" i="9"/>
  <c r="DL42" i="2"/>
  <c r="BH72" i="19" s="1"/>
  <c r="BH71" i="19"/>
  <c r="DM71" i="2"/>
  <c r="DM37" i="9"/>
  <c r="DM42" i="9"/>
  <c r="DM6" i="2" s="1"/>
  <c r="DM5" i="2"/>
  <c r="DL64" i="2"/>
  <c r="DM107" i="1"/>
  <c r="DM116" i="1"/>
  <c r="DM114" i="1" s="1"/>
  <c r="DL37" i="1"/>
  <c r="DL148" i="1" s="1"/>
  <c r="DK148" i="1"/>
  <c r="BI42" i="19"/>
  <c r="DM61" i="2"/>
  <c r="DM133" i="1"/>
  <c r="DM157" i="1" s="1"/>
  <c r="DM97" i="1"/>
  <c r="DM17" i="1" s="1"/>
  <c r="DM142" i="1" s="1"/>
  <c r="DM100" i="1"/>
  <c r="DM15" i="1" s="1"/>
  <c r="DM144" i="1" s="1"/>
  <c r="DM103" i="1"/>
  <c r="DM36" i="1" s="1"/>
  <c r="DM83" i="1"/>
  <c r="DM34" i="1" s="1"/>
  <c r="DM113" i="1" l="1"/>
  <c r="DM115" i="1" s="1"/>
  <c r="DM117" i="1" s="1"/>
  <c r="BI79" i="19"/>
  <c r="DM12" i="2"/>
  <c r="DM33" i="9"/>
  <c r="DN40" i="9" s="1"/>
  <c r="DN111" i="1" s="1"/>
  <c r="DM75" i="1"/>
  <c r="BI27" i="19"/>
  <c r="DM4" i="2"/>
  <c r="BI35" i="19"/>
  <c r="DM14" i="2"/>
  <c r="BI43" i="19" s="1"/>
  <c r="DM108" i="1"/>
  <c r="DM109" i="1" s="1"/>
  <c r="DM110" i="1" s="1"/>
  <c r="DN39" i="9"/>
  <c r="BJ18" i="19"/>
  <c r="DN17" i="2"/>
  <c r="BJ46" i="19" s="1"/>
  <c r="DM32" i="2"/>
  <c r="BI34" i="19"/>
  <c r="BI33" i="19" l="1"/>
  <c r="DM8" i="2"/>
  <c r="BI41" i="19"/>
  <c r="DM11" i="2"/>
  <c r="DM54" i="2"/>
  <c r="DM13" i="1"/>
  <c r="DM69" i="1"/>
  <c r="DM72" i="1" s="1"/>
  <c r="BI61" i="19"/>
  <c r="DM56" i="2"/>
  <c r="DM31" i="2"/>
  <c r="BI60" i="19" s="1"/>
  <c r="DM88" i="1" l="1"/>
  <c r="DM87" i="1" s="1"/>
  <c r="DM35" i="1" s="1"/>
  <c r="DM11" i="1"/>
  <c r="BI40" i="19"/>
  <c r="DM70" i="1"/>
  <c r="BI37" i="19"/>
  <c r="DM7" i="2"/>
  <c r="BI36" i="19" l="1"/>
  <c r="DM10" i="2"/>
  <c r="DM71" i="1"/>
  <c r="DM80" i="1"/>
  <c r="DM79" i="1" s="1"/>
  <c r="DM32" i="1" s="1"/>
  <c r="DM141" i="1"/>
  <c r="DM33" i="1"/>
  <c r="DM147" i="1" l="1"/>
  <c r="BI39" i="19"/>
  <c r="DM61" i="1"/>
  <c r="DM53" i="2"/>
  <c r="DM55" i="2" s="1"/>
  <c r="DM15" i="2"/>
  <c r="DM21" i="2"/>
  <c r="BI50" i="19" s="1"/>
  <c r="DM18" i="2"/>
  <c r="BI47" i="19" s="1"/>
  <c r="BI44" i="19" l="1"/>
  <c r="DM2" i="2"/>
  <c r="DM66" i="1"/>
  <c r="DM10" i="1" s="1"/>
  <c r="DM8" i="1" s="1"/>
  <c r="DM65" i="1"/>
  <c r="DM70" i="2"/>
  <c r="BI78" i="19" s="1"/>
  <c r="DM57" i="2"/>
  <c r="DN19" i="9" l="1"/>
  <c r="DM20" i="1"/>
  <c r="DM19" i="1" s="1"/>
  <c r="DM140" i="1"/>
  <c r="DM42" i="1"/>
  <c r="DM60" i="1"/>
  <c r="DM58" i="2"/>
  <c r="DM74" i="2"/>
  <c r="BI82" i="19" s="1"/>
  <c r="DM73" i="2" l="1"/>
  <c r="BI81" i="19" s="1"/>
  <c r="BI65" i="19"/>
  <c r="DM63" i="1"/>
  <c r="DM62" i="1"/>
  <c r="DN45" i="2"/>
  <c r="DM150" i="1"/>
  <c r="DM143" i="1"/>
  <c r="DM8" i="14"/>
  <c r="DM9" i="14" s="1"/>
  <c r="BJ20" i="19"/>
  <c r="DN29" i="9"/>
  <c r="DN21" i="9"/>
  <c r="BJ22" i="19" s="1"/>
  <c r="DN14" i="9"/>
  <c r="BJ15" i="19" l="1"/>
  <c r="DN9" i="9"/>
  <c r="DN34" i="9"/>
  <c r="DN38" i="9" s="1"/>
  <c r="BJ75" i="19"/>
  <c r="DN65" i="2"/>
  <c r="DM39" i="2"/>
  <c r="DM91" i="2"/>
  <c r="BI69" i="19" l="1"/>
  <c r="DM41" i="2"/>
  <c r="DM64" i="2" s="1"/>
  <c r="DN13" i="2"/>
  <c r="DN36" i="9"/>
  <c r="BJ10" i="19"/>
  <c r="DN35" i="9"/>
  <c r="DN112" i="1"/>
  <c r="DN12" i="9"/>
  <c r="BJ13" i="19" s="1"/>
  <c r="DN30" i="9"/>
  <c r="BJ30" i="19" s="1"/>
  <c r="DN10" i="9"/>
  <c r="BJ11" i="19" s="1"/>
  <c r="DN84" i="1"/>
  <c r="DN24" i="9"/>
  <c r="DN116" i="1" l="1"/>
  <c r="DN114" i="1" s="1"/>
  <c r="DN107" i="1"/>
  <c r="BJ25" i="19"/>
  <c r="DN26" i="9"/>
  <c r="DO17" i="9"/>
  <c r="DO28" i="9"/>
  <c r="BK29" i="19" s="1"/>
  <c r="DN100" i="1"/>
  <c r="DN15" i="1" s="1"/>
  <c r="DN144" i="1" s="1"/>
  <c r="DN103" i="1"/>
  <c r="DN36" i="1" s="1"/>
  <c r="DN83" i="1"/>
  <c r="DN34" i="1" s="1"/>
  <c r="DN97" i="1"/>
  <c r="DN17" i="1" s="1"/>
  <c r="DN142" i="1" s="1"/>
  <c r="DN71" i="2"/>
  <c r="DN37" i="9"/>
  <c r="DN5" i="2"/>
  <c r="DN42" i="9"/>
  <c r="DN6" i="2" s="1"/>
  <c r="BJ42" i="19"/>
  <c r="DN133" i="1"/>
  <c r="DN157" i="1" s="1"/>
  <c r="DN61" i="2"/>
  <c r="BI71" i="19"/>
  <c r="DM37" i="1"/>
  <c r="DM148" i="1" s="1"/>
  <c r="DN4" i="2" l="1"/>
  <c r="BJ35" i="19"/>
  <c r="DN14" i="2"/>
  <c r="BJ43" i="19" s="1"/>
  <c r="BJ34" i="19"/>
  <c r="DN32" i="2"/>
  <c r="BJ79" i="19"/>
  <c r="DN113" i="1"/>
  <c r="DN115" i="1" s="1"/>
  <c r="DN117" i="1" s="1"/>
  <c r="DN12" i="2"/>
  <c r="DO39" i="9"/>
  <c r="BK18" i="19"/>
  <c r="DO17" i="2"/>
  <c r="BK46" i="19" s="1"/>
  <c r="DN75" i="1"/>
  <c r="BJ27" i="19"/>
  <c r="DN33" i="9"/>
  <c r="DO40" i="9" s="1"/>
  <c r="DO111" i="1" s="1"/>
  <c r="DN108" i="1"/>
  <c r="DN109" i="1" s="1"/>
  <c r="DN110" i="1" s="1"/>
  <c r="DN30" i="2" l="1"/>
  <c r="BJ41" i="19"/>
  <c r="DN54" i="2"/>
  <c r="DN11" i="2"/>
  <c r="BJ61" i="19"/>
  <c r="DN31" i="2"/>
  <c r="BJ60" i="19" s="1"/>
  <c r="DN56" i="2"/>
  <c r="DN13" i="1"/>
  <c r="DN69" i="1"/>
  <c r="DN72" i="1" s="1"/>
  <c r="BJ33" i="19"/>
  <c r="DN8" i="2"/>
  <c r="BJ37" i="19" l="1"/>
  <c r="DN7" i="2"/>
  <c r="DN88" i="1"/>
  <c r="DN87" i="1" s="1"/>
  <c r="DN35" i="1" s="1"/>
  <c r="DN11" i="1"/>
  <c r="BJ40" i="19"/>
  <c r="DN70" i="1"/>
  <c r="BJ59" i="19"/>
  <c r="DN28" i="2"/>
  <c r="BJ57" i="19" s="1"/>
  <c r="DN159" i="1"/>
  <c r="DN71" i="1" l="1"/>
  <c r="DN80" i="1"/>
  <c r="DN79" i="1" s="1"/>
  <c r="DN32" i="1" s="1"/>
  <c r="DN141" i="1"/>
  <c r="DN33" i="1"/>
  <c r="BJ36" i="19"/>
  <c r="DN10" i="2"/>
  <c r="BJ39" i="19" l="1"/>
  <c r="DN21" i="2"/>
  <c r="BJ50" i="19" s="1"/>
  <c r="DN18" i="2"/>
  <c r="BJ47" i="19" s="1"/>
  <c r="DN53" i="2"/>
  <c r="DN55" i="2" s="1"/>
  <c r="DN61" i="1"/>
  <c r="DN15" i="2"/>
  <c r="DN147" i="1"/>
  <c r="DN65" i="1" l="1"/>
  <c r="DN66" i="1"/>
  <c r="DN10" i="1" s="1"/>
  <c r="DN8" i="1" s="1"/>
  <c r="DN57" i="2"/>
  <c r="DN70" i="2"/>
  <c r="BJ78" i="19" s="1"/>
  <c r="BJ44" i="19"/>
  <c r="DN2" i="2"/>
  <c r="DN74" i="2" l="1"/>
  <c r="BJ82" i="19" s="1"/>
  <c r="DN58" i="2"/>
  <c r="DN20" i="1"/>
  <c r="DN19" i="1" s="1"/>
  <c r="DN140" i="1"/>
  <c r="DN42" i="1"/>
  <c r="DO19" i="9"/>
  <c r="DN60" i="1"/>
  <c r="DO45" i="2" l="1"/>
  <c r="DN150" i="1"/>
  <c r="DN143" i="1"/>
  <c r="DN8" i="14"/>
  <c r="DN9" i="14" s="1"/>
  <c r="DN73" i="2"/>
  <c r="BJ81" i="19" s="1"/>
  <c r="BJ65" i="19"/>
  <c r="DN63" i="1"/>
  <c r="DN62" i="1"/>
  <c r="BK20" i="19"/>
  <c r="DO21" i="9"/>
  <c r="BK22" i="19" s="1"/>
  <c r="DO14" i="9"/>
  <c r="DO29" i="9"/>
  <c r="DN91" i="2" l="1"/>
  <c r="DN39" i="2"/>
  <c r="BK15" i="19"/>
  <c r="DO34" i="9"/>
  <c r="DO38" i="9" s="1"/>
  <c r="DO9" i="9"/>
  <c r="BK75" i="19"/>
  <c r="DO65" i="2"/>
  <c r="BK10" i="19" l="1"/>
  <c r="DO30" i="9"/>
  <c r="BK30" i="19" s="1"/>
  <c r="DO10" i="9"/>
  <c r="BK11" i="19" s="1"/>
  <c r="DO112" i="1"/>
  <c r="DO84" i="1"/>
  <c r="DO12" i="9"/>
  <c r="BK13" i="19" s="1"/>
  <c r="DO24" i="9"/>
  <c r="DO35" i="9"/>
  <c r="DO13" i="2"/>
  <c r="DO36" i="9"/>
  <c r="BJ69" i="19"/>
  <c r="DN41" i="2"/>
  <c r="BK25" i="19" l="1"/>
  <c r="DP17" i="9"/>
  <c r="DO26" i="9"/>
  <c r="DP28" i="9"/>
  <c r="BL29" i="19" s="1"/>
  <c r="DO71" i="2"/>
  <c r="DO42" i="9"/>
  <c r="DO6" i="2" s="1"/>
  <c r="DO37" i="9"/>
  <c r="DO5" i="2"/>
  <c r="BJ71" i="19"/>
  <c r="DN37" i="1"/>
  <c r="DN148" i="1" s="1"/>
  <c r="DO83" i="1"/>
  <c r="DO34" i="1" s="1"/>
  <c r="DO97" i="1"/>
  <c r="DO17" i="1" s="1"/>
  <c r="DO142" i="1" s="1"/>
  <c r="DO103" i="1"/>
  <c r="DO36" i="1" s="1"/>
  <c r="DO100" i="1"/>
  <c r="DO15" i="1" s="1"/>
  <c r="DO144" i="1" s="1"/>
  <c r="DN64" i="2"/>
  <c r="BK42" i="19"/>
  <c r="DO61" i="2"/>
  <c r="DO133" i="1"/>
  <c r="DO157" i="1" s="1"/>
  <c r="DO116" i="1"/>
  <c r="DO114" i="1" s="1"/>
  <c r="DO107" i="1"/>
  <c r="DO108" i="1" l="1"/>
  <c r="DO109" i="1" s="1"/>
  <c r="DO110" i="1" s="1"/>
  <c r="DO4" i="2"/>
  <c r="BK35" i="19"/>
  <c r="DO14" i="2"/>
  <c r="BK79" i="19"/>
  <c r="DO113" i="1"/>
  <c r="DO115" i="1" s="1"/>
  <c r="DO117" i="1" s="1"/>
  <c r="DO12" i="2"/>
  <c r="DO75" i="1"/>
  <c r="BK27" i="19"/>
  <c r="DO32" i="2"/>
  <c r="BK34" i="19"/>
  <c r="DP39" i="9"/>
  <c r="BL18" i="19"/>
  <c r="DP17" i="2"/>
  <c r="DQ17" i="9"/>
  <c r="DO33" i="9"/>
  <c r="DP40" i="9" s="1"/>
  <c r="DQ40" i="9" s="1"/>
  <c r="DQ41" i="9" s="1"/>
  <c r="BM18" i="19" l="1"/>
  <c r="DQ18" i="9"/>
  <c r="BM19" i="19" s="1"/>
  <c r="BL46" i="19"/>
  <c r="DQ17" i="2"/>
  <c r="BK61" i="19"/>
  <c r="DO31" i="2"/>
  <c r="BK60" i="19" s="1"/>
  <c r="DO56" i="2"/>
  <c r="DO13" i="1"/>
  <c r="DO69" i="1"/>
  <c r="DO72" i="1" s="1"/>
  <c r="BK41" i="19"/>
  <c r="DO30" i="2"/>
  <c r="DO11" i="2"/>
  <c r="DO54" i="2"/>
  <c r="BK43" i="19"/>
  <c r="DP111" i="1"/>
  <c r="DQ111" i="1" s="1"/>
  <c r="BK33" i="19"/>
  <c r="DO8" i="2"/>
  <c r="BM46" i="19" l="1"/>
  <c r="DQ19" i="2"/>
  <c r="BM48" i="19" s="1"/>
  <c r="BK40" i="19"/>
  <c r="DO70" i="1"/>
  <c r="DO11" i="1"/>
  <c r="DO88" i="1"/>
  <c r="DO87" i="1" s="1"/>
  <c r="DO35" i="1" s="1"/>
  <c r="BK37" i="19"/>
  <c r="DO7" i="2"/>
  <c r="BK59" i="19"/>
  <c r="DO159" i="1"/>
  <c r="DO28" i="2"/>
  <c r="BK57" i="19" s="1"/>
  <c r="BK36" i="19" l="1"/>
  <c r="DO10" i="2"/>
  <c r="DO141" i="1"/>
  <c r="DO33" i="1"/>
  <c r="DO71" i="1"/>
  <c r="DO80" i="1"/>
  <c r="DO79" i="1" s="1"/>
  <c r="DO32" i="1" s="1"/>
  <c r="DO147" i="1" l="1"/>
  <c r="BK39" i="19"/>
  <c r="DO18" i="2"/>
  <c r="BK47" i="19" s="1"/>
  <c r="DO61" i="1"/>
  <c r="DO53" i="2"/>
  <c r="DO55" i="2" s="1"/>
  <c r="DO15" i="2"/>
  <c r="DO21" i="2"/>
  <c r="BK50" i="19" s="1"/>
  <c r="BK44" i="19" l="1"/>
  <c r="DO2" i="2"/>
  <c r="DO70" i="2"/>
  <c r="BK78" i="19" s="1"/>
  <c r="DO57" i="2"/>
  <c r="DO65" i="1"/>
  <c r="DO66" i="1"/>
  <c r="DO10" i="1" s="1"/>
  <c r="DO8" i="1" s="1"/>
  <c r="DO20" i="1" l="1"/>
  <c r="DO19" i="1" s="1"/>
  <c r="DO60" i="1"/>
  <c r="DO42" i="1"/>
  <c r="DP19" i="9"/>
  <c r="DO140" i="1"/>
  <c r="DO74" i="2"/>
  <c r="BK82" i="19" s="1"/>
  <c r="DO58" i="2"/>
  <c r="DO73" i="2" l="1"/>
  <c r="BK81" i="19" s="1"/>
  <c r="BK65" i="19"/>
  <c r="BL20" i="19"/>
  <c r="DP14" i="9"/>
  <c r="DQ19" i="9"/>
  <c r="DP29" i="9"/>
  <c r="DP21" i="9"/>
  <c r="DO63" i="1"/>
  <c r="DO62" i="1"/>
  <c r="DP45" i="2"/>
  <c r="DO150" i="1"/>
  <c r="DO143" i="1"/>
  <c r="DO8" i="14"/>
  <c r="DO9" i="14" s="1"/>
  <c r="DQ21" i="9" l="1"/>
  <c r="BM22" i="19" s="1"/>
  <c r="BL22" i="19"/>
  <c r="BL15" i="19"/>
  <c r="DQ14" i="9"/>
  <c r="DP34" i="9"/>
  <c r="DP38" i="9" s="1"/>
  <c r="DP9" i="9"/>
  <c r="BM20" i="19"/>
  <c r="DQ20" i="9"/>
  <c r="BM21" i="19" s="1"/>
  <c r="DQ29" i="9"/>
  <c r="DO39" i="2"/>
  <c r="DO91" i="2"/>
  <c r="DQ45" i="2"/>
  <c r="BL75" i="19"/>
  <c r="DP65" i="2"/>
  <c r="DQ34" i="9" l="1"/>
  <c r="BM15" i="19"/>
  <c r="BL10" i="19"/>
  <c r="DQ9" i="9"/>
  <c r="DP84" i="1"/>
  <c r="DP24" i="9"/>
  <c r="DP35" i="9"/>
  <c r="DP30" i="9"/>
  <c r="BL30" i="19" s="1"/>
  <c r="DP10" i="9"/>
  <c r="DP112" i="1"/>
  <c r="DP12" i="9"/>
  <c r="DP13" i="2"/>
  <c r="DQ38" i="9"/>
  <c r="DP36" i="9"/>
  <c r="BK69" i="19"/>
  <c r="DO41" i="2"/>
  <c r="DO64" i="2" s="1"/>
  <c r="BM75" i="19"/>
  <c r="DQ65" i="2"/>
  <c r="DQ39" i="9" l="1"/>
  <c r="DQ112" i="1"/>
  <c r="DP107" i="1"/>
  <c r="DP116" i="1"/>
  <c r="DQ10" i="9"/>
  <c r="BL11" i="19"/>
  <c r="BM10" i="19"/>
  <c r="DQ30" i="9"/>
  <c r="DQ84" i="1"/>
  <c r="DQ35" i="9"/>
  <c r="DQ12" i="9"/>
  <c r="BM13" i="19" s="1"/>
  <c r="BL13" i="19"/>
  <c r="DP71" i="2"/>
  <c r="DP42" i="9"/>
  <c r="DP37" i="9"/>
  <c r="DP5" i="2"/>
  <c r="DQ36" i="9"/>
  <c r="BL42" i="19"/>
  <c r="DP61" i="2"/>
  <c r="DP133" i="1"/>
  <c r="DQ13" i="2"/>
  <c r="BL25" i="19"/>
  <c r="DQ24" i="9"/>
  <c r="DP26" i="9"/>
  <c r="DP100" i="1"/>
  <c r="DP15" i="1" s="1"/>
  <c r="DP103" i="1"/>
  <c r="DP36" i="1" s="1"/>
  <c r="DQ36" i="1" s="1"/>
  <c r="DQ103" i="1" s="1"/>
  <c r="DP97" i="1"/>
  <c r="DP17" i="1" s="1"/>
  <c r="DP83" i="1"/>
  <c r="DP34" i="1" s="1"/>
  <c r="DQ34" i="1" s="1"/>
  <c r="DQ83" i="1" s="1"/>
  <c r="BK71" i="19"/>
  <c r="DO37" i="1"/>
  <c r="DO148" i="1" s="1"/>
  <c r="BM30" i="19" l="1"/>
  <c r="DQ85" i="1"/>
  <c r="DQ104" i="1"/>
  <c r="DQ13" i="9"/>
  <c r="BM14" i="19" s="1"/>
  <c r="DP142" i="1"/>
  <c r="DQ17" i="1"/>
  <c r="BL27" i="19"/>
  <c r="DQ26" i="9"/>
  <c r="BM27" i="19" s="1"/>
  <c r="DP75" i="1"/>
  <c r="BM11" i="19"/>
  <c r="DQ11" i="9"/>
  <c r="BM12" i="19" s="1"/>
  <c r="BM25" i="19"/>
  <c r="DR28" i="9"/>
  <c r="DR17" i="9"/>
  <c r="DV28" i="9"/>
  <c r="DQ37" i="9"/>
  <c r="DP114" i="1"/>
  <c r="DQ116" i="1"/>
  <c r="DQ118" i="1" s="1"/>
  <c r="BL79" i="19"/>
  <c r="DP113" i="1"/>
  <c r="DP12" i="2"/>
  <c r="DQ61" i="2"/>
  <c r="BM42" i="19"/>
  <c r="BL34" i="19"/>
  <c r="DP32" i="2"/>
  <c r="DQ5" i="2"/>
  <c r="BM34" i="19" s="1"/>
  <c r="DQ107" i="1"/>
  <c r="DQ33" i="9" s="1"/>
  <c r="DR40" i="9" s="1"/>
  <c r="DR111" i="1" s="1"/>
  <c r="DP33" i="9"/>
  <c r="DP6" i="2"/>
  <c r="DP4" i="2" s="1"/>
  <c r="DQ42" i="9"/>
  <c r="DQ43" i="9" s="1"/>
  <c r="DP144" i="1"/>
  <c r="DQ15" i="1"/>
  <c r="DQ133" i="1"/>
  <c r="DP157" i="1"/>
  <c r="DQ157" i="1" s="1"/>
  <c r="BL33" i="19" l="1"/>
  <c r="DQ4" i="2"/>
  <c r="BM33" i="19" s="1"/>
  <c r="DP8" i="2"/>
  <c r="DQ32" i="2"/>
  <c r="BL61" i="19"/>
  <c r="DP56" i="2"/>
  <c r="DP31" i="2"/>
  <c r="BL35" i="19"/>
  <c r="DP14" i="2"/>
  <c r="DP11" i="2" s="1"/>
  <c r="DQ6" i="2"/>
  <c r="BM35" i="19" s="1"/>
  <c r="DR39" i="9"/>
  <c r="DR17" i="2"/>
  <c r="DQ75" i="1"/>
  <c r="DQ76" i="1" s="1"/>
  <c r="DP13" i="1"/>
  <c r="DP69" i="1"/>
  <c r="DP72" i="1" s="1"/>
  <c r="DQ12" i="2"/>
  <c r="BL41" i="19"/>
  <c r="DP30" i="2"/>
  <c r="DQ100" i="1"/>
  <c r="DQ101" i="1" s="1"/>
  <c r="DQ144" i="1"/>
  <c r="DP115" i="1"/>
  <c r="DQ113" i="1"/>
  <c r="DQ142" i="1"/>
  <c r="DQ97" i="1"/>
  <c r="DQ98" i="1" s="1"/>
  <c r="DQ114" i="1"/>
  <c r="DP108" i="1"/>
  <c r="BL40" i="19" l="1"/>
  <c r="DP70" i="1"/>
  <c r="DQ11" i="2"/>
  <c r="DP11" i="1"/>
  <c r="DP88" i="1"/>
  <c r="DP87" i="1" s="1"/>
  <c r="DP35" i="1" s="1"/>
  <c r="DQ35" i="1" s="1"/>
  <c r="DQ87" i="1" s="1"/>
  <c r="DQ13" i="1"/>
  <c r="DQ88" i="1" s="1"/>
  <c r="DQ31" i="2"/>
  <c r="BM60" i="19" s="1"/>
  <c r="BL60" i="19"/>
  <c r="BM61" i="19"/>
  <c r="DQ56" i="2"/>
  <c r="BL37" i="19"/>
  <c r="DP7" i="2"/>
  <c r="DQ8" i="2"/>
  <c r="DP117" i="1"/>
  <c r="DQ115" i="1"/>
  <c r="DQ117" i="1" s="1"/>
  <c r="BL43" i="19"/>
  <c r="DQ14" i="2"/>
  <c r="DQ54" i="2" s="1"/>
  <c r="DP54" i="2"/>
  <c r="DR30" i="2"/>
  <c r="BL59" i="19"/>
  <c r="DQ30" i="2"/>
  <c r="DP159" i="1"/>
  <c r="DP28" i="2"/>
  <c r="BM41" i="19"/>
  <c r="DQ71" i="2"/>
  <c r="BM79" i="19" s="1"/>
  <c r="DQ108" i="1"/>
  <c r="DP109" i="1"/>
  <c r="DQ9" i="2" l="1"/>
  <c r="BM38" i="19" s="1"/>
  <c r="BM37" i="19"/>
  <c r="DQ28" i="2"/>
  <c r="BM57" i="19" s="1"/>
  <c r="BL57" i="19"/>
  <c r="DQ159" i="1"/>
  <c r="BM59" i="19"/>
  <c r="DQ89" i="1"/>
  <c r="BL36" i="19"/>
  <c r="DQ7" i="2"/>
  <c r="BM36" i="19" s="1"/>
  <c r="DP10" i="2"/>
  <c r="DR159" i="1"/>
  <c r="DR28" i="2"/>
  <c r="BM43" i="19"/>
  <c r="DQ72" i="2"/>
  <c r="BM80" i="19" s="1"/>
  <c r="DQ70" i="1"/>
  <c r="BM40" i="19"/>
  <c r="DP141" i="1"/>
  <c r="DQ11" i="1"/>
  <c r="DP33" i="1"/>
  <c r="DQ33" i="1" s="1"/>
  <c r="DP80" i="1"/>
  <c r="DP79" i="1" s="1"/>
  <c r="DP32" i="1" s="1"/>
  <c r="DP71" i="1"/>
  <c r="DQ109" i="1"/>
  <c r="DQ110" i="1" s="1"/>
  <c r="DP110" i="1"/>
  <c r="BL39" i="19" l="1"/>
  <c r="DP53" i="2"/>
  <c r="DP55" i="2" s="1"/>
  <c r="DP21" i="2"/>
  <c r="BL50" i="19" s="1"/>
  <c r="DP18" i="2"/>
  <c r="BL47" i="19" s="1"/>
  <c r="DP61" i="1"/>
  <c r="DP15" i="2"/>
  <c r="DQ10" i="2"/>
  <c r="DQ32" i="1"/>
  <c r="DP147" i="1"/>
  <c r="DQ141" i="1"/>
  <c r="DQ69" i="1"/>
  <c r="DQ72" i="1" s="1"/>
  <c r="DQ80" i="1"/>
  <c r="DQ71" i="1" l="1"/>
  <c r="DQ79" i="1"/>
  <c r="DQ81" i="1" s="1"/>
  <c r="DQ147" i="1"/>
  <c r="BM39" i="19"/>
  <c r="DQ61" i="1"/>
  <c r="DQ65" i="1" s="1"/>
  <c r="DQ21" i="2"/>
  <c r="BM50" i="19" s="1"/>
  <c r="DQ18" i="2"/>
  <c r="BM47" i="19" s="1"/>
  <c r="DQ53" i="2"/>
  <c r="DQ55" i="2" s="1"/>
  <c r="BL44" i="19"/>
  <c r="DP2" i="2"/>
  <c r="DQ15" i="2"/>
  <c r="DP65" i="1"/>
  <c r="DP66" i="1"/>
  <c r="DP10" i="1" s="1"/>
  <c r="DP57" i="2"/>
  <c r="DP70" i="2"/>
  <c r="BL78" i="19" s="1"/>
  <c r="DP74" i="2" l="1"/>
  <c r="BL82" i="19" s="1"/>
  <c r="DP58" i="2"/>
  <c r="DQ10" i="1"/>
  <c r="DP8" i="1"/>
  <c r="DQ70" i="2"/>
  <c r="BM78" i="19" s="1"/>
  <c r="DQ57" i="2"/>
  <c r="BM44" i="19"/>
  <c r="DQ2" i="2"/>
  <c r="DQ69" i="2"/>
  <c r="DQ74" i="2" l="1"/>
  <c r="BM82" i="19" s="1"/>
  <c r="DQ58" i="2"/>
  <c r="DP60" i="1"/>
  <c r="DP20" i="1"/>
  <c r="DP42" i="1"/>
  <c r="DP140" i="1"/>
  <c r="DQ8" i="1"/>
  <c r="DQ66" i="1"/>
  <c r="DQ67" i="1" s="1"/>
  <c r="DP73" i="2"/>
  <c r="BL81" i="19" s="1"/>
  <c r="BL65" i="19"/>
  <c r="DQ42" i="1" l="1"/>
  <c r="DP150" i="1"/>
  <c r="DQ140" i="1"/>
  <c r="DQ60" i="1"/>
  <c r="DR19" i="9"/>
  <c r="DP19" i="1"/>
  <c r="DQ20" i="1"/>
  <c r="DQ19" i="1" s="1"/>
  <c r="DP63" i="1"/>
  <c r="DP62" i="1"/>
  <c r="DQ73" i="2"/>
  <c r="BM81" i="19" s="1"/>
  <c r="BM65" i="19"/>
  <c r="DP91" i="2" l="1"/>
  <c r="DP39" i="2"/>
  <c r="DQ8" i="14"/>
  <c r="DQ9" i="14" s="1"/>
  <c r="DQ143" i="1"/>
  <c r="DP143" i="1"/>
  <c r="DP8" i="14"/>
  <c r="DP9" i="14" s="1"/>
  <c r="DR14" i="9"/>
  <c r="DR21" i="9"/>
  <c r="DR29" i="9"/>
  <c r="DQ62" i="1"/>
  <c r="DQ63" i="1"/>
  <c r="DQ91" i="2" s="1"/>
  <c r="DR45" i="2"/>
  <c r="DR65" i="2" s="1"/>
  <c r="DQ150" i="1"/>
  <c r="DR34" i="9" l="1"/>
  <c r="DR38" i="9" s="1"/>
  <c r="DR9" i="9"/>
  <c r="BL69" i="19"/>
  <c r="DQ39" i="2"/>
  <c r="DP41" i="2"/>
  <c r="DP64" i="2" s="1"/>
  <c r="BL71" i="19" l="1"/>
  <c r="DP37" i="1"/>
  <c r="DQ41" i="2"/>
  <c r="DQ64" i="2" s="1"/>
  <c r="BM69" i="19"/>
  <c r="DQ40" i="2"/>
  <c r="BM70" i="19" s="1"/>
  <c r="DR30" i="9"/>
  <c r="DR10" i="9"/>
  <c r="DR84" i="1"/>
  <c r="DR12" i="9"/>
  <c r="DR24" i="9"/>
  <c r="DR35" i="9"/>
  <c r="DR112" i="1"/>
  <c r="DR36" i="9"/>
  <c r="DR13" i="2"/>
  <c r="DR116" i="1" l="1"/>
  <c r="DR114" i="1" s="1"/>
  <c r="DR107" i="1"/>
  <c r="DR33" i="9" s="1"/>
  <c r="DS40" i="9" s="1"/>
  <c r="DS111" i="1" s="1"/>
  <c r="DR83" i="1"/>
  <c r="DR34" i="1" s="1"/>
  <c r="DR97" i="1"/>
  <c r="DR17" i="1" s="1"/>
  <c r="DR142" i="1" s="1"/>
  <c r="DR103" i="1"/>
  <c r="DR36" i="1" s="1"/>
  <c r="DR100" i="1"/>
  <c r="DR15" i="1" s="1"/>
  <c r="DR144" i="1" s="1"/>
  <c r="DR71" i="2"/>
  <c r="DR37" i="9"/>
  <c r="DR42" i="9"/>
  <c r="DR6" i="2" s="1"/>
  <c r="DR5" i="2"/>
  <c r="DR32" i="2" s="1"/>
  <c r="DS28" i="9"/>
  <c r="DR26" i="9"/>
  <c r="DR75" i="1" s="1"/>
  <c r="DS17" i="9"/>
  <c r="DQ42" i="2"/>
  <c r="BM72" i="19" s="1"/>
  <c r="BM71" i="19"/>
  <c r="DQ37" i="1"/>
  <c r="DQ148" i="1" s="1"/>
  <c r="DP148" i="1"/>
  <c r="DR61" i="2"/>
  <c r="DR133" i="1"/>
  <c r="DR157" i="1" s="1"/>
  <c r="DR69" i="1" l="1"/>
  <c r="DR72" i="1" s="1"/>
  <c r="DR13" i="1"/>
  <c r="DR4" i="2"/>
  <c r="DR8" i="2" s="1"/>
  <c r="DR7" i="2" s="1"/>
  <c r="DR14" i="2"/>
  <c r="DS39" i="9"/>
  <c r="DS17" i="2"/>
  <c r="DR56" i="2"/>
  <c r="DR31" i="2"/>
  <c r="DR113" i="1"/>
  <c r="DR115" i="1" s="1"/>
  <c r="DR117" i="1" s="1"/>
  <c r="DR12" i="2"/>
  <c r="DR108" i="1"/>
  <c r="DR109" i="1" s="1"/>
  <c r="DR110" i="1" s="1"/>
  <c r="DR11" i="2" l="1"/>
  <c r="DR70" i="1" s="1"/>
  <c r="DR71" i="1" s="1"/>
  <c r="DR10" i="2"/>
  <c r="DR61" i="1" s="1"/>
  <c r="DR54" i="2"/>
  <c r="DR11" i="1"/>
  <c r="DR88" i="1"/>
  <c r="DR87" i="1" s="1"/>
  <c r="DR35" i="1" s="1"/>
  <c r="DR80" i="1" l="1"/>
  <c r="DR79" i="1" s="1"/>
  <c r="DR32" i="1" s="1"/>
  <c r="DR18" i="2"/>
  <c r="DR21" i="2"/>
  <c r="DR15" i="2"/>
  <c r="DR2" i="2" s="1"/>
  <c r="DR53" i="2"/>
  <c r="DR55" i="2" s="1"/>
  <c r="DR70" i="2" s="1"/>
  <c r="DR141" i="1"/>
  <c r="DR33" i="1"/>
  <c r="DR65" i="1"/>
  <c r="DR66" i="1"/>
  <c r="DR10" i="1" s="1"/>
  <c r="DR8" i="1" s="1"/>
  <c r="DR57" i="2" l="1"/>
  <c r="DR74" i="2" s="1"/>
  <c r="DR147" i="1"/>
  <c r="DS19" i="9"/>
  <c r="DR60" i="1"/>
  <c r="DR140" i="1"/>
  <c r="DR42" i="1"/>
  <c r="DS45" i="2" s="1"/>
  <c r="DR20" i="1"/>
  <c r="DR58" i="2" l="1"/>
  <c r="DR73" i="2" s="1"/>
  <c r="DR150" i="1"/>
  <c r="DR63" i="1"/>
  <c r="DR62" i="1"/>
  <c r="DS21" i="9"/>
  <c r="DS29" i="9"/>
  <c r="DS14" i="9"/>
  <c r="DR19" i="1"/>
  <c r="DR39" i="2" l="1"/>
  <c r="DR91" i="2"/>
  <c r="DS65" i="2"/>
  <c r="DS34" i="9"/>
  <c r="DS38" i="9" s="1"/>
  <c r="DS9" i="9"/>
  <c r="DR8" i="14"/>
  <c r="DR9" i="14" s="1"/>
  <c r="DR143" i="1"/>
  <c r="DS36" i="9" l="1"/>
  <c r="DS71" i="2" s="1"/>
  <c r="DS13" i="2"/>
  <c r="DS30" i="9"/>
  <c r="DS12" i="9"/>
  <c r="DS10" i="9"/>
  <c r="DS112" i="1"/>
  <c r="DS84" i="1"/>
  <c r="DS24" i="9"/>
  <c r="DS35" i="9"/>
  <c r="DR41" i="2"/>
  <c r="DS116" i="1" l="1"/>
  <c r="DS107" i="1"/>
  <c r="DS61" i="2"/>
  <c r="DS133" i="1"/>
  <c r="DT28" i="9"/>
  <c r="DS26" i="9"/>
  <c r="DS75" i="1" s="1"/>
  <c r="DT17" i="9"/>
  <c r="DT39" i="9" s="1"/>
  <c r="DR37" i="1"/>
  <c r="DS113" i="1"/>
  <c r="DS115" i="1" s="1"/>
  <c r="DS117" i="1" s="1"/>
  <c r="DR64" i="2"/>
  <c r="DS97" i="1"/>
  <c r="DS17" i="1" s="1"/>
  <c r="DS142" i="1" s="1"/>
  <c r="DS100" i="1"/>
  <c r="DS15" i="1" s="1"/>
  <c r="DS144" i="1" s="1"/>
  <c r="DS103" i="1"/>
  <c r="DS36" i="1" s="1"/>
  <c r="DS83" i="1"/>
  <c r="DS34" i="1" s="1"/>
  <c r="DS37" i="9"/>
  <c r="DS42" i="9"/>
  <c r="DS5" i="2"/>
  <c r="DS32" i="2" s="1"/>
  <c r="DS157" i="1" l="1"/>
  <c r="DS33" i="9"/>
  <c r="DT40" i="9" s="1"/>
  <c r="DS12" i="2"/>
  <c r="DT17" i="2"/>
  <c r="DS6" i="2"/>
  <c r="DR148" i="1"/>
  <c r="DS13" i="1"/>
  <c r="DS69" i="1"/>
  <c r="DS72" i="1" s="1"/>
  <c r="DS114" i="1"/>
  <c r="DS30" i="2" l="1"/>
  <c r="DS31" i="2"/>
  <c r="DS56" i="2"/>
  <c r="DS108" i="1"/>
  <c r="DS14" i="2"/>
  <c r="DS4" i="2"/>
  <c r="DT111" i="1"/>
  <c r="DS88" i="1"/>
  <c r="DS87" i="1" s="1"/>
  <c r="DS35" i="1" s="1"/>
  <c r="DS11" i="1"/>
  <c r="DS159" i="1" l="1"/>
  <c r="DS28" i="2"/>
  <c r="DS8" i="2"/>
  <c r="DS109" i="1"/>
  <c r="DS110" i="1" s="1"/>
  <c r="DS11" i="2"/>
  <c r="DS54" i="2"/>
  <c r="DS141" i="1"/>
  <c r="DS33" i="1"/>
  <c r="DS70" i="1" l="1"/>
  <c r="DS7" i="2"/>
  <c r="DS71" i="1" l="1"/>
  <c r="DS80" i="1"/>
  <c r="DS79" i="1" s="1"/>
  <c r="DS32" i="1" s="1"/>
  <c r="DS10" i="2"/>
  <c r="DS147" i="1" l="1"/>
  <c r="DS61" i="1"/>
  <c r="DS53" i="2"/>
  <c r="DS55" i="2" s="1"/>
  <c r="DS21" i="2"/>
  <c r="DS18" i="2"/>
  <c r="DS15" i="2"/>
  <c r="DS70" i="2" l="1"/>
  <c r="DS57" i="2"/>
  <c r="DS65" i="1"/>
  <c r="DS66" i="1"/>
  <c r="DS10" i="1" s="1"/>
  <c r="DS8" i="1" s="1"/>
  <c r="DS2" i="2"/>
  <c r="DS74" i="2" l="1"/>
  <c r="DS58" i="2"/>
  <c r="DS73" i="2" s="1"/>
  <c r="DT19" i="9"/>
  <c r="DS60" i="1"/>
  <c r="DS140" i="1"/>
  <c r="DS42" i="1"/>
  <c r="DT45" i="2" s="1"/>
  <c r="DS20" i="1"/>
  <c r="DS19" i="1" l="1"/>
  <c r="DS63" i="1"/>
  <c r="DS62" i="1"/>
  <c r="DT14" i="9"/>
  <c r="DT21" i="9"/>
  <c r="DT29" i="9"/>
  <c r="DS150" i="1"/>
  <c r="DT34" i="9" l="1"/>
  <c r="DT38" i="9" s="1"/>
  <c r="DT9" i="9"/>
  <c r="DS39" i="2"/>
  <c r="DS91" i="2"/>
  <c r="DT65" i="2"/>
  <c r="DS8" i="14"/>
  <c r="DS9" i="14" s="1"/>
  <c r="DS143" i="1"/>
  <c r="DS41" i="2" l="1"/>
  <c r="DT30" i="9"/>
  <c r="DT12" i="9"/>
  <c r="DT10" i="9"/>
  <c r="DT112" i="1"/>
  <c r="DT84" i="1"/>
  <c r="DT24" i="9"/>
  <c r="DT35" i="9"/>
  <c r="DT36" i="9"/>
  <c r="DT71" i="2" s="1"/>
  <c r="DT13" i="2"/>
  <c r="DT116" i="1" l="1"/>
  <c r="DT107" i="1"/>
  <c r="DT97" i="1"/>
  <c r="DT17" i="1" s="1"/>
  <c r="DT142" i="1" s="1"/>
  <c r="DT100" i="1"/>
  <c r="DT15" i="1" s="1"/>
  <c r="DT144" i="1" s="1"/>
  <c r="DT103" i="1"/>
  <c r="DT36" i="1" s="1"/>
  <c r="DT83" i="1"/>
  <c r="DT34" i="1" s="1"/>
  <c r="DT113" i="1"/>
  <c r="DT115" i="1" s="1"/>
  <c r="DT117" i="1" s="1"/>
  <c r="DS37" i="1"/>
  <c r="DU28" i="9"/>
  <c r="DT26" i="9"/>
  <c r="DT75" i="1" s="1"/>
  <c r="DU17" i="9"/>
  <c r="DU39" i="9" s="1"/>
  <c r="DT61" i="2"/>
  <c r="DT133" i="1"/>
  <c r="DT37" i="9"/>
  <c r="DT42" i="9"/>
  <c r="DT5" i="2"/>
  <c r="DS64" i="2"/>
  <c r="DT12" i="2" l="1"/>
  <c r="DT30" i="2" s="1"/>
  <c r="DT32" i="2"/>
  <c r="DU17" i="2"/>
  <c r="DV17" i="9"/>
  <c r="DT6" i="2"/>
  <c r="DT4" i="2" s="1"/>
  <c r="DS148" i="1"/>
  <c r="DT13" i="1"/>
  <c r="DT69" i="1"/>
  <c r="DT72" i="1" s="1"/>
  <c r="DT33" i="9"/>
  <c r="DU40" i="9" s="1"/>
  <c r="DV40" i="9" s="1"/>
  <c r="DV41" i="9" s="1"/>
  <c r="DT157" i="1"/>
  <c r="DT114" i="1"/>
  <c r="DU111" i="1" l="1"/>
  <c r="DT108" i="1"/>
  <c r="DT8" i="2"/>
  <c r="DT159" i="1"/>
  <c r="DT28" i="2"/>
  <c r="DT31" i="2"/>
  <c r="DT56" i="2"/>
  <c r="DT14" i="2"/>
  <c r="DT88" i="1"/>
  <c r="DT87" i="1" s="1"/>
  <c r="DT35" i="1" s="1"/>
  <c r="DT11" i="1"/>
  <c r="DV18" i="9"/>
  <c r="DV17" i="2"/>
  <c r="DT7" i="2" l="1"/>
  <c r="DT141" i="1"/>
  <c r="DT33" i="1"/>
  <c r="DT109" i="1"/>
  <c r="DT110" i="1" s="1"/>
  <c r="DV19" i="2"/>
  <c r="DT54" i="2"/>
  <c r="DT11" i="2"/>
  <c r="DV111" i="1"/>
  <c r="DT10" i="2" l="1"/>
  <c r="DT15" i="2" s="1"/>
  <c r="DT70" i="1"/>
  <c r="DT2" i="2" l="1"/>
  <c r="DT61" i="1"/>
  <c r="DT53" i="2"/>
  <c r="DT55" i="2" s="1"/>
  <c r="DT21" i="2"/>
  <c r="DT18" i="2"/>
  <c r="DT71" i="1"/>
  <c r="DT80" i="1"/>
  <c r="DT79" i="1" s="1"/>
  <c r="DT32" i="1" s="1"/>
  <c r="DT70" i="2" l="1"/>
  <c r="DT57" i="2"/>
  <c r="DT65" i="1"/>
  <c r="DT66" i="1"/>
  <c r="DT10" i="1" s="1"/>
  <c r="DT8" i="1" s="1"/>
  <c r="DT147" i="1"/>
  <c r="DT58" i="2" l="1"/>
  <c r="DT73" i="2" s="1"/>
  <c r="DT74" i="2"/>
  <c r="DU19" i="9"/>
  <c r="DT60" i="1"/>
  <c r="DT140" i="1"/>
  <c r="DT20" i="1"/>
  <c r="DT42" i="1"/>
  <c r="DU45" i="2" s="1"/>
  <c r="DV45" i="2" s="1"/>
  <c r="DT63" i="1" l="1"/>
  <c r="DT62" i="1"/>
  <c r="DT19" i="1"/>
  <c r="DV19" i="9"/>
  <c r="DU21" i="9"/>
  <c r="DV21" i="9" s="1"/>
  <c r="DU29" i="9"/>
  <c r="DU14" i="9"/>
  <c r="DT150" i="1"/>
  <c r="DU34" i="9" l="1"/>
  <c r="DU38" i="9" s="1"/>
  <c r="DU9" i="9"/>
  <c r="DV14" i="9"/>
  <c r="DV34" i="9" s="1"/>
  <c r="DT8" i="14"/>
  <c r="DT9" i="14" s="1"/>
  <c r="DT143" i="1"/>
  <c r="DU65" i="2"/>
  <c r="DV65" i="2"/>
  <c r="DV20" i="9"/>
  <c r="DV29" i="9"/>
  <c r="DT39" i="2"/>
  <c r="DT91" i="2"/>
  <c r="DT41" i="2" l="1"/>
  <c r="DU30" i="9"/>
  <c r="DU10" i="9"/>
  <c r="DV10" i="9" s="1"/>
  <c r="DU112" i="1"/>
  <c r="DU84" i="1"/>
  <c r="DU12" i="9"/>
  <c r="DV12" i="9" s="1"/>
  <c r="DV9" i="9"/>
  <c r="DU24" i="9"/>
  <c r="DU35" i="9"/>
  <c r="DU36" i="9"/>
  <c r="DU71" i="2" s="1"/>
  <c r="DV38" i="9"/>
  <c r="DV39" i="9" s="1"/>
  <c r="DU13" i="2"/>
  <c r="DV11" i="9" l="1"/>
  <c r="DU97" i="1"/>
  <c r="DU17" i="1" s="1"/>
  <c r="DU100" i="1"/>
  <c r="DU15" i="1" s="1"/>
  <c r="DU103" i="1"/>
  <c r="DU36" i="1" s="1"/>
  <c r="DU83" i="1"/>
  <c r="DU34" i="1" s="1"/>
  <c r="DV34" i="1" s="1"/>
  <c r="DV83" i="1" s="1"/>
  <c r="DU113" i="1"/>
  <c r="DU61" i="2"/>
  <c r="DV13" i="2"/>
  <c r="DV61" i="2" s="1"/>
  <c r="DU133" i="1"/>
  <c r="DU116" i="1"/>
  <c r="DV112" i="1"/>
  <c r="DU107" i="1"/>
  <c r="DU42" i="9"/>
  <c r="DU37" i="9"/>
  <c r="DU5" i="2"/>
  <c r="DV36" i="9"/>
  <c r="DT37" i="1"/>
  <c r="DU26" i="9"/>
  <c r="DV24" i="9"/>
  <c r="DV30" i="9"/>
  <c r="DV13" i="9"/>
  <c r="DV84" i="1"/>
  <c r="DV35" i="9"/>
  <c r="DT64" i="2"/>
  <c r="DU12" i="2" l="1"/>
  <c r="DV12" i="2" s="1"/>
  <c r="DU32" i="2"/>
  <c r="DV32" i="2" s="1"/>
  <c r="DV37" i="9"/>
  <c r="DV113" i="1"/>
  <c r="DU115" i="1"/>
  <c r="DV85" i="1"/>
  <c r="DV5" i="2"/>
  <c r="DV26" i="9"/>
  <c r="DU75" i="1"/>
  <c r="DV36" i="1"/>
  <c r="DW28" i="9"/>
  <c r="DW17" i="9"/>
  <c r="DW39" i="9" s="1"/>
  <c r="EA28" i="9"/>
  <c r="DU33" i="9"/>
  <c r="DV107" i="1"/>
  <c r="DT148" i="1"/>
  <c r="DU114" i="1"/>
  <c r="DV116" i="1"/>
  <c r="DV118" i="1" s="1"/>
  <c r="DU144" i="1"/>
  <c r="DV15" i="1"/>
  <c r="DU6" i="2"/>
  <c r="DU4" i="2" s="1"/>
  <c r="DV42" i="9"/>
  <c r="DV43" i="9" s="1"/>
  <c r="DU157" i="1"/>
  <c r="DV157" i="1" s="1"/>
  <c r="DV133" i="1"/>
  <c r="DV17" i="1"/>
  <c r="DU142" i="1"/>
  <c r="DU30" i="2" l="1"/>
  <c r="DU159" i="1" s="1"/>
  <c r="DU14" i="2"/>
  <c r="DV6" i="2"/>
  <c r="DV103" i="1"/>
  <c r="DV104" i="1" s="1"/>
  <c r="DV115" i="1"/>
  <c r="DV117" i="1" s="1"/>
  <c r="DU117" i="1"/>
  <c r="DW17" i="2"/>
  <c r="DV100" i="1"/>
  <c r="DV101" i="1" s="1"/>
  <c r="DV144" i="1"/>
  <c r="DV33" i="9"/>
  <c r="DW40" i="9" s="1"/>
  <c r="DU13" i="1"/>
  <c r="DV75" i="1"/>
  <c r="DV76" i="1" s="1"/>
  <c r="DU69" i="1"/>
  <c r="DU72" i="1" s="1"/>
  <c r="DV142" i="1"/>
  <c r="DV97" i="1"/>
  <c r="DV98" i="1" s="1"/>
  <c r="DV71" i="2"/>
  <c r="DU8" i="2"/>
  <c r="DV4" i="2"/>
  <c r="DV114" i="1"/>
  <c r="DU108" i="1"/>
  <c r="DU31" i="2"/>
  <c r="DV31" i="2" s="1"/>
  <c r="DU56" i="2"/>
  <c r="DV56" i="2"/>
  <c r="DU28" i="2" l="1"/>
  <c r="DV28" i="2" s="1"/>
  <c r="DW30" i="2"/>
  <c r="DW159" i="1" s="1"/>
  <c r="DV30" i="2"/>
  <c r="DV159" i="1" s="1"/>
  <c r="DV108" i="1"/>
  <c r="DU109" i="1"/>
  <c r="DV13" i="1"/>
  <c r="DV88" i="1" s="1"/>
  <c r="DU88" i="1"/>
  <c r="DU87" i="1" s="1"/>
  <c r="DU35" i="1" s="1"/>
  <c r="DV35" i="1" s="1"/>
  <c r="DV87" i="1" s="1"/>
  <c r="DU11" i="1"/>
  <c r="DW111" i="1"/>
  <c r="DU7" i="2"/>
  <c r="DV8" i="2"/>
  <c r="DV9" i="2" s="1"/>
  <c r="DV14" i="2"/>
  <c r="DU54" i="2"/>
  <c r="DU11" i="2"/>
  <c r="DW28" i="2" l="1"/>
  <c r="DV89" i="1"/>
  <c r="DV11" i="1"/>
  <c r="DU141" i="1"/>
  <c r="DU33" i="1"/>
  <c r="DV33" i="1" s="1"/>
  <c r="DU110" i="1"/>
  <c r="DV109" i="1"/>
  <c r="DV110" i="1" s="1"/>
  <c r="DU10" i="2"/>
  <c r="DU15" i="2" s="1"/>
  <c r="DV7" i="2"/>
  <c r="DU70" i="1"/>
  <c r="DV11" i="2"/>
  <c r="DV70" i="1" s="1"/>
  <c r="DV72" i="2"/>
  <c r="DV54" i="2"/>
  <c r="DV80" i="1" l="1"/>
  <c r="DU80" i="1"/>
  <c r="DU79" i="1" s="1"/>
  <c r="DU32" i="1" s="1"/>
  <c r="DU71" i="1"/>
  <c r="DU2" i="2"/>
  <c r="DV15" i="2"/>
  <c r="DU53" i="2"/>
  <c r="DU55" i="2" s="1"/>
  <c r="DU21" i="2"/>
  <c r="DU18" i="2"/>
  <c r="DV10" i="2"/>
  <c r="DU61" i="1"/>
  <c r="DV141" i="1"/>
  <c r="DV69" i="1"/>
  <c r="DV72" i="1" s="1"/>
  <c r="DV61" i="1" l="1"/>
  <c r="DV53" i="2"/>
  <c r="DV55" i="2" s="1"/>
  <c r="DV21" i="2"/>
  <c r="DV18" i="2"/>
  <c r="DU66" i="1"/>
  <c r="DU10" i="1" s="1"/>
  <c r="DU65" i="1"/>
  <c r="DV32" i="1"/>
  <c r="DU147" i="1"/>
  <c r="DV71" i="1"/>
  <c r="DV69" i="2"/>
  <c r="DV2" i="2"/>
  <c r="DU70" i="2"/>
  <c r="DU57" i="2"/>
  <c r="DV147" i="1" l="1"/>
  <c r="DV79" i="1"/>
  <c r="DV81" i="1" s="1"/>
  <c r="DV10" i="1"/>
  <c r="DU8" i="1"/>
  <c r="DV70" i="2"/>
  <c r="DV57" i="2"/>
  <c r="DU74" i="2"/>
  <c r="DU58" i="2"/>
  <c r="DU73" i="2" s="1"/>
  <c r="DV65" i="1"/>
  <c r="DV66" i="1" l="1"/>
  <c r="DV67" i="1" s="1"/>
  <c r="DV8" i="1"/>
  <c r="DV58" i="2"/>
  <c r="DV73" i="2" s="1"/>
  <c r="DV74" i="2"/>
  <c r="DU60" i="1"/>
  <c r="DU140" i="1"/>
  <c r="DU42" i="1"/>
  <c r="DU20" i="1"/>
  <c r="DU63" i="1" l="1"/>
  <c r="DU62" i="1"/>
  <c r="DV20" i="1"/>
  <c r="DU19" i="1"/>
  <c r="DW19" i="9"/>
  <c r="DV60" i="1"/>
  <c r="DV140" i="1"/>
  <c r="DV42" i="1"/>
  <c r="DW45" i="2" s="1"/>
  <c r="DU150" i="1"/>
  <c r="DV63" i="1" l="1"/>
  <c r="DV91" i="2" s="1"/>
  <c r="DV62" i="1"/>
  <c r="DU8" i="14"/>
  <c r="DU9" i="14" s="1"/>
  <c r="DU143" i="1"/>
  <c r="DV19" i="1"/>
  <c r="DW14" i="9"/>
  <c r="DW21" i="9"/>
  <c r="DW29" i="9"/>
  <c r="DV150" i="1"/>
  <c r="DU39" i="2"/>
  <c r="DU91" i="2"/>
  <c r="DV8" i="14" l="1"/>
  <c r="DV9" i="14" s="1"/>
  <c r="DV143" i="1"/>
  <c r="DW34" i="9"/>
  <c r="DW38" i="9" s="1"/>
  <c r="DW9" i="9"/>
  <c r="DW65" i="2"/>
  <c r="DV39" i="2"/>
  <c r="DU41" i="2"/>
  <c r="DW36" i="9" l="1"/>
  <c r="DW71" i="2" s="1"/>
  <c r="DW13" i="2"/>
  <c r="DV41" i="2"/>
  <c r="DV64" i="2" s="1"/>
  <c r="DU37" i="1"/>
  <c r="DV40" i="2"/>
  <c r="DW30" i="9"/>
  <c r="DW10" i="9"/>
  <c r="DW112" i="1"/>
  <c r="DW84" i="1"/>
  <c r="DW12" i="9"/>
  <c r="DW24" i="9"/>
  <c r="DW35" i="9"/>
  <c r="DU64" i="2"/>
  <c r="DV42" i="2" l="1"/>
  <c r="DW113" i="1"/>
  <c r="DW115" i="1" s="1"/>
  <c r="DW117" i="1" s="1"/>
  <c r="DV37" i="1"/>
  <c r="DU148" i="1"/>
  <c r="DW26" i="9"/>
  <c r="DW75" i="1" s="1"/>
  <c r="DX17" i="9"/>
  <c r="DX39" i="9" s="1"/>
  <c r="DX28" i="9"/>
  <c r="DW61" i="2"/>
  <c r="DW133" i="1"/>
  <c r="DW100" i="1"/>
  <c r="DW15" i="1" s="1"/>
  <c r="DW144" i="1" s="1"/>
  <c r="DW103" i="1"/>
  <c r="DW36" i="1" s="1"/>
  <c r="DW83" i="1"/>
  <c r="DW34" i="1" s="1"/>
  <c r="DW97" i="1"/>
  <c r="DW17" i="1" s="1"/>
  <c r="DW142" i="1" s="1"/>
  <c r="DW37" i="9"/>
  <c r="DW42" i="9"/>
  <c r="DW5" i="2"/>
  <c r="DW32" i="2" s="1"/>
  <c r="DW116" i="1"/>
  <c r="DW107" i="1"/>
  <c r="DW13" i="1" l="1"/>
  <c r="DW69" i="1"/>
  <c r="DW72" i="1" s="1"/>
  <c r="DX17" i="2"/>
  <c r="DW157" i="1"/>
  <c r="DW33" i="9"/>
  <c r="DX40" i="9" s="1"/>
  <c r="DX111" i="1" s="1"/>
  <c r="DV148" i="1"/>
  <c r="DW6" i="2"/>
  <c r="DW4" i="2" s="1"/>
  <c r="DW114" i="1"/>
  <c r="DW12" i="2"/>
  <c r="DW108" i="1" l="1"/>
  <c r="DW8" i="2"/>
  <c r="DW14" i="2"/>
  <c r="DW54" i="2" s="1"/>
  <c r="DW31" i="2"/>
  <c r="DW56" i="2"/>
  <c r="DW88" i="1"/>
  <c r="DW87" i="1" s="1"/>
  <c r="DW35" i="1" s="1"/>
  <c r="DW11" i="1"/>
  <c r="DW11" i="2" l="1"/>
  <c r="DW70" i="1" s="1"/>
  <c r="DW141" i="1"/>
  <c r="DW33" i="1"/>
  <c r="DW7" i="2"/>
  <c r="DW109" i="1"/>
  <c r="DW110" i="1" s="1"/>
  <c r="DW71" i="1" l="1"/>
  <c r="DW80" i="1"/>
  <c r="DW79" i="1" s="1"/>
  <c r="DW32" i="1" s="1"/>
  <c r="DW10" i="2"/>
  <c r="DW147" i="1" l="1"/>
  <c r="DW61" i="1"/>
  <c r="DW15" i="2"/>
  <c r="DW53" i="2"/>
  <c r="DW55" i="2" s="1"/>
  <c r="DW21" i="2"/>
  <c r="DW18" i="2"/>
  <c r="DW70" i="2" l="1"/>
  <c r="DW57" i="2"/>
  <c r="DW2" i="2"/>
  <c r="DW65" i="1"/>
  <c r="DW66" i="1"/>
  <c r="DW10" i="1" s="1"/>
  <c r="DW8" i="1" s="1"/>
  <c r="DW58" i="2" l="1"/>
  <c r="DW73" i="2" s="1"/>
  <c r="DW74" i="2"/>
  <c r="DX19" i="9"/>
  <c r="DW60" i="1"/>
  <c r="DW140" i="1"/>
  <c r="DW42" i="1"/>
  <c r="DX45" i="2" s="1"/>
  <c r="DW20" i="1"/>
  <c r="DW150" i="1" l="1"/>
  <c r="DW63" i="1"/>
  <c r="DW62" i="1"/>
  <c r="DW19" i="1"/>
  <c r="DX14" i="9"/>
  <c r="DX29" i="9"/>
  <c r="DX21" i="9"/>
  <c r="DW39" i="2" l="1"/>
  <c r="DW91" i="2"/>
  <c r="DX65" i="2"/>
  <c r="DW8" i="14"/>
  <c r="DW9" i="14" s="1"/>
  <c r="DW143" i="1"/>
  <c r="DX34" i="9"/>
  <c r="DX38" i="9" s="1"/>
  <c r="DX9" i="9"/>
  <c r="DX36" i="9" l="1"/>
  <c r="DX71" i="2" s="1"/>
  <c r="DX13" i="2"/>
  <c r="DX30" i="9"/>
  <c r="DX10" i="9"/>
  <c r="DX112" i="1"/>
  <c r="DX84" i="1"/>
  <c r="DX12" i="9"/>
  <c r="DX24" i="9"/>
  <c r="DX35" i="9"/>
  <c r="DW41" i="2"/>
  <c r="DW64" i="2" s="1"/>
  <c r="DX116" i="1" l="1"/>
  <c r="DX107" i="1"/>
  <c r="DX103" i="1"/>
  <c r="DX36" i="1" s="1"/>
  <c r="DX83" i="1"/>
  <c r="DX34" i="1" s="1"/>
  <c r="DX97" i="1"/>
  <c r="DX17" i="1" s="1"/>
  <c r="DX142" i="1" s="1"/>
  <c r="DX100" i="1"/>
  <c r="DX15" i="1" s="1"/>
  <c r="DX144" i="1" s="1"/>
  <c r="DX61" i="2"/>
  <c r="DX133" i="1"/>
  <c r="DX113" i="1"/>
  <c r="DX115" i="1" s="1"/>
  <c r="DX117" i="1" s="1"/>
  <c r="DW37" i="1"/>
  <c r="DX26" i="9"/>
  <c r="DX75" i="1" s="1"/>
  <c r="DY17" i="9"/>
  <c r="DY39" i="9" s="1"/>
  <c r="DY28" i="9"/>
  <c r="DX37" i="9"/>
  <c r="DX42" i="9"/>
  <c r="DX5" i="2"/>
  <c r="DX12" i="2" l="1"/>
  <c r="DX30" i="2" s="1"/>
  <c r="DX32" i="2"/>
  <c r="DX6" i="2"/>
  <c r="DX4" i="2" s="1"/>
  <c r="DX33" i="9"/>
  <c r="DY40" i="9" s="1"/>
  <c r="DY111" i="1" s="1"/>
  <c r="DX13" i="1"/>
  <c r="DX69" i="1"/>
  <c r="DX72" i="1" s="1"/>
  <c r="DW148" i="1"/>
  <c r="DX157" i="1"/>
  <c r="DY17" i="2"/>
  <c r="DX114" i="1"/>
  <c r="DX8" i="2" l="1"/>
  <c r="DX31" i="2"/>
  <c r="DX56" i="2"/>
  <c r="DX14" i="2"/>
  <c r="DX88" i="1"/>
  <c r="DX87" i="1" s="1"/>
  <c r="DX35" i="1" s="1"/>
  <c r="DX11" i="1"/>
  <c r="DX108" i="1"/>
  <c r="DX159" i="1"/>
  <c r="DX28" i="2"/>
  <c r="DX109" i="1" l="1"/>
  <c r="DX110" i="1" s="1"/>
  <c r="DX11" i="2"/>
  <c r="DX54" i="2"/>
  <c r="DX141" i="1"/>
  <c r="DX33" i="1"/>
  <c r="DX7" i="2"/>
  <c r="DX70" i="1" l="1"/>
  <c r="DX10" i="2"/>
  <c r="DX61" i="1" l="1"/>
  <c r="DX53" i="2"/>
  <c r="DX55" i="2" s="1"/>
  <c r="DX21" i="2"/>
  <c r="DX18" i="2"/>
  <c r="DX71" i="1"/>
  <c r="DX80" i="1"/>
  <c r="DX79" i="1" s="1"/>
  <c r="DX32" i="1" s="1"/>
  <c r="DX15" i="2"/>
  <c r="DX2" i="2" l="1"/>
  <c r="DX70" i="2"/>
  <c r="DX57" i="2"/>
  <c r="DX147" i="1"/>
  <c r="DX65" i="1"/>
  <c r="DX66" i="1"/>
  <c r="DX10" i="1" s="1"/>
  <c r="DX8" i="1" s="1"/>
  <c r="DX74" i="2" l="1"/>
  <c r="DX58" i="2"/>
  <c r="DX73" i="2" s="1"/>
  <c r="DY19" i="9"/>
  <c r="DX140" i="1"/>
  <c r="DX60" i="1"/>
  <c r="DX42" i="1"/>
  <c r="DY45" i="2" s="1"/>
  <c r="DX20" i="1"/>
  <c r="DX150" i="1" l="1"/>
  <c r="DY29" i="9"/>
  <c r="DY21" i="9"/>
  <c r="DY14" i="9"/>
  <c r="DX63" i="1"/>
  <c r="DX62" i="1"/>
  <c r="DX19" i="1"/>
  <c r="DY65" i="2" l="1"/>
  <c r="DX8" i="14"/>
  <c r="DX9" i="14" s="1"/>
  <c r="DX143" i="1"/>
  <c r="DY34" i="9"/>
  <c r="DY38" i="9" s="1"/>
  <c r="DY9" i="9"/>
  <c r="DX39" i="2"/>
  <c r="DX91" i="2"/>
  <c r="DX41" i="2" l="1"/>
  <c r="DY30" i="9"/>
  <c r="DY10" i="9"/>
  <c r="DY112" i="1"/>
  <c r="DY84" i="1"/>
  <c r="DY12" i="9"/>
  <c r="DY24" i="9"/>
  <c r="DY35" i="9"/>
  <c r="DY36" i="9"/>
  <c r="DY71" i="2" s="1"/>
  <c r="DY13" i="2"/>
  <c r="DY103" i="1" l="1"/>
  <c r="DY36" i="1" s="1"/>
  <c r="DY83" i="1"/>
  <c r="DY34" i="1" s="1"/>
  <c r="DY97" i="1"/>
  <c r="DY17" i="1" s="1"/>
  <c r="DY142" i="1" s="1"/>
  <c r="DY100" i="1"/>
  <c r="DY15" i="1" s="1"/>
  <c r="DY144" i="1" s="1"/>
  <c r="DY61" i="2"/>
  <c r="DY133" i="1"/>
  <c r="DY116" i="1"/>
  <c r="DY107" i="1"/>
  <c r="DY37" i="9"/>
  <c r="DY42" i="9"/>
  <c r="DY5" i="2"/>
  <c r="DX64" i="2"/>
  <c r="DX37" i="1"/>
  <c r="DY113" i="1"/>
  <c r="DY115" i="1" s="1"/>
  <c r="DY117" i="1" s="1"/>
  <c r="DZ17" i="9"/>
  <c r="DZ39" i="9" s="1"/>
  <c r="DZ28" i="9"/>
  <c r="DY26" i="9"/>
  <c r="DY75" i="1" s="1"/>
  <c r="DY12" i="2" l="1"/>
  <c r="DY30" i="2" s="1"/>
  <c r="DY32" i="2"/>
  <c r="DY157" i="1"/>
  <c r="DY6" i="2"/>
  <c r="DY4" i="2" s="1"/>
  <c r="DY33" i="9"/>
  <c r="DZ40" i="9" s="1"/>
  <c r="EA40" i="9" s="1"/>
  <c r="EA41" i="9" s="1"/>
  <c r="DX148" i="1"/>
  <c r="DZ17" i="2"/>
  <c r="EA17" i="9"/>
  <c r="DY13" i="1"/>
  <c r="DY69" i="1"/>
  <c r="DY72" i="1" s="1"/>
  <c r="DY114" i="1"/>
  <c r="DY11" i="1" l="1"/>
  <c r="DY88" i="1"/>
  <c r="DY87" i="1" s="1"/>
  <c r="DY35" i="1" s="1"/>
  <c r="DY8" i="2"/>
  <c r="DY159" i="1"/>
  <c r="DY28" i="2"/>
  <c r="EA17" i="2"/>
  <c r="DY31" i="2"/>
  <c r="DY56" i="2"/>
  <c r="DZ111" i="1"/>
  <c r="DY108" i="1"/>
  <c r="EA18" i="9"/>
  <c r="DY14" i="2"/>
  <c r="DY7" i="2" l="1"/>
  <c r="DY109" i="1"/>
  <c r="DY110" i="1" s="1"/>
  <c r="DY54" i="2"/>
  <c r="DY11" i="2"/>
  <c r="EA111" i="1"/>
  <c r="EA19" i="2"/>
  <c r="DY141" i="1"/>
  <c r="DY33" i="1"/>
  <c r="DY70" i="1" l="1"/>
  <c r="DY10" i="2"/>
  <c r="DY61" i="1" l="1"/>
  <c r="DY53" i="2"/>
  <c r="DY55" i="2" s="1"/>
  <c r="DY15" i="2"/>
  <c r="DY21" i="2"/>
  <c r="DY18" i="2"/>
  <c r="DY71" i="1"/>
  <c r="DY80" i="1"/>
  <c r="DY79" i="1" s="1"/>
  <c r="DY32" i="1" s="1"/>
  <c r="DY2" i="2" l="1"/>
  <c r="DY70" i="2"/>
  <c r="DY57" i="2"/>
  <c r="DY147" i="1"/>
  <c r="DY65" i="1"/>
  <c r="DY66" i="1"/>
  <c r="DY10" i="1" s="1"/>
  <c r="DY8" i="1" s="1"/>
  <c r="DZ19" i="9" l="1"/>
  <c r="DY140" i="1"/>
  <c r="DY60" i="1"/>
  <c r="DY42" i="1"/>
  <c r="DZ45" i="2" s="1"/>
  <c r="EA45" i="2" s="1"/>
  <c r="DY20" i="1"/>
  <c r="DY74" i="2"/>
  <c r="DY58" i="2"/>
  <c r="DY73" i="2" s="1"/>
  <c r="DY19" i="1" l="1"/>
  <c r="DY150" i="1"/>
  <c r="DY63" i="1"/>
  <c r="DY62" i="1"/>
  <c r="EA19" i="9"/>
  <c r="DZ14" i="9"/>
  <c r="DZ29" i="9"/>
  <c r="DZ21" i="9"/>
  <c r="EA21" i="9" s="1"/>
  <c r="DY39" i="2" l="1"/>
  <c r="DY91" i="2"/>
  <c r="DZ34" i="9"/>
  <c r="DZ38" i="9" s="1"/>
  <c r="DZ9" i="9"/>
  <c r="EA14" i="9"/>
  <c r="EA34" i="9" s="1"/>
  <c r="DZ65" i="2"/>
  <c r="EA65" i="2"/>
  <c r="EA20" i="9"/>
  <c r="EA29" i="9"/>
  <c r="DY8" i="14"/>
  <c r="DY9" i="14" s="1"/>
  <c r="DY143" i="1"/>
  <c r="DZ30" i="9" l="1"/>
  <c r="DZ10" i="9"/>
  <c r="EA10" i="9" s="1"/>
  <c r="DZ112" i="1"/>
  <c r="DZ84" i="1"/>
  <c r="DZ12" i="9"/>
  <c r="EA12" i="9" s="1"/>
  <c r="EA9" i="9"/>
  <c r="DZ24" i="9"/>
  <c r="DZ35" i="9"/>
  <c r="DZ36" i="9"/>
  <c r="DZ71" i="2" s="1"/>
  <c r="EA38" i="9"/>
  <c r="EA39" i="9" s="1"/>
  <c r="DZ13" i="2"/>
  <c r="DY41" i="2"/>
  <c r="EA24" i="9" l="1"/>
  <c r="DZ26" i="9"/>
  <c r="DZ61" i="2"/>
  <c r="EA13" i="2"/>
  <c r="EA61" i="2" s="1"/>
  <c r="DZ133" i="1"/>
  <c r="DZ97" i="1"/>
  <c r="DZ17" i="1" s="1"/>
  <c r="DZ100" i="1"/>
  <c r="DZ15" i="1" s="1"/>
  <c r="DZ103" i="1"/>
  <c r="DZ36" i="1" s="1"/>
  <c r="DZ83" i="1"/>
  <c r="DZ34" i="1" s="1"/>
  <c r="EA34" i="1" s="1"/>
  <c r="EA83" i="1" s="1"/>
  <c r="DY37" i="1"/>
  <c r="DZ116" i="1"/>
  <c r="EA112" i="1"/>
  <c r="DZ107" i="1"/>
  <c r="DY64" i="2"/>
  <c r="EA11" i="9"/>
  <c r="EA13" i="9"/>
  <c r="EA30" i="9"/>
  <c r="EA84" i="1"/>
  <c r="EA35" i="9"/>
  <c r="DZ113" i="1"/>
  <c r="DZ37" i="9"/>
  <c r="DZ42" i="9"/>
  <c r="DZ5" i="2"/>
  <c r="EA36" i="9"/>
  <c r="DZ12" i="2" l="1"/>
  <c r="DZ30" i="2" s="1"/>
  <c r="DZ32" i="2"/>
  <c r="EA32" i="2" s="1"/>
  <c r="EA37" i="9"/>
  <c r="EA15" i="1"/>
  <c r="DZ144" i="1"/>
  <c r="DZ142" i="1"/>
  <c r="EA17" i="1"/>
  <c r="DZ157" i="1"/>
  <c r="EA157" i="1" s="1"/>
  <c r="EA133" i="1"/>
  <c r="DZ33" i="9"/>
  <c r="EA107" i="1"/>
  <c r="DZ114" i="1"/>
  <c r="EA116" i="1"/>
  <c r="EA118" i="1" s="1"/>
  <c r="DZ6" i="2"/>
  <c r="EA42" i="9"/>
  <c r="EA43" i="9" s="1"/>
  <c r="DY148" i="1"/>
  <c r="EA113" i="1"/>
  <c r="DZ115" i="1"/>
  <c r="EA26" i="9"/>
  <c r="DZ75" i="1"/>
  <c r="EA36" i="1"/>
  <c r="EA5" i="2"/>
  <c r="EA85" i="1"/>
  <c r="EB28" i="9"/>
  <c r="EB17" i="9"/>
  <c r="EB39" i="9" s="1"/>
  <c r="EF28" i="9"/>
  <c r="EA12" i="2" l="1"/>
  <c r="EA71" i="2" s="1"/>
  <c r="DZ14" i="2"/>
  <c r="EA6" i="2"/>
  <c r="DZ31" i="2"/>
  <c r="EA31" i="2" s="1"/>
  <c r="EA56" i="2"/>
  <c r="DZ56" i="2"/>
  <c r="EB17" i="2"/>
  <c r="EA142" i="1"/>
  <c r="EA97" i="1"/>
  <c r="EA98" i="1" s="1"/>
  <c r="DZ4" i="2"/>
  <c r="DZ13" i="1"/>
  <c r="EA75" i="1"/>
  <c r="EA76" i="1" s="1"/>
  <c r="DZ69" i="1"/>
  <c r="DZ72" i="1" s="1"/>
  <c r="EA103" i="1"/>
  <c r="EA104" i="1" s="1"/>
  <c r="DZ159" i="1"/>
  <c r="DZ28" i="2"/>
  <c r="EA28" i="2" s="1"/>
  <c r="EA30" i="2"/>
  <c r="EB30" i="2"/>
  <c r="EA33" i="9"/>
  <c r="EB40" i="9" s="1"/>
  <c r="EB111" i="1" s="1"/>
  <c r="EA114" i="1"/>
  <c r="DZ108" i="1"/>
  <c r="DZ117" i="1"/>
  <c r="EA115" i="1"/>
  <c r="EA117" i="1" s="1"/>
  <c r="EA144" i="1"/>
  <c r="EA100" i="1"/>
  <c r="EA101" i="1" s="1"/>
  <c r="DZ8" i="2" l="1"/>
  <c r="EA4" i="2"/>
  <c r="EA108" i="1"/>
  <c r="DZ109" i="1"/>
  <c r="EB159" i="1"/>
  <c r="EB28" i="2"/>
  <c r="EA14" i="2"/>
  <c r="EA54" i="2" s="1"/>
  <c r="DZ54" i="2"/>
  <c r="DZ11" i="2"/>
  <c r="EA159" i="1"/>
  <c r="EA13" i="1"/>
  <c r="EA88" i="1" s="1"/>
  <c r="DZ11" i="1"/>
  <c r="DZ88" i="1"/>
  <c r="DZ87" i="1" s="1"/>
  <c r="DZ35" i="1" s="1"/>
  <c r="EA35" i="1" s="1"/>
  <c r="EA87" i="1" s="1"/>
  <c r="EA89" i="1" l="1"/>
  <c r="EA109" i="1"/>
  <c r="EA110" i="1" s="1"/>
  <c r="DZ110" i="1"/>
  <c r="EA11" i="2"/>
  <c r="EA70" i="1" s="1"/>
  <c r="DZ70" i="1"/>
  <c r="EA72" i="2"/>
  <c r="DZ141" i="1"/>
  <c r="EA11" i="1"/>
  <c r="DZ33" i="1"/>
  <c r="EA33" i="1" s="1"/>
  <c r="DZ7" i="2"/>
  <c r="EA8" i="2"/>
  <c r="EA9" i="2" s="1"/>
  <c r="EA7" i="2" l="1"/>
  <c r="DZ10" i="2"/>
  <c r="EA141" i="1"/>
  <c r="EA69" i="1"/>
  <c r="EA72" i="1" s="1"/>
  <c r="EA80" i="1"/>
  <c r="DZ71" i="1"/>
  <c r="DZ80" i="1"/>
  <c r="DZ79" i="1" s="1"/>
  <c r="DZ32" i="1" s="1"/>
  <c r="EA71" i="1" l="1"/>
  <c r="EA32" i="1"/>
  <c r="DZ147" i="1"/>
  <c r="DZ53" i="2"/>
  <c r="DZ55" i="2" s="1"/>
  <c r="DZ21" i="2"/>
  <c r="DZ18" i="2"/>
  <c r="EA10" i="2"/>
  <c r="DZ61" i="1"/>
  <c r="DZ15" i="2"/>
  <c r="DZ70" i="2" l="1"/>
  <c r="DZ57" i="2"/>
  <c r="DZ2" i="2"/>
  <c r="EA15" i="2"/>
  <c r="DZ65" i="1"/>
  <c r="DZ66" i="1"/>
  <c r="DZ10" i="1" s="1"/>
  <c r="EA79" i="1"/>
  <c r="EA81" i="1" s="1"/>
  <c r="EA147" i="1"/>
  <c r="EA61" i="1"/>
  <c r="EA53" i="2"/>
  <c r="EA55" i="2" s="1"/>
  <c r="EA21" i="2"/>
  <c r="EA18" i="2"/>
  <c r="EA2" i="2" l="1"/>
  <c r="EA69" i="2"/>
  <c r="EA65" i="1"/>
  <c r="EA70" i="2"/>
  <c r="EA57" i="2"/>
  <c r="DZ74" i="2"/>
  <c r="DZ58" i="2"/>
  <c r="DZ73" i="2" s="1"/>
  <c r="EA10" i="1"/>
  <c r="DZ8" i="1"/>
  <c r="EA74" i="2" l="1"/>
  <c r="EA58" i="2"/>
  <c r="EA73" i="2" s="1"/>
  <c r="EA66" i="1"/>
  <c r="EA67" i="1" s="1"/>
  <c r="EA8" i="1"/>
  <c r="DZ60" i="1"/>
  <c r="DZ140" i="1"/>
  <c r="DZ20" i="1"/>
  <c r="DZ42" i="1"/>
  <c r="DZ63" i="1" l="1"/>
  <c r="DZ62" i="1"/>
  <c r="EA42" i="1"/>
  <c r="EB45" i="2" s="1"/>
  <c r="DZ150" i="1"/>
  <c r="EB19" i="9"/>
  <c r="EA60" i="1"/>
  <c r="EA140" i="1"/>
  <c r="EA20" i="1"/>
  <c r="DZ19" i="1"/>
  <c r="EA63" i="1" l="1"/>
  <c r="EA91" i="2" s="1"/>
  <c r="EA62" i="1"/>
  <c r="EA150" i="1"/>
  <c r="EA19" i="1"/>
  <c r="EB29" i="9"/>
  <c r="EB21" i="9"/>
  <c r="EB14" i="9"/>
  <c r="DZ8" i="14"/>
  <c r="DZ9" i="14" s="1"/>
  <c r="DZ143" i="1"/>
  <c r="DZ39" i="2"/>
  <c r="DZ91" i="2"/>
  <c r="EB65" i="2" l="1"/>
  <c r="EA8" i="14"/>
  <c r="EA9" i="14" s="1"/>
  <c r="EA143" i="1"/>
  <c r="EB34" i="9"/>
  <c r="EB38" i="9" s="1"/>
  <c r="EB9" i="9"/>
  <c r="EA39" i="2"/>
  <c r="DZ41" i="2"/>
  <c r="EB30" i="9" l="1"/>
  <c r="EB12" i="9"/>
  <c r="EB10" i="9"/>
  <c r="EB112" i="1"/>
  <c r="EB84" i="1"/>
  <c r="EB24" i="9"/>
  <c r="EB35" i="9"/>
  <c r="EA40" i="2"/>
  <c r="EB36" i="9"/>
  <c r="EB71" i="2" s="1"/>
  <c r="EB13" i="2"/>
  <c r="DZ64" i="2"/>
  <c r="EA41" i="2"/>
  <c r="EA64" i="2" s="1"/>
  <c r="DZ37" i="1"/>
  <c r="EA42" i="2" l="1"/>
  <c r="EC28" i="9"/>
  <c r="EB26" i="9"/>
  <c r="EB75" i="1" s="1"/>
  <c r="EC17" i="9"/>
  <c r="EC39" i="9" s="1"/>
  <c r="EB97" i="1"/>
  <c r="EB17" i="1" s="1"/>
  <c r="EB142" i="1" s="1"/>
  <c r="EB100" i="1"/>
  <c r="EB15" i="1" s="1"/>
  <c r="EB144" i="1" s="1"/>
  <c r="EB103" i="1"/>
  <c r="EB36" i="1" s="1"/>
  <c r="EB83" i="1"/>
  <c r="EB34" i="1" s="1"/>
  <c r="EB116" i="1"/>
  <c r="EB107" i="1"/>
  <c r="EB113" i="1"/>
  <c r="EB115" i="1" s="1"/>
  <c r="EB117" i="1" s="1"/>
  <c r="EB37" i="9"/>
  <c r="EB42" i="9"/>
  <c r="EB5" i="2"/>
  <c r="EB61" i="2"/>
  <c r="EB133" i="1"/>
  <c r="EA37" i="1"/>
  <c r="DZ148" i="1"/>
  <c r="EB12" i="2" l="1"/>
  <c r="EB32" i="2"/>
  <c r="EA148" i="1"/>
  <c r="EB33" i="9"/>
  <c r="EC40" i="9" s="1"/>
  <c r="EC111" i="1" s="1"/>
  <c r="EC17" i="2"/>
  <c r="EB6" i="2"/>
  <c r="EB4" i="2" s="1"/>
  <c r="EB114" i="1"/>
  <c r="EB13" i="1"/>
  <c r="EB69" i="1"/>
  <c r="EB72" i="1" s="1"/>
  <c r="EB157" i="1"/>
  <c r="EB8" i="2" l="1"/>
  <c r="EB31" i="2"/>
  <c r="EB56" i="2"/>
  <c r="EB14" i="2"/>
  <c r="EB88" i="1"/>
  <c r="EB87" i="1" s="1"/>
  <c r="EB35" i="1" s="1"/>
  <c r="EB11" i="1"/>
  <c r="EB108" i="1"/>
  <c r="EB109" i="1" l="1"/>
  <c r="EB110" i="1" s="1"/>
  <c r="EB141" i="1"/>
  <c r="EB33" i="1"/>
  <c r="EB7" i="2"/>
  <c r="EB11" i="2"/>
  <c r="EB54" i="2"/>
  <c r="EB10" i="2" l="1"/>
  <c r="EB70" i="1"/>
  <c r="EB71" i="1" l="1"/>
  <c r="EB80" i="1"/>
  <c r="EB79" i="1" s="1"/>
  <c r="EB32" i="1" s="1"/>
  <c r="EB61" i="1"/>
  <c r="EB53" i="2"/>
  <c r="EB55" i="2" s="1"/>
  <c r="EB15" i="2"/>
  <c r="EB21" i="2"/>
  <c r="EB18" i="2"/>
  <c r="EB2" i="2" l="1"/>
  <c r="EB70" i="2"/>
  <c r="EB57" i="2"/>
  <c r="EB147" i="1"/>
  <c r="EB65" i="1"/>
  <c r="EB66" i="1"/>
  <c r="EB10" i="1" s="1"/>
  <c r="EB8" i="1" s="1"/>
  <c r="EB74" i="2" l="1"/>
  <c r="EB58" i="2"/>
  <c r="EB73" i="2" s="1"/>
  <c r="EC19" i="9"/>
  <c r="EB60" i="1"/>
  <c r="EB140" i="1"/>
  <c r="EB42" i="1"/>
  <c r="EC45" i="2" s="1"/>
  <c r="EB20" i="1"/>
  <c r="EB63" i="1" l="1"/>
  <c r="EB62" i="1"/>
  <c r="EB150" i="1"/>
  <c r="EC14" i="9"/>
  <c r="EC21" i="9"/>
  <c r="EC29" i="9"/>
  <c r="EB19" i="1"/>
  <c r="EB8" i="14" l="1"/>
  <c r="EB9" i="14" s="1"/>
  <c r="EB143" i="1"/>
  <c r="EC34" i="9"/>
  <c r="EC38" i="9" s="1"/>
  <c r="EC9" i="9"/>
  <c r="EC65" i="2"/>
  <c r="EB39" i="2"/>
  <c r="EB91" i="2"/>
  <c r="EC30" i="9" l="1"/>
  <c r="EC10" i="9"/>
  <c r="EC112" i="1"/>
  <c r="EC84" i="1"/>
  <c r="EC12" i="9"/>
  <c r="EC24" i="9"/>
  <c r="EC35" i="9"/>
  <c r="EC36" i="9"/>
  <c r="EC71" i="2" s="1"/>
  <c r="EC13" i="2"/>
  <c r="EB41" i="2"/>
  <c r="EB64" i="2" s="1"/>
  <c r="ED28" i="9" l="1"/>
  <c r="EC26" i="9"/>
  <c r="EC75" i="1" s="1"/>
  <c r="ED17" i="9"/>
  <c r="ED39" i="9" s="1"/>
  <c r="EC97" i="1"/>
  <c r="EC17" i="1" s="1"/>
  <c r="EC142" i="1" s="1"/>
  <c r="EC100" i="1"/>
  <c r="EC15" i="1" s="1"/>
  <c r="EC144" i="1" s="1"/>
  <c r="EC103" i="1"/>
  <c r="EC36" i="1" s="1"/>
  <c r="EC83" i="1"/>
  <c r="EC34" i="1" s="1"/>
  <c r="EC116" i="1"/>
  <c r="EC107" i="1"/>
  <c r="EC61" i="2"/>
  <c r="EC133" i="1"/>
  <c r="EB37" i="1"/>
  <c r="EC113" i="1"/>
  <c r="EC115" i="1" s="1"/>
  <c r="EC117" i="1" s="1"/>
  <c r="EC42" i="9"/>
  <c r="EC37" i="9"/>
  <c r="EC5" i="2"/>
  <c r="EC32" i="2" s="1"/>
  <c r="EC33" i="9" l="1"/>
  <c r="ED40" i="9" s="1"/>
  <c r="ED111" i="1" s="1"/>
  <c r="ED17" i="2"/>
  <c r="EC157" i="1"/>
  <c r="EC13" i="1"/>
  <c r="EC69" i="1"/>
  <c r="EC72" i="1" s="1"/>
  <c r="EC6" i="2"/>
  <c r="EC4" i="2" s="1"/>
  <c r="EC12" i="2"/>
  <c r="EB148" i="1"/>
  <c r="EC114" i="1"/>
  <c r="EC8" i="2" l="1"/>
  <c r="EC31" i="2"/>
  <c r="EC56" i="2"/>
  <c r="EC30" i="2"/>
  <c r="EC14" i="2"/>
  <c r="EC11" i="2" s="1"/>
  <c r="EC108" i="1"/>
  <c r="EC11" i="1"/>
  <c r="EC88" i="1"/>
  <c r="EC87" i="1" s="1"/>
  <c r="EC35" i="1" s="1"/>
  <c r="EC109" i="1" l="1"/>
  <c r="EC110" i="1" s="1"/>
  <c r="EC7" i="2"/>
  <c r="EC70" i="1"/>
  <c r="EC141" i="1"/>
  <c r="EC33" i="1"/>
  <c r="EC159" i="1"/>
  <c r="EC28" i="2"/>
  <c r="EC54" i="2"/>
  <c r="EC10" i="2" l="1"/>
  <c r="EC80" i="1"/>
  <c r="EC79" i="1" s="1"/>
  <c r="EC32" i="1" s="1"/>
  <c r="EC71" i="1"/>
  <c r="EC147" i="1" l="1"/>
  <c r="EC61" i="1"/>
  <c r="EC53" i="2"/>
  <c r="EC55" i="2" s="1"/>
  <c r="EC15" i="2"/>
  <c r="EC21" i="2"/>
  <c r="EC18" i="2"/>
  <c r="EC70" i="2" l="1"/>
  <c r="EC57" i="2"/>
  <c r="EC2" i="2"/>
  <c r="EC66" i="1"/>
  <c r="EC10" i="1" s="1"/>
  <c r="EC8" i="1" s="1"/>
  <c r="EC65" i="1"/>
  <c r="ED19" i="9" l="1"/>
  <c r="EC60" i="1"/>
  <c r="EC140" i="1"/>
  <c r="EC20" i="1"/>
  <c r="EC42" i="1"/>
  <c r="ED45" i="2" s="1"/>
  <c r="EC74" i="2"/>
  <c r="EC58" i="2"/>
  <c r="EC73" i="2" s="1"/>
  <c r="EC19" i="1" l="1"/>
  <c r="EC63" i="1"/>
  <c r="EC62" i="1"/>
  <c r="EC150" i="1"/>
  <c r="ED14" i="9"/>
  <c r="ED21" i="9"/>
  <c r="ED29" i="9"/>
  <c r="ED65" i="2" l="1"/>
  <c r="EC39" i="2"/>
  <c r="EC91" i="2"/>
  <c r="ED34" i="9"/>
  <c r="ED38" i="9" s="1"/>
  <c r="ED9" i="9"/>
  <c r="EC8" i="14"/>
  <c r="EC9" i="14" s="1"/>
  <c r="EC143" i="1"/>
  <c r="ED36" i="9" l="1"/>
  <c r="ED71" i="2" s="1"/>
  <c r="ED13" i="2"/>
  <c r="EC41" i="2"/>
  <c r="ED30" i="9"/>
  <c r="ED10" i="9"/>
  <c r="ED112" i="1"/>
  <c r="ED84" i="1"/>
  <c r="ED12" i="9"/>
  <c r="ED24" i="9"/>
  <c r="ED35" i="9"/>
  <c r="EC37" i="1" l="1"/>
  <c r="EC64" i="2"/>
  <c r="ED61" i="2"/>
  <c r="ED133" i="1"/>
  <c r="ED100" i="1"/>
  <c r="ED15" i="1" s="1"/>
  <c r="ED144" i="1" s="1"/>
  <c r="ED103" i="1"/>
  <c r="ED36" i="1" s="1"/>
  <c r="ED83" i="1"/>
  <c r="ED34" i="1" s="1"/>
  <c r="ED97" i="1"/>
  <c r="ED17" i="1" s="1"/>
  <c r="ED142" i="1" s="1"/>
  <c r="ED113" i="1"/>
  <c r="ED115" i="1" s="1"/>
  <c r="ED117" i="1" s="1"/>
  <c r="EE28" i="9"/>
  <c r="ED26" i="9"/>
  <c r="ED75" i="1" s="1"/>
  <c r="EE17" i="9"/>
  <c r="EE39" i="9" s="1"/>
  <c r="ED116" i="1"/>
  <c r="ED107" i="1"/>
  <c r="ED42" i="9"/>
  <c r="ED37" i="9"/>
  <c r="ED5" i="2"/>
  <c r="ED32" i="2" s="1"/>
  <c r="ED13" i="1" l="1"/>
  <c r="ED69" i="1"/>
  <c r="ED72" i="1" s="1"/>
  <c r="ED157" i="1"/>
  <c r="ED33" i="9"/>
  <c r="EE40" i="9" s="1"/>
  <c r="EF40" i="9" s="1"/>
  <c r="EF41" i="9" s="1"/>
  <c r="ED114" i="1"/>
  <c r="EC148" i="1"/>
  <c r="EE17" i="2"/>
  <c r="EF17" i="9"/>
  <c r="ED6" i="2"/>
  <c r="ED12" i="2"/>
  <c r="ED108" i="1" l="1"/>
  <c r="ED30" i="2"/>
  <c r="ED14" i="2"/>
  <c r="ED11" i="2" s="1"/>
  <c r="EF17" i="2"/>
  <c r="ED31" i="2"/>
  <c r="ED56" i="2"/>
  <c r="EF18" i="9"/>
  <c r="ED4" i="2"/>
  <c r="ED11" i="1"/>
  <c r="ED88" i="1"/>
  <c r="ED87" i="1" s="1"/>
  <c r="ED35" i="1" s="1"/>
  <c r="EE111" i="1"/>
  <c r="ED54" i="2" l="1"/>
  <c r="EF111" i="1"/>
  <c r="ED141" i="1"/>
  <c r="ED33" i="1"/>
  <c r="ED70" i="1"/>
  <c r="EF19" i="2"/>
  <c r="ED8" i="2"/>
  <c r="ED159" i="1"/>
  <c r="ED28" i="2"/>
  <c r="ED109" i="1"/>
  <c r="ED110" i="1" s="1"/>
  <c r="ED7" i="2" l="1"/>
  <c r="ED80" i="1"/>
  <c r="ED79" i="1" s="1"/>
  <c r="ED32" i="1" s="1"/>
  <c r="ED71" i="1"/>
  <c r="ED147" i="1" l="1"/>
  <c r="ED10" i="2"/>
  <c r="ED61" i="1" l="1"/>
  <c r="ED53" i="2"/>
  <c r="ED55" i="2" s="1"/>
  <c r="ED21" i="2"/>
  <c r="ED18" i="2"/>
  <c r="ED15" i="2"/>
  <c r="ED2" i="2" l="1"/>
  <c r="ED70" i="2"/>
  <c r="ED57" i="2"/>
  <c r="ED65" i="1"/>
  <c r="ED66" i="1"/>
  <c r="ED10" i="1" s="1"/>
  <c r="ED8" i="1" s="1"/>
  <c r="ED58" i="2" l="1"/>
  <c r="ED73" i="2" s="1"/>
  <c r="ED74" i="2"/>
  <c r="EE19" i="9"/>
  <c r="ED60" i="1"/>
  <c r="ED140" i="1"/>
  <c r="ED20" i="1"/>
  <c r="ED42" i="1"/>
  <c r="EE45" i="2" s="1"/>
  <c r="ED63" i="1" l="1"/>
  <c r="ED62" i="1"/>
  <c r="ED150" i="1"/>
  <c r="ED19" i="1"/>
  <c r="EF19" i="9"/>
  <c r="EE29" i="9"/>
  <c r="EE21" i="9"/>
  <c r="EF21" i="9" s="1"/>
  <c r="EE14" i="9"/>
  <c r="EE34" i="9" l="1"/>
  <c r="EE38" i="9" s="1"/>
  <c r="EE9" i="9"/>
  <c r="EF14" i="9"/>
  <c r="EF34" i="9" s="1"/>
  <c r="ED8" i="14"/>
  <c r="ED9" i="14" s="1"/>
  <c r="ED143" i="1"/>
  <c r="EE65" i="2"/>
  <c r="EF45" i="2"/>
  <c r="EF65" i="2" s="1"/>
  <c r="EF20" i="9"/>
  <c r="EF29" i="9"/>
  <c r="ED39" i="2"/>
  <c r="ED91" i="2"/>
  <c r="EE30" i="9" l="1"/>
  <c r="EE10" i="9"/>
  <c r="EF10" i="9" s="1"/>
  <c r="EE112" i="1"/>
  <c r="EE84" i="1"/>
  <c r="EE12" i="9"/>
  <c r="EF12" i="9" s="1"/>
  <c r="EF9" i="9"/>
  <c r="EE24" i="9"/>
  <c r="EE35" i="9"/>
  <c r="ED41" i="2"/>
  <c r="EE36" i="9"/>
  <c r="EF38" i="9"/>
  <c r="EF39" i="9" s="1"/>
  <c r="EE13" i="2"/>
  <c r="EE26" i="9" l="1"/>
  <c r="EF24" i="9"/>
  <c r="EF30" i="9"/>
  <c r="EF13" i="9"/>
  <c r="EF84" i="1"/>
  <c r="EF35" i="9"/>
  <c r="EE100" i="1"/>
  <c r="EE15" i="1" s="1"/>
  <c r="EE103" i="1"/>
  <c r="EE36" i="1" s="1"/>
  <c r="EE83" i="1"/>
  <c r="EE34" i="1" s="1"/>
  <c r="EF34" i="1" s="1"/>
  <c r="EF83" i="1" s="1"/>
  <c r="EE97" i="1"/>
  <c r="EE17" i="1" s="1"/>
  <c r="EE61" i="2"/>
  <c r="EF13" i="2"/>
  <c r="EF61" i="2" s="1"/>
  <c r="EE133" i="1"/>
  <c r="EE37" i="9"/>
  <c r="EE42" i="9"/>
  <c r="EE5" i="2"/>
  <c r="EE32" i="2" s="1"/>
  <c r="EF36" i="9"/>
  <c r="EE116" i="1"/>
  <c r="EF112" i="1"/>
  <c r="EE107" i="1"/>
  <c r="EF11" i="9"/>
  <c r="EE71" i="2"/>
  <c r="ED37" i="1"/>
  <c r="ED64" i="2"/>
  <c r="ED148" i="1" l="1"/>
  <c r="EF36" i="1"/>
  <c r="EF15" i="1"/>
  <c r="EE144" i="1"/>
  <c r="EE12" i="2"/>
  <c r="EE113" i="1"/>
  <c r="EF5" i="2"/>
  <c r="EE6" i="2"/>
  <c r="EF42" i="9"/>
  <c r="EF43" i="9" s="1"/>
  <c r="EE33" i="9"/>
  <c r="EF107" i="1"/>
  <c r="EF33" i="9" s="1"/>
  <c r="EE114" i="1"/>
  <c r="EF116" i="1"/>
  <c r="EF118" i="1" s="1"/>
  <c r="EE142" i="1"/>
  <c r="EF17" i="1"/>
  <c r="EE157" i="1"/>
  <c r="EF157" i="1" s="1"/>
  <c r="EF133" i="1"/>
  <c r="EF37" i="9"/>
  <c r="EF85" i="1"/>
  <c r="EF26" i="9"/>
  <c r="EE75" i="1"/>
  <c r="EF142" i="1" l="1"/>
  <c r="EF97" i="1"/>
  <c r="EF98" i="1" s="1"/>
  <c r="EF144" i="1"/>
  <c r="EF100" i="1"/>
  <c r="EF101" i="1" s="1"/>
  <c r="EE14" i="2"/>
  <c r="EF14" i="2" s="1"/>
  <c r="EF6" i="2"/>
  <c r="EF103" i="1"/>
  <c r="EF104" i="1" s="1"/>
  <c r="EE13" i="1"/>
  <c r="EF75" i="1"/>
  <c r="EF76" i="1" s="1"/>
  <c r="EE69" i="1"/>
  <c r="EE72" i="1" s="1"/>
  <c r="EF114" i="1"/>
  <c r="EE108" i="1"/>
  <c r="EE4" i="2"/>
  <c r="EE31" i="2"/>
  <c r="EF31" i="2" s="1"/>
  <c r="EE56" i="2"/>
  <c r="EF32" i="2"/>
  <c r="EF56" i="2" s="1"/>
  <c r="EF113" i="1"/>
  <c r="EE115" i="1"/>
  <c r="EF12" i="2"/>
  <c r="EE30" i="2"/>
  <c r="EF72" i="2" l="1"/>
  <c r="EE11" i="2"/>
  <c r="EF11" i="2" s="1"/>
  <c r="EF70" i="1" s="1"/>
  <c r="EE54" i="2"/>
  <c r="EE159" i="1"/>
  <c r="EE28" i="2"/>
  <c r="EF30" i="2"/>
  <c r="EF108" i="1"/>
  <c r="EE109" i="1"/>
  <c r="EF115" i="1"/>
  <c r="EF117" i="1" s="1"/>
  <c r="EE117" i="1"/>
  <c r="EF71" i="2"/>
  <c r="EF54" i="2"/>
  <c r="EE8" i="2"/>
  <c r="EF4" i="2"/>
  <c r="EF13" i="1"/>
  <c r="EF88" i="1" s="1"/>
  <c r="EE11" i="1"/>
  <c r="EE88" i="1"/>
  <c r="EE87" i="1" s="1"/>
  <c r="EE35" i="1" s="1"/>
  <c r="EF35" i="1" s="1"/>
  <c r="EF87" i="1" s="1"/>
  <c r="EE70" i="1" l="1"/>
  <c r="EE80" i="1" s="1"/>
  <c r="EE79" i="1" s="1"/>
  <c r="EE32" i="1" s="1"/>
  <c r="EF89" i="1"/>
  <c r="EF109" i="1"/>
  <c r="EF110" i="1" s="1"/>
  <c r="EE110" i="1"/>
  <c r="EF80" i="1"/>
  <c r="EE7" i="2"/>
  <c r="EF8" i="2"/>
  <c r="EF9" i="2" s="1"/>
  <c r="EF28" i="2"/>
  <c r="EE141" i="1"/>
  <c r="EF11" i="1"/>
  <c r="EE33" i="1"/>
  <c r="EF33" i="1" s="1"/>
  <c r="EF159" i="1"/>
  <c r="EE71" i="1" l="1"/>
  <c r="K34" i="16"/>
  <c r="K35" i="16" s="1"/>
  <c r="EE10" i="2"/>
  <c r="EF7" i="2"/>
  <c r="EF32" i="1"/>
  <c r="EE147" i="1"/>
  <c r="EF141" i="1"/>
  <c r="EF69" i="1"/>
  <c r="EF147" i="1" l="1"/>
  <c r="EF79" i="1"/>
  <c r="EF81" i="1" s="1"/>
  <c r="EF72" i="1"/>
  <c r="EF71" i="1"/>
  <c r="EE53" i="2"/>
  <c r="EE55" i="2" s="1"/>
  <c r="EE21" i="2"/>
  <c r="EE18" i="2"/>
  <c r="EF10" i="2"/>
  <c r="EE61" i="1"/>
  <c r="EE15" i="2"/>
  <c r="EE70" i="2" l="1"/>
  <c r="EE57" i="2"/>
  <c r="EE2" i="2"/>
  <c r="EF15" i="2"/>
  <c r="EE65" i="1"/>
  <c r="EE66" i="1"/>
  <c r="EE10" i="1" s="1"/>
  <c r="EF61" i="1"/>
  <c r="EF53" i="2"/>
  <c r="EF55" i="2" s="1"/>
  <c r="EF21" i="2"/>
  <c r="EF18" i="2"/>
  <c r="EF2" i="2" l="1"/>
  <c r="EF69" i="2"/>
  <c r="EF70" i="2"/>
  <c r="EF57" i="2"/>
  <c r="EE74" i="2"/>
  <c r="EE58" i="2"/>
  <c r="EE73" i="2" s="1"/>
  <c r="EF10" i="1"/>
  <c r="EE8" i="1"/>
  <c r="EF65" i="1"/>
  <c r="EF66" i="1" l="1"/>
  <c r="EF67" i="1" s="1"/>
  <c r="EF8" i="1"/>
  <c r="EF58" i="2"/>
  <c r="EF73" i="2" s="1"/>
  <c r="EF74" i="2"/>
  <c r="EE60" i="1"/>
  <c r="EE140" i="1"/>
  <c r="EE20" i="1"/>
  <c r="EE42" i="1"/>
  <c r="EE63" i="1" l="1"/>
  <c r="EE62" i="1"/>
  <c r="EF140" i="1"/>
  <c r="EF60" i="1"/>
  <c r="EF42" i="1"/>
  <c r="EE150" i="1"/>
  <c r="EF20" i="1"/>
  <c r="EF19" i="1" s="1"/>
  <c r="EE19" i="1"/>
  <c r="EF150" i="1" l="1"/>
  <c r="EF63" i="1"/>
  <c r="EF91" i="2" s="1"/>
  <c r="EF62" i="1"/>
  <c r="EE8" i="14"/>
  <c r="EE9" i="14" s="1"/>
  <c r="EE143" i="1"/>
  <c r="EF8" i="14"/>
  <c r="EF9" i="14" s="1"/>
  <c r="EF143" i="1"/>
  <c r="EE39" i="2"/>
  <c r="EE91" i="2"/>
  <c r="EF39" i="2" l="1"/>
  <c r="EE41" i="2"/>
  <c r="EF41" i="2" l="1"/>
  <c r="EF64" i="2" s="1"/>
  <c r="EE37" i="1"/>
  <c r="EF40" i="2"/>
  <c r="EE64" i="2"/>
  <c r="EF42" i="2" l="1"/>
  <c r="EF37" i="1"/>
  <c r="EE148" i="1"/>
  <c r="EF148" i="1" l="1"/>
  <c r="CY94" i="2" l="1"/>
  <c r="AU64" i="19"/>
  <c r="CY62" i="2" l="1"/>
  <c r="DX9" i="20"/>
  <c r="G34" i="16" l="1"/>
  <c r="G35" i="16" s="1"/>
  <c r="H34" i="16"/>
  <c r="F41" i="16" s="1"/>
  <c r="I34" i="16"/>
  <c r="I35" i="16" s="1"/>
  <c r="J34" i="16"/>
  <c r="J35" i="16" s="1"/>
  <c r="K36" i="16" l="1"/>
  <c r="E34" i="16"/>
  <c r="L37" i="16" s="1"/>
  <c r="H35" i="16"/>
  <c r="L35" i="16" s="1"/>
  <c r="CY16" i="2" l="1"/>
  <c r="CY36" i="2" s="1"/>
  <c r="AU66" i="19" s="1"/>
  <c r="CY60" i="2"/>
  <c r="CY59" i="2" s="1"/>
  <c r="AU51" i="19"/>
  <c r="AU52" i="19"/>
  <c r="DX16" i="20"/>
  <c r="DX53" i="20"/>
  <c r="AU45" i="19" l="1"/>
  <c r="CY38" i="2"/>
  <c r="AU68" i="19" l="1"/>
  <c r="CY44" i="2"/>
  <c r="CY63" i="2"/>
  <c r="AU74" i="19" l="1"/>
  <c r="CY48" i="2"/>
  <c r="CY46" i="2"/>
  <c r="AU76" i="19" s="1"/>
  <c r="CY47" i="2"/>
  <c r="DX340" i="20" l="1"/>
  <c r="CY4" i="14"/>
  <c r="AU77" i="19"/>
  <c r="CY161" i="1"/>
  <c r="CY66" i="2"/>
  <c r="CY75" i="2" s="1"/>
  <c r="CY50" i="2"/>
  <c r="CY40" i="1" l="1"/>
  <c r="CY67" i="2"/>
  <c r="CY80" i="2" s="1"/>
  <c r="CY79" i="2"/>
  <c r="CY149" i="1" l="1"/>
  <c r="CY145" i="1" s="1"/>
  <c r="CY27" i="1"/>
  <c r="CY26" i="1" s="1"/>
  <c r="CY6" i="14"/>
  <c r="DX163" i="20"/>
  <c r="CY95" i="2"/>
  <c r="AU83" i="19"/>
  <c r="CY11" i="14"/>
  <c r="CY12" i="14" s="1"/>
  <c r="CY57" i="1"/>
  <c r="CY120" i="1"/>
  <c r="CY121" i="1"/>
  <c r="DX173" i="20"/>
  <c r="CY52" i="1"/>
  <c r="DX368" i="20" l="1"/>
  <c r="DX310" i="20"/>
  <c r="CY7" i="14"/>
  <c r="CY13" i="14" s="1"/>
  <c r="DY163" i="20"/>
  <c r="CZ6" i="14"/>
  <c r="CY15" i="14" l="1"/>
  <c r="CY18" i="14"/>
  <c r="CY17" i="14"/>
  <c r="CY4" i="11" s="1"/>
  <c r="CY6" i="11" s="1"/>
  <c r="CY16" i="14"/>
  <c r="DX582" i="20" s="1"/>
  <c r="DY368" i="20"/>
  <c r="DY310" i="20"/>
  <c r="DB40" i="1"/>
  <c r="DZ163" i="20"/>
  <c r="DA6" i="14"/>
  <c r="CY24" i="2"/>
  <c r="AU53" i="19" s="1"/>
  <c r="CY5" i="1"/>
  <c r="CY4" i="1" s="1"/>
  <c r="CY48" i="1" s="1"/>
  <c r="CY139" i="1"/>
  <c r="CY138" i="1" s="1"/>
  <c r="CY151" i="1" s="1"/>
  <c r="CZ14" i="14"/>
  <c r="DX144" i="20"/>
  <c r="CY51" i="1"/>
  <c r="CY53" i="1" s="1"/>
  <c r="CZ49" i="1" s="1"/>
  <c r="CY49" i="1" l="1"/>
  <c r="DX583" i="20"/>
  <c r="DZ368" i="20"/>
  <c r="DZ310" i="20"/>
  <c r="EA163" i="20"/>
  <c r="DB6" i="14"/>
  <c r="CY54" i="1"/>
  <c r="CY56" i="1"/>
  <c r="DX410" i="20"/>
  <c r="DX581" i="20"/>
  <c r="CY55" i="1"/>
  <c r="CY122" i="1"/>
  <c r="CY152" i="1"/>
  <c r="DX592" i="20"/>
  <c r="CY165" i="1"/>
  <c r="CY154" i="1"/>
  <c r="CY155" i="1" s="1"/>
  <c r="EA310" i="20" l="1"/>
  <c r="EA368" i="20"/>
  <c r="DC6" i="14"/>
  <c r="DD6" i="14" l="1"/>
  <c r="DE6" i="14" l="1"/>
  <c r="DG40" i="1" l="1"/>
  <c r="DF6" i="14"/>
  <c r="DG6" i="14" l="1"/>
  <c r="DH6" i="14" l="1"/>
  <c r="DI149" i="1" l="1"/>
  <c r="DI145" i="1" s="1"/>
  <c r="DJ40" i="1"/>
  <c r="DI27" i="1"/>
  <c r="DI6" i="14"/>
  <c r="DK40" i="1" l="1"/>
  <c r="DJ149" i="1"/>
  <c r="DJ145" i="1" s="1"/>
  <c r="DJ27" i="1"/>
  <c r="DJ6" i="14"/>
  <c r="DL40" i="1" l="1"/>
  <c r="DK6" i="14"/>
  <c r="DM40" i="1" l="1"/>
  <c r="DL6" i="14"/>
  <c r="DN40" i="1" l="1"/>
  <c r="DM6" i="14"/>
  <c r="DN149" i="1" l="1"/>
  <c r="DN145" i="1" s="1"/>
  <c r="DO40" i="1"/>
  <c r="DN27" i="1"/>
  <c r="DN6" i="14"/>
  <c r="DP40" i="1" l="1"/>
  <c r="DO149" i="1"/>
  <c r="DO145" i="1" s="1"/>
  <c r="DO27" i="1"/>
  <c r="DO6" i="14"/>
  <c r="DQ40" i="1" l="1"/>
  <c r="DP6" i="14"/>
  <c r="DR40" i="1" l="1"/>
  <c r="DQ6" i="14"/>
  <c r="DS40" i="1" l="1"/>
  <c r="DR6" i="14"/>
  <c r="DS149" i="1" l="1"/>
  <c r="DS145" i="1" s="1"/>
  <c r="DT40" i="1"/>
  <c r="DS27" i="1"/>
  <c r="DS6" i="14"/>
  <c r="DT149" i="1" l="1"/>
  <c r="DT145" i="1" s="1"/>
  <c r="DU40" i="1"/>
  <c r="DT27" i="1"/>
  <c r="DT6" i="14"/>
  <c r="DV40" i="1" l="1"/>
  <c r="DU6" i="14"/>
  <c r="DW40" i="1" l="1"/>
  <c r="DV6" i="14"/>
  <c r="DX40" i="1" l="1"/>
  <c r="DW6" i="14"/>
  <c r="DX149" i="1" l="1"/>
  <c r="DX145" i="1" s="1"/>
  <c r="DY40" i="1"/>
  <c r="DX27" i="1"/>
  <c r="DX6" i="14"/>
  <c r="DZ40" i="1" l="1"/>
  <c r="DY149" i="1"/>
  <c r="DY145" i="1" s="1"/>
  <c r="DY27" i="1"/>
  <c r="DY6" i="14"/>
  <c r="EA40" i="1" l="1"/>
  <c r="DZ6" i="14"/>
  <c r="EB40" i="1" l="1"/>
  <c r="EA6" i="14"/>
  <c r="EC40" i="1" l="1"/>
  <c r="EB6" i="14"/>
  <c r="EC149" i="1" l="1"/>
  <c r="EC145" i="1" s="1"/>
  <c r="ED40" i="1"/>
  <c r="EC27" i="1"/>
  <c r="EC6" i="14"/>
  <c r="EE40" i="1" l="1"/>
  <c r="ED149" i="1"/>
  <c r="ED145" i="1" s="1"/>
  <c r="ED27" i="1"/>
  <c r="ED6" i="14"/>
  <c r="EF40" i="1" l="1"/>
  <c r="EE6" i="14"/>
  <c r="EF6" i="14" l="1"/>
  <c r="CY184" i="1" l="1"/>
  <c r="DB35" i="2"/>
  <c r="DB62" i="2" s="1"/>
  <c r="DA94" i="2"/>
  <c r="AV64" i="19"/>
  <c r="AW64" i="19"/>
  <c r="AY64" i="19"/>
  <c r="AZ64" i="19"/>
  <c r="DY9" i="20"/>
  <c r="DZ9" i="20"/>
  <c r="DB94" i="2" l="1"/>
  <c r="DB95" i="2" s="1"/>
  <c r="DB96" i="2" s="1"/>
  <c r="AX64" i="19"/>
  <c r="EA9" i="20"/>
  <c r="DB49" i="2" l="1"/>
  <c r="DZ167" i="20" s="1"/>
  <c r="DZ112" i="20"/>
  <c r="DZ26" i="20"/>
  <c r="EA26" i="20" l="1"/>
  <c r="DB81" i="2"/>
  <c r="DB38" i="1"/>
  <c r="DA149" i="1"/>
  <c r="DA145" i="1" s="1"/>
  <c r="DB32" i="11" l="1"/>
  <c r="EA112" i="20"/>
  <c r="DC149" i="1"/>
  <c r="DC145" i="1" s="1"/>
  <c r="DB27" i="1"/>
  <c r="DB149" i="1"/>
  <c r="DB145" i="1" s="1"/>
  <c r="EA167" i="20"/>
  <c r="CZ4" i="14" l="1"/>
  <c r="CZ7" i="14" s="1"/>
  <c r="AV45" i="19"/>
  <c r="AV51" i="19"/>
  <c r="AV52" i="19"/>
  <c r="AV66" i="19"/>
  <c r="AV68" i="19"/>
  <c r="AV74" i="19"/>
  <c r="AV76" i="19"/>
  <c r="AV77" i="19"/>
  <c r="DY16" i="20"/>
  <c r="DY53" i="20"/>
  <c r="DY340" i="20"/>
  <c r="DY173" i="20" l="1"/>
  <c r="AV83" i="19"/>
  <c r="CZ11" i="14"/>
  <c r="CZ12" i="14" s="1"/>
  <c r="CZ13" i="14" s="1"/>
  <c r="CZ17" i="14" l="1"/>
  <c r="CZ18" i="14"/>
  <c r="CZ16" i="14"/>
  <c r="DY582" i="20" s="1"/>
  <c r="CZ15" i="14"/>
  <c r="CZ24" i="2" s="1"/>
  <c r="AV53" i="19" l="1"/>
  <c r="DA14" i="14"/>
  <c r="DY144" i="20"/>
  <c r="CZ4" i="11"/>
  <c r="CZ6" i="11" s="1"/>
  <c r="DY583" i="20"/>
  <c r="DY592" i="20" l="1"/>
  <c r="DY410" i="20"/>
  <c r="DY581" i="20"/>
  <c r="DB47" i="1" l="1"/>
  <c r="DA161" i="1"/>
  <c r="DB161" i="1" s="1"/>
  <c r="DA4" i="14"/>
  <c r="DA7" i="14" s="1"/>
  <c r="DB16" i="2"/>
  <c r="AX45" i="19" s="1"/>
  <c r="DB22" i="2"/>
  <c r="EA16" i="20" s="1"/>
  <c r="DB23" i="2"/>
  <c r="DB60" i="2" s="1"/>
  <c r="DB59" i="2" s="1"/>
  <c r="DB36" i="2"/>
  <c r="AX66" i="19" s="1"/>
  <c r="DB38" i="2"/>
  <c r="DB63" i="2" s="1"/>
  <c r="DB44" i="2"/>
  <c r="AX74" i="19" s="1"/>
  <c r="DB47" i="2"/>
  <c r="DC81" i="2" s="1"/>
  <c r="DA95" i="2"/>
  <c r="AW45" i="19"/>
  <c r="AW51" i="19"/>
  <c r="AW52" i="19"/>
  <c r="AW66" i="19"/>
  <c r="AW68" i="19"/>
  <c r="AW74" i="19"/>
  <c r="AW76" i="19"/>
  <c r="AW77" i="19"/>
  <c r="AW83" i="19"/>
  <c r="DZ16" i="20"/>
  <c r="DZ53" i="20"/>
  <c r="DZ340" i="20"/>
  <c r="AX51" i="19" l="1"/>
  <c r="EA53" i="20"/>
  <c r="AX68" i="19"/>
  <c r="DB46" i="2"/>
  <c r="AX76" i="19" s="1"/>
  <c r="DZ173" i="20"/>
  <c r="DB66" i="2"/>
  <c r="DB75" i="2" s="1"/>
  <c r="DB51" i="2"/>
  <c r="EA340" i="20"/>
  <c r="AX77" i="19"/>
  <c r="DB50" i="2"/>
  <c r="DG49" i="2"/>
  <c r="AX52" i="19"/>
  <c r="DB4" i="14"/>
  <c r="DB7" i="14" s="1"/>
  <c r="DB43" i="1"/>
  <c r="DB67" i="2" l="1"/>
  <c r="DB80" i="2" s="1"/>
  <c r="DB97" i="2" s="1"/>
  <c r="DA11" i="14"/>
  <c r="DA12" i="14" s="1"/>
  <c r="DA13" i="14" s="1"/>
  <c r="DB76" i="2"/>
  <c r="D19" i="11" s="1"/>
  <c r="DG81" i="2"/>
  <c r="DG32" i="11" s="1"/>
  <c r="DB26" i="1"/>
  <c r="DB52" i="1"/>
  <c r="DB120" i="1"/>
  <c r="DB57" i="1"/>
  <c r="DB121" i="1"/>
  <c r="DB11" i="14"/>
  <c r="DB12" i="14" s="1"/>
  <c r="DB13" i="14" s="1"/>
  <c r="EA173" i="20"/>
  <c r="DB30" i="11" l="1"/>
  <c r="DB31" i="11"/>
  <c r="DA17" i="14"/>
  <c r="DA18" i="14"/>
  <c r="DA16" i="14"/>
  <c r="DZ582" i="20" s="1"/>
  <c r="DA15" i="14"/>
  <c r="DB16" i="14"/>
  <c r="EA582" i="20" s="1"/>
  <c r="DB17" i="14"/>
  <c r="DB18" i="14"/>
  <c r="DF149" i="1"/>
  <c r="DF145" i="1" s="1"/>
  <c r="DG38" i="1"/>
  <c r="DB24" i="2" l="1"/>
  <c r="AX53" i="19" s="1"/>
  <c r="DZ144" i="20"/>
  <c r="DA24" i="2"/>
  <c r="AW53" i="19" s="1"/>
  <c r="DA139" i="1"/>
  <c r="DA138" i="1" s="1"/>
  <c r="DA151" i="1" s="1"/>
  <c r="DB6" i="1"/>
  <c r="DA4" i="11"/>
  <c r="DA6" i="11" s="1"/>
  <c r="DB6" i="11" s="1"/>
  <c r="DZ583" i="20"/>
  <c r="DG27" i="1"/>
  <c r="DG149" i="1"/>
  <c r="DG145" i="1" s="1"/>
  <c r="DB4" i="11"/>
  <c r="EA583" i="20"/>
  <c r="DH149" i="1"/>
  <c r="DH145" i="1" s="1"/>
  <c r="DB5" i="11" l="1"/>
  <c r="DZ581" i="20"/>
  <c r="DZ410" i="20"/>
  <c r="DB123" i="1"/>
  <c r="DB51" i="1"/>
  <c r="DB53" i="1" s="1"/>
  <c r="DB5" i="1"/>
  <c r="DB4" i="1" s="1"/>
  <c r="DB48" i="1" s="1"/>
  <c r="DG14" i="14"/>
  <c r="DB139" i="1"/>
  <c r="DB138" i="1" s="1"/>
  <c r="DB151" i="1" s="1"/>
  <c r="DC14" i="14"/>
  <c r="DB15" i="14"/>
  <c r="EA144" i="20"/>
  <c r="DA165" i="1"/>
  <c r="DA152" i="1"/>
  <c r="DA184" i="1"/>
  <c r="DB98" i="2" s="1"/>
  <c r="DB163" i="1"/>
  <c r="DA154" i="1"/>
  <c r="DA155" i="1" s="1"/>
  <c r="DZ592" i="20"/>
  <c r="DB154" i="1" l="1"/>
  <c r="DB184" i="1"/>
  <c r="DB165" i="1"/>
  <c r="EA592" i="20"/>
  <c r="DB152" i="1"/>
  <c r="DB122" i="1"/>
  <c r="DB49" i="1"/>
  <c r="DB54" i="1"/>
  <c r="DB56" i="1"/>
  <c r="DB55" i="1"/>
  <c r="EA410" i="20"/>
  <c r="EA581" i="20"/>
  <c r="DC161" i="1"/>
  <c r="DC4" i="14"/>
  <c r="DC7" i="14" s="1"/>
  <c r="DC48" i="2"/>
  <c r="DC50" i="2"/>
  <c r="AY45" i="19"/>
  <c r="AY51" i="19"/>
  <c r="AY52" i="19"/>
  <c r="AY66" i="19"/>
  <c r="AY68" i="19"/>
  <c r="AY74" i="19"/>
  <c r="AY76" i="19"/>
  <c r="AY77" i="19"/>
  <c r="DC57" i="1" l="1"/>
  <c r="DC120" i="1"/>
  <c r="DC121" i="1"/>
  <c r="DC52" i="1"/>
  <c r="DC11" i="14"/>
  <c r="DC12" i="14" s="1"/>
  <c r="DC13" i="14" s="1"/>
  <c r="AY83" i="19" l="1"/>
  <c r="DC17" i="14"/>
  <c r="DC4" i="11" s="1"/>
  <c r="DC6" i="11" s="1"/>
  <c r="DC16" i="14"/>
  <c r="DC18" i="14"/>
  <c r="DC15" i="14"/>
  <c r="DC24" i="2" s="1"/>
  <c r="AY53" i="19" s="1"/>
  <c r="DC48" i="1"/>
  <c r="DC51" i="1" l="1"/>
  <c r="DC53" i="1" s="1"/>
  <c r="DD49" i="1" s="1"/>
  <c r="DC139" i="1"/>
  <c r="DC138" i="1" s="1"/>
  <c r="DC151" i="1" s="1"/>
  <c r="DC154" i="1" s="1"/>
  <c r="DD14" i="14"/>
  <c r="DC122" i="1" l="1"/>
  <c r="DC56" i="1"/>
  <c r="DC55" i="1"/>
  <c r="DC184" i="1"/>
  <c r="DC54" i="1"/>
  <c r="DC49" i="1"/>
  <c r="DC152" i="1"/>
  <c r="DC165" i="1"/>
  <c r="BT87" i="2" l="1"/>
  <c r="BU87" i="2"/>
  <c r="BV87" i="2"/>
  <c r="BX87" i="2"/>
  <c r="CD87" i="2"/>
  <c r="CE87" i="2"/>
  <c r="CF87" i="2"/>
  <c r="CH87" i="2"/>
  <c r="CS87" i="2"/>
  <c r="CT87" i="2"/>
  <c r="CU87" i="2"/>
  <c r="CV87" i="2"/>
  <c r="CW87" i="2"/>
  <c r="DD4" i="14"/>
  <c r="DD7" i="14" s="1"/>
  <c r="DD48" i="2"/>
  <c r="DD50" i="2"/>
  <c r="AZ45" i="19"/>
  <c r="AZ51" i="19"/>
  <c r="AZ52" i="19"/>
  <c r="AZ66" i="19"/>
  <c r="AZ68" i="19"/>
  <c r="AZ74" i="19"/>
  <c r="AZ76" i="19"/>
  <c r="AZ77" i="19"/>
  <c r="DD11" i="14" l="1"/>
  <c r="DD12" i="14" s="1"/>
  <c r="DD13" i="14" s="1"/>
  <c r="DD15" i="14" s="1"/>
  <c r="DD17" i="14" l="1"/>
  <c r="DD4" i="11" s="1"/>
  <c r="DD6" i="11" s="1"/>
  <c r="DD18" i="14"/>
  <c r="DD16" i="14"/>
  <c r="AZ83" i="19"/>
  <c r="DD24" i="2"/>
  <c r="AZ53" i="19" s="1"/>
  <c r="DD48" i="1"/>
  <c r="DE14" i="14"/>
  <c r="DD184" i="1" l="1"/>
  <c r="DK81" i="2" l="1"/>
  <c r="DP81" i="2"/>
  <c r="DU81" i="2"/>
  <c r="DZ81" i="2"/>
  <c r="EE81" i="2"/>
  <c r="BA64" i="19" l="1"/>
  <c r="DE4" i="14" l="1"/>
  <c r="DE7" i="14" s="1"/>
  <c r="DE48" i="2"/>
  <c r="DE50" i="2"/>
  <c r="BA45" i="19"/>
  <c r="BA51" i="19"/>
  <c r="BA52" i="19"/>
  <c r="BA66" i="19"/>
  <c r="BA68" i="19"/>
  <c r="BA74" i="19"/>
  <c r="BA76" i="19"/>
  <c r="BA77" i="19"/>
  <c r="DE11" i="14" l="1"/>
  <c r="DE12" i="14" s="1"/>
  <c r="DE13" i="14" s="1"/>
  <c r="DE15" i="14" s="1"/>
  <c r="BA83" i="19"/>
  <c r="DE16" i="14" l="1"/>
  <c r="DE165" i="1"/>
  <c r="DE24" i="2"/>
  <c r="BA53" i="19" s="1"/>
  <c r="DE5" i="1"/>
  <c r="DE4" i="1" s="1"/>
  <c r="DE48" i="1" s="1"/>
  <c r="DF14" i="14"/>
  <c r="DE18" i="14"/>
  <c r="DE17" i="14"/>
  <c r="DE4" i="11" s="1"/>
  <c r="DE6" i="11" s="1"/>
  <c r="DE184" i="1" l="1"/>
  <c r="DG35" i="2" l="1"/>
  <c r="DG62" i="2" s="1"/>
  <c r="DF94" i="2" l="1"/>
  <c r="BB64" i="19"/>
  <c r="DG94" i="2"/>
  <c r="BC64" i="19"/>
  <c r="DF161" i="1" l="1"/>
  <c r="DG161" i="1" s="1"/>
  <c r="DF4" i="14"/>
  <c r="DG16" i="2"/>
  <c r="BC45" i="19" s="1"/>
  <c r="DG22" i="2"/>
  <c r="BC51" i="19" s="1"/>
  <c r="DG23" i="2"/>
  <c r="BC52" i="19" s="1"/>
  <c r="DG36" i="2"/>
  <c r="BC66" i="19" s="1"/>
  <c r="DG38" i="2"/>
  <c r="DG63" i="2" s="1"/>
  <c r="DG44" i="2"/>
  <c r="DG46" i="2" s="1"/>
  <c r="BC76" i="19" s="1"/>
  <c r="DG47" i="2"/>
  <c r="DG66" i="2" s="1"/>
  <c r="DF48" i="2"/>
  <c r="DF50" i="2"/>
  <c r="BB45" i="19"/>
  <c r="BB51" i="19"/>
  <c r="BB52" i="19"/>
  <c r="BB66" i="19"/>
  <c r="BB68" i="19"/>
  <c r="BB74" i="19"/>
  <c r="BB76" i="19"/>
  <c r="BB77" i="19"/>
  <c r="BC68" i="19" l="1"/>
  <c r="DG47" i="1"/>
  <c r="DG43" i="1" s="1"/>
  <c r="DL49" i="2"/>
  <c r="DL81" i="2" s="1"/>
  <c r="DL32" i="11" s="1"/>
  <c r="BC74" i="19"/>
  <c r="E11" i="21"/>
  <c r="E13" i="21" s="1"/>
  <c r="E27" i="21" s="1"/>
  <c r="DG60" i="2"/>
  <c r="DG59" i="2" s="1"/>
  <c r="DF95" i="2"/>
  <c r="BC77" i="19"/>
  <c r="DF121" i="1"/>
  <c r="DF120" i="1"/>
  <c r="DG76" i="2"/>
  <c r="DG75" i="2"/>
  <c r="DF11" i="14"/>
  <c r="DF12" i="14" s="1"/>
  <c r="DF7" i="14"/>
  <c r="DG79" i="2"/>
  <c r="DG67" i="2"/>
  <c r="DG80" i="2" s="1"/>
  <c r="DG51" i="2"/>
  <c r="DG50" i="2"/>
  <c r="DK27" i="1"/>
  <c r="DL38" i="1"/>
  <c r="DM38" i="1"/>
  <c r="DK149" i="1"/>
  <c r="DK145" i="1" s="1"/>
  <c r="DI81" i="2"/>
  <c r="C10" i="16" s="1"/>
  <c r="C26" i="16" s="1"/>
  <c r="DG52" i="1"/>
  <c r="DG4" i="14"/>
  <c r="DG7" i="14" s="1"/>
  <c r="DG26" i="1" l="1"/>
  <c r="DG57" i="1"/>
  <c r="DG31" i="11" s="1"/>
  <c r="DG120" i="1"/>
  <c r="DG121" i="1"/>
  <c r="BB83" i="19"/>
  <c r="DF13" i="14"/>
  <c r="DF16" i="14" s="1"/>
  <c r="DG30" i="11"/>
  <c r="DG97" i="2"/>
  <c r="DM27" i="1"/>
  <c r="DM149" i="1"/>
  <c r="DM145" i="1" s="1"/>
  <c r="DL27" i="1"/>
  <c r="DL149" i="1"/>
  <c r="DL145" i="1" s="1"/>
  <c r="DG11" i="14"/>
  <c r="DG12" i="14" s="1"/>
  <c r="DG13" i="14" s="1"/>
  <c r="DG82" i="2"/>
  <c r="DG95" i="2"/>
  <c r="BC83" i="19"/>
  <c r="DF17" i="14" l="1"/>
  <c r="DF4" i="11" s="1"/>
  <c r="DF6" i="11" s="1"/>
  <c r="DG6" i="11" s="1"/>
  <c r="DF18" i="14"/>
  <c r="DF15" i="14"/>
  <c r="DG18" i="14"/>
  <c r="DG17" i="14"/>
  <c r="DG4" i="11" s="1"/>
  <c r="DG16" i="14"/>
  <c r="DG96" i="2"/>
  <c r="DF24" i="2"/>
  <c r="BB53" i="19" s="1"/>
  <c r="DF48" i="1"/>
  <c r="DG6" i="1"/>
  <c r="DF139" i="1"/>
  <c r="DF138" i="1" s="1"/>
  <c r="DF151" i="1" s="1"/>
  <c r="DG24" i="2"/>
  <c r="BC53" i="19" s="1"/>
  <c r="DG5" i="11" l="1"/>
  <c r="DF184" i="1"/>
  <c r="DG98" i="2" s="1"/>
  <c r="DF154" i="1"/>
  <c r="DF152" i="1"/>
  <c r="DF165" i="1"/>
  <c r="DG163" i="1"/>
  <c r="DF122" i="1"/>
  <c r="DG123" i="1" s="1"/>
  <c r="DG51" i="1"/>
  <c r="DG53" i="1" s="1"/>
  <c r="DG5" i="1"/>
  <c r="DG4" i="1" s="1"/>
  <c r="DG48" i="1" s="1"/>
  <c r="DG15" i="14"/>
  <c r="DH14" i="14"/>
  <c r="DL14" i="14"/>
  <c r="DG139" i="1"/>
  <c r="DG138" i="1" s="1"/>
  <c r="DG151" i="1" s="1"/>
  <c r="DG49" i="1" l="1"/>
  <c r="DG54" i="1"/>
  <c r="DG56" i="1"/>
  <c r="DG55" i="1"/>
  <c r="DG122" i="1"/>
  <c r="DG184" i="1"/>
  <c r="DG154" i="1"/>
  <c r="DG152" i="1"/>
  <c r="DG165" i="1"/>
  <c r="DH161" i="1"/>
  <c r="DH4" i="14"/>
  <c r="DH7" i="14"/>
  <c r="DK62" i="2"/>
  <c r="DM94" i="2"/>
  <c r="DN62" i="2"/>
  <c r="DO62" i="2"/>
  <c r="DP62" i="2"/>
  <c r="DS94" i="2"/>
  <c r="DT94" i="2"/>
  <c r="DV35" i="2"/>
  <c r="DW94" i="2"/>
  <c r="DY62" i="2"/>
  <c r="DZ94" i="2"/>
  <c r="EB62" i="2"/>
  <c r="EC62" i="2"/>
  <c r="ED62" i="2"/>
  <c r="EE94" i="2"/>
  <c r="DH50" i="2"/>
  <c r="DR62" i="2"/>
  <c r="DS62" i="2"/>
  <c r="DO94" i="2"/>
  <c r="DP94" i="2"/>
  <c r="DR94" i="2"/>
  <c r="EC94" i="2"/>
  <c r="BD45" i="19"/>
  <c r="BD51" i="19"/>
  <c r="BD52" i="19"/>
  <c r="BD64" i="19"/>
  <c r="BK64" i="19"/>
  <c r="BL64" i="19"/>
  <c r="BD66" i="19"/>
  <c r="BD68" i="19"/>
  <c r="BD74" i="19"/>
  <c r="BD76" i="19"/>
  <c r="BD77" i="19"/>
  <c r="ED94" i="2" l="1"/>
  <c r="DY94" i="2"/>
  <c r="DN94" i="2"/>
  <c r="BJ64" i="19"/>
  <c r="BE64" i="19"/>
  <c r="DT62" i="2"/>
  <c r="EE62" i="2"/>
  <c r="BI64" i="19"/>
  <c r="DV94" i="2"/>
  <c r="DV62" i="2"/>
  <c r="DZ62" i="2"/>
  <c r="DU62" i="2"/>
  <c r="DU94" i="2"/>
  <c r="DL35" i="2"/>
  <c r="DL94" i="2" s="1"/>
  <c r="BG64" i="19"/>
  <c r="DK94" i="2"/>
  <c r="DI94" i="2"/>
  <c r="BD83" i="19"/>
  <c r="EF35" i="2"/>
  <c r="EB94" i="2"/>
  <c r="DX62" i="2"/>
  <c r="DX94" i="2"/>
  <c r="DW62" i="2"/>
  <c r="EA35" i="2"/>
  <c r="DH120" i="1"/>
  <c r="DH57" i="1"/>
  <c r="DH121" i="1"/>
  <c r="DH11" i="14"/>
  <c r="DH12" i="14" s="1"/>
  <c r="DH13" i="14" s="1"/>
  <c r="DH52" i="1"/>
  <c r="DJ62" i="2"/>
  <c r="DJ94" i="2"/>
  <c r="BF64" i="19"/>
  <c r="DQ35" i="2"/>
  <c r="DM62" i="2"/>
  <c r="DL62" i="2" l="1"/>
  <c r="BH64" i="19"/>
  <c r="DH15" i="14"/>
  <c r="DH18" i="14"/>
  <c r="DH17" i="14"/>
  <c r="DH4" i="11" s="1"/>
  <c r="DH6" i="11" s="1"/>
  <c r="DH16" i="14"/>
  <c r="EA62" i="2"/>
  <c r="EA94" i="2"/>
  <c r="BM64" i="19"/>
  <c r="DQ62" i="2"/>
  <c r="DQ94" i="2"/>
  <c r="EF62" i="2"/>
  <c r="EF94" i="2"/>
  <c r="DH24" i="2" l="1"/>
  <c r="BD53" i="19" s="1"/>
  <c r="DH139" i="1"/>
  <c r="DH138" i="1" s="1"/>
  <c r="DH151" i="1" s="1"/>
  <c r="DH51" i="1"/>
  <c r="DH53" i="1" s="1"/>
  <c r="DH4" i="1"/>
  <c r="DH48" i="1" s="1"/>
  <c r="DI14" i="14"/>
  <c r="DH154" i="1" l="1"/>
  <c r="DH152" i="1"/>
  <c r="DH165" i="1"/>
  <c r="DH184" i="1"/>
  <c r="DH49" i="1"/>
  <c r="DH55" i="1"/>
  <c r="DH56" i="1"/>
  <c r="DH54" i="1"/>
  <c r="DH122" i="1"/>
  <c r="DM81" i="2"/>
  <c r="DI161" i="1" l="1"/>
  <c r="DI4" i="14"/>
  <c r="DI7" i="14" s="1"/>
  <c r="DI50" i="2"/>
  <c r="BE45" i="19"/>
  <c r="BE51" i="19"/>
  <c r="BE52" i="19"/>
  <c r="BE66" i="19"/>
  <c r="BE68" i="19"/>
  <c r="BE74" i="19"/>
  <c r="BE76" i="19"/>
  <c r="BE77" i="19"/>
  <c r="DI79" i="2" l="1"/>
  <c r="DI95" i="2" s="1"/>
  <c r="DI80" i="2"/>
  <c r="DI11" i="14"/>
  <c r="DI12" i="14" s="1"/>
  <c r="DI13" i="14" s="1"/>
  <c r="DI121" i="1"/>
  <c r="DI26" i="1"/>
  <c r="DI120" i="1"/>
  <c r="DI52" i="1"/>
  <c r="DI57" i="1"/>
  <c r="BE83" i="19" l="1"/>
  <c r="DI18" i="14"/>
  <c r="DI17" i="14"/>
  <c r="DI4" i="11" s="1"/>
  <c r="DI6" i="11" s="1"/>
  <c r="DI15" i="14"/>
  <c r="DI51" i="1" s="1"/>
  <c r="DI53" i="1" s="1"/>
  <c r="DI16" i="14"/>
  <c r="DI24" i="2" l="1"/>
  <c r="BE53" i="19" s="1"/>
  <c r="DI139" i="1"/>
  <c r="DI138" i="1" s="1"/>
  <c r="DI151" i="1" s="1"/>
  <c r="DI165" i="1" s="1"/>
  <c r="DJ14" i="14"/>
  <c r="DI5" i="1"/>
  <c r="DI4" i="1" s="1"/>
  <c r="DI48" i="1" s="1"/>
  <c r="DI55" i="1"/>
  <c r="DI54" i="1"/>
  <c r="DI56" i="1"/>
  <c r="DI49" i="1"/>
  <c r="DI122" i="1"/>
  <c r="DI154" i="1" l="1"/>
  <c r="DI184" i="1"/>
  <c r="DI152" i="1"/>
  <c r="A2" i="1" l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DP27" i="1"/>
  <c r="DQ27" i="1"/>
  <c r="DR27" i="1"/>
  <c r="DU27" i="1"/>
  <c r="DV27" i="1"/>
  <c r="DW27" i="1"/>
  <c r="DZ27" i="1"/>
  <c r="EA27" i="1"/>
  <c r="EB27" i="1"/>
  <c r="EE27" i="1"/>
  <c r="EF27" i="1"/>
  <c r="DP38" i="1"/>
  <c r="DQ38" i="1"/>
  <c r="DR38" i="1"/>
  <c r="DU38" i="1"/>
  <c r="DV38" i="1"/>
  <c r="DW38" i="1"/>
  <c r="DZ38" i="1"/>
  <c r="EA38" i="1"/>
  <c r="EB38" i="1"/>
  <c r="EE38" i="1"/>
  <c r="EF38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DJ121" i="1"/>
  <c r="DK121" i="1"/>
  <c r="DL121" i="1"/>
  <c r="DM121" i="1"/>
  <c r="DN121" i="1"/>
  <c r="DO121" i="1"/>
  <c r="DP121" i="1"/>
  <c r="DQ121" i="1"/>
  <c r="DR121" i="1"/>
  <c r="DS121" i="1"/>
  <c r="DT121" i="1"/>
  <c r="DU121" i="1"/>
  <c r="DV121" i="1"/>
  <c r="DW121" i="1"/>
  <c r="DX121" i="1"/>
  <c r="DY121" i="1"/>
  <c r="DZ121" i="1"/>
  <c r="EA121" i="1"/>
  <c r="EB121" i="1"/>
  <c r="EC121" i="1"/>
  <c r="ED121" i="1"/>
  <c r="EE121" i="1"/>
  <c r="EF121" i="1"/>
  <c r="DJ122" i="1"/>
  <c r="DK122" i="1"/>
  <c r="DL122" i="1"/>
  <c r="DM122" i="1"/>
  <c r="DN122" i="1"/>
  <c r="DO122" i="1"/>
  <c r="DP122" i="1"/>
  <c r="DQ122" i="1"/>
  <c r="DR122" i="1"/>
  <c r="DS122" i="1"/>
  <c r="DT122" i="1"/>
  <c r="DU122" i="1"/>
  <c r="DV122" i="1"/>
  <c r="DW122" i="1"/>
  <c r="DX122" i="1"/>
  <c r="DY122" i="1"/>
  <c r="DZ122" i="1"/>
  <c r="EA122" i="1"/>
  <c r="EB122" i="1"/>
  <c r="EC122" i="1"/>
  <c r="ED122" i="1"/>
  <c r="EE122" i="1"/>
  <c r="EF122" i="1"/>
  <c r="DL123" i="1"/>
  <c r="DQ123" i="1"/>
  <c r="DV123" i="1"/>
  <c r="EA123" i="1"/>
  <c r="EF123" i="1"/>
  <c r="DJ138" i="1"/>
  <c r="DK138" i="1"/>
  <c r="DL138" i="1"/>
  <c r="DM138" i="1"/>
  <c r="DN138" i="1"/>
  <c r="DO138" i="1"/>
  <c r="DP138" i="1"/>
  <c r="DQ138" i="1"/>
  <c r="DR138" i="1"/>
  <c r="DS138" i="1"/>
  <c r="DT138" i="1"/>
  <c r="DU138" i="1"/>
  <c r="DV138" i="1"/>
  <c r="DW138" i="1"/>
  <c r="DX138" i="1"/>
  <c r="DY138" i="1"/>
  <c r="DZ138" i="1"/>
  <c r="EA138" i="1"/>
  <c r="EB138" i="1"/>
  <c r="EC138" i="1"/>
  <c r="ED138" i="1"/>
  <c r="EE138" i="1"/>
  <c r="EF138" i="1"/>
  <c r="DJ139" i="1"/>
  <c r="DK139" i="1"/>
  <c r="DL139" i="1"/>
  <c r="DM139" i="1"/>
  <c r="DN139" i="1"/>
  <c r="DO139" i="1"/>
  <c r="DP139" i="1"/>
  <c r="DQ139" i="1"/>
  <c r="DR139" i="1"/>
  <c r="DS139" i="1"/>
  <c r="DT139" i="1"/>
  <c r="DU139" i="1"/>
  <c r="DV139" i="1"/>
  <c r="DW139" i="1"/>
  <c r="DX139" i="1"/>
  <c r="DY139" i="1"/>
  <c r="DZ139" i="1"/>
  <c r="EA139" i="1"/>
  <c r="EB139" i="1"/>
  <c r="EC139" i="1"/>
  <c r="ED139" i="1"/>
  <c r="EE139" i="1"/>
  <c r="EF139" i="1"/>
  <c r="DP145" i="1"/>
  <c r="DQ145" i="1"/>
  <c r="DR145" i="1"/>
  <c r="DU145" i="1"/>
  <c r="DV145" i="1"/>
  <c r="DW145" i="1"/>
  <c r="DZ145" i="1"/>
  <c r="EA145" i="1"/>
  <c r="EB145" i="1"/>
  <c r="EE145" i="1"/>
  <c r="EF145" i="1"/>
  <c r="DP149" i="1"/>
  <c r="DQ149" i="1"/>
  <c r="DR149" i="1"/>
  <c r="DU149" i="1"/>
  <c r="DV149" i="1"/>
  <c r="DW149" i="1"/>
  <c r="DZ149" i="1"/>
  <c r="EA149" i="1"/>
  <c r="EB149" i="1"/>
  <c r="EE149" i="1"/>
  <c r="EF149" i="1"/>
  <c r="DJ151" i="1"/>
  <c r="DK151" i="1"/>
  <c r="DL151" i="1"/>
  <c r="DM151" i="1"/>
  <c r="DN151" i="1"/>
  <c r="DO151" i="1"/>
  <c r="DP151" i="1"/>
  <c r="DQ151" i="1"/>
  <c r="DR151" i="1"/>
  <c r="DS151" i="1"/>
  <c r="DT151" i="1"/>
  <c r="DU151" i="1"/>
  <c r="DV151" i="1"/>
  <c r="DW151" i="1"/>
  <c r="DX151" i="1"/>
  <c r="DY151" i="1"/>
  <c r="DZ151" i="1"/>
  <c r="EA151" i="1"/>
  <c r="EB151" i="1"/>
  <c r="EC151" i="1"/>
  <c r="ED151" i="1"/>
  <c r="EE151" i="1"/>
  <c r="EF151" i="1"/>
  <c r="DJ152" i="1"/>
  <c r="DK152" i="1"/>
  <c r="DL152" i="1"/>
  <c r="DM152" i="1"/>
  <c r="DN152" i="1"/>
  <c r="DO152" i="1"/>
  <c r="DP152" i="1"/>
  <c r="DQ152" i="1"/>
  <c r="DR152" i="1"/>
  <c r="DS152" i="1"/>
  <c r="DT152" i="1"/>
  <c r="DU152" i="1"/>
  <c r="DV152" i="1"/>
  <c r="DW152" i="1"/>
  <c r="DX152" i="1"/>
  <c r="DY152" i="1"/>
  <c r="DZ152" i="1"/>
  <c r="EA152" i="1"/>
  <c r="EB152" i="1"/>
  <c r="EC152" i="1"/>
  <c r="ED152" i="1"/>
  <c r="EE152" i="1"/>
  <c r="EF152" i="1"/>
  <c r="DJ154" i="1"/>
  <c r="DK154" i="1"/>
  <c r="DL154" i="1"/>
  <c r="DM154" i="1"/>
  <c r="DN154" i="1"/>
  <c r="DO154" i="1"/>
  <c r="DP154" i="1"/>
  <c r="DQ154" i="1"/>
  <c r="DR154" i="1"/>
  <c r="DS154" i="1"/>
  <c r="DT154" i="1"/>
  <c r="DU154" i="1"/>
  <c r="DV154" i="1"/>
  <c r="DW154" i="1"/>
  <c r="DX154" i="1"/>
  <c r="DY154" i="1"/>
  <c r="DZ154" i="1"/>
  <c r="EA154" i="1"/>
  <c r="EB154" i="1"/>
  <c r="EC154" i="1"/>
  <c r="ED154" i="1"/>
  <c r="EE154" i="1"/>
  <c r="EF154" i="1"/>
  <c r="DJ161" i="1"/>
  <c r="DK161" i="1"/>
  <c r="DL161" i="1"/>
  <c r="DM161" i="1"/>
  <c r="DN161" i="1"/>
  <c r="DO161" i="1"/>
  <c r="DP161" i="1"/>
  <c r="DQ161" i="1"/>
  <c r="DR161" i="1"/>
  <c r="DS161" i="1"/>
  <c r="DT161" i="1"/>
  <c r="DU161" i="1"/>
  <c r="DV161" i="1"/>
  <c r="DW161" i="1"/>
  <c r="DX161" i="1"/>
  <c r="DY161" i="1"/>
  <c r="DZ161" i="1"/>
  <c r="EA161" i="1"/>
  <c r="EB161" i="1"/>
  <c r="EC161" i="1"/>
  <c r="ED161" i="1"/>
  <c r="EE161" i="1"/>
  <c r="EF161" i="1"/>
  <c r="DL163" i="1"/>
  <c r="DQ163" i="1"/>
  <c r="DV163" i="1"/>
  <c r="EA163" i="1"/>
  <c r="EF163" i="1"/>
  <c r="DJ165" i="1"/>
  <c r="DK165" i="1"/>
  <c r="DL165" i="1"/>
  <c r="DM165" i="1"/>
  <c r="DN165" i="1"/>
  <c r="DO165" i="1"/>
  <c r="DP165" i="1"/>
  <c r="DQ165" i="1"/>
  <c r="DR165" i="1"/>
  <c r="DS165" i="1"/>
  <c r="DT165" i="1"/>
  <c r="DU165" i="1"/>
  <c r="DV165" i="1"/>
  <c r="DW165" i="1"/>
  <c r="DX165" i="1"/>
  <c r="DY165" i="1"/>
  <c r="DZ165" i="1"/>
  <c r="EA165" i="1"/>
  <c r="EB165" i="1"/>
  <c r="EC165" i="1"/>
  <c r="ED165" i="1"/>
  <c r="EE165" i="1"/>
  <c r="EF165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G171" i="1"/>
  <c r="DH171" i="1"/>
  <c r="DI171" i="1"/>
  <c r="DJ171" i="1"/>
  <c r="DK171" i="1"/>
  <c r="DL171" i="1"/>
  <c r="DM171" i="1"/>
  <c r="DN171" i="1"/>
  <c r="DO171" i="1"/>
  <c r="DP171" i="1"/>
  <c r="DQ171" i="1"/>
  <c r="DR171" i="1"/>
  <c r="DS171" i="1"/>
  <c r="DT171" i="1"/>
  <c r="DU171" i="1"/>
  <c r="DV171" i="1"/>
  <c r="DW171" i="1"/>
  <c r="DX171" i="1"/>
  <c r="DY171" i="1"/>
  <c r="DZ171" i="1"/>
  <c r="EA171" i="1"/>
  <c r="EB171" i="1"/>
  <c r="EC171" i="1"/>
  <c r="ED171" i="1"/>
  <c r="EE171" i="1"/>
  <c r="EF171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CW172" i="1"/>
  <c r="CX172" i="1"/>
  <c r="CY172" i="1"/>
  <c r="CZ172" i="1"/>
  <c r="DA172" i="1"/>
  <c r="DB172" i="1"/>
  <c r="DC172" i="1"/>
  <c r="DD172" i="1"/>
  <c r="DE172" i="1"/>
  <c r="DF172" i="1"/>
  <c r="DG172" i="1"/>
  <c r="DH172" i="1"/>
  <c r="DI172" i="1"/>
  <c r="DJ172" i="1"/>
  <c r="DK172" i="1"/>
  <c r="DL172" i="1"/>
  <c r="DM172" i="1"/>
  <c r="DN172" i="1"/>
  <c r="DO172" i="1"/>
  <c r="DP172" i="1"/>
  <c r="DQ172" i="1"/>
  <c r="DR172" i="1"/>
  <c r="DS172" i="1"/>
  <c r="DT172" i="1"/>
  <c r="DU172" i="1"/>
  <c r="DV172" i="1"/>
  <c r="DW172" i="1"/>
  <c r="DX172" i="1"/>
  <c r="DY172" i="1"/>
  <c r="DZ172" i="1"/>
  <c r="EA172" i="1"/>
  <c r="EB172" i="1"/>
  <c r="EC172" i="1"/>
  <c r="ED172" i="1"/>
  <c r="EE172" i="1"/>
  <c r="EF172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CW176" i="1"/>
  <c r="CX176" i="1"/>
  <c r="CY176" i="1"/>
  <c r="CZ176" i="1"/>
  <c r="DA176" i="1"/>
  <c r="DB176" i="1"/>
  <c r="DC176" i="1"/>
  <c r="DD176" i="1"/>
  <c r="DE176" i="1"/>
  <c r="DF176" i="1"/>
  <c r="DG176" i="1"/>
  <c r="DH176" i="1"/>
  <c r="DI176" i="1"/>
  <c r="DJ176" i="1"/>
  <c r="DK176" i="1"/>
  <c r="DL176" i="1"/>
  <c r="DM176" i="1"/>
  <c r="DN176" i="1"/>
  <c r="DO176" i="1"/>
  <c r="DP176" i="1"/>
  <c r="DQ176" i="1"/>
  <c r="DR176" i="1"/>
  <c r="DS176" i="1"/>
  <c r="DT176" i="1"/>
  <c r="DU176" i="1"/>
  <c r="DV176" i="1"/>
  <c r="DW176" i="1"/>
  <c r="DX176" i="1"/>
  <c r="DY176" i="1"/>
  <c r="DZ176" i="1"/>
  <c r="EA176" i="1"/>
  <c r="EB176" i="1"/>
  <c r="EC176" i="1"/>
  <c r="ED176" i="1"/>
  <c r="EE176" i="1"/>
  <c r="EF176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CW177" i="1"/>
  <c r="CX177" i="1"/>
  <c r="CY177" i="1"/>
  <c r="CZ177" i="1"/>
  <c r="DA177" i="1"/>
  <c r="DB177" i="1"/>
  <c r="DC177" i="1"/>
  <c r="DD177" i="1"/>
  <c r="DE177" i="1"/>
  <c r="DF177" i="1"/>
  <c r="DG177" i="1"/>
  <c r="DH177" i="1"/>
  <c r="DI177" i="1"/>
  <c r="DJ177" i="1"/>
  <c r="DK177" i="1"/>
  <c r="DL177" i="1"/>
  <c r="DM177" i="1"/>
  <c r="DN177" i="1"/>
  <c r="DO177" i="1"/>
  <c r="DP177" i="1"/>
  <c r="DQ177" i="1"/>
  <c r="DR177" i="1"/>
  <c r="DS177" i="1"/>
  <c r="DT177" i="1"/>
  <c r="DU177" i="1"/>
  <c r="DV177" i="1"/>
  <c r="DW177" i="1"/>
  <c r="DX177" i="1"/>
  <c r="DY177" i="1"/>
  <c r="DZ177" i="1"/>
  <c r="EA177" i="1"/>
  <c r="EB177" i="1"/>
  <c r="EC177" i="1"/>
  <c r="ED177" i="1"/>
  <c r="EE177" i="1"/>
  <c r="EF177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CW181" i="1"/>
  <c r="CX181" i="1"/>
  <c r="CY181" i="1"/>
  <c r="CZ181" i="1"/>
  <c r="DA181" i="1"/>
  <c r="DB181" i="1"/>
  <c r="DC181" i="1"/>
  <c r="DD181" i="1"/>
  <c r="DE181" i="1"/>
  <c r="DF181" i="1"/>
  <c r="DG181" i="1"/>
  <c r="DH181" i="1"/>
  <c r="DI181" i="1"/>
  <c r="DJ181" i="1"/>
  <c r="DK181" i="1"/>
  <c r="DL181" i="1"/>
  <c r="DM181" i="1"/>
  <c r="DN181" i="1"/>
  <c r="DO181" i="1"/>
  <c r="DP181" i="1"/>
  <c r="DQ181" i="1"/>
  <c r="DR181" i="1"/>
  <c r="DS181" i="1"/>
  <c r="DT181" i="1"/>
  <c r="DU181" i="1"/>
  <c r="DV181" i="1"/>
  <c r="DW181" i="1"/>
  <c r="DX181" i="1"/>
  <c r="DY181" i="1"/>
  <c r="DZ181" i="1"/>
  <c r="EA181" i="1"/>
  <c r="EB181" i="1"/>
  <c r="EC181" i="1"/>
  <c r="ED181" i="1"/>
  <c r="EE181" i="1"/>
  <c r="EF181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CW182" i="1"/>
  <c r="CX182" i="1"/>
  <c r="CY182" i="1"/>
  <c r="CZ182" i="1"/>
  <c r="DA182" i="1"/>
  <c r="DB182" i="1"/>
  <c r="DC182" i="1"/>
  <c r="DD182" i="1"/>
  <c r="DE182" i="1"/>
  <c r="DF182" i="1"/>
  <c r="DG182" i="1"/>
  <c r="DH182" i="1"/>
  <c r="DI182" i="1"/>
  <c r="DJ182" i="1"/>
  <c r="DK182" i="1"/>
  <c r="DL182" i="1"/>
  <c r="DM182" i="1"/>
  <c r="DN182" i="1"/>
  <c r="DO182" i="1"/>
  <c r="DP182" i="1"/>
  <c r="DQ182" i="1"/>
  <c r="DR182" i="1"/>
  <c r="DS182" i="1"/>
  <c r="DT182" i="1"/>
  <c r="DU182" i="1"/>
  <c r="DV182" i="1"/>
  <c r="DW182" i="1"/>
  <c r="DX182" i="1"/>
  <c r="DY182" i="1"/>
  <c r="DZ182" i="1"/>
  <c r="EA182" i="1"/>
  <c r="EB182" i="1"/>
  <c r="EC182" i="1"/>
  <c r="ED182" i="1"/>
  <c r="EE182" i="1"/>
  <c r="EF182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CW186" i="1"/>
  <c r="CX186" i="1"/>
  <c r="CY186" i="1"/>
  <c r="CZ186" i="1"/>
  <c r="DA186" i="1"/>
  <c r="DB186" i="1"/>
  <c r="DC186" i="1"/>
  <c r="DD186" i="1"/>
  <c r="DE186" i="1"/>
  <c r="DF186" i="1"/>
  <c r="DG186" i="1"/>
  <c r="DH186" i="1"/>
  <c r="DI186" i="1"/>
  <c r="DJ186" i="1"/>
  <c r="DK186" i="1"/>
  <c r="DL186" i="1"/>
  <c r="DM186" i="1"/>
  <c r="DN186" i="1"/>
  <c r="DO186" i="1"/>
  <c r="DP186" i="1"/>
  <c r="DQ186" i="1"/>
  <c r="DR186" i="1"/>
  <c r="DS186" i="1"/>
  <c r="DT186" i="1"/>
  <c r="DU186" i="1"/>
  <c r="DV186" i="1"/>
  <c r="DW186" i="1"/>
  <c r="DX186" i="1"/>
  <c r="DY186" i="1"/>
  <c r="DZ186" i="1"/>
  <c r="EA186" i="1"/>
  <c r="EB186" i="1"/>
  <c r="EC186" i="1"/>
  <c r="ED186" i="1"/>
  <c r="EE186" i="1"/>
  <c r="EF186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CW187" i="1"/>
  <c r="CX187" i="1"/>
  <c r="CY187" i="1"/>
  <c r="CZ187" i="1"/>
  <c r="DA187" i="1"/>
  <c r="DB187" i="1"/>
  <c r="DC187" i="1"/>
  <c r="DD187" i="1"/>
  <c r="DE187" i="1"/>
  <c r="DF187" i="1"/>
  <c r="DG187" i="1"/>
  <c r="DH187" i="1"/>
  <c r="DI187" i="1"/>
  <c r="DJ187" i="1"/>
  <c r="DK187" i="1"/>
  <c r="DL187" i="1"/>
  <c r="DM187" i="1"/>
  <c r="DN187" i="1"/>
  <c r="DO187" i="1"/>
  <c r="DP187" i="1"/>
  <c r="DQ187" i="1"/>
  <c r="DR187" i="1"/>
  <c r="DS187" i="1"/>
  <c r="DT187" i="1"/>
  <c r="DU187" i="1"/>
  <c r="DV187" i="1"/>
  <c r="DW187" i="1"/>
  <c r="DX187" i="1"/>
  <c r="DY187" i="1"/>
  <c r="DZ187" i="1"/>
  <c r="EA187" i="1"/>
  <c r="EB187" i="1"/>
  <c r="EC187" i="1"/>
  <c r="ED187" i="1"/>
  <c r="EE187" i="1"/>
  <c r="EF187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CW188" i="1"/>
  <c r="CX188" i="1"/>
  <c r="CY188" i="1"/>
  <c r="CZ188" i="1"/>
  <c r="DA188" i="1"/>
  <c r="DB188" i="1"/>
  <c r="DC188" i="1"/>
  <c r="DD188" i="1"/>
  <c r="DE188" i="1"/>
  <c r="DF188" i="1"/>
  <c r="DG188" i="1"/>
  <c r="DH188" i="1"/>
  <c r="DI188" i="1"/>
  <c r="DJ188" i="1"/>
  <c r="DK188" i="1"/>
  <c r="DL188" i="1"/>
  <c r="DM188" i="1"/>
  <c r="DN188" i="1"/>
  <c r="DO188" i="1"/>
  <c r="DP188" i="1"/>
  <c r="DQ188" i="1"/>
  <c r="DR188" i="1"/>
  <c r="DS188" i="1"/>
  <c r="DT188" i="1"/>
  <c r="DU188" i="1"/>
  <c r="DV188" i="1"/>
  <c r="DW188" i="1"/>
  <c r="DX188" i="1"/>
  <c r="DY188" i="1"/>
  <c r="DZ188" i="1"/>
  <c r="EA188" i="1"/>
  <c r="EB188" i="1"/>
  <c r="EC188" i="1"/>
  <c r="ED188" i="1"/>
  <c r="EE188" i="1"/>
  <c r="EF188" i="1"/>
  <c r="A2" i="14"/>
  <c r="DJ4" i="14"/>
  <c r="DK4" i="14"/>
  <c r="DL4" i="14"/>
  <c r="DM4" i="14"/>
  <c r="DN4" i="14"/>
  <c r="DO4" i="14"/>
  <c r="DP4" i="14"/>
  <c r="DQ4" i="14"/>
  <c r="DR4" i="14"/>
  <c r="DS4" i="14"/>
  <c r="DT4" i="14"/>
  <c r="DU4" i="14"/>
  <c r="DV4" i="14"/>
  <c r="DW4" i="14"/>
  <c r="DX4" i="14"/>
  <c r="DY4" i="14"/>
  <c r="DZ4" i="14"/>
  <c r="EA4" i="14"/>
  <c r="EB4" i="14"/>
  <c r="EC4" i="14"/>
  <c r="ED4" i="14"/>
  <c r="EE4" i="14"/>
  <c r="EF4" i="14"/>
  <c r="DJ7" i="14"/>
  <c r="DK7" i="14"/>
  <c r="DL7" i="14"/>
  <c r="DM7" i="14"/>
  <c r="DN7" i="14"/>
  <c r="DO7" i="14"/>
  <c r="DP7" i="14"/>
  <c r="DQ7" i="14"/>
  <c r="DR7" i="14"/>
  <c r="DS7" i="14"/>
  <c r="DT7" i="14"/>
  <c r="DU7" i="14"/>
  <c r="DV7" i="14"/>
  <c r="DW7" i="14"/>
  <c r="DX7" i="14"/>
  <c r="DY7" i="14"/>
  <c r="DZ7" i="14"/>
  <c r="EA7" i="14"/>
  <c r="EB7" i="14"/>
  <c r="EC7" i="14"/>
  <c r="ED7" i="14"/>
  <c r="EE7" i="14"/>
  <c r="EF7" i="14"/>
  <c r="DJ11" i="14"/>
  <c r="DK11" i="14"/>
  <c r="DL11" i="14"/>
  <c r="DM11" i="14"/>
  <c r="DN11" i="14"/>
  <c r="DO11" i="14"/>
  <c r="DP11" i="14"/>
  <c r="DQ11" i="14"/>
  <c r="DR11" i="14"/>
  <c r="DS11" i="14"/>
  <c r="DT11" i="14"/>
  <c r="DU11" i="14"/>
  <c r="DV11" i="14"/>
  <c r="DW11" i="14"/>
  <c r="DX11" i="14"/>
  <c r="DY11" i="14"/>
  <c r="DZ11" i="14"/>
  <c r="EA11" i="14"/>
  <c r="EB11" i="14"/>
  <c r="EC11" i="14"/>
  <c r="ED11" i="14"/>
  <c r="EE11" i="14"/>
  <c r="EF11" i="14"/>
  <c r="DJ12" i="14"/>
  <c r="DK12" i="14"/>
  <c r="DL12" i="14"/>
  <c r="DM12" i="14"/>
  <c r="DN12" i="14"/>
  <c r="DO12" i="14"/>
  <c r="DP12" i="14"/>
  <c r="DQ12" i="14"/>
  <c r="DR12" i="14"/>
  <c r="DS12" i="14"/>
  <c r="DT12" i="14"/>
  <c r="DU12" i="14"/>
  <c r="DV12" i="14"/>
  <c r="DW12" i="14"/>
  <c r="DX12" i="14"/>
  <c r="DY12" i="14"/>
  <c r="DZ12" i="14"/>
  <c r="EA12" i="14"/>
  <c r="EB12" i="14"/>
  <c r="EC12" i="14"/>
  <c r="ED12" i="14"/>
  <c r="EE12" i="14"/>
  <c r="EF12" i="14"/>
  <c r="DJ13" i="14"/>
  <c r="DK13" i="14"/>
  <c r="DL13" i="14"/>
  <c r="DM13" i="14"/>
  <c r="DN13" i="14"/>
  <c r="DO13" i="14"/>
  <c r="DP13" i="14"/>
  <c r="DQ13" i="14"/>
  <c r="DR13" i="14"/>
  <c r="DS13" i="14"/>
  <c r="DT13" i="14"/>
  <c r="DU13" i="14"/>
  <c r="DV13" i="14"/>
  <c r="DW13" i="14"/>
  <c r="DX13" i="14"/>
  <c r="DY13" i="14"/>
  <c r="DZ13" i="14"/>
  <c r="EA13" i="14"/>
  <c r="EB13" i="14"/>
  <c r="EC13" i="14"/>
  <c r="ED13" i="14"/>
  <c r="EE13" i="14"/>
  <c r="EF13" i="14"/>
  <c r="DK14" i="14"/>
  <c r="DM14" i="14"/>
  <c r="DN14" i="14"/>
  <c r="DO14" i="14"/>
  <c r="DP14" i="14"/>
  <c r="DQ14" i="14"/>
  <c r="DR14" i="14"/>
  <c r="DS14" i="14"/>
  <c r="DT14" i="14"/>
  <c r="DU14" i="14"/>
  <c r="DV14" i="14"/>
  <c r="DW14" i="14"/>
  <c r="DX14" i="14"/>
  <c r="DY14" i="14"/>
  <c r="DZ14" i="14"/>
  <c r="EA14" i="14"/>
  <c r="EB14" i="14"/>
  <c r="EC14" i="14"/>
  <c r="ED14" i="14"/>
  <c r="EE14" i="14"/>
  <c r="EF14" i="14"/>
  <c r="DJ15" i="14"/>
  <c r="DK15" i="14"/>
  <c r="DL15" i="14"/>
  <c r="DM15" i="14"/>
  <c r="DN15" i="14"/>
  <c r="DO15" i="14"/>
  <c r="DP15" i="14"/>
  <c r="DQ15" i="14"/>
  <c r="DR15" i="14"/>
  <c r="DS15" i="14"/>
  <c r="DT15" i="14"/>
  <c r="DU15" i="14"/>
  <c r="DV15" i="14"/>
  <c r="DW15" i="14"/>
  <c r="DX15" i="14"/>
  <c r="DY15" i="14"/>
  <c r="DZ15" i="14"/>
  <c r="EA15" i="14"/>
  <c r="EB15" i="14"/>
  <c r="EC15" i="14"/>
  <c r="ED15" i="14"/>
  <c r="EE15" i="14"/>
  <c r="EF15" i="14"/>
  <c r="DJ16" i="14"/>
  <c r="DK16" i="14"/>
  <c r="DL16" i="14"/>
  <c r="DM16" i="14"/>
  <c r="DN16" i="14"/>
  <c r="DO16" i="14"/>
  <c r="DP16" i="14"/>
  <c r="DQ16" i="14"/>
  <c r="DR16" i="14"/>
  <c r="DS16" i="14"/>
  <c r="DT16" i="14"/>
  <c r="DU16" i="14"/>
  <c r="DV16" i="14"/>
  <c r="DW16" i="14"/>
  <c r="DX16" i="14"/>
  <c r="DY16" i="14"/>
  <c r="DZ16" i="14"/>
  <c r="EA16" i="14"/>
  <c r="EB16" i="14"/>
  <c r="EC16" i="14"/>
  <c r="ED16" i="14"/>
  <c r="EE16" i="14"/>
  <c r="EF16" i="14"/>
  <c r="DJ17" i="14"/>
  <c r="DK17" i="14"/>
  <c r="DL17" i="14"/>
  <c r="DM17" i="14"/>
  <c r="DN17" i="14"/>
  <c r="DO17" i="14"/>
  <c r="DP17" i="14"/>
  <c r="DQ17" i="14"/>
  <c r="DR17" i="14"/>
  <c r="DS17" i="14"/>
  <c r="DT17" i="14"/>
  <c r="DU17" i="14"/>
  <c r="DV17" i="14"/>
  <c r="DW17" i="14"/>
  <c r="DX17" i="14"/>
  <c r="DY17" i="14"/>
  <c r="DZ17" i="14"/>
  <c r="EA17" i="14"/>
  <c r="EB17" i="14"/>
  <c r="EC17" i="14"/>
  <c r="ED17" i="14"/>
  <c r="EE17" i="14"/>
  <c r="EF17" i="14"/>
  <c r="DJ18" i="14"/>
  <c r="DK18" i="14"/>
  <c r="DL18" i="14"/>
  <c r="DM18" i="14"/>
  <c r="DN18" i="14"/>
  <c r="DO18" i="14"/>
  <c r="DP18" i="14"/>
  <c r="DQ18" i="14"/>
  <c r="DR18" i="14"/>
  <c r="DS18" i="14"/>
  <c r="DT18" i="14"/>
  <c r="DU18" i="14"/>
  <c r="DV18" i="14"/>
  <c r="DW18" i="14"/>
  <c r="DX18" i="14"/>
  <c r="DY18" i="14"/>
  <c r="DZ18" i="14"/>
  <c r="EA18" i="14"/>
  <c r="EB18" i="14"/>
  <c r="EC18" i="14"/>
  <c r="ED18" i="14"/>
  <c r="EE18" i="14"/>
  <c r="EF18" i="14"/>
  <c r="A2" i="11"/>
  <c r="DJ4" i="11"/>
  <c r="DK4" i="11"/>
  <c r="DL4" i="11"/>
  <c r="DM4" i="11"/>
  <c r="DN4" i="11"/>
  <c r="DO4" i="11"/>
  <c r="DP4" i="11"/>
  <c r="DQ4" i="11"/>
  <c r="DR4" i="11"/>
  <c r="DS4" i="11"/>
  <c r="DT4" i="11"/>
  <c r="DU4" i="11"/>
  <c r="DV4" i="11"/>
  <c r="DW4" i="11"/>
  <c r="DX4" i="11"/>
  <c r="DY4" i="11"/>
  <c r="DZ4" i="11"/>
  <c r="EA4" i="11"/>
  <c r="EB4" i="11"/>
  <c r="EC4" i="11"/>
  <c r="ED4" i="11"/>
  <c r="EE4" i="11"/>
  <c r="EF4" i="11"/>
  <c r="EG4" i="11"/>
  <c r="DL5" i="11"/>
  <c r="DQ5" i="11"/>
  <c r="DV5" i="11"/>
  <c r="EA5" i="11"/>
  <c r="EF5" i="11"/>
  <c r="EG5" i="11"/>
  <c r="DJ6" i="11"/>
  <c r="DK6" i="11"/>
  <c r="DL6" i="11"/>
  <c r="DM6" i="11"/>
  <c r="DN6" i="11"/>
  <c r="DO6" i="11"/>
  <c r="DP6" i="11"/>
  <c r="DQ6" i="11"/>
  <c r="DR6" i="11"/>
  <c r="DS6" i="11"/>
  <c r="DT6" i="11"/>
  <c r="DU6" i="11"/>
  <c r="DV6" i="11"/>
  <c r="DW6" i="11"/>
  <c r="DX6" i="11"/>
  <c r="DY6" i="11"/>
  <c r="DZ6" i="11"/>
  <c r="EA6" i="11"/>
  <c r="EB6" i="11"/>
  <c r="EC6" i="11"/>
  <c r="ED6" i="11"/>
  <c r="EE6" i="11"/>
  <c r="EF6" i="11"/>
  <c r="EG6" i="11"/>
  <c r="B10" i="11"/>
  <c r="B12" i="11"/>
  <c r="B14" i="11"/>
  <c r="DL30" i="11"/>
  <c r="DQ30" i="11"/>
  <c r="DV30" i="11"/>
  <c r="EA30" i="11"/>
  <c r="EF30" i="11"/>
  <c r="DL31" i="11"/>
  <c r="DQ31" i="11"/>
  <c r="DV31" i="11"/>
  <c r="EA31" i="11"/>
  <c r="EF31" i="11"/>
  <c r="DQ32" i="11"/>
  <c r="DV32" i="11"/>
  <c r="EA32" i="11"/>
  <c r="EF32" i="11"/>
  <c r="AJ33" i="11"/>
  <c r="AO33" i="11"/>
  <c r="AT33" i="11"/>
  <c r="AY33" i="11"/>
  <c r="BD33" i="11"/>
  <c r="BI33" i="11"/>
  <c r="BN33" i="11"/>
  <c r="BS33" i="11"/>
  <c r="BX33" i="11"/>
  <c r="CC33" i="11"/>
  <c r="CH33" i="11"/>
  <c r="CM33" i="11"/>
  <c r="CR33" i="11"/>
  <c r="CW33" i="11"/>
  <c r="DB33" i="11"/>
  <c r="DG33" i="11"/>
  <c r="DL33" i="11"/>
  <c r="DQ33" i="11"/>
  <c r="DV33" i="11"/>
  <c r="EA33" i="11"/>
  <c r="EF33" i="11"/>
  <c r="AJ34" i="11"/>
  <c r="AO34" i="11"/>
  <c r="AT34" i="11"/>
  <c r="AY34" i="11"/>
  <c r="BD34" i="11"/>
  <c r="BI34" i="11"/>
  <c r="BN34" i="11"/>
  <c r="BS34" i="11"/>
  <c r="BX34" i="11"/>
  <c r="CC34" i="11"/>
  <c r="CH34" i="11"/>
  <c r="CM34" i="11"/>
  <c r="CR34" i="11"/>
  <c r="CW34" i="11"/>
  <c r="DB34" i="11"/>
  <c r="DG34" i="11"/>
  <c r="DL34" i="11"/>
  <c r="DQ34" i="11"/>
  <c r="DV34" i="11"/>
  <c r="EA34" i="11"/>
  <c r="EF34" i="11"/>
  <c r="A2" i="9"/>
  <c r="A2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DL24" i="2"/>
  <c r="DQ24" i="2"/>
  <c r="DV24" i="2"/>
  <c r="EA24" i="2"/>
  <c r="EF24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DJ44" i="2"/>
  <c r="DK44" i="2"/>
  <c r="DL44" i="2"/>
  <c r="DM44" i="2"/>
  <c r="DN44" i="2"/>
  <c r="DO44" i="2"/>
  <c r="DP44" i="2"/>
  <c r="DQ44" i="2"/>
  <c r="DR44" i="2"/>
  <c r="DS44" i="2"/>
  <c r="DT44" i="2"/>
  <c r="DU44" i="2"/>
  <c r="DV44" i="2"/>
  <c r="DW44" i="2"/>
  <c r="DX44" i="2"/>
  <c r="DY44" i="2"/>
  <c r="DZ44" i="2"/>
  <c r="EA44" i="2"/>
  <c r="EB44" i="2"/>
  <c r="EC44" i="2"/>
  <c r="ED44" i="2"/>
  <c r="EE44" i="2"/>
  <c r="EF44" i="2"/>
  <c r="DJ46" i="2"/>
  <c r="DK46" i="2"/>
  <c r="DL46" i="2"/>
  <c r="DM46" i="2"/>
  <c r="DN46" i="2"/>
  <c r="DO46" i="2"/>
  <c r="DP46" i="2"/>
  <c r="DQ46" i="2"/>
  <c r="DR46" i="2"/>
  <c r="DS46" i="2"/>
  <c r="DT46" i="2"/>
  <c r="DU46" i="2"/>
  <c r="DV46" i="2"/>
  <c r="DW46" i="2"/>
  <c r="DX46" i="2"/>
  <c r="DY46" i="2"/>
  <c r="DZ46" i="2"/>
  <c r="EA46" i="2"/>
  <c r="EB46" i="2"/>
  <c r="EC46" i="2"/>
  <c r="ED46" i="2"/>
  <c r="EE46" i="2"/>
  <c r="EF46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DO49" i="2"/>
  <c r="DQ49" i="2"/>
  <c r="DR49" i="2"/>
  <c r="DV49" i="2"/>
  <c r="DW49" i="2"/>
  <c r="EA49" i="2"/>
  <c r="EB49" i="2"/>
  <c r="EF49" i="2"/>
  <c r="DJ50" i="2"/>
  <c r="DK50" i="2"/>
  <c r="DL50" i="2"/>
  <c r="DM50" i="2"/>
  <c r="DN50" i="2"/>
  <c r="DO50" i="2"/>
  <c r="DP50" i="2"/>
  <c r="DQ50" i="2"/>
  <c r="DR50" i="2"/>
  <c r="DS50" i="2"/>
  <c r="DT50" i="2"/>
  <c r="DU50" i="2"/>
  <c r="DV50" i="2"/>
  <c r="DW50" i="2"/>
  <c r="DX50" i="2"/>
  <c r="DY50" i="2"/>
  <c r="DZ50" i="2"/>
  <c r="EA50" i="2"/>
  <c r="EB50" i="2"/>
  <c r="EC50" i="2"/>
  <c r="ED50" i="2"/>
  <c r="EE50" i="2"/>
  <c r="EF50" i="2"/>
  <c r="DL51" i="2"/>
  <c r="DQ51" i="2"/>
  <c r="DV51" i="2"/>
  <c r="DJ59" i="2"/>
  <c r="DK59" i="2"/>
  <c r="DL59" i="2"/>
  <c r="DM59" i="2"/>
  <c r="DN59" i="2"/>
  <c r="DO59" i="2"/>
  <c r="DP59" i="2"/>
  <c r="DQ59" i="2"/>
  <c r="DR59" i="2"/>
  <c r="DS59" i="2"/>
  <c r="DT59" i="2"/>
  <c r="DU59" i="2"/>
  <c r="DV59" i="2"/>
  <c r="DW59" i="2"/>
  <c r="DX59" i="2"/>
  <c r="DY59" i="2"/>
  <c r="DZ59" i="2"/>
  <c r="EA59" i="2"/>
  <c r="EB59" i="2"/>
  <c r="EC59" i="2"/>
  <c r="ED59" i="2"/>
  <c r="EE59" i="2"/>
  <c r="EF59" i="2"/>
  <c r="DJ60" i="2"/>
  <c r="DK60" i="2"/>
  <c r="DL60" i="2"/>
  <c r="DM60" i="2"/>
  <c r="DN60" i="2"/>
  <c r="DO60" i="2"/>
  <c r="DP60" i="2"/>
  <c r="DQ60" i="2"/>
  <c r="DR60" i="2"/>
  <c r="DS60" i="2"/>
  <c r="DT60" i="2"/>
  <c r="DU60" i="2"/>
  <c r="DV60" i="2"/>
  <c r="DW60" i="2"/>
  <c r="DX60" i="2"/>
  <c r="DY60" i="2"/>
  <c r="DZ60" i="2"/>
  <c r="EA60" i="2"/>
  <c r="EB60" i="2"/>
  <c r="EC60" i="2"/>
  <c r="ED60" i="2"/>
  <c r="EE60" i="2"/>
  <c r="EF60" i="2"/>
  <c r="DJ63" i="2"/>
  <c r="DK63" i="2"/>
  <c r="DL63" i="2"/>
  <c r="DM63" i="2"/>
  <c r="DN63" i="2"/>
  <c r="DO63" i="2"/>
  <c r="DP63" i="2"/>
  <c r="DQ63" i="2"/>
  <c r="DR63" i="2"/>
  <c r="DS63" i="2"/>
  <c r="DT63" i="2"/>
  <c r="DU63" i="2"/>
  <c r="DV63" i="2"/>
  <c r="DW63" i="2"/>
  <c r="DX63" i="2"/>
  <c r="DY63" i="2"/>
  <c r="DZ63" i="2"/>
  <c r="EA63" i="2"/>
  <c r="EB63" i="2"/>
  <c r="EC63" i="2"/>
  <c r="ED63" i="2"/>
  <c r="EE63" i="2"/>
  <c r="EF63" i="2"/>
  <c r="DJ66" i="2"/>
  <c r="DK66" i="2"/>
  <c r="DL66" i="2"/>
  <c r="DM66" i="2"/>
  <c r="DN66" i="2"/>
  <c r="DO66" i="2"/>
  <c r="DP66" i="2"/>
  <c r="DQ66" i="2"/>
  <c r="DR66" i="2"/>
  <c r="DS66" i="2"/>
  <c r="DT66" i="2"/>
  <c r="DU66" i="2"/>
  <c r="DV66" i="2"/>
  <c r="DW66" i="2"/>
  <c r="DX66" i="2"/>
  <c r="DY66" i="2"/>
  <c r="DZ66" i="2"/>
  <c r="EA66" i="2"/>
  <c r="EB66" i="2"/>
  <c r="EC66" i="2"/>
  <c r="ED66" i="2"/>
  <c r="EE66" i="2"/>
  <c r="EF66" i="2"/>
  <c r="DJ67" i="2"/>
  <c r="DK67" i="2"/>
  <c r="DL67" i="2"/>
  <c r="DM67" i="2"/>
  <c r="DN67" i="2"/>
  <c r="DO67" i="2"/>
  <c r="DP67" i="2"/>
  <c r="DQ67" i="2"/>
  <c r="DR67" i="2"/>
  <c r="DS67" i="2"/>
  <c r="DT67" i="2"/>
  <c r="DU67" i="2"/>
  <c r="DV67" i="2"/>
  <c r="DW67" i="2"/>
  <c r="DX67" i="2"/>
  <c r="DY67" i="2"/>
  <c r="DZ67" i="2"/>
  <c r="EA67" i="2"/>
  <c r="EB67" i="2"/>
  <c r="EC67" i="2"/>
  <c r="ED67" i="2"/>
  <c r="EE67" i="2"/>
  <c r="EF67" i="2"/>
  <c r="DJ75" i="2"/>
  <c r="DK75" i="2"/>
  <c r="DL75" i="2"/>
  <c r="DM75" i="2"/>
  <c r="DN75" i="2"/>
  <c r="DO75" i="2"/>
  <c r="DP75" i="2"/>
  <c r="DQ75" i="2"/>
  <c r="DR75" i="2"/>
  <c r="DS75" i="2"/>
  <c r="DT75" i="2"/>
  <c r="DU75" i="2"/>
  <c r="DV75" i="2"/>
  <c r="DW75" i="2"/>
  <c r="DX75" i="2"/>
  <c r="DY75" i="2"/>
  <c r="DZ75" i="2"/>
  <c r="EA75" i="2"/>
  <c r="EB75" i="2"/>
  <c r="EC75" i="2"/>
  <c r="ED75" i="2"/>
  <c r="EE75" i="2"/>
  <c r="EF75" i="2"/>
  <c r="DL76" i="2"/>
  <c r="DJ79" i="2"/>
  <c r="DK79" i="2"/>
  <c r="DL79" i="2"/>
  <c r="DM79" i="2"/>
  <c r="DN79" i="2"/>
  <c r="DO79" i="2"/>
  <c r="DP79" i="2"/>
  <c r="DQ79" i="2"/>
  <c r="DR79" i="2"/>
  <c r="DS79" i="2"/>
  <c r="DT79" i="2"/>
  <c r="DU79" i="2"/>
  <c r="DV79" i="2"/>
  <c r="DW79" i="2"/>
  <c r="DX79" i="2"/>
  <c r="DY79" i="2"/>
  <c r="DZ79" i="2"/>
  <c r="EA79" i="2"/>
  <c r="EB79" i="2"/>
  <c r="EC79" i="2"/>
  <c r="ED79" i="2"/>
  <c r="EE79" i="2"/>
  <c r="EF79" i="2"/>
  <c r="DJ80" i="2"/>
  <c r="DK80" i="2"/>
  <c r="DL80" i="2"/>
  <c r="DM80" i="2"/>
  <c r="DN80" i="2"/>
  <c r="DO80" i="2"/>
  <c r="DP80" i="2"/>
  <c r="DQ80" i="2"/>
  <c r="DR80" i="2"/>
  <c r="DS80" i="2"/>
  <c r="DT80" i="2"/>
  <c r="DU80" i="2"/>
  <c r="DV80" i="2"/>
  <c r="DW80" i="2"/>
  <c r="DX80" i="2"/>
  <c r="DY80" i="2"/>
  <c r="DZ80" i="2"/>
  <c r="EA80" i="2"/>
  <c r="EB80" i="2"/>
  <c r="EC80" i="2"/>
  <c r="ED80" i="2"/>
  <c r="EE80" i="2"/>
  <c r="EF80" i="2"/>
  <c r="DO81" i="2"/>
  <c r="DQ81" i="2"/>
  <c r="DR81" i="2"/>
  <c r="DV81" i="2"/>
  <c r="DW81" i="2"/>
  <c r="EA81" i="2"/>
  <c r="EB81" i="2"/>
  <c r="EF81" i="2"/>
  <c r="DL82" i="2"/>
  <c r="DJ95" i="2"/>
  <c r="DK95" i="2"/>
  <c r="DL95" i="2"/>
  <c r="DM95" i="2"/>
  <c r="DN95" i="2"/>
  <c r="DO95" i="2"/>
  <c r="DP95" i="2"/>
  <c r="DQ95" i="2"/>
  <c r="DR95" i="2"/>
  <c r="DS95" i="2"/>
  <c r="DT95" i="2"/>
  <c r="DU95" i="2"/>
  <c r="DV95" i="2"/>
  <c r="DW95" i="2"/>
  <c r="DX95" i="2"/>
  <c r="DY95" i="2"/>
  <c r="DZ95" i="2"/>
  <c r="EA95" i="2"/>
  <c r="EB95" i="2"/>
  <c r="EC95" i="2"/>
  <c r="ED95" i="2"/>
  <c r="EE95" i="2"/>
  <c r="EF95" i="2"/>
  <c r="DL96" i="2"/>
  <c r="DQ96" i="2"/>
  <c r="DV96" i="2"/>
  <c r="EA96" i="2"/>
  <c r="EF96" i="2"/>
  <c r="DL97" i="2"/>
  <c r="DQ97" i="2"/>
  <c r="DV97" i="2"/>
  <c r="EA97" i="2"/>
  <c r="EF97" i="2"/>
  <c r="DL98" i="2"/>
  <c r="DQ98" i="2"/>
  <c r="DV98" i="2"/>
  <c r="EA98" i="2"/>
  <c r="EF98" i="2"/>
  <c r="A2" i="7"/>
  <c r="BF45" i="19"/>
  <c r="BG45" i="19"/>
  <c r="BH45" i="19"/>
  <c r="BI45" i="19"/>
  <c r="BJ45" i="19"/>
  <c r="BK45" i="19"/>
  <c r="BL45" i="19"/>
  <c r="BM45" i="19"/>
  <c r="BF51" i="19"/>
  <c r="BG51" i="19"/>
  <c r="BH51" i="19"/>
  <c r="BI51" i="19"/>
  <c r="BJ51" i="19"/>
  <c r="BK51" i="19"/>
  <c r="BL51" i="19"/>
  <c r="BM51" i="19"/>
  <c r="BF52" i="19"/>
  <c r="BG52" i="19"/>
  <c r="BH52" i="19"/>
  <c r="BI52" i="19"/>
  <c r="BJ52" i="19"/>
  <c r="BK52" i="19"/>
  <c r="BL52" i="19"/>
  <c r="BM52" i="19"/>
  <c r="BH53" i="19"/>
  <c r="BM53" i="19"/>
  <c r="BF66" i="19"/>
  <c r="BG66" i="19"/>
  <c r="BH66" i="19"/>
  <c r="BI66" i="19"/>
  <c r="BJ66" i="19"/>
  <c r="BK66" i="19"/>
  <c r="BL66" i="19"/>
  <c r="BM66" i="19"/>
  <c r="BF68" i="19"/>
  <c r="BG68" i="19"/>
  <c r="BH68" i="19"/>
  <c r="BI68" i="19"/>
  <c r="BJ68" i="19"/>
  <c r="BK68" i="19"/>
  <c r="BL68" i="19"/>
  <c r="BM68" i="19"/>
  <c r="BF74" i="19"/>
  <c r="BG74" i="19"/>
  <c r="BH74" i="19"/>
  <c r="BI74" i="19"/>
  <c r="BJ74" i="19"/>
  <c r="BK74" i="19"/>
  <c r="BL74" i="19"/>
  <c r="BM74" i="19"/>
  <c r="BF76" i="19"/>
  <c r="BG76" i="19"/>
  <c r="BH76" i="19"/>
  <c r="BI76" i="19"/>
  <c r="BJ76" i="19"/>
  <c r="BK76" i="19"/>
  <c r="BL76" i="19"/>
  <c r="BM76" i="19"/>
  <c r="BF77" i="19"/>
  <c r="BG77" i="19"/>
  <c r="BH77" i="19"/>
  <c r="BI77" i="19"/>
  <c r="BJ77" i="19"/>
  <c r="BK77" i="19"/>
  <c r="BL77" i="19"/>
  <c r="BM77" i="19"/>
  <c r="BF83" i="19"/>
  <c r="BG83" i="19"/>
  <c r="BH83" i="19"/>
  <c r="BI83" i="19"/>
  <c r="BJ83" i="19"/>
  <c r="BK83" i="19"/>
  <c r="BL83" i="19"/>
  <c r="BM83" i="19"/>
  <c r="C4" i="16"/>
  <c r="C5" i="16"/>
  <c r="C8" i="16"/>
  <c r="C11" i="16"/>
  <c r="D11" i="16"/>
  <c r="C12" i="16"/>
  <c r="F12" i="16"/>
  <c r="F13" i="16"/>
  <c r="C14" i="16"/>
  <c r="F14" i="16"/>
  <c r="C15" i="16"/>
  <c r="F15" i="16"/>
  <c r="C16" i="16"/>
  <c r="C20" i="16"/>
  <c r="C21" i="16"/>
  <c r="C24" i="16"/>
  <c r="C2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credenel</author>
    <author>mmilman</author>
    <author>cambaugu</author>
    <author>Salgado, Joao</author>
    <author>t607276</author>
    <author>Cambauva, Gustavo</author>
    <author>tc={31E22DF7-0709-4E05-8774-582A3FC106A9}</author>
    <author>tc={8284F7DF-810E-4210-A60A-11DCDB3B0119}</author>
    <author>Marcello Milman</author>
    <author>t608810</author>
    <author>milmanma</author>
    <author>fabrisgu</author>
    <author>tc={FA3EC16F-FA78-4505-99DA-CBB9603D026C}</author>
    <author>PASCALAN</author>
    <author>Christina</author>
  </authors>
  <commentList>
    <comment ref="CQ2" authorId="0" shapeId="0" xr:uid="{2332471D-A553-4AA5-B4A9-B26B8A600476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SKR baixando</t>
        </r>
      </text>
    </comment>
    <comment ref="AG5" authorId="1" shapeId="0" xr:uid="{00000000-0006-0000-0100-000001000000}">
      <text>
        <r>
          <rPr>
            <b/>
            <sz val="8"/>
            <color indexed="81"/>
            <rFont val="Tahoma"/>
            <family val="2"/>
          </rPr>
          <t>mmilman:</t>
        </r>
        <r>
          <rPr>
            <sz val="8"/>
            <color indexed="81"/>
            <rFont val="Tahoma"/>
            <family val="2"/>
          </rPr>
          <t xml:space="preserve">
voltando pra receita</t>
        </r>
      </text>
    </comment>
    <comment ref="BW5" authorId="2" shapeId="0" xr:uid="{943A6923-EE58-4303-AC3B-1D39A5624BFA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R$254mn boosted by provisions for cancellations</t>
        </r>
      </text>
    </comment>
    <comment ref="BY5" authorId="2" shapeId="0" xr:uid="{334F1C9B-9EF7-4FF2-8002-68D211E8F4C5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R$14mn provisions for cancellations</t>
        </r>
      </text>
    </comment>
    <comment ref="AS8" authorId="2" shapeId="0" xr:uid="{00000000-0006-0000-0100-000002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RET</t>
        </r>
      </text>
    </comment>
    <comment ref="BW12" authorId="2" shapeId="0" xr:uid="{27E174D9-4E62-4CDE-81D0-74E8DF027601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R$167mn added due to provisiion changes + R$67mn related to cost overrun in Maranhão</t>
        </r>
      </text>
    </comment>
    <comment ref="AG13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mmilman:</t>
        </r>
        <r>
          <rPr>
            <sz val="8"/>
            <color indexed="81"/>
            <rFont val="Tahoma"/>
            <family val="2"/>
          </rPr>
          <t xml:space="preserve">
Nota 7</t>
        </r>
      </text>
    </comment>
    <comment ref="BF20" authorId="3" shapeId="0" xr:uid="{00000000-0006-0000-0100-000004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Unexercised stock options (R$15mn impact)</t>
        </r>
      </text>
    </comment>
    <comment ref="BZ20" authorId="0" shapeId="0" xr:uid="{DD56EE50-DB69-43A5-8DAD-876D3925EE85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Indenização para riscos diversos subiu 12mn</t>
        </r>
      </text>
    </comment>
    <comment ref="CI20" authorId="0" shapeId="0" xr:uid="{94153DD1-62F0-4350-B4C8-088F105AFC89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Bônus de Diretor que aposentou</t>
        </r>
      </text>
    </comment>
    <comment ref="X23" authorId="4" shapeId="0" xr:uid="{00000000-0006-0000-0100-000005000000}">
      <text>
        <r>
          <rPr>
            <b/>
            <sz val="8"/>
            <color indexed="81"/>
            <rFont val="Tahoma"/>
            <family val="2"/>
          </rPr>
          <t>t607276:</t>
        </r>
        <r>
          <rPr>
            <sz val="8"/>
            <color indexed="81"/>
            <rFont val="Tahoma"/>
            <family val="2"/>
          </rPr>
          <t xml:space="preserve">
R$16902 million loss</t>
        </r>
      </text>
    </comment>
    <comment ref="BF25" authorId="3" shapeId="0" xr:uid="{00000000-0006-0000-0100-000006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Pre-payment of a debt denominated in US$ (~R$20mn impact)</t>
        </r>
      </text>
    </comment>
    <comment ref="CF30" authorId="0" shapeId="0" xr:uid="{7F678F78-6258-495D-A7FC-1717FFE95A8C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Lavvi, Plano&amp;Plano and Cury IPOs</t>
        </r>
      </text>
    </comment>
    <comment ref="BF32" authorId="3" shapeId="0" xr:uid="{00000000-0006-0000-0100-000007000000}">
      <text>
        <r>
          <rPr>
            <b/>
            <sz val="8"/>
            <color indexed="81"/>
            <rFont val="Tahoma"/>
            <family val="2"/>
          </rPr>
          <t>Salgado, Joao:</t>
        </r>
        <r>
          <rPr>
            <sz val="8"/>
            <color indexed="81"/>
            <rFont val="Tahoma"/>
            <family val="2"/>
          </rPr>
          <t xml:space="preserve">
Reversal of provisions (one-off impact)</t>
        </r>
      </text>
    </comment>
    <comment ref="BH32" authorId="5" shapeId="0" xr:uid="{00000000-0006-0000-0100-000008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R$21mn in provisions for sales cancellations - Ibracon</t>
        </r>
      </text>
    </comment>
    <comment ref="BM32" authorId="5" shapeId="0" xr:uid="{00000000-0006-0000-0100-000009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R$21mn in provisions for sales cancellations - Ibracon</t>
        </r>
      </text>
    </comment>
    <comment ref="BO32" authorId="5" shapeId="0" xr:uid="{00000000-0006-0000-0100-00000A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helped by a R$19mn gain in the sale of 2 land plots</t>
        </r>
      </text>
    </comment>
    <comment ref="BP32" authorId="5" shapeId="0" xr:uid="{00000000-0006-0000-0100-00000B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R$130mn related with the "Grand Parc" project in Vitória that suffered construction issues</t>
        </r>
      </text>
    </comment>
    <comment ref="BQ32" authorId="5" shapeId="0" xr:uid="{00000000-0006-0000-0100-00000C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R$10mn reversal of PDA; R$15mn gains in the sale of Tecnisa's shares and one land plot to CCP</t>
        </r>
      </text>
    </comment>
    <comment ref="BR32" authorId="5" shapeId="0" xr:uid="{00000000-0006-0000-0100-00000D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R$21mn in provisions for sales cancellations - Ibracon</t>
        </r>
      </text>
    </comment>
    <comment ref="BT32" authorId="5" shapeId="0" xr:uid="{00000000-0006-0000-0100-00000E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company recovered some R$41mn in provisions that were made in 4Q17 (due to new IFRS 9 rules) were offset by R$21mn loss in the distrato of a land plot and R$19mn additional expenses with construction overruns</t>
        </r>
      </text>
    </comment>
    <comment ref="BV32" authorId="5" shapeId="0" xr:uid="{74DC7E77-6277-4A1A-AACD-AA73C73C0CC6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(i) A negative impact of R$29mn from an impairment loss in a plot of land in Rio de Janeiro
(ii) A negative impact of R$31mn due to contingencies;
(iii) A negative impact of R$94mn from reparatory expenses in the Northeast Region, with partner
(iv) A positive impact of R$28mn resulting from the net consumption of the provision for credit risks regarding cancellations.</t>
        </r>
      </text>
    </comment>
    <comment ref="BW32" authorId="2" shapeId="0" xr:uid="{54B3892E-DAC4-43C3-B46D-A60CBBEE12E4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R$13mn related with cancellations of land swap agreement + R$26mn impairment of land and inventory + R$42mn additional contingencies</t>
        </r>
      </text>
    </comment>
    <comment ref="BY32" authorId="5" shapeId="0" xr:uid="{EB66F859-CA5A-4806-B30C-90FB6D357964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company recovered some R$41mn in provisions that were made in 4Q17 (due to new IFRS 9 rules) were offset by R$21mn loss in the distrato of a land plot and R$19mn additional expenses with construction overruns</t>
        </r>
      </text>
    </comment>
    <comment ref="CD32" authorId="0" shapeId="0" xr:uid="{3562D186-3688-4332-958C-B2461B09F0C5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-R$30mn (TCSA and CCPR shares), -R$31mn contingencies and +R$33mn (CPPIB operation)</t>
        </r>
      </text>
    </comment>
    <comment ref="CP32" authorId="6" shapeId="0" xr:uid="{31E22DF7-0709-4E05-8774-582A3FC106A9}">
      <text>
        <t>[Threaded comment]
Your version of Excel allows you to read this threaded comment; however, any edits to it will get removed if the file is opened in a newer version of Excel. Learn more: https://go.microsoft.com/fwlink/?linkid=870924
Comment:
    gains in the sale of CURY3</t>
      </text>
    </comment>
    <comment ref="CX32" authorId="0" shapeId="0" xr:uid="{FC8A38EE-B4B1-48BA-9D48-448A99696507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Gains in the sale of CURY3</t>
        </r>
      </text>
    </comment>
    <comment ref="CY32" authorId="7" shapeId="0" xr:uid="{8284F7DF-810E-4210-A60A-11DCDB3B0119}">
      <text>
        <t>[Threaded comment]
Your version of Excel allows you to read this threaded comment; however, any edits to it will get removed if the file is opened in a newer version of Excel. Learn more: https://go.microsoft.com/fwlink/?linkid=870924
Comment:
    R$59mn gain in the sale of Cury's shares</t>
      </text>
    </comment>
    <comment ref="CZ32" authorId="0" shapeId="0" xr:uid="{9EB70184-DC6E-4510-A659-02E12AA86E69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R$91mn of capital gains in the sale of CURY3 shares</t>
        </r>
      </text>
    </comment>
    <comment ref="AR33" authorId="8" shapeId="0" xr:uid="{00000000-0006-0000-0100-00000F000000}">
      <text>
        <r>
          <rPr>
            <b/>
            <sz val="9"/>
            <color indexed="81"/>
            <rFont val="Tahoma"/>
            <family val="2"/>
          </rPr>
          <t>Marcello Milman:</t>
        </r>
        <r>
          <rPr>
            <sz val="9"/>
            <color indexed="81"/>
            <rFont val="Tahoma"/>
            <family val="2"/>
          </rPr>
          <t xml:space="preserve">
FROM CASH FLOW ST</t>
        </r>
      </text>
    </comment>
    <comment ref="R34" authorId="9" shapeId="0" xr:uid="{00000000-0006-0000-0100-000010000000}">
      <text>
        <r>
          <rPr>
            <b/>
            <sz val="8"/>
            <color indexed="81"/>
            <rFont val="Tahoma"/>
            <family val="2"/>
          </rPr>
          <t>t608810:</t>
        </r>
        <r>
          <rPr>
            <sz val="8"/>
            <color indexed="81"/>
            <rFont val="Tahoma"/>
            <family val="2"/>
          </rPr>
          <t xml:space="preserve">
Capital gain - Agra</t>
        </r>
      </text>
    </comment>
    <comment ref="AN34" authorId="10" shapeId="0" xr:uid="{00000000-0006-0000-0100-000011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(i) distratos de terrenos, não mais lancaveis
(ii) doacao instituto Cyrela
(iii) processos juridicos</t>
        </r>
      </text>
    </comment>
    <comment ref="AP34" authorId="10" shapeId="0" xr:uid="{00000000-0006-0000-0100-000012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Provision for 2011</t>
        </r>
      </text>
    </comment>
    <comment ref="AV34" authorId="10" shapeId="0" xr:uid="{00000000-0006-0000-0100-000013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Donation to Instituto Cyrela</t>
        </r>
      </text>
    </comment>
    <comment ref="DE34" authorId="11" shapeId="0" xr:uid="{E752A4FF-FC94-44B4-8DFF-3D270087D11B}">
      <text>
        <r>
          <rPr>
            <b/>
            <sz val="9"/>
            <color indexed="81"/>
            <rFont val="Tahoma"/>
            <family val="2"/>
          </rPr>
          <t>fabrisgu:</t>
        </r>
        <r>
          <rPr>
            <sz val="9"/>
            <color indexed="81"/>
            <rFont val="Tahoma"/>
            <family val="2"/>
          </rPr>
          <t xml:space="preserve">
Gains from sale of R$251mn in Cury's shares</t>
        </r>
      </text>
    </comment>
    <comment ref="AN35" authorId="10" shapeId="0" xr:uid="{00000000-0006-0000-0100-000014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equalizacao de participacao em projetos
acordo do fluxo de dividendos</t>
        </r>
      </text>
    </comment>
    <comment ref="AU35" authorId="10" shapeId="0" xr:uid="{00000000-0006-0000-0100-000015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includes outros resultados de investimentos</t>
        </r>
      </text>
    </comment>
    <comment ref="AV35" authorId="10" shapeId="0" xr:uid="{00000000-0006-0000-0100-000016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includes outros resultados de investimentos</t>
        </r>
      </text>
    </comment>
    <comment ref="AZ35" authorId="10" shapeId="0" xr:uid="{00000000-0006-0000-0100-000018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Cury (30%) ROE of 25%
Rest (70%) ROE of 15%
</t>
        </r>
      </text>
    </comment>
    <comment ref="BP35" authorId="5" shapeId="0" xr:uid="{00000000-0006-0000-0100-000019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MAC is no longer consolidated - it is flowing in the equity income line</t>
        </r>
      </text>
    </comment>
    <comment ref="BW35" authorId="2" shapeId="0" xr:uid="{0CF23DDE-8FFA-4AFD-872B-5BF8DC5B7278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R$29mn from Cury + R$37mn in the project "You Ibirapuera"</t>
        </r>
      </text>
    </comment>
    <comment ref="BY35" authorId="2" shapeId="0" xr:uid="{AB33D97B-18A5-4A04-ABA7-BB95C7F54EC6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sales stand in the Ibirapuera project was expensed in 1Q19</t>
        </r>
      </text>
    </comment>
    <comment ref="DJ35" authorId="2" shapeId="0" xr:uid="{895DC897-5E25-4B28-86F3-7F4861783414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K35" authorId="2" shapeId="0" xr:uid="{AB03811F-065E-4879-AB0E-EA7981AE3250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M35" authorId="2" shapeId="0" xr:uid="{EE63AD33-8B1D-4BB4-B906-96ADABCCA1F6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N35" authorId="2" shapeId="0" xr:uid="{35F79353-C0C1-41E7-8DD1-D68AFAC5B61A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O35" authorId="2" shapeId="0" xr:uid="{C3AB2FAE-0BCA-4AE0-92ED-CF22B80B11D0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P35" authorId="2" shapeId="0" xr:uid="{2B6D1B30-21DA-4530-9F1E-5B6104F01C65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R35" authorId="2" shapeId="0" xr:uid="{8A789931-0742-4663-BA25-5DFDE0767295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S35" authorId="2" shapeId="0" xr:uid="{5106BED8-9A1F-49A5-9D20-BC8685D58347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T35" authorId="2" shapeId="0" xr:uid="{A91FC5E3-3894-49BC-BC34-15C84A192CCE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U35" authorId="2" shapeId="0" xr:uid="{1A9F1E16-9F1F-4548-9C8C-C018A0A8716C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W35" authorId="2" shapeId="0" xr:uid="{680387B1-EBF4-4424-840C-F1AC63AF2E11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X35" authorId="2" shapeId="0" xr:uid="{5ABC6AFA-891E-477B-8A02-011C0D90E2FE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Y35" authorId="2" shapeId="0" xr:uid="{D632779B-A29C-4F02-BF58-DC8A87879C7F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DZ35" authorId="2" shapeId="0" xr:uid="{6580127D-4675-4AC8-9D62-FBA490347FB8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EB35" authorId="2" shapeId="0" xr:uid="{1D94D4C2-E94B-4E83-BCF1-63EA5B01AAD9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EC35" authorId="2" shapeId="0" xr:uid="{2413DF63-DC64-448E-8C92-9D6F7F077830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ED35" authorId="2" shapeId="0" xr:uid="{0D7D4B76-789B-4632-BD6A-1527D4D8671C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EE35" authorId="2" shapeId="0" xr:uid="{00542771-31A8-4E95-9C22-FC58104C3CF0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Cyrela owns non-consolidated participations in: (i) Cury (30.96%); (ii) Lavvi (25.82%) and (iii) Plano&amp;Plano (33.50%)</t>
        </r>
      </text>
    </comment>
    <comment ref="AS41" authorId="2" shapeId="0" xr:uid="{00000000-0006-0000-0100-00001A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RET</t>
        </r>
      </text>
    </comment>
    <comment ref="CY45" authorId="12" shapeId="0" xr:uid="{FA3EC16F-FA78-4505-99DA-CBB9603D026C}">
      <text>
        <t>[Threaded comment]
Your version of Excel allows you to read this threaded comment; however, any edits to it will get removed if the file is opened in a newer version of Excel. Learn more: https://go.microsoft.com/fwlink/?linkid=870924
Comment:
    Eden</t>
      </text>
    </comment>
    <comment ref="BW49" authorId="2" shapeId="0" xr:uid="{EECA34B4-E537-47F4-B184-88E7CA6A3165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announced Dec-18</t>
        </r>
      </text>
    </comment>
    <comment ref="CA49" authorId="2" shapeId="0" xr:uid="{E97CCAAB-0948-4630-ADB5-386182E1732E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announced July</t>
        </r>
      </text>
    </comment>
    <comment ref="CB49" authorId="2" shapeId="0" xr:uid="{457997A8-B41A-4209-828D-BD492D2337ED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announced Dec 5; stock was ex on the 11th; paid on the 20th</t>
        </r>
      </text>
    </comment>
    <comment ref="CF49" authorId="2" shapeId="0" xr:uid="{1758206E-DFF1-4D2A-BDE3-3E3BE1ED90EE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announced July 23rd</t>
        </r>
      </text>
    </comment>
    <comment ref="CG49" authorId="2" shapeId="0" xr:uid="{3B86431E-9850-4760-9D4D-DE4783954370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announced December 10th</t>
        </r>
      </text>
    </comment>
    <comment ref="CJ49" authorId="2" shapeId="0" xr:uid="{8F6E1A15-C778-4407-BE7B-795FEBF451E8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announced April 21st</t>
        </r>
      </text>
    </comment>
    <comment ref="CO49" authorId="2" shapeId="0" xr:uid="{26C67248-CAA7-4091-9AEE-BF724B0A0E67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announced April 22</t>
        </r>
      </text>
    </comment>
    <comment ref="DD49" authorId="13" shapeId="0" xr:uid="{D3AE10B6-C8F7-492E-9241-D8221311E45C}">
      <text>
        <r>
          <rPr>
            <b/>
            <sz val="9"/>
            <color indexed="81"/>
            <rFont val="Tahoma"/>
            <family val="2"/>
          </rPr>
          <t xml:space="preserve">CAMBAUGU:
</t>
        </r>
        <r>
          <rPr>
            <sz val="9"/>
            <color indexed="81"/>
            <rFont val="Tahoma"/>
            <family val="2"/>
          </rPr>
          <t>Announced in Apr/25</t>
        </r>
        <r>
          <rPr>
            <sz val="9"/>
            <color indexed="81"/>
            <rFont val="Tahoma"/>
            <family val="2"/>
          </rPr>
          <t xml:space="preserve">
ex-dividends in Apr/25
Paid: October 2nd</t>
        </r>
      </text>
    </comment>
    <comment ref="DF49" authorId="13" shapeId="0" xr:uid="{2C61872E-2D7B-4A96-B835-241B1DE7CC51}">
      <text>
        <r>
          <rPr>
            <b/>
            <sz val="9"/>
            <color indexed="81"/>
            <rFont val="Tahoma"/>
            <family val="2"/>
          </rPr>
          <t>announced Dec/25
ex Dec/25
paid Dec/25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W68" authorId="14" shapeId="0" xr:uid="{00000000-0006-0000-0100-00001B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From cash flow</t>
        </r>
      </text>
    </comment>
    <comment ref="AX68" authorId="14" shapeId="0" xr:uid="{00000000-0006-0000-0100-00001C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From cash flow</t>
        </r>
      </text>
    </comment>
    <comment ref="BC68" authorId="14" shapeId="0" xr:uid="{00000000-0006-0000-0100-00001D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From cash flow</t>
        </r>
      </text>
    </comment>
    <comment ref="BF68" authorId="14" shapeId="0" xr:uid="{00000000-0006-0000-0100-00001E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From cash flow</t>
        </r>
      </text>
    </comment>
    <comment ref="BH68" authorId="5" shapeId="0" xr:uid="{00000000-0006-0000-0100-00001F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from cash flow</t>
        </r>
      </text>
    </comment>
    <comment ref="BJ68" authorId="5" shapeId="0" xr:uid="{00000000-0006-0000-0100-000020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cash flow</t>
        </r>
      </text>
    </comment>
    <comment ref="BK68" authorId="14" shapeId="0" xr:uid="{00000000-0006-0000-0100-000021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From cash flow</t>
        </r>
      </text>
    </comment>
    <comment ref="BM68" authorId="5" shapeId="0" xr:uid="{00000000-0006-0000-0100-000022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from cash flow</t>
        </r>
      </text>
    </comment>
    <comment ref="BO68" authorId="5" shapeId="0" xr:uid="{00000000-0006-0000-0100-000023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cash flow</t>
        </r>
      </text>
    </comment>
    <comment ref="BP68" authorId="14" shapeId="0" xr:uid="{00000000-0006-0000-0100-000024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From cash flow</t>
        </r>
      </text>
    </comment>
    <comment ref="BT68" authorId="5" shapeId="0" xr:uid="{00000000-0006-0000-0100-000025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cash flow</t>
        </r>
      </text>
    </comment>
    <comment ref="BU68" authorId="14" shapeId="0" xr:uid="{00000000-0006-0000-0100-000026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From cash flow</t>
        </r>
      </text>
    </comment>
    <comment ref="BV68" authorId="2" shapeId="0" xr:uid="{0692924B-A4DE-43B0-8D72-B1528F4AE917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from cashflow statement</t>
        </r>
      </text>
    </comment>
    <comment ref="BY68" authorId="5" shapeId="0" xr:uid="{5A4B3D3F-B212-4117-8D4B-8E6F47D45157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cash flow</t>
        </r>
      </text>
    </comment>
    <comment ref="BZ68" authorId="14" shapeId="0" xr:uid="{35D4D2D2-E453-4FAD-9310-DC953D373071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From cash flow</t>
        </r>
      </text>
    </comment>
    <comment ref="CA68" authorId="2" shapeId="0" xr:uid="{6EA553DF-9E19-42F6-AD05-100A1CFE0A3E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from cashflow statement</t>
        </r>
      </text>
    </comment>
    <comment ref="CF68" authorId="2" shapeId="0" xr:uid="{B0E157E3-6D6C-4F41-A09A-E8D982E5653D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from cashflow statement</t>
        </r>
      </text>
    </comment>
    <comment ref="AV84" authorId="2" shapeId="0" xr:uid="{00000000-0006-0000-0100-000027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28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mmilman</author>
    <author>milmanma</author>
    <author>cambaugu</author>
    <author>Cambauva, Gustavo</author>
    <author>credenel</author>
    <author>fabrisgu</author>
  </authors>
  <commentList>
    <comment ref="AH7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mmilman:</t>
        </r>
        <r>
          <rPr>
            <sz val="8"/>
            <color indexed="81"/>
            <rFont val="Tahoma"/>
            <family val="2"/>
          </rPr>
          <t xml:space="preserve">
Advances to partners in SPEs and JVs
(Interest bearing)</t>
        </r>
      </text>
    </comment>
    <comment ref="AM8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5</t>
        </r>
      </text>
    </comment>
    <comment ref="AN8" authorId="2" shapeId="0" xr:uid="{00000000-0006-0000-0200-000003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5
</t>
        </r>
      </text>
    </comment>
    <comment ref="BT10" authorId="3" shapeId="0" xr:uid="{00000000-0006-0000-0200-000004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writeoff due to IFRS9 rules requiring higher provisioning</t>
        </r>
      </text>
    </comment>
    <comment ref="AM11" authorId="1" shapeId="0" xr:uid="{00000000-0006-0000-0200-000005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6</t>
        </r>
      </text>
    </comment>
    <comment ref="AN11" authorId="2" shapeId="0" xr:uid="{00000000-0006-0000-0200-000006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6</t>
        </r>
      </text>
    </comment>
    <comment ref="AN12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Baixas</t>
        </r>
      </text>
    </comment>
    <comment ref="BW13" authorId="2" shapeId="0" xr:uid="{44C9D966-1190-45FF-897A-4702BE5D4045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includes R$286mn provisions for cancellations</t>
        </r>
      </text>
    </comment>
    <comment ref="AL14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check how this grows in 3Q11 and PSV inventory falls</t>
        </r>
      </text>
    </comment>
    <comment ref="BM20" authorId="3" shapeId="0" xr:uid="{00000000-0006-0000-0200-000009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The JV MAC is now in the equity income line (contracts with MAC expired)</t>
        </r>
      </text>
    </comment>
    <comment ref="BO20" authorId="3" shapeId="0" xr:uid="{00000000-0006-0000-0200-00000A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The JV MAC is now in the equity income line (contracts with MAC expired)</t>
        </r>
      </text>
    </comment>
    <comment ref="BP20" authorId="3" shapeId="0" xr:uid="{00000000-0006-0000-0200-00000B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The JV MAC is now in the equity income line (contracts with MAC expired)</t>
        </r>
      </text>
    </comment>
    <comment ref="BQ20" authorId="3" shapeId="0" xr:uid="{00000000-0006-0000-0200-00000C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The JV MAC is now in the equity income line (contracts with MAC expired)</t>
        </r>
      </text>
    </comment>
    <comment ref="DA31" authorId="4" shapeId="0" xr:uid="{1DC846CA-FDBC-4287-8202-630C6F06597E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Snowbird Master Fundo De Investimento Imobiliários</t>
        </r>
      </text>
    </comment>
    <comment ref="AS32" authorId="2" shapeId="0" xr:uid="{00000000-0006-0000-0200-00000D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Excluding provisions (reclassified)</t>
        </r>
      </text>
    </comment>
    <comment ref="AV32" authorId="1" shapeId="0" xr:uid="{00000000-0006-0000-0200-00000E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Excluding provisions (reclassified)</t>
        </r>
      </text>
    </comment>
    <comment ref="AM34" authorId="1" shapeId="0" xr:uid="{00000000-0006-0000-0200-00000F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AN34" authorId="1" shapeId="0" xr:uid="{00000000-0006-0000-0200-000010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AP34" authorId="2" shapeId="0" xr:uid="{00000000-0006-0000-0200-000011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AQ34" authorId="2" shapeId="0" xr:uid="{00000000-0006-0000-0200-000012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AS34" authorId="2" shapeId="0" xr:uid="{00000000-0006-0000-0200-000013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AU34" authorId="2" shapeId="0" xr:uid="{00000000-0006-0000-0200-000014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AV34" authorId="1" shapeId="0" xr:uid="{00000000-0006-0000-0200-000015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From release (procurar no ITR)</t>
        </r>
      </text>
    </comment>
    <comment ref="AX34" authorId="2" shapeId="0" xr:uid="{00000000-0006-0000-0200-000016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AZ34" authorId="2" shapeId="0" xr:uid="{00000000-0006-0000-0200-000017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A34" authorId="2" shapeId="0" xr:uid="{00000000-0006-0000-0200-000018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B34" authorId="2" shapeId="0" xr:uid="{00000000-0006-0000-0200-000019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C34" authorId="2" shapeId="0" xr:uid="{00000000-0006-0000-0200-00001A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E34" authorId="2" shapeId="0" xr:uid="{00000000-0006-0000-0200-00001B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F34" authorId="2" shapeId="0" xr:uid="{00000000-0006-0000-0200-00001C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G34" authorId="2" shapeId="0" xr:uid="{00000000-0006-0000-0200-00001D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H34" authorId="2" shapeId="0" xr:uid="{00000000-0006-0000-0200-00001E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J34" authorId="2" shapeId="0" xr:uid="{00000000-0006-0000-0200-00001F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K34" authorId="2" shapeId="0" xr:uid="{00000000-0006-0000-0200-000020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L34" authorId="2" shapeId="0" xr:uid="{00000000-0006-0000-0200-000021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M34" authorId="2" shapeId="0" xr:uid="{00000000-0006-0000-0200-000022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O34" authorId="2" shapeId="0" xr:uid="{00000000-0006-0000-0200-000023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P34" authorId="2" shapeId="0" xr:uid="{00000000-0006-0000-0200-000024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Q34" authorId="2" shapeId="0" xr:uid="{00000000-0006-0000-0200-000025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R34" authorId="2" shapeId="0" xr:uid="{00000000-0006-0000-0200-000026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T34" authorId="2" shapeId="0" xr:uid="{00000000-0006-0000-0200-000027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U34" authorId="2" shapeId="0" xr:uid="{00000000-0006-0000-0200-000028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V34" authorId="2" shapeId="0" xr:uid="{D24DB2A0-3AD3-493D-A40C-5EF28233B3AB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W34" authorId="2" shapeId="0" xr:uid="{0A24DB5C-A994-4E8F-946C-C24A0466BA51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Y34" authorId="2" shapeId="0" xr:uid="{FAC1BD7B-AA5C-4188-BCBF-7E49E8312A18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BZ34" authorId="2" shapeId="0" xr:uid="{113A036B-CF83-448B-8607-1F8D88C06D05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A34" authorId="2" shapeId="0" xr:uid="{91DEB3D0-A114-40E9-A2B6-52F001720836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B34" authorId="2" shapeId="0" xr:uid="{11C1E50E-1FB4-41B8-9A62-9E1A55E53ACC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D34" authorId="2" shapeId="0" xr:uid="{8D2D3230-4B23-4E81-B686-7D78A37B3CAD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E34" authorId="2" shapeId="0" xr:uid="{FED1188B-A15C-4B6A-9295-CE65DED5B87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F34" authorId="2" shapeId="0" xr:uid="{5E25C61D-18BA-486E-A804-2BABE312E336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G34" authorId="2" shapeId="0" xr:uid="{BE918059-3A4D-4609-ACEE-C28AA7E5F267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I34" authorId="2" shapeId="0" xr:uid="{24E7810B-86DA-46E3-A3D2-9A6A7CE0E69A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J34" authorId="2" shapeId="0" xr:uid="{101493DD-DF31-4483-B25F-9757CFCFCF09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K34" authorId="2" shapeId="0" xr:uid="{8CE8FB8D-5712-4383-9D06-A88649DF80E4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L34" authorId="2" shapeId="0" xr:uid="{7CF6672A-EA9F-4008-BE18-BC2B740581CF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N34" authorId="2" shapeId="0" xr:uid="{E048EA2C-6F9A-453A-A632-DF12C42C30A9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O34" authorId="2" shapeId="0" xr:uid="{BF88F1A4-09E7-4458-A86B-FB0278C568E3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P34" authorId="2" shapeId="0" xr:uid="{5ABAAA09-EB92-47B3-BC29-E8B7BC45B914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Q34" authorId="2" shapeId="0" xr:uid="{F2C50741-40FA-412B-9941-F818DDA20E48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S34" authorId="2" shapeId="0" xr:uid="{A45B7B22-B7A2-40DA-A4F8-18500EF97184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T34" authorId="2" shapeId="0" xr:uid="{849F1C0E-1C5D-450E-B78B-5C83150FB92F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U34" authorId="2" shapeId="0" xr:uid="{6A3A24D7-B4FA-4B45-AFCA-1AE0C7ABD54A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V34" authorId="2" shapeId="0" xr:uid="{C092CCEC-8DD7-43CA-AB71-C93AFA84748C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X34" authorId="2" shapeId="0" xr:uid="{CEBF7D1D-90A3-47A5-B063-85AFB7D1FACE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Y34" authorId="2" shapeId="0" xr:uid="{926EB984-6D92-4B0B-8196-E9427B773946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CZ34" authorId="2" shapeId="0" xr:uid="{633CE26C-FE5B-4F8B-83E7-DE7F2A9231A5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DA34" authorId="2" shapeId="0" xr:uid="{EA102727-A697-4187-868F-38FC4EBF294F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DC34" authorId="2" shapeId="0" xr:uid="{5407D062-5654-4408-8FD1-7548FDA7F96D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DD34" authorId="2" shapeId="0" xr:uid="{E777A4B0-D29A-4F0B-9313-92455FCD7885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DE34" authorId="2" shapeId="0" xr:uid="{EE37FDAE-9C1C-495A-B402-328760855555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DF34" authorId="2" shapeId="0" xr:uid="{3350BBC1-9B58-41EB-8F94-FE15F5919B2C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DH34" authorId="2" shapeId="0" xr:uid="{102D9CF9-FF25-4C31-A724-3C19C36BB295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DI34" authorId="2" shapeId="0" xr:uid="{6BD678F6-CB80-4EC2-9D46-5C17319D72D7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16</t>
        </r>
      </text>
    </comment>
    <comment ref="AX35" authorId="3" shapeId="0" xr:uid="{00000000-0006-0000-0200-000029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AZ35" authorId="3" shapeId="0" xr:uid="{00000000-0006-0000-0200-00002A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A35" authorId="3" shapeId="0" xr:uid="{00000000-0006-0000-0200-00002B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B35" authorId="3" shapeId="0" xr:uid="{00000000-0006-0000-0200-00002C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C35" authorId="3" shapeId="0" xr:uid="{00000000-0006-0000-0200-00002D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E35" authorId="3" shapeId="0" xr:uid="{00000000-0006-0000-0200-00002E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F35" authorId="3" shapeId="0" xr:uid="{00000000-0006-0000-0200-00002F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G35" authorId="3" shapeId="0" xr:uid="{00000000-0006-0000-0200-000030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H35" authorId="3" shapeId="0" xr:uid="{00000000-0006-0000-0200-000031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J35" authorId="3" shapeId="0" xr:uid="{00000000-0006-0000-0200-000032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K35" authorId="3" shapeId="0" xr:uid="{00000000-0006-0000-0200-000033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L35" authorId="3" shapeId="0" xr:uid="{00000000-0006-0000-0200-000034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M35" authorId="3" shapeId="0" xr:uid="{00000000-0006-0000-0200-000035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O35" authorId="3" shapeId="0" xr:uid="{00000000-0006-0000-0200-000036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P35" authorId="3" shapeId="0" xr:uid="{00000000-0006-0000-0200-000037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Q35" authorId="3" shapeId="0" xr:uid="{00000000-0006-0000-0200-000038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R35" authorId="3" shapeId="0" xr:uid="{00000000-0006-0000-0200-000039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T35" authorId="3" shapeId="0" xr:uid="{00000000-0006-0000-0200-00003A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U35" authorId="3" shapeId="0" xr:uid="{00000000-0006-0000-0200-00003B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V35" authorId="3" shapeId="0" xr:uid="{11A0CF79-CBA9-4E5F-B96E-A76D82DAFBC2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W35" authorId="3" shapeId="0" xr:uid="{7BABDF97-A1DB-4EDB-B3F7-425010246124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Y35" authorId="3" shapeId="0" xr:uid="{081ED9F0-232A-4120-8F6D-20EA71F03DBC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BZ35" authorId="3" shapeId="0" xr:uid="{233DEA63-9606-4550-9594-694CCC866515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A35" authorId="3" shapeId="0" xr:uid="{1AE1B6FF-1396-41C6-B4A6-5286427ABF33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B35" authorId="3" shapeId="0" xr:uid="{3A74B068-5E2D-45D3-9C59-A8EC2B10C82B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D35" authorId="3" shapeId="0" xr:uid="{80A02F6F-118E-4EA9-98B6-84256EE18ECA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E35" authorId="3" shapeId="0" xr:uid="{256BE899-1E19-47AC-8E99-C5C858C08DED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F35" authorId="3" shapeId="0" xr:uid="{BE434E6B-0ACA-4A66-AD7E-EEB337A2EE3C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G35" authorId="3" shapeId="0" xr:uid="{8EC5DDBB-39DE-4EDC-B486-14CCAAEDE076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I35" authorId="3" shapeId="0" xr:uid="{C43C0834-756C-43CD-A495-06DDB648354E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J35" authorId="3" shapeId="0" xr:uid="{996725F4-ACCD-4EF3-9E18-60A2CF10DC35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K35" authorId="3" shapeId="0" xr:uid="{4F2E3885-0727-4D1E-839E-580126277A5A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L35" authorId="3" shapeId="0" xr:uid="{B4527BB0-3872-41CC-BB82-A7DAAAEC5744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N35" authorId="3" shapeId="0" xr:uid="{3A2BAC94-B6C4-4F51-B050-9B87B2047742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O35" authorId="3" shapeId="0" xr:uid="{3F4234F4-DBB1-467A-909C-6980011E71B9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P35" authorId="3" shapeId="0" xr:uid="{3F122D5B-3A3D-4E55-85C7-E91BA879A95E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Q35" authorId="3" shapeId="0" xr:uid="{827FBFB8-16F7-4F3B-8821-EDA24947756B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S35" authorId="3" shapeId="0" xr:uid="{CE50DF1D-1ACB-499D-9D99-09AADA9A5C3C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T35" authorId="3" shapeId="0" xr:uid="{C31473C8-5CCC-4BDC-A4D6-0021410F2545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U35" authorId="3" shapeId="0" xr:uid="{B93B3B9A-F601-4338-917A-DDC83AFF8C1E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V35" authorId="3" shapeId="0" xr:uid="{5F12F57D-AAB0-4C6A-99B6-A0792A870485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X35" authorId="3" shapeId="0" xr:uid="{9CDF982C-856B-492C-BB56-2FF631F25333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Y35" authorId="3" shapeId="0" xr:uid="{D3600D6F-1004-4690-A056-90D22878DFA9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CZ35" authorId="3" shapeId="0" xr:uid="{2733029A-B3E4-4012-B22C-CF3F3E2029ED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DA35" authorId="3" shapeId="0" xr:uid="{9A87186C-E365-419C-AAE7-0E44D89C311E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DC35" authorId="3" shapeId="0" xr:uid="{40E05C05-3ECF-4BD3-ADB5-91C5D72BCE8D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DD35" authorId="3" shapeId="0" xr:uid="{D5EBDB7D-1CDA-46C6-8B3A-F97EB4E6353B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DE35" authorId="3" shapeId="0" xr:uid="{2B8B7936-F855-4E56-B015-88AB2EDB14F8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DF35" authorId="3" shapeId="0" xr:uid="{F681217C-DDD2-4FC9-AA91-4E83FF081F16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DH35" authorId="3" shapeId="0" xr:uid="{51788E0B-29A5-43C8-B5D9-C76661746A1B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DI35" authorId="3" shapeId="0" xr:uid="{C2E3F0C4-59E5-4A36-9D02-184FF13DAE23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nota 16 + nota 18</t>
        </r>
      </text>
    </comment>
    <comment ref="AV39" authorId="1" shapeId="0" xr:uid="{00000000-0006-0000-0200-00003C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provision for guarantees</t>
        </r>
      </text>
    </comment>
    <comment ref="AX39" authorId="1" shapeId="0" xr:uid="{00000000-0006-0000-0200-00003D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AZ39" authorId="1" shapeId="0" xr:uid="{00000000-0006-0000-0200-00003E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A39" authorId="1" shapeId="0" xr:uid="{00000000-0006-0000-0200-00003F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C39" authorId="1" shapeId="0" xr:uid="{00000000-0006-0000-0200-000040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E39" authorId="1" shapeId="0" xr:uid="{00000000-0006-0000-0200-000041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F39" authorId="1" shapeId="0" xr:uid="{00000000-0006-0000-0200-000042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G39" authorId="1" shapeId="0" xr:uid="{00000000-0006-0000-0200-000043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H39" authorId="1" shapeId="0" xr:uid="{00000000-0006-0000-0200-000044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J39" authorId="1" shapeId="0" xr:uid="{00000000-0006-0000-0200-000045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K39" authorId="1" shapeId="0" xr:uid="{00000000-0006-0000-0200-000046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L39" authorId="1" shapeId="0" xr:uid="{00000000-0006-0000-0200-000047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M39" authorId="1" shapeId="0" xr:uid="{00000000-0006-0000-0200-000048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O39" authorId="1" shapeId="0" xr:uid="{00000000-0006-0000-0200-000049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P39" authorId="1" shapeId="0" xr:uid="{00000000-0006-0000-0200-00004A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Q39" authorId="1" shapeId="0" xr:uid="{00000000-0006-0000-0200-00004B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R39" authorId="1" shapeId="0" xr:uid="{00000000-0006-0000-0200-00004C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T39" authorId="1" shapeId="0" xr:uid="{00000000-0006-0000-0200-00004D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U39" authorId="1" shapeId="0" xr:uid="{00000000-0006-0000-0200-00004E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V39" authorId="1" shapeId="0" xr:uid="{6241562A-2048-4162-8CA9-E5E289B2B7DE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W39" authorId="1" shapeId="0" xr:uid="{DB0CCCB9-2218-4BEB-8A82-28AF632959B7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BY39" authorId="1" shapeId="0" xr:uid="{12022A6F-1747-48AC-8797-5D1A1439A38D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manutencao (originalmente in fornecedores)
+
Provisoes civeis</t>
        </r>
      </text>
    </comment>
    <comment ref="CX49" authorId="4" shapeId="0" xr:uid="{8E6D36DA-5D56-4D9B-A323-42BAAAE11830}">
      <text>
        <r>
          <rPr>
            <b/>
            <sz val="8"/>
            <color indexed="81"/>
            <rFont val="Tahoma"/>
            <family val="2"/>
          </rPr>
          <t>credenel:</t>
        </r>
        <r>
          <rPr>
            <sz val="8"/>
            <color indexed="81"/>
            <rFont val="Tahoma"/>
            <family val="2"/>
          </rPr>
          <t xml:space="preserve">
Multifamily CPPIB</t>
        </r>
      </text>
    </comment>
    <comment ref="DE49" authorId="5" shapeId="0" xr:uid="{A07C94CB-C322-4625-838B-65CC46797021}">
      <text>
        <r>
          <rPr>
            <b/>
            <sz val="9"/>
            <color indexed="81"/>
            <rFont val="Tahoma"/>
            <family val="2"/>
          </rPr>
          <t>fabrisgu:</t>
        </r>
        <r>
          <rPr>
            <sz val="9"/>
            <color indexed="81"/>
            <rFont val="Tahoma"/>
            <family val="2"/>
          </rPr>
          <t xml:space="preserve">
R$251mn in sales of Cury's shares</t>
        </r>
      </text>
    </comment>
    <comment ref="AQ132" authorId="2" shapeId="0" xr:uid="{00000000-0006-0000-0200-00004F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9</t>
        </r>
      </text>
    </comment>
    <comment ref="AU132" authorId="2" shapeId="0" xr:uid="{00000000-0006-0000-0200-000050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9</t>
        </r>
      </text>
    </comment>
    <comment ref="AQ133" authorId="2" shapeId="0" xr:uid="{00000000-0006-0000-0200-000051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6</t>
        </r>
      </text>
    </comment>
    <comment ref="AU133" authorId="2" shapeId="0" xr:uid="{00000000-0006-0000-0200-000052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6</t>
        </r>
      </text>
    </comment>
    <comment ref="AQ134" authorId="2" shapeId="0" xr:uid="{00000000-0006-0000-0200-000053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8</t>
        </r>
      </text>
    </comment>
    <comment ref="AU134" authorId="2" shapeId="0" xr:uid="{00000000-0006-0000-0200-000054000000}">
      <text>
        <r>
          <rPr>
            <b/>
            <sz val="8"/>
            <color indexed="81"/>
            <rFont val="Tahoma"/>
            <family val="2"/>
          </rPr>
          <t>cambaugu:</t>
        </r>
        <r>
          <rPr>
            <sz val="8"/>
            <color indexed="81"/>
            <rFont val="Tahoma"/>
            <family val="2"/>
          </rPr>
          <t xml:space="preserve">
nota 8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t607276</author>
    <author>cambaugu</author>
    <author>milmanma</author>
    <author>Cambauva, Gustavo</author>
    <author>Salgado, Joao</author>
    <author>tc={EFE611BA-41EA-4478-8592-7630C991D1DD}</author>
  </authors>
  <commentList>
    <comment ref="P4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t607276:</t>
        </r>
        <r>
          <rPr>
            <sz val="8"/>
            <color indexed="81"/>
            <rFont val="Tahoma"/>
            <family val="2"/>
          </rPr>
          <t xml:space="preserve">
~R$700 JV c/Agra (inclui outros parceiros)
~R$160 participação Cyrela</t>
        </r>
      </text>
    </comment>
    <comment ref="CB4" authorId="1" shapeId="0" xr:uid="{16A2AAB0-2F80-4D34-B6C7-BFD118A12C5D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only Cyrela (excluding all JVs that IPOed - Cury, Lavvi and Plano&amp;Plano</t>
        </r>
      </text>
    </comment>
    <comment ref="CG4" authorId="1" shapeId="0" xr:uid="{014BD88E-ACD4-4339-947D-E49A62F30CE6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only Cyrela (excluding all JVs that IPOed - Cury, Lavvi and Plano&amp;Plano</t>
        </r>
      </text>
    </comment>
    <comment ref="AV5" authorId="2" shapeId="0" xr:uid="{00000000-0006-0000-0300-000002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R$ 491,6 ou 27,9% se referem a lançamentos de contratos assinados dentro do Faixa 1 do Programa “Minha Casa Minha Vida”, por meio da Cury, joint venture na qual a Cyrela possui 50% de participação.</t>
        </r>
      </text>
    </comment>
    <comment ref="AW5" authorId="3" shapeId="0" xr:uid="{00000000-0006-0000-0300-000003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Nada de 0-3MW</t>
        </r>
      </text>
    </comment>
    <comment ref="AX5" authorId="3" shapeId="0" xr:uid="{00000000-0006-0000-0300-000004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R$469mna 0-3MW</t>
        </r>
      </text>
    </comment>
    <comment ref="AZ5" authorId="3" shapeId="0" xr:uid="{00000000-0006-0000-0300-000005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 launches in the 1st bracket of MCMV</t>
        </r>
      </text>
    </comment>
    <comment ref="BA5" authorId="3" shapeId="0" xr:uid="{00000000-0006-0000-0300-000006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 launches in the 1st bracket of MCMV</t>
        </r>
      </text>
    </comment>
    <comment ref="BB5" authorId="3" shapeId="0" xr:uid="{00000000-0006-0000-0300-000007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 launches in the 1st bracket of MCMV</t>
        </r>
      </text>
    </comment>
    <comment ref="BC5" authorId="4" shapeId="0" xr:uid="{00000000-0006-0000-0300-000008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R$106mn in 0-3 MW</t>
        </r>
      </text>
    </comment>
    <comment ref="BE5" authorId="3" shapeId="0" xr:uid="{00000000-0006-0000-0300-000009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 launches in the 1st bracket of MCMV</t>
        </r>
      </text>
    </comment>
    <comment ref="BF5" authorId="3" shapeId="0" xr:uid="{00000000-0006-0000-0300-00000A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 launches in the 1st bracket of MCMV</t>
        </r>
      </text>
    </comment>
    <comment ref="BG5" authorId="3" shapeId="0" xr:uid="{00000000-0006-0000-0300-00000B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 launches in the 1st bracket of MCMV</t>
        </r>
      </text>
    </comment>
    <comment ref="BH5" authorId="4" shapeId="0" xr:uid="{00000000-0006-0000-0300-00000C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No launches in Faixa 1</t>
        </r>
      </text>
    </comment>
    <comment ref="BJ5" authorId="3" shapeId="0" xr:uid="{00000000-0006-0000-0300-00000D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 launches in the 1st bracket of MCMV</t>
        </r>
      </text>
    </comment>
    <comment ref="BK5" authorId="3" shapeId="0" xr:uid="{00000000-0006-0000-0300-00000E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 launches in the 1st bracket of MCMV</t>
        </r>
      </text>
    </comment>
    <comment ref="BL5" authorId="3" shapeId="0" xr:uid="{00000000-0006-0000-0300-00000F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no launches in the 1st bracket of MCMV</t>
        </r>
      </text>
    </comment>
    <comment ref="BM5" authorId="4" shapeId="0" xr:uid="{00000000-0006-0000-0300-000010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No launches in Faixa 1</t>
        </r>
      </text>
    </comment>
    <comment ref="AS7" authorId="2" shapeId="0" xr:uid="{00000000-0006-0000-0300-000013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ex  MCMV1</t>
        </r>
      </text>
    </comment>
    <comment ref="AU7" authorId="2" shapeId="0" xr:uid="{00000000-0006-0000-0300-000014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ex MCMV1</t>
        </r>
      </text>
    </comment>
    <comment ref="AV7" authorId="2" shapeId="0" xr:uid="{00000000-0006-0000-0300-000015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ex MCMV 1</t>
        </r>
      </text>
    </comment>
    <comment ref="AX7" authorId="2" shapeId="0" xr:uid="{00000000-0006-0000-0300-000016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ex MCMV 1</t>
        </r>
      </text>
    </comment>
    <comment ref="CB9" authorId="1" shapeId="0" xr:uid="{605DA606-3AC5-4610-9467-8E413537F764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only Cyrela (excluding all JVs that IPOed - Cury, Lavvi and Plano&amp;Plano</t>
        </r>
      </text>
    </comment>
    <comment ref="CG9" authorId="1" shapeId="0" xr:uid="{0EF53AC3-25F2-4799-859F-C8F92D3865E1}">
      <text>
        <r>
          <rPr>
            <b/>
            <sz val="9"/>
            <color indexed="81"/>
            <rFont val="Tahoma"/>
            <family val="2"/>
          </rPr>
          <t>cambaugu:</t>
        </r>
        <r>
          <rPr>
            <sz val="9"/>
            <color indexed="81"/>
            <rFont val="Tahoma"/>
            <family val="2"/>
          </rPr>
          <t xml:space="preserve">
only Cyrela (excluding all JVs that IPOed - Cury, Lavvi and Plano&amp;Plano</t>
        </r>
      </text>
    </comment>
    <comment ref="AZ15" authorId="2" shapeId="0" xr:uid="{00000000-0006-0000-0300-000017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permutas</t>
        </r>
      </text>
    </comment>
    <comment ref="BA25" authorId="3" shapeId="0" xr:uid="{00000000-0006-0000-0300-000018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80% of what will be delivered after 2016</t>
        </r>
      </text>
    </comment>
    <comment ref="BB25" authorId="3" shapeId="0" xr:uid="{00000000-0006-0000-0300-000019000000}">
      <text>
        <r>
          <rPr>
            <b/>
            <sz val="9"/>
            <color indexed="81"/>
            <rFont val="Tahoma"/>
            <family val="2"/>
          </rPr>
          <t>Cambauva, Gustavo:</t>
        </r>
        <r>
          <rPr>
            <sz val="9"/>
            <color indexed="81"/>
            <rFont val="Tahoma"/>
            <family val="2"/>
          </rPr>
          <t xml:space="preserve">
70% of 2016</t>
        </r>
      </text>
    </comment>
    <comment ref="AV27" authorId="2" shapeId="0" xr:uid="{00000000-0006-0000-0300-00001A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Do total de estoque, os imóveis concluídos representam R$ 839 milhões (13,6%). Do estoque pronto
total da Companhia, os 10 maiores projetos respondem por cerca de metade. As regiões Nordeste e Espírito
Santo apresentam 43% de participação no estoque pronto total da Companhia. Apesar de um volume de vendas
em torno de 15% do estoque do Le Parc Salvador (nosso maior estoque pronto, representando cerca de 20% do
estoque pronto total) no trimestre, o incremento da participação da região Nordeste no estoque pronto total da
Companhia (de 33% no 1T13 para 38% no 2T13) se deve à entrega de parte da safra remanescente de projetos
em Salvador (Brisas Residencial e Alto do Imbuí e Reserva Parque) e de um projeto em Natal (L’Acqua), praças
que hoje estão com excesso de oferta.</t>
        </r>
      </text>
    </comment>
    <comment ref="AN36" authorId="2" shapeId="0" xr:uid="{00000000-0006-0000-0300-00001B000000}">
      <text>
        <r>
          <rPr>
            <b/>
            <sz val="8"/>
            <color indexed="81"/>
            <rFont val="Tahoma"/>
            <family val="2"/>
          </rPr>
          <t>Cambauva, Gustavo:</t>
        </r>
        <r>
          <rPr>
            <sz val="8"/>
            <color indexed="81"/>
            <rFont val="Tahoma"/>
            <family val="2"/>
          </rPr>
          <t xml:space="preserve">
Thera Faria Lima R$195mn
Wave Ipanema R$168mn</t>
        </r>
      </text>
    </comment>
    <comment ref="BB41" authorId="2" shapeId="0" xr:uid="{00000000-0006-0000-0300-00001C000000}">
      <text>
        <r>
          <rPr>
            <b/>
            <sz val="8"/>
            <color indexed="81"/>
            <rFont val="Tahoma"/>
            <family val="2"/>
          </rPr>
          <t>milmanma:</t>
        </r>
        <r>
          <rPr>
            <sz val="8"/>
            <color indexed="81"/>
            <rFont val="Tahoma"/>
            <family val="2"/>
          </rPr>
          <t xml:space="preserve">
Golf Reserva</t>
        </r>
      </text>
    </comment>
    <comment ref="T46" authorId="0" shapeId="0" xr:uid="{00000000-0006-0000-0300-00001F000000}">
      <text>
        <r>
          <rPr>
            <b/>
            <sz val="8"/>
            <color indexed="81"/>
            <rFont val="Tahoma"/>
            <family val="2"/>
          </rPr>
          <t>t607276:</t>
        </r>
        <r>
          <rPr>
            <sz val="8"/>
            <color indexed="81"/>
            <rFont val="Tahoma"/>
            <family val="2"/>
          </rPr>
          <t xml:space="preserve">
With Lots
CBR stake 80%</t>
        </r>
      </text>
    </comment>
    <comment ref="CX46" authorId="5" shapeId="0" xr:uid="{EFE611BA-41EA-4478-8592-7630C991D1DD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land swaps in Rio (Carvalho Hoskem) were removed from landbank</t>
      </text>
    </comment>
  </commentList>
</comments>
</file>

<file path=xl/sharedStrings.xml><?xml version="1.0" encoding="utf-8"?>
<sst xmlns="http://schemas.openxmlformats.org/spreadsheetml/2006/main" count="1987" uniqueCount="1031">
  <si>
    <t>Net Revenues</t>
  </si>
  <si>
    <t>COGS</t>
  </si>
  <si>
    <t>Gross Profit</t>
  </si>
  <si>
    <t>EBIT</t>
  </si>
  <si>
    <t>EBITDA</t>
  </si>
  <si>
    <t xml:space="preserve">    Interest Income</t>
  </si>
  <si>
    <t xml:space="preserve">    Interest Expense</t>
  </si>
  <si>
    <t>Other Income</t>
  </si>
  <si>
    <t>Taxes</t>
  </si>
  <si>
    <t>Net Income</t>
  </si>
  <si>
    <t>Capex</t>
  </si>
  <si>
    <t>Depreciation</t>
  </si>
  <si>
    <t>EBITDA Margin</t>
  </si>
  <si>
    <t>Gross Margin</t>
  </si>
  <si>
    <t>Cash</t>
  </si>
  <si>
    <t>Current Assets</t>
  </si>
  <si>
    <t>Total Assets</t>
  </si>
  <si>
    <t>Total</t>
  </si>
  <si>
    <t xml:space="preserve">  Receivables from Clients</t>
  </si>
  <si>
    <t xml:space="preserve">   Land</t>
  </si>
  <si>
    <t xml:space="preserve">   Properties Under Construction</t>
  </si>
  <si>
    <t xml:space="preserve">   Units Completed</t>
  </si>
  <si>
    <t xml:space="preserve">   Investments</t>
  </si>
  <si>
    <t xml:space="preserve">   Property and Equipment</t>
  </si>
  <si>
    <t xml:space="preserve">  Loans and Financings</t>
  </si>
  <si>
    <t xml:space="preserve">  Taxes and Contributions</t>
  </si>
  <si>
    <t xml:space="preserve">  Dividends Payable</t>
  </si>
  <si>
    <t xml:space="preserve">  Provisions</t>
  </si>
  <si>
    <t xml:space="preserve">  Debts with Related Parties</t>
  </si>
  <si>
    <t>Deferred Income</t>
  </si>
  <si>
    <t>Minority Interests</t>
  </si>
  <si>
    <t>Shareholders' Equity</t>
  </si>
  <si>
    <t>Deductions</t>
  </si>
  <si>
    <t>Operating Costs</t>
  </si>
  <si>
    <t>Operating (Expenses) Income</t>
  </si>
  <si>
    <t>Selling Expenses</t>
  </si>
  <si>
    <t>Equity Income</t>
  </si>
  <si>
    <t>Operating Income</t>
  </si>
  <si>
    <t>Income Before Taxes on Income</t>
  </si>
  <si>
    <t>Income Tax and Social Contribution</t>
  </si>
  <si>
    <t>Deffered Taxes</t>
  </si>
  <si>
    <t>Permanent assets</t>
  </si>
  <si>
    <t>Taxes and Contributions</t>
  </si>
  <si>
    <t>Check</t>
  </si>
  <si>
    <t xml:space="preserve">  Financial Income</t>
  </si>
  <si>
    <t xml:space="preserve">  Financial Expenses</t>
  </si>
  <si>
    <t>Operating Expenses</t>
  </si>
  <si>
    <t>Assumptions</t>
  </si>
  <si>
    <t>Receivables</t>
  </si>
  <si>
    <t>Material and Service Suppliers</t>
  </si>
  <si>
    <t>Advances from Clients (Short Term)</t>
  </si>
  <si>
    <t>Advances / Sales</t>
  </si>
  <si>
    <t>Fixed Assets</t>
  </si>
  <si>
    <t>Market Cap</t>
  </si>
  <si>
    <t>P/E</t>
  </si>
  <si>
    <t>WACC</t>
  </si>
  <si>
    <t>Terminal Value</t>
  </si>
  <si>
    <t>Present Value</t>
  </si>
  <si>
    <t># of Shares</t>
  </si>
  <si>
    <t>Target Price</t>
  </si>
  <si>
    <t>Current Price</t>
  </si>
  <si>
    <t>P/BV</t>
  </si>
  <si>
    <t>IPCA</t>
  </si>
  <si>
    <t>CDI</t>
  </si>
  <si>
    <t>R$/US$ Average</t>
  </si>
  <si>
    <t>GDP Growth</t>
  </si>
  <si>
    <t>Sequential Change</t>
  </si>
  <si>
    <t>EPS</t>
  </si>
  <si>
    <t xml:space="preserve">  Cash and Equivalents</t>
  </si>
  <si>
    <t>Net Cash Flow</t>
  </si>
  <si>
    <t>Beginning Cash</t>
  </si>
  <si>
    <t>Ending Cash</t>
  </si>
  <si>
    <t>Total Contracted Sales (100%)</t>
  </si>
  <si>
    <t>Margins (%)</t>
  </si>
  <si>
    <t>Depreciation Rate %</t>
  </si>
  <si>
    <t>Cost of Equity</t>
  </si>
  <si>
    <t>Status</t>
  </si>
  <si>
    <t>R$/US$ EoP</t>
  </si>
  <si>
    <t>IGP-M</t>
  </si>
  <si>
    <t xml:space="preserve">  Credits with Related Parties</t>
  </si>
  <si>
    <t xml:space="preserve">  Capital</t>
  </si>
  <si>
    <t xml:space="preserve">  Treasury Shares</t>
  </si>
  <si>
    <t>Properties for Sale</t>
  </si>
  <si>
    <t xml:space="preserve">  Properties for sale</t>
  </si>
  <si>
    <t>Suppliers Turnover (Days)</t>
  </si>
  <si>
    <t>Prepaid Expenses</t>
  </si>
  <si>
    <t>Prepaid Expenses / Sales</t>
  </si>
  <si>
    <t>Equity Value</t>
  </si>
  <si>
    <t>Land Bank</t>
  </si>
  <si>
    <t>Years of Sales</t>
  </si>
  <si>
    <t xml:space="preserve">  Expenses</t>
  </si>
  <si>
    <t>Dividends Declared</t>
  </si>
  <si>
    <t>Net Debt/EBITDA (x)</t>
  </si>
  <si>
    <t>Net Debt/Equity (%)</t>
  </si>
  <si>
    <t>Net Debt/Capital</t>
  </si>
  <si>
    <t>Total Landbank</t>
  </si>
  <si>
    <t>% of Landbank</t>
  </si>
  <si>
    <t>DPS</t>
  </si>
  <si>
    <t>Multiples</t>
  </si>
  <si>
    <t>Minorities</t>
  </si>
  <si>
    <t>equivalent</t>
  </si>
  <si>
    <t>Taxes / Sales</t>
  </si>
  <si>
    <t>Net Income (reported)</t>
  </si>
  <si>
    <t>Depreciation&amp;Amortization</t>
  </si>
  <si>
    <t xml:space="preserve">  Development &amp; Sales</t>
  </si>
  <si>
    <t xml:space="preserve">  Rental &amp; Services</t>
  </si>
  <si>
    <t>Obligations for Land Purchase</t>
  </si>
  <si>
    <t>As % of Land Inventory</t>
  </si>
  <si>
    <t>Taxes Recoverable ST</t>
  </si>
  <si>
    <t>BVPS</t>
  </si>
  <si>
    <t>Land</t>
  </si>
  <si>
    <t>Properties Under Construction</t>
  </si>
  <si>
    <t>Units Completed</t>
  </si>
  <si>
    <t>Unconsolidated Equity Investment</t>
  </si>
  <si>
    <t xml:space="preserve">  Other Operating</t>
  </si>
  <si>
    <t xml:space="preserve">  Prepaid Expenses</t>
  </si>
  <si>
    <t xml:space="preserve">  Deferred Taxes and Contributions</t>
  </si>
  <si>
    <t xml:space="preserve">  Taxes Recoverable</t>
  </si>
  <si>
    <t xml:space="preserve">  Payroll Charges and Profit Sharing</t>
  </si>
  <si>
    <t xml:space="preserve">  Other Creditors</t>
  </si>
  <si>
    <t xml:space="preserve">   Goodwill</t>
  </si>
  <si>
    <t>Prevailing Sales</t>
  </si>
  <si>
    <t>Prevaling Costs</t>
  </si>
  <si>
    <t>Prevailing Gross Margin</t>
  </si>
  <si>
    <t>Backlog Margin</t>
  </si>
  <si>
    <t>Net Margin</t>
  </si>
  <si>
    <t>Stock Options</t>
  </si>
  <si>
    <t># Options</t>
  </si>
  <si>
    <t>Strike</t>
  </si>
  <si>
    <t>Dilution</t>
  </si>
  <si>
    <t xml:space="preserve">   Under-Development</t>
  </si>
  <si>
    <t xml:space="preserve">   Performed</t>
  </si>
  <si>
    <t xml:space="preserve">   Construction Financing</t>
  </si>
  <si>
    <t xml:space="preserve">   Debentures and Others</t>
  </si>
  <si>
    <t>Capitalized Interest</t>
  </si>
  <si>
    <t>Other Revenues</t>
  </si>
  <si>
    <t>As % of Development Revenue</t>
  </si>
  <si>
    <t>VGV Inventory</t>
  </si>
  <si>
    <t xml:space="preserve">   Deferred Income</t>
  </si>
  <si>
    <t xml:space="preserve">  Stock Options</t>
  </si>
  <si>
    <t>Increase (Decrease) in Loans and Financing</t>
  </si>
  <si>
    <t>% of VGV Inventory</t>
  </si>
  <si>
    <t>Dividend Yield</t>
  </si>
  <si>
    <t xml:space="preserve">  Capitalized Interest</t>
  </si>
  <si>
    <t>(+) Amortization &amp; Depreciation</t>
  </si>
  <si>
    <t>(+/-) Change in Net Working Capital</t>
  </si>
  <si>
    <t>Cash Flow from Operations</t>
  </si>
  <si>
    <t>(-) CAPEX</t>
  </si>
  <si>
    <t>Cash Flow from Investment Activities</t>
  </si>
  <si>
    <t>(+) Increase in Debt</t>
  </si>
  <si>
    <t>(+/-) Capital Increases/Dividends</t>
  </si>
  <si>
    <t>Cash Flow from Financing Activities</t>
  </si>
  <si>
    <t>FCFF</t>
  </si>
  <si>
    <t>FCFE</t>
  </si>
  <si>
    <t>EBIT Margin</t>
  </si>
  <si>
    <t>BV ex-Land</t>
  </si>
  <si>
    <t>Adj. BV</t>
  </si>
  <si>
    <t>Total Interest Expense</t>
  </si>
  <si>
    <t>Rate</t>
  </si>
  <si>
    <t>% of CDI</t>
  </si>
  <si>
    <t>Adj. EPS</t>
  </si>
  <si>
    <t>Total Liabilities and Equity</t>
  </si>
  <si>
    <t>Inventory</t>
  </si>
  <si>
    <t>Target P/E</t>
  </si>
  <si>
    <t>Target P/BV</t>
  </si>
  <si>
    <t>12/95(A)
F</t>
  </si>
  <si>
    <t>12/96(A)
F</t>
  </si>
  <si>
    <t>12/97(A)
F</t>
  </si>
  <si>
    <t>12/98(A)
F</t>
  </si>
  <si>
    <t>12/99(A)
F</t>
  </si>
  <si>
    <t>3/00(A)
Q1</t>
  </si>
  <si>
    <t>6/00(A)
Q2</t>
  </si>
  <si>
    <t>9/00(A)
Q3</t>
  </si>
  <si>
    <t>12/00(A)
Q4</t>
  </si>
  <si>
    <t>12/00(A)
F</t>
  </si>
  <si>
    <t>3/01(A)
Q1</t>
  </si>
  <si>
    <t>6/01(A)
Q2</t>
  </si>
  <si>
    <t>9/01(A)
Q3</t>
  </si>
  <si>
    <t>12/01(A)
Q4</t>
  </si>
  <si>
    <t>12/01(A)
F</t>
  </si>
  <si>
    <t>3/02(A)
Q1</t>
  </si>
  <si>
    <t>6/02(A)
Q2</t>
  </si>
  <si>
    <t>9/02(A)
Q3</t>
  </si>
  <si>
    <t>12/02(A)
Q4</t>
  </si>
  <si>
    <t>12/02(A)
F</t>
  </si>
  <si>
    <t>3/03(A)
Q1</t>
  </si>
  <si>
    <t>6/03(A)
Q2</t>
  </si>
  <si>
    <t>9/03(A)
Q3</t>
  </si>
  <si>
    <t>12/03(A)
Q4</t>
  </si>
  <si>
    <t>12/03(A)
F</t>
  </si>
  <si>
    <t>3/04(A)
Q1</t>
  </si>
  <si>
    <t>6/04(A)
Q2</t>
  </si>
  <si>
    <t>9/04(A)
Q3</t>
  </si>
  <si>
    <t>12/04(A)
Q4</t>
  </si>
  <si>
    <t>12/04(A)
F</t>
  </si>
  <si>
    <t>3/05(A)
Q1</t>
  </si>
  <si>
    <t>6/05(A)
Q2</t>
  </si>
  <si>
    <t>9/05(A)
Q3</t>
  </si>
  <si>
    <t>12/05(A)
Q4</t>
  </si>
  <si>
    <t>12/05(A)
F</t>
  </si>
  <si>
    <t>3/06(A)
Q1</t>
  </si>
  <si>
    <t>6/06(A)
Q2</t>
  </si>
  <si>
    <t>9/06(A)
Q3</t>
  </si>
  <si>
    <t>12/06(A)
Q4</t>
  </si>
  <si>
    <t>12/06(A)
F</t>
  </si>
  <si>
    <t>3/07(A)
Q1</t>
  </si>
  <si>
    <t>6/07(A)
Q2</t>
  </si>
  <si>
    <t>9/07(A)
Q3</t>
  </si>
  <si>
    <t>12/07(A)
Q4</t>
  </si>
  <si>
    <t>12/07(A)
F</t>
  </si>
  <si>
    <t>12/17(E)
Q4</t>
  </si>
  <si>
    <t>12/17(E)
F</t>
  </si>
  <si>
    <t>3/18(E)
Q1</t>
  </si>
  <si>
    <t>6/18(E)
Q2</t>
  </si>
  <si>
    <t>9/18(E)
Q3</t>
  </si>
  <si>
    <t>12/18(E)
Q4</t>
  </si>
  <si>
    <t>12/18(E)
F</t>
  </si>
  <si>
    <t>3/19(E)
Q1</t>
  </si>
  <si>
    <t>6/19(E)
Q2</t>
  </si>
  <si>
    <t>9/19(E)
Q3</t>
  </si>
  <si>
    <t>12/19(E)
Q4</t>
  </si>
  <si>
    <t>12/19(E)
F</t>
  </si>
  <si>
    <t>3/20(E)
Q1</t>
  </si>
  <si>
    <t>6/20(E)
Q2</t>
  </si>
  <si>
    <t>9/20(E)
Q3</t>
  </si>
  <si>
    <t>12/20(E)
Q4</t>
  </si>
  <si>
    <t>12/20(E)
F</t>
  </si>
  <si>
    <t>Income statement (R$ m)</t>
  </si>
  <si>
    <t>Revenues</t>
  </si>
  <si>
    <t>Cost of goods sold</t>
  </si>
  <si>
    <t>Gross profit</t>
  </si>
  <si>
    <t>SG&amp;A &amp; other operating expenses (adjusted)</t>
  </si>
  <si>
    <t>Other operating income</t>
  </si>
  <si>
    <t>Operating income (EBIT, adjusted)</t>
  </si>
  <si>
    <t>Income from associates &amp; joint ventures</t>
  </si>
  <si>
    <t>Other investment income</t>
  </si>
  <si>
    <t>Pension net financial result</t>
  </si>
  <si>
    <t>EBIT plus investment income &amp; pension items</t>
  </si>
  <si>
    <t>Goodwill amortization</t>
  </si>
  <si>
    <t>Abnormal items (pre-tax)</t>
  </si>
  <si>
    <t>Other pre-tax non-operating items</t>
  </si>
  <si>
    <t>Net interest income/(expense)</t>
  </si>
  <si>
    <t>Pre-tax income</t>
  </si>
  <si>
    <t>Taxation</t>
  </si>
  <si>
    <t>Post-tax income</t>
  </si>
  <si>
    <t>Minority interests</t>
  </si>
  <si>
    <t>Dividends (preferred)</t>
  </si>
  <si>
    <t>Net income (excl. abnormal items (post-tax))</t>
  </si>
  <si>
    <t>Abnormal items (post-tax)</t>
  </si>
  <si>
    <t>Net income (reported)</t>
  </si>
  <si>
    <t>Dividend (common)</t>
  </si>
  <si>
    <t>Dividends (special common)</t>
  </si>
  <si>
    <t>Dividends (other)</t>
  </si>
  <si>
    <t>Amortization (excl. goodwill)</t>
  </si>
  <si>
    <t>Adjusted net income calculation</t>
  </si>
  <si>
    <t>Tax impact of pre-tax abnormal items</t>
  </si>
  <si>
    <t>Analyst adjustments to BTG Pactual adjusted earnings</t>
  </si>
  <si>
    <t>Net income (BTG Pactual adjusted earnings - pre-abnormal &amp; goodwill)</t>
  </si>
  <si>
    <t>Unrecognized stock option expenses (post-tax)</t>
  </si>
  <si>
    <t>Excess pension financial income adjustment</t>
  </si>
  <si>
    <t>Net income after stock option and pension adjustments</t>
  </si>
  <si>
    <t>Additional income statement items</t>
  </si>
  <si>
    <t>Research &amp; development expense</t>
  </si>
  <si>
    <t>Stock option expense charged against earnings (post-tax)</t>
  </si>
  <si>
    <t>Operating lease rental expense</t>
  </si>
  <si>
    <t>Discontinued operations &amp; assets held for sale</t>
  </si>
  <si>
    <t>Amortization of pension actuarial gain/loss</t>
  </si>
  <si>
    <t>Average number of employees</t>
  </si>
  <si>
    <t>Remuneration expenses</t>
  </si>
  <si>
    <t>Deferred tax component of current tax charge</t>
  </si>
  <si>
    <t>Interest income</t>
  </si>
  <si>
    <t>Interest expense</t>
  </si>
  <si>
    <t>Associate tax incl as part of the group tax charge</t>
  </si>
  <si>
    <t>Associate interest incl in group net interest</t>
  </si>
  <si>
    <t>Core and non-core operating results</t>
  </si>
  <si>
    <t>Revenues (non-core)</t>
  </si>
  <si>
    <t>EBIT (non-core)</t>
  </si>
  <si>
    <t>EBITDA (non-core)</t>
  </si>
  <si>
    <t>Revenues (core)</t>
  </si>
  <si>
    <t>EBIT (adjusted, core)</t>
  </si>
  <si>
    <t>EBITDA (adjusted, core)</t>
  </si>
  <si>
    <t>NOPAT (core)</t>
  </si>
  <si>
    <t>Calculated statistics</t>
  </si>
  <si>
    <t>Effective tax rate</t>
  </si>
  <si>
    <t>Effective tax rate (adjusted)</t>
  </si>
  <si>
    <t>EBITDA (adjusted)</t>
  </si>
  <si>
    <t>Pre-tax income (adjusted)</t>
  </si>
  <si>
    <t>NOPAT (adjusted EBIT net of related tax)</t>
  </si>
  <si>
    <t>Cash earnings (BTG Pactual adjusted earnings plus dep. &amp; amort.)</t>
  </si>
  <si>
    <t>Margins &amp; coverage ratios</t>
  </si>
  <si>
    <t>Gross margin</t>
  </si>
  <si>
    <t>EBITDA margin (adjusted EBITDA)</t>
  </si>
  <si>
    <t>Operating margin (adjusted EBIT)</t>
  </si>
  <si>
    <t>NOPAT margin</t>
  </si>
  <si>
    <t>PTP margin (adjusted pre-tax income)</t>
  </si>
  <si>
    <t>Net margin (adjusted net income)</t>
  </si>
  <si>
    <t>Interest cover (net)</t>
  </si>
  <si>
    <t>Interest cover (gross)</t>
  </si>
  <si>
    <t>Fixed charge cover</t>
  </si>
  <si>
    <t>Dividend cover (reported earnings)</t>
  </si>
  <si>
    <t>Dividend cover (adjusted earnings)</t>
  </si>
  <si>
    <t>Dividend payout ratio (adjusted earnings)</t>
  </si>
  <si>
    <t>Revenue per employee</t>
  </si>
  <si>
    <t>EBIT per employee</t>
  </si>
  <si>
    <t>Remuneration costs/revenue</t>
  </si>
  <si>
    <t>Growth rates</t>
  </si>
  <si>
    <t>Revenue growth</t>
  </si>
  <si>
    <t>EBITDA (adjusted) growth</t>
  </si>
  <si>
    <t>EBIT (adjusted) growth</t>
  </si>
  <si>
    <t>NOPAT growth</t>
  </si>
  <si>
    <t>Pre-tax income growth</t>
  </si>
  <si>
    <t>Pre-tax income (adjusted) growth</t>
  </si>
  <si>
    <t>Net income (adjusted) growth</t>
  </si>
  <si>
    <t>EPS (adjusted, basic) growth</t>
  </si>
  <si>
    <t>EPS (adjusted, diluted) growth</t>
  </si>
  <si>
    <t>EPS (reported, diluted) growth</t>
  </si>
  <si>
    <t>Cash EPS (diluted) growth</t>
  </si>
  <si>
    <t>Dividend per share (net) growth</t>
  </si>
  <si>
    <t>Per share</t>
  </si>
  <si>
    <t>No. shares and other share information</t>
  </si>
  <si>
    <t>Shares (period-end, basic)</t>
  </si>
  <si>
    <t>Shares (period-average, basic)</t>
  </si>
  <si>
    <t>Shares (period-average, diluted)</t>
  </si>
  <si>
    <t>Dividends per share (common, net)</t>
  </si>
  <si>
    <t>Income adjustment applied in diluted EPS calculation</t>
  </si>
  <si>
    <t>Dividend tax credit (% of gross)</t>
  </si>
  <si>
    <t>Temporary post scrip calculations</t>
  </si>
  <si>
    <t>Temporary scrip factor</t>
  </si>
  <si>
    <t>Core per share data (R$)</t>
  </si>
  <si>
    <t>EPS (reported local GAAP, basic)</t>
  </si>
  <si>
    <t>EPS (reported local GAAP, diluted)</t>
  </si>
  <si>
    <t>EPS (BTG Pactual adjusted - pre-abnormal &amp; goodwill, basic)</t>
  </si>
  <si>
    <t>EPS (BTG Pactual adjusted - pre-abnormal &amp; goodwill, diluted)</t>
  </si>
  <si>
    <t>Dividend per share (common, net)</t>
  </si>
  <si>
    <t>Dividend per share (common, incl. tax credit)</t>
  </si>
  <si>
    <t>Other per share data (R$)</t>
  </si>
  <si>
    <t>EPS (stock option and pension adjusted, basic)</t>
  </si>
  <si>
    <t>EPS (stock option and pension adjusted, diluted)</t>
  </si>
  <si>
    <t>Cash EPS (BTG Pactual adjusted earnings plus dep. &amp; amort, basic)</t>
  </si>
  <si>
    <t>Cash EPS (BTG Pactual adjusted earnings plus dep. &amp; amort, diluted)</t>
  </si>
  <si>
    <t>Equity free cash flow per share, basic</t>
  </si>
  <si>
    <t>Net asset value per share (book value per share)</t>
  </si>
  <si>
    <t>Net tangible asset value per share</t>
  </si>
  <si>
    <t>Balance sheet (R$ m)</t>
  </si>
  <si>
    <t>Gross assets format (US GAAP)</t>
  </si>
  <si>
    <t>Cash &amp; equivalents</t>
  </si>
  <si>
    <t>Accounts receivable</t>
  </si>
  <si>
    <t>Other current assets</t>
  </si>
  <si>
    <t>Total current assets</t>
  </si>
  <si>
    <t>Gross tangible fixed assets</t>
  </si>
  <si>
    <t>Accumulated depreciation - tangible fixed assets</t>
  </si>
  <si>
    <t>Net tangible fixed assets</t>
  </si>
  <si>
    <t>Goodwill</t>
  </si>
  <si>
    <t>Other intangible fixed assets</t>
  </si>
  <si>
    <t>Total intangible fixed assets</t>
  </si>
  <si>
    <t>Investment in associates/JVs</t>
  </si>
  <si>
    <t>Other investments</t>
  </si>
  <si>
    <t>Other long term assets</t>
  </si>
  <si>
    <t>Net pension asset</t>
  </si>
  <si>
    <t>Total investments/other assets</t>
  </si>
  <si>
    <t>Total assets</t>
  </si>
  <si>
    <t>Trade payables</t>
  </si>
  <si>
    <t>Other short term liabilities</t>
  </si>
  <si>
    <t>Short term debt (includes finance leases)</t>
  </si>
  <si>
    <t>Total current liabilities</t>
  </si>
  <si>
    <t>Long term debt (includes finance leases)</t>
  </si>
  <si>
    <t>Other debt deemed obligations (e.g. pensions)</t>
  </si>
  <si>
    <t>Provisions and other non-debt long term liabilities</t>
  </si>
  <si>
    <t>Total liabilities</t>
  </si>
  <si>
    <t>Preferred securities</t>
  </si>
  <si>
    <t>Total liabilities including preferred equity &amp; minorities</t>
  </si>
  <si>
    <t>Common equity</t>
  </si>
  <si>
    <t>Total liabilities &amp; equity</t>
  </si>
  <si>
    <t>Analysis of cash &amp; cash equivalents</t>
  </si>
  <si>
    <t>Operating cash</t>
  </si>
  <si>
    <t>Surplus cash</t>
  </si>
  <si>
    <t>Total cash &amp; cash equivalents in the balance sheet</t>
  </si>
  <si>
    <t>Net cash/(debt)</t>
  </si>
  <si>
    <t>Cash &amp; equivalents (short term, interest bearing items)</t>
  </si>
  <si>
    <t>Net working capital</t>
  </si>
  <si>
    <t>Net assets format</t>
  </si>
  <si>
    <t>Investment in associates</t>
  </si>
  <si>
    <t>Cash &amp; cash equivalents - operating cash</t>
  </si>
  <si>
    <t>Cash &amp; equivalents - surplus cash</t>
  </si>
  <si>
    <t>Net (debt)/cash</t>
  </si>
  <si>
    <t>Other debt deemed items (e.g. pensions)</t>
  </si>
  <si>
    <t>Provisions &amp; other non-debt long term liabilities</t>
  </si>
  <si>
    <t>Additional balance sheet items</t>
  </si>
  <si>
    <t>Pension and other post employment benefit - assets</t>
  </si>
  <si>
    <t>Pension and other post employment benefit - liabilities</t>
  </si>
  <si>
    <t>Pension and other post employment benefit - net funding</t>
  </si>
  <si>
    <t>Cumulative unamortized pension items and other deferrals</t>
  </si>
  <si>
    <t>Other pension items</t>
  </si>
  <si>
    <t>Balance sheet pension asset/(liability)</t>
  </si>
  <si>
    <t>Capitalized value of operating leases</t>
  </si>
  <si>
    <t>Cumulative goodwill previously written off to equity</t>
  </si>
  <si>
    <t>Capital employed</t>
  </si>
  <si>
    <t>Other non-debt liabilities</t>
  </si>
  <si>
    <t>Operating capital employed</t>
  </si>
  <si>
    <t>Investment in associates/joint ventures</t>
  </si>
  <si>
    <t>Total capital employed</t>
  </si>
  <si>
    <t>Alternative calculation</t>
  </si>
  <si>
    <t>Net debt (incl pref securities)/(net cash)</t>
  </si>
  <si>
    <t>Less goodwill &amp; other intangibles</t>
  </si>
  <si>
    <t>Net tangible operating assets</t>
  </si>
  <si>
    <t>Return on capital calculations</t>
  </si>
  <si>
    <t>Annualization factor</t>
  </si>
  <si>
    <t>Return on equity (adjusted) (RoE)</t>
  </si>
  <si>
    <t>Return on operating capital (pre-tax RoIC)</t>
  </si>
  <si>
    <t>Return on operating capital (post-tax RoIC)</t>
  </si>
  <si>
    <t>Return on net tangible operating assets (pre-tax RoA)</t>
  </si>
  <si>
    <t>Return on net tangible operating assets (post-tax RoA)</t>
  </si>
  <si>
    <t>Return on total capital employed (pre-tax RoCE)</t>
  </si>
  <si>
    <t>Return on total capital employed (post-tax RoCE)</t>
  </si>
  <si>
    <t>Other ratios</t>
  </si>
  <si>
    <t>Net debt/equity (period end)</t>
  </si>
  <si>
    <t>Leverage (net debt/total capital) (period end)</t>
  </si>
  <si>
    <t>Market gearing (net debt/total EV) (period end)</t>
  </si>
  <si>
    <t>Net operating asset utilization ratio</t>
  </si>
  <si>
    <t>Tangible fixed asset turnover</t>
  </si>
  <si>
    <t>Net working capital turnover</t>
  </si>
  <si>
    <t>Inventory turnover</t>
  </si>
  <si>
    <t>Days sales outstanding (debtors days)</t>
  </si>
  <si>
    <t>Current ratio</t>
  </si>
  <si>
    <t>Quick ratio</t>
  </si>
  <si>
    <t>Operating capital employed growth</t>
  </si>
  <si>
    <t>Total capital employed growth</t>
  </si>
  <si>
    <t>Common equity growth</t>
  </si>
  <si>
    <t>Book value per share growth</t>
  </si>
  <si>
    <t>Dupont analysis</t>
  </si>
  <si>
    <t>EBITDA margin (adjusted) (a)</t>
  </si>
  <si>
    <t>Depreciation factor (b)</t>
  </si>
  <si>
    <t>EBIT margin (adjusted) (c=a*b)</t>
  </si>
  <si>
    <t>Asset utilization (d)</t>
  </si>
  <si>
    <t>Pre-tax return on operating capital (e=c*d)</t>
  </si>
  <si>
    <t>Taxation factor (f)</t>
  </si>
  <si>
    <t>Post-tax return on operating capital (g=e*f)</t>
  </si>
  <si>
    <t>Non-operating asset factor (h)</t>
  </si>
  <si>
    <t>Post-tax return on total capital employed (i=g*h)</t>
  </si>
  <si>
    <t>Interest factor (j)</t>
  </si>
  <si>
    <t>Balance sheet leverage factor (k)</t>
  </si>
  <si>
    <t>Overall leverage effect (l=j*k)</t>
  </si>
  <si>
    <t>Other (including impact of minorities &amp; pref shares) (m)</t>
  </si>
  <si>
    <t>Return on equity (n=i*l*m)</t>
  </si>
  <si>
    <t>Cash flow statement (R$ m)</t>
  </si>
  <si>
    <t>Operating cash flow (net income basis)</t>
  </si>
  <si>
    <t>Net income before preferred dividends</t>
  </si>
  <si>
    <t>Depreciation &amp; amortization adjustment</t>
  </si>
  <si>
    <t>Net change in working capital</t>
  </si>
  <si>
    <t>Other (incl changes in provisions &amp; other liabilities)</t>
  </si>
  <si>
    <t>Total cash from operating activities</t>
  </si>
  <si>
    <t>Tax paid (incl in above operating activity cash flow)</t>
  </si>
  <si>
    <t>Operating cash flow (EBIT basis)</t>
  </si>
  <si>
    <t>Operating cash flow (pre-tax &amp; pre-interest)</t>
  </si>
  <si>
    <t>Interest (paid)/received</t>
  </si>
  <si>
    <t>Tax paid</t>
  </si>
  <si>
    <t>Other (incl. investment income &amp; minority dividends)</t>
  </si>
  <si>
    <t>Investing cash flow</t>
  </si>
  <si>
    <t>Net capital expenditure (tangible fixed assets)</t>
  </si>
  <si>
    <t>Net capital expenditure (intangible fixed assets)</t>
  </si>
  <si>
    <t>Net (acquisitions)/disposals</t>
  </si>
  <si>
    <t>Other investment changes</t>
  </si>
  <si>
    <t>Cash from investing activities</t>
  </si>
  <si>
    <t>Financing cash flow (cash movement, US GAAP)</t>
  </si>
  <si>
    <t>Increase/(decrease) in short term debt</t>
  </si>
  <si>
    <t>Increase/(decrease) in long term debt</t>
  </si>
  <si>
    <t>Increase/(decrease) in preferred stock</t>
  </si>
  <si>
    <t>Increase/(decrease) in equity (incl treasury stock)</t>
  </si>
  <si>
    <t>Dividends (common)</t>
  </si>
  <si>
    <t>Other cash from financing</t>
  </si>
  <si>
    <t>Cash from financing activities</t>
  </si>
  <si>
    <t>Total cash flow (cash movement)</t>
  </si>
  <si>
    <t>Cash flow increase/(decrease) in cash/equivalents</t>
  </si>
  <si>
    <t>Non-cash movements in cash/equivalents</t>
  </si>
  <si>
    <t>Balance sheet increase/(decrease) in cash/equivalents</t>
  </si>
  <si>
    <t>Financing cash flow (net debt movement)</t>
  </si>
  <si>
    <t>Cash from financing activities (excl. changes in debt)</t>
  </si>
  <si>
    <t>Total cash flow (net debt movement)</t>
  </si>
  <si>
    <t>Cash flow (increase)/decrease in net debt</t>
  </si>
  <si>
    <t>Non-cash movements in net debt</t>
  </si>
  <si>
    <t>Balance sheet (increase)/decrease in net debt</t>
  </si>
  <si>
    <t>Key non-cash transactions</t>
  </si>
  <si>
    <t>Acquisitions (non-cash)</t>
  </si>
  <si>
    <t>Capital expenditure (non-cash)</t>
  </si>
  <si>
    <t>BTG Pactual operating free cash flow</t>
  </si>
  <si>
    <t>EBITDA (core)</t>
  </si>
  <si>
    <t>Less maintenance capital expenditure</t>
  </si>
  <si>
    <t>Less maintenance net working capital</t>
  </si>
  <si>
    <t>Operating free cash flow (pre-tax OpFCF)</t>
  </si>
  <si>
    <t>Taxation on EBIT</t>
  </si>
  <si>
    <t>Operating free cash flow (post-tax OpFCF)</t>
  </si>
  <si>
    <t>BTG Pactual enterprise free cash flow</t>
  </si>
  <si>
    <t>Depreciation &amp; amortization</t>
  </si>
  <si>
    <t>Gross enterprise cash flow</t>
  </si>
  <si>
    <t>Capital expenditure (cash &amp; non-cash)</t>
  </si>
  <si>
    <t>Change in net working capital</t>
  </si>
  <si>
    <t>Enterprise free cash flow before analyst input</t>
  </si>
  <si>
    <t>Analyst adjustments to enterprise free cash flow</t>
  </si>
  <si>
    <t>Enterprise free cash flow after analyst input</t>
  </si>
  <si>
    <t>BTG Pactual equity free cash flow</t>
  </si>
  <si>
    <t>Net income (BTG Pactual adjusted)</t>
  </si>
  <si>
    <t>Cash earnings</t>
  </si>
  <si>
    <t>Equity free cash flow before analyst input</t>
  </si>
  <si>
    <t>Analyst adjustments to equity free cash flow</t>
  </si>
  <si>
    <t>Equity free cash flow after analyst input</t>
  </si>
  <si>
    <t>Cash flow ratios</t>
  </si>
  <si>
    <t>Capital expenditure (tangible) as % of revenues</t>
  </si>
  <si>
    <t>Capital expenditure (tangible) as % of depreciation</t>
  </si>
  <si>
    <t>Net debt (period end)/EBITDA (adjusted)</t>
  </si>
  <si>
    <t>Valuation</t>
  </si>
  <si>
    <t>Price &amp; FX data (as at 13 Apr 09 10:50)</t>
  </si>
  <si>
    <t>Average/current stock price for period (EPS currency, R$)</t>
  </si>
  <si>
    <t>Average/current stock price for period (DPS currency)</t>
  </si>
  <si>
    <t>Spot/current stock price for period-end (EPS currency, R$)</t>
  </si>
  <si>
    <t>Average/current market cap for period (R$ m)</t>
  </si>
  <si>
    <t>Exchange rate (reporting to EPS/CEPS)</t>
  </si>
  <si>
    <t>Exchange rate (reporting to BVPS)</t>
  </si>
  <si>
    <t>Exchange rate (reporting to DPS)</t>
  </si>
  <si>
    <t>Exchange rate (DPS to EPS)</t>
  </si>
  <si>
    <t>Enterprise value (EV) (R$ m)</t>
  </si>
  <si>
    <t>Estimated value of future share buybacks</t>
  </si>
  <si>
    <t>Net (debt)/cash (average)</t>
  </si>
  <si>
    <t>Minorities &amp; other equity equivalents (average)</t>
  </si>
  <si>
    <t>Pension provisions (incl other debt deemed items, average)</t>
  </si>
  <si>
    <t>Non core assets</t>
  </si>
  <si>
    <t>EV calculation</t>
  </si>
  <si>
    <t>Market capitalization</t>
  </si>
  <si>
    <t>Net debt/(cash) (average)</t>
  </si>
  <si>
    <t>Pension provisions (incl. other debt deemed items, average)</t>
  </si>
  <si>
    <t>EV (total)</t>
  </si>
  <si>
    <t>EV (core)</t>
  </si>
  <si>
    <t>Equity ratios</t>
  </si>
  <si>
    <t>PE (BTG Pactual adjusted EPS, basic)</t>
  </si>
  <si>
    <t>PE (BTG Pactual adjusted EPS, diluted)</t>
  </si>
  <si>
    <t>Price to cash earnings(diluted)</t>
  </si>
  <si>
    <t>Price to equity free cash flow</t>
  </si>
  <si>
    <t>Dividend yield (net)</t>
  </si>
  <si>
    <t>Enterprise value ratios</t>
  </si>
  <si>
    <t>EV/revenues (core)</t>
  </si>
  <si>
    <t>EV/EBIT (core)</t>
  </si>
  <si>
    <t>EV/EBITDA (core)</t>
  </si>
  <si>
    <t>EV/NOPAT (core)</t>
  </si>
  <si>
    <t>EV/OpFCF (pre-tax)</t>
  </si>
  <si>
    <t>EV/OpFCF (post-tax)</t>
  </si>
  <si>
    <t>EV/enterprise free cash flow</t>
  </si>
  <si>
    <t>EV/IC (total EV)</t>
  </si>
  <si>
    <t>Divisional &amp; geographical analysis (R$ m)</t>
  </si>
  <si>
    <t>Divisional</t>
  </si>
  <si>
    <t>Revenue by division</t>
  </si>
  <si>
    <t>Division 1</t>
  </si>
  <si>
    <t>Division 2</t>
  </si>
  <si>
    <t>Division 3</t>
  </si>
  <si>
    <t>Division 4</t>
  </si>
  <si>
    <t>Division 5</t>
  </si>
  <si>
    <t>Division 6</t>
  </si>
  <si>
    <t>Division 7</t>
  </si>
  <si>
    <t>Division 8</t>
  </si>
  <si>
    <t>Division 9</t>
  </si>
  <si>
    <t>Division 10</t>
  </si>
  <si>
    <t>Adjustments</t>
  </si>
  <si>
    <t>Total revenue</t>
  </si>
  <si>
    <t>Operating income (EBIT, adjusted) by division</t>
  </si>
  <si>
    <t>Geographical</t>
  </si>
  <si>
    <t>Revenue by destination</t>
  </si>
  <si>
    <t>Americas</t>
  </si>
  <si>
    <t>Americas 1</t>
  </si>
  <si>
    <t>Americas 2</t>
  </si>
  <si>
    <t>Americas 3</t>
  </si>
  <si>
    <t>Americas 4</t>
  </si>
  <si>
    <t>Total Americas</t>
  </si>
  <si>
    <t>Europe</t>
  </si>
  <si>
    <t>Europe 1</t>
  </si>
  <si>
    <t>Europe 2</t>
  </si>
  <si>
    <t>Europe 3</t>
  </si>
  <si>
    <t>Europe 4</t>
  </si>
  <si>
    <t>Total Europe</t>
  </si>
  <si>
    <t>Asia Pacific</t>
  </si>
  <si>
    <t>Asia Pacific 1</t>
  </si>
  <si>
    <t>Asia Pacific 2</t>
  </si>
  <si>
    <t>Asia Pacific 3</t>
  </si>
  <si>
    <t>Asia Pacific 4</t>
  </si>
  <si>
    <t>Total Asia Pacific</t>
  </si>
  <si>
    <t>Rest of world/unallocated</t>
  </si>
  <si>
    <t>ROW 1</t>
  </si>
  <si>
    <t>ROW 2</t>
  </si>
  <si>
    <t>ROW 3</t>
  </si>
  <si>
    <t>ROW 4</t>
  </si>
  <si>
    <t>Total rest of world</t>
  </si>
  <si>
    <t>Home market turnover incl above</t>
  </si>
  <si>
    <t>Operating income (EBIT, adjusted) by destination</t>
  </si>
  <si>
    <t>Home market EBIT incl above</t>
  </si>
  <si>
    <t>Old global section (R$ m)</t>
  </si>
  <si>
    <t>Global profit &amp; loss</t>
  </si>
  <si>
    <t>Turnover</t>
  </si>
  <si>
    <t>Depreciation/amortization</t>
  </si>
  <si>
    <t>Other costs</t>
  </si>
  <si>
    <t>Net interest</t>
  </si>
  <si>
    <t>Net other non-operating items</t>
  </si>
  <si>
    <t>Profit before tax</t>
  </si>
  <si>
    <t>Tax</t>
  </si>
  <si>
    <t>Extraordinary items</t>
  </si>
  <si>
    <t>Other</t>
  </si>
  <si>
    <t>Net profit</t>
  </si>
  <si>
    <t>Global cash flow</t>
  </si>
  <si>
    <t>Working capital (increase)</t>
  </si>
  <si>
    <t>Other (operating)</t>
  </si>
  <si>
    <t>Operational cash flow</t>
  </si>
  <si>
    <t>Interest paid</t>
  </si>
  <si>
    <t>Dividends paid</t>
  </si>
  <si>
    <t>Capital expenditure</t>
  </si>
  <si>
    <t>Net acquisitions/disposals</t>
  </si>
  <si>
    <t>Share issues</t>
  </si>
  <si>
    <t>(Increase)/decrease in net debt</t>
  </si>
  <si>
    <t>Global balance sheet</t>
  </si>
  <si>
    <t>Net intangible fixed assets</t>
  </si>
  <si>
    <t>Investments/other assets</t>
  </si>
  <si>
    <t>Net capital employed</t>
  </si>
  <si>
    <t>Net cash (debt)</t>
  </si>
  <si>
    <t>Provisions</t>
  </si>
  <si>
    <t>Other liabilities</t>
  </si>
  <si>
    <t>Total equity</t>
  </si>
  <si>
    <t>Shareholders funds</t>
  </si>
  <si>
    <t>Analyst additional data items</t>
  </si>
  <si>
    <t>Capacity measurement</t>
  </si>
  <si>
    <t>Item 1 (launches - % company - R$mn)</t>
  </si>
  <si>
    <t>Item 2 (contracted sales - % company - R$mn)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</si>
  <si>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</si>
  <si>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</si>
  <si>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</si>
  <si>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</si>
  <si>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</si>
  <si>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</si>
  <si>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</si>
  <si>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</si>
  <si>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</si>
  <si>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</si>
  <si>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</si>
  <si>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</si>
  <si>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</si>
  <si>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</si>
  <si>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</si>
  <si>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</si>
  <si>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</si>
  <si>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</si>
  <si>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</si>
  <si>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</si>
  <si>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</si>
  <si>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</si>
  <si>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</si>
  <si>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</si>
  <si>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</si>
  <si>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</si>
  <si>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</si>
  <si>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</si>
  <si>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</si>
  <si>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</si>
  <si>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</si>
  <si>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Final FX rate</t>
  </si>
  <si>
    <t>Average FX rate</t>
  </si>
  <si>
    <t>FX rate (BEST)</t>
  </si>
  <si>
    <t>BRCYRE</t>
  </si>
  <si>
    <t>% Deferred</t>
  </si>
  <si>
    <t>Revenue recognition</t>
  </si>
  <si>
    <t>Sales speed</t>
  </si>
  <si>
    <t>NTN-B</t>
  </si>
  <si>
    <t>LT inflation</t>
  </si>
  <si>
    <t>Beta</t>
  </si>
  <si>
    <t>Terminal Real Growth rate</t>
  </si>
  <si>
    <t>Terminal Nominal Growth rate</t>
  </si>
  <si>
    <t>Discount Factor</t>
  </si>
  <si>
    <t>Discount rate (ke)</t>
  </si>
  <si>
    <t>Free Cash Flow (to Equity)</t>
  </si>
  <si>
    <t>Stock Price</t>
  </si>
  <si>
    <t>Risk free rate (Brazil)</t>
  </si>
  <si>
    <t>Equity Risk Premium</t>
  </si>
  <si>
    <t>Stock Risk Premium</t>
  </si>
  <si>
    <t>Fair Equity Value Calculation</t>
  </si>
  <si>
    <t>Quarter</t>
  </si>
  <si>
    <t>1Q</t>
  </si>
  <si>
    <t>2Q</t>
  </si>
  <si>
    <t>3Q</t>
  </si>
  <si>
    <t>4Q</t>
  </si>
  <si>
    <t>Year</t>
  </si>
  <si>
    <t>Actual/Estimate</t>
  </si>
  <si>
    <t>E</t>
  </si>
  <si>
    <t>Days in Quarter</t>
  </si>
  <si>
    <t>Macro variables</t>
  </si>
  <si>
    <t xml:space="preserve">  Development Sales</t>
  </si>
  <si>
    <t xml:space="preserve">  Services</t>
  </si>
  <si>
    <t>G&amp;A Expenses</t>
  </si>
  <si>
    <t xml:space="preserve">  Monetary Variation (when applicable)</t>
  </si>
  <si>
    <t>Net Financial Result</t>
  </si>
  <si>
    <t xml:space="preserve">  Extraordinary items</t>
  </si>
  <si>
    <t xml:space="preserve">  Client Financing (when applicable)</t>
  </si>
  <si>
    <t xml:space="preserve">  Depreciation&amp;Amortization</t>
  </si>
  <si>
    <t>Non-operating Expenses</t>
  </si>
  <si>
    <t>Employee compensation</t>
  </si>
  <si>
    <t>Majority Earnings</t>
  </si>
  <si>
    <t>As % of Majority Earnings</t>
  </si>
  <si>
    <t>Minority Interest</t>
  </si>
  <si>
    <t>Net Earnings</t>
  </si>
  <si>
    <t>Shares Outstanding (ex-treasury)</t>
  </si>
  <si>
    <t>Summary</t>
  </si>
  <si>
    <t>EBT</t>
  </si>
  <si>
    <t>Net Income (adjusted)</t>
  </si>
  <si>
    <t>Interest calculation</t>
  </si>
  <si>
    <t xml:space="preserve">  Suppliers &amp; Development Obligations</t>
  </si>
  <si>
    <t xml:space="preserve">  Advances from Clients</t>
  </si>
  <si>
    <t xml:space="preserve">  Obligations for Real Estate Purchases</t>
  </si>
  <si>
    <t>Total Debt (inc. related parties)</t>
  </si>
  <si>
    <t>Net Debt/(cash)</t>
  </si>
  <si>
    <t>Completed units</t>
  </si>
  <si>
    <t>Under-Construction units</t>
  </si>
  <si>
    <t>Cash impact</t>
  </si>
  <si>
    <t>Per share data</t>
  </si>
  <si>
    <t xml:space="preserve">  Total Tax Rate (% of revenues)</t>
  </si>
  <si>
    <t xml:space="preserve">  Cash Tax Rate (% of collection)</t>
  </si>
  <si>
    <t>Liabilities</t>
  </si>
  <si>
    <t>Contracted Sales (co%)</t>
  </si>
  <si>
    <t>Launches' Value (100%)</t>
  </si>
  <si>
    <t>Launches' Value (co%)</t>
  </si>
  <si>
    <t># of Units Launched</t>
  </si>
  <si>
    <t># of Units Sold</t>
  </si>
  <si>
    <t>Avg Selling Price, R$000/unit</t>
  </si>
  <si>
    <t>Avg Launching Price, R$000/unit</t>
  </si>
  <si>
    <t>Avg Share (%)</t>
  </si>
  <si>
    <t>Supply (launches+BoP inventory)</t>
  </si>
  <si>
    <t>Sales Supply</t>
  </si>
  <si>
    <t>Development Revenue</t>
  </si>
  <si>
    <t>Rate of recognition (%)</t>
  </si>
  <si>
    <t>Potential VGV</t>
  </si>
  <si>
    <t>Indirect Method</t>
  </si>
  <si>
    <t xml:space="preserve">  Accrued Earnings</t>
  </si>
  <si>
    <t xml:space="preserve">  % of revenues</t>
  </si>
  <si>
    <t xml:space="preserve">  % of sales</t>
  </si>
  <si>
    <t>Other Operating Expenses</t>
  </si>
  <si>
    <t>Other Operating Income</t>
  </si>
  <si>
    <t xml:space="preserve">  Taxes and other deductions</t>
  </si>
  <si>
    <t xml:space="preserve">  % of Gross Revenues</t>
  </si>
  <si>
    <t>Backlog of Revenues</t>
  </si>
  <si>
    <t>Backlog of Costs</t>
  </si>
  <si>
    <t>Backlog of Results (to be recognized)</t>
  </si>
  <si>
    <t>Sales in the period</t>
  </si>
  <si>
    <t>Costs in the period</t>
  </si>
  <si>
    <t>Prevailing Result</t>
  </si>
  <si>
    <t>Result in the period</t>
  </si>
  <si>
    <t>Gross Margin added in the period</t>
  </si>
  <si>
    <t>Launches and sales</t>
  </si>
  <si>
    <t>Potential upside</t>
  </si>
  <si>
    <t>Gross Revenues</t>
  </si>
  <si>
    <t>LTM Revenues</t>
  </si>
  <si>
    <t>LTM Costs</t>
  </si>
  <si>
    <t>LTM Contracted Sales</t>
  </si>
  <si>
    <t xml:space="preserve">  Avg rate (%)</t>
  </si>
  <si>
    <t>Payout (%)</t>
  </si>
  <si>
    <t>Backlog</t>
  </si>
  <si>
    <t>Item 3 (REF - Results to be recognized - R$mn)</t>
  </si>
  <si>
    <t>Item 4 (Inventory VGV - R$mn)</t>
  </si>
  <si>
    <t>Item 5 (Sales over Supply Ratio - VSO - %)</t>
  </si>
  <si>
    <t>Item 6 (EBITDA ex capitalized interest on cogs)</t>
  </si>
  <si>
    <t>Item 7 (Capitalized Interest on COGS )</t>
  </si>
  <si>
    <t>Item 8 (Cash Burn - Net Debt Change - R$mn)</t>
  </si>
  <si>
    <t>Item 9 (FCFF - R$mn)</t>
  </si>
  <si>
    <t>Item 10 (FCFE - R$mn)</t>
  </si>
  <si>
    <t>Item 11 (Cost of Equity - Ke - R$ nominal)</t>
  </si>
  <si>
    <t>Item 12 (Terminal Growth Rate - g - R$ nominal)</t>
  </si>
  <si>
    <t>amortizou pouco juros</t>
  </si>
  <si>
    <t>muita receita de financiamento a parceiros</t>
  </si>
  <si>
    <t>investment losses and others</t>
  </si>
  <si>
    <t>Securitizacao true sale 2012</t>
  </si>
  <si>
    <t>land bank (contabil caiu bem)</t>
  </si>
  <si>
    <t>Thera Berrini (corporate)</t>
  </si>
  <si>
    <t>Preco a vista pra CCP e fundo</t>
  </si>
  <si>
    <t>cash R$150mn</t>
  </si>
  <si>
    <t>cash R$40mn</t>
  </si>
  <si>
    <t>Checar</t>
  </si>
  <si>
    <t>Baixas</t>
  </si>
  <si>
    <t>Cash operating result</t>
  </si>
  <si>
    <t>Item 13 (# Units launched)</t>
  </si>
  <si>
    <t>Item 14 (Average price units launched – R$mn)</t>
  </si>
  <si>
    <t>Item 15 (# Units sold)</t>
  </si>
  <si>
    <t>Item 16 (Average price units sold – R$mn)</t>
  </si>
  <si>
    <t>Assets</t>
  </si>
  <si>
    <t>Other Assets</t>
  </si>
  <si>
    <t>Invested Capital</t>
  </si>
  <si>
    <t>Capitalized interest</t>
  </si>
  <si>
    <t>Capitalized sales stands</t>
  </si>
  <si>
    <t>Gross Financial Debt</t>
  </si>
  <si>
    <t>Development Obligations</t>
  </si>
  <si>
    <t>Other Liabilities</t>
  </si>
  <si>
    <t>Tanglible Book Value</t>
  </si>
  <si>
    <t>Goodwill Amortization</t>
  </si>
  <si>
    <t>Interest Capitalization</t>
  </si>
  <si>
    <t>Sales stand Capitalization</t>
  </si>
  <si>
    <t>Non-recurring items</t>
  </si>
  <si>
    <t>Adjusted Profit</t>
  </si>
  <si>
    <t>TBVPS</t>
  </si>
  <si>
    <t>Unconsolidated Assets</t>
  </si>
  <si>
    <t>ATBVPS</t>
  </si>
  <si>
    <t>Current Quarter</t>
  </si>
  <si>
    <t>Target period</t>
  </si>
  <si>
    <t>Tangible BV</t>
  </si>
  <si>
    <t>Fair P/TBV Multiple</t>
  </si>
  <si>
    <t>Values to be excluded from TBV</t>
  </si>
  <si>
    <t>Value of assets valued separately</t>
  </si>
  <si>
    <t># of Shares Outstanding</t>
  </si>
  <si>
    <t>Target Price (R$/share)</t>
  </si>
  <si>
    <t>Fair Value of Equity</t>
  </si>
  <si>
    <t>Tangible BV calculation</t>
  </si>
  <si>
    <t>ROIC</t>
  </si>
  <si>
    <t>3/08(A)
Q1</t>
  </si>
  <si>
    <t>6/08(A)
Q2</t>
  </si>
  <si>
    <t>9/08(A)
Q3</t>
  </si>
  <si>
    <t>12/08(A)
Q4</t>
  </si>
  <si>
    <t>12/08(A)
F</t>
  </si>
  <si>
    <t>3/09(A)
Q1</t>
  </si>
  <si>
    <t>6/09(A)
Q2</t>
  </si>
  <si>
    <t>9/09(A)
Q3</t>
  </si>
  <si>
    <t>12/09(A)
Q4</t>
  </si>
  <si>
    <t>12/09(A)
F</t>
  </si>
  <si>
    <t>3/10(A)
Q1</t>
  </si>
  <si>
    <t>6/10(A)
Q2</t>
  </si>
  <si>
    <t>9/10(A)
Q3</t>
  </si>
  <si>
    <t>12/10(A)
Q4</t>
  </si>
  <si>
    <t>12/10(A)
F</t>
  </si>
  <si>
    <t>3/11(A)
Q1</t>
  </si>
  <si>
    <t>6/11(A)
Q2</t>
  </si>
  <si>
    <t>9/11(A)
Q3</t>
  </si>
  <si>
    <t>12/11(A)
Q4</t>
  </si>
  <si>
    <t>12/11(A)
F</t>
  </si>
  <si>
    <t>3/12(A)
Q1</t>
  </si>
  <si>
    <t>6/12(A)
Q2</t>
  </si>
  <si>
    <t>Deliveries</t>
  </si>
  <si>
    <t xml:space="preserve">  Not started</t>
  </si>
  <si>
    <t xml:space="preserve">  Under Construction</t>
  </si>
  <si>
    <t xml:space="preserve">  Completed</t>
  </si>
  <si>
    <t>PSV Delivered</t>
  </si>
  <si>
    <t>9/12(A)
Q3</t>
  </si>
  <si>
    <t>12/12(A)
Q4</t>
  </si>
  <si>
    <t>12/12(A)
F</t>
  </si>
  <si>
    <t xml:space="preserve">Item 17 (PSV delivered) </t>
  </si>
  <si>
    <t>Units Delivered</t>
  </si>
  <si>
    <t>3/13(A)
Q1</t>
  </si>
  <si>
    <t>6/13(A)
Q2</t>
  </si>
  <si>
    <t>P/E 2015</t>
  </si>
  <si>
    <t>P/E 2014</t>
  </si>
  <si>
    <t>9/13(A)
Q3</t>
  </si>
  <si>
    <t>Item 19 (Tangible Book Value R$mn)</t>
  </si>
  <si>
    <t>Item 18 (# units delivered)</t>
  </si>
  <si>
    <t>Book Value (incl. minorities)</t>
  </si>
  <si>
    <t>MAC</t>
  </si>
  <si>
    <t>Cury</t>
  </si>
  <si>
    <t>Plano</t>
  </si>
  <si>
    <t>SKR</t>
  </si>
  <si>
    <t>-</t>
  </si>
  <si>
    <t>Construction services sales</t>
  </si>
  <si>
    <t>Launches' Sales Value (100%)</t>
  </si>
  <si>
    <t>Launches' Sales Value (% Cyrela)</t>
  </si>
  <si>
    <t>Avg Cyrela Share (%)</t>
  </si>
  <si>
    <t>Contracted Sales (% Cyrela)</t>
  </si>
  <si>
    <t>Contracted Sales (100%)</t>
  </si>
  <si>
    <t>Dividends in next 12 months</t>
  </si>
  <si>
    <t>2014E</t>
  </si>
  <si>
    <t>2015E</t>
  </si>
  <si>
    <t>ROE</t>
  </si>
  <si>
    <t>12/13(A)
Q4</t>
  </si>
  <si>
    <t>12/13(A)
F</t>
  </si>
  <si>
    <t>3/14(A)
Q1</t>
  </si>
  <si>
    <t>Exit P/TBV</t>
  </si>
  <si>
    <t>IRR</t>
  </si>
  <si>
    <t>today</t>
  </si>
  <si>
    <t>2016E</t>
  </si>
  <si>
    <t>2017E</t>
  </si>
  <si>
    <t>2018E</t>
  </si>
  <si>
    <t>6/14(A)
Q2</t>
  </si>
  <si>
    <t>Contracted Sales</t>
  </si>
  <si>
    <t>Gross Launches' Sales</t>
  </si>
  <si>
    <t xml:space="preserve">  -- Sales Speed</t>
  </si>
  <si>
    <t>Gross Inventory Sales</t>
  </si>
  <si>
    <t>Sales Cancelations</t>
  </si>
  <si>
    <t xml:space="preserve">  -- Cancelation Rate</t>
  </si>
  <si>
    <t>Net Inventory Sales</t>
  </si>
  <si>
    <t>Revenue Backlog</t>
  </si>
  <si>
    <t>Period's net contracted sales</t>
  </si>
  <si>
    <t>Revenue from sales of the period</t>
  </si>
  <si>
    <t>Revenue from backlog</t>
  </si>
  <si>
    <t>Income statement</t>
  </si>
  <si>
    <t>VSO rate (gross)</t>
  </si>
  <si>
    <t>VSO rate (net)</t>
  </si>
  <si>
    <t>9/14(A)
Q3</t>
  </si>
  <si>
    <t>12/14(A)
Q4</t>
  </si>
  <si>
    <t>12/14(A)
F</t>
  </si>
  <si>
    <t>3/15(A)
Q1</t>
  </si>
  <si>
    <t>6/15(A)
Q2</t>
  </si>
  <si>
    <t>9/15(A)
Q3</t>
  </si>
  <si>
    <t>12/15(A)
Q4</t>
  </si>
  <si>
    <t>12/15(A)
F</t>
  </si>
  <si>
    <t>3/16(A)
Q1</t>
  </si>
  <si>
    <t>6/16(A)
Q2</t>
  </si>
  <si>
    <t>DPS/buybacks YE17</t>
  </si>
  <si>
    <t>Distrato R$1.5bn</t>
  </si>
  <si>
    <t>Distrato R$2.0bn</t>
  </si>
  <si>
    <t>g</t>
  </si>
  <si>
    <t>Ke</t>
  </si>
  <si>
    <t>9/16(A)
Q3</t>
  </si>
  <si>
    <t>12/16(A)
Q4</t>
  </si>
  <si>
    <t>12/16(A)
F</t>
  </si>
  <si>
    <t>3/17(A)
Q1</t>
  </si>
  <si>
    <t>6/17(A)
Q2</t>
  </si>
  <si>
    <t>9/17(A)
Q3</t>
  </si>
  <si>
    <t>G Perpetuity</t>
  </si>
  <si>
    <t>G Properture</t>
  </si>
  <si>
    <t>Item 19</t>
  </si>
  <si>
    <t>Item 18</t>
  </si>
  <si>
    <t>Item 17</t>
  </si>
  <si>
    <t>Item 16</t>
  </si>
  <si>
    <t>Item 15</t>
  </si>
  <si>
    <t>Item 14</t>
  </si>
  <si>
    <t>Item 13</t>
  </si>
  <si>
    <t>Item 12</t>
  </si>
  <si>
    <t>Item 11</t>
  </si>
  <si>
    <t>Item 10</t>
  </si>
  <si>
    <t>Item 9</t>
  </si>
  <si>
    <t>Item 8</t>
  </si>
  <si>
    <t>Item 7</t>
  </si>
  <si>
    <t>Item 6</t>
  </si>
  <si>
    <t>Item 5</t>
  </si>
  <si>
    <t>Item 4</t>
  </si>
  <si>
    <t>Item 3</t>
  </si>
  <si>
    <t>Item 2</t>
  </si>
  <si>
    <t>Item 1</t>
  </si>
  <si>
    <t>12/24(E)
F</t>
  </si>
  <si>
    <t>12/24(E)
Q4</t>
  </si>
  <si>
    <t>9/24(E)
Q3</t>
  </si>
  <si>
    <t>6/24(E)
Q2</t>
  </si>
  <si>
    <t>3/24(E)
Q1</t>
  </si>
  <si>
    <t>12/23(E)
F</t>
  </si>
  <si>
    <t>12/23(E)
Q4</t>
  </si>
  <si>
    <t>9/23(E)
Q3</t>
  </si>
  <si>
    <t>6/23(E)
Q2</t>
  </si>
  <si>
    <t>3/23(E)
Q1</t>
  </si>
  <si>
    <t>12/22(E)
F</t>
  </si>
  <si>
    <t>12/22(E)
Q4</t>
  </si>
  <si>
    <t>9/22(E)
Q3</t>
  </si>
  <si>
    <t>6/22(E)
Q2</t>
  </si>
  <si>
    <t>3/22(E)
Q1</t>
  </si>
  <si>
    <t>12/21(E)
F</t>
  </si>
  <si>
    <t>12/21(E)
Q4</t>
  </si>
  <si>
    <t>9/21(E)
Q3</t>
  </si>
  <si>
    <t>6/21(E)
Q2</t>
  </si>
  <si>
    <t>3/21(E)
Q1</t>
  </si>
  <si>
    <t>9/17(E)
Q3</t>
  </si>
  <si>
    <t>6/17(E)
Q2</t>
  </si>
  <si>
    <t>3/17(E)
Q1</t>
  </si>
  <si>
    <t>12/16(E)
F</t>
  </si>
  <si>
    <t>12/16(E)
Q4</t>
  </si>
  <si>
    <t>9/16(E)
Q3</t>
  </si>
  <si>
    <t>6/16(E)
Q2</t>
  </si>
  <si>
    <t>3/16(E)
Q1</t>
  </si>
  <si>
    <t>12/15(E)
F</t>
  </si>
  <si>
    <t>12/15(E)
Q4</t>
  </si>
  <si>
    <t>9/15(E)
Q3</t>
  </si>
  <si>
    <t>6/15(E)
Q2</t>
  </si>
  <si>
    <t>3/15(E)
Q1</t>
  </si>
  <si>
    <t>12/14(E)
F</t>
  </si>
  <si>
    <t>12/14(E)
Q4</t>
  </si>
  <si>
    <t>9/14(E)
Q3</t>
  </si>
  <si>
    <t>6/14(E)
Q2</t>
  </si>
  <si>
    <t>3/14(E)
Q1</t>
  </si>
  <si>
    <t>12/13(E)
F</t>
  </si>
  <si>
    <t>12/13(E)
Q4</t>
  </si>
  <si>
    <t>9/13(E)
Q3</t>
  </si>
  <si>
    <t>6/13(E)
Q2</t>
  </si>
  <si>
    <t>3/13(E)
Q1</t>
  </si>
  <si>
    <t># acoes</t>
  </si>
  <si>
    <t>PL</t>
  </si>
  <si>
    <t>Preco</t>
  </si>
  <si>
    <t>Fair value in Book Value (JVs)</t>
  </si>
  <si>
    <t>Tangible Book Value</t>
  </si>
  <si>
    <t>Shares</t>
  </si>
  <si>
    <t>Stock price</t>
  </si>
  <si>
    <t>Market cap</t>
  </si>
  <si>
    <t>P/TBV (ex-JVs)</t>
  </si>
  <si>
    <t>Market cap (ex-JVs)</t>
  </si>
  <si>
    <t>Tangible Book Value (ex-JVs)</t>
  </si>
  <si>
    <t>CURY</t>
  </si>
  <si>
    <t>PLPL</t>
  </si>
  <si>
    <t>LAVV</t>
  </si>
  <si>
    <t>CYRE stand-alone</t>
  </si>
  <si>
    <t>Recebiveis</t>
  </si>
  <si>
    <t>Imoveis a pagar</t>
  </si>
  <si>
    <t>Custos a apropriar</t>
  </si>
  <si>
    <t>Imoveis a comercializar</t>
  </si>
  <si>
    <t>Covenant II</t>
  </si>
  <si>
    <t>Divida líquida</t>
  </si>
  <si>
    <t>EPS JVs</t>
  </si>
  <si>
    <t>EPS ex-JVs</t>
  </si>
  <si>
    <t>P/E ex-JVs</t>
  </si>
  <si>
    <t>ROE ex-JVs</t>
  </si>
  <si>
    <t>FCF</t>
  </si>
  <si>
    <t>LL</t>
  </si>
  <si>
    <t>Margem bruta</t>
  </si>
  <si>
    <t>Rec Liq</t>
  </si>
  <si>
    <t>(+) Custo a incorrer - unidades vendidas</t>
  </si>
  <si>
    <t>(+) Custo a incorrer - unidades em estoque</t>
  </si>
  <si>
    <t>(=) Custo a incorrer total</t>
  </si>
  <si>
    <t>(+) Desembolso com novos terrenos</t>
  </si>
  <si>
    <t>(+) Desembolso com novas obras</t>
  </si>
  <si>
    <t>(=) Custo a incorrer novos projetos</t>
  </si>
  <si>
    <t>(+) SG&amp;A</t>
  </si>
  <si>
    <t>(+) Outras despesas</t>
  </si>
  <si>
    <t>(+) Resultado financeiro (caixa)</t>
  </si>
  <si>
    <t>(=) Desembolsos totais</t>
  </si>
  <si>
    <t>(=) VGV a ser entregue</t>
  </si>
  <si>
    <t>(x) % Vendido</t>
  </si>
  <si>
    <t>(x) LTV médio</t>
  </si>
  <si>
    <t>(=) Recebimento repasses</t>
  </si>
  <si>
    <t>(=) VGV vendido e não entregue</t>
  </si>
  <si>
    <t>(=) Recebimento parcelas</t>
  </si>
  <si>
    <t>(=) VGV a ser vendido</t>
  </si>
  <si>
    <t>(+) Dividendos JVs</t>
  </si>
  <si>
    <t>(=) Recebimentos totais</t>
  </si>
  <si>
    <t>(+) Vendas de participações</t>
  </si>
  <si>
    <t>(+) Impostos (caixa)</t>
  </si>
  <si>
    <t>R$000'</t>
  </si>
  <si>
    <t>Cyrela - FCF build up (2025)</t>
  </si>
  <si>
    <t>Lançamentos</t>
  </si>
  <si>
    <t>Estoque BoP</t>
  </si>
  <si>
    <t>Vendas</t>
  </si>
  <si>
    <t>VSO (anual)</t>
  </si>
  <si>
    <t>4Q25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</si>
</sst>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(&quot;R$ &quot;* #,##0.00_);_(&quot;R$ &quot;* \(#,##0.00\);_(&quot;R$ &quot;* &quot;-&quot;??_);_(@_)"/>
    <numFmt numFmtId="166" formatCode="&quot;$&quot;#,##0.00;[Red]\-&quot;$&quot;#,##0.00"/>
    <numFmt numFmtId="167" formatCode="_(* #,##0_);_(* \(#,##0\);_(* &quot;-&quot;??_);_(@_)"/>
    <numFmt numFmtId="168" formatCode="0.0%"/>
    <numFmt numFmtId="169" formatCode="_(* #,##0.0_);_(* \(#,##0.0\);_(* &quot;-&quot;??_);_(@_)"/>
    <numFmt numFmtId="170" formatCode="_(* #,##0.000_);_(* \(#,##0.000\);_(* &quot;-&quot;??_);_(@_)"/>
    <numFmt numFmtId="171" formatCode="_([$€-2]* #,##0.00_);_([$€-2]* \(#,##0.00\);_([$€-2]* &quot;-&quot;??_)"/>
    <numFmt numFmtId="172" formatCode="_(* #,##0.0000_);_(* \(#,##0.0000\);_(* &quot;-&quot;??_);_(@_)"/>
    <numFmt numFmtId="173" formatCode="#,##0.0"/>
    <numFmt numFmtId="174" formatCode="0.0"/>
    <numFmt numFmtId="175" formatCode="0.0\x"/>
    <numFmt numFmtId="176" formatCode="0.0_);\(0.0\)"/>
    <numFmt numFmtId="177" formatCode="_(* #,##0.0_);_(* \(#,##0.0\);_(* &quot;-&quot;_);_(@_)"/>
    <numFmt numFmtId="178" formatCode="_(* #,##0.00_);_(* \(#,##0.00\);_(* &quot;-&quot;_);_(@_)"/>
    <numFmt numFmtId="179" formatCode="_(* #,##0.000_);_(* \(#,##0.000\);_(* &quot;-&quot;_);_(@_)"/>
    <numFmt numFmtId="180" formatCode="_(&quot;Cr$&quot;\ * #,##0_);_(&quot;Cr$&quot;\ * \(#,##0\);_(&quot;Cr$&quot;\ * &quot;-&quot;_);_(@_)"/>
    <numFmt numFmtId="181" formatCode="General_)"/>
    <numFmt numFmtId="182" formatCode="#,##0.0_);\(#,##0.0\)"/>
    <numFmt numFmtId="183" formatCode="#,##0.000_);\(#,##0.000\)"/>
    <numFmt numFmtId="184" formatCode="_([$$-409]* #,##0.00_);_([$$-409]* \(#,##0.00\);_([$$-409]* &quot;-&quot;??_);_(@_)"/>
    <numFmt numFmtId="185" formatCode="_(* #,##0.000_);_(* \(#,##0.000\);_(* &quot;-&quot;???_);_(@_)"/>
    <numFmt numFmtId="186" formatCode="0.000"/>
    <numFmt numFmtId="187" formatCode="0.00\x"/>
    <numFmt numFmtId="188" formatCode="0.000%"/>
    <numFmt numFmtId="189" formatCode="0.0000%"/>
    <numFmt numFmtId="190" formatCode="0.000000"/>
    <numFmt numFmtId="191" formatCode="#,##0.0\ \x"/>
    <numFmt numFmtId="192" formatCode="#,##0;&quot;£&quot;#,##0"/>
    <numFmt numFmtId="193" formatCode="&quot;£&quot;\ #,##0_);[Red]\(&quot;£&quot;\ #,##0\)"/>
    <numFmt numFmtId="194" formatCode="&quot;¥&quot;\ #,##0_);[Red]\(&quot;¥&quot;\ #,##0\)"/>
    <numFmt numFmtId="195" formatCode="0_)"/>
    <numFmt numFmtId="196" formatCode="0\A"/>
    <numFmt numFmtId="197" formatCode="0.000_]"/>
    <numFmt numFmtId="198" formatCode="#,##0.0\ _]"/>
    <numFmt numFmtId="199" formatCode="&quot;•&quot;\ \ @"/>
    <numFmt numFmtId="200" formatCode="_-* #,###_-;\(#,###\);_-* &quot;–&quot;_-;_-@_-"/>
    <numFmt numFmtId="201" formatCode="0.00000000000"/>
    <numFmt numFmtId="202" formatCode="0.000000000000"/>
    <numFmt numFmtId="203" formatCode="0.0%;\(0.0\)%"/>
    <numFmt numFmtId="204" formatCode="dd\-mm"/>
    <numFmt numFmtId="205" formatCode="dd/m/yy"/>
    <numFmt numFmtId="206" formatCode="#,##0_%_);\(#,##0\)_%;#,##0_%_);@_%_)"/>
    <numFmt numFmtId="207" formatCode="0."/>
    <numFmt numFmtId="208" formatCode="#,##0.0\x_);\(#,##0.0\x\)"/>
    <numFmt numFmtId="209" formatCode="0.00_);\(0.00\);0.00"/>
    <numFmt numFmtId="210" formatCode="0.0_)"/>
    <numFmt numFmtId="211" formatCode="&quot;£&quot;0&quot;m&quot;"/>
    <numFmt numFmtId="212" formatCode="\ \ _•&quot;–&quot;\ \ \ \ @"/>
    <numFmt numFmtId="213" formatCode="0.00000"/>
    <numFmt numFmtId="214" formatCode="#,##0;\(#,##0\)"/>
    <numFmt numFmtId="215" formatCode="_-* #,##0.0_-;\-* #,##0.0_-;_-* &quot;-&quot;??_-;_-@_-"/>
    <numFmt numFmtId="216" formatCode="#,##0.0\ ;\(#,##0.0\)"/>
    <numFmt numFmtId="217" formatCode="#,##0.00;\(#,##0.00\);&quot;-&quot;"/>
    <numFmt numFmtId="218" formatCode="#,##0.0000\ ;\(#,##0.0000\)"/>
    <numFmt numFmtId="219" formatCode="#,##0.0000_);[Red]\(#,##0.0000\)"/>
    <numFmt numFmtId="220" formatCode=";;;"/>
    <numFmt numFmtId="221" formatCode="#,##0.0;\(#,##0.0\)"/>
    <numFmt numFmtId="222" formatCode="mmyy"/>
    <numFmt numFmtId="223" formatCode="0.00_);\(0.00\);0.00_)"/>
    <numFmt numFmtId="224" formatCode="_-* #,##0.000_-;\-* #,##0.000_-;_-* &quot;-&quot;??_-;_-@_-"/>
    <numFmt numFmtId="225" formatCode="\$#,##0.0;\-\$#,##0.0"/>
    <numFmt numFmtId="226" formatCode="#,##0;\-\(\,##0\)"/>
    <numFmt numFmtId="227" formatCode="#,##0.00;\(#,##0.00\)"/>
    <numFmt numFmtId="228" formatCode="0.0\x;\-0.0\x;"/>
    <numFmt numFmtId="229" formatCode="#,##0.0_);[Red]\(#,##0.0\)"/>
    <numFmt numFmtId="230" formatCode="#,##0;_(* \(#,##0\);_(* &quot;-&quot;??_);_(@_)"/>
    <numFmt numFmtId="231" formatCode="0.0%;\(0.0%\)"/>
    <numFmt numFmtId="232" formatCode="0.0000E+00;\?"/>
    <numFmt numFmtId="233" formatCode="0.00\%;\-0.00\%;0.00\%"/>
    <numFmt numFmtId="234" formatCode="0.00\x;\-0.00\x;0.00\x"/>
    <numFmt numFmtId="235" formatCode="[Red]0.###,,&quot; mm&quot;"/>
    <numFmt numFmtId="236" formatCode="##0.00000"/>
    <numFmt numFmtId="237" formatCode="#,##0;\(#,##0\);&quot;–&quot;;@"/>
    <numFmt numFmtId="238" formatCode="#,##0.000\ ;\(#,##0.000\)"/>
    <numFmt numFmtId="239" formatCode="#,##0.00\ ;\(#,##0.00\)"/>
    <numFmt numFmtId="240" formatCode="0.000000000"/>
    <numFmt numFmtId="241" formatCode="0.0\ \x"/>
    <numFmt numFmtId="242" formatCode="&quot;$&quot;#,##0\ ;[Red]\(&quot;$&quot;#,##0\)"/>
    <numFmt numFmtId="243" formatCode="#,##0.0000000000"/>
    <numFmt numFmtId="244" formatCode="#,##0.00\p;\(#,##0.00\p\)"/>
    <numFmt numFmtId="245" formatCode="&quot;$&quot;#,##0.000_%_);\(&quot;$&quot;#,##0.000\)_%;&quot;$&quot;#,##0.000_%_);@_%_)"/>
    <numFmt numFmtId="246" formatCode="#,##0.0%_);\(#,##0.0%\);#,##0.0%_);@_%_)"/>
    <numFmt numFmtId="247" formatCode="\£#,##0_);\(\£#,##0\)"/>
    <numFmt numFmtId="248" formatCode="&quot;$&quot;#,##0.0_)_);\(&quot;$&quot;#,##0.0\)_);&quot;$&quot;#,##0.0_)_);@_%_)"/>
    <numFmt numFmtId="249" formatCode="#,##0.000_);[Red]\(#,##0.000\)"/>
    <numFmt numFmtId="250" formatCode="&quot;+ &quot;#,##0.000"/>
    <numFmt numFmtId="251" formatCode="#,##0.0_)\ &quot;Btons&quot;;[Red]\(#,##0.0\)\ &quot;Btons&quot;"/>
    <numFmt numFmtId="252" formatCode="#,##0.0_)\ &quot;Tcfe&quot;;[Red]\(#,##0.0\)\ &quot;Tcfe&quot;"/>
    <numFmt numFmtId="253" formatCode="#,##0.00_%_);\(#,##0.00\)_%;**;@_%_)"/>
    <numFmt numFmtId="254" formatCode="#,##0.000_%_);\(#,##0.000\)_%;**;@_%_)"/>
    <numFmt numFmtId="255" formatCode="#,##0_)\ \-\ ;[Red]\(#,##0\)\ \-"/>
    <numFmt numFmtId="256" formatCode="#,##0.0_%_);\(#,##0.0\)_%;**;@_%_)"/>
    <numFmt numFmtId="257" formatCode="#,##0.0\x_);\(#,##0.0\x\);#,##0.0\x_);@_)"/>
    <numFmt numFmtId="258" formatCode="#,##0.0_%_);\(#,##0.0\)_%;#,##0.0_%_);@_%_)"/>
    <numFmt numFmtId="259" formatCode="[$$]#,##0.0_);\([$$]#,##0.0\);[$$]#,##0.0_);@_)"/>
    <numFmt numFmtId="260" formatCode="#,##0.0\p"/>
    <numFmt numFmtId="261" formatCode="0_%_);\(0\)_%;0_%_);@_%_)"/>
    <numFmt numFmtId="262" formatCode="&quot;$&quot;#,##0.0;\(&quot;$&quot;#,##0.0\);&quot;$&quot;#,##0.0"/>
    <numFmt numFmtId="263" formatCode="&quot;$&quot;#,##0.0_);[Red]\(&quot;$&quot;#,##0.0\)"/>
    <numFmt numFmtId="264" formatCode="&quot;$&quot;#,##0.000_);[Red]\(&quot;$&quot;#,##0.000\)"/>
    <numFmt numFmtId="265" formatCode="&quot;$&quot;#,##0.00_%_);\(&quot;$&quot;#,##0.00\)_%;**;@_%_)"/>
    <numFmt numFmtId="266" formatCode="&quot;$&quot;#,##0.00_%_);\(&quot;$&quot;#,##0.00\)_%;&quot;$&quot;#,##0.00_%_);@_%_)"/>
    <numFmt numFmtId="267" formatCode="&quot;$&quot;#,##0.000_%_);\(&quot;$&quot;#,##0.000\)_%;**;@_%_)"/>
    <numFmt numFmtId="268" formatCode="&quot;$&quot;#,##0.0_%_);\(&quot;$&quot;#,##0.0\)_%;**;@_%_)"/>
    <numFmt numFmtId="269" formatCode="[Blue]&quot;$&quot;#,##0.00_);[Magenta]\(&quot;$&quot;#,##0.00\)"/>
    <numFmt numFmtId="270" formatCode="&quot;$&quot;#,##0.0_%_);\(&quot;$&quot;#,##0.0\)_%;&quot;$&quot;#,##0.0_%_);@_%_)"/>
    <numFmt numFmtId="271" formatCode="@\ \ \ \ \ "/>
    <numFmt numFmtId="272" formatCode="m/d/yy\ h:mm\ AM/PM"/>
    <numFmt numFmtId="273" formatCode="m/d/yy_%_);;**"/>
    <numFmt numFmtId="274" formatCode="m/d/yy_%_)"/>
    <numFmt numFmtId="275" formatCode="&quot;$&quot;#,##0.0_);\(&quot;$&quot;#,##0.0\)"/>
    <numFmt numFmtId="276" formatCode="#,##0.00_)\ \ \ \ \ ;\(#,##0.00\)\ \ \ \ \ "/>
    <numFmt numFmtId="277" formatCode="&quot;$&quot;#,##0.00_)\ \ \ \ \ ;\(&quot;$&quot;#,##0.00\)\ \ \ \ \ "/>
    <numFmt numFmtId="278" formatCode="&quot;$&quot;#,##0.00\A\ \ \ \ ;\(&quot;$&quot;#,##0.00\A\)\ \ \ \ "/>
    <numFmt numFmtId="279" formatCode="&quot;$&quot;#,##0.00&quot;E&quot;\ \ \ \ ;\(&quot;$&quot;#,##0.00&quot;E&quot;\)\ \ \ \ "/>
    <numFmt numFmtId="280" formatCode="#,##0.00\A\ \ \ \ ;\(#,##0.00\A\)\ \ \ \ "/>
    <numFmt numFmtId="281" formatCode="#,##0.00&quot;E&quot;\ \ \ \ ;\(#,##0.00&quot;E&quot;\)\ \ \ \ "/>
    <numFmt numFmtId="282" formatCode="###0.0;[Red]\-###0.0"/>
    <numFmt numFmtId="283" formatCode="###0.00;[Red]\-###0.00"/>
    <numFmt numFmtId="284" formatCode="#,##0.000_);[Red]\-#,##0.000"/>
    <numFmt numFmtId="285" formatCode="###0_);[Red]\-###0"/>
    <numFmt numFmtId="286" formatCode="0.0%_);[Red]\(0.0%\)"/>
    <numFmt numFmtId="287" formatCode="#,##0;[Red]\(#,##0\)"/>
    <numFmt numFmtId="288" formatCode="&quot;$&quot;#,##0.0"/>
    <numFmt numFmtId="289" formatCode="#,##0.000_%_);\(&quot;$&quot;#,##0.000\)_%;**;@_%_)"/>
    <numFmt numFmtId="290" formatCode="&quot;$&quot;#,##0"/>
    <numFmt numFmtId="291" formatCode="0.00_)"/>
    <numFmt numFmtId="292" formatCode="\C\f\ #,##0.000_%_);\(\C\f\ #,##0.000\)_%;\C\f\ #,##0.000_%_);@_%_)"/>
    <numFmt numFmtId="293" formatCode="_(&quot;$&quot;* #,##0_)\ &quot;millions&quot;;_(&quot;$&quot;* \(#,##0\)&quot; millions&quot;"/>
    <numFmt numFmtId="294" formatCode="&quot;$&quot;#,##0\ &quot;MM&quot;;\(&quot;$&quot;#,##0.00\ &quot;MM&quot;\)"/>
    <numFmt numFmtId="295" formatCode="#,##0\ &quot;MM&quot;"/>
    <numFmt numFmtId="296" formatCode="0.0_ &quot;  &quot;"/>
    <numFmt numFmtId="297" formatCode="#,##0.0\x_)_);\(#,##0.0\x\)_);#,##0.0\x_)_);@_%_)"/>
    <numFmt numFmtId="298" formatCode="0.00000000"/>
    <numFmt numFmtId="299" formatCode="#,##0.00_);\-#,##0.00_);\-_)"/>
    <numFmt numFmtId="300" formatCode="*$#,##0.0_);[Red]\(*$#,##0.0\)"/>
    <numFmt numFmtId="301" formatCode="0.0\ \ \ \ \ \ "/>
    <numFmt numFmtId="302" formatCode="0.0%\ \ \ \ \ "/>
    <numFmt numFmtId="303" formatCode="#,##0.000000000"/>
    <numFmt numFmtId="304" formatCode="#,##0.0%_);[Red]\-#,##0.0%"/>
    <numFmt numFmtId="305" formatCode="#,##0.00%_);[Red]\-#,##0.00%"/>
    <numFmt numFmtId="306" formatCode="#,##0.000%_);[Red]\-#,##0.000%"/>
    <numFmt numFmtId="307" formatCode="0.0%_);\(0.0%\);0.0%_);@_)"/>
    <numFmt numFmtId="308" formatCode="#,##0.0\%_);\(#,##0.0\%\);#,##0.0\%_);@_)"/>
    <numFmt numFmtId="309" formatCode="0.0%_);\(0.0%\);**;@_%_)"/>
    <numFmt numFmtId="310" formatCode="0.0%\ ;[Red]\(0.0%\)"/>
    <numFmt numFmtId="311" formatCode="#,##0.0000"/>
    <numFmt numFmtId="312" formatCode="&quot;$&quot;@"/>
    <numFmt numFmtId="313" formatCode="#,##0.000%;\-#,##0.000%;\-\%"/>
    <numFmt numFmtId="314" formatCode="#,##0.000;\-#,##0.000;\-\ "/>
    <numFmt numFmtId="315" formatCode="#,##0.0_);\-#,##0.0_);\-_)"/>
    <numFmt numFmtId="316" formatCode="0.0\x_)_);&quot;NM&quot;_x_)_);0.0\ \x_)_);@_%_)"/>
    <numFmt numFmtId="317" formatCode="\¥#,##0_);\(\¥#,##0\)"/>
    <numFmt numFmtId="318" formatCode="&quot;Yes&quot;_%_);&quot;Error&quot;_%_);&quot;No&quot;_%_);&quot;--&quot;_%_)"/>
    <numFmt numFmtId="319" formatCode="0.0\%_);\-0.0\%_);0.0\%_)"/>
    <numFmt numFmtId="320" formatCode="0.0\x_);\-0.0\x_);0.0\x_)"/>
    <numFmt numFmtId="321" formatCode="0\%_);\-0\%_);0\%_)"/>
    <numFmt numFmtId="322" formatCode="#,##0.000000_);\(#,##0.000000\);#,##0.000000_)"/>
    <numFmt numFmtId="323" formatCode="#,##0.0000_);\(#,##0.0000\);#,##0.0000_)"/>
    <numFmt numFmtId="324" formatCode="#,##0.00\x"/>
    <numFmt numFmtId="325" formatCode="_(* #,##0.0_);_(* \(#,##0.0\);_(* &quot;-&quot;?_);_(@_)"/>
  </numFmts>
  <fonts count="24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ourier"/>
      <family val="3"/>
    </font>
    <font>
      <b/>
      <sz val="7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0"/>
      <color indexed="8"/>
      <name val="Times New Roman"/>
      <family val="1"/>
    </font>
    <font>
      <sz val="10"/>
      <color indexed="8"/>
      <name val="MS Sans Serif"/>
      <family val="2"/>
    </font>
    <font>
      <sz val="10"/>
      <name val="Times New Roman"/>
      <family val="1"/>
    </font>
    <font>
      <sz val="8"/>
      <name val="Times New Roman"/>
      <family val="1"/>
    </font>
    <font>
      <sz val="10"/>
      <name val="MS Sans Serif"/>
      <family val="2"/>
    </font>
    <font>
      <sz val="10"/>
      <name val="Courier"/>
      <family val="3"/>
    </font>
    <font>
      <sz val="12"/>
      <name val="‚l‚r ‚oƒSƒVƒbƒN"/>
      <family val="2"/>
      <charset val="128"/>
    </font>
    <font>
      <sz val="10"/>
      <name val="Univers 55"/>
      <family val="2"/>
    </font>
    <font>
      <sz val="10"/>
      <name val="MS Sans Serif"/>
      <family val="2"/>
    </font>
    <font>
      <sz val="10"/>
      <color indexed="8"/>
      <name val="Palatino"/>
      <family val="1"/>
    </font>
    <font>
      <sz val="10"/>
      <name val="Times New Roman"/>
      <family val="1"/>
    </font>
    <font>
      <sz val="12"/>
      <name val="Arial MT"/>
      <family val="2"/>
    </font>
    <font>
      <b/>
      <sz val="8"/>
      <name val="Tms Rmn"/>
      <family val="1"/>
    </font>
    <font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7"/>
      <color indexed="14"/>
      <name val="Small Fonts"/>
      <family val="2"/>
    </font>
    <font>
      <sz val="7"/>
      <name val="Palatino"/>
      <family val="1"/>
    </font>
    <font>
      <sz val="12"/>
      <name val="Arial"/>
      <family val="2"/>
    </font>
    <font>
      <b/>
      <sz val="6"/>
      <name val="Arial"/>
      <family val="2"/>
    </font>
    <font>
      <i/>
      <sz val="8"/>
      <name val="Arial"/>
      <family val="2"/>
    </font>
    <font>
      <sz val="8"/>
      <color indexed="12"/>
      <name val="Helv"/>
      <family val="2"/>
    </font>
    <font>
      <sz val="10"/>
      <name val="Geneva"/>
      <family val="2"/>
    </font>
    <font>
      <sz val="10"/>
      <name val="Geneva"/>
    </font>
    <font>
      <sz val="10"/>
      <color indexed="8"/>
      <name val="Tms Rmn"/>
    </font>
    <font>
      <strike/>
      <sz val="8"/>
      <name val="Arial"/>
      <family val="2"/>
    </font>
    <font>
      <sz val="8"/>
      <color indexed="8"/>
      <name val="Arial"/>
      <family val="2"/>
    </font>
    <font>
      <sz val="9"/>
      <color indexed="9"/>
      <name val="Times New Roman"/>
      <family val="1"/>
    </font>
    <font>
      <sz val="9"/>
      <color indexed="18"/>
      <name val="Helvetica"/>
      <family val="2"/>
    </font>
    <font>
      <sz val="10"/>
      <color indexed="12"/>
      <name val="Times New Roman"/>
      <family val="1"/>
    </font>
    <font>
      <sz val="8"/>
      <color indexed="12"/>
      <name val="Helvetica"/>
      <family val="2"/>
    </font>
    <font>
      <sz val="8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b/>
      <sz val="10"/>
      <name val="MS Sans Serif"/>
      <family val="2"/>
    </font>
    <font>
      <sz val="8"/>
      <color indexed="12"/>
      <name val="Times New Roman"/>
      <family val="1"/>
    </font>
    <font>
      <b/>
      <sz val="9"/>
      <name val="Times New Roman"/>
      <family val="1"/>
    </font>
    <font>
      <u val="singleAccounting"/>
      <sz val="10"/>
      <name val="Arial"/>
      <family val="2"/>
    </font>
    <font>
      <b/>
      <sz val="12"/>
      <name val="Arial"/>
      <family val="2"/>
    </font>
    <font>
      <sz val="10"/>
      <color indexed="18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</font>
    <font>
      <b/>
      <u/>
      <sz val="8"/>
      <name val="Arial"/>
      <family val="2"/>
    </font>
    <font>
      <b/>
      <sz val="9"/>
      <color indexed="18"/>
      <name val="Arial"/>
      <family val="2"/>
    </font>
    <font>
      <sz val="12"/>
      <name val="Helvetica"/>
      <family val="2"/>
    </font>
    <font>
      <b/>
      <sz val="8"/>
      <name val="Times New Roman"/>
      <family val="1"/>
    </font>
    <font>
      <sz val="8"/>
      <name val="Helv"/>
    </font>
    <font>
      <sz val="8"/>
      <name val="Palatino"/>
      <family val="1"/>
    </font>
    <font>
      <sz val="9"/>
      <name val="Helv"/>
    </font>
    <font>
      <sz val="10"/>
      <color indexed="24"/>
      <name val="Arial"/>
      <family val="2"/>
    </font>
    <font>
      <sz val="24"/>
      <name val="Arial"/>
      <family val="2"/>
    </font>
    <font>
      <b/>
      <sz val="24"/>
      <name val="Times New Roman"/>
      <family val="1"/>
    </font>
    <font>
      <b/>
      <sz val="11"/>
      <name val="Times New Roman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8"/>
      <color indexed="12"/>
      <name val="Tms Rmn"/>
      <family val="1"/>
    </font>
    <font>
      <sz val="8"/>
      <color indexed="16"/>
      <name val="Palatino"/>
      <family val="1"/>
    </font>
    <font>
      <b/>
      <sz val="14"/>
      <name val="Tms Rmn"/>
    </font>
    <font>
      <b/>
      <sz val="8"/>
      <name val="Univers (E1)"/>
    </font>
    <font>
      <sz val="10"/>
      <name val="GillSans"/>
    </font>
    <font>
      <sz val="8"/>
      <color indexed="18"/>
      <name val="Times New Roman"/>
      <family val="1"/>
    </font>
    <font>
      <b/>
      <sz val="10"/>
      <name val="Arial"/>
      <family val="2"/>
    </font>
    <font>
      <b/>
      <sz val="10"/>
      <name val="Helv"/>
    </font>
    <font>
      <sz val="8"/>
      <name val="Arial MT"/>
    </font>
    <font>
      <sz val="8"/>
      <name val="Helvetica"/>
      <family val="2"/>
    </font>
    <font>
      <sz val="10"/>
      <name val="Helv"/>
    </font>
    <font>
      <sz val="10"/>
      <name val="Tms Rmn"/>
      <family val="1"/>
    </font>
    <font>
      <sz val="8"/>
      <color indexed="12"/>
      <name val="Times New Roman"/>
      <family val="1"/>
    </font>
    <font>
      <sz val="10"/>
      <color indexed="8"/>
      <name val="Arial"/>
      <family val="2"/>
    </font>
    <font>
      <u val="doubleAccounting"/>
      <sz val="10"/>
      <name val="Arial"/>
      <family val="2"/>
    </font>
    <font>
      <sz val="9"/>
      <color indexed="12"/>
      <name val="Times New Roman"/>
      <family val="1"/>
    </font>
    <font>
      <b/>
      <i/>
      <sz val="8"/>
      <color indexed="12"/>
      <name val="HelveticaNeue Condensed"/>
      <family val="2"/>
    </font>
    <font>
      <b/>
      <sz val="10"/>
      <name val="Arial"/>
      <family val="2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Arial"/>
      <family val="2"/>
    </font>
    <font>
      <sz val="10"/>
      <color indexed="12"/>
      <name val="Helvetica"/>
      <family val="2"/>
    </font>
    <font>
      <sz val="10"/>
      <name val="Helv"/>
      <family val="2"/>
    </font>
    <font>
      <sz val="9"/>
      <name val="Bembo (DFS)"/>
    </font>
    <font>
      <b/>
      <sz val="10"/>
      <color indexed="17"/>
      <name val="Helvetica"/>
      <family val="2"/>
    </font>
    <font>
      <b/>
      <sz val="10"/>
      <color indexed="9"/>
      <name val="GillSans"/>
    </font>
    <font>
      <b/>
      <sz val="10"/>
      <color indexed="8"/>
      <name val="GillSans"/>
    </font>
    <font>
      <b/>
      <sz val="16"/>
      <color indexed="10"/>
      <name val="FrankfurtGothicHeavy"/>
      <family val="2"/>
    </font>
    <font>
      <sz val="6"/>
      <name val="Palatino"/>
      <family val="1"/>
    </font>
    <font>
      <b/>
      <sz val="8"/>
      <color indexed="9"/>
      <name val="Helvetica"/>
      <family val="2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2"/>
      <color indexed="9"/>
      <name val="Arial"/>
      <family val="2"/>
    </font>
    <font>
      <b/>
      <sz val="16"/>
      <name val="Times New Roman"/>
      <family val="1"/>
    </font>
    <font>
      <b/>
      <sz val="8"/>
      <name val="Arial MT"/>
    </font>
    <font>
      <b/>
      <i/>
      <sz val="22"/>
      <name val="Times New Roman"/>
      <family val="1"/>
    </font>
    <font>
      <sz val="10"/>
      <color indexed="12"/>
      <name val="Arial"/>
      <family val="2"/>
    </font>
    <font>
      <i/>
      <sz val="8"/>
      <name val="Times New Roman"/>
      <family val="1"/>
    </font>
    <font>
      <sz val="10"/>
      <name val="GillSans Light"/>
      <family val="2"/>
    </font>
    <font>
      <b/>
      <sz val="22"/>
      <color indexed="16"/>
      <name val="Arial"/>
      <family val="2"/>
    </font>
    <font>
      <sz val="8"/>
      <color indexed="16"/>
      <name val="Arial"/>
      <family val="2"/>
    </font>
    <font>
      <sz val="7"/>
      <name val="Univers (E1)"/>
    </font>
    <font>
      <sz val="8"/>
      <color indexed="8"/>
      <name val="Helv"/>
      <family val="2"/>
    </font>
    <font>
      <b/>
      <sz val="14"/>
      <name val="Arial"/>
      <family val="2"/>
    </font>
    <font>
      <sz val="10"/>
      <color indexed="20"/>
      <name val="Times New Roman"/>
      <family val="1"/>
    </font>
    <font>
      <sz val="7"/>
      <name val="Small Fonts"/>
      <family val="2"/>
    </font>
    <font>
      <sz val="10"/>
      <name val="Palatino"/>
      <family val="1"/>
    </font>
    <font>
      <sz val="8"/>
      <color indexed="17"/>
      <name val="Tms Rmn"/>
      <family val="1"/>
    </font>
    <font>
      <sz val="8"/>
      <name val="Helvetica"/>
      <family val="2"/>
    </font>
    <font>
      <i/>
      <sz val="10"/>
      <name val="Helv"/>
    </font>
    <font>
      <sz val="8"/>
      <color indexed="8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b/>
      <sz val="10"/>
      <color indexed="72"/>
      <name val="Arial"/>
      <family val="2"/>
    </font>
    <font>
      <b/>
      <sz val="13.5"/>
      <name val="MS Sans Serif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indexed="9"/>
      <name val="Arial"/>
      <family val="2"/>
    </font>
    <font>
      <b/>
      <sz val="14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sz val="10"/>
      <color indexed="16"/>
      <name val="Helvetica-Black"/>
      <family val="2"/>
    </font>
    <font>
      <sz val="8"/>
      <color indexed="14"/>
      <name val="Tms Rmn"/>
      <family val="1"/>
    </font>
    <font>
      <sz val="8"/>
      <name val="Helv"/>
      <family val="2"/>
    </font>
    <font>
      <sz val="10"/>
      <name val="Book Antiqua"/>
      <family val="1"/>
    </font>
    <font>
      <sz val="8"/>
      <name val="MS Sans Serif"/>
      <family val="2"/>
    </font>
    <font>
      <sz val="10"/>
      <color indexed="10"/>
      <name val="MS Sans Serif"/>
      <family val="2"/>
    </font>
    <font>
      <sz val="10"/>
      <color indexed="55"/>
      <name val="Times New Roman"/>
      <family val="1"/>
    </font>
    <font>
      <sz val="8"/>
      <color indexed="12"/>
      <name val="Helvetica"/>
      <family val="2"/>
    </font>
    <font>
      <b/>
      <sz val="10"/>
      <name val="Palatino"/>
      <family val="1"/>
    </font>
    <font>
      <sz val="10"/>
      <name val="Tms Rmn"/>
    </font>
    <font>
      <sz val="10"/>
      <color indexed="23"/>
      <name val="MS Sans Serif"/>
      <family val="2"/>
    </font>
    <font>
      <b/>
      <sz val="10"/>
      <name val="Times New Roman"/>
      <family val="1"/>
    </font>
    <font>
      <b/>
      <sz val="18"/>
      <name val="Arial"/>
      <family val="2"/>
    </font>
    <font>
      <i/>
      <sz val="10"/>
      <name val="Times New Roman"/>
      <family val="1"/>
    </font>
    <font>
      <b/>
      <sz val="8"/>
      <name val="HelveticaNeue Condensed"/>
      <family val="2"/>
    </font>
    <font>
      <sz val="8"/>
      <name val="HelveticaNeue LightCond"/>
      <family val="2"/>
    </font>
    <font>
      <sz val="7"/>
      <name val="HelveticaNeue LightCond"/>
      <family val="2"/>
    </font>
    <font>
      <b/>
      <sz val="10"/>
      <name val="GillSans"/>
      <family val="2"/>
    </font>
    <font>
      <b/>
      <sz val="12"/>
      <color indexed="18"/>
      <name val="Arial"/>
      <family val="2"/>
    </font>
    <font>
      <i/>
      <sz val="12"/>
      <color indexed="12"/>
      <name val="Times New Roman"/>
      <family val="1"/>
    </font>
    <font>
      <b/>
      <sz val="12"/>
      <name val="Arial Narrow"/>
      <family val="2"/>
    </font>
    <font>
      <b/>
      <sz val="10"/>
      <color indexed="18"/>
      <name val="Symbol"/>
      <family val="1"/>
      <charset val="2"/>
    </font>
    <font>
      <sz val="7.5"/>
      <name val="Times New Roman"/>
      <family val="1"/>
    </font>
    <font>
      <b/>
      <sz val="11"/>
      <name val="Times New Roman"/>
      <family val="1"/>
    </font>
    <font>
      <sz val="9"/>
      <color indexed="21"/>
      <name val="Helvetica-Black"/>
      <family val="2"/>
    </font>
    <font>
      <b/>
      <sz val="9"/>
      <name val="Palatino"/>
      <family val="1"/>
    </font>
    <font>
      <b/>
      <sz val="10"/>
      <color indexed="16"/>
      <name val="Arial"/>
      <family val="2"/>
    </font>
    <font>
      <sz val="9"/>
      <name val="Helvetica-Black"/>
      <family val="2"/>
    </font>
    <font>
      <sz val="8"/>
      <name val="Helvetica-Narrow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2"/>
      <name val="GillSans"/>
      <family val="2"/>
    </font>
    <font>
      <b/>
      <sz val="10"/>
      <name val="lr ¾©"/>
      <family val="1"/>
    </font>
    <font>
      <sz val="12"/>
      <name val="Palatino"/>
      <family val="1"/>
    </font>
    <font>
      <sz val="11"/>
      <name val="Helvetica-Black"/>
    </font>
    <font>
      <sz val="8"/>
      <color indexed="8"/>
      <name val="Arial"/>
      <family val="2"/>
    </font>
    <font>
      <sz val="12"/>
      <name val="Times New Roman"/>
      <family val="1"/>
    </font>
    <font>
      <sz val="9"/>
      <name val="Times New Roman"/>
      <family val="1"/>
    </font>
    <font>
      <b/>
      <u/>
      <sz val="9"/>
      <name val="Arial"/>
      <family val="2"/>
    </font>
    <font>
      <b/>
      <u/>
      <sz val="12"/>
      <name val="Arial"/>
      <family val="2"/>
    </font>
    <font>
      <b/>
      <sz val="11"/>
      <color indexed="9"/>
      <name val="GillSans"/>
      <family val="2"/>
    </font>
    <font>
      <b/>
      <sz val="10"/>
      <name val="Times New Roman"/>
      <family val="1"/>
    </font>
    <font>
      <b/>
      <sz val="11"/>
      <name val="GillSans"/>
      <family val="2"/>
    </font>
    <font>
      <b/>
      <sz val="8"/>
      <name val="Helv"/>
    </font>
    <font>
      <u/>
      <sz val="11"/>
      <name val="GillSans"/>
      <family val="2"/>
    </font>
    <font>
      <b/>
      <sz val="10"/>
      <color indexed="16"/>
      <name val="GillSans"/>
    </font>
    <font>
      <b/>
      <i/>
      <sz val="24"/>
      <name val="Arial"/>
      <family val="2"/>
    </font>
    <font>
      <u/>
      <sz val="10"/>
      <name val="Helv"/>
      <family val="2"/>
    </font>
    <font>
      <sz val="10"/>
      <color indexed="8"/>
      <name val="Arial"/>
      <family val="2"/>
    </font>
    <font>
      <sz val="8"/>
      <color indexed="12"/>
      <name val="Arial"/>
      <family val="2"/>
    </font>
    <font>
      <sz val="8"/>
      <color indexed="10"/>
      <name val="Arial Narrow"/>
      <family val="2"/>
    </font>
    <font>
      <sz val="8"/>
      <color indexed="16"/>
      <name val="Helv"/>
      <family val="2"/>
    </font>
    <font>
      <i/>
      <sz val="10"/>
      <name val="Arial"/>
      <family val="2"/>
    </font>
    <font>
      <sz val="10"/>
      <color indexed="9"/>
      <name val="Tms Rmn"/>
    </font>
    <font>
      <sz val="8"/>
      <color indexed="9"/>
      <name val="Arial"/>
      <family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b/>
      <i/>
      <sz val="12"/>
      <name val="Times New Roman"/>
      <family val="1"/>
    </font>
    <font>
      <sz val="16"/>
      <name val="Times New Roman"/>
      <family val="1"/>
    </font>
    <font>
      <b/>
      <u/>
      <sz val="10"/>
      <name val="Tms Rmn"/>
      <family val="1"/>
    </font>
    <font>
      <sz val="10"/>
      <name val="細明朝体"/>
      <family val="3"/>
      <charset val="128"/>
    </font>
    <font>
      <sz val="24"/>
      <name val="MS Sans Serif"/>
      <family val="2"/>
    </font>
    <font>
      <b/>
      <sz val="14"/>
      <color indexed="9"/>
      <name val="Arial"/>
      <family val="2"/>
    </font>
    <font>
      <sz val="10"/>
      <color indexed="55"/>
      <name val="Arial Narrow"/>
      <family val="2"/>
    </font>
    <font>
      <u/>
      <sz val="8.5"/>
      <color indexed="12"/>
      <name val="Arial"/>
      <family val="2"/>
    </font>
    <font>
      <sz val="10"/>
      <color indexed="18"/>
      <name val="Arial Narrow"/>
      <family val="2"/>
    </font>
    <font>
      <b/>
      <sz val="10"/>
      <color indexed="55"/>
      <name val="Arial Narrow"/>
      <family val="2"/>
    </font>
    <font>
      <b/>
      <sz val="11"/>
      <name val="Arial"/>
      <family val="2"/>
    </font>
    <font>
      <sz val="10"/>
      <name val="Frutiger 45 Light"/>
    </font>
    <font>
      <sz val="10"/>
      <name val="Arial Narrow"/>
      <family val="2"/>
    </font>
    <font>
      <u/>
      <sz val="12"/>
      <color indexed="36"/>
      <name val="Arial"/>
      <family val="2"/>
    </font>
    <font>
      <b/>
      <sz val="9.5"/>
      <color theme="0"/>
      <name val="Arial Narrow"/>
      <family val="2"/>
    </font>
    <font>
      <sz val="9.5"/>
      <color theme="0"/>
      <name val="Arial Narrow"/>
      <family val="2"/>
    </font>
    <font>
      <sz val="9.5"/>
      <name val="Arial Narrow"/>
      <family val="2"/>
    </font>
    <font>
      <b/>
      <sz val="9.5"/>
      <name val="Arial Narrow"/>
      <family val="2"/>
    </font>
    <font>
      <u/>
      <sz val="9.5"/>
      <name val="Arial Narrow"/>
      <family val="2"/>
    </font>
    <font>
      <i/>
      <sz val="9.5"/>
      <name val="Arial Narrow"/>
      <family val="2"/>
    </font>
    <font>
      <sz val="9.5"/>
      <color indexed="10"/>
      <name val="Arial Narrow"/>
      <family val="2"/>
    </font>
    <font>
      <sz val="9.5"/>
      <color indexed="8"/>
      <name val="Arial Narrow"/>
      <family val="2"/>
    </font>
    <font>
      <b/>
      <sz val="9.5"/>
      <color indexed="8"/>
      <name val="Arial Narrow"/>
      <family val="2"/>
    </font>
    <font>
      <i/>
      <sz val="9.5"/>
      <color indexed="10"/>
      <name val="Arial Narrow"/>
      <family val="2"/>
    </font>
    <font>
      <sz val="9.5"/>
      <color indexed="18"/>
      <name val="Arial Narrow"/>
      <family val="2"/>
    </font>
    <font>
      <b/>
      <sz val="1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.5"/>
      <color theme="0"/>
      <name val="Arial Narrow"/>
      <family val="2"/>
    </font>
    <font>
      <sz val="8.5"/>
      <name val="Arial Narrow"/>
      <family val="2"/>
    </font>
    <font>
      <sz val="8.5"/>
      <name val="Arial"/>
      <family val="2"/>
    </font>
    <font>
      <i/>
      <sz val="8.5"/>
      <name val="Arial Narrow"/>
      <family val="2"/>
    </font>
    <font>
      <b/>
      <sz val="8.5"/>
      <name val="Arial Narrow"/>
      <family val="2"/>
    </font>
    <font>
      <b/>
      <sz val="8.5"/>
      <color indexed="8"/>
      <name val="Arial Narrow"/>
      <family val="2"/>
    </font>
    <font>
      <sz val="8.5"/>
      <color indexed="8"/>
      <name val="Arial Narrow"/>
      <family val="2"/>
    </font>
    <font>
      <sz val="8.5"/>
      <color indexed="10"/>
      <name val="Arial Narrow"/>
      <family val="2"/>
    </font>
    <font>
      <i/>
      <sz val="8.5"/>
      <color indexed="10"/>
      <name val="Arial Narrow"/>
      <family val="2"/>
    </font>
    <font>
      <sz val="9.5"/>
      <color rgb="FFFF0000"/>
      <name val="Arial Narrow"/>
      <family val="2"/>
    </font>
    <font>
      <b/>
      <u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gray0625">
        <fgColor indexed="10"/>
        <bgColor indexed="9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lightGray">
        <fgColor indexed="15"/>
      </patternFill>
    </fill>
    <fill>
      <patternFill patternType="solid">
        <fgColor indexed="40"/>
        <bgColor indexed="64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gray0625">
        <fgColor indexed="13"/>
        <bgColor indexed="9"/>
      </patternFill>
    </fill>
    <fill>
      <patternFill patternType="mediumGray"/>
    </fill>
    <fill>
      <patternFill patternType="solid">
        <fgColor indexed="12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</patternFill>
    </fill>
    <fill>
      <patternFill patternType="lightGray">
        <fgColor indexed="22"/>
        <bgColor indexed="9"/>
      </patternFill>
    </fill>
    <fill>
      <patternFill patternType="solid">
        <fgColor indexed="5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12"/>
      </patternFill>
    </fill>
    <fill>
      <patternFill patternType="solid">
        <fgColor indexed="23"/>
        <bgColor indexed="64"/>
      </patternFill>
    </fill>
    <fill>
      <patternFill patternType="gray125">
        <bgColor indexed="22"/>
      </patternFill>
    </fill>
    <fill>
      <patternFill patternType="gray125"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1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4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/>
      <top style="medium">
        <color indexed="23"/>
      </top>
      <bottom/>
      <diagonal/>
    </border>
    <border>
      <left/>
      <right/>
      <top style="medium">
        <color indexed="23"/>
      </top>
      <bottom style="thin">
        <color indexed="18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7">
    <xf numFmtId="0" fontId="0" fillId="0" borderId="0"/>
    <xf numFmtId="191" fontId="13" fillId="0" borderId="0">
      <alignment horizontal="right"/>
    </xf>
    <xf numFmtId="0" fontId="1" fillId="0" borderId="0"/>
    <xf numFmtId="0" fontId="14" fillId="0" borderId="0" applyNumberFormat="0" applyFont="0" applyFill="0" applyBorder="0" applyAlignment="0" applyProtection="0"/>
    <xf numFmtId="220" fontId="15" fillId="0" borderId="0" applyFont="0" applyFill="0" applyBorder="0" applyAlignment="0"/>
    <xf numFmtId="0" fontId="16" fillId="0" borderId="0"/>
    <xf numFmtId="0" fontId="16" fillId="0" borderId="0"/>
    <xf numFmtId="0" fontId="5" fillId="0" borderId="0" applyFont="0" applyAlignment="0">
      <alignment horizontal="center" vertical="center"/>
    </xf>
    <xf numFmtId="0" fontId="15" fillId="0" borderId="0"/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5" fillId="0" borderId="0" applyFont="0" applyAlignment="0">
      <alignment horizontal="center" vertical="center"/>
    </xf>
    <xf numFmtId="0" fontId="15" fillId="0" borderId="0"/>
    <xf numFmtId="0" fontId="15" fillId="0" borderId="0"/>
    <xf numFmtId="0" fontId="1" fillId="0" borderId="0"/>
    <xf numFmtId="190" fontId="12" fillId="0" borderId="0">
      <alignment horizontal="left" wrapText="1"/>
    </xf>
    <xf numFmtId="190" fontId="12" fillId="0" borderId="0">
      <alignment horizontal="left" wrapText="1"/>
    </xf>
    <xf numFmtId="0" fontId="1" fillId="0" borderId="0" applyFont="0" applyFill="0" applyBorder="0" applyAlignment="0" applyProtection="0"/>
    <xf numFmtId="3" fontId="6" fillId="0" borderId="0"/>
    <xf numFmtId="0" fontId="1" fillId="0" borderId="0" applyFont="0" applyFill="0" applyBorder="0" applyAlignment="0" applyProtection="0"/>
    <xf numFmtId="190" fontId="12" fillId="0" borderId="0">
      <alignment horizontal="left" wrapText="1"/>
    </xf>
    <xf numFmtId="3" fontId="6" fillId="0" borderId="0"/>
    <xf numFmtId="3" fontId="6" fillId="0" borderId="0"/>
    <xf numFmtId="3" fontId="6" fillId="0" borderId="0"/>
    <xf numFmtId="0" fontId="1" fillId="0" borderId="0"/>
    <xf numFmtId="3" fontId="6" fillId="0" borderId="0"/>
    <xf numFmtId="190" fontId="1" fillId="0" borderId="0">
      <alignment horizontal="left" wrapText="1"/>
    </xf>
    <xf numFmtId="190" fontId="1" fillId="0" borderId="0">
      <alignment horizontal="left" wrapText="1"/>
    </xf>
    <xf numFmtId="3" fontId="6" fillId="0" borderId="0"/>
    <xf numFmtId="37" fontId="17" fillId="0" borderId="0" applyFont="0" applyFill="0" applyBorder="0" applyAlignment="0" applyProtection="0"/>
    <xf numFmtId="37" fontId="17" fillId="0" borderId="0" applyFont="0" applyFill="0" applyBorder="0" applyAlignment="0" applyProtection="0"/>
    <xf numFmtId="190" fontId="1" fillId="0" borderId="0">
      <alignment horizontal="left" wrapText="1"/>
    </xf>
    <xf numFmtId="37" fontId="17" fillId="0" borderId="0" applyFont="0" applyFill="0" applyBorder="0" applyAlignment="0" applyProtection="0"/>
    <xf numFmtId="0" fontId="1" fillId="0" borderId="0"/>
    <xf numFmtId="0" fontId="1" fillId="0" borderId="0"/>
    <xf numFmtId="190" fontId="12" fillId="0" borderId="0">
      <alignment horizontal="left" wrapText="1"/>
    </xf>
    <xf numFmtId="0" fontId="14" fillId="0" borderId="0" applyNumberFormat="0" applyFill="0" applyBorder="0" applyAlignment="0" applyProtection="0"/>
    <xf numFmtId="0" fontId="18" fillId="0" borderId="0">
      <alignment vertical="center"/>
    </xf>
    <xf numFmtId="192" fontId="19" fillId="2" borderId="0" applyNumberFormat="0" applyFont="0" applyBorder="0" applyAlignment="0">
      <protection locked="0"/>
    </xf>
    <xf numFmtId="190" fontId="12" fillId="0" borderId="0">
      <alignment horizontal="left" wrapText="1"/>
    </xf>
    <xf numFmtId="193" fontId="20" fillId="0" borderId="0" applyFont="0" applyFill="0" applyBorder="0" applyAlignment="0" applyProtection="0"/>
    <xf numFmtId="194" fontId="20" fillId="0" borderId="0" applyFont="0" applyFill="0" applyBorder="0" applyAlignment="0" applyProtection="0"/>
    <xf numFmtId="0" fontId="6" fillId="0" borderId="0">
      <alignment vertical="top"/>
    </xf>
    <xf numFmtId="0" fontId="15" fillId="0" borderId="0"/>
    <xf numFmtId="0" fontId="15" fillId="0" borderId="0"/>
    <xf numFmtId="195" fontId="21" fillId="0" borderId="0"/>
    <xf numFmtId="9" fontId="12" fillId="0" borderId="0"/>
    <xf numFmtId="0" fontId="21" fillId="0" borderId="0"/>
    <xf numFmtId="241" fontId="22" fillId="0" borderId="0">
      <alignment horizontal="left"/>
      <protection locked="0"/>
    </xf>
    <xf numFmtId="168" fontId="21" fillId="0" borderId="0"/>
    <xf numFmtId="0" fontId="21" fillId="0" borderId="0"/>
    <xf numFmtId="2" fontId="21" fillId="0" borderId="0"/>
    <xf numFmtId="10" fontId="21" fillId="0" borderId="0"/>
    <xf numFmtId="2" fontId="21" fillId="0" borderId="0"/>
    <xf numFmtId="195" fontId="21" fillId="0" borderId="0"/>
    <xf numFmtId="214" fontId="1" fillId="0" borderId="0" applyBorder="0"/>
    <xf numFmtId="195" fontId="12" fillId="0" borderId="0"/>
    <xf numFmtId="195" fontId="12" fillId="0" borderId="0"/>
    <xf numFmtId="195" fontId="12" fillId="0" borderId="0"/>
    <xf numFmtId="195" fontId="12" fillId="0" borderId="0"/>
    <xf numFmtId="195" fontId="12" fillId="0" borderId="0"/>
    <xf numFmtId="38" fontId="23" fillId="0" borderId="1"/>
    <xf numFmtId="37" fontId="24" fillId="0" borderId="0">
      <alignment horizontal="center"/>
    </xf>
    <xf numFmtId="196" fontId="25" fillId="0" borderId="2">
      <alignment horizontal="centerContinuous"/>
    </xf>
    <xf numFmtId="0" fontId="26" fillId="5" borderId="0" applyNumberFormat="0" applyFont="0" applyBorder="0" applyAlignment="0">
      <alignment horizontal="right"/>
    </xf>
    <xf numFmtId="242" fontId="1" fillId="6" borderId="3">
      <alignment horizontal="center" vertical="center"/>
    </xf>
    <xf numFmtId="0" fontId="27" fillId="5" borderId="4" applyFont="0">
      <alignment horizontal="right"/>
    </xf>
    <xf numFmtId="197" fontId="28" fillId="0" borderId="5"/>
    <xf numFmtId="0" fontId="12" fillId="0" borderId="0"/>
    <xf numFmtId="198" fontId="15" fillId="0" borderId="6" applyBorder="0"/>
    <xf numFmtId="0" fontId="29" fillId="0" borderId="0"/>
    <xf numFmtId="0" fontId="30" fillId="0" borderId="0">
      <alignment horizontal="left"/>
    </xf>
    <xf numFmtId="0" fontId="1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7" applyNumberFormat="0" applyFill="0" applyBorder="0" applyAlignment="0" applyProtection="0"/>
    <xf numFmtId="0" fontId="3" fillId="0" borderId="7" applyNumberFormat="0" applyFill="0" applyBorder="0" applyAlignment="0" applyProtection="0"/>
    <xf numFmtId="0" fontId="33" fillId="0" borderId="7" applyNumberFormat="0" applyFill="0" applyBorder="0" applyAlignment="0" applyProtection="0"/>
    <xf numFmtId="0" fontId="2" fillId="0" borderId="7" applyNumberFormat="0" applyFill="0" applyAlignment="0" applyProtection="0"/>
    <xf numFmtId="0" fontId="34" fillId="0" borderId="8">
      <protection hidden="1"/>
    </xf>
    <xf numFmtId="0" fontId="35" fillId="3" borderId="8" applyNumberFormat="0" applyFont="0" applyBorder="0" applyAlignment="0" applyProtection="0">
      <protection hidden="1"/>
    </xf>
    <xf numFmtId="0" fontId="34" fillId="0" borderId="8">
      <protection hidden="1"/>
    </xf>
    <xf numFmtId="0" fontId="15" fillId="0" borderId="0" applyNumberFormat="0" applyFill="0" applyBorder="0" applyAlignment="0" applyProtection="0"/>
    <xf numFmtId="243" fontId="36" fillId="0" borderId="0" applyFont="0" applyFill="0" applyBorder="0" applyAlignment="0" applyProtection="0">
      <alignment vertical="top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7" borderId="0" applyNumberFormat="0" applyFill="0" applyBorder="0" applyAlignment="0" applyProtection="0">
      <protection locked="0"/>
    </xf>
    <xf numFmtId="0" fontId="40" fillId="0" borderId="0" applyNumberFormat="0" applyFill="0" applyBorder="0" applyAlignment="0"/>
    <xf numFmtId="0" fontId="41" fillId="0" borderId="0"/>
    <xf numFmtId="7" fontId="42" fillId="0" borderId="0">
      <alignment horizontal="right"/>
      <protection locked="0"/>
    </xf>
    <xf numFmtId="14" fontId="43" fillId="0" borderId="0" applyNumberFormat="0" applyFill="0" applyBorder="0" applyAlignment="0" applyProtection="0">
      <alignment horizontal="center"/>
    </xf>
    <xf numFmtId="244" fontId="44" fillId="0" borderId="0">
      <alignment horizontal="right"/>
    </xf>
    <xf numFmtId="0" fontId="45" fillId="0" borderId="2" applyNumberFormat="0" applyFill="0" applyAlignment="0" applyProtection="0"/>
    <xf numFmtId="0" fontId="11" fillId="7" borderId="5" applyNumberFormat="0" applyFill="0" applyBorder="0" applyAlignment="0" applyProtection="0">
      <protection locked="0"/>
    </xf>
    <xf numFmtId="181" fontId="46" fillId="0" borderId="0" applyNumberFormat="0" applyAlignment="0"/>
    <xf numFmtId="5" fontId="47" fillId="0" borderId="9" applyAlignment="0" applyProtection="0"/>
    <xf numFmtId="0" fontId="16" fillId="0" borderId="10" applyNumberFormat="0" applyFont="0" applyFill="0" applyAlignment="0" applyProtection="0"/>
    <xf numFmtId="0" fontId="16" fillId="0" borderId="11" applyNumberFormat="0" applyFont="0" applyFill="0" applyAlignment="0" applyProtection="0"/>
    <xf numFmtId="245" fontId="48" fillId="0" borderId="0">
      <alignment horizontal="right"/>
    </xf>
    <xf numFmtId="181" fontId="49" fillId="0" borderId="0" applyFont="0">
      <alignment horizontal="centerContinuous"/>
    </xf>
    <xf numFmtId="246" fontId="13" fillId="0" borderId="0">
      <alignment horizontal="right"/>
    </xf>
    <xf numFmtId="247" fontId="50" fillId="0" borderId="0" applyFont="0" applyFill="0" applyBorder="0" applyAlignment="0" applyProtection="0"/>
    <xf numFmtId="248" fontId="15" fillId="0" borderId="0">
      <alignment horizontal="right"/>
    </xf>
    <xf numFmtId="199" fontId="20" fillId="0" borderId="0" applyFont="0" applyFill="0" applyBorder="0" applyAlignment="0" applyProtection="0"/>
    <xf numFmtId="200" fontId="2" fillId="0" borderId="0">
      <alignment horizontal="right" vertical="center"/>
    </xf>
    <xf numFmtId="181" fontId="44" fillId="9" borderId="0" applyNumberFormat="0" applyFont="0" applyBorder="0" applyAlignment="0"/>
    <xf numFmtId="0" fontId="51" fillId="10" borderId="0" applyNumberFormat="0" applyBorder="0">
      <alignment horizontal="centerContinuous"/>
    </xf>
    <xf numFmtId="37" fontId="15" fillId="0" borderId="0"/>
    <xf numFmtId="201" fontId="12" fillId="0" borderId="0"/>
    <xf numFmtId="202" fontId="12" fillId="0" borderId="0"/>
    <xf numFmtId="181" fontId="15" fillId="0" borderId="0"/>
    <xf numFmtId="1" fontId="52" fillId="0" borderId="0"/>
    <xf numFmtId="0" fontId="2" fillId="0" borderId="0" applyNumberFormat="0" applyFill="0" applyBorder="0" applyAlignment="0" applyProtection="0"/>
    <xf numFmtId="0" fontId="53" fillId="0" borderId="2" applyNumberFormat="0" applyFill="0" applyBorder="0" applyAlignment="0" applyProtection="0">
      <alignment horizontal="center"/>
    </xf>
    <xf numFmtId="0" fontId="54" fillId="0" borderId="2" applyNumberFormat="0" applyFill="0" applyProtection="0">
      <alignment horizontal="left" vertical="center"/>
    </xf>
    <xf numFmtId="0" fontId="12" fillId="0" borderId="0">
      <alignment horizontal="center" wrapText="1"/>
      <protection hidden="1"/>
    </xf>
    <xf numFmtId="0" fontId="55" fillId="0" borderId="12" applyNumberFormat="0" applyFill="0" applyProtection="0">
      <alignment horizontal="center" vertical="center"/>
    </xf>
    <xf numFmtId="0" fontId="56" fillId="0" borderId="2" applyNumberFormat="0" applyFill="0" applyBorder="0" applyProtection="0">
      <alignment horizontal="right" vertical="center"/>
    </xf>
    <xf numFmtId="0" fontId="57" fillId="0" borderId="0" applyNumberFormat="0" applyFill="0" applyBorder="0" applyProtection="0">
      <alignment horizontal="right"/>
    </xf>
    <xf numFmtId="1" fontId="58" fillId="0" borderId="13">
      <alignment vertical="top"/>
    </xf>
    <xf numFmtId="206" fontId="46" fillId="0" borderId="0">
      <alignment horizontal="right"/>
    </xf>
    <xf numFmtId="0" fontId="1" fillId="0" borderId="0"/>
    <xf numFmtId="43" fontId="1" fillId="0" borderId="0" applyFont="0" applyFill="0" applyBorder="0" applyAlignment="0" applyProtection="0"/>
    <xf numFmtId="203" fontId="59" fillId="0" borderId="0"/>
    <xf numFmtId="203" fontId="59" fillId="0" borderId="0"/>
    <xf numFmtId="203" fontId="59" fillId="0" borderId="0"/>
    <xf numFmtId="203" fontId="59" fillId="0" borderId="0"/>
    <xf numFmtId="203" fontId="59" fillId="0" borderId="0"/>
    <xf numFmtId="203" fontId="59" fillId="0" borderId="0"/>
    <xf numFmtId="203" fontId="59" fillId="0" borderId="0"/>
    <xf numFmtId="203" fontId="59" fillId="0" borderId="0"/>
    <xf numFmtId="0" fontId="15" fillId="0" borderId="0"/>
    <xf numFmtId="41" fontId="1" fillId="0" borderId="0" applyFont="0" applyFill="0" applyBorder="0" applyAlignment="0" applyProtection="0"/>
    <xf numFmtId="229" fontId="44" fillId="0" borderId="0" applyFont="0" applyFill="0" applyBorder="0" applyAlignment="0" applyProtection="0"/>
    <xf numFmtId="40" fontId="60" fillId="0" borderId="0" applyFont="0" applyFill="0" applyBorder="0" applyAlignment="0" applyProtection="0">
      <alignment horizontal="center"/>
    </xf>
    <xf numFmtId="249" fontId="60" fillId="0" borderId="0" applyFont="0" applyFill="0" applyBorder="0" applyAlignment="0" applyProtection="0">
      <alignment horizontal="center"/>
    </xf>
    <xf numFmtId="204" fontId="12" fillId="0" borderId="0" applyFont="0" applyFill="0" applyBorder="0" applyAlignment="0" applyProtection="0">
      <alignment horizontal="right"/>
    </xf>
    <xf numFmtId="205" fontId="12" fillId="0" borderId="0" applyFont="0" applyFill="0" applyBorder="0" applyAlignment="0" applyProtection="0"/>
    <xf numFmtId="250" fontId="1" fillId="0" borderId="0" applyFill="0" applyBorder="0" applyProtection="0"/>
    <xf numFmtId="229" fontId="61" fillId="0" borderId="0" applyFont="0" applyFill="0" applyBorder="0" applyAlignment="0" applyProtection="0"/>
    <xf numFmtId="251" fontId="61" fillId="0" borderId="0" applyFont="0" applyFill="0" applyBorder="0" applyAlignment="0" applyProtection="0"/>
    <xf numFmtId="252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207" fontId="12" fillId="0" borderId="0" applyFont="0" applyFill="0" applyBorder="0" applyAlignment="0" applyProtection="0">
      <alignment horizontal="right"/>
    </xf>
    <xf numFmtId="253" fontId="62" fillId="0" borderId="0" applyFont="0" applyFill="0" applyBorder="0" applyAlignment="0" applyProtection="0"/>
    <xf numFmtId="40" fontId="61" fillId="0" borderId="0" applyFont="0" applyFill="0" applyBorder="0" applyAlignment="0" applyProtection="0"/>
    <xf numFmtId="254" fontId="62" fillId="0" borderId="0" applyFont="0" applyFill="0" applyBorder="0" applyAlignment="0" applyProtection="0"/>
    <xf numFmtId="255" fontId="63" fillId="0" borderId="0" applyFont="0" applyFill="0" applyBorder="0" applyAlignment="0" applyProtection="0">
      <protection locked="0"/>
    </xf>
    <xf numFmtId="185" fontId="12" fillId="0" borderId="2" applyFont="0"/>
    <xf numFmtId="256" fontId="62" fillId="0" borderId="0" applyFont="0" applyFill="0" applyBorder="0" applyAlignment="0" applyProtection="0"/>
    <xf numFmtId="3" fontId="64" fillId="0" borderId="0" applyFont="0" applyFill="0" applyBorder="0" applyAlignment="0" applyProtection="0"/>
    <xf numFmtId="40" fontId="61" fillId="0" borderId="0" applyFont="0" applyFill="0" applyBorder="0" applyAlignment="0" applyProtection="0"/>
    <xf numFmtId="257" fontId="46" fillId="0" borderId="0">
      <alignment horizontal="right"/>
    </xf>
    <xf numFmtId="258" fontId="16" fillId="0" borderId="0" applyFont="0" applyFill="0" applyBorder="0" applyAlignment="0" applyProtection="0"/>
    <xf numFmtId="259" fontId="15" fillId="0" borderId="0">
      <alignment horizontal="right"/>
    </xf>
    <xf numFmtId="0" fontId="65" fillId="11" borderId="0">
      <alignment horizontal="center" vertical="center" wrapText="1"/>
    </xf>
    <xf numFmtId="0" fontId="66" fillId="0" borderId="0" applyNumberFormat="0" applyFill="0" applyBorder="0">
      <alignment horizontal="right"/>
    </xf>
    <xf numFmtId="181" fontId="67" fillId="0" borderId="0" applyFill="0" applyBorder="0">
      <alignment horizontal="left"/>
    </xf>
    <xf numFmtId="208" fontId="12" fillId="0" borderId="0" applyFont="0" applyFill="0" applyBorder="0" applyAlignment="0" applyProtection="0"/>
    <xf numFmtId="173" fontId="68" fillId="0" borderId="0"/>
    <xf numFmtId="260" fontId="1" fillId="0" borderId="0" applyFont="0" applyFill="0" applyBorder="0" applyAlignment="0" applyProtection="0"/>
    <xf numFmtId="0" fontId="69" fillId="0" borderId="0">
      <alignment horizontal="left"/>
    </xf>
    <xf numFmtId="0" fontId="70" fillId="0" borderId="0"/>
    <xf numFmtId="0" fontId="71" fillId="0" borderId="0">
      <alignment horizontal="left"/>
    </xf>
    <xf numFmtId="261" fontId="16" fillId="0" borderId="0"/>
    <xf numFmtId="6" fontId="17" fillId="0" borderId="0" applyFont="0" applyFill="0" applyBorder="0" applyAlignment="0" applyProtection="0"/>
    <xf numFmtId="209" fontId="12" fillId="0" borderId="0" applyFill="0" applyBorder="0">
      <alignment horizontal="right"/>
      <protection locked="0"/>
    </xf>
    <xf numFmtId="44" fontId="1" fillId="0" borderId="0" applyFont="0" applyFill="0" applyBorder="0" applyAlignment="0" applyProtection="0"/>
    <xf numFmtId="262" fontId="16" fillId="0" borderId="0" applyFont="0" applyFill="0" applyBorder="0" applyAlignment="0" applyProtection="0">
      <protection locked="0"/>
    </xf>
    <xf numFmtId="181" fontId="16" fillId="0" borderId="0" applyFont="0" applyFill="0" applyBorder="0" applyAlignment="0" applyProtection="0">
      <protection locked="0"/>
    </xf>
    <xf numFmtId="6" fontId="72" fillId="0" borderId="14" applyBorder="0"/>
    <xf numFmtId="263" fontId="23" fillId="0" borderId="0" applyFont="0" applyFill="0" applyBorder="0" applyAlignment="0" applyProtection="0"/>
    <xf numFmtId="8" fontId="44" fillId="0" borderId="0" applyFont="0" applyFill="0" applyBorder="0" applyAlignment="0" applyProtection="0"/>
    <xf numFmtId="264" fontId="44" fillId="0" borderId="0" applyFont="0" applyFill="0" applyBorder="0" applyAlignment="0" applyProtection="0"/>
    <xf numFmtId="210" fontId="15" fillId="0" borderId="0" applyFont="0" applyFill="0" applyBorder="0" applyAlignment="0" applyProtection="0">
      <alignment horizontal="right"/>
    </xf>
    <xf numFmtId="263" fontId="61" fillId="0" borderId="0" applyFont="0" applyFill="0" applyBorder="0" applyAlignment="0" applyProtection="0"/>
    <xf numFmtId="211" fontId="15" fillId="0" borderId="0" applyFont="0" applyFill="0" applyBorder="0" applyAlignment="0" applyProtection="0">
      <alignment horizontal="right"/>
    </xf>
    <xf numFmtId="265" fontId="73" fillId="0" borderId="0" applyFont="0" applyFill="0" applyBorder="0" applyAlignment="0" applyProtection="0"/>
    <xf numFmtId="266" fontId="62" fillId="0" borderId="0" applyFont="0" applyFill="0" applyBorder="0" applyAlignment="0" applyProtection="0">
      <alignment horizontal="right"/>
    </xf>
    <xf numFmtId="264" fontId="61" fillId="0" borderId="0" applyFont="0" applyFill="0" applyBorder="0" applyAlignment="0" applyProtection="0"/>
    <xf numFmtId="267" fontId="73" fillId="0" borderId="0" applyFont="0" applyFill="0" applyBorder="0" applyAlignment="0" applyProtection="0"/>
    <xf numFmtId="190" fontId="46" fillId="0" borderId="0" applyFont="0" applyFill="0" applyBorder="0" applyProtection="0">
      <alignment horizontal="right"/>
    </xf>
    <xf numFmtId="263" fontId="74" fillId="0" borderId="0" applyFont="0" applyFill="0" applyBorder="0" applyAlignment="0" applyProtection="0"/>
    <xf numFmtId="268" fontId="62" fillId="0" borderId="0" applyFont="0" applyFill="0" applyBorder="0" applyAlignment="0" applyProtection="0"/>
    <xf numFmtId="0" fontId="64" fillId="0" borderId="0" applyFont="0" applyFill="0" applyBorder="0" applyAlignment="0" applyProtection="0"/>
    <xf numFmtId="269" fontId="75" fillId="0" borderId="15" applyFont="0" applyFill="0" applyBorder="0" applyAlignment="0" applyProtection="0">
      <alignment horizontal="right"/>
      <protection locked="0"/>
    </xf>
    <xf numFmtId="270" fontId="16" fillId="0" borderId="0" applyFont="0" applyFill="0" applyBorder="0" applyAlignment="0" applyProtection="0"/>
    <xf numFmtId="0" fontId="61" fillId="0" borderId="0" applyFill="0" applyBorder="0" applyProtection="0"/>
    <xf numFmtId="43" fontId="4" fillId="0" borderId="0" applyFont="0" applyFill="0" applyBorder="0" applyAlignment="0" applyProtection="0"/>
    <xf numFmtId="37" fontId="1" fillId="0" borderId="0" applyFont="0" applyFill="0" applyBorder="0" applyAlignment="0" applyProtection="0"/>
    <xf numFmtId="271" fontId="76" fillId="12" borderId="5">
      <alignment horizontal="right"/>
    </xf>
    <xf numFmtId="0" fontId="7" fillId="13" borderId="0"/>
    <xf numFmtId="212" fontId="20" fillId="0" borderId="0" applyFont="0" applyFill="0" applyBorder="0" applyAlignment="0" applyProtection="0"/>
    <xf numFmtId="8" fontId="77" fillId="0" borderId="0" applyNumberFormat="0" applyFill="0" applyBorder="0" applyAlignment="0"/>
    <xf numFmtId="0" fontId="7" fillId="0" borderId="0"/>
    <xf numFmtId="14" fontId="78" fillId="0" borderId="4" applyFont="0">
      <alignment horizontal="right"/>
    </xf>
    <xf numFmtId="272" fontId="79" fillId="0" borderId="0" applyFont="0" applyFill="0" applyBorder="0" applyAlignment="0" applyProtection="0"/>
    <xf numFmtId="213" fontId="15" fillId="0" borderId="0" applyFont="0" applyFill="0" applyBorder="0" applyAlignment="0" applyProtection="0"/>
    <xf numFmtId="273" fontId="62" fillId="0" borderId="0" applyFont="0" applyFill="0" applyBorder="0" applyAlignment="0" applyProtection="0"/>
    <xf numFmtId="274" fontId="62" fillId="0" borderId="0" applyFont="0" applyFill="0" applyBorder="0" applyAlignment="0" applyProtection="0"/>
    <xf numFmtId="274" fontId="44" fillId="0" borderId="0" applyFont="0" applyFill="0" applyBorder="0" applyProtection="0">
      <alignment horizontal="right"/>
    </xf>
    <xf numFmtId="14" fontId="23" fillId="0" borderId="0">
      <alignment horizontal="right"/>
      <protection locked="0"/>
    </xf>
    <xf numFmtId="189" fontId="21" fillId="0" borderId="0"/>
    <xf numFmtId="1" fontId="15" fillId="0" borderId="0" applyFont="0" applyFill="0" applyBorder="0" applyAlignment="0" applyProtection="0">
      <alignment horizontal="right"/>
    </xf>
    <xf numFmtId="182" fontId="80" fillId="0" borderId="0"/>
    <xf numFmtId="39" fontId="81" fillId="0" borderId="0"/>
    <xf numFmtId="164" fontId="1" fillId="0" borderId="0" applyFont="0" applyFill="0" applyBorder="0" applyAlignment="0" applyProtection="0"/>
    <xf numFmtId="4" fontId="82" fillId="0" borderId="0" applyFont="0" applyFill="0" applyBorder="0" applyAlignment="0" applyProtection="0"/>
    <xf numFmtId="214" fontId="83" fillId="0" borderId="0"/>
    <xf numFmtId="0" fontId="46" fillId="0" borderId="0" applyFont="0" applyFill="0" applyBorder="0" applyAlignment="0" applyProtection="0">
      <alignment horizontal="right"/>
    </xf>
    <xf numFmtId="275" fontId="44" fillId="0" borderId="0"/>
    <xf numFmtId="275" fontId="84" fillId="0" borderId="0">
      <protection locked="0"/>
    </xf>
    <xf numFmtId="7" fontId="44" fillId="0" borderId="0"/>
    <xf numFmtId="5" fontId="85" fillId="0" borderId="0" applyFont="0" applyFill="0" applyBorder="0" applyAlignment="0" applyProtection="0">
      <protection locked="0"/>
    </xf>
    <xf numFmtId="215" fontId="15" fillId="0" borderId="16" applyNumberFormat="0" applyFont="0" applyFill="0" applyAlignment="0" applyProtection="0"/>
    <xf numFmtId="42" fontId="86" fillId="0" borderId="0" applyFill="0" applyBorder="0" applyAlignment="0" applyProtection="0"/>
    <xf numFmtId="216" fontId="87" fillId="0" borderId="9" applyNumberFormat="0" applyBorder="0"/>
    <xf numFmtId="168" fontId="88" fillId="0" borderId="17" applyNumberFormat="0" applyAlignment="0" applyProtection="0">
      <alignment vertical="top"/>
    </xf>
    <xf numFmtId="0" fontId="16" fillId="14" borderId="1" applyNumberFormat="0" applyFont="0" applyAlignment="0">
      <protection locked="0"/>
    </xf>
    <xf numFmtId="276" fontId="76" fillId="0" borderId="0"/>
    <xf numFmtId="277" fontId="76" fillId="0" borderId="0"/>
    <xf numFmtId="278" fontId="76" fillId="0" borderId="0"/>
    <xf numFmtId="279" fontId="76" fillId="0" borderId="0"/>
    <xf numFmtId="280" fontId="76" fillId="0" borderId="0"/>
    <xf numFmtId="281" fontId="76" fillId="0" borderId="0"/>
    <xf numFmtId="171" fontId="1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4" fillId="0" borderId="0" applyProtection="0"/>
    <xf numFmtId="0" fontId="89" fillId="0" borderId="0" applyProtection="0"/>
    <xf numFmtId="0" fontId="1" fillId="0" borderId="0" applyProtection="0"/>
    <xf numFmtId="0" fontId="4" fillId="0" borderId="0" applyProtection="0"/>
    <xf numFmtId="0" fontId="7" fillId="0" borderId="0"/>
    <xf numFmtId="0" fontId="1" fillId="12" borderId="0" applyBorder="0">
      <alignment horizontal="center"/>
    </xf>
    <xf numFmtId="217" fontId="12" fillId="0" borderId="0" applyFont="0" applyFill="0" applyBorder="0" applyAlignment="0" applyProtection="0"/>
    <xf numFmtId="0" fontId="1" fillId="0" borderId="0" applyFont="0" applyFill="0" applyBorder="0" applyAlignment="0" applyProtection="0"/>
    <xf numFmtId="182" fontId="15" fillId="0" borderId="0" applyFont="0" applyFill="0" applyBorder="0" applyAlignment="0" applyProtection="0">
      <alignment horizontal="right"/>
    </xf>
    <xf numFmtId="2" fontId="64" fillId="0" borderId="0" applyFont="0" applyFill="0" applyBorder="0" applyAlignment="0" applyProtection="0"/>
    <xf numFmtId="282" fontId="61" fillId="0" borderId="0" applyFont="0" applyFill="0" applyBorder="0" applyAlignment="0" applyProtection="0"/>
    <xf numFmtId="283" fontId="61" fillId="0" borderId="0" applyFont="0" applyFill="0" applyBorder="0" applyAlignment="0" applyProtection="0"/>
    <xf numFmtId="284" fontId="61" fillId="0" borderId="0" applyFont="0" applyFill="0" applyBorder="0" applyAlignment="0" applyProtection="0"/>
    <xf numFmtId="285" fontId="61" fillId="0" borderId="0" applyFont="0" applyFill="0" applyBorder="0" applyAlignment="0" applyProtection="0"/>
    <xf numFmtId="183" fontId="61" fillId="0" borderId="0" applyFill="0" applyBorder="0" applyProtection="0"/>
    <xf numFmtId="0" fontId="90" fillId="0" borderId="0">
      <alignment horizontal="left"/>
    </xf>
    <xf numFmtId="0" fontId="91" fillId="0" borderId="0">
      <alignment horizontal="left"/>
    </xf>
    <xf numFmtId="181" fontId="46" fillId="0" borderId="0"/>
    <xf numFmtId="0" fontId="30" fillId="0" borderId="0" applyFill="0" applyBorder="0" applyProtection="0">
      <alignment horizontal="left"/>
    </xf>
    <xf numFmtId="0" fontId="30" fillId="0" borderId="0" applyNumberFormat="0" applyFill="0" applyBorder="0" applyProtection="0">
      <alignment horizontal="left"/>
    </xf>
    <xf numFmtId="0" fontId="30" fillId="0" borderId="0" applyFill="0" applyBorder="0" applyProtection="0">
      <alignment horizontal="left"/>
    </xf>
    <xf numFmtId="0" fontId="92" fillId="0" borderId="0" applyNumberFormat="0" applyFill="0" applyBorder="0" applyAlignment="0" applyProtection="0"/>
    <xf numFmtId="0" fontId="93" fillId="12" borderId="0"/>
    <xf numFmtId="37" fontId="28" fillId="12" borderId="0" applyNumberFormat="0" applyBorder="0" applyAlignment="0" applyProtection="0"/>
    <xf numFmtId="229" fontId="4" fillId="7" borderId="18" applyFont="0" applyBorder="0" applyAlignment="0" applyProtection="0">
      <alignment vertical="top"/>
    </xf>
    <xf numFmtId="218" fontId="3" fillId="0" borderId="0" applyBorder="0" applyProtection="0"/>
    <xf numFmtId="219" fontId="94" fillId="0" borderId="0"/>
    <xf numFmtId="0" fontId="95" fillId="0" borderId="0" applyNumberFormat="0" applyFill="0" applyBorder="0" applyAlignment="0" applyProtection="0"/>
    <xf numFmtId="0" fontId="96" fillId="0" borderId="0"/>
    <xf numFmtId="38" fontId="2" fillId="12" borderId="0" applyNumberFormat="0" applyBorder="0" applyAlignment="0" applyProtection="0"/>
    <xf numFmtId="286" fontId="44" fillId="0" borderId="0" applyFill="0" applyBorder="0" applyAlignment="0" applyProtection="0">
      <alignment horizontal="right"/>
    </xf>
    <xf numFmtId="0" fontId="78" fillId="0" borderId="0" applyBorder="0">
      <alignment horizontal="left"/>
    </xf>
    <xf numFmtId="220" fontId="61" fillId="0" borderId="0" applyFont="0" applyFill="0" applyBorder="0" applyAlignment="0" applyProtection="0"/>
    <xf numFmtId="190" fontId="15" fillId="0" borderId="0" applyFont="0" applyFill="0" applyBorder="0" applyAlignment="0" applyProtection="0">
      <alignment horizontal="right"/>
    </xf>
    <xf numFmtId="0" fontId="97" fillId="15" borderId="0" applyNumberFormat="0" applyBorder="0" applyProtection="0">
      <alignment horizontal="left" vertical="center"/>
    </xf>
    <xf numFmtId="0" fontId="98" fillId="1" borderId="0" applyNumberFormat="0" applyBorder="0" applyProtection="0">
      <alignment horizontal="left" vertical="center"/>
    </xf>
    <xf numFmtId="0" fontId="99" fillId="0" borderId="0"/>
    <xf numFmtId="0" fontId="100" fillId="0" borderId="0">
      <alignment horizontal="left"/>
    </xf>
    <xf numFmtId="0" fontId="100" fillId="0" borderId="0">
      <alignment horizontal="left"/>
    </xf>
    <xf numFmtId="0" fontId="51" fillId="0" borderId="19" applyNumberFormat="0" applyAlignment="0" applyProtection="0">
      <alignment horizontal="left" vertical="center"/>
    </xf>
    <xf numFmtId="0" fontId="51" fillId="0" borderId="4">
      <alignment horizontal="left" vertical="center"/>
    </xf>
    <xf numFmtId="37" fontId="101" fillId="16" borderId="0">
      <alignment horizontal="centerContinuous"/>
    </xf>
    <xf numFmtId="0" fontId="102" fillId="0" borderId="0">
      <alignment horizontal="left"/>
    </xf>
    <xf numFmtId="0" fontId="103" fillId="0" borderId="20">
      <alignment horizontal="left" vertical="top"/>
    </xf>
    <xf numFmtId="0" fontId="104" fillId="0" borderId="0">
      <alignment horizontal="left"/>
    </xf>
    <xf numFmtId="0" fontId="105" fillId="0" borderId="20">
      <alignment horizontal="left" vertical="top"/>
    </xf>
    <xf numFmtId="0" fontId="106" fillId="0" borderId="0">
      <alignment horizontal="left"/>
    </xf>
    <xf numFmtId="0" fontId="107" fillId="0" borderId="0">
      <alignment horizontal="left"/>
    </xf>
    <xf numFmtId="181" fontId="108" fillId="0" borderId="0">
      <alignment horizontal="right"/>
    </xf>
    <xf numFmtId="181" fontId="108" fillId="0" borderId="0">
      <alignment horizontal="left"/>
    </xf>
    <xf numFmtId="0" fontId="51" fillId="0" borderId="0"/>
    <xf numFmtId="37" fontId="109" fillId="0" borderId="2">
      <alignment horizontal="right"/>
    </xf>
    <xf numFmtId="0" fontId="110" fillId="0" borderId="21" applyNumberFormat="0" applyFill="0" applyBorder="0" applyAlignment="0" applyProtection="0">
      <alignment horizontal="left"/>
    </xf>
    <xf numFmtId="220" fontId="15" fillId="0" borderId="0"/>
    <xf numFmtId="0" fontId="111" fillId="0" borderId="22" applyNumberFormat="0" applyFill="0" applyAlignment="0" applyProtection="0"/>
    <xf numFmtId="221" fontId="13" fillId="17" borderId="0" applyNumberFormat="0" applyFont="0" applyBorder="0" applyAlignment="0" applyProtection="0"/>
    <xf numFmtId="37" fontId="28" fillId="0" borderId="0" applyNumberFormat="0" applyBorder="0" applyAlignment="0" applyProtection="0"/>
    <xf numFmtId="229" fontId="44" fillId="0" borderId="0" applyFill="0" applyBorder="0" applyAlignment="0" applyProtection="0"/>
    <xf numFmtId="222" fontId="15" fillId="0" borderId="0"/>
    <xf numFmtId="10" fontId="2" fillId="2" borderId="18" applyNumberFormat="0" applyBorder="0" applyAlignment="0" applyProtection="0"/>
    <xf numFmtId="195" fontId="1" fillId="0" borderId="0" applyFill="0" applyBorder="0" applyProtection="0"/>
    <xf numFmtId="287" fontId="1" fillId="0" borderId="0" applyFill="0" applyBorder="0" applyProtection="0"/>
    <xf numFmtId="288" fontId="1" fillId="0" borderId="0" applyFill="0" applyBorder="0" applyProtection="0"/>
    <xf numFmtId="289" fontId="1" fillId="0" borderId="0" applyFill="0" applyBorder="0" applyProtection="0"/>
    <xf numFmtId="37" fontId="80" fillId="12" borderId="0" applyFont="0" applyBorder="0" applyProtection="0"/>
    <xf numFmtId="290" fontId="4" fillId="2" borderId="0" applyNumberFormat="0" applyFont="0" applyBorder="0" applyAlignment="0" applyProtection="0">
      <alignment horizontal="center"/>
      <protection locked="0"/>
    </xf>
    <xf numFmtId="168" fontId="4" fillId="2" borderId="2" applyNumberFormat="0" applyFont="0" applyAlignment="0" applyProtection="0">
      <alignment horizontal="center"/>
      <protection locked="0"/>
    </xf>
    <xf numFmtId="0" fontId="12" fillId="0" borderId="0" applyFill="0" applyBorder="0">
      <alignment horizontal="right"/>
      <protection locked="0"/>
    </xf>
    <xf numFmtId="38" fontId="112" fillId="0" borderId="0" applyNumberFormat="0" applyBorder="0" applyProtection="0">
      <alignment horizontal="left"/>
    </xf>
    <xf numFmtId="223" fontId="12" fillId="0" borderId="0" applyFill="0" applyBorder="0">
      <alignment horizontal="right"/>
      <protection locked="0"/>
    </xf>
    <xf numFmtId="0" fontId="78" fillId="18" borderId="23">
      <alignment horizontal="left" vertical="center" wrapText="1"/>
    </xf>
    <xf numFmtId="0" fontId="113" fillId="0" borderId="0" applyNumberFormat="0" applyFill="0" applyBorder="0" applyProtection="0">
      <alignment horizontal="left" vertical="center"/>
    </xf>
    <xf numFmtId="291" fontId="44" fillId="0" borderId="0">
      <alignment horizontal="left"/>
    </xf>
    <xf numFmtId="0" fontId="114" fillId="0" borderId="0" applyNumberFormat="0">
      <alignment horizontal="left"/>
    </xf>
    <xf numFmtId="182" fontId="15" fillId="0" borderId="0" applyNumberFormat="0" applyAlignment="0">
      <alignment horizontal="left"/>
    </xf>
    <xf numFmtId="292" fontId="16" fillId="0" borderId="0" applyFont="0" applyFill="0" applyBorder="0" applyAlignment="0" applyProtection="0"/>
    <xf numFmtId="37" fontId="115" fillId="0" borderId="0" applyNumberFormat="0" applyFill="0" applyBorder="0" applyAlignment="0" applyProtection="0"/>
    <xf numFmtId="0" fontId="7" fillId="13" borderId="0"/>
    <xf numFmtId="293" fontId="76" fillId="0" borderId="0">
      <alignment horizontal="right"/>
    </xf>
    <xf numFmtId="294" fontId="76" fillId="0" borderId="0">
      <alignment horizontal="right"/>
    </xf>
    <xf numFmtId="14" fontId="116" fillId="0" borderId="0" applyFont="0" applyFill="0" applyBorder="0" applyAlignment="0" applyProtection="0"/>
    <xf numFmtId="0" fontId="117" fillId="0" borderId="8">
      <alignment horizontal="left"/>
      <protection locked="0"/>
    </xf>
    <xf numFmtId="0" fontId="118" fillId="0" borderId="0"/>
    <xf numFmtId="286" fontId="44" fillId="0" borderId="0" applyFill="0" applyBorder="0" applyAlignment="0" applyProtection="0">
      <alignment horizontal="right"/>
    </xf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0" fontId="119" fillId="0" borderId="0" applyBorder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182" fontId="78" fillId="0" borderId="4" applyFont="0" applyFill="0" applyBorder="0" applyAlignment="0" applyProtection="0">
      <alignment horizontal="center"/>
    </xf>
    <xf numFmtId="295" fontId="76" fillId="0" borderId="0">
      <alignment horizontal="right"/>
    </xf>
    <xf numFmtId="0" fontId="46" fillId="0" borderId="0" applyNumberFormat="0" applyFill="0" applyBorder="0" applyAlignment="0"/>
    <xf numFmtId="38" fontId="46" fillId="0" borderId="0" applyBorder="0"/>
    <xf numFmtId="18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24" fontId="15" fillId="0" borderId="0" applyFont="0" applyFill="0" applyBorder="0" applyAlignment="0" applyProtection="0">
      <alignment horizontal="right"/>
    </xf>
    <xf numFmtId="174" fontId="104" fillId="0" borderId="0" applyFont="0" applyFill="0" applyBorder="0" applyAlignment="0" applyProtection="0"/>
    <xf numFmtId="296" fontId="44" fillId="0" borderId="0" applyFill="0" applyBorder="0" applyProtection="0">
      <alignment horizontal="right"/>
    </xf>
    <xf numFmtId="297" fontId="62" fillId="0" borderId="0" applyFont="0" applyFill="0" applyBorder="0" applyProtection="0">
      <alignment horizontal="right"/>
    </xf>
    <xf numFmtId="182" fontId="15" fillId="0" borderId="0" applyFont="0" applyFill="0" applyBorder="0" applyAlignment="0" applyProtection="0">
      <alignment horizontal="right"/>
    </xf>
    <xf numFmtId="181" fontId="15" fillId="0" borderId="0"/>
    <xf numFmtId="257" fontId="46" fillId="19" borderId="0" applyNumberFormat="0">
      <alignment horizontal="right"/>
    </xf>
    <xf numFmtId="37" fontId="120" fillId="0" borderId="0"/>
    <xf numFmtId="173" fontId="15" fillId="0" borderId="0" applyFill="0" applyBorder="0" applyAlignment="0" applyProtection="0"/>
    <xf numFmtId="225" fontId="15" fillId="0" borderId="9" applyFont="0" applyFill="0" applyBorder="0" applyAlignment="0" applyProtection="0"/>
    <xf numFmtId="0" fontId="7" fillId="20" borderId="0"/>
    <xf numFmtId="298" fontId="16" fillId="0" borderId="0" applyFont="0">
      <alignment horizontal="right"/>
    </xf>
    <xf numFmtId="0" fontId="82" fillId="0" borderId="0"/>
    <xf numFmtId="226" fontId="59" fillId="0" borderId="0"/>
    <xf numFmtId="222" fontId="15" fillId="0" borderId="0"/>
    <xf numFmtId="221" fontId="121" fillId="0" borderId="0"/>
    <xf numFmtId="37" fontId="72" fillId="0" borderId="0"/>
    <xf numFmtId="38" fontId="122" fillId="0" borderId="0"/>
    <xf numFmtId="227" fontId="121" fillId="0" borderId="0"/>
    <xf numFmtId="228" fontId="15" fillId="0" borderId="0">
      <alignment horizontal="right"/>
    </xf>
    <xf numFmtId="229" fontId="12" fillId="0" borderId="0" applyFont="0" applyFill="0" applyBorder="0" applyAlignment="0"/>
    <xf numFmtId="299" fontId="2" fillId="0" borderId="0"/>
    <xf numFmtId="0" fontId="1" fillId="0" borderId="0"/>
    <xf numFmtId="0" fontId="17" fillId="0" borderId="0"/>
    <xf numFmtId="0" fontId="123" fillId="0" borderId="0" applyFill="0" applyBorder="0" applyAlignment="0" applyProtection="0"/>
    <xf numFmtId="181" fontId="112" fillId="0" borderId="0" applyBorder="0">
      <alignment horizontal="left"/>
    </xf>
    <xf numFmtId="0" fontId="124" fillId="0" borderId="8"/>
    <xf numFmtId="1" fontId="84" fillId="0" borderId="0">
      <alignment horizontal="right"/>
      <protection locked="0"/>
    </xf>
    <xf numFmtId="174" fontId="125" fillId="0" borderId="0">
      <alignment horizontal="right"/>
      <protection locked="0"/>
    </xf>
    <xf numFmtId="182" fontId="84" fillId="0" borderId="0">
      <protection locked="0"/>
    </xf>
    <xf numFmtId="2" fontId="125" fillId="0" borderId="0">
      <alignment horizontal="right"/>
      <protection locked="0"/>
    </xf>
    <xf numFmtId="2" fontId="84" fillId="0" borderId="0">
      <alignment horizontal="right"/>
      <protection locked="0"/>
    </xf>
    <xf numFmtId="230" fontId="35" fillId="0" borderId="0"/>
    <xf numFmtId="0" fontId="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216" fontId="12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74" fontId="34" fillId="0" borderId="0"/>
    <xf numFmtId="0" fontId="128" fillId="0" borderId="0">
      <alignment horizontal="left" vertical="top"/>
      <protection locked="0"/>
    </xf>
    <xf numFmtId="0" fontId="129" fillId="0" borderId="0">
      <alignment horizontal="left"/>
    </xf>
    <xf numFmtId="40" fontId="85" fillId="7" borderId="0">
      <alignment horizontal="right"/>
    </xf>
    <xf numFmtId="0" fontId="130" fillId="3" borderId="0">
      <alignment horizontal="center"/>
    </xf>
    <xf numFmtId="0" fontId="131" fillId="7" borderId="0">
      <alignment horizontal="left"/>
    </xf>
    <xf numFmtId="0" fontId="131" fillId="8" borderId="0" applyBorder="0">
      <alignment horizontal="centerContinuous"/>
    </xf>
    <xf numFmtId="0" fontId="132" fillId="4" borderId="0" applyBorder="0">
      <alignment horizontal="centerContinuous"/>
    </xf>
    <xf numFmtId="37" fontId="2" fillId="0" borderId="0" applyBorder="0">
      <protection locked="0"/>
    </xf>
    <xf numFmtId="0" fontId="133" fillId="0" borderId="0" applyNumberFormat="0" applyFill="0" applyBorder="0">
      <alignment horizontal="left"/>
    </xf>
    <xf numFmtId="0" fontId="134" fillId="0" borderId="0" applyProtection="0">
      <alignment horizontal="left"/>
    </xf>
    <xf numFmtId="0" fontId="134" fillId="0" borderId="0" applyFill="0" applyBorder="0" applyProtection="0">
      <alignment horizontal="left"/>
    </xf>
    <xf numFmtId="0" fontId="135" fillId="0" borderId="0" applyFill="0" applyBorder="0" applyProtection="0">
      <alignment horizontal="left"/>
    </xf>
    <xf numFmtId="1" fontId="136" fillId="0" borderId="0" applyProtection="0">
      <alignment horizontal="right" vertical="center"/>
    </xf>
    <xf numFmtId="300" fontId="1" fillId="0" borderId="0" applyFont="0" applyFill="0" applyBorder="0" applyAlignment="0" applyProtection="0"/>
    <xf numFmtId="301" fontId="76" fillId="0" borderId="0"/>
    <xf numFmtId="302" fontId="76" fillId="0" borderId="0"/>
    <xf numFmtId="303" fontId="36" fillId="0" borderId="0" applyFont="0" applyFill="0" applyBorder="0" applyAlignment="0" applyProtection="0">
      <alignment horizontal="center" vertical="top" wrapText="1"/>
    </xf>
    <xf numFmtId="168" fontId="44" fillId="0" borderId="0">
      <alignment horizontal="right"/>
    </xf>
    <xf numFmtId="9" fontId="1" fillId="0" borderId="0" applyFont="0" applyFill="0" applyBorder="0" applyAlignment="0" applyProtection="0"/>
    <xf numFmtId="10" fontId="12" fillId="0" borderId="0"/>
    <xf numFmtId="231" fontId="137" fillId="0" borderId="0"/>
    <xf numFmtId="168" fontId="112" fillId="0" borderId="0" applyFont="0" applyFill="0" applyBorder="0" applyAlignment="0" applyProtection="0"/>
    <xf numFmtId="232" fontId="35" fillId="0" borderId="0" applyFont="0" applyFill="0" applyBorder="0" applyAlignment="0"/>
    <xf numFmtId="304" fontId="82" fillId="0" borderId="0" applyFont="0" applyFill="0" applyBorder="0" applyAlignment="0" applyProtection="0"/>
    <xf numFmtId="305" fontId="82" fillId="0" borderId="0" applyFont="0" applyFill="0" applyBorder="0" applyAlignment="0" applyProtection="0"/>
    <xf numFmtId="306" fontId="82" fillId="0" borderId="0" applyFont="0" applyFill="0" applyBorder="0" applyAlignment="0" applyProtection="0"/>
    <xf numFmtId="307" fontId="28" fillId="0" borderId="0">
      <alignment horizontal="right"/>
    </xf>
    <xf numFmtId="297" fontId="46" fillId="19" borderId="0">
      <alignment horizontal="right"/>
    </xf>
    <xf numFmtId="308" fontId="44" fillId="0" borderId="0" applyFont="0" applyFill="0" applyBorder="0" applyProtection="0">
      <alignment horizontal="right"/>
    </xf>
    <xf numFmtId="168" fontId="12" fillId="0" borderId="0"/>
    <xf numFmtId="309" fontId="73" fillId="0" borderId="0" applyFont="0" applyFill="0" applyBorder="0" applyAlignment="0" applyProtection="0"/>
    <xf numFmtId="9" fontId="4" fillId="0" borderId="0"/>
    <xf numFmtId="168" fontId="138" fillId="0" borderId="0"/>
    <xf numFmtId="310" fontId="61" fillId="0" borderId="0" applyFont="0" applyFill="0" applyBorder="0" applyAlignment="0" applyProtection="0"/>
    <xf numFmtId="168" fontId="44" fillId="0" borderId="0"/>
    <xf numFmtId="168" fontId="84" fillId="0" borderId="0"/>
    <xf numFmtId="10" fontId="80" fillId="0" borderId="0" applyBorder="0"/>
    <xf numFmtId="10" fontId="84" fillId="0" borderId="0">
      <protection locked="0"/>
    </xf>
    <xf numFmtId="0" fontId="139" fillId="0" borderId="0"/>
    <xf numFmtId="233" fontId="12" fillId="0" borderId="0" applyFill="0" applyBorder="0">
      <alignment horizontal="right"/>
      <protection locked="0"/>
    </xf>
    <xf numFmtId="307" fontId="46" fillId="0" borderId="0">
      <alignment horizontal="right"/>
    </xf>
    <xf numFmtId="188" fontId="61" fillId="0" borderId="0" applyFill="0" applyBorder="0" applyProtection="0"/>
    <xf numFmtId="8" fontId="1" fillId="0" borderId="0" applyFont="0" applyFill="0" applyBorder="0" applyAlignment="0" applyProtection="0"/>
    <xf numFmtId="0" fontId="59" fillId="0" borderId="0"/>
    <xf numFmtId="311" fontId="1" fillId="0" borderId="0">
      <alignment horizontal="right"/>
      <protection locked="0"/>
    </xf>
    <xf numFmtId="0" fontId="3" fillId="12" borderId="18" applyNumberFormat="0" applyFont="0" applyAlignment="0" applyProtection="0"/>
    <xf numFmtId="290" fontId="4" fillId="12" borderId="0" applyNumberFormat="0" applyFont="0" applyBorder="0" applyAlignment="0" applyProtection="0">
      <alignment horizontal="center"/>
      <protection locked="0"/>
    </xf>
    <xf numFmtId="0" fontId="133" fillId="0" borderId="0"/>
    <xf numFmtId="0" fontId="133" fillId="0" borderId="21">
      <alignment horizontal="right"/>
    </xf>
    <xf numFmtId="0" fontId="133" fillId="0" borderId="0"/>
    <xf numFmtId="2" fontId="119" fillId="0" borderId="0" applyNumberFormat="0" applyFill="0" applyBorder="0" applyAlignment="0" applyProtection="0"/>
    <xf numFmtId="229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23" fillId="0" borderId="0">
      <alignment vertical="top"/>
    </xf>
    <xf numFmtId="182" fontId="23" fillId="0" borderId="0">
      <alignment vertical="top"/>
    </xf>
    <xf numFmtId="312" fontId="76" fillId="12" borderId="5">
      <alignment horizontal="right"/>
    </xf>
    <xf numFmtId="181" fontId="16" fillId="0" borderId="0" applyFont="0" applyFill="0" applyBorder="0" applyAlignment="0" applyProtection="0">
      <alignment horizontal="right"/>
    </xf>
    <xf numFmtId="234" fontId="12" fillId="0" borderId="0">
      <alignment horizontal="right"/>
      <protection locked="0"/>
    </xf>
    <xf numFmtId="0" fontId="140" fillId="0" borderId="0"/>
    <xf numFmtId="0" fontId="141" fillId="0" borderId="8" applyNumberFormat="0" applyFill="0" applyBorder="0" applyAlignment="0" applyProtection="0">
      <protection hidden="1"/>
    </xf>
    <xf numFmtId="37" fontId="142" fillId="0" borderId="0" applyNumberFormat="0" applyFill="0" applyBorder="0" applyAlignment="0" applyProtection="0"/>
    <xf numFmtId="0" fontId="143" fillId="0" borderId="0"/>
    <xf numFmtId="182" fontId="144" fillId="0" borderId="19" applyNumberFormat="0" applyAlignment="0" applyProtection="0">
      <alignment horizontal="right" vertical="center"/>
    </xf>
    <xf numFmtId="313" fontId="12" fillId="0" borderId="0" applyProtection="0">
      <alignment horizontal="right"/>
    </xf>
    <xf numFmtId="314" fontId="12" fillId="0" borderId="0" applyProtection="0">
      <alignment horizontal="right"/>
    </xf>
    <xf numFmtId="0" fontId="113" fillId="0" borderId="0" applyNumberFormat="0" applyFill="0" applyBorder="0" applyProtection="0">
      <alignment horizontal="right" vertical="center"/>
    </xf>
    <xf numFmtId="0" fontId="3" fillId="0" borderId="0" applyNumberFormat="0" applyFill="0" applyBorder="0"/>
    <xf numFmtId="235" fontId="15" fillId="0" borderId="0" applyNumberFormat="0" applyFill="0" applyBorder="0" applyProtection="0">
      <alignment horizontal="left" vertical="center"/>
      <protection locked="0"/>
    </xf>
    <xf numFmtId="0" fontId="145" fillId="0" borderId="13"/>
    <xf numFmtId="236" fontId="146" fillId="0" borderId="0" applyFill="0" applyBorder="0">
      <alignment horizontal="right"/>
      <protection hidden="1"/>
    </xf>
    <xf numFmtId="0" fontId="51" fillId="11" borderId="18">
      <alignment horizontal="center" vertical="center" wrapText="1"/>
      <protection hidden="1"/>
    </xf>
    <xf numFmtId="0" fontId="15" fillId="19" borderId="0" applyNumberFormat="0" applyFont="0" applyBorder="0" applyAlignment="0" applyProtection="0"/>
    <xf numFmtId="1" fontId="59" fillId="21" borderId="0" applyNumberFormat="0" applyFont="0" applyBorder="0" applyAlignment="0">
      <alignment horizontal="left"/>
    </xf>
    <xf numFmtId="181" fontId="147" fillId="0" borderId="0" applyNumberFormat="0" applyFont="0" applyAlignment="0"/>
    <xf numFmtId="173" fontId="15" fillId="0" borderId="2" applyFont="0" applyFill="0" applyBorder="0" applyAlignment="0" applyProtection="0">
      <alignment horizontal="right"/>
    </xf>
    <xf numFmtId="186" fontId="15" fillId="0" borderId="0"/>
    <xf numFmtId="0" fontId="148" fillId="12" borderId="0" applyNumberFormat="0" applyBorder="0">
      <alignment horizontal="centerContinuous"/>
    </xf>
    <xf numFmtId="42" fontId="50" fillId="0" borderId="0" applyFill="0" applyBorder="0" applyAlignment="0" applyProtection="0"/>
    <xf numFmtId="0" fontId="1" fillId="0" borderId="0"/>
    <xf numFmtId="0" fontId="149" fillId="0" borderId="0" applyNumberFormat="0" applyFill="0" applyBorder="0" applyAlignment="0" applyProtection="0"/>
    <xf numFmtId="182" fontId="18" fillId="0" borderId="0" applyFill="0" applyBorder="0" applyProtection="0">
      <alignment horizontal="right"/>
    </xf>
    <xf numFmtId="0" fontId="1" fillId="22" borderId="0"/>
    <xf numFmtId="0" fontId="7" fillId="0" borderId="0">
      <alignment vertical="center"/>
    </xf>
    <xf numFmtId="0" fontId="150" fillId="0" borderId="0" applyNumberFormat="0" applyFill="0" applyBorder="0" applyAlignment="0" applyProtection="0">
      <protection locked="0"/>
    </xf>
    <xf numFmtId="237" fontId="150" fillId="0" borderId="0" applyNumberFormat="0" applyFill="0" applyBorder="0" applyAlignment="0" applyProtection="0">
      <alignment horizontal="right" vertical="center" wrapText="1"/>
    </xf>
    <xf numFmtId="0" fontId="150" fillId="0" borderId="0" applyNumberFormat="0" applyFill="0" applyBorder="0" applyAlignment="0" applyProtection="0">
      <protection locked="0"/>
    </xf>
    <xf numFmtId="0" fontId="151" fillId="0" borderId="0" applyNumberFormat="0" applyFill="0" applyBorder="0" applyAlignment="0" applyProtection="0"/>
    <xf numFmtId="0" fontId="152" fillId="0" borderId="4" applyNumberFormat="0" applyFill="0" applyProtection="0">
      <alignment horizontal="right" vertical="center" wrapText="1"/>
    </xf>
    <xf numFmtId="0" fontId="78" fillId="10" borderId="0" applyNumberFormat="0" applyBorder="0">
      <alignment horizontal="centerContinuous"/>
    </xf>
    <xf numFmtId="0" fontId="49" fillId="0" borderId="9" applyNumberFormat="0" applyFill="0" applyProtection="0">
      <alignment horizontal="right"/>
    </xf>
    <xf numFmtId="0" fontId="153" fillId="0" borderId="0" applyNumberFormat="0" applyFill="0" applyBorder="0" applyProtection="0">
      <alignment horizontal="left" vertical="center"/>
    </xf>
    <xf numFmtId="315" fontId="154" fillId="0" borderId="0"/>
    <xf numFmtId="229" fontId="44" fillId="0" borderId="0" applyFill="0" applyBorder="0" applyAlignment="0" applyProtection="0"/>
    <xf numFmtId="0" fontId="155" fillId="0" borderId="0"/>
    <xf numFmtId="0" fontId="156" fillId="0" borderId="9" applyNumberFormat="0"/>
    <xf numFmtId="0" fontId="3" fillId="12" borderId="0" applyNumberFormat="0" applyFont="0" applyBorder="0" applyAlignment="0" applyProtection="0"/>
    <xf numFmtId="0" fontId="157" fillId="0" borderId="7" applyNumberFormat="0" applyFill="0" applyBorder="0" applyAlignment="0" applyProtection="0"/>
    <xf numFmtId="259" fontId="16" fillId="0" borderId="0">
      <alignment horizontal="left"/>
    </xf>
    <xf numFmtId="0" fontId="5" fillId="0" borderId="0" applyFill="0" applyBorder="0" applyProtection="0">
      <alignment horizontal="center" vertical="center"/>
    </xf>
    <xf numFmtId="3" fontId="158" fillId="0" borderId="0" applyFont="0" applyBorder="0" applyAlignment="0"/>
    <xf numFmtId="0" fontId="49" fillId="0" borderId="24" applyNumberFormat="0" applyProtection="0">
      <alignment horizontal="right"/>
    </xf>
    <xf numFmtId="0" fontId="159" fillId="0" borderId="2" applyNumberFormat="0" applyFill="0" applyProtection="0"/>
    <xf numFmtId="215" fontId="15" fillId="0" borderId="2" applyBorder="0" applyProtection="0">
      <alignment horizontal="right" vertical="center"/>
    </xf>
    <xf numFmtId="0" fontId="160" fillId="23" borderId="0" applyBorder="0" applyProtection="0">
      <alignment horizontal="centerContinuous" vertical="center"/>
    </xf>
    <xf numFmtId="0" fontId="160" fillId="24" borderId="2" applyBorder="0" applyProtection="0">
      <alignment horizontal="centerContinuous" vertical="center"/>
    </xf>
    <xf numFmtId="0" fontId="161" fillId="0" borderId="0" applyBorder="0" applyProtection="0">
      <alignment vertical="center"/>
    </xf>
    <xf numFmtId="0" fontId="30" fillId="0" borderId="0" applyNumberFormat="0" applyFill="0" applyBorder="0" applyProtection="0">
      <alignment horizontal="left"/>
    </xf>
    <xf numFmtId="0" fontId="5" fillId="0" borderId="0" applyFill="0" applyBorder="0" applyProtection="0"/>
    <xf numFmtId="0" fontId="162" fillId="0" borderId="0" applyNumberFormat="0">
      <alignment horizontal="left"/>
    </xf>
    <xf numFmtId="0" fontId="104" fillId="0" borderId="0" applyNumberFormat="0" applyFill="0" applyBorder="0" applyProtection="0"/>
    <xf numFmtId="0" fontId="163" fillId="0" borderId="0" applyFill="0" applyBorder="0" applyProtection="0">
      <alignment horizontal="left"/>
    </xf>
    <xf numFmtId="0" fontId="30" fillId="0" borderId="20" applyFill="0" applyBorder="0" applyProtection="0">
      <alignment horizontal="left" vertical="top"/>
    </xf>
    <xf numFmtId="0" fontId="33" fillId="0" borderId="2"/>
    <xf numFmtId="0" fontId="39" fillId="7" borderId="9" applyNumberFormat="0" applyFont="0" applyFill="0" applyAlignment="0" applyProtection="0">
      <protection locked="0"/>
    </xf>
    <xf numFmtId="168" fontId="164" fillId="0" borderId="0" applyNumberFormat="0" applyFill="0" applyBorder="0">
      <alignment horizontal="left"/>
    </xf>
    <xf numFmtId="168" fontId="164" fillId="0" borderId="0" applyNumberFormat="0" applyFill="0" applyBorder="0">
      <alignment horizontal="right"/>
    </xf>
    <xf numFmtId="168" fontId="55" fillId="0" borderId="0" applyNumberFormat="0" applyFill="0" applyBorder="0">
      <alignment horizontal="right"/>
    </xf>
    <xf numFmtId="0" fontId="165" fillId="0" borderId="0" applyFill="0" applyBorder="0" applyProtection="0">
      <alignment horizontal="center" vertical="center"/>
    </xf>
    <xf numFmtId="0" fontId="39" fillId="7" borderId="25" applyNumberFormat="0" applyFont="0" applyFill="0" applyAlignment="0" applyProtection="0">
      <protection locked="0"/>
    </xf>
    <xf numFmtId="38" fontId="166" fillId="0" borderId="0" applyNumberFormat="0" applyBorder="0">
      <alignment horizontal="left"/>
    </xf>
    <xf numFmtId="0" fontId="167" fillId="0" borderId="0" applyFill="0" applyBorder="0" applyProtection="0">
      <alignment vertical="top"/>
    </xf>
    <xf numFmtId="0" fontId="168" fillId="0" borderId="0" applyFill="0" applyBorder="0" applyProtection="0">
      <alignment vertical="center"/>
    </xf>
    <xf numFmtId="0" fontId="45" fillId="0" borderId="0" applyFill="0" applyBorder="0" applyProtection="0"/>
    <xf numFmtId="49" fontId="169" fillId="0" borderId="0"/>
    <xf numFmtId="0" fontId="170" fillId="25" borderId="0">
      <alignment vertical="top" wrapText="1"/>
    </xf>
    <xf numFmtId="0" fontId="3" fillId="0" borderId="0" applyNumberFormat="0" applyFill="0" applyBorder="0" applyAlignment="0" applyProtection="0"/>
    <xf numFmtId="0" fontId="171" fillId="0" borderId="0" applyNumberFormat="0" applyFill="0" applyBorder="0" applyProtection="0"/>
    <xf numFmtId="0" fontId="171" fillId="0" borderId="0" applyNumberFormat="0" applyFill="0" applyBorder="0" applyProtection="0"/>
    <xf numFmtId="181" fontId="84" fillId="0" borderId="0">
      <alignment horizontal="left"/>
      <protection locked="0"/>
    </xf>
    <xf numFmtId="0" fontId="172" fillId="0" borderId="0" applyNumberFormat="0" applyFill="0" applyBorder="0" applyProtection="0"/>
    <xf numFmtId="0" fontId="172" fillId="0" borderId="0" applyNumberFormat="0" applyFill="0" applyBorder="0" applyProtection="0"/>
    <xf numFmtId="0" fontId="171" fillId="0" borderId="0" applyNumberFormat="0" applyFill="0" applyBorder="0" applyProtection="0"/>
    <xf numFmtId="0" fontId="171" fillId="0" borderId="0"/>
    <xf numFmtId="238" fontId="3" fillId="0" borderId="0" applyBorder="0" applyProtection="0">
      <alignment horizontal="right"/>
    </xf>
    <xf numFmtId="18" fontId="173" fillId="7" borderId="0" applyFont="0" applyFill="0" applyBorder="0" applyAlignment="0" applyProtection="0">
      <protection locked="0"/>
    </xf>
    <xf numFmtId="175" fontId="1" fillId="0" borderId="0">
      <alignment horizontal="right" vertical="center"/>
    </xf>
    <xf numFmtId="0" fontId="15" fillId="0" borderId="0" applyNumberFormat="0" applyFill="0" applyBorder="0" applyAlignment="0" applyProtection="0"/>
    <xf numFmtId="0" fontId="174" fillId="0" borderId="0" applyNumberFormat="0" applyFill="0" applyBorder="0" applyAlignment="0" applyProtection="0"/>
    <xf numFmtId="0" fontId="175" fillId="0" borderId="0"/>
    <xf numFmtId="0" fontId="51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229" fontId="60" fillId="0" borderId="0" applyFill="0" applyBorder="0" applyProtection="0"/>
    <xf numFmtId="0" fontId="177" fillId="2" borderId="0">
      <alignment horizontal="right"/>
    </xf>
    <xf numFmtId="0" fontId="178" fillId="15" borderId="0" applyNumberFormat="0" applyBorder="0" applyProtection="0">
      <alignment horizontal="left" vertical="center"/>
    </xf>
    <xf numFmtId="291" fontId="179" fillId="0" borderId="0">
      <alignment horizontal="centerContinuous"/>
    </xf>
    <xf numFmtId="0" fontId="180" fillId="1" borderId="0" applyNumberFormat="0" applyBorder="0" applyProtection="0">
      <alignment horizontal="left" vertical="center"/>
    </xf>
    <xf numFmtId="291" fontId="60" fillId="0" borderId="0">
      <alignment horizontal="centerContinuous"/>
      <protection locked="0"/>
    </xf>
    <xf numFmtId="291" fontId="60" fillId="0" borderId="0">
      <alignment horizontal="left"/>
    </xf>
    <xf numFmtId="181" fontId="181" fillId="0" borderId="0">
      <alignment horizontal="center"/>
    </xf>
    <xf numFmtId="181" fontId="181" fillId="0" borderId="0">
      <alignment horizontal="left"/>
    </xf>
    <xf numFmtId="0" fontId="12" fillId="0" borderId="0" applyBorder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82" fillId="0" borderId="0"/>
    <xf numFmtId="0" fontId="172" fillId="0" borderId="0"/>
    <xf numFmtId="0" fontId="171" fillId="0" borderId="0"/>
    <xf numFmtId="0" fontId="183" fillId="0" borderId="0" applyNumberFormat="0" applyFont="0" applyFill="0" applyBorder="0" applyAlignment="0">
      <alignment horizontal="left" vertical="center"/>
    </xf>
    <xf numFmtId="0" fontId="138" fillId="3" borderId="8"/>
    <xf numFmtId="0" fontId="184" fillId="0" borderId="0"/>
    <xf numFmtId="195" fontId="1" fillId="0" borderId="0" applyFill="0" applyBorder="0" applyProtection="0"/>
    <xf numFmtId="316" fontId="1" fillId="0" borderId="0" applyFill="0" applyBorder="0" applyProtection="0"/>
    <xf numFmtId="315" fontId="58" fillId="0" borderId="24" applyAlignment="0">
      <alignment horizontal="right"/>
    </xf>
    <xf numFmtId="299" fontId="58" fillId="0" borderId="24" applyAlignment="0"/>
    <xf numFmtId="262" fontId="44" fillId="0" borderId="0">
      <alignment horizontal="right"/>
    </xf>
    <xf numFmtId="239" fontId="2" fillId="0" borderId="0" applyBorder="0" applyProtection="0">
      <alignment horizontal="right"/>
    </xf>
    <xf numFmtId="40" fontId="94" fillId="0" borderId="0"/>
    <xf numFmtId="37" fontId="15" fillId="22" borderId="18" applyNumberFormat="0" applyAlignment="0" applyProtection="0"/>
    <xf numFmtId="229" fontId="185" fillId="0" borderId="0"/>
    <xf numFmtId="38" fontId="166" fillId="0" borderId="0">
      <alignment horizontal="right"/>
    </xf>
    <xf numFmtId="38" fontId="186" fillId="0" borderId="8" applyFill="0" applyBorder="0" applyAlignment="0" applyProtection="0">
      <protection locked="0"/>
    </xf>
    <xf numFmtId="37" fontId="2" fillId="26" borderId="0" applyNumberFormat="0" applyBorder="0" applyAlignment="0" applyProtection="0"/>
    <xf numFmtId="37" fontId="4" fillId="0" borderId="0"/>
    <xf numFmtId="3" fontId="187" fillId="0" borderId="22" applyProtection="0"/>
    <xf numFmtId="0" fontId="188" fillId="0" borderId="0">
      <alignment vertical="top"/>
    </xf>
    <xf numFmtId="0" fontId="189" fillId="0" borderId="0" applyNumberFormat="0"/>
    <xf numFmtId="0" fontId="190" fillId="27" borderId="26">
      <alignment horizontal="left"/>
    </xf>
    <xf numFmtId="38" fontId="60" fillId="0" borderId="0" applyFill="0" applyBorder="0" applyAlignment="0" applyProtection="0">
      <alignment horizontal="left"/>
    </xf>
    <xf numFmtId="0" fontId="15" fillId="0" borderId="0" applyFont="0" applyAlignment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87" fontId="1" fillId="0" borderId="0" applyFont="0" applyFill="0" applyBorder="0" applyAlignment="0" applyProtection="0"/>
    <xf numFmtId="0" fontId="12" fillId="0" borderId="0"/>
    <xf numFmtId="0" fontId="1" fillId="0" borderId="0" applyFont="0" applyFill="0" applyBorder="0" applyAlignment="0" applyProtection="0"/>
    <xf numFmtId="166" fontId="82" fillId="0" borderId="0" applyFont="0" applyFill="0" applyBorder="0" applyAlignment="0" applyProtection="0"/>
    <xf numFmtId="182" fontId="191" fillId="0" borderId="0"/>
    <xf numFmtId="0" fontId="3" fillId="7" borderId="0" applyNumberFormat="0" applyFont="0" applyAlignment="0" applyProtection="0"/>
    <xf numFmtId="0" fontId="3" fillId="7" borderId="9" applyNumberFormat="0" applyFont="0" applyAlignment="0" applyProtection="0">
      <protection locked="0"/>
    </xf>
    <xf numFmtId="0" fontId="192" fillId="0" borderId="0" applyNumberFormat="0" applyFill="0" applyBorder="0" applyAlignment="0" applyProtection="0"/>
    <xf numFmtId="0" fontId="193" fillId="0" borderId="7" applyNumberFormat="0" applyFill="0" applyBorder="0" applyAlignment="0" applyProtection="0"/>
    <xf numFmtId="0" fontId="194" fillId="0" borderId="7" applyNumberFormat="0" applyFill="0" applyBorder="0" applyAlignment="0" applyProtection="0"/>
    <xf numFmtId="0" fontId="195" fillId="0" borderId="7" applyNumberFormat="0" applyFill="0" applyBorder="0" applyAlignment="0" applyProtection="0"/>
    <xf numFmtId="1" fontId="196" fillId="0" borderId="0">
      <alignment horizontal="right"/>
    </xf>
    <xf numFmtId="0" fontId="104" fillId="0" borderId="0" applyNumberFormat="0" applyFont="0" applyFill="0" applyBorder="0" applyProtection="0">
      <alignment horizontal="center" wrapText="1"/>
    </xf>
    <xf numFmtId="37" fontId="197" fillId="0" borderId="0"/>
    <xf numFmtId="191" fontId="15" fillId="0" borderId="0"/>
    <xf numFmtId="1" fontId="147" fillId="0" borderId="4" applyFill="0" applyProtection="0">
      <alignment horizontal="right"/>
    </xf>
    <xf numFmtId="0" fontId="198" fillId="0" borderId="0"/>
    <xf numFmtId="317" fontId="50" fillId="0" borderId="0" applyFont="0" applyFill="0" applyBorder="0" applyAlignment="0" applyProtection="0"/>
    <xf numFmtId="206" fontId="48" fillId="0" borderId="0">
      <alignment horizontal="right"/>
    </xf>
    <xf numFmtId="318" fontId="13" fillId="0" borderId="0" applyFont="0" applyFill="0" applyBorder="0" applyProtection="0">
      <alignment horizontal="right"/>
    </xf>
    <xf numFmtId="240" fontId="12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99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200" fillId="11" borderId="0">
      <alignment horizontal="center" vertical="center" wrapText="1"/>
    </xf>
    <xf numFmtId="0" fontId="17" fillId="0" borderId="0">
      <alignment horizontal="center" wrapText="1"/>
      <protection hidden="1"/>
    </xf>
    <xf numFmtId="0" fontId="17" fillId="0" borderId="0" applyBorder="0"/>
    <xf numFmtId="0" fontId="1" fillId="0" borderId="0"/>
    <xf numFmtId="0" fontId="203" fillId="0" borderId="0" applyNumberFormat="0" applyFill="0" applyBorder="0" applyAlignment="0" applyProtection="0">
      <alignment vertical="top"/>
      <protection locked="0"/>
    </xf>
    <xf numFmtId="0" fontId="207" fillId="0" borderId="0"/>
    <xf numFmtId="9" fontId="31" fillId="0" borderId="0" applyFont="0" applyFill="0" applyBorder="0" applyAlignment="0" applyProtection="0"/>
    <xf numFmtId="0" fontId="20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7" fillId="0" borderId="0" applyBorder="0"/>
    <xf numFmtId="0" fontId="17" fillId="0" borderId="0">
      <alignment horizontal="center" wrapText="1"/>
      <protection hidden="1"/>
    </xf>
    <xf numFmtId="0" fontId="200" fillId="11" borderId="0">
      <alignment horizontal="center" vertical="center" wrapText="1"/>
    </xf>
    <xf numFmtId="43" fontId="1" fillId="0" borderId="0" applyFont="0" applyFill="0" applyBorder="0" applyAlignment="0" applyProtection="0"/>
  </cellStyleXfs>
  <cellXfs count="610">
    <xf numFmtId="0" fontId="0" fillId="0" borderId="0" xfId="0"/>
    <xf numFmtId="0" fontId="201" fillId="31" borderId="34" xfId="573" applyFont="1" applyFill="1" applyBorder="1" applyProtection="1">
      <alignment horizontal="center" vertical="center" wrapText="1"/>
      <protection locked="0"/>
    </xf>
    <xf numFmtId="0" fontId="107" fillId="32" borderId="34" xfId="574" applyFont="1" applyFill="1" applyBorder="1" applyAlignment="1" applyProtection="1">
      <alignment horizontal="center" vertical="center" wrapText="1"/>
      <protection locked="0"/>
    </xf>
    <xf numFmtId="0" fontId="154" fillId="7" borderId="34" xfId="574" applyFont="1" applyFill="1" applyBorder="1" applyAlignment="1" applyProtection="1">
      <alignment horizontal="center" vertical="center" wrapText="1"/>
      <protection locked="0"/>
    </xf>
    <xf numFmtId="0" fontId="154" fillId="7" borderId="35" xfId="574" applyFont="1" applyFill="1" applyBorder="1" applyAlignment="1" applyProtection="1">
      <alignment horizontal="center" vertical="center" wrapText="1"/>
      <protection locked="0"/>
    </xf>
    <xf numFmtId="0" fontId="107" fillId="32" borderId="35" xfId="574" applyFont="1" applyFill="1" applyBorder="1" applyAlignment="1" applyProtection="1">
      <alignment horizontal="center" vertical="center" wrapText="1"/>
      <protection locked="0"/>
    </xf>
    <xf numFmtId="0" fontId="1" fillId="1" borderId="5" xfId="575" applyFont="1" applyFill="1" applyBorder="1" applyProtection="1">
      <protection locked="0"/>
    </xf>
    <xf numFmtId="0" fontId="1" fillId="0" borderId="0" xfId="576" applyProtection="1">
      <protection locked="0"/>
    </xf>
    <xf numFmtId="0" fontId="51" fillId="12" borderId="36" xfId="573" applyFont="1" applyFill="1" applyBorder="1" applyAlignment="1" applyProtection="1">
      <alignment horizontal="center" vertical="center"/>
      <protection locked="0"/>
    </xf>
    <xf numFmtId="0" fontId="202" fillId="33" borderId="36" xfId="574" applyFont="1" applyFill="1" applyBorder="1" applyAlignment="1" applyProtection="1">
      <alignment horizontal="right"/>
    </xf>
    <xf numFmtId="0" fontId="17" fillId="1" borderId="5" xfId="575" applyFill="1" applyBorder="1" applyProtection="1">
      <protection locked="0"/>
    </xf>
    <xf numFmtId="0" fontId="204" fillId="0" borderId="0" xfId="577" applyFont="1" applyFill="1" applyBorder="1" applyAlignment="1" applyProtection="1">
      <alignment horizontal="left"/>
      <protection locked="0"/>
    </xf>
    <xf numFmtId="182" fontId="204" fillId="0" borderId="0" xfId="574" quotePrefix="1" applyNumberFormat="1" applyFont="1" applyAlignment="1" applyProtection="1">
      <alignment horizontal="right"/>
      <protection locked="0"/>
    </xf>
    <xf numFmtId="0" fontId="205" fillId="0" borderId="0" xfId="577" applyFont="1" applyFill="1" applyBorder="1" applyAlignment="1" applyProtection="1">
      <alignment horizontal="left"/>
      <protection locked="0"/>
    </xf>
    <xf numFmtId="182" fontId="202" fillId="1" borderId="9" xfId="574" applyNumberFormat="1" applyFont="1" applyFill="1" applyBorder="1" applyAlignment="1" applyProtection="1">
      <alignment horizontal="right"/>
    </xf>
    <xf numFmtId="182" fontId="204" fillId="0" borderId="0" xfId="574" applyNumberFormat="1" applyFont="1" applyAlignment="1" applyProtection="1">
      <alignment horizontal="right"/>
      <protection locked="0"/>
    </xf>
    <xf numFmtId="182" fontId="204" fillId="1" borderId="9" xfId="574" applyNumberFormat="1" applyFont="1" applyFill="1" applyBorder="1" applyAlignment="1" applyProtection="1">
      <alignment horizontal="right"/>
    </xf>
    <xf numFmtId="0" fontId="202" fillId="0" borderId="0" xfId="577" applyFont="1" applyFill="1" applyBorder="1" applyAlignment="1" applyProtection="1">
      <alignment horizontal="left"/>
      <protection locked="0"/>
    </xf>
    <xf numFmtId="182" fontId="202" fillId="1" borderId="24" xfId="574" applyNumberFormat="1" applyFont="1" applyFill="1" applyBorder="1" applyAlignment="1" applyProtection="1">
      <alignment horizontal="right"/>
    </xf>
    <xf numFmtId="182" fontId="204" fillId="1" borderId="24" xfId="574" applyNumberFormat="1" applyFont="1" applyFill="1" applyBorder="1" applyAlignment="1" applyProtection="1">
      <alignment horizontal="right"/>
    </xf>
    <xf numFmtId="0" fontId="202" fillId="34" borderId="37" xfId="574" applyFont="1" applyFill="1" applyBorder="1" applyAlignment="1" applyProtection="1">
      <alignment horizontal="right"/>
    </xf>
    <xf numFmtId="0" fontId="202" fillId="34" borderId="0" xfId="574" applyFont="1" applyFill="1" applyAlignment="1" applyProtection="1">
      <alignment horizontal="right"/>
    </xf>
    <xf numFmtId="0" fontId="206" fillId="0" borderId="0" xfId="577" applyFont="1" applyFill="1" applyBorder="1" applyAlignment="1" applyProtection="1">
      <alignment horizontal="left"/>
      <protection locked="0"/>
    </xf>
    <xf numFmtId="0" fontId="202" fillId="1" borderId="0" xfId="574" applyFont="1" applyFill="1" applyAlignment="1" applyProtection="1">
      <alignment horizontal="right"/>
    </xf>
    <xf numFmtId="182" fontId="202" fillId="1" borderId="0" xfId="574" applyNumberFormat="1" applyFont="1" applyFill="1" applyAlignment="1" applyProtection="1">
      <alignment horizontal="right"/>
    </xf>
    <xf numFmtId="0" fontId="51" fillId="0" borderId="38" xfId="577" applyFont="1" applyFill="1" applyBorder="1" applyAlignment="1" applyProtection="1">
      <alignment horizontal="center" vertical="center"/>
      <protection locked="0"/>
    </xf>
    <xf numFmtId="0" fontId="202" fillId="1" borderId="38" xfId="574" applyFont="1" applyFill="1" applyBorder="1" applyAlignment="1" applyProtection="1">
      <alignment horizontal="right"/>
    </xf>
    <xf numFmtId="319" fontId="202" fillId="1" borderId="0" xfId="574" applyNumberFormat="1" applyFont="1" applyFill="1" applyAlignment="1" applyProtection="1">
      <alignment horizontal="right"/>
    </xf>
    <xf numFmtId="182" fontId="204" fillId="1" borderId="0" xfId="574" applyNumberFormat="1" applyFont="1" applyFill="1" applyAlignment="1" applyProtection="1">
      <alignment horizontal="right"/>
    </xf>
    <xf numFmtId="320" fontId="202" fillId="1" borderId="0" xfId="574" applyNumberFormat="1" applyFont="1" applyFill="1" applyAlignment="1" applyProtection="1">
      <alignment horizontal="right"/>
    </xf>
    <xf numFmtId="39" fontId="202" fillId="1" borderId="0" xfId="574" applyNumberFormat="1" applyFont="1" applyFill="1" applyAlignment="1" applyProtection="1">
      <alignment horizontal="right"/>
    </xf>
    <xf numFmtId="0" fontId="51" fillId="12" borderId="39" xfId="577" applyFont="1" applyFill="1" applyBorder="1" applyAlignment="1" applyProtection="1">
      <alignment horizontal="center" vertical="center"/>
      <protection locked="0"/>
    </xf>
    <xf numFmtId="0" fontId="202" fillId="33" borderId="39" xfId="574" applyFont="1" applyFill="1" applyBorder="1" applyAlignment="1" applyProtection="1">
      <alignment horizontal="right"/>
    </xf>
    <xf numFmtId="0" fontId="202" fillId="33" borderId="40" xfId="574" applyFont="1" applyFill="1" applyBorder="1" applyAlignment="1" applyProtection="1">
      <alignment horizontal="right"/>
    </xf>
    <xf numFmtId="37" fontId="204" fillId="0" borderId="0" xfId="574" quotePrefix="1" applyNumberFormat="1" applyFont="1" applyAlignment="1" applyProtection="1">
      <alignment horizontal="right"/>
      <protection locked="0"/>
    </xf>
    <xf numFmtId="321" fontId="204" fillId="0" borderId="0" xfId="574" quotePrefix="1" applyNumberFormat="1" applyFont="1" applyAlignment="1" applyProtection="1">
      <alignment horizontal="right"/>
      <protection locked="0"/>
    </xf>
    <xf numFmtId="322" fontId="204" fillId="0" borderId="0" xfId="574" applyNumberFormat="1" applyFont="1" applyAlignment="1" applyProtection="1">
      <alignment horizontal="right"/>
      <protection locked="0"/>
    </xf>
    <xf numFmtId="323" fontId="204" fillId="0" borderId="0" xfId="574" quotePrefix="1" applyNumberFormat="1" applyFont="1" applyAlignment="1" applyProtection="1">
      <alignment horizontal="right"/>
      <protection locked="0"/>
    </xf>
    <xf numFmtId="182" fontId="204" fillId="0" borderId="9" xfId="574" applyNumberFormat="1" applyFont="1" applyBorder="1" applyAlignment="1" applyProtection="1">
      <alignment horizontal="right"/>
      <protection locked="0"/>
    </xf>
    <xf numFmtId="182" fontId="202" fillId="1" borderId="4" xfId="574" applyNumberFormat="1" applyFont="1" applyFill="1" applyBorder="1" applyAlignment="1" applyProtection="1">
      <alignment horizontal="right"/>
    </xf>
    <xf numFmtId="0" fontId="202" fillId="34" borderId="9" xfId="574" applyFont="1" applyFill="1" applyBorder="1" applyAlignment="1" applyProtection="1">
      <alignment horizontal="right"/>
    </xf>
    <xf numFmtId="319" fontId="202" fillId="1" borderId="9" xfId="574" applyNumberFormat="1" applyFont="1" applyFill="1" applyBorder="1" applyAlignment="1" applyProtection="1">
      <alignment horizontal="right"/>
    </xf>
    <xf numFmtId="319" fontId="202" fillId="1" borderId="4" xfId="574" applyNumberFormat="1" applyFont="1" applyFill="1" applyBorder="1" applyAlignment="1" applyProtection="1">
      <alignment horizontal="right"/>
    </xf>
    <xf numFmtId="182" fontId="202" fillId="1" borderId="0" xfId="574" quotePrefix="1" applyNumberFormat="1" applyFont="1" applyFill="1" applyAlignment="1" applyProtection="1">
      <alignment horizontal="right"/>
    </xf>
    <xf numFmtId="0" fontId="51" fillId="33" borderId="39" xfId="577" applyFont="1" applyFill="1" applyBorder="1" applyAlignment="1" applyProtection="1">
      <alignment horizontal="center" vertical="center"/>
      <protection locked="0"/>
    </xf>
    <xf numFmtId="0" fontId="202" fillId="34" borderId="39" xfId="574" applyFont="1" applyFill="1" applyBorder="1" applyAlignment="1" applyProtection="1">
      <alignment horizontal="right"/>
    </xf>
    <xf numFmtId="0" fontId="202" fillId="34" borderId="40" xfId="574" applyFont="1" applyFill="1" applyBorder="1" applyAlignment="1" applyProtection="1">
      <alignment horizontal="right"/>
    </xf>
    <xf numFmtId="0" fontId="51" fillId="1" borderId="38" xfId="577" applyFont="1" applyFill="1" applyBorder="1" applyAlignment="1" applyProtection="1">
      <alignment horizontal="center" vertical="center"/>
      <protection locked="0"/>
    </xf>
    <xf numFmtId="0" fontId="202" fillId="34" borderId="38" xfId="574" applyFont="1" applyFill="1" applyBorder="1" applyAlignment="1" applyProtection="1">
      <alignment horizontal="right"/>
    </xf>
    <xf numFmtId="0" fontId="206" fillId="1" borderId="0" xfId="577" applyFont="1" applyFill="1" applyBorder="1" applyAlignment="1" applyProtection="1">
      <alignment horizontal="left"/>
      <protection locked="0"/>
    </xf>
    <xf numFmtId="0" fontId="204" fillId="1" borderId="0" xfId="577" applyFont="1" applyFill="1" applyBorder="1" applyAlignment="1" applyProtection="1">
      <alignment horizontal="left"/>
      <protection locked="0"/>
    </xf>
    <xf numFmtId="182" fontId="204" fillId="34" borderId="0" xfId="574" quotePrefix="1" applyNumberFormat="1" applyFont="1" applyFill="1" applyAlignment="1" applyProtection="1">
      <alignment horizontal="right"/>
    </xf>
    <xf numFmtId="0" fontId="202" fillId="1" borderId="0" xfId="577" applyFont="1" applyFill="1" applyBorder="1" applyAlignment="1" applyProtection="1">
      <alignment horizontal="left"/>
      <protection locked="0"/>
    </xf>
    <xf numFmtId="182" fontId="202" fillId="34" borderId="0" xfId="574" applyNumberFormat="1" applyFont="1" applyFill="1" applyAlignment="1" applyProtection="1">
      <alignment horizontal="right"/>
    </xf>
    <xf numFmtId="182" fontId="202" fillId="34" borderId="9" xfId="574" applyNumberFormat="1" applyFont="1" applyFill="1" applyBorder="1" applyAlignment="1" applyProtection="1">
      <alignment horizontal="right"/>
    </xf>
    <xf numFmtId="0" fontId="205" fillId="1" borderId="0" xfId="577" applyFont="1" applyFill="1" applyBorder="1" applyAlignment="1" applyProtection="1">
      <alignment horizontal="left"/>
      <protection locked="0"/>
    </xf>
    <xf numFmtId="182" fontId="204" fillId="34" borderId="9" xfId="574" quotePrefix="1" applyNumberFormat="1" applyFont="1" applyFill="1" applyBorder="1" applyAlignment="1" applyProtection="1">
      <alignment horizontal="right"/>
    </xf>
    <xf numFmtId="182" fontId="202" fillId="34" borderId="24" xfId="574" applyNumberFormat="1" applyFont="1" applyFill="1" applyBorder="1" applyAlignment="1" applyProtection="1">
      <alignment horizontal="right"/>
    </xf>
    <xf numFmtId="0" fontId="51" fillId="12" borderId="36" xfId="577" applyFont="1" applyFill="1" applyBorder="1" applyAlignment="1" applyProtection="1">
      <alignment horizontal="center" vertical="center"/>
      <protection locked="0"/>
    </xf>
    <xf numFmtId="39" fontId="204" fillId="0" borderId="0" xfId="574" quotePrefix="1" applyNumberFormat="1" applyFont="1" applyAlignment="1" applyProtection="1">
      <alignment horizontal="right"/>
      <protection locked="0"/>
    </xf>
    <xf numFmtId="0" fontId="207" fillId="0" borderId="0" xfId="578" applyProtection="1">
      <protection locked="0"/>
    </xf>
    <xf numFmtId="168" fontId="207" fillId="0" borderId="0" xfId="579" applyNumberFormat="1" applyFont="1" applyFill="1" applyProtection="1">
      <protection locked="0"/>
    </xf>
    <xf numFmtId="43" fontId="207" fillId="0" borderId="0" xfId="578" applyNumberFormat="1" applyProtection="1">
      <protection locked="0"/>
    </xf>
    <xf numFmtId="39" fontId="207" fillId="0" borderId="0" xfId="578" applyNumberFormat="1" applyProtection="1">
      <protection locked="0"/>
    </xf>
    <xf numFmtId="0" fontId="208" fillId="1" borderId="2" xfId="575" applyFont="1" applyFill="1" applyBorder="1" applyProtection="1">
      <protection locked="0"/>
    </xf>
    <xf numFmtId="0" fontId="17" fillId="1" borderId="29" xfId="575" applyFill="1" applyBorder="1" applyProtection="1">
      <protection locked="0"/>
    </xf>
    <xf numFmtId="0" fontId="212" fillId="0" borderId="0" xfId="0" applyFont="1"/>
    <xf numFmtId="0" fontId="212" fillId="0" borderId="8" xfId="0" applyFont="1" applyBorder="1"/>
    <xf numFmtId="0" fontId="213" fillId="0" borderId="0" xfId="0" applyFont="1"/>
    <xf numFmtId="0" fontId="210" fillId="36" borderId="24" xfId="0" applyFont="1" applyFill="1" applyBorder="1" applyAlignment="1">
      <alignment horizontal="left" vertical="top"/>
    </xf>
    <xf numFmtId="0" fontId="211" fillId="36" borderId="0" xfId="0" applyFont="1" applyFill="1"/>
    <xf numFmtId="0" fontId="212" fillId="0" borderId="0" xfId="0" applyFont="1" applyAlignment="1">
      <alignment horizontal="left"/>
    </xf>
    <xf numFmtId="0" fontId="212" fillId="0" borderId="0" xfId="349" applyFont="1" applyAlignment="1">
      <alignment horizontal="left"/>
    </xf>
    <xf numFmtId="168" fontId="212" fillId="35" borderId="0" xfId="385" applyNumberFormat="1" applyFont="1" applyFill="1" applyAlignment="1">
      <alignment horizontal="center"/>
    </xf>
    <xf numFmtId="168" fontId="212" fillId="0" borderId="8" xfId="385" applyNumberFormat="1" applyFont="1" applyFill="1" applyBorder="1" applyAlignment="1">
      <alignment horizontal="center"/>
    </xf>
    <xf numFmtId="39" fontId="212" fillId="35" borderId="0" xfId="385" applyNumberFormat="1" applyFont="1" applyFill="1" applyAlignment="1">
      <alignment horizontal="center"/>
    </xf>
    <xf numFmtId="39" fontId="212" fillId="0" borderId="8" xfId="385" applyNumberFormat="1" applyFont="1" applyFill="1" applyBorder="1" applyAlignment="1">
      <alignment horizontal="center"/>
    </xf>
    <xf numFmtId="168" fontId="212" fillId="0" borderId="0" xfId="385" applyNumberFormat="1" applyFont="1" applyFill="1" applyAlignment="1">
      <alignment horizontal="center"/>
    </xf>
    <xf numFmtId="0" fontId="213" fillId="0" borderId="0" xfId="0" applyFont="1" applyAlignment="1">
      <alignment horizontal="left"/>
    </xf>
    <xf numFmtId="167" fontId="212" fillId="0" borderId="0" xfId="124" applyNumberFormat="1" applyFont="1" applyFill="1"/>
    <xf numFmtId="167" fontId="213" fillId="0" borderId="8" xfId="124" applyNumberFormat="1" applyFont="1" applyFill="1" applyBorder="1"/>
    <xf numFmtId="167" fontId="213" fillId="0" borderId="0" xfId="124" applyNumberFormat="1" applyFont="1" applyFill="1"/>
    <xf numFmtId="167" fontId="213" fillId="0" borderId="0" xfId="124" applyNumberFormat="1" applyFont="1" applyFill="1" applyBorder="1"/>
    <xf numFmtId="167" fontId="212" fillId="0" borderId="8" xfId="124" applyNumberFormat="1" applyFont="1" applyFill="1" applyBorder="1" applyAlignment="1">
      <alignment horizontal="right"/>
    </xf>
    <xf numFmtId="167" fontId="212" fillId="0" borderId="0" xfId="124" applyNumberFormat="1" applyFont="1" applyFill="1" applyBorder="1" applyAlignment="1">
      <alignment horizontal="right"/>
    </xf>
    <xf numFmtId="167" fontId="212" fillId="0" borderId="0" xfId="124" applyNumberFormat="1" applyFont="1" applyFill="1" applyAlignment="1">
      <alignment horizontal="right"/>
    </xf>
    <xf numFmtId="167" fontId="213" fillId="0" borderId="8" xfId="124" applyNumberFormat="1" applyFont="1" applyFill="1" applyBorder="1" applyAlignment="1">
      <alignment horizontal="right"/>
    </xf>
    <xf numFmtId="167" fontId="213" fillId="0" borderId="0" xfId="124" applyNumberFormat="1" applyFont="1" applyFill="1" applyBorder="1" applyAlignment="1">
      <alignment horizontal="right"/>
    </xf>
    <xf numFmtId="167" fontId="213" fillId="0" borderId="0" xfId="124" applyNumberFormat="1" applyFont="1" applyFill="1" applyAlignment="1">
      <alignment horizontal="right"/>
    </xf>
    <xf numFmtId="167" fontId="212" fillId="0" borderId="8" xfId="124" applyNumberFormat="1" applyFont="1" applyFill="1" applyBorder="1"/>
    <xf numFmtId="168" fontId="212" fillId="0" borderId="0" xfId="385" applyNumberFormat="1" applyFont="1" applyFill="1" applyBorder="1"/>
    <xf numFmtId="9" fontId="212" fillId="0" borderId="8" xfId="385" applyFont="1" applyFill="1" applyBorder="1"/>
    <xf numFmtId="1" fontId="210" fillId="36" borderId="28" xfId="0" applyNumberFormat="1" applyFont="1" applyFill="1" applyBorder="1" applyAlignment="1">
      <alignment horizontal="left" vertical="top" indent="3"/>
    </xf>
    <xf numFmtId="0" fontId="210" fillId="36" borderId="24" xfId="0" applyFont="1" applyFill="1" applyBorder="1" applyAlignment="1">
      <alignment horizontal="left" vertical="top" indent="3"/>
    </xf>
    <xf numFmtId="1" fontId="210" fillId="36" borderId="24" xfId="0" applyNumberFormat="1" applyFont="1" applyFill="1" applyBorder="1" applyAlignment="1">
      <alignment horizontal="left" vertical="top" indent="3"/>
    </xf>
    <xf numFmtId="0" fontId="213" fillId="0" borderId="2" xfId="0" applyFont="1" applyBorder="1"/>
    <xf numFmtId="0" fontId="213" fillId="0" borderId="4" xfId="0" applyFont="1" applyBorder="1"/>
    <xf numFmtId="0" fontId="213" fillId="0" borderId="18" xfId="0" applyFont="1" applyBorder="1"/>
    <xf numFmtId="41" fontId="213" fillId="0" borderId="4" xfId="134" applyFont="1" applyFill="1" applyBorder="1"/>
    <xf numFmtId="41" fontId="213" fillId="0" borderId="18" xfId="0" applyNumberFormat="1" applyFont="1" applyBorder="1"/>
    <xf numFmtId="170" fontId="212" fillId="0" borderId="8" xfId="124" applyNumberFormat="1" applyFont="1" applyFill="1" applyBorder="1"/>
    <xf numFmtId="170" fontId="212" fillId="0" borderId="0" xfId="124" applyNumberFormat="1" applyFont="1" applyFill="1"/>
    <xf numFmtId="178" fontId="212" fillId="0" borderId="8" xfId="134" applyNumberFormat="1" applyFont="1" applyFill="1" applyBorder="1"/>
    <xf numFmtId="43" fontId="212" fillId="18" borderId="0" xfId="124" applyFont="1" applyFill="1"/>
    <xf numFmtId="43" fontId="212" fillId="0" borderId="0" xfId="124" applyFont="1" applyFill="1"/>
    <xf numFmtId="179" fontId="212" fillId="0" borderId="0" xfId="0" applyNumberFormat="1" applyFont="1"/>
    <xf numFmtId="41" fontId="212" fillId="0" borderId="8" xfId="134" applyFont="1" applyFill="1" applyBorder="1"/>
    <xf numFmtId="41" fontId="212" fillId="0" borderId="0" xfId="134" applyFont="1" applyFill="1"/>
    <xf numFmtId="41" fontId="212" fillId="18" borderId="0" xfId="134" applyFont="1" applyFill="1" applyBorder="1"/>
    <xf numFmtId="41" fontId="212" fillId="0" borderId="0" xfId="134" applyFont="1" applyFill="1" applyBorder="1"/>
    <xf numFmtId="41" fontId="212" fillId="0" borderId="0" xfId="0" applyNumberFormat="1" applyFont="1"/>
    <xf numFmtId="168" fontId="212" fillId="0" borderId="8" xfId="385" applyNumberFormat="1" applyFont="1" applyFill="1" applyBorder="1"/>
    <xf numFmtId="41" fontId="212" fillId="0" borderId="8" xfId="0" applyNumberFormat="1" applyFont="1" applyBorder="1"/>
    <xf numFmtId="43" fontId="212" fillId="0" borderId="8" xfId="124" applyFont="1" applyFill="1" applyBorder="1"/>
    <xf numFmtId="167" fontId="212" fillId="0" borderId="0" xfId="0" applyNumberFormat="1" applyFont="1"/>
    <xf numFmtId="0" fontId="213" fillId="0" borderId="8" xfId="0" applyFont="1" applyBorder="1"/>
    <xf numFmtId="184" fontId="213" fillId="0" borderId="0" xfId="169" applyNumberFormat="1" applyFont="1" applyFill="1" applyAlignment="1">
      <alignment horizontal="right"/>
    </xf>
    <xf numFmtId="165" fontId="213" fillId="0" borderId="0" xfId="169" applyNumberFormat="1" applyFont="1" applyFill="1" applyAlignment="1">
      <alignment horizontal="right"/>
    </xf>
    <xf numFmtId="44" fontId="212" fillId="0" borderId="0" xfId="169" applyFont="1" applyFill="1" applyAlignment="1">
      <alignment horizontal="right"/>
    </xf>
    <xf numFmtId="165" fontId="212" fillId="0" borderId="0" xfId="169" applyNumberFormat="1" applyFont="1" applyFill="1" applyAlignment="1">
      <alignment horizontal="right"/>
    </xf>
    <xf numFmtId="43" fontId="213" fillId="0" borderId="0" xfId="124" applyFont="1" applyFill="1"/>
    <xf numFmtId="9" fontId="213" fillId="0" borderId="0" xfId="0" applyNumberFormat="1" applyFont="1"/>
    <xf numFmtId="168" fontId="212" fillId="0" borderId="0" xfId="385" applyNumberFormat="1" applyFont="1" applyFill="1"/>
    <xf numFmtId="9" fontId="213" fillId="0" borderId="0" xfId="385" applyFont="1" applyFill="1"/>
    <xf numFmtId="0" fontId="212" fillId="0" borderId="0" xfId="0" applyFont="1" applyAlignment="1">
      <alignment horizontal="right"/>
    </xf>
    <xf numFmtId="168" fontId="213" fillId="0" borderId="0" xfId="385" applyNumberFormat="1" applyFont="1" applyFill="1" applyBorder="1"/>
    <xf numFmtId="169" fontId="212" fillId="0" borderId="8" xfId="124" applyNumberFormat="1" applyFont="1" applyFill="1" applyBorder="1"/>
    <xf numFmtId="0" fontId="213" fillId="36" borderId="28" xfId="0" applyFont="1" applyFill="1" applyBorder="1" applyAlignment="1">
      <alignment horizontal="left" vertical="top" indent="3"/>
    </xf>
    <xf numFmtId="168" fontId="213" fillId="0" borderId="0" xfId="385" applyNumberFormat="1" applyFont="1" applyFill="1"/>
    <xf numFmtId="168" fontId="212" fillId="0" borderId="0" xfId="385" applyNumberFormat="1" applyFont="1"/>
    <xf numFmtId="167" fontId="212" fillId="0" borderId="8" xfId="0" applyNumberFormat="1" applyFont="1" applyBorder="1"/>
    <xf numFmtId="9" fontId="212" fillId="0" borderId="0" xfId="385" applyFont="1" applyFill="1"/>
    <xf numFmtId="169" fontId="212" fillId="0" borderId="0" xfId="124" applyNumberFormat="1" applyFont="1" applyFill="1"/>
    <xf numFmtId="0" fontId="214" fillId="0" borderId="0" xfId="0" applyFont="1"/>
    <xf numFmtId="168" fontId="212" fillId="0" borderId="8" xfId="385" applyNumberFormat="1" applyFont="1" applyBorder="1"/>
    <xf numFmtId="0" fontId="212" fillId="0" borderId="4" xfId="0" applyFont="1" applyBorder="1"/>
    <xf numFmtId="44" fontId="212" fillId="0" borderId="8" xfId="0" applyNumberFormat="1" applyFont="1" applyBorder="1"/>
    <xf numFmtId="165" fontId="212" fillId="0" borderId="32" xfId="169" applyNumberFormat="1" applyFont="1" applyFill="1" applyBorder="1" applyAlignment="1">
      <alignment horizontal="right"/>
    </xf>
    <xf numFmtId="165" fontId="212" fillId="0" borderId="33" xfId="169" applyNumberFormat="1" applyFont="1" applyFill="1" applyBorder="1" applyAlignment="1">
      <alignment horizontal="right"/>
    </xf>
    <xf numFmtId="41" fontId="212" fillId="28" borderId="8" xfId="134" applyFont="1" applyFill="1" applyBorder="1"/>
    <xf numFmtId="175" fontId="213" fillId="0" borderId="8" xfId="134" applyNumberFormat="1" applyFont="1" applyFill="1" applyBorder="1"/>
    <xf numFmtId="167" fontId="213" fillId="0" borderId="0" xfId="385" applyNumberFormat="1" applyFont="1" applyFill="1"/>
    <xf numFmtId="9" fontId="212" fillId="0" borderId="8" xfId="385" applyFont="1" applyBorder="1"/>
    <xf numFmtId="167" fontId="212" fillId="0" borderId="8" xfId="124" applyNumberFormat="1" applyFont="1" applyBorder="1"/>
    <xf numFmtId="167" fontId="212" fillId="0" borderId="0" xfId="124" applyNumberFormat="1" applyFont="1" applyFill="1" applyBorder="1" applyAlignment="1">
      <alignment horizontal="center" vertical="top"/>
    </xf>
    <xf numFmtId="167" fontId="212" fillId="0" borderId="8" xfId="124" applyNumberFormat="1" applyFont="1" applyFill="1" applyBorder="1" applyAlignment="1">
      <alignment horizontal="center" vertical="top"/>
    </xf>
    <xf numFmtId="167" fontId="213" fillId="0" borderId="0" xfId="124" applyNumberFormat="1" applyFont="1" applyFill="1" applyBorder="1" applyAlignment="1">
      <alignment horizontal="center" vertical="top"/>
    </xf>
    <xf numFmtId="167" fontId="213" fillId="0" borderId="8" xfId="124" applyNumberFormat="1" applyFont="1" applyFill="1" applyBorder="1" applyAlignment="1">
      <alignment horizontal="center" vertical="top"/>
    </xf>
    <xf numFmtId="167" fontId="212" fillId="0" borderId="0" xfId="124" applyNumberFormat="1" applyFont="1" applyBorder="1"/>
    <xf numFmtId="167" fontId="212" fillId="0" borderId="0" xfId="124" applyNumberFormat="1" applyFont="1" applyFill="1" applyBorder="1"/>
    <xf numFmtId="167" fontId="213" fillId="0" borderId="4" xfId="124" applyNumberFormat="1" applyFont="1" applyBorder="1"/>
    <xf numFmtId="167" fontId="213" fillId="0" borderId="18" xfId="124" applyNumberFormat="1" applyFont="1" applyBorder="1"/>
    <xf numFmtId="0" fontId="213" fillId="0" borderId="24" xfId="0" applyFont="1" applyBorder="1"/>
    <xf numFmtId="167" fontId="213" fillId="0" borderId="24" xfId="124" applyNumberFormat="1" applyFont="1" applyBorder="1"/>
    <xf numFmtId="167" fontId="213" fillId="0" borderId="28" xfId="124" applyNumberFormat="1" applyFont="1" applyBorder="1"/>
    <xf numFmtId="167" fontId="213" fillId="0" borderId="8" xfId="124" applyNumberFormat="1" applyFont="1" applyBorder="1"/>
    <xf numFmtId="9" fontId="212" fillId="0" borderId="0" xfId="385" applyFont="1"/>
    <xf numFmtId="0" fontId="212" fillId="0" borderId="2" xfId="0" applyFont="1" applyBorder="1"/>
    <xf numFmtId="168" fontId="212" fillId="0" borderId="2" xfId="385" applyNumberFormat="1" applyFont="1" applyBorder="1"/>
    <xf numFmtId="167" fontId="212" fillId="28" borderId="0" xfId="124" applyNumberFormat="1" applyFont="1" applyFill="1"/>
    <xf numFmtId="167" fontId="212" fillId="35" borderId="0" xfId="124" applyNumberFormat="1" applyFont="1" applyFill="1"/>
    <xf numFmtId="167" fontId="212" fillId="35" borderId="0" xfId="385" applyNumberFormat="1" applyFont="1" applyFill="1" applyBorder="1"/>
    <xf numFmtId="168" fontId="212" fillId="35" borderId="0" xfId="385" applyNumberFormat="1" applyFont="1" applyFill="1"/>
    <xf numFmtId="167" fontId="212" fillId="0" borderId="4" xfId="124" applyNumberFormat="1" applyFont="1" applyFill="1" applyBorder="1"/>
    <xf numFmtId="41" fontId="212" fillId="35" borderId="0" xfId="134" applyFont="1" applyFill="1"/>
    <xf numFmtId="167" fontId="212" fillId="0" borderId="18" xfId="124" applyNumberFormat="1" applyFont="1" applyFill="1" applyBorder="1"/>
    <xf numFmtId="9" fontId="212" fillId="0" borderId="18" xfId="385" applyFont="1" applyBorder="1"/>
    <xf numFmtId="9" fontId="212" fillId="0" borderId="4" xfId="385" applyFont="1" applyFill="1" applyBorder="1"/>
    <xf numFmtId="41" fontId="212" fillId="18" borderId="0" xfId="134" applyFont="1" applyFill="1"/>
    <xf numFmtId="167" fontId="212" fillId="35" borderId="0" xfId="0" applyNumberFormat="1" applyFont="1" applyFill="1"/>
    <xf numFmtId="168" fontId="212" fillId="0" borderId="27" xfId="385" applyNumberFormat="1" applyFont="1" applyBorder="1"/>
    <xf numFmtId="168" fontId="212" fillId="0" borderId="27" xfId="385" applyNumberFormat="1" applyFont="1" applyFill="1" applyBorder="1"/>
    <xf numFmtId="168" fontId="212" fillId="0" borderId="2" xfId="385" applyNumberFormat="1" applyFont="1" applyFill="1" applyBorder="1"/>
    <xf numFmtId="168" fontId="212" fillId="35" borderId="2" xfId="385" applyNumberFormat="1" applyFont="1" applyFill="1" applyBorder="1"/>
    <xf numFmtId="167" fontId="212" fillId="29" borderId="0" xfId="0" applyNumberFormat="1" applyFont="1" applyFill="1"/>
    <xf numFmtId="168" fontId="212" fillId="0" borderId="2" xfId="0" applyNumberFormat="1" applyFont="1" applyBorder="1"/>
    <xf numFmtId="1" fontId="212" fillId="0" borderId="4" xfId="0" applyNumberFormat="1" applyFont="1" applyBorder="1" applyAlignment="1">
      <alignment horizontal="left"/>
    </xf>
    <xf numFmtId="168" fontId="212" fillId="0" borderId="4" xfId="385" applyNumberFormat="1" applyFont="1" applyBorder="1"/>
    <xf numFmtId="168" fontId="212" fillId="0" borderId="18" xfId="385" applyNumberFormat="1" applyFont="1" applyBorder="1"/>
    <xf numFmtId="168" fontId="212" fillId="0" borderId="27" xfId="385" applyNumberFormat="1" applyFont="1" applyFill="1" applyBorder="1" applyAlignment="1">
      <alignment horizontal="right" vertical="top"/>
    </xf>
    <xf numFmtId="0" fontId="212" fillId="0" borderId="9" xfId="0" applyFont="1" applyBorder="1"/>
    <xf numFmtId="168" fontId="212" fillId="0" borderId="9" xfId="385" applyNumberFormat="1" applyFont="1" applyBorder="1"/>
    <xf numFmtId="168" fontId="212" fillId="0" borderId="30" xfId="385" applyNumberFormat="1" applyFont="1" applyBorder="1"/>
    <xf numFmtId="169" fontId="212" fillId="0" borderId="0" xfId="0" applyNumberFormat="1" applyFont="1"/>
    <xf numFmtId="169" fontId="212" fillId="0" borderId="8" xfId="0" applyNumberFormat="1" applyFont="1" applyBorder="1"/>
    <xf numFmtId="169" fontId="212" fillId="35" borderId="0" xfId="0" applyNumberFormat="1" applyFont="1" applyFill="1"/>
    <xf numFmtId="167" fontId="213" fillId="0" borderId="4" xfId="0" applyNumberFormat="1" applyFont="1" applyBorder="1"/>
    <xf numFmtId="167" fontId="213" fillId="0" borderId="18" xfId="0" applyNumberFormat="1" applyFont="1" applyBorder="1"/>
    <xf numFmtId="167" fontId="212" fillId="0" borderId="30" xfId="385" applyNumberFormat="1" applyFont="1" applyBorder="1"/>
    <xf numFmtId="167" fontId="212" fillId="0" borderId="0" xfId="385" applyNumberFormat="1" applyFont="1"/>
    <xf numFmtId="168" fontId="212" fillId="0" borderId="0" xfId="0" applyNumberFormat="1" applyFont="1"/>
    <xf numFmtId="0" fontId="213" fillId="0" borderId="2" xfId="0" applyFont="1" applyBorder="1" applyAlignment="1">
      <alignment horizontal="left"/>
    </xf>
    <xf numFmtId="167" fontId="213" fillId="0" borderId="2" xfId="124" applyNumberFormat="1" applyFont="1" applyFill="1" applyBorder="1"/>
    <xf numFmtId="167" fontId="213" fillId="0" borderId="27" xfId="124" applyNumberFormat="1" applyFont="1" applyFill="1" applyBorder="1"/>
    <xf numFmtId="167" fontId="212" fillId="0" borderId="9" xfId="124" applyNumberFormat="1" applyFont="1" applyFill="1" applyBorder="1"/>
    <xf numFmtId="0" fontId="215" fillId="0" borderId="0" xfId="0" applyFont="1" applyAlignment="1">
      <alignment horizontal="left"/>
    </xf>
    <xf numFmtId="167" fontId="215" fillId="0" borderId="8" xfId="124" applyNumberFormat="1" applyFont="1" applyFill="1" applyBorder="1" applyAlignment="1">
      <alignment horizontal="right"/>
    </xf>
    <xf numFmtId="167" fontId="215" fillId="35" borderId="0" xfId="124" applyNumberFormat="1" applyFont="1" applyFill="1"/>
    <xf numFmtId="167" fontId="215" fillId="0" borderId="0" xfId="124" applyNumberFormat="1" applyFont="1" applyFill="1" applyBorder="1" applyAlignment="1">
      <alignment horizontal="right"/>
    </xf>
    <xf numFmtId="167" fontId="215" fillId="0" borderId="8" xfId="124" applyNumberFormat="1" applyFont="1" applyFill="1" applyBorder="1"/>
    <xf numFmtId="0" fontId="215" fillId="0" borderId="0" xfId="0" applyFont="1"/>
    <xf numFmtId="167" fontId="212" fillId="28" borderId="31" xfId="124" applyNumberFormat="1" applyFont="1" applyFill="1" applyBorder="1"/>
    <xf numFmtId="167" fontId="212" fillId="35" borderId="0" xfId="124" applyNumberFormat="1" applyFont="1" applyFill="1" applyBorder="1" applyAlignment="1">
      <alignment horizontal="right"/>
    </xf>
    <xf numFmtId="167" fontId="212" fillId="28" borderId="20" xfId="124" applyNumberFormat="1" applyFont="1" applyFill="1" applyBorder="1"/>
    <xf numFmtId="167" fontId="212" fillId="0" borderId="0" xfId="0" applyNumberFormat="1" applyFont="1" applyAlignment="1">
      <alignment horizontal="left"/>
    </xf>
    <xf numFmtId="0" fontId="212" fillId="0" borderId="2" xfId="0" applyFont="1" applyBorder="1" applyAlignment="1">
      <alignment horizontal="left"/>
    </xf>
    <xf numFmtId="167" fontId="212" fillId="28" borderId="2" xfId="124" applyNumberFormat="1" applyFont="1" applyFill="1" applyBorder="1"/>
    <xf numFmtId="167" fontId="212" fillId="0" borderId="27" xfId="124" applyNumberFormat="1" applyFont="1" applyFill="1" applyBorder="1"/>
    <xf numFmtId="167" fontId="212" fillId="28" borderId="6" xfId="124" applyNumberFormat="1" applyFont="1" applyFill="1" applyBorder="1"/>
    <xf numFmtId="167" fontId="212" fillId="35" borderId="2" xfId="124" applyNumberFormat="1" applyFont="1" applyFill="1" applyBorder="1"/>
    <xf numFmtId="167" fontId="212" fillId="35" borderId="2" xfId="124" applyNumberFormat="1" applyFont="1" applyFill="1" applyBorder="1" applyAlignment="1">
      <alignment horizontal="right"/>
    </xf>
    <xf numFmtId="167" fontId="212" fillId="0" borderId="27" xfId="124" applyNumberFormat="1" applyFont="1" applyFill="1" applyBorder="1" applyAlignment="1">
      <alignment horizontal="right"/>
    </xf>
    <xf numFmtId="0" fontId="213" fillId="0" borderId="8" xfId="0" applyFont="1" applyBorder="1" applyAlignment="1">
      <alignment horizontal="left" wrapText="1"/>
    </xf>
    <xf numFmtId="167" fontId="212" fillId="35" borderId="0" xfId="124" applyNumberFormat="1" applyFont="1" applyFill="1" applyBorder="1"/>
    <xf numFmtId="167" fontId="213" fillId="35" borderId="2" xfId="124" applyNumberFormat="1" applyFont="1" applyFill="1" applyBorder="1"/>
    <xf numFmtId="167" fontId="212" fillId="0" borderId="2" xfId="124" applyNumberFormat="1" applyFont="1" applyFill="1" applyBorder="1"/>
    <xf numFmtId="0" fontId="216" fillId="0" borderId="0" xfId="0" applyFont="1"/>
    <xf numFmtId="167" fontId="216" fillId="0" borderId="0" xfId="124" applyNumberFormat="1" applyFont="1" applyFill="1"/>
    <xf numFmtId="167" fontId="216" fillId="0" borderId="8" xfId="124" applyNumberFormat="1" applyFont="1" applyFill="1" applyBorder="1"/>
    <xf numFmtId="167" fontId="212" fillId="0" borderId="0" xfId="124" applyNumberFormat="1" applyFont="1" applyFill="1" applyBorder="1" applyAlignment="1">
      <alignment horizontal="right" wrapText="1"/>
    </xf>
    <xf numFmtId="9" fontId="212" fillId="0" borderId="0" xfId="385" applyFont="1" applyFill="1" applyBorder="1"/>
    <xf numFmtId="175" fontId="212" fillId="0" borderId="8" xfId="134" applyNumberFormat="1" applyFont="1" applyFill="1" applyBorder="1"/>
    <xf numFmtId="175" fontId="212" fillId="0" borderId="0" xfId="124" applyNumberFormat="1" applyFont="1" applyFill="1" applyBorder="1"/>
    <xf numFmtId="43" fontId="212" fillId="0" borderId="0" xfId="124" applyFont="1" applyFill="1" applyBorder="1"/>
    <xf numFmtId="41" fontId="213" fillId="0" borderId="0" xfId="134" applyFont="1" applyFill="1"/>
    <xf numFmtId="41" fontId="213" fillId="0" borderId="8" xfId="134" applyFont="1" applyFill="1" applyBorder="1"/>
    <xf numFmtId="41" fontId="213" fillId="0" borderId="0" xfId="0" applyNumberFormat="1" applyFont="1"/>
    <xf numFmtId="41" fontId="213" fillId="0" borderId="8" xfId="0" applyNumberFormat="1" applyFont="1" applyBorder="1"/>
    <xf numFmtId="176" fontId="216" fillId="0" borderId="0" xfId="0" applyNumberFormat="1" applyFont="1"/>
    <xf numFmtId="176" fontId="216" fillId="0" borderId="8" xfId="0" applyNumberFormat="1" applyFont="1" applyBorder="1"/>
    <xf numFmtId="176" fontId="216" fillId="35" borderId="0" xfId="0" applyNumberFormat="1" applyFont="1" applyFill="1"/>
    <xf numFmtId="168" fontId="216" fillId="0" borderId="0" xfId="385" applyNumberFormat="1" applyFont="1" applyFill="1"/>
    <xf numFmtId="168" fontId="216" fillId="0" borderId="8" xfId="385" applyNumberFormat="1" applyFont="1" applyFill="1" applyBorder="1"/>
    <xf numFmtId="168" fontId="216" fillId="35" borderId="0" xfId="385" applyNumberFormat="1" applyFont="1" applyFill="1"/>
    <xf numFmtId="176" fontId="216" fillId="0" borderId="0" xfId="134" applyNumberFormat="1" applyFont="1" applyFill="1"/>
    <xf numFmtId="176" fontId="212" fillId="0" borderId="8" xfId="0" applyNumberFormat="1" applyFont="1" applyBorder="1"/>
    <xf numFmtId="167" fontId="213" fillId="0" borderId="0" xfId="0" applyNumberFormat="1" applyFont="1"/>
    <xf numFmtId="167" fontId="213" fillId="0" borderId="8" xfId="0" applyNumberFormat="1" applyFont="1" applyBorder="1"/>
    <xf numFmtId="167" fontId="213" fillId="35" borderId="0" xfId="0" applyNumberFormat="1" applyFont="1" applyFill="1"/>
    <xf numFmtId="167" fontId="217" fillId="0" borderId="8" xfId="124" applyNumberFormat="1" applyFont="1" applyFill="1" applyBorder="1" applyAlignment="1">
      <alignment horizontal="right"/>
    </xf>
    <xf numFmtId="167" fontId="218" fillId="0" borderId="0" xfId="124" applyNumberFormat="1" applyFont="1" applyFill="1" applyAlignment="1">
      <alignment horizontal="right"/>
    </xf>
    <xf numFmtId="167" fontId="218" fillId="0" borderId="8" xfId="124" applyNumberFormat="1" applyFont="1" applyFill="1" applyBorder="1" applyAlignment="1">
      <alignment horizontal="right"/>
    </xf>
    <xf numFmtId="168" fontId="213" fillId="0" borderId="4" xfId="385" applyNumberFormat="1" applyFont="1" applyFill="1" applyBorder="1"/>
    <xf numFmtId="168" fontId="213" fillId="0" borderId="18" xfId="385" applyNumberFormat="1" applyFont="1" applyFill="1" applyBorder="1"/>
    <xf numFmtId="167" fontId="212" fillId="0" borderId="2" xfId="0" applyNumberFormat="1" applyFont="1" applyBorder="1"/>
    <xf numFmtId="167" fontId="217" fillId="30" borderId="0" xfId="124" applyNumberFormat="1" applyFont="1" applyFill="1" applyAlignment="1">
      <alignment horizontal="right"/>
    </xf>
    <xf numFmtId="167" fontId="217" fillId="35" borderId="0" xfId="124" applyNumberFormat="1" applyFont="1" applyFill="1" applyAlignment="1">
      <alignment horizontal="right"/>
    </xf>
    <xf numFmtId="0" fontId="216" fillId="0" borderId="0" xfId="0" applyFont="1" applyAlignment="1">
      <alignment horizontal="left"/>
    </xf>
    <xf numFmtId="168" fontId="216" fillId="0" borderId="0" xfId="385" applyNumberFormat="1" applyFont="1" applyFill="1" applyAlignment="1">
      <alignment horizontal="right"/>
    </xf>
    <xf numFmtId="168" fontId="216" fillId="0" borderId="8" xfId="385" applyNumberFormat="1" applyFont="1" applyFill="1" applyBorder="1" applyAlignment="1">
      <alignment horizontal="right"/>
    </xf>
    <xf numFmtId="168" fontId="216" fillId="35" borderId="0" xfId="385" applyNumberFormat="1" applyFont="1" applyFill="1" applyAlignment="1">
      <alignment horizontal="right"/>
    </xf>
    <xf numFmtId="167" fontId="212" fillId="0" borderId="0" xfId="0" applyNumberFormat="1" applyFont="1" applyAlignment="1">
      <alignment horizontal="right"/>
    </xf>
    <xf numFmtId="9" fontId="219" fillId="0" borderId="0" xfId="385" applyFont="1" applyFill="1" applyAlignment="1">
      <alignment horizontal="left"/>
    </xf>
    <xf numFmtId="168" fontId="219" fillId="0" borderId="0" xfId="385" applyNumberFormat="1" applyFont="1" applyFill="1" applyAlignment="1">
      <alignment horizontal="right"/>
    </xf>
    <xf numFmtId="168" fontId="219" fillId="0" borderId="8" xfId="385" applyNumberFormat="1" applyFont="1" applyFill="1" applyBorder="1" applyAlignment="1">
      <alignment horizontal="right"/>
    </xf>
    <xf numFmtId="9" fontId="219" fillId="0" borderId="0" xfId="385" applyFont="1" applyFill="1"/>
    <xf numFmtId="168" fontId="219" fillId="35" borderId="0" xfId="385" applyNumberFormat="1" applyFont="1" applyFill="1" applyAlignment="1">
      <alignment horizontal="right"/>
    </xf>
    <xf numFmtId="9" fontId="219" fillId="0" borderId="0" xfId="385" applyFont="1" applyFill="1" applyBorder="1"/>
    <xf numFmtId="167" fontId="217" fillId="0" borderId="0" xfId="124" applyNumberFormat="1" applyFont="1" applyFill="1" applyAlignment="1">
      <alignment horizontal="right"/>
    </xf>
    <xf numFmtId="167" fontId="212" fillId="35" borderId="0" xfId="124" applyNumberFormat="1" applyFont="1" applyFill="1" applyAlignment="1">
      <alignment horizontal="right"/>
    </xf>
    <xf numFmtId="167" fontId="218" fillId="28" borderId="0" xfId="124" applyNumberFormat="1" applyFont="1" applyFill="1" applyAlignment="1">
      <alignment horizontal="right"/>
    </xf>
    <xf numFmtId="167" fontId="218" fillId="35" borderId="0" xfId="124" applyNumberFormat="1" applyFont="1" applyFill="1" applyAlignment="1">
      <alignment horizontal="right"/>
    </xf>
    <xf numFmtId="0" fontId="219" fillId="0" borderId="0" xfId="0" applyFont="1" applyAlignment="1">
      <alignment horizontal="left"/>
    </xf>
    <xf numFmtId="167" fontId="213" fillId="0" borderId="2" xfId="0" applyNumberFormat="1" applyFont="1" applyBorder="1"/>
    <xf numFmtId="167" fontId="213" fillId="0" borderId="27" xfId="0" applyNumberFormat="1" applyFont="1" applyBorder="1"/>
    <xf numFmtId="43" fontId="212" fillId="0" borderId="0" xfId="0" applyNumberFormat="1" applyFont="1"/>
    <xf numFmtId="170" fontId="212" fillId="0" borderId="0" xfId="0" applyNumberFormat="1" applyFont="1"/>
    <xf numFmtId="172" fontId="218" fillId="0" borderId="0" xfId="124" applyNumberFormat="1" applyFont="1" applyFill="1" applyAlignment="1">
      <alignment horizontal="right"/>
    </xf>
    <xf numFmtId="172" fontId="218" fillId="0" borderId="8" xfId="124" applyNumberFormat="1" applyFont="1" applyFill="1" applyBorder="1" applyAlignment="1">
      <alignment horizontal="right"/>
    </xf>
    <xf numFmtId="43" fontId="213" fillId="0" borderId="0" xfId="124" applyFont="1" applyFill="1" applyAlignment="1">
      <alignment horizontal="left"/>
    </xf>
    <xf numFmtId="168" fontId="213" fillId="0" borderId="8" xfId="385" applyNumberFormat="1" applyFont="1" applyFill="1" applyBorder="1"/>
    <xf numFmtId="168" fontId="212" fillId="0" borderId="0" xfId="385" applyNumberFormat="1" applyFont="1" applyFill="1" applyAlignment="1">
      <alignment horizontal="right"/>
    </xf>
    <xf numFmtId="168" fontId="212" fillId="0" borderId="8" xfId="385" applyNumberFormat="1" applyFont="1" applyFill="1" applyBorder="1" applyAlignment="1">
      <alignment horizontal="right"/>
    </xf>
    <xf numFmtId="43" fontId="212" fillId="0" borderId="2" xfId="124" applyFont="1" applyFill="1" applyBorder="1"/>
    <xf numFmtId="9" fontId="212" fillId="35" borderId="0" xfId="385" applyFont="1" applyFill="1"/>
    <xf numFmtId="177" fontId="212" fillId="35" borderId="0" xfId="0" applyNumberFormat="1" applyFont="1" applyFill="1"/>
    <xf numFmtId="43" fontId="212" fillId="35" borderId="0" xfId="0" applyNumberFormat="1" applyFont="1" applyFill="1"/>
    <xf numFmtId="168" fontId="212" fillId="35" borderId="20" xfId="385" applyNumberFormat="1" applyFont="1" applyFill="1" applyBorder="1" applyAlignment="1">
      <alignment horizontal="right"/>
    </xf>
    <xf numFmtId="168" fontId="212" fillId="0" borderId="20" xfId="385" applyNumberFormat="1" applyFont="1" applyFill="1" applyBorder="1" applyAlignment="1">
      <alignment horizontal="right"/>
    </xf>
    <xf numFmtId="39" fontId="212" fillId="35" borderId="0" xfId="0" applyNumberFormat="1" applyFont="1" applyFill="1" applyAlignment="1">
      <alignment horizontal="right"/>
    </xf>
    <xf numFmtId="168" fontId="212" fillId="0" borderId="20" xfId="385" applyNumberFormat="1" applyFont="1" applyBorder="1" applyAlignment="1">
      <alignment horizontal="right"/>
    </xf>
    <xf numFmtId="168" fontId="213" fillId="0" borderId="20" xfId="385" applyNumberFormat="1" applyFont="1" applyBorder="1" applyAlignment="1">
      <alignment horizontal="right"/>
    </xf>
    <xf numFmtId="174" fontId="212" fillId="0" borderId="0" xfId="0" applyNumberFormat="1" applyFont="1" applyAlignment="1">
      <alignment horizontal="right"/>
    </xf>
    <xf numFmtId="0" fontId="211" fillId="36" borderId="0" xfId="349" applyFont="1" applyFill="1"/>
    <xf numFmtId="0" fontId="210" fillId="36" borderId="24" xfId="349" applyFont="1" applyFill="1" applyBorder="1" applyAlignment="1">
      <alignment horizontal="left" vertical="top"/>
    </xf>
    <xf numFmtId="43" fontId="210" fillId="36" borderId="24" xfId="0" applyNumberFormat="1" applyFont="1" applyFill="1" applyBorder="1" applyAlignment="1">
      <alignment horizontal="center"/>
    </xf>
    <xf numFmtId="43" fontId="210" fillId="36" borderId="28" xfId="0" applyNumberFormat="1" applyFont="1" applyFill="1" applyBorder="1" applyAlignment="1">
      <alignment horizontal="center"/>
    </xf>
    <xf numFmtId="0" fontId="212" fillId="0" borderId="0" xfId="349" applyFont="1"/>
    <xf numFmtId="0" fontId="212" fillId="0" borderId="0" xfId="581" applyFont="1" applyAlignment="1">
      <alignment horizontal="left"/>
    </xf>
    <xf numFmtId="37" fontId="212" fillId="35" borderId="0" xfId="124" applyNumberFormat="1" applyFont="1" applyFill="1" applyAlignment="1">
      <alignment horizontal="center"/>
    </xf>
    <xf numFmtId="37" fontId="212" fillId="0" borderId="8" xfId="124" applyNumberFormat="1" applyFont="1" applyBorder="1" applyAlignment="1">
      <alignment horizontal="center"/>
    </xf>
    <xf numFmtId="0" fontId="212" fillId="0" borderId="0" xfId="581" quotePrefix="1" applyFont="1" applyAlignment="1">
      <alignment horizontal="left"/>
    </xf>
    <xf numFmtId="37" fontId="212" fillId="35" borderId="0" xfId="581" applyNumberFormat="1" applyFont="1" applyFill="1" applyAlignment="1">
      <alignment horizontal="center"/>
    </xf>
    <xf numFmtId="0" fontId="212" fillId="0" borderId="2" xfId="349" applyFont="1" applyBorder="1"/>
    <xf numFmtId="0" fontId="212" fillId="0" borderId="2" xfId="581" applyFont="1" applyBorder="1" applyAlignment="1">
      <alignment horizontal="left"/>
    </xf>
    <xf numFmtId="37" fontId="212" fillId="35" borderId="2" xfId="581" applyNumberFormat="1" applyFont="1" applyFill="1" applyBorder="1" applyAlignment="1">
      <alignment horizontal="center"/>
    </xf>
    <xf numFmtId="37" fontId="212" fillId="0" borderId="27" xfId="124" applyNumberFormat="1" applyFont="1" applyBorder="1" applyAlignment="1">
      <alignment horizontal="center"/>
    </xf>
    <xf numFmtId="167" fontId="212" fillId="37" borderId="0" xfId="0" applyNumberFormat="1" applyFont="1" applyFill="1"/>
    <xf numFmtId="167" fontId="212" fillId="35" borderId="2" xfId="385" applyNumberFormat="1" applyFont="1" applyFill="1" applyBorder="1"/>
    <xf numFmtId="167" fontId="212" fillId="0" borderId="27" xfId="124" applyNumberFormat="1" applyFont="1" applyFill="1" applyBorder="1" applyAlignment="1">
      <alignment horizontal="center" vertical="top"/>
    </xf>
    <xf numFmtId="43" fontId="213" fillId="0" borderId="2" xfId="124" applyFont="1" applyFill="1" applyBorder="1"/>
    <xf numFmtId="167" fontId="213" fillId="35" borderId="0" xfId="124" applyNumberFormat="1" applyFont="1" applyFill="1"/>
    <xf numFmtId="0" fontId="220" fillId="0" borderId="0" xfId="577" applyFont="1" applyFill="1" applyBorder="1" applyAlignment="1" applyProtection="1">
      <alignment horizontal="left"/>
      <protection locked="0"/>
    </xf>
    <xf numFmtId="168" fontId="204" fillId="0" borderId="0" xfId="385" quotePrefix="1" applyNumberFormat="1" applyFont="1" applyFill="1" applyBorder="1" applyAlignment="1" applyProtection="1">
      <alignment horizontal="right"/>
      <protection locked="0"/>
    </xf>
    <xf numFmtId="167" fontId="212" fillId="30" borderId="0" xfId="124" applyNumberFormat="1" applyFont="1" applyFill="1" applyBorder="1"/>
    <xf numFmtId="167" fontId="215" fillId="30" borderId="0" xfId="124" applyNumberFormat="1" applyFont="1" applyFill="1"/>
    <xf numFmtId="167" fontId="218" fillId="30" borderId="0" xfId="124" applyNumberFormat="1" applyFont="1" applyFill="1" applyAlignment="1">
      <alignment horizontal="right"/>
    </xf>
    <xf numFmtId="167" fontId="212" fillId="30" borderId="0" xfId="0" applyNumberFormat="1" applyFont="1" applyFill="1"/>
    <xf numFmtId="168" fontId="216" fillId="30" borderId="0" xfId="385" applyNumberFormat="1" applyFont="1" applyFill="1"/>
    <xf numFmtId="0" fontId="212" fillId="30" borderId="0" xfId="0" applyFont="1" applyFill="1"/>
    <xf numFmtId="43" fontId="210" fillId="36" borderId="24" xfId="124" applyFont="1" applyFill="1" applyBorder="1" applyAlignment="1">
      <alignment horizontal="right" vertical="top"/>
    </xf>
    <xf numFmtId="43" fontId="210" fillId="36" borderId="28" xfId="124" applyFont="1" applyFill="1" applyBorder="1" applyAlignment="1">
      <alignment horizontal="right" vertical="top"/>
    </xf>
    <xf numFmtId="43" fontId="212" fillId="0" borderId="8" xfId="124" applyFont="1" applyBorder="1"/>
    <xf numFmtId="178" fontId="213" fillId="0" borderId="0" xfId="0" applyNumberFormat="1" applyFont="1"/>
    <xf numFmtId="178" fontId="213" fillId="0" borderId="8" xfId="0" applyNumberFormat="1" applyFont="1" applyBorder="1"/>
    <xf numFmtId="178" fontId="213" fillId="0" borderId="8" xfId="134" applyNumberFormat="1" applyFont="1" applyFill="1" applyBorder="1"/>
    <xf numFmtId="0" fontId="208" fillId="0" borderId="0" xfId="582" applyFont="1"/>
    <xf numFmtId="43" fontId="208" fillId="35" borderId="0" xfId="124" applyFont="1" applyFill="1" applyAlignment="1">
      <alignment horizontal="right"/>
    </xf>
    <xf numFmtId="43" fontId="208" fillId="0" borderId="0" xfId="124" applyFont="1" applyAlignment="1">
      <alignment horizontal="right"/>
    </xf>
    <xf numFmtId="167" fontId="208" fillId="0" borderId="0" xfId="124" applyNumberFormat="1" applyFont="1"/>
    <xf numFmtId="0" fontId="221" fillId="0" borderId="0" xfId="582" applyFont="1"/>
    <xf numFmtId="175" fontId="222" fillId="35" borderId="0" xfId="124" applyNumberFormat="1" applyFont="1" applyFill="1" applyBorder="1" applyAlignment="1">
      <alignment horizontal="right" vertical="center"/>
    </xf>
    <xf numFmtId="37" fontId="208" fillId="35" borderId="0" xfId="582" applyNumberFormat="1" applyFont="1" applyFill="1"/>
    <xf numFmtId="43" fontId="208" fillId="0" borderId="0" xfId="124" applyFont="1"/>
    <xf numFmtId="43" fontId="221" fillId="0" borderId="0" xfId="124" applyFont="1"/>
    <xf numFmtId="43" fontId="223" fillId="38" borderId="0" xfId="124" applyFont="1" applyFill="1" applyBorder="1" applyAlignment="1">
      <alignment horizontal="right" vertical="center"/>
    </xf>
    <xf numFmtId="167" fontId="223" fillId="38" borderId="0" xfId="124" applyNumberFormat="1" applyFont="1" applyFill="1" applyBorder="1" applyAlignment="1">
      <alignment horizontal="right" vertical="center"/>
    </xf>
    <xf numFmtId="175" fontId="223" fillId="38" borderId="0" xfId="124" applyNumberFormat="1" applyFont="1" applyFill="1" applyBorder="1" applyAlignment="1">
      <alignment horizontal="right" vertical="center"/>
    </xf>
    <xf numFmtId="0" fontId="222" fillId="38" borderId="0" xfId="582" applyFont="1" applyFill="1" applyAlignment="1">
      <alignment horizontal="left" vertical="center"/>
    </xf>
    <xf numFmtId="9" fontId="212" fillId="0" borderId="4" xfId="385" applyFont="1" applyBorder="1"/>
    <xf numFmtId="167" fontId="212" fillId="30" borderId="0" xfId="124" applyNumberFormat="1" applyFont="1" applyFill="1"/>
    <xf numFmtId="167" fontId="212" fillId="28" borderId="0" xfId="0" applyNumberFormat="1" applyFont="1" applyFill="1"/>
    <xf numFmtId="41" fontId="212" fillId="30" borderId="0" xfId="134" applyFont="1" applyFill="1"/>
    <xf numFmtId="168" fontId="215" fillId="0" borderId="0" xfId="385" applyNumberFormat="1" applyFont="1" applyFill="1" applyBorder="1" applyAlignment="1">
      <alignment horizontal="right"/>
    </xf>
    <xf numFmtId="169" fontId="208" fillId="0" borderId="0" xfId="582" applyNumberFormat="1" applyFont="1"/>
    <xf numFmtId="167" fontId="212" fillId="0" borderId="0" xfId="124" applyNumberFormat="1" applyFont="1"/>
    <xf numFmtId="9" fontId="208" fillId="0" borderId="0" xfId="385" applyFont="1"/>
    <xf numFmtId="43" fontId="208" fillId="0" borderId="0" xfId="582" applyNumberFormat="1" applyFont="1"/>
    <xf numFmtId="167" fontId="212" fillId="30" borderId="0" xfId="124" applyNumberFormat="1" applyFont="1" applyFill="1" applyAlignment="1">
      <alignment horizontal="right"/>
    </xf>
    <xf numFmtId="167" fontId="212" fillId="0" borderId="0" xfId="385" applyNumberFormat="1" applyFont="1" applyFill="1"/>
    <xf numFmtId="168" fontId="212" fillId="30" borderId="2" xfId="385" applyNumberFormat="1" applyFont="1" applyFill="1" applyBorder="1"/>
    <xf numFmtId="167" fontId="212" fillId="30" borderId="0" xfId="124" applyNumberFormat="1" applyFont="1" applyFill="1" applyBorder="1" applyAlignment="1">
      <alignment horizontal="right"/>
    </xf>
    <xf numFmtId="167" fontId="213" fillId="30" borderId="0" xfId="0" applyNumberFormat="1" applyFont="1" applyFill="1"/>
    <xf numFmtId="41" fontId="215" fillId="18" borderId="0" xfId="134" applyFont="1" applyFill="1"/>
    <xf numFmtId="41" fontId="215" fillId="35" borderId="0" xfId="134" applyFont="1" applyFill="1"/>
    <xf numFmtId="167" fontId="215" fillId="35" borderId="0" xfId="0" applyNumberFormat="1" applyFont="1" applyFill="1"/>
    <xf numFmtId="41" fontId="215" fillId="30" borderId="0" xfId="134" applyFont="1" applyFill="1"/>
    <xf numFmtId="41" fontId="215" fillId="0" borderId="0" xfId="134" applyFont="1" applyFill="1"/>
    <xf numFmtId="0" fontId="212" fillId="30" borderId="2" xfId="0" applyFont="1" applyFill="1" applyBorder="1"/>
    <xf numFmtId="10" fontId="212" fillId="0" borderId="0" xfId="385" applyNumberFormat="1" applyFont="1" applyFill="1"/>
    <xf numFmtId="167" fontId="212" fillId="0" borderId="0" xfId="385" applyNumberFormat="1" applyFont="1" applyFill="1" applyBorder="1"/>
    <xf numFmtId="168" fontId="218" fillId="0" borderId="0" xfId="385" applyNumberFormat="1" applyFont="1" applyFill="1" applyAlignment="1">
      <alignment horizontal="right"/>
    </xf>
    <xf numFmtId="0" fontId="208" fillId="0" borderId="0" xfId="582" applyFont="1" applyAlignment="1">
      <alignment horizontal="right"/>
    </xf>
    <xf numFmtId="9" fontId="212" fillId="0" borderId="0" xfId="385" applyFont="1" applyFill="1" applyBorder="1" applyAlignment="1">
      <alignment horizontal="right"/>
    </xf>
    <xf numFmtId="169" fontId="223" fillId="38" borderId="0" xfId="124" applyNumberFormat="1" applyFont="1" applyFill="1" applyBorder="1" applyAlignment="1">
      <alignment horizontal="right" vertical="center"/>
    </xf>
    <xf numFmtId="9" fontId="212" fillId="0" borderId="0" xfId="0" applyNumberFormat="1" applyFont="1"/>
    <xf numFmtId="3" fontId="212" fillId="0" borderId="0" xfId="0" applyNumberFormat="1" applyFont="1"/>
    <xf numFmtId="168" fontId="212" fillId="30" borderId="0" xfId="385" applyNumberFormat="1" applyFont="1" applyFill="1"/>
    <xf numFmtId="167" fontId="213" fillId="30" borderId="2" xfId="124" applyNumberFormat="1" applyFont="1" applyFill="1" applyBorder="1"/>
    <xf numFmtId="0" fontId="210" fillId="36" borderId="9" xfId="0" applyFont="1" applyFill="1" applyBorder="1" applyAlignment="1">
      <alignment horizontal="left" vertical="top"/>
    </xf>
    <xf numFmtId="0" fontId="210" fillId="36" borderId="9" xfId="0" applyFont="1" applyFill="1" applyBorder="1" applyAlignment="1">
      <alignment horizontal="left" vertical="top" indent="3"/>
    </xf>
    <xf numFmtId="1" fontId="210" fillId="36" borderId="30" xfId="0" applyNumberFormat="1" applyFont="1" applyFill="1" applyBorder="1" applyAlignment="1">
      <alignment horizontal="left" vertical="top" indent="3"/>
    </xf>
    <xf numFmtId="1" fontId="210" fillId="36" borderId="9" xfId="0" applyNumberFormat="1" applyFont="1" applyFill="1" applyBorder="1" applyAlignment="1">
      <alignment horizontal="left" vertical="top" indent="3"/>
    </xf>
    <xf numFmtId="43" fontId="210" fillId="36" borderId="9" xfId="124" applyFont="1" applyFill="1" applyBorder="1" applyAlignment="1">
      <alignment horizontal="right" vertical="top"/>
    </xf>
    <xf numFmtId="43" fontId="210" fillId="36" borderId="30" xfId="124" applyFont="1" applyFill="1" applyBorder="1" applyAlignment="1">
      <alignment horizontal="right" vertical="top"/>
    </xf>
    <xf numFmtId="0" fontId="212" fillId="0" borderId="31" xfId="0" applyFont="1" applyBorder="1"/>
    <xf numFmtId="0" fontId="212" fillId="0" borderId="30" xfId="0" applyFont="1" applyBorder="1"/>
    <xf numFmtId="168" fontId="212" fillId="0" borderId="9" xfId="0" applyNumberFormat="1" applyFont="1" applyBorder="1"/>
    <xf numFmtId="167" fontId="212" fillId="0" borderId="9" xfId="124" applyNumberFormat="1" applyFont="1" applyBorder="1"/>
    <xf numFmtId="167" fontId="212" fillId="0" borderId="30" xfId="0" applyNumberFormat="1" applyFont="1" applyBorder="1"/>
    <xf numFmtId="0" fontId="212" fillId="0" borderId="20" xfId="0" applyFont="1" applyBorder="1"/>
    <xf numFmtId="0" fontId="212" fillId="0" borderId="6" xfId="0" applyFont="1" applyBorder="1"/>
    <xf numFmtId="0" fontId="212" fillId="0" borderId="27" xfId="0" applyFont="1" applyBorder="1"/>
    <xf numFmtId="9" fontId="212" fillId="0" borderId="2" xfId="385" applyFont="1" applyBorder="1"/>
    <xf numFmtId="9" fontId="212" fillId="0" borderId="27" xfId="385" applyFont="1" applyBorder="1"/>
    <xf numFmtId="167" fontId="212" fillId="35" borderId="0" xfId="134" applyNumberFormat="1" applyFont="1" applyFill="1"/>
    <xf numFmtId="167" fontId="215" fillId="0" borderId="0" xfId="124" applyNumberFormat="1" applyFont="1" applyFill="1"/>
    <xf numFmtId="167" fontId="213" fillId="30" borderId="0" xfId="124" applyNumberFormat="1" applyFont="1" applyFill="1"/>
    <xf numFmtId="43" fontId="212" fillId="0" borderId="8" xfId="0" applyNumberFormat="1" applyFont="1" applyBorder="1"/>
    <xf numFmtId="167" fontId="215" fillId="35" borderId="0" xfId="134" applyNumberFormat="1" applyFont="1" applyFill="1"/>
    <xf numFmtId="168" fontId="215" fillId="0" borderId="0" xfId="385" applyNumberFormat="1" applyFont="1" applyFill="1"/>
    <xf numFmtId="41" fontId="213" fillId="30" borderId="2" xfId="134" applyFont="1" applyFill="1" applyBorder="1"/>
    <xf numFmtId="175" fontId="208" fillId="30" borderId="0" xfId="582" applyNumberFormat="1" applyFont="1" applyFill="1"/>
    <xf numFmtId="168" fontId="208" fillId="0" borderId="0" xfId="582" applyNumberFormat="1" applyFont="1" applyAlignment="1">
      <alignment horizontal="right"/>
    </xf>
    <xf numFmtId="168" fontId="208" fillId="0" borderId="0" xfId="385" applyNumberFormat="1" applyFont="1"/>
    <xf numFmtId="9" fontId="208" fillId="30" borderId="0" xfId="582" applyNumberFormat="1" applyFont="1" applyFill="1"/>
    <xf numFmtId="9" fontId="208" fillId="0" borderId="0" xfId="582" applyNumberFormat="1" applyFont="1"/>
    <xf numFmtId="8" fontId="208" fillId="0" borderId="0" xfId="582" applyNumberFormat="1" applyFont="1"/>
    <xf numFmtId="43" fontId="208" fillId="30" borderId="0" xfId="124" applyFont="1" applyFill="1"/>
    <xf numFmtId="41" fontId="212" fillId="35" borderId="0" xfId="0" applyNumberFormat="1" applyFont="1" applyFill="1" applyAlignment="1">
      <alignment horizontal="right"/>
    </xf>
    <xf numFmtId="167" fontId="212" fillId="0" borderId="30" xfId="124" applyNumberFormat="1" applyFont="1" applyFill="1" applyBorder="1" applyAlignment="1">
      <alignment horizontal="center" vertical="top"/>
    </xf>
    <xf numFmtId="167" fontId="212" fillId="0" borderId="9" xfId="385" applyNumberFormat="1" applyFont="1" applyFill="1" applyBorder="1"/>
    <xf numFmtId="41" fontId="212" fillId="0" borderId="30" xfId="134" applyFont="1" applyFill="1" applyBorder="1"/>
    <xf numFmtId="168" fontId="212" fillId="35" borderId="0" xfId="385" applyNumberFormat="1" applyFont="1" applyFill="1" applyBorder="1"/>
    <xf numFmtId="168" fontId="212" fillId="30" borderId="0" xfId="385" applyNumberFormat="1" applyFont="1" applyFill="1" applyBorder="1"/>
    <xf numFmtId="168" fontId="212" fillId="0" borderId="0" xfId="385" applyNumberFormat="1" applyFont="1" applyBorder="1"/>
    <xf numFmtId="41" fontId="212" fillId="0" borderId="27" xfId="134" applyFont="1" applyFill="1" applyBorder="1"/>
    <xf numFmtId="167" fontId="212" fillId="30" borderId="2" xfId="0" applyNumberFormat="1" applyFont="1" applyFill="1" applyBorder="1"/>
    <xf numFmtId="167" fontId="212" fillId="0" borderId="4" xfId="0" applyNumberFormat="1" applyFont="1" applyBorder="1"/>
    <xf numFmtId="9" fontId="212" fillId="35" borderId="0" xfId="385" applyFont="1" applyFill="1" applyBorder="1"/>
    <xf numFmtId="9" fontId="212" fillId="0" borderId="0" xfId="385" applyFont="1" applyFill="1" applyAlignment="1">
      <alignment horizontal="left"/>
    </xf>
    <xf numFmtId="43" fontId="217" fillId="0" borderId="8" xfId="124" applyFont="1" applyFill="1" applyBorder="1" applyAlignment="1">
      <alignment horizontal="right"/>
    </xf>
    <xf numFmtId="43" fontId="217" fillId="35" borderId="0" xfId="124" applyFont="1" applyFill="1" applyAlignment="1">
      <alignment horizontal="right"/>
    </xf>
    <xf numFmtId="0" fontId="212" fillId="30" borderId="0" xfId="0" applyFont="1" applyFill="1" applyAlignment="1">
      <alignment horizontal="left"/>
    </xf>
    <xf numFmtId="41" fontId="212" fillId="30" borderId="0" xfId="0" applyNumberFormat="1" applyFont="1" applyFill="1" applyAlignment="1">
      <alignment horizontal="right"/>
    </xf>
    <xf numFmtId="43" fontId="212" fillId="0" borderId="0" xfId="124" applyFont="1"/>
    <xf numFmtId="43" fontId="212" fillId="0" borderId="4" xfId="124" applyFont="1" applyBorder="1"/>
    <xf numFmtId="9" fontId="218" fillId="0" borderId="8" xfId="385" applyFont="1" applyFill="1" applyBorder="1" applyAlignment="1">
      <alignment horizontal="right"/>
    </xf>
    <xf numFmtId="169" fontId="218" fillId="0" borderId="8" xfId="124" applyNumberFormat="1" applyFont="1" applyFill="1" applyBorder="1" applyAlignment="1">
      <alignment horizontal="right"/>
    </xf>
    <xf numFmtId="169" fontId="218" fillId="0" borderId="0" xfId="124" applyNumberFormat="1" applyFont="1" applyFill="1" applyAlignment="1">
      <alignment horizontal="right"/>
    </xf>
    <xf numFmtId="9" fontId="212" fillId="0" borderId="0" xfId="124" applyNumberFormat="1" applyFont="1"/>
    <xf numFmtId="9" fontId="212" fillId="0" borderId="4" xfId="0" applyNumberFormat="1" applyFont="1" applyBorder="1"/>
    <xf numFmtId="168" fontId="212" fillId="0" borderId="4" xfId="0" applyNumberFormat="1" applyFont="1" applyBorder="1"/>
    <xf numFmtId="43" fontId="212" fillId="0" borderId="4" xfId="0" applyNumberFormat="1" applyFont="1" applyBorder="1"/>
    <xf numFmtId="9" fontId="218" fillId="0" borderId="0" xfId="124" applyNumberFormat="1" applyFont="1" applyFill="1" applyAlignment="1">
      <alignment horizontal="right"/>
    </xf>
    <xf numFmtId="0" fontId="17" fillId="1" borderId="29" xfId="583" applyFill="1" applyBorder="1" applyProtection="1">
      <protection locked="0"/>
    </xf>
    <xf numFmtId="0" fontId="208" fillId="1" borderId="41" xfId="583" applyFont="1" applyFill="1" applyBorder="1" applyProtection="1">
      <protection locked="0"/>
    </xf>
    <xf numFmtId="0" fontId="17" fillId="1" borderId="5" xfId="583" applyFill="1" applyBorder="1" applyProtection="1">
      <protection locked="0"/>
    </xf>
    <xf numFmtId="182" fontId="204" fillId="0" borderId="0" xfId="584" quotePrefix="1" applyNumberFormat="1" applyFont="1" applyAlignment="1" applyProtection="1">
      <alignment horizontal="right"/>
      <protection locked="0"/>
    </xf>
    <xf numFmtId="39" fontId="204" fillId="0" borderId="0" xfId="584" quotePrefix="1" applyNumberFormat="1" applyFont="1" applyAlignment="1" applyProtection="1">
      <alignment horizontal="right"/>
      <protection locked="0"/>
    </xf>
    <xf numFmtId="0" fontId="202" fillId="33" borderId="36" xfId="584" applyFont="1" applyFill="1" applyBorder="1" applyAlignment="1" applyProtection="1">
      <alignment horizontal="right"/>
    </xf>
    <xf numFmtId="182" fontId="202" fillId="34" borderId="42" xfId="584" applyNumberFormat="1" applyFont="1" applyFill="1" applyBorder="1" applyAlignment="1" applyProtection="1">
      <alignment horizontal="right"/>
    </xf>
    <xf numFmtId="182" fontId="202" fillId="34" borderId="0" xfId="584" applyNumberFormat="1" applyFont="1" applyFill="1" applyAlignment="1" applyProtection="1">
      <alignment horizontal="right"/>
    </xf>
    <xf numFmtId="0" fontId="202" fillId="34" borderId="38" xfId="584" applyFont="1" applyFill="1" applyBorder="1" applyAlignment="1" applyProtection="1">
      <alignment horizontal="right"/>
    </xf>
    <xf numFmtId="0" fontId="202" fillId="34" borderId="43" xfId="584" applyFont="1" applyFill="1" applyBorder="1" applyAlignment="1" applyProtection="1">
      <alignment horizontal="right"/>
    </xf>
    <xf numFmtId="182" fontId="202" fillId="34" borderId="44" xfId="584" applyNumberFormat="1" applyFont="1" applyFill="1" applyBorder="1" applyAlignment="1" applyProtection="1">
      <alignment horizontal="right"/>
    </xf>
    <xf numFmtId="0" fontId="202" fillId="34" borderId="39" xfId="584" applyFont="1" applyFill="1" applyBorder="1" applyAlignment="1" applyProtection="1">
      <alignment horizontal="right"/>
    </xf>
    <xf numFmtId="182" fontId="204" fillId="34" borderId="42" xfId="584" quotePrefix="1" applyNumberFormat="1" applyFont="1" applyFill="1" applyBorder="1" applyAlignment="1" applyProtection="1">
      <alignment horizontal="right"/>
    </xf>
    <xf numFmtId="182" fontId="204" fillId="34" borderId="0" xfId="584" quotePrefix="1" applyNumberFormat="1" applyFont="1" applyFill="1" applyAlignment="1" applyProtection="1">
      <alignment horizontal="right"/>
    </xf>
    <xf numFmtId="0" fontId="202" fillId="34" borderId="0" xfId="584" applyFont="1" applyFill="1" applyAlignment="1" applyProtection="1">
      <alignment horizontal="right"/>
    </xf>
    <xf numFmtId="320" fontId="202" fillId="1" borderId="0" xfId="584" applyNumberFormat="1" applyFont="1" applyFill="1" applyAlignment="1" applyProtection="1">
      <alignment horizontal="right"/>
    </xf>
    <xf numFmtId="0" fontId="202" fillId="1" borderId="38" xfId="584" applyFont="1" applyFill="1" applyBorder="1" applyAlignment="1" applyProtection="1">
      <alignment horizontal="right"/>
    </xf>
    <xf numFmtId="319" fontId="202" fillId="1" borderId="0" xfId="584" applyNumberFormat="1" applyFont="1" applyFill="1" applyAlignment="1" applyProtection="1">
      <alignment horizontal="right"/>
    </xf>
    <xf numFmtId="182" fontId="202" fillId="1" borderId="42" xfId="584" applyNumberFormat="1" applyFont="1" applyFill="1" applyBorder="1" applyAlignment="1" applyProtection="1">
      <alignment horizontal="right"/>
    </xf>
    <xf numFmtId="182" fontId="202" fillId="1" borderId="0" xfId="584" applyNumberFormat="1" applyFont="1" applyFill="1" applyAlignment="1" applyProtection="1">
      <alignment horizontal="right"/>
    </xf>
    <xf numFmtId="0" fontId="202" fillId="1" borderId="0" xfId="584" applyFont="1" applyFill="1" applyAlignment="1" applyProtection="1">
      <alignment horizontal="right"/>
    </xf>
    <xf numFmtId="182" fontId="204" fillId="0" borderId="0" xfId="584" applyNumberFormat="1" applyFont="1" applyAlignment="1" applyProtection="1">
      <alignment horizontal="right"/>
      <protection locked="0"/>
    </xf>
    <xf numFmtId="182" fontId="202" fillId="1" borderId="0" xfId="584" quotePrefix="1" applyNumberFormat="1" applyFont="1" applyFill="1" applyAlignment="1" applyProtection="1">
      <alignment horizontal="right"/>
    </xf>
    <xf numFmtId="0" fontId="202" fillId="33" borderId="39" xfId="584" applyFont="1" applyFill="1" applyBorder="1" applyAlignment="1" applyProtection="1">
      <alignment horizontal="right"/>
    </xf>
    <xf numFmtId="182" fontId="202" fillId="1" borderId="44" xfId="584" applyNumberFormat="1" applyFont="1" applyFill="1" applyBorder="1" applyAlignment="1" applyProtection="1">
      <alignment horizontal="right"/>
    </xf>
    <xf numFmtId="0" fontId="202" fillId="34" borderId="42" xfId="584" applyFont="1" applyFill="1" applyBorder="1" applyAlignment="1" applyProtection="1">
      <alignment horizontal="right"/>
    </xf>
    <xf numFmtId="182" fontId="202" fillId="1" borderId="45" xfId="584" applyNumberFormat="1" applyFont="1" applyFill="1" applyBorder="1" applyAlignment="1" applyProtection="1">
      <alignment horizontal="right"/>
    </xf>
    <xf numFmtId="319" fontId="202" fillId="1" borderId="42" xfId="584" applyNumberFormat="1" applyFont="1" applyFill="1" applyBorder="1" applyAlignment="1" applyProtection="1">
      <alignment horizontal="right"/>
    </xf>
    <xf numFmtId="319" fontId="202" fillId="1" borderId="45" xfId="584" applyNumberFormat="1" applyFont="1" applyFill="1" applyBorder="1" applyAlignment="1" applyProtection="1">
      <alignment horizontal="right"/>
    </xf>
    <xf numFmtId="182" fontId="204" fillId="0" borderId="42" xfId="584" applyNumberFormat="1" applyFont="1" applyBorder="1" applyAlignment="1" applyProtection="1">
      <alignment horizontal="right"/>
      <protection locked="0"/>
    </xf>
    <xf numFmtId="37" fontId="204" fillId="0" borderId="0" xfId="584" quotePrefix="1" applyNumberFormat="1" applyFont="1" applyAlignment="1" applyProtection="1">
      <alignment horizontal="right"/>
      <protection locked="0"/>
    </xf>
    <xf numFmtId="39" fontId="202" fillId="1" borderId="0" xfId="584" applyNumberFormat="1" applyFont="1" applyFill="1" applyAlignment="1" applyProtection="1">
      <alignment horizontal="right"/>
    </xf>
    <xf numFmtId="322" fontId="204" fillId="0" borderId="0" xfId="584" applyNumberFormat="1" applyFont="1" applyAlignment="1" applyProtection="1">
      <alignment horizontal="right"/>
      <protection locked="0"/>
    </xf>
    <xf numFmtId="321" fontId="204" fillId="0" borderId="0" xfId="584" quotePrefix="1" applyNumberFormat="1" applyFont="1" applyAlignment="1" applyProtection="1">
      <alignment horizontal="right"/>
      <protection locked="0"/>
    </xf>
    <xf numFmtId="0" fontId="51" fillId="12" borderId="36" xfId="585" applyFont="1" applyFill="1" applyBorder="1" applyAlignment="1" applyProtection="1">
      <alignment horizontal="center" vertical="center"/>
      <protection locked="0"/>
    </xf>
    <xf numFmtId="0" fontId="1" fillId="1" borderId="5" xfId="583" applyFont="1" applyFill="1" applyBorder="1" applyProtection="1">
      <protection locked="0"/>
    </xf>
    <xf numFmtId="0" fontId="107" fillId="32" borderId="35" xfId="584" applyFont="1" applyFill="1" applyBorder="1" applyAlignment="1" applyProtection="1">
      <alignment horizontal="center" vertical="center" wrapText="1"/>
      <protection locked="0"/>
    </xf>
    <xf numFmtId="0" fontId="154" fillId="7" borderId="35" xfId="584" applyFont="1" applyFill="1" applyBorder="1" applyAlignment="1" applyProtection="1">
      <alignment horizontal="center" vertical="center" wrapText="1"/>
      <protection locked="0"/>
    </xf>
    <xf numFmtId="0" fontId="107" fillId="32" borderId="34" xfId="584" applyFont="1" applyFill="1" applyBorder="1" applyAlignment="1" applyProtection="1">
      <alignment horizontal="center" vertical="center" wrapText="1"/>
      <protection locked="0"/>
    </xf>
    <xf numFmtId="0" fontId="154" fillId="7" borderId="34" xfId="584" applyFont="1" applyFill="1" applyBorder="1" applyAlignment="1" applyProtection="1">
      <alignment horizontal="center" vertical="center" wrapText="1"/>
      <protection locked="0"/>
    </xf>
    <xf numFmtId="0" fontId="201" fillId="31" borderId="34" xfId="585" applyFont="1" applyFill="1" applyBorder="1" applyProtection="1">
      <alignment horizontal="center" vertical="center" wrapText="1"/>
      <protection locked="0"/>
    </xf>
    <xf numFmtId="167" fontId="213" fillId="30" borderId="0" xfId="124" applyNumberFormat="1" applyFont="1" applyFill="1" applyAlignment="1">
      <alignment horizontal="right"/>
    </xf>
    <xf numFmtId="4" fontId="212" fillId="0" borderId="0" xfId="385" applyNumberFormat="1" applyFont="1"/>
    <xf numFmtId="43" fontId="226" fillId="36" borderId="28" xfId="124" applyFont="1" applyFill="1" applyBorder="1" applyAlignment="1">
      <alignment horizontal="right" vertical="center"/>
    </xf>
    <xf numFmtId="43" fontId="226" fillId="36" borderId="24" xfId="124" applyFont="1" applyFill="1" applyBorder="1" applyAlignment="1">
      <alignment horizontal="right" vertical="center"/>
    </xf>
    <xf numFmtId="167" fontId="227" fillId="0" borderId="8" xfId="124" applyNumberFormat="1" applyFont="1" applyFill="1" applyBorder="1" applyAlignment="1">
      <alignment horizontal="right" vertical="center"/>
    </xf>
    <xf numFmtId="167" fontId="227" fillId="35" borderId="0" xfId="124" applyNumberFormat="1" applyFont="1" applyFill="1" applyAlignment="1">
      <alignment horizontal="right" vertical="center"/>
    </xf>
    <xf numFmtId="167" fontId="227" fillId="35" borderId="0" xfId="385" applyNumberFormat="1" applyFont="1" applyFill="1" applyBorder="1" applyAlignment="1">
      <alignment horizontal="right" vertical="center"/>
    </xf>
    <xf numFmtId="41" fontId="227" fillId="0" borderId="8" xfId="134" applyFont="1" applyFill="1" applyBorder="1" applyAlignment="1">
      <alignment horizontal="right" vertical="center"/>
    </xf>
    <xf numFmtId="167" fontId="227" fillId="0" borderId="0" xfId="385" applyNumberFormat="1" applyFont="1" applyFill="1" applyBorder="1" applyAlignment="1">
      <alignment horizontal="right" vertical="center"/>
    </xf>
    <xf numFmtId="168" fontId="227" fillId="0" borderId="8" xfId="385" applyNumberFormat="1" applyFont="1" applyFill="1" applyBorder="1" applyAlignment="1">
      <alignment horizontal="right" vertical="center"/>
    </xf>
    <xf numFmtId="168" fontId="227" fillId="0" borderId="0" xfId="385" applyNumberFormat="1" applyFont="1" applyFill="1" applyAlignment="1">
      <alignment horizontal="right" vertical="center"/>
    </xf>
    <xf numFmtId="168" fontId="227" fillId="35" borderId="0" xfId="385" applyNumberFormat="1" applyFont="1" applyFill="1" applyAlignment="1">
      <alignment horizontal="right" vertical="center"/>
    </xf>
    <xf numFmtId="167" fontId="227" fillId="0" borderId="0" xfId="124" applyNumberFormat="1" applyFont="1" applyFill="1" applyAlignment="1">
      <alignment horizontal="right" vertical="center"/>
    </xf>
    <xf numFmtId="167" fontId="227" fillId="0" borderId="27" xfId="124" applyNumberFormat="1" applyFont="1" applyFill="1" applyBorder="1" applyAlignment="1">
      <alignment horizontal="right" vertical="center"/>
    </xf>
    <xf numFmtId="167" fontId="227" fillId="0" borderId="2" xfId="124" applyNumberFormat="1" applyFont="1" applyFill="1" applyBorder="1" applyAlignment="1">
      <alignment horizontal="right" vertical="center"/>
    </xf>
    <xf numFmtId="167" fontId="227" fillId="35" borderId="2" xfId="385" applyNumberFormat="1" applyFont="1" applyFill="1" applyBorder="1" applyAlignment="1">
      <alignment horizontal="right" vertical="center"/>
    </xf>
    <xf numFmtId="41" fontId="227" fillId="0" borderId="0" xfId="134" applyFont="1" applyFill="1" applyAlignment="1">
      <alignment horizontal="right" vertical="center"/>
    </xf>
    <xf numFmtId="41" fontId="227" fillId="35" borderId="0" xfId="134" applyFont="1" applyFill="1" applyAlignment="1">
      <alignment horizontal="right" vertical="center"/>
    </xf>
    <xf numFmtId="41" fontId="227" fillId="0" borderId="30" xfId="134" applyFont="1" applyFill="1" applyBorder="1" applyAlignment="1">
      <alignment horizontal="right" vertical="center"/>
    </xf>
    <xf numFmtId="167" fontId="227" fillId="0" borderId="9" xfId="124" applyNumberFormat="1" applyFont="1" applyFill="1" applyBorder="1" applyAlignment="1">
      <alignment horizontal="right" vertical="center"/>
    </xf>
    <xf numFmtId="168" fontId="227" fillId="0" borderId="0" xfId="385" applyNumberFormat="1" applyFont="1" applyFill="1" applyBorder="1" applyAlignment="1">
      <alignment horizontal="right" vertical="center"/>
    </xf>
    <xf numFmtId="168" fontId="227" fillId="35" borderId="0" xfId="385" applyNumberFormat="1" applyFont="1" applyFill="1" applyBorder="1" applyAlignment="1">
      <alignment horizontal="right" vertical="center"/>
    </xf>
    <xf numFmtId="41" fontId="227" fillId="0" borderId="27" xfId="134" applyFont="1" applyFill="1" applyBorder="1" applyAlignment="1">
      <alignment horizontal="right" vertical="center"/>
    </xf>
    <xf numFmtId="167" fontId="227" fillId="0" borderId="2" xfId="0" applyNumberFormat="1" applyFont="1" applyBorder="1" applyAlignment="1">
      <alignment horizontal="right" vertical="center"/>
    </xf>
    <xf numFmtId="0" fontId="228" fillId="0" borderId="0" xfId="0" applyFont="1" applyAlignment="1">
      <alignment horizontal="right" vertical="center"/>
    </xf>
    <xf numFmtId="167" fontId="229" fillId="0" borderId="8" xfId="124" applyNumberFormat="1" applyFont="1" applyFill="1" applyBorder="1" applyAlignment="1">
      <alignment horizontal="right" vertical="center"/>
    </xf>
    <xf numFmtId="41" fontId="229" fillId="35" borderId="0" xfId="134" applyFont="1" applyFill="1" applyAlignment="1">
      <alignment horizontal="right" vertical="center"/>
    </xf>
    <xf numFmtId="41" fontId="229" fillId="0" borderId="0" xfId="134" applyFont="1" applyFill="1" applyAlignment="1">
      <alignment horizontal="right" vertical="center"/>
    </xf>
    <xf numFmtId="167" fontId="229" fillId="35" borderId="0" xfId="134" applyNumberFormat="1" applyFont="1" applyFill="1" applyAlignment="1">
      <alignment horizontal="right" vertical="center"/>
    </xf>
    <xf numFmtId="168" fontId="227" fillId="0" borderId="27" xfId="385" applyNumberFormat="1" applyFont="1" applyBorder="1" applyAlignment="1">
      <alignment horizontal="right" vertical="center"/>
    </xf>
    <xf numFmtId="168" fontId="227" fillId="0" borderId="2" xfId="385" applyNumberFormat="1" applyFont="1" applyFill="1" applyBorder="1" applyAlignment="1">
      <alignment horizontal="right" vertical="center"/>
    </xf>
    <xf numFmtId="167" fontId="231" fillId="0" borderId="8" xfId="124" applyNumberFormat="1" applyFont="1" applyFill="1" applyBorder="1" applyAlignment="1">
      <alignment horizontal="right" vertical="center"/>
    </xf>
    <xf numFmtId="167" fontId="231" fillId="0" borderId="0" xfId="124" applyNumberFormat="1" applyFont="1" applyFill="1" applyAlignment="1">
      <alignment horizontal="right" vertical="center"/>
    </xf>
    <xf numFmtId="167" fontId="232" fillId="0" borderId="8" xfId="124" applyNumberFormat="1" applyFont="1" applyFill="1" applyBorder="1" applyAlignment="1">
      <alignment horizontal="right" vertical="center"/>
    </xf>
    <xf numFmtId="167" fontId="232" fillId="35" borderId="0" xfId="124" applyNumberFormat="1" applyFont="1" applyFill="1" applyAlignment="1">
      <alignment horizontal="right" vertical="center"/>
    </xf>
    <xf numFmtId="167" fontId="227" fillId="0" borderId="0" xfId="0" applyNumberFormat="1" applyFont="1" applyAlignment="1">
      <alignment horizontal="right" vertical="center"/>
    </xf>
    <xf numFmtId="168" fontId="233" fillId="0" borderId="8" xfId="385" applyNumberFormat="1" applyFont="1" applyFill="1" applyBorder="1" applyAlignment="1">
      <alignment horizontal="right" vertical="center"/>
    </xf>
    <xf numFmtId="168" fontId="233" fillId="0" borderId="0" xfId="385" applyNumberFormat="1" applyFont="1" applyFill="1" applyAlignment="1">
      <alignment horizontal="right" vertical="center"/>
    </xf>
    <xf numFmtId="168" fontId="233" fillId="35" borderId="0" xfId="385" applyNumberFormat="1" applyFont="1" applyFill="1" applyAlignment="1">
      <alignment horizontal="right" vertical="center"/>
    </xf>
    <xf numFmtId="41" fontId="227" fillId="0" borderId="0" xfId="0" applyNumberFormat="1" applyFont="1" applyAlignment="1">
      <alignment horizontal="right" vertical="center"/>
    </xf>
    <xf numFmtId="168" fontId="234" fillId="0" borderId="8" xfId="385" applyNumberFormat="1" applyFont="1" applyFill="1" applyBorder="1" applyAlignment="1">
      <alignment horizontal="right" vertical="center"/>
    </xf>
    <xf numFmtId="168" fontId="234" fillId="0" borderId="0" xfId="385" applyNumberFormat="1" applyFont="1" applyFill="1" applyAlignment="1">
      <alignment horizontal="right" vertical="center"/>
    </xf>
    <xf numFmtId="168" fontId="234" fillId="35" borderId="0" xfId="385" applyNumberFormat="1" applyFont="1" applyFill="1" applyAlignment="1">
      <alignment horizontal="right" vertical="center"/>
    </xf>
    <xf numFmtId="41" fontId="227" fillId="35" borderId="0" xfId="0" applyNumberFormat="1" applyFont="1" applyFill="1" applyAlignment="1">
      <alignment horizontal="right" vertical="center"/>
    </xf>
    <xf numFmtId="167" fontId="232" fillId="0" borderId="0" xfId="124" applyNumberFormat="1" applyFont="1" applyFill="1" applyAlignment="1">
      <alignment horizontal="right" vertical="center"/>
    </xf>
    <xf numFmtId="167" fontId="232" fillId="30" borderId="0" xfId="124" applyNumberFormat="1" applyFont="1" applyFill="1" applyAlignment="1">
      <alignment horizontal="right" vertical="center"/>
    </xf>
    <xf numFmtId="167" fontId="231" fillId="35" borderId="0" xfId="124" applyNumberFormat="1" applyFont="1" applyFill="1" applyAlignment="1">
      <alignment horizontal="right" vertical="center"/>
    </xf>
    <xf numFmtId="167" fontId="230" fillId="0" borderId="0" xfId="0" applyNumberFormat="1" applyFont="1" applyAlignment="1">
      <alignment horizontal="right" vertical="center"/>
    </xf>
    <xf numFmtId="167" fontId="230" fillId="0" borderId="27" xfId="0" applyNumberFormat="1" applyFont="1" applyBorder="1" applyAlignment="1">
      <alignment horizontal="right" vertical="center"/>
    </xf>
    <xf numFmtId="167" fontId="230" fillId="0" borderId="2" xfId="0" applyNumberFormat="1" applyFont="1" applyBorder="1" applyAlignment="1">
      <alignment horizontal="right" vertical="center"/>
    </xf>
    <xf numFmtId="9" fontId="231" fillId="0" borderId="8" xfId="385" applyFont="1" applyFill="1" applyBorder="1" applyAlignment="1">
      <alignment horizontal="right" vertical="center"/>
    </xf>
    <xf numFmtId="9" fontId="231" fillId="0" borderId="0" xfId="385" applyFont="1" applyFill="1" applyAlignment="1">
      <alignment horizontal="right" vertical="center"/>
    </xf>
    <xf numFmtId="9" fontId="232" fillId="0" borderId="8" xfId="385" applyFont="1" applyFill="1" applyBorder="1" applyAlignment="1">
      <alignment horizontal="right" vertical="center"/>
    </xf>
    <xf numFmtId="9" fontId="232" fillId="35" borderId="0" xfId="385" applyFont="1" applyFill="1" applyAlignment="1">
      <alignment horizontal="right" vertical="center"/>
    </xf>
    <xf numFmtId="9" fontId="227" fillId="0" borderId="0" xfId="385" applyFont="1" applyFill="1" applyAlignment="1">
      <alignment horizontal="right" vertical="center"/>
    </xf>
    <xf numFmtId="43" fontId="231" fillId="0" borderId="27" xfId="124" applyFont="1" applyFill="1" applyBorder="1" applyAlignment="1">
      <alignment horizontal="right" vertical="center"/>
    </xf>
    <xf numFmtId="43" fontId="231" fillId="0" borderId="2" xfId="124" applyFont="1" applyFill="1" applyBorder="1" applyAlignment="1">
      <alignment horizontal="right" vertical="center"/>
    </xf>
    <xf numFmtId="4" fontId="212" fillId="0" borderId="0" xfId="0" applyNumberFormat="1" applyFont="1"/>
    <xf numFmtId="9" fontId="235" fillId="0" borderId="4" xfId="0" applyNumberFormat="1" applyFont="1" applyBorder="1"/>
    <xf numFmtId="173" fontId="212" fillId="0" borderId="4" xfId="0" applyNumberFormat="1" applyFont="1" applyBorder="1"/>
    <xf numFmtId="43" fontId="208" fillId="0" borderId="0" xfId="124" applyFont="1" applyFill="1"/>
    <xf numFmtId="168" fontId="213" fillId="0" borderId="46" xfId="385" applyNumberFormat="1" applyFont="1" applyFill="1" applyBorder="1"/>
    <xf numFmtId="0" fontId="226" fillId="36" borderId="24" xfId="0" applyFont="1" applyFill="1" applyBorder="1" applyAlignment="1">
      <alignment horizontal="left" vertical="center"/>
    </xf>
    <xf numFmtId="0" fontId="227" fillId="0" borderId="0" xfId="0" applyFont="1" applyAlignment="1">
      <alignment vertical="center"/>
    </xf>
    <xf numFmtId="0" fontId="227" fillId="0" borderId="2" xfId="0" applyFont="1" applyBorder="1" applyAlignment="1">
      <alignment vertical="center"/>
    </xf>
    <xf numFmtId="0" fontId="227" fillId="0" borderId="9" xfId="0" applyFont="1" applyBorder="1" applyAlignment="1">
      <alignment vertical="center"/>
    </xf>
    <xf numFmtId="0" fontId="228" fillId="0" borderId="0" xfId="0" applyFont="1" applyAlignment="1">
      <alignment vertical="center"/>
    </xf>
    <xf numFmtId="0" fontId="227" fillId="0" borderId="0" xfId="0" applyFont="1" applyAlignment="1">
      <alignment horizontal="left" vertical="center"/>
    </xf>
    <xf numFmtId="0" fontId="229" fillId="0" borderId="0" xfId="0" applyFont="1" applyAlignment="1">
      <alignment horizontal="left" vertical="center"/>
    </xf>
    <xf numFmtId="0" fontId="230" fillId="0" borderId="0" xfId="0" applyFont="1" applyAlignment="1">
      <alignment horizontal="left" vertical="center"/>
    </xf>
    <xf numFmtId="0" fontId="233" fillId="0" borderId="0" xfId="0" applyFont="1" applyAlignment="1">
      <alignment horizontal="left" vertical="center"/>
    </xf>
    <xf numFmtId="0" fontId="234" fillId="0" borderId="0" xfId="385" applyNumberFormat="1" applyFont="1" applyFill="1" applyAlignment="1">
      <alignment horizontal="left" vertical="center"/>
    </xf>
    <xf numFmtId="0" fontId="234" fillId="30" borderId="0" xfId="385" applyNumberFormat="1" applyFont="1" applyFill="1" applyAlignment="1">
      <alignment horizontal="left" vertical="center"/>
    </xf>
    <xf numFmtId="0" fontId="234" fillId="0" borderId="0" xfId="0" applyFont="1" applyAlignment="1">
      <alignment horizontal="left" vertical="center"/>
    </xf>
    <xf numFmtId="0" fontId="230" fillId="0" borderId="2" xfId="0" applyFont="1" applyBorder="1" applyAlignment="1">
      <alignment horizontal="left" vertical="center"/>
    </xf>
    <xf numFmtId="0" fontId="230" fillId="0" borderId="0" xfId="385" applyNumberFormat="1" applyFont="1" applyFill="1" applyAlignment="1">
      <alignment horizontal="left" vertical="center"/>
    </xf>
    <xf numFmtId="0" fontId="227" fillId="0" borderId="0" xfId="385" applyNumberFormat="1" applyFont="1" applyFill="1" applyAlignment="1">
      <alignment horizontal="left" vertical="center"/>
    </xf>
    <xf numFmtId="0" fontId="230" fillId="0" borderId="2" xfId="385" applyNumberFormat="1" applyFont="1" applyFill="1" applyBorder="1" applyAlignment="1">
      <alignment horizontal="left" vertical="center"/>
    </xf>
    <xf numFmtId="3" fontId="212" fillId="0" borderId="4" xfId="0" applyNumberFormat="1" applyFont="1" applyBorder="1"/>
    <xf numFmtId="0" fontId="212" fillId="0" borderId="0" xfId="0" applyFont="1" applyAlignment="1">
      <alignment horizontal="left" indent="1"/>
    </xf>
    <xf numFmtId="4" fontId="212" fillId="35" borderId="0" xfId="0" applyNumberFormat="1" applyFont="1" applyFill="1"/>
    <xf numFmtId="0" fontId="212" fillId="0" borderId="41" xfId="0" applyFont="1" applyBorder="1" applyAlignment="1">
      <alignment horizontal="left" indent="1"/>
    </xf>
    <xf numFmtId="0" fontId="212" fillId="0" borderId="41" xfId="0" applyFont="1" applyBorder="1"/>
    <xf numFmtId="3" fontId="212" fillId="0" borderId="41" xfId="0" applyNumberFormat="1" applyFont="1" applyBorder="1"/>
    <xf numFmtId="167" fontId="212" fillId="0" borderId="41" xfId="0" applyNumberFormat="1" applyFont="1" applyBorder="1"/>
    <xf numFmtId="167" fontId="212" fillId="0" borderId="27" xfId="0" applyNumberFormat="1" applyFont="1" applyBorder="1"/>
    <xf numFmtId="4" fontId="212" fillId="0" borderId="8" xfId="0" applyNumberFormat="1" applyFont="1" applyBorder="1"/>
    <xf numFmtId="0" fontId="213" fillId="0" borderId="0" xfId="0" applyFont="1" applyAlignment="1">
      <alignment horizontal="left" indent="1"/>
    </xf>
    <xf numFmtId="187" fontId="213" fillId="0" borderId="0" xfId="0" applyNumberFormat="1" applyFont="1"/>
    <xf numFmtId="324" fontId="213" fillId="0" borderId="8" xfId="0" applyNumberFormat="1" applyFont="1" applyBorder="1"/>
    <xf numFmtId="10" fontId="212" fillId="0" borderId="0" xfId="0" applyNumberFormat="1" applyFont="1"/>
    <xf numFmtId="325" fontId="212" fillId="0" borderId="0" xfId="0" applyNumberFormat="1" applyFont="1"/>
    <xf numFmtId="9" fontId="212" fillId="0" borderId="0" xfId="124" applyNumberFormat="1" applyFont="1" applyFill="1" applyBorder="1"/>
    <xf numFmtId="173" fontId="218" fillId="0" borderId="8" xfId="124" applyNumberFormat="1" applyFont="1" applyFill="1" applyBorder="1" applyAlignment="1">
      <alignment horizontal="right"/>
    </xf>
    <xf numFmtId="170" fontId="212" fillId="0" borderId="0" xfId="124" applyNumberFormat="1" applyFont="1" applyFill="1" applyBorder="1"/>
    <xf numFmtId="3" fontId="213" fillId="0" borderId="0" xfId="0" applyNumberFormat="1" applyFont="1"/>
    <xf numFmtId="167" fontId="212" fillId="30" borderId="8" xfId="0" applyNumberFormat="1" applyFont="1" applyFill="1" applyBorder="1"/>
    <xf numFmtId="187" fontId="213" fillId="0" borderId="8" xfId="0" applyNumberFormat="1" applyFont="1" applyBorder="1"/>
    <xf numFmtId="0" fontId="213" fillId="0" borderId="41" xfId="0" applyFont="1" applyBorder="1" applyAlignment="1">
      <alignment horizontal="left"/>
    </xf>
    <xf numFmtId="172" fontId="218" fillId="0" borderId="41" xfId="124" applyNumberFormat="1" applyFont="1" applyFill="1" applyBorder="1" applyAlignment="1">
      <alignment horizontal="right"/>
    </xf>
    <xf numFmtId="172" fontId="218" fillId="0" borderId="27" xfId="124" applyNumberFormat="1" applyFont="1" applyFill="1" applyBorder="1" applyAlignment="1">
      <alignment horizontal="right"/>
    </xf>
    <xf numFmtId="172" fontId="218" fillId="0" borderId="0" xfId="124" applyNumberFormat="1" applyFont="1" applyFill="1" applyBorder="1" applyAlignment="1">
      <alignment horizontal="right"/>
    </xf>
    <xf numFmtId="168" fontId="213" fillId="0" borderId="0" xfId="0" applyNumberFormat="1" applyFont="1" applyAlignment="1">
      <alignment horizontal="left"/>
    </xf>
    <xf numFmtId="168" fontId="218" fillId="0" borderId="0" xfId="124" applyNumberFormat="1" applyFont="1" applyFill="1" applyAlignment="1">
      <alignment horizontal="right"/>
    </xf>
    <xf numFmtId="168" fontId="218" fillId="0" borderId="8" xfId="124" applyNumberFormat="1" applyFont="1" applyFill="1" applyBorder="1" applyAlignment="1">
      <alignment horizontal="right"/>
    </xf>
    <xf numFmtId="168" fontId="213" fillId="0" borderId="41" xfId="0" applyNumberFormat="1" applyFont="1" applyBorder="1" applyAlignment="1">
      <alignment horizontal="left"/>
    </xf>
    <xf numFmtId="168" fontId="218" fillId="0" borderId="41" xfId="124" applyNumberFormat="1" applyFont="1" applyFill="1" applyBorder="1" applyAlignment="1">
      <alignment horizontal="right"/>
    </xf>
    <xf numFmtId="168" fontId="218" fillId="0" borderId="27" xfId="124" applyNumberFormat="1" applyFont="1" applyFill="1" applyBorder="1" applyAlignment="1">
      <alignment horizontal="right"/>
    </xf>
    <xf numFmtId="175" fontId="218" fillId="0" borderId="27" xfId="124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5" fontId="218" fillId="30" borderId="8" xfId="124" applyNumberFormat="1" applyFont="1" applyFill="1" applyBorder="1" applyAlignment="1">
      <alignment horizontal="right"/>
    </xf>
    <xf numFmtId="4" fontId="212" fillId="0" borderId="0" xfId="124" applyNumberFormat="1" applyFont="1" applyFill="1" applyBorder="1"/>
    <xf numFmtId="4" fontId="218" fillId="0" borderId="0" xfId="124" applyNumberFormat="1" applyFont="1" applyFill="1" applyAlignment="1">
      <alignment horizontal="right"/>
    </xf>
    <xf numFmtId="10" fontId="212" fillId="30" borderId="0" xfId="0" applyNumberFormat="1" applyFont="1" applyFill="1"/>
    <xf numFmtId="4" fontId="212" fillId="0" borderId="0" xfId="385" applyNumberFormat="1" applyFont="1" applyFill="1"/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1" fillId="39" borderId="0" xfId="0" applyFont="1" applyFill="1" applyAlignment="1">
      <alignment vertical="center"/>
    </xf>
    <xf numFmtId="3" fontId="0" fillId="39" borderId="0" xfId="0" applyNumberFormat="1" applyFill="1" applyAlignment="1">
      <alignment horizontal="center" vertical="center"/>
    </xf>
    <xf numFmtId="0" fontId="78" fillId="39" borderId="0" xfId="0" applyFont="1" applyFill="1" applyAlignment="1">
      <alignment vertical="center"/>
    </xf>
    <xf numFmtId="3" fontId="0" fillId="39" borderId="0" xfId="0" applyNumberFormat="1" applyFill="1" applyAlignment="1">
      <alignment vertical="center"/>
    </xf>
    <xf numFmtId="3" fontId="78" fillId="39" borderId="0" xfId="0" applyNumberFormat="1" applyFont="1" applyFill="1" applyAlignment="1">
      <alignment vertical="center"/>
    </xf>
    <xf numFmtId="0" fontId="78" fillId="39" borderId="41" xfId="0" applyFont="1" applyFill="1" applyBorder="1" applyAlignment="1">
      <alignment vertical="center"/>
    </xf>
    <xf numFmtId="3" fontId="78" fillId="39" borderId="41" xfId="0" applyNumberFormat="1" applyFont="1" applyFill="1" applyBorder="1" applyAlignment="1">
      <alignment vertical="center"/>
    </xf>
    <xf numFmtId="0" fontId="236" fillId="39" borderId="0" xfId="0" applyFont="1" applyFill="1" applyAlignment="1">
      <alignment vertical="center"/>
    </xf>
    <xf numFmtId="3" fontId="236" fillId="39" borderId="0" xfId="0" applyNumberFormat="1" applyFont="1" applyFill="1" applyAlignment="1">
      <alignment horizontal="center" vertical="center"/>
    </xf>
    <xf numFmtId="3" fontId="236" fillId="39" borderId="0" xfId="0" applyNumberFormat="1" applyFont="1" applyFill="1" applyAlignment="1">
      <alignment vertical="center"/>
    </xf>
    <xf numFmtId="37" fontId="0" fillId="39" borderId="0" xfId="0" applyNumberFormat="1" applyFill="1" applyAlignment="1">
      <alignment horizontal="right" vertical="center"/>
    </xf>
    <xf numFmtId="37" fontId="236" fillId="39" borderId="0" xfId="0" applyNumberFormat="1" applyFont="1" applyFill="1" applyAlignment="1">
      <alignment horizontal="right" vertical="center"/>
    </xf>
    <xf numFmtId="37" fontId="78" fillId="39" borderId="0" xfId="0" applyNumberFormat="1" applyFont="1" applyFill="1" applyAlignment="1">
      <alignment horizontal="right" vertical="center"/>
    </xf>
    <xf numFmtId="37" fontId="78" fillId="39" borderId="41" xfId="0" applyNumberFormat="1" applyFont="1" applyFill="1" applyBorder="1" applyAlignment="1">
      <alignment horizontal="right" vertical="center"/>
    </xf>
    <xf numFmtId="3" fontId="237" fillId="36" borderId="45" xfId="0" applyNumberFormat="1" applyFont="1" applyFill="1" applyBorder="1" applyAlignment="1">
      <alignment vertical="center"/>
    </xf>
    <xf numFmtId="3" fontId="238" fillId="36" borderId="45" xfId="0" applyNumberFormat="1" applyFont="1" applyFill="1" applyBorder="1" applyAlignment="1">
      <alignment horizontal="right" vertical="center"/>
    </xf>
    <xf numFmtId="0" fontId="238" fillId="36" borderId="45" xfId="0" applyFont="1" applyFill="1" applyBorder="1" applyAlignment="1">
      <alignment vertical="center"/>
    </xf>
    <xf numFmtId="3" fontId="1" fillId="39" borderId="0" xfId="0" applyNumberFormat="1" applyFont="1" applyFill="1" applyAlignment="1">
      <alignment vertical="center"/>
    </xf>
    <xf numFmtId="9" fontId="239" fillId="39" borderId="0" xfId="0" applyNumberFormat="1" applyFont="1" applyFill="1" applyAlignment="1">
      <alignment horizontal="right" vertical="center"/>
    </xf>
    <xf numFmtId="3" fontId="78" fillId="39" borderId="47" xfId="0" applyNumberFormat="1" applyFont="1" applyFill="1" applyBorder="1" applyAlignment="1">
      <alignment horizontal="left" vertical="center"/>
    </xf>
    <xf numFmtId="37" fontId="0" fillId="39" borderId="42" xfId="0" applyNumberFormat="1" applyFill="1" applyBorder="1" applyAlignment="1">
      <alignment horizontal="right" vertical="center"/>
    </xf>
    <xf numFmtId="3" fontId="78" fillId="39" borderId="20" xfId="0" applyNumberFormat="1" applyFont="1" applyFill="1" applyBorder="1" applyAlignment="1">
      <alignment horizontal="left" vertical="center"/>
    </xf>
    <xf numFmtId="37" fontId="78" fillId="39" borderId="5" xfId="0" applyNumberFormat="1" applyFont="1" applyFill="1" applyBorder="1" applyAlignment="1">
      <alignment horizontal="right" vertical="center"/>
    </xf>
    <xf numFmtId="3" fontId="78" fillId="39" borderId="6" xfId="0" applyNumberFormat="1" applyFont="1" applyFill="1" applyBorder="1" applyAlignment="1">
      <alignment vertical="center"/>
    </xf>
    <xf numFmtId="37" fontId="0" fillId="39" borderId="41" xfId="0" applyNumberFormat="1" applyFill="1" applyBorder="1" applyAlignment="1">
      <alignment horizontal="right" vertical="center"/>
    </xf>
    <xf numFmtId="37" fontId="240" fillId="39" borderId="48" xfId="0" applyNumberFormat="1" applyFont="1" applyFill="1" applyBorder="1" applyAlignment="1">
      <alignment horizontal="right" vertical="center"/>
    </xf>
    <xf numFmtId="9" fontId="240" fillId="39" borderId="29" xfId="0" applyNumberFormat="1" applyFont="1" applyFill="1" applyBorder="1" applyAlignment="1">
      <alignment horizontal="right" vertical="center"/>
    </xf>
    <xf numFmtId="37" fontId="1" fillId="39" borderId="0" xfId="0" applyNumberFormat="1" applyFont="1" applyFill="1" applyAlignment="1">
      <alignment horizontal="right" vertical="center"/>
    </xf>
    <xf numFmtId="37" fontId="239" fillId="39" borderId="0" xfId="0" applyNumberFormat="1" applyFont="1" applyFill="1" applyAlignment="1">
      <alignment horizontal="right" vertical="center"/>
    </xf>
    <xf numFmtId="9" fontId="212" fillId="0" borderId="8" xfId="0" applyNumberFormat="1" applyFont="1" applyBorder="1"/>
    <xf numFmtId="170" fontId="215" fillId="0" borderId="0" xfId="0" applyNumberFormat="1" applyFont="1"/>
    <xf numFmtId="3" fontId="212" fillId="30" borderId="0" xfId="0" applyNumberFormat="1" applyFont="1" applyFill="1"/>
    <xf numFmtId="0" fontId="212" fillId="0" borderId="0" xfId="0" quotePrefix="1" applyFont="1"/>
    <xf numFmtId="167" fontId="213" fillId="0" borderId="6" xfId="0" applyNumberFormat="1" applyFont="1" applyBorder="1"/>
    <xf numFmtId="167" fontId="212" fillId="30" borderId="0" xfId="385" applyNumberFormat="1" applyFont="1" applyFill="1" applyBorder="1"/>
  </cellXfs>
  <cellStyles count="587">
    <cellStyle name="&quot;X&quot; Men" xfId="1" xr:uid="{00000000-0005-0000-0000-000000000000}"/>
    <cellStyle name="%" xfId="2" xr:uid="{00000000-0005-0000-0000-000001000000}"/>
    <cellStyle name="******************************************" xfId="3" xr:uid="{00000000-0005-0000-0000-000002000000}"/>
    <cellStyle name=";;;" xfId="4" xr:uid="{00000000-0005-0000-0000-000003000000}"/>
    <cellStyle name="\" xfId="5" xr:uid="{00000000-0005-0000-0000-000004000000}"/>
    <cellStyle name="\_bluebirdacdil13" xfId="6" xr:uid="{00000000-0005-0000-0000-000005000000}"/>
    <cellStyle name="\_data" xfId="7" xr:uid="{00000000-0005-0000-0000-000006000000}"/>
    <cellStyle name="\_ecomps7w" xfId="8" xr:uid="{00000000-0005-0000-0000-000007000000}"/>
    <cellStyle name="\_equitycomps8" xfId="9" xr:uid="{00000000-0005-0000-0000-000008000000}"/>
    <cellStyle name="\_equitycomps9" xfId="10" xr:uid="{00000000-0005-0000-0000-000009000000}"/>
    <cellStyle name="\_houston Isabel" xfId="11" xr:uid="{00000000-0005-0000-0000-00000A000000}"/>
    <cellStyle name="\_hybrid2" xfId="12" xr:uid="{00000000-0005-0000-0000-00000B000000}"/>
    <cellStyle name="\_ITXCcomps" xfId="13" xr:uid="{00000000-0005-0000-0000-00000C000000}"/>
    <cellStyle name="\_newcomps16" xfId="14" xr:uid="{00000000-0005-0000-0000-00000D000000}"/>
    <cellStyle name="\_ravenpitch3" xfId="15" xr:uid="{00000000-0005-0000-0000-00000E000000}"/>
    <cellStyle name="\_ravenpitch32" xfId="16" xr:uid="{00000000-0005-0000-0000-00000F000000}"/>
    <cellStyle name="]_x000a__x000a_Extension=conv.dll_x000a__x000a_MS-DOS Tools Extentions=C:\DOS\MSTOOLS.DLL_x000a__x000a__x000a__x000a_[Settings]_x000a__x000a_UNDELETE.DLL=C:\DOS\MSTOOLS.DLL_x000a__x000a_W" xfId="17" xr:uid="{00000000-0005-0000-0000-000010000000}"/>
    <cellStyle name="_Banks KADS" xfId="18" xr:uid="{00000000-0005-0000-0000-000011000000}"/>
    <cellStyle name="_Book5" xfId="19" xr:uid="{00000000-0005-0000-0000-000012000000}"/>
    <cellStyle name="_Cabernet Valuation Backup" xfId="20" xr:uid="{00000000-0005-0000-0000-000013000000}"/>
    <cellStyle name="_Citadel Summary sheet" xfId="21" xr:uid="{00000000-0005-0000-0000-000014000000}"/>
    <cellStyle name="_CSFB MergerCon D-CMS 5 18 02" xfId="22" xr:uid="{00000000-0005-0000-0000-000015000000}"/>
    <cellStyle name="_Def. and Validation Checks " xfId="23" xr:uid="{00000000-0005-0000-0000-000016000000}"/>
    <cellStyle name="_Energy" xfId="24" xr:uid="{00000000-0005-0000-0000-000017000000}"/>
    <cellStyle name="_ere_KADS_Core_Items" xfId="25" xr:uid="{00000000-0005-0000-0000-000018000000}"/>
    <cellStyle name="_ere_KADS_Full_Upload_Items" xfId="26" xr:uid="{00000000-0005-0000-0000-000019000000}"/>
    <cellStyle name="_Europe" xfId="27" xr:uid="{00000000-0005-0000-0000-00001A000000}"/>
    <cellStyle name="_KADS Upload Template" xfId="28" xr:uid="{00000000-0005-0000-0000-00001B000000}"/>
    <cellStyle name="_New Layout_WIP" xfId="29" xr:uid="{00000000-0005-0000-0000-00001C000000}"/>
    <cellStyle name="_Rating Agency Analysis v2" xfId="30" xr:uid="{00000000-0005-0000-0000-00001D000000}"/>
    <cellStyle name="_Research DB Report Spec" xfId="31" xr:uid="{00000000-0005-0000-0000-00001E000000}"/>
    <cellStyle name="_Semco Model 5-03-03_v2" xfId="32" xr:uid="{00000000-0005-0000-0000-00001F000000}"/>
    <cellStyle name="_Semco Model 5-03-03_v21" xfId="33" xr:uid="{00000000-0005-0000-0000-000020000000}"/>
    <cellStyle name="_Semco Model 7-21-03" xfId="34" xr:uid="{00000000-0005-0000-0000-000021000000}"/>
    <cellStyle name="_Semco Model 8-11-03" xfId="35" xr:uid="{00000000-0005-0000-0000-000022000000}"/>
    <cellStyle name="_Sheet1" xfId="36" xr:uid="{00000000-0005-0000-0000-000023000000}"/>
    <cellStyle name="_Sheet2" xfId="37" xr:uid="{00000000-0005-0000-0000-000024000000}"/>
    <cellStyle name="_usr_KADS_Core_Items" xfId="38" xr:uid="{00000000-0005-0000-0000-000025000000}"/>
    <cellStyle name="_WACC DLJ" xfId="39" xr:uid="{00000000-0005-0000-0000-000026000000}"/>
    <cellStyle name="_XOM model" xfId="40" xr:uid="{00000000-0005-0000-0000-000027000000}"/>
    <cellStyle name="“ü—Í—“" xfId="41" xr:uid="{00000000-0005-0000-0000-000028000000}"/>
    <cellStyle name="£ BP" xfId="43" xr:uid="{00000000-0005-0000-0000-000029000000}"/>
    <cellStyle name="¥ JY" xfId="44" xr:uid="{00000000-0005-0000-0000-00002A000000}"/>
    <cellStyle name="=C:\WINNT35\SYSTEM32\COMMAND.COM" xfId="42" xr:uid="{00000000-0005-0000-0000-00002B000000}"/>
    <cellStyle name="•W€_GE 3 MINIMUM" xfId="47" xr:uid="{00000000-0005-0000-0000-00002C000000}"/>
    <cellStyle name="•W_GE 3 MINIMUM" xfId="46" xr:uid="{00000000-0005-0000-0000-00002D000000}"/>
    <cellStyle name="ÊÝ [0.00]_COMPANY" xfId="229" xr:uid="{00000000-0005-0000-0000-00002E000000}"/>
    <cellStyle name="ÊÝ_COMPANY" xfId="230" xr:uid="{00000000-0005-0000-0000-00002F000000}"/>
    <cellStyle name="W_GTParent" xfId="548" xr:uid="{00000000-0005-0000-0000-000030000000}"/>
    <cellStyle name="0" xfId="48" xr:uid="{00000000-0005-0000-0000-000031000000}"/>
    <cellStyle name="0%" xfId="49" xr:uid="{00000000-0005-0000-0000-000032000000}"/>
    <cellStyle name="0.0" xfId="50" xr:uid="{00000000-0005-0000-0000-000033000000}"/>
    <cellStyle name="0.0 x" xfId="51" xr:uid="{00000000-0005-0000-0000-000034000000}"/>
    <cellStyle name="0.0%" xfId="52" xr:uid="{00000000-0005-0000-0000-000035000000}"/>
    <cellStyle name="0.0_BPCitigroupWIP" xfId="53" xr:uid="{00000000-0005-0000-0000-000036000000}"/>
    <cellStyle name="0.00" xfId="54" xr:uid="{00000000-0005-0000-0000-000037000000}"/>
    <cellStyle name="0.00%" xfId="55" xr:uid="{00000000-0005-0000-0000-000038000000}"/>
    <cellStyle name="0.00_BPCitigroupWIP" xfId="56" xr:uid="{00000000-0005-0000-0000-000039000000}"/>
    <cellStyle name="0_BPCitigroupWIP" xfId="57" xr:uid="{00000000-0005-0000-0000-00003A000000}"/>
    <cellStyle name="0_New Layout_WIP" xfId="58" xr:uid="{00000000-0005-0000-0000-00003B000000}"/>
    <cellStyle name="0_RDSCitigroupWIP" xfId="59" xr:uid="{00000000-0005-0000-0000-00003C000000}"/>
    <cellStyle name="0_rdshell_E&amp;P_analysis" xfId="60" xr:uid="{00000000-0005-0000-0000-00003D000000}"/>
    <cellStyle name="0_TotalCitigroupWIP" xfId="61" xr:uid="{00000000-0005-0000-0000-00003E000000}"/>
    <cellStyle name="0_TotalCitigroupWIP_old" xfId="62" xr:uid="{00000000-0005-0000-0000-00003F000000}"/>
    <cellStyle name="0_TotalCitigroupWIP_Q104" xfId="63" xr:uid="{00000000-0005-0000-0000-000040000000}"/>
    <cellStyle name="000" xfId="64" xr:uid="{00000000-0005-0000-0000-000041000000}"/>
    <cellStyle name="752131" xfId="65" xr:uid="{00000000-0005-0000-0000-000042000000}"/>
    <cellStyle name="Actual" xfId="66" xr:uid="{00000000-0005-0000-0000-000043000000}"/>
    <cellStyle name="Actual data" xfId="67" xr:uid="{00000000-0005-0000-0000-000044000000}"/>
    <cellStyle name="Actual Date" xfId="68" xr:uid="{00000000-0005-0000-0000-000045000000}"/>
    <cellStyle name="Actual year" xfId="69" xr:uid="{00000000-0005-0000-0000-000046000000}"/>
    <cellStyle name="adj_share" xfId="70" xr:uid="{00000000-0005-0000-0000-000047000000}"/>
    <cellStyle name="AFE" xfId="71" xr:uid="{00000000-0005-0000-0000-000048000000}"/>
    <cellStyle name="Afjusted" xfId="72" xr:uid="{00000000-0005-0000-0000-000049000000}"/>
    <cellStyle name="ales" xfId="73" xr:uid="{00000000-0005-0000-0000-00004A000000}"/>
    <cellStyle name="arial" xfId="74" xr:uid="{00000000-0005-0000-0000-00004B000000}"/>
    <cellStyle name="Arial 10" xfId="75" xr:uid="{00000000-0005-0000-0000-00004C000000}"/>
    <cellStyle name="Arial 12" xfId="76" xr:uid="{00000000-0005-0000-0000-00004D000000}"/>
    <cellStyle name="Arial6Bold" xfId="77" xr:uid="{00000000-0005-0000-0000-00004E000000}"/>
    <cellStyle name="Arial8Bold" xfId="78" xr:uid="{00000000-0005-0000-0000-00004F000000}"/>
    <cellStyle name="Arial8Italic" xfId="79" xr:uid="{00000000-0005-0000-0000-000050000000}"/>
    <cellStyle name="ArialNormal" xfId="80" xr:uid="{00000000-0005-0000-0000-000051000000}"/>
    <cellStyle name="Array" xfId="81" xr:uid="{00000000-0005-0000-0000-000052000000}"/>
    <cellStyle name="Array Enter" xfId="82" xr:uid="{00000000-0005-0000-0000-000053000000}"/>
    <cellStyle name="Array_Banks KADS" xfId="83" xr:uid="{00000000-0005-0000-0000-000054000000}"/>
    <cellStyle name="Auto" xfId="84" xr:uid="{00000000-0005-0000-0000-000055000000}"/>
    <cellStyle name="Basis points" xfId="85" xr:uid="{00000000-0005-0000-0000-000056000000}"/>
    <cellStyle name="BLACK" xfId="86" xr:uid="{00000000-0005-0000-0000-000057000000}"/>
    <cellStyle name="BlackStrike" xfId="87" xr:uid="{00000000-0005-0000-0000-000058000000}"/>
    <cellStyle name="BlackText" xfId="88" xr:uid="{00000000-0005-0000-0000-000059000000}"/>
    <cellStyle name="Blank" xfId="89" xr:uid="{00000000-0005-0000-0000-00005A000000}"/>
    <cellStyle name="Blue" xfId="90" xr:uid="{00000000-0005-0000-0000-00005B000000}"/>
    <cellStyle name="blue$00" xfId="91" xr:uid="{00000000-0005-0000-0000-00005C000000}"/>
    <cellStyle name="blue_New Layout_WIP" xfId="92" xr:uid="{00000000-0005-0000-0000-00005D000000}"/>
    <cellStyle name="BLuedashZero" xfId="93" xr:uid="{00000000-0005-0000-0000-00005E000000}"/>
    <cellStyle name="Bold/Border" xfId="94" xr:uid="{00000000-0005-0000-0000-00005F000000}"/>
    <cellStyle name="BoldText" xfId="95" xr:uid="{00000000-0005-0000-0000-000060000000}"/>
    <cellStyle name="borde thin" xfId="96" xr:uid="{00000000-0005-0000-0000-000061000000}"/>
    <cellStyle name="Border" xfId="97" xr:uid="{00000000-0005-0000-0000-000062000000}"/>
    <cellStyle name="Border Heavy" xfId="98" xr:uid="{00000000-0005-0000-0000-000063000000}"/>
    <cellStyle name="Border Thin" xfId="99" xr:uid="{00000000-0005-0000-0000-000064000000}"/>
    <cellStyle name="border think" xfId="100" xr:uid="{00000000-0005-0000-0000-000065000000}"/>
    <cellStyle name="border tihn" xfId="101" xr:uid="{00000000-0005-0000-0000-000066000000}"/>
    <cellStyle name="bordert thin" xfId="102" xr:uid="{00000000-0005-0000-0000-000067000000}"/>
    <cellStyle name="British Pound" xfId="103" xr:uid="{00000000-0005-0000-0000-000068000000}"/>
    <cellStyle name="BritPound" xfId="104" xr:uid="{00000000-0005-0000-0000-000069000000}"/>
    <cellStyle name="Bullet" xfId="105" xr:uid="{00000000-0005-0000-0000-00006A000000}"/>
    <cellStyle name="C10_2001 Figs Black" xfId="106" xr:uid="{00000000-0005-0000-0000-00006B000000}"/>
    <cellStyle name="Case" xfId="107" xr:uid="{00000000-0005-0000-0000-00006C000000}"/>
    <cellStyle name="Category Title" xfId="108" xr:uid="{00000000-0005-0000-0000-00006D000000}"/>
    <cellStyle name="CComma" xfId="109" xr:uid="{00000000-0005-0000-0000-00006E000000}"/>
    <cellStyle name="CComma (0)" xfId="110" xr:uid="{00000000-0005-0000-0000-00006F000000}"/>
    <cellStyle name="CCurrency (0)" xfId="111" xr:uid="{00000000-0005-0000-0000-000070000000}"/>
    <cellStyle name="center" xfId="112" xr:uid="{00000000-0005-0000-0000-000071000000}"/>
    <cellStyle name="Changeable" xfId="113" xr:uid="{00000000-0005-0000-0000-000072000000}"/>
    <cellStyle name="Co. Names" xfId="114" xr:uid="{00000000-0005-0000-0000-000073000000}"/>
    <cellStyle name="COL HEADINGS" xfId="115" xr:uid="{00000000-0005-0000-0000-000074000000}"/>
    <cellStyle name="Colhead_left" xfId="116" xr:uid="{00000000-0005-0000-0000-000075000000}"/>
    <cellStyle name="ColHeading" xfId="117" xr:uid="{00000000-0005-0000-0000-000076000000}"/>
    <cellStyle name="ColHeading_cusLUPA" xfId="584" xr:uid="{C3AF7CCD-55F2-4793-AFD1-D5ADEE5C8325}"/>
    <cellStyle name="ColHeading_Template_Industry" xfId="574" xr:uid="{00000000-0005-0000-0000-000077000000}"/>
    <cellStyle name="colheadleft" xfId="118" xr:uid="{00000000-0005-0000-0000-000078000000}"/>
    <cellStyle name="colheadright" xfId="119" xr:uid="{00000000-0005-0000-0000-000079000000}"/>
    <cellStyle name="Column Headings" xfId="120" xr:uid="{00000000-0005-0000-0000-00007A000000}"/>
    <cellStyle name="ColumnHeading" xfId="121" xr:uid="{00000000-0005-0000-0000-00007B000000}"/>
    <cellStyle name="coma" xfId="122" xr:uid="{00000000-0005-0000-0000-00007C000000}"/>
    <cellStyle name="comm" xfId="123" xr:uid="{00000000-0005-0000-0000-00007D000000}"/>
    <cellStyle name="Comma" xfId="124" builtinId="3"/>
    <cellStyle name="Comma  - Style1" xfId="125" xr:uid="{00000000-0005-0000-0000-00007F000000}"/>
    <cellStyle name="Comma  - Style2" xfId="126" xr:uid="{00000000-0005-0000-0000-000080000000}"/>
    <cellStyle name="Comma  - Style3" xfId="127" xr:uid="{00000000-0005-0000-0000-000081000000}"/>
    <cellStyle name="Comma  - Style4" xfId="128" xr:uid="{00000000-0005-0000-0000-000082000000}"/>
    <cellStyle name="Comma  - Style5" xfId="129" xr:uid="{00000000-0005-0000-0000-000083000000}"/>
    <cellStyle name="Comma  - Style6" xfId="130" xr:uid="{00000000-0005-0000-0000-000084000000}"/>
    <cellStyle name="Comma  - Style7" xfId="131" xr:uid="{00000000-0005-0000-0000-000085000000}"/>
    <cellStyle name="Comma  - Style8" xfId="132" xr:uid="{00000000-0005-0000-0000-000086000000}"/>
    <cellStyle name="Comma (1)" xfId="133" xr:uid="{00000000-0005-0000-0000-000087000000}"/>
    <cellStyle name="Comma [0]" xfId="134" builtinId="6"/>
    <cellStyle name="Comma [1]" xfId="135" xr:uid="{00000000-0005-0000-0000-000089000000}"/>
    <cellStyle name="Comma [2]" xfId="136" xr:uid="{00000000-0005-0000-0000-00008A000000}"/>
    <cellStyle name="Comma [3]" xfId="137" xr:uid="{00000000-0005-0000-0000-00008B000000}"/>
    <cellStyle name="Comma 0" xfId="138" xr:uid="{00000000-0005-0000-0000-00008C000000}"/>
    <cellStyle name="Comma 0*" xfId="139" xr:uid="{00000000-0005-0000-0000-00008D000000}"/>
    <cellStyle name="Comma 0_Dealist" xfId="140" xr:uid="{00000000-0005-0000-0000-00008E000000}"/>
    <cellStyle name="Comma 1" xfId="141" xr:uid="{00000000-0005-0000-0000-00008F000000}"/>
    <cellStyle name="Comma 1 Btons" xfId="142" xr:uid="{00000000-0005-0000-0000-000090000000}"/>
    <cellStyle name="Comma 1 Tcf" xfId="143" xr:uid="{00000000-0005-0000-0000-000091000000}"/>
    <cellStyle name="Comma 1_Book2" xfId="144" xr:uid="{00000000-0005-0000-0000-000092000000}"/>
    <cellStyle name="Comma 2" xfId="145" xr:uid="{00000000-0005-0000-0000-000093000000}"/>
    <cellStyle name="Comma 2*" xfId="146" xr:uid="{00000000-0005-0000-0000-000094000000}"/>
    <cellStyle name="Comma 2_ATG" xfId="147" xr:uid="{00000000-0005-0000-0000-000095000000}"/>
    <cellStyle name="Comma 3*" xfId="148" xr:uid="{00000000-0005-0000-0000-000096000000}"/>
    <cellStyle name="Comma dash" xfId="149" xr:uid="{00000000-0005-0000-0000-000097000000}"/>
    <cellStyle name="Comma(xxx)" xfId="150" xr:uid="{00000000-0005-0000-0000-000098000000}"/>
    <cellStyle name="Comma*" xfId="151" xr:uid="{00000000-0005-0000-0000-000099000000}"/>
    <cellStyle name="Comma0" xfId="152" xr:uid="{00000000-0005-0000-0000-00009A000000}"/>
    <cellStyle name="Comma2" xfId="153" xr:uid="{00000000-0005-0000-0000-00009B000000}"/>
    <cellStyle name="comman" xfId="154" xr:uid="{00000000-0005-0000-0000-00009C000000}"/>
    <cellStyle name="Comma-Rounded" xfId="155" xr:uid="{00000000-0005-0000-0000-00009D000000}"/>
    <cellStyle name="commas" xfId="156" xr:uid="{00000000-0005-0000-0000-00009E000000}"/>
    <cellStyle name="Company" xfId="157" xr:uid="{00000000-0005-0000-0000-00009F000000}"/>
    <cellStyle name="Company name" xfId="158" xr:uid="{00000000-0005-0000-0000-0000A0000000}"/>
    <cellStyle name="Company_cusLUPA" xfId="585" xr:uid="{34C04384-F03D-4113-B5E2-7674E8E94740}"/>
    <cellStyle name="Company_Template_Industry" xfId="573" xr:uid="{00000000-0005-0000-0000-0000A1000000}"/>
    <cellStyle name="CompanyName" xfId="159" xr:uid="{00000000-0005-0000-0000-0000A2000000}"/>
    <cellStyle name="Comps" xfId="160" xr:uid="{00000000-0005-0000-0000-0000A3000000}"/>
    <cellStyle name="CountryTitle" xfId="161" xr:uid="{00000000-0005-0000-0000-0000A4000000}"/>
    <cellStyle name="Cover" xfId="162" xr:uid="{00000000-0005-0000-0000-0000A5000000}"/>
    <cellStyle name="Cover Date" xfId="163" xr:uid="{00000000-0005-0000-0000-0000A6000000}"/>
    <cellStyle name="Cover Subtitle" xfId="164" xr:uid="{00000000-0005-0000-0000-0000A7000000}"/>
    <cellStyle name="Cover Title" xfId="165" xr:uid="{00000000-0005-0000-0000-0000A8000000}"/>
    <cellStyle name="Coverage" xfId="166" xr:uid="{00000000-0005-0000-0000-0000A9000000}"/>
    <cellStyle name="Cur" xfId="167" xr:uid="{00000000-0005-0000-0000-0000AA000000}"/>
    <cellStyle name="CurRatio" xfId="168" xr:uid="{00000000-0005-0000-0000-0000AB000000}"/>
    <cellStyle name="Currency" xfId="169" builtinId="4"/>
    <cellStyle name="Currency ($)" xfId="170" xr:uid="{00000000-0005-0000-0000-0000AD000000}"/>
    <cellStyle name="Currency (£)" xfId="171" xr:uid="{00000000-0005-0000-0000-0000AE000000}"/>
    <cellStyle name="Currency (B)" xfId="172" xr:uid="{00000000-0005-0000-0000-0000AF000000}"/>
    <cellStyle name="Currency [1]" xfId="173" xr:uid="{00000000-0005-0000-0000-0000B0000000}"/>
    <cellStyle name="Currency [2]" xfId="174" xr:uid="{00000000-0005-0000-0000-0000B1000000}"/>
    <cellStyle name="Currency [3]" xfId="175" xr:uid="{00000000-0005-0000-0000-0000B2000000}"/>
    <cellStyle name="Currency 0" xfId="176" xr:uid="{00000000-0005-0000-0000-0000B3000000}"/>
    <cellStyle name="Currency 1" xfId="177" xr:uid="{00000000-0005-0000-0000-0000B4000000}"/>
    <cellStyle name="Currency 2" xfId="178" xr:uid="{00000000-0005-0000-0000-0000B5000000}"/>
    <cellStyle name="Currency 2*" xfId="179" xr:uid="{00000000-0005-0000-0000-0000B6000000}"/>
    <cellStyle name="Currency 2_Assump" xfId="180" xr:uid="{00000000-0005-0000-0000-0000B7000000}"/>
    <cellStyle name="Currency 3" xfId="181" xr:uid="{00000000-0005-0000-0000-0000B8000000}"/>
    <cellStyle name="Currency 3*" xfId="182" xr:uid="{00000000-0005-0000-0000-0000B9000000}"/>
    <cellStyle name="Currency Per Share" xfId="183" xr:uid="{00000000-0005-0000-0000-0000BA000000}"/>
    <cellStyle name="Currency(1)" xfId="184" xr:uid="{00000000-0005-0000-0000-0000BB000000}"/>
    <cellStyle name="Currency*" xfId="185" xr:uid="{00000000-0005-0000-0000-0000BC000000}"/>
    <cellStyle name="Currency0" xfId="186" xr:uid="{00000000-0005-0000-0000-0000BD000000}"/>
    <cellStyle name="Currency2_bl" xfId="187" xr:uid="{00000000-0005-0000-0000-0000BE000000}"/>
    <cellStyle name="Currency-Rounded" xfId="188" xr:uid="{00000000-0005-0000-0000-0000BF000000}"/>
    <cellStyle name="Currsmall" xfId="189" xr:uid="{00000000-0005-0000-0000-0000C0000000}"/>
    <cellStyle name="CustomStyle1" xfId="190" xr:uid="{00000000-0005-0000-0000-0000C1000000}"/>
    <cellStyle name="CustomStyle25" xfId="191" xr:uid="{00000000-0005-0000-0000-0000C2000000}"/>
    <cellStyle name="d_yield" xfId="192" xr:uid="{00000000-0005-0000-0000-0000C3000000}"/>
    <cellStyle name="DARK" xfId="193" xr:uid="{00000000-0005-0000-0000-0000C4000000}"/>
    <cellStyle name="Dash" xfId="194" xr:uid="{00000000-0005-0000-0000-0000C5000000}"/>
    <cellStyle name="Data Link" xfId="195" xr:uid="{00000000-0005-0000-0000-0000C6000000}"/>
    <cellStyle name="DATASTYLE" xfId="196" xr:uid="{00000000-0005-0000-0000-0000C7000000}"/>
    <cellStyle name="Date" xfId="197" xr:uid="{00000000-0005-0000-0000-0000C8000000}"/>
    <cellStyle name="Date + Time" xfId="198" xr:uid="{00000000-0005-0000-0000-0000C9000000}"/>
    <cellStyle name="Date Aligned" xfId="199" xr:uid="{00000000-0005-0000-0000-0000CA000000}"/>
    <cellStyle name="Date Aligned*" xfId="200" xr:uid="{00000000-0005-0000-0000-0000CB000000}"/>
    <cellStyle name="Date Aligned_Assump" xfId="201" xr:uid="{00000000-0005-0000-0000-0000CC000000}"/>
    <cellStyle name="Date_3YRPLAN3" xfId="202" xr:uid="{00000000-0005-0000-0000-0000CD000000}"/>
    <cellStyle name="Date1" xfId="203" xr:uid="{00000000-0005-0000-0000-0000CE000000}"/>
    <cellStyle name="Date2" xfId="204" xr:uid="{00000000-0005-0000-0000-0000CF000000}"/>
    <cellStyle name="Dec_0" xfId="205" xr:uid="{00000000-0005-0000-0000-0000D0000000}"/>
    <cellStyle name="Decimal1" xfId="206" xr:uid="{00000000-0005-0000-0000-0000D1000000}"/>
    <cellStyle name="Decimal2" xfId="207" xr:uid="{00000000-0005-0000-0000-0000D2000000}"/>
    <cellStyle name="Dezimal [0]_Compiling Utility Macros" xfId="208" xr:uid="{00000000-0005-0000-0000-0000D3000000}"/>
    <cellStyle name="Dezimal_BackSheet" xfId="209" xr:uid="{00000000-0005-0000-0000-0000D4000000}"/>
    <cellStyle name="DOH" xfId="210" xr:uid="{00000000-0005-0000-0000-0000D5000000}"/>
    <cellStyle name="Dollar" xfId="211" xr:uid="{00000000-0005-0000-0000-0000D6000000}"/>
    <cellStyle name="Dollar1" xfId="212" xr:uid="{00000000-0005-0000-0000-0000D7000000}"/>
    <cellStyle name="Dollar1Blue" xfId="213" xr:uid="{00000000-0005-0000-0000-0000D8000000}"/>
    <cellStyle name="Dollar2" xfId="214" xr:uid="{00000000-0005-0000-0000-0000D9000000}"/>
    <cellStyle name="Dollars" xfId="215" xr:uid="{00000000-0005-0000-0000-0000DA000000}"/>
    <cellStyle name="Dotted Line" xfId="216" xr:uid="{00000000-0005-0000-0000-0000DB000000}"/>
    <cellStyle name="Double Accounting" xfId="217" xr:uid="{00000000-0005-0000-0000-0000DC000000}"/>
    <cellStyle name="Download" xfId="218" xr:uid="{00000000-0005-0000-0000-0000DD000000}"/>
    <cellStyle name="Driver" xfId="219" xr:uid="{00000000-0005-0000-0000-0000DE000000}"/>
    <cellStyle name="Entry" xfId="220" xr:uid="{00000000-0005-0000-0000-0000DF000000}"/>
    <cellStyle name="eps" xfId="221" xr:uid="{00000000-0005-0000-0000-0000E0000000}"/>
    <cellStyle name="eps$" xfId="222" xr:uid="{00000000-0005-0000-0000-0000E1000000}"/>
    <cellStyle name="eps$A" xfId="223" xr:uid="{00000000-0005-0000-0000-0000E2000000}"/>
    <cellStyle name="eps$E" xfId="224" xr:uid="{00000000-0005-0000-0000-0000E3000000}"/>
    <cellStyle name="epsA" xfId="225" xr:uid="{00000000-0005-0000-0000-0000E4000000}"/>
    <cellStyle name="epsE" xfId="226" xr:uid="{00000000-0005-0000-0000-0000E5000000}"/>
    <cellStyle name="Euro" xfId="227" xr:uid="{00000000-0005-0000-0000-0000E6000000}"/>
    <cellStyle name="ExchRate" xfId="228" xr:uid="{00000000-0005-0000-0000-0000E7000000}"/>
    <cellStyle name="F3" xfId="231" xr:uid="{00000000-0005-0000-0000-0000E8000000}"/>
    <cellStyle name="F5" xfId="232" xr:uid="{00000000-0005-0000-0000-0000E9000000}"/>
    <cellStyle name="F6" xfId="233" xr:uid="{00000000-0005-0000-0000-0000EA000000}"/>
    <cellStyle name="F7" xfId="234" xr:uid="{00000000-0005-0000-0000-0000EB000000}"/>
    <cellStyle name="factsheet" xfId="235" xr:uid="{00000000-0005-0000-0000-0000EC000000}"/>
    <cellStyle name="FAS Col Title" xfId="236" xr:uid="{00000000-0005-0000-0000-0000ED000000}"/>
    <cellStyle name="FAS Number" xfId="237" xr:uid="{00000000-0005-0000-0000-0000EE000000}"/>
    <cellStyle name="FAS_Invisible" xfId="238" xr:uid="{00000000-0005-0000-0000-0000EF000000}"/>
    <cellStyle name="Financial" xfId="239" xr:uid="{00000000-0005-0000-0000-0000F0000000}"/>
    <cellStyle name="Fixed" xfId="240" xr:uid="{00000000-0005-0000-0000-0000F1000000}"/>
    <cellStyle name="Fixed 1" xfId="241" xr:uid="{00000000-0005-0000-0000-0000F2000000}"/>
    <cellStyle name="Fixed 2" xfId="242" xr:uid="{00000000-0005-0000-0000-0000F3000000}"/>
    <cellStyle name="Fixed 3" xfId="243" xr:uid="{00000000-0005-0000-0000-0000F4000000}"/>
    <cellStyle name="Fixed_ATG" xfId="244" xr:uid="{00000000-0005-0000-0000-0000F5000000}"/>
    <cellStyle name="Fixlong" xfId="245" xr:uid="{00000000-0005-0000-0000-0000F6000000}"/>
    <cellStyle name="Footer SBILogo1" xfId="246" xr:uid="{00000000-0005-0000-0000-0000F7000000}"/>
    <cellStyle name="Footer SBILogo2" xfId="247" xr:uid="{00000000-0005-0000-0000-0000F8000000}"/>
    <cellStyle name="footnoe" xfId="248" xr:uid="{00000000-0005-0000-0000-0000F9000000}"/>
    <cellStyle name="Footnote" xfId="249" xr:uid="{00000000-0005-0000-0000-0000FA000000}"/>
    <cellStyle name="Footnote Reference" xfId="250" xr:uid="{00000000-0005-0000-0000-0000FB000000}"/>
    <cellStyle name="Footnote_Banks KADS" xfId="251" xr:uid="{00000000-0005-0000-0000-0000FC000000}"/>
    <cellStyle name="Footnotes" xfId="252" xr:uid="{00000000-0005-0000-0000-0000FD000000}"/>
    <cellStyle name="Forecast" xfId="253" xr:uid="{00000000-0005-0000-0000-0000FE000000}"/>
    <cellStyle name="ForecastData" xfId="254" xr:uid="{00000000-0005-0000-0000-0000FF000000}"/>
    <cellStyle name="Formula" xfId="255" xr:uid="{00000000-0005-0000-0000-000000010000}"/>
    <cellStyle name="fourdecplace" xfId="256" xr:uid="{00000000-0005-0000-0000-000001010000}"/>
    <cellStyle name="General" xfId="257" xr:uid="{00000000-0005-0000-0000-000002010000}"/>
    <cellStyle name="Global" xfId="258" xr:uid="{00000000-0005-0000-0000-000003010000}"/>
    <cellStyle name="Green" xfId="259" xr:uid="{00000000-0005-0000-0000-000004010000}"/>
    <cellStyle name="Grey" xfId="260" xr:uid="{00000000-0005-0000-0000-000005010000}"/>
    <cellStyle name="Growth" xfId="261" xr:uid="{00000000-0005-0000-0000-000006010000}"/>
    <cellStyle name="H 2" xfId="262" xr:uid="{00000000-0005-0000-0000-000007010000}"/>
    <cellStyle name="H I D E" xfId="263" xr:uid="{00000000-0005-0000-0000-000008010000}"/>
    <cellStyle name="Hard Percent" xfId="264" xr:uid="{00000000-0005-0000-0000-000009010000}"/>
    <cellStyle name="head1" xfId="265" xr:uid="{00000000-0005-0000-0000-00000A010000}"/>
    <cellStyle name="head2" xfId="266" xr:uid="{00000000-0005-0000-0000-00000B010000}"/>
    <cellStyle name="Header" xfId="267" xr:uid="{00000000-0005-0000-0000-00000C010000}"/>
    <cellStyle name="Header Draft Stamp" xfId="268" xr:uid="{00000000-0005-0000-0000-00000D010000}"/>
    <cellStyle name="Header_Citizens-ALLTEL" xfId="269" xr:uid="{00000000-0005-0000-0000-00000E010000}"/>
    <cellStyle name="Header1" xfId="270" xr:uid="{00000000-0005-0000-0000-00000F010000}"/>
    <cellStyle name="Header2" xfId="271" xr:uid="{00000000-0005-0000-0000-000010010000}"/>
    <cellStyle name="Heading" xfId="272" xr:uid="{00000000-0005-0000-0000-000011010000}"/>
    <cellStyle name="Heading 1 Above" xfId="273" xr:uid="{00000000-0005-0000-0000-000012010000}"/>
    <cellStyle name="Heading 1+" xfId="274" xr:uid="{00000000-0005-0000-0000-000013010000}"/>
    <cellStyle name="Heading 2 Below" xfId="275" xr:uid="{00000000-0005-0000-0000-000014010000}"/>
    <cellStyle name="Heading 2+" xfId="276" xr:uid="{00000000-0005-0000-0000-000015010000}"/>
    <cellStyle name="Heading 3+" xfId="277" xr:uid="{00000000-0005-0000-0000-000016010000}"/>
    <cellStyle name="Heading Bar" xfId="278" xr:uid="{00000000-0005-0000-0000-000017010000}"/>
    <cellStyle name="Heading Left" xfId="279" xr:uid="{00000000-0005-0000-0000-000018010000}"/>
    <cellStyle name="Heading Right" xfId="280" xr:uid="{00000000-0005-0000-0000-000019010000}"/>
    <cellStyle name="Heading1" xfId="281" xr:uid="{00000000-0005-0000-0000-00001A010000}"/>
    <cellStyle name="Heading2" xfId="282" xr:uid="{00000000-0005-0000-0000-00001B010000}"/>
    <cellStyle name="HeadingS" xfId="283" xr:uid="{00000000-0005-0000-0000-00001C010000}"/>
    <cellStyle name="Hidden" xfId="284" xr:uid="{00000000-0005-0000-0000-00001D010000}"/>
    <cellStyle name="HIGHLIGHT" xfId="285" xr:uid="{00000000-0005-0000-0000-00001E010000}"/>
    <cellStyle name="Historic" xfId="286" xr:uid="{00000000-0005-0000-0000-00001F010000}"/>
    <cellStyle name="HistoricData" xfId="287" xr:uid="{00000000-0005-0000-0000-000020010000}"/>
    <cellStyle name="Hyperlink seguido" xfId="580" xr:uid="{00000000-0005-0000-0000-000021010000}"/>
    <cellStyle name="Hyperlink_Template_Industry" xfId="577" xr:uid="{00000000-0005-0000-0000-000022010000}"/>
    <cellStyle name="IncomeStatement" xfId="288" xr:uid="{00000000-0005-0000-0000-000023010000}"/>
    <cellStyle name="Input (%)" xfId="289" xr:uid="{00000000-0005-0000-0000-000024010000}"/>
    <cellStyle name="Input [yellow]" xfId="290" xr:uid="{00000000-0005-0000-0000-000025010000}"/>
    <cellStyle name="Input Currency" xfId="291" xr:uid="{00000000-0005-0000-0000-000026010000}"/>
    <cellStyle name="Input Currency 2" xfId="292" xr:uid="{00000000-0005-0000-0000-000027010000}"/>
    <cellStyle name="Input Multiple" xfId="293" xr:uid="{00000000-0005-0000-0000-000028010000}"/>
    <cellStyle name="Input Percent" xfId="294" xr:uid="{00000000-0005-0000-0000-000029010000}"/>
    <cellStyle name="Input0" xfId="295" xr:uid="{00000000-0005-0000-0000-00002A010000}"/>
    <cellStyle name="Input1" xfId="296" xr:uid="{00000000-0005-0000-0000-00002B010000}"/>
    <cellStyle name="Input2" xfId="297" xr:uid="{00000000-0005-0000-0000-00002C010000}"/>
    <cellStyle name="Integer" xfId="298" xr:uid="{00000000-0005-0000-0000-00002D010000}"/>
    <cellStyle name="Italic" xfId="299" xr:uid="{00000000-0005-0000-0000-00002E010000}"/>
    <cellStyle name="Item" xfId="300" xr:uid="{00000000-0005-0000-0000-00002F010000}"/>
    <cellStyle name="ItemTypeClass" xfId="301" xr:uid="{00000000-0005-0000-0000-000030010000}"/>
    <cellStyle name="KP_Normal" xfId="302" xr:uid="{00000000-0005-0000-0000-000031010000}"/>
    <cellStyle name="Lable8Left" xfId="303" xr:uid="{00000000-0005-0000-0000-000032010000}"/>
    <cellStyle name="Large Page Heading" xfId="304" xr:uid="{00000000-0005-0000-0000-000033010000}"/>
    <cellStyle name="LEVERS69" xfId="305" xr:uid="{00000000-0005-0000-0000-000034010000}"/>
    <cellStyle name="LineItem" xfId="306" xr:uid="{00000000-0005-0000-0000-000035010000}"/>
    <cellStyle name="Link" xfId="307" xr:uid="{00000000-0005-0000-0000-000036010000}"/>
    <cellStyle name="lou" xfId="308" xr:uid="{00000000-0005-0000-0000-000037010000}"/>
    <cellStyle name="m" xfId="309" xr:uid="{00000000-0005-0000-0000-000038010000}"/>
    <cellStyle name="m$" xfId="310" xr:uid="{00000000-0005-0000-0000-000039010000}"/>
    <cellStyle name="m/d/yy" xfId="311" xr:uid="{00000000-0005-0000-0000-00003A010000}"/>
    <cellStyle name="MacroCode" xfId="312" xr:uid="{00000000-0005-0000-0000-00003B010000}"/>
    <cellStyle name="Mainhead" xfId="313" xr:uid="{00000000-0005-0000-0000-00003C010000}"/>
    <cellStyle name="Margins" xfId="314" xr:uid="{00000000-0005-0000-0000-00003D010000}"/>
    <cellStyle name="Migliaia (0)_ACTUAL 31-12-95" xfId="315" xr:uid="{00000000-0005-0000-0000-00003E010000}"/>
    <cellStyle name="Migliaia_ACTUAL 30-06-95.XLS" xfId="316" xr:uid="{00000000-0005-0000-0000-00003F010000}"/>
    <cellStyle name="Mike" xfId="317" xr:uid="{00000000-0005-0000-0000-000040010000}"/>
    <cellStyle name="Milliers [0]_55 96" xfId="318" xr:uid="{00000000-0005-0000-0000-000041010000}"/>
    <cellStyle name="Milliers_55 96" xfId="319" xr:uid="{00000000-0005-0000-0000-000042010000}"/>
    <cellStyle name="Millions" xfId="320" xr:uid="{00000000-0005-0000-0000-000043010000}"/>
    <cellStyle name="mm" xfId="321" xr:uid="{00000000-0005-0000-0000-000044010000}"/>
    <cellStyle name="Model" xfId="322" xr:uid="{00000000-0005-0000-0000-000045010000}"/>
    <cellStyle name="Models" xfId="323" xr:uid="{00000000-0005-0000-0000-000046010000}"/>
    <cellStyle name="Moeda Z0]_Módulo1" xfId="324" xr:uid="{00000000-0005-0000-0000-000047010000}"/>
    <cellStyle name="Monétaire [0]_55 96" xfId="325" xr:uid="{00000000-0005-0000-0000-000048010000}"/>
    <cellStyle name="Monétaire_55 96" xfId="326" xr:uid="{00000000-0005-0000-0000-000049010000}"/>
    <cellStyle name="Multiple" xfId="327" xr:uid="{00000000-0005-0000-0000-00004A010000}"/>
    <cellStyle name="Multiple [0]" xfId="328" xr:uid="{00000000-0005-0000-0000-00004B010000}"/>
    <cellStyle name="Multiple [1]" xfId="329" xr:uid="{00000000-0005-0000-0000-00004C010000}"/>
    <cellStyle name="Multiple_3YRPLAN3" xfId="330" xr:uid="{00000000-0005-0000-0000-00004D010000}"/>
    <cellStyle name="MultipleBelow" xfId="331" xr:uid="{00000000-0005-0000-0000-00004E010000}"/>
    <cellStyle name="multiples" xfId="332" xr:uid="{00000000-0005-0000-0000-00004F010000}"/>
    <cellStyle name="multipoles" xfId="333" xr:uid="{00000000-0005-0000-0000-000050010000}"/>
    <cellStyle name="no dec" xfId="334" xr:uid="{00000000-0005-0000-0000-000051010000}"/>
    <cellStyle name="No zero - 1dp" xfId="335" xr:uid="{00000000-0005-0000-0000-000052010000}"/>
    <cellStyle name="No zero - percent" xfId="336" xr:uid="{00000000-0005-0000-0000-000053010000}"/>
    <cellStyle name="nobuild" xfId="337" xr:uid="{00000000-0005-0000-0000-000054010000}"/>
    <cellStyle name="norma" xfId="338" xr:uid="{00000000-0005-0000-0000-000055010000}"/>
    <cellStyle name="Normaali_Layo9704" xfId="339" xr:uid="{00000000-0005-0000-0000-000056010000}"/>
    <cellStyle name="Normal" xfId="0" builtinId="0"/>
    <cellStyle name="Normal - Style1" xfId="340" xr:uid="{00000000-0005-0000-0000-000058010000}"/>
    <cellStyle name="Normal (%)" xfId="341" xr:uid="{00000000-0005-0000-0000-000059010000}"/>
    <cellStyle name="Normal (£m)" xfId="342" xr:uid="{00000000-0005-0000-0000-00005A010000}"/>
    <cellStyle name="Normal (B)" xfId="343" xr:uid="{00000000-0005-0000-0000-00005B010000}"/>
    <cellStyle name="Normal (G)" xfId="344" xr:uid="{00000000-0005-0000-0000-00005C010000}"/>
    <cellStyle name="Normal (No)" xfId="345" xr:uid="{00000000-0005-0000-0000-00005D010000}"/>
    <cellStyle name="Normal (x)" xfId="346" xr:uid="{00000000-0005-0000-0000-00005E010000}"/>
    <cellStyle name="Normal [1]" xfId="347" xr:uid="{00000000-0005-0000-0000-00005F010000}"/>
    <cellStyle name="Normal [2]" xfId="348" xr:uid="{00000000-0005-0000-0000-000060010000}"/>
    <cellStyle name="Normal 2" xfId="582" xr:uid="{00000000-0005-0000-0000-000061010000}"/>
    <cellStyle name="Normal_Estacio mdl post teste" xfId="576" xr:uid="{00000000-0005-0000-0000-000062010000}"/>
    <cellStyle name="Normal_GFSA3 Model 2T06" xfId="349" xr:uid="{00000000-0005-0000-0000-000063010000}"/>
    <cellStyle name="Normal_Perdigão-valuation (2T06 after)" xfId="581" xr:uid="{00000000-0005-0000-0000-000064010000}"/>
    <cellStyle name="Normal_Template_Industry" xfId="578" xr:uid="{00000000-0005-0000-0000-000065010000}"/>
    <cellStyle name="Normale_ACTUAL 30-06-95.XLS" xfId="350" xr:uid="{00000000-0005-0000-0000-000066010000}"/>
    <cellStyle name="NormalHelv" xfId="351" xr:uid="{00000000-0005-0000-0000-000067010000}"/>
    <cellStyle name="NormalItalic" xfId="352" xr:uid="{00000000-0005-0000-0000-000068010000}"/>
    <cellStyle name="Notes" xfId="353" xr:uid="{00000000-0005-0000-0000-000069010000}"/>
    <cellStyle name="Num0Un" xfId="354" xr:uid="{00000000-0005-0000-0000-00006A010000}"/>
    <cellStyle name="Num1" xfId="355" xr:uid="{00000000-0005-0000-0000-00006B010000}"/>
    <cellStyle name="Num1Blue" xfId="356" xr:uid="{00000000-0005-0000-0000-00006C010000}"/>
    <cellStyle name="Num2" xfId="357" xr:uid="{00000000-0005-0000-0000-00006D010000}"/>
    <cellStyle name="Num2Un" xfId="358" xr:uid="{00000000-0005-0000-0000-00006E010000}"/>
    <cellStyle name="Number" xfId="359" xr:uid="{00000000-0005-0000-0000-00006F010000}"/>
    <cellStyle name="Numbers" xfId="360" xr:uid="{00000000-0005-0000-0000-000070010000}"/>
    <cellStyle name="Numbers - Bold" xfId="361" xr:uid="{00000000-0005-0000-0000-000071010000}"/>
    <cellStyle name="Numbers - Bold - Italic" xfId="362" xr:uid="{00000000-0005-0000-0000-000072010000}"/>
    <cellStyle name="Numbers_NewOUtput" xfId="363" xr:uid="{00000000-0005-0000-0000-000073010000}"/>
    <cellStyle name="Œ…‹æØ‚è [0.00]_GE 3 MINIMUM" xfId="364" xr:uid="{00000000-0005-0000-0000-000074010000}"/>
    <cellStyle name="Œ…‹æØ‚è_GE 3 MINIMUM" xfId="365" xr:uid="{00000000-0005-0000-0000-000075010000}"/>
    <cellStyle name="Onedec" xfId="366" xr:uid="{00000000-0005-0000-0000-000076010000}"/>
    <cellStyle name="OSW_ColumnLabels" xfId="367" xr:uid="{00000000-0005-0000-0000-000077010000}"/>
    <cellStyle name="outh America" xfId="368" xr:uid="{00000000-0005-0000-0000-000078010000}"/>
    <cellStyle name="Output Amounts" xfId="369" xr:uid="{00000000-0005-0000-0000-000079010000}"/>
    <cellStyle name="OUTPUT COLUMN HEADINGS" xfId="370" xr:uid="{00000000-0005-0000-0000-00007A010000}"/>
    <cellStyle name="Output Line Items" xfId="371" xr:uid="{00000000-0005-0000-0000-00007B010000}"/>
    <cellStyle name="OUTPUT REPORT HEADING" xfId="372" xr:uid="{00000000-0005-0000-0000-00007C010000}"/>
    <cellStyle name="OUTPUT REPORT TITLE" xfId="373" xr:uid="{00000000-0005-0000-0000-00007D010000}"/>
    <cellStyle name="P&amp;L Numbers" xfId="374" xr:uid="{00000000-0005-0000-0000-00007E010000}"/>
    <cellStyle name="Page header" xfId="375" xr:uid="{00000000-0005-0000-0000-00007F010000}"/>
    <cellStyle name="Page Heading" xfId="376" xr:uid="{00000000-0005-0000-0000-000080010000}"/>
    <cellStyle name="Page Heading Large" xfId="377" xr:uid="{00000000-0005-0000-0000-000081010000}"/>
    <cellStyle name="Page Heading Small" xfId="378" xr:uid="{00000000-0005-0000-0000-000082010000}"/>
    <cellStyle name="Page Number" xfId="379" xr:uid="{00000000-0005-0000-0000-000083010000}"/>
    <cellStyle name="pct_sub" xfId="380" xr:uid="{00000000-0005-0000-0000-000084010000}"/>
    <cellStyle name="pe" xfId="381" xr:uid="{00000000-0005-0000-0000-000085010000}"/>
    <cellStyle name="PEG" xfId="382" xr:uid="{00000000-0005-0000-0000-000086010000}"/>
    <cellStyle name="Pence" xfId="383" xr:uid="{00000000-0005-0000-0000-000087010000}"/>
    <cellStyle name="Perc1" xfId="384" xr:uid="{00000000-0005-0000-0000-000088010000}"/>
    <cellStyle name="Percent" xfId="385" builtinId="5"/>
    <cellStyle name="Percent (.xx)" xfId="386" xr:uid="{00000000-0005-0000-0000-00008A010000}"/>
    <cellStyle name="Percent (M)" xfId="387" xr:uid="{00000000-0005-0000-0000-00008B010000}"/>
    <cellStyle name="Percent [1]" xfId="388" xr:uid="{00000000-0005-0000-0000-00008C010000}"/>
    <cellStyle name="Percent [2]" xfId="389" xr:uid="{00000000-0005-0000-0000-00008D010000}"/>
    <cellStyle name="Percent 1" xfId="390" xr:uid="{00000000-0005-0000-0000-00008E010000}"/>
    <cellStyle name="Percent 2" xfId="391" xr:uid="{00000000-0005-0000-0000-00008F010000}"/>
    <cellStyle name="Percent 3" xfId="392" xr:uid="{00000000-0005-0000-0000-000090010000}"/>
    <cellStyle name="Percent 4" xfId="579" xr:uid="{00000000-0005-0000-0000-000091010000}"/>
    <cellStyle name="percent had" xfId="393" xr:uid="{00000000-0005-0000-0000-000092010000}"/>
    <cellStyle name="percent har" xfId="394" xr:uid="{00000000-0005-0000-0000-000093010000}"/>
    <cellStyle name="Percent Hard" xfId="395" xr:uid="{00000000-0005-0000-0000-000094010000}"/>
    <cellStyle name="Percent(.x)" xfId="396" xr:uid="{00000000-0005-0000-0000-000095010000}"/>
    <cellStyle name="Percent*" xfId="397" xr:uid="{00000000-0005-0000-0000-000096010000}"/>
    <cellStyle name="Percent0" xfId="398" xr:uid="{00000000-0005-0000-0000-000097010000}"/>
    <cellStyle name="Percent1" xfId="399" xr:uid="{00000000-0005-0000-0000-000098010000}"/>
    <cellStyle name="Percent1(-)" xfId="400" xr:uid="{00000000-0005-0000-0000-000099010000}"/>
    <cellStyle name="Percent1_CompCo Analysis" xfId="401" xr:uid="{00000000-0005-0000-0000-00009A010000}"/>
    <cellStyle name="Percent1Blue" xfId="402" xr:uid="{00000000-0005-0000-0000-00009B010000}"/>
    <cellStyle name="Percent2" xfId="403" xr:uid="{00000000-0005-0000-0000-00009C010000}"/>
    <cellStyle name="Percent2Blue" xfId="404" xr:uid="{00000000-0005-0000-0000-00009D010000}"/>
    <cellStyle name="Percentage" xfId="405" xr:uid="{00000000-0005-0000-0000-00009E010000}"/>
    <cellStyle name="PercentChange" xfId="406" xr:uid="{00000000-0005-0000-0000-00009F010000}"/>
    <cellStyle name="perecent" xfId="407" xr:uid="{00000000-0005-0000-0000-0000A0010000}"/>
    <cellStyle name="Perlong" xfId="408" xr:uid="{00000000-0005-0000-0000-0000A1010000}"/>
    <cellStyle name="Pilkku_Layo9704" xfId="409" xr:uid="{00000000-0005-0000-0000-0000A2010000}"/>
    <cellStyle name="Price" xfId="410" xr:uid="{00000000-0005-0000-0000-0000A3010000}"/>
    <cellStyle name="PriceUn" xfId="411" xr:uid="{00000000-0005-0000-0000-0000A4010000}"/>
    <cellStyle name="Private" xfId="412" xr:uid="{00000000-0005-0000-0000-0000A5010000}"/>
    <cellStyle name="Private1" xfId="413" xr:uid="{00000000-0005-0000-0000-0000A6010000}"/>
    <cellStyle name="PROJECT" xfId="414" xr:uid="{00000000-0005-0000-0000-0000A7010000}"/>
    <cellStyle name="PROJECT R" xfId="415" xr:uid="{00000000-0005-0000-0000-0000A8010000}"/>
    <cellStyle name="PROJECT_Banks KADS" xfId="416" xr:uid="{00000000-0005-0000-0000-0000A9010000}"/>
    <cellStyle name="Purple" xfId="417" xr:uid="{00000000-0005-0000-0000-0000AA010000}"/>
    <cellStyle name="Pyör. luku_Layo9704" xfId="418" xr:uid="{00000000-0005-0000-0000-0000AB010000}"/>
    <cellStyle name="Pyör. valuutta_Layo9704" xfId="419" xr:uid="{00000000-0005-0000-0000-0000AC010000}"/>
    <cellStyle name="r" xfId="420" xr:uid="{00000000-0005-0000-0000-0000AD010000}"/>
    <cellStyle name="r_Semco Model 8-11-03" xfId="421" xr:uid="{00000000-0005-0000-0000-0000AE010000}"/>
    <cellStyle name="range" xfId="422" xr:uid="{00000000-0005-0000-0000-0000AF010000}"/>
    <cellStyle name="Rate" xfId="423" xr:uid="{00000000-0005-0000-0000-0000B0010000}"/>
    <cellStyle name="RatioX" xfId="424" xr:uid="{00000000-0005-0000-0000-0000B1010000}"/>
    <cellStyle name="RED" xfId="425" xr:uid="{00000000-0005-0000-0000-0000B2010000}"/>
    <cellStyle name="Red Text" xfId="426" xr:uid="{00000000-0005-0000-0000-0000B3010000}"/>
    <cellStyle name="Reference" xfId="427" xr:uid="{00000000-0005-0000-0000-0000B4010000}"/>
    <cellStyle name="Restruct" xfId="428" xr:uid="{00000000-0005-0000-0000-0000B5010000}"/>
    <cellStyle name="Result" xfId="429" xr:uid="{00000000-0005-0000-0000-0000B6010000}"/>
    <cellStyle name="Results % 3 dp" xfId="430" xr:uid="{00000000-0005-0000-0000-0000B7010000}"/>
    <cellStyle name="Results 3 dp" xfId="431" xr:uid="{00000000-0005-0000-0000-0000B8010000}"/>
    <cellStyle name="Right" xfId="432" xr:uid="{00000000-0005-0000-0000-0000B9010000}"/>
    <cellStyle name="Row Headings" xfId="433" xr:uid="{00000000-0005-0000-0000-0000BA010000}"/>
    <cellStyle name="SB_Normal" xfId="434" xr:uid="{00000000-0005-0000-0000-0000BB010000}"/>
    <cellStyle name="ScotchRule" xfId="435" xr:uid="{00000000-0005-0000-0000-0000BC010000}"/>
    <cellStyle name="ScripFactor" xfId="436" xr:uid="{00000000-0005-0000-0000-0000BD010000}"/>
    <cellStyle name="SectionHeading" xfId="437" xr:uid="{00000000-0005-0000-0000-0000BE010000}"/>
    <cellStyle name="Separador de milhares 2" xfId="586" xr:uid="{B1F87976-F9C1-4618-A5C8-5D029DD6C4F1}"/>
    <cellStyle name="Shaded" xfId="438" xr:uid="{00000000-0005-0000-0000-0000BF010000}"/>
    <cellStyle name="ShadedCells_Database" xfId="439" xr:uid="{00000000-0005-0000-0000-0000C0010000}"/>
    <cellStyle name="shaed" xfId="440" xr:uid="{00000000-0005-0000-0000-0000C1010000}"/>
    <cellStyle name="Share" xfId="441" xr:uid="{00000000-0005-0000-0000-0000C2010000}"/>
    <cellStyle name="Shares" xfId="442" xr:uid="{00000000-0005-0000-0000-0000C3010000}"/>
    <cellStyle name="Sheet Title" xfId="443" xr:uid="{00000000-0005-0000-0000-0000C4010000}"/>
    <cellStyle name="Single Accounting" xfId="444" xr:uid="{00000000-0005-0000-0000-0000C5010000}"/>
    <cellStyle name="Small Page Heading" xfId="445" xr:uid="{00000000-0005-0000-0000-0000C6010000}"/>
    <cellStyle name="Source" xfId="446" xr:uid="{00000000-0005-0000-0000-0000C7010000}"/>
    <cellStyle name="SS1000" xfId="447" xr:uid="{00000000-0005-0000-0000-0000C8010000}"/>
    <cellStyle name="Standard_Anpassen der Amortisation" xfId="448" xr:uid="{00000000-0005-0000-0000-0000C9010000}"/>
    <cellStyle name="Style 1" xfId="449" xr:uid="{00000000-0005-0000-0000-0000CA010000}"/>
    <cellStyle name="Style 2" xfId="45" xr:uid="{00000000-0005-0000-0000-0000CB010000}"/>
    <cellStyle name="Style D" xfId="450" xr:uid="{00000000-0005-0000-0000-0000CC010000}"/>
    <cellStyle name="Style D green" xfId="451" xr:uid="{00000000-0005-0000-0000-0000CD010000}"/>
    <cellStyle name="Style D_BPCitigroupWIP" xfId="452" xr:uid="{00000000-0005-0000-0000-0000CE010000}"/>
    <cellStyle name="Style E" xfId="453" xr:uid="{00000000-0005-0000-0000-0000CF010000}"/>
    <cellStyle name="Style G" xfId="454" xr:uid="{00000000-0005-0000-0000-0000D0010000}"/>
    <cellStyle name="Sub Category Title" xfId="455" xr:uid="{00000000-0005-0000-0000-0000D1010000}"/>
    <cellStyle name="Sub total" xfId="456" xr:uid="{00000000-0005-0000-0000-0000D2010000}"/>
    <cellStyle name="Subhead" xfId="457" xr:uid="{00000000-0005-0000-0000-0000D3010000}"/>
    <cellStyle name="SubHeading" xfId="458" xr:uid="{00000000-0005-0000-0000-0000D4010000}"/>
    <cellStyle name="Subscribers" xfId="459" xr:uid="{00000000-0005-0000-0000-0000D5010000}"/>
    <cellStyle name="Subtitle" xfId="460" xr:uid="{00000000-0005-0000-0000-0000D6010000}"/>
    <cellStyle name="SubTotal" xfId="461" xr:uid="{00000000-0005-0000-0000-0000D7010000}"/>
    <cellStyle name="Summary" xfId="462" xr:uid="{00000000-0005-0000-0000-0000D8010000}"/>
    <cellStyle name="SymbolBlue" xfId="463" xr:uid="{00000000-0005-0000-0000-0000D9010000}"/>
    <cellStyle name="t" xfId="464" xr:uid="{00000000-0005-0000-0000-0000DA010000}"/>
    <cellStyle name="Table Col Head" xfId="465" xr:uid="{00000000-0005-0000-0000-0000DB010000}"/>
    <cellStyle name="table column heading" xfId="466" xr:uid="{00000000-0005-0000-0000-0000DC010000}"/>
    <cellStyle name="Table end" xfId="467" xr:uid="{00000000-0005-0000-0000-0000DD010000}"/>
    <cellStyle name="Table head" xfId="468" xr:uid="{00000000-0005-0000-0000-0000DE010000}"/>
    <cellStyle name="Table Head Aligned" xfId="469" xr:uid="{00000000-0005-0000-0000-0000DF010000}"/>
    <cellStyle name="Table Head Blue" xfId="470" xr:uid="{00000000-0005-0000-0000-0000E0010000}"/>
    <cellStyle name="Table Head Green" xfId="471" xr:uid="{00000000-0005-0000-0000-0000E1010000}"/>
    <cellStyle name="Table Head_BPCitigroupWIP" xfId="472" xr:uid="{00000000-0005-0000-0000-0000E2010000}"/>
    <cellStyle name="Table Source" xfId="473" xr:uid="{00000000-0005-0000-0000-0000E3010000}"/>
    <cellStyle name="Table Sub Head" xfId="474" xr:uid="{00000000-0005-0000-0000-0000E4010000}"/>
    <cellStyle name="Table Sub Heading" xfId="475" xr:uid="{00000000-0005-0000-0000-0000E5010000}"/>
    <cellStyle name="Table Text" xfId="476" xr:uid="{00000000-0005-0000-0000-0000E6010000}"/>
    <cellStyle name="Table Title" xfId="477" xr:uid="{00000000-0005-0000-0000-0000E7010000}"/>
    <cellStyle name="Table Units" xfId="478" xr:uid="{00000000-0005-0000-0000-0000E8010000}"/>
    <cellStyle name="Table_Header_Units" xfId="479" xr:uid="{00000000-0005-0000-0000-0000E9010000}"/>
    <cellStyle name="TableBase" xfId="480" xr:uid="{00000000-0005-0000-0000-0000EA010000}"/>
    <cellStyle name="TableBody" xfId="481" xr:uid="{00000000-0005-0000-0000-0000EB010000}"/>
    <cellStyle name="TableBodyR" xfId="482" xr:uid="{00000000-0005-0000-0000-0000EC010000}"/>
    <cellStyle name="TableColHeads" xfId="483" xr:uid="{00000000-0005-0000-0000-0000ED010000}"/>
    <cellStyle name="TableColumnHeading" xfId="484" xr:uid="{00000000-0005-0000-0000-0000EE010000}"/>
    <cellStyle name="TableHead" xfId="485" xr:uid="{00000000-0005-0000-0000-0000EF010000}"/>
    <cellStyle name="TableName" xfId="486" xr:uid="{00000000-0005-0000-0000-0000F0010000}"/>
    <cellStyle name="TableSubTitleItalic" xfId="487" xr:uid="{00000000-0005-0000-0000-0000F1010000}"/>
    <cellStyle name="TableText" xfId="488" xr:uid="{00000000-0005-0000-0000-0000F2010000}"/>
    <cellStyle name="TableTitle" xfId="489" xr:uid="{00000000-0005-0000-0000-0000F3010000}"/>
    <cellStyle name="tcn" xfId="490" xr:uid="{00000000-0005-0000-0000-0000F4010000}"/>
    <cellStyle name="Terms" xfId="491" xr:uid="{00000000-0005-0000-0000-0000F5010000}"/>
    <cellStyle name="Text" xfId="492" xr:uid="{00000000-0005-0000-0000-0000F6010000}"/>
    <cellStyle name="Text 1" xfId="493" xr:uid="{00000000-0005-0000-0000-0000F7010000}"/>
    <cellStyle name="Text 2" xfId="494" xr:uid="{00000000-0005-0000-0000-0000F8010000}"/>
    <cellStyle name="Text 8" xfId="495" xr:uid="{00000000-0005-0000-0000-0000F9010000}"/>
    <cellStyle name="Text Head 1" xfId="496" xr:uid="{00000000-0005-0000-0000-0000FA010000}"/>
    <cellStyle name="Text Head 2" xfId="497" xr:uid="{00000000-0005-0000-0000-0000FB010000}"/>
    <cellStyle name="Text Indent 1" xfId="498" xr:uid="{00000000-0005-0000-0000-0000FC010000}"/>
    <cellStyle name="Text Indent 2" xfId="499" xr:uid="{00000000-0005-0000-0000-0000FD010000}"/>
    <cellStyle name="threedecplace" xfId="500" xr:uid="{00000000-0005-0000-0000-0000FE010000}"/>
    <cellStyle name="Time" xfId="501" xr:uid="{00000000-0005-0000-0000-0000FF010000}"/>
    <cellStyle name="Times" xfId="502" xr:uid="{00000000-0005-0000-0000-000000020000}"/>
    <cellStyle name="Times 10" xfId="503" xr:uid="{00000000-0005-0000-0000-000001020000}"/>
    <cellStyle name="Times 12" xfId="504" xr:uid="{00000000-0005-0000-0000-000002020000}"/>
    <cellStyle name="TIMES 9" xfId="505" xr:uid="{00000000-0005-0000-0000-000003020000}"/>
    <cellStyle name="Title - PROJECT" xfId="506" xr:uid="{00000000-0005-0000-0000-000004020000}"/>
    <cellStyle name="Title - Underline" xfId="507" xr:uid="{00000000-0005-0000-0000-000005020000}"/>
    <cellStyle name="Title II" xfId="508" xr:uid="{00000000-0005-0000-0000-000006020000}"/>
    <cellStyle name="Title Row" xfId="509" xr:uid="{00000000-0005-0000-0000-000007020000}"/>
    <cellStyle name="title1" xfId="510" xr:uid="{00000000-0005-0000-0000-000008020000}"/>
    <cellStyle name="Title10" xfId="511" xr:uid="{00000000-0005-0000-0000-000009020000}"/>
    <cellStyle name="title2" xfId="512" xr:uid="{00000000-0005-0000-0000-00000A020000}"/>
    <cellStyle name="Title8" xfId="513" xr:uid="{00000000-0005-0000-0000-00000B020000}"/>
    <cellStyle name="Title8Left" xfId="514" xr:uid="{00000000-0005-0000-0000-00000C020000}"/>
    <cellStyle name="TitleCenter" xfId="515" xr:uid="{00000000-0005-0000-0000-00000D020000}"/>
    <cellStyle name="TitleLeft" xfId="516" xr:uid="{00000000-0005-0000-0000-00000E020000}"/>
    <cellStyle name="Titles" xfId="517" xr:uid="{00000000-0005-0000-0000-00000F020000}"/>
    <cellStyle name="Titles - Col. Headings" xfId="518" xr:uid="{00000000-0005-0000-0000-000010020000}"/>
    <cellStyle name="Titles - Other" xfId="519" xr:uid="{00000000-0005-0000-0000-000011020000}"/>
    <cellStyle name="Titles_cusLUPA" xfId="583" xr:uid="{5E7764A1-DE0F-4647-B3AE-0BEFF75075C8}"/>
    <cellStyle name="Titles_Template_Industry" xfId="575" xr:uid="{00000000-0005-0000-0000-000012020000}"/>
    <cellStyle name="tn" xfId="520" xr:uid="{00000000-0005-0000-0000-000013020000}"/>
    <cellStyle name="TOC 1" xfId="521" xr:uid="{00000000-0005-0000-0000-000014020000}"/>
    <cellStyle name="TOC 2" xfId="522" xr:uid="{00000000-0005-0000-0000-000015020000}"/>
    <cellStyle name="tom" xfId="523" xr:uid="{00000000-0005-0000-0000-000016020000}"/>
    <cellStyle name="TopGrey" xfId="524" xr:uid="{00000000-0005-0000-0000-000017020000}"/>
    <cellStyle name="topline" xfId="525" xr:uid="{00000000-0005-0000-0000-000018020000}"/>
    <cellStyle name="Total Currency" xfId="526" xr:uid="{00000000-0005-0000-0000-000019020000}"/>
    <cellStyle name="Total Normal" xfId="527" xr:uid="{00000000-0005-0000-0000-00001A020000}"/>
    <cellStyle name="Totals" xfId="528" xr:uid="{00000000-0005-0000-0000-00001B020000}"/>
    <cellStyle name="Totals [2]" xfId="529" xr:uid="{00000000-0005-0000-0000-00001C020000}"/>
    <cellStyle name="TransVal" xfId="530" xr:uid="{00000000-0005-0000-0000-00001D020000}"/>
    <cellStyle name="twodecplace" xfId="531" xr:uid="{00000000-0005-0000-0000-00001E020000}"/>
    <cellStyle name="Twodig" xfId="532" xr:uid="{00000000-0005-0000-0000-00001F020000}"/>
    <cellStyle name="Ugly" xfId="533" xr:uid="{00000000-0005-0000-0000-000020020000}"/>
    <cellStyle name="Underline" xfId="534" xr:uid="{00000000-0005-0000-0000-000021020000}"/>
    <cellStyle name="UnderlineNormal" xfId="535" xr:uid="{00000000-0005-0000-0000-000022020000}"/>
    <cellStyle name="UNLocked" xfId="536" xr:uid="{00000000-0005-0000-0000-000023020000}"/>
    <cellStyle name="Unprot" xfId="537" xr:uid="{00000000-0005-0000-0000-000024020000}"/>
    <cellStyle name="Unprot$" xfId="538" xr:uid="{00000000-0005-0000-0000-000025020000}"/>
    <cellStyle name="Unprotect" xfId="539" xr:uid="{00000000-0005-0000-0000-000026020000}"/>
    <cellStyle name="Update" xfId="540" xr:uid="{00000000-0005-0000-0000-000027020000}"/>
    <cellStyle name="Upload Only" xfId="541" xr:uid="{00000000-0005-0000-0000-000028020000}"/>
    <cellStyle name="Validation" xfId="542" xr:uid="{00000000-0005-0000-0000-000029020000}"/>
    <cellStyle name="Valuation Bold" xfId="543" xr:uid="{00000000-0005-0000-0000-00002A020000}"/>
    <cellStyle name="Valuta" xfId="544" xr:uid="{00000000-0005-0000-0000-00002B020000}"/>
    <cellStyle name="Valuta (0)_ACTUAL 31-12-95" xfId="545" xr:uid="{00000000-0005-0000-0000-00002C020000}"/>
    <cellStyle name="Valuta_ACTUAL 31-12-95" xfId="546" xr:uid="{00000000-0005-0000-0000-00002D020000}"/>
    <cellStyle name="Valuutta_Layo9704" xfId="547" xr:uid="{00000000-0005-0000-0000-00002E020000}"/>
    <cellStyle name="Währung [0]_Compiling Utility Macros" xfId="549" xr:uid="{00000000-0005-0000-0000-00002F020000}"/>
    <cellStyle name="Währung_BackSheet" xfId="550" xr:uid="{00000000-0005-0000-0000-000030020000}"/>
    <cellStyle name="White" xfId="551" xr:uid="{00000000-0005-0000-0000-000031020000}"/>
    <cellStyle name="WhitePattern" xfId="552" xr:uid="{00000000-0005-0000-0000-000032020000}"/>
    <cellStyle name="WhitePattern1" xfId="553" xr:uid="{00000000-0005-0000-0000-000033020000}"/>
    <cellStyle name="WhiteText" xfId="554" xr:uid="{00000000-0005-0000-0000-000034020000}"/>
    <cellStyle name="WingdingsBlack" xfId="555" xr:uid="{00000000-0005-0000-0000-000035020000}"/>
    <cellStyle name="WingdingsRed" xfId="556" xr:uid="{00000000-0005-0000-0000-000036020000}"/>
    <cellStyle name="WingdingsWhite" xfId="557" xr:uid="{00000000-0005-0000-0000-000037020000}"/>
    <cellStyle name="WP" xfId="558" xr:uid="{00000000-0005-0000-0000-000038020000}"/>
    <cellStyle name="Wrap" xfId="559" xr:uid="{00000000-0005-0000-0000-000039020000}"/>
    <cellStyle name="wt'd avg fee" xfId="560" xr:uid="{00000000-0005-0000-0000-00003A020000}"/>
    <cellStyle name="x Men" xfId="561" xr:uid="{00000000-0005-0000-0000-00003B020000}"/>
    <cellStyle name="Year" xfId="562" xr:uid="{00000000-0005-0000-0000-00003C020000}"/>
    <cellStyle name="years" xfId="563" xr:uid="{00000000-0005-0000-0000-00003D020000}"/>
    <cellStyle name="Yen" xfId="564" xr:uid="{00000000-0005-0000-0000-00003E020000}"/>
    <cellStyle name="yer" xfId="565" xr:uid="{00000000-0005-0000-0000-00003F020000}"/>
    <cellStyle name="YesNo" xfId="566" xr:uid="{00000000-0005-0000-0000-000040020000}"/>
    <cellStyle name="Zero" xfId="567" xr:uid="{00000000-0005-0000-0000-000041020000}"/>
    <cellStyle name="桁区切り [0.00]_Hoshino" xfId="568" xr:uid="{00000000-0005-0000-0000-000042020000}"/>
    <cellStyle name="桁区切り_Hoshino" xfId="569" xr:uid="{00000000-0005-0000-0000-000043020000}"/>
    <cellStyle name="標準_3G" xfId="570" xr:uid="{00000000-0005-0000-0000-000044020000}"/>
    <cellStyle name="通貨 [0.00]_Hoshino" xfId="571" xr:uid="{00000000-0005-0000-0000-000045020000}"/>
    <cellStyle name="通貨_Hoshino" xfId="572" xr:uid="{00000000-0005-0000-0000-00004602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80"/>
      <rgbColor rgb="00008080"/>
      <rgbColor rgb="00C0C0C0"/>
      <rgbColor rgb="00777777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DDDDDD"/>
      <rgbColor rgb="00FFCC99"/>
      <rgbColor rgb="003366FF"/>
      <rgbColor rgb="0033CCCC"/>
      <rgbColor rgb="0099CC00"/>
      <rgbColor rgb="00FFCC00"/>
      <rgbColor rgb="00FF9900"/>
      <rgbColor rgb="00FF6600"/>
      <rgbColor rgb="005F5F5F"/>
      <rgbColor rgb="00969696"/>
      <rgbColor rgb="00003366"/>
      <rgbColor rgb="00339966"/>
      <rgbColor rgb="00003300"/>
      <rgbColor rgb="00333300"/>
      <rgbColor rgb="00993300"/>
      <rgbColor rgb="00B2B2B2"/>
      <rgbColor rgb="00292929"/>
      <rgbColor rgb="004D4D4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81478167119999"/>
          <c:y val="6.8046164232364259E-2"/>
          <c:w val="0.82964465235203533"/>
          <c:h val="0.81998696553074546"/>
        </c:manualLayout>
      </c:layout>
      <c:lineChart>
        <c:grouping val="standard"/>
        <c:varyColors val="0"/>
        <c:ser>
          <c:idx val="0"/>
          <c:order val="0"/>
          <c:tx>
            <c:strRef>
              <c:f>'Income Statement'!$A$97</c:f>
              <c:strCache>
                <c:ptCount val="1"/>
                <c:pt idx="0">
                  <c:v>ROE</c:v>
                </c:pt>
              </c:strCache>
            </c:strRef>
          </c:tx>
          <c:spPr>
            <a:ln>
              <a:solidFill>
                <a:srgbClr val="002B55"/>
              </a:solidFill>
              <a:prstDash val="solid"/>
            </a:ln>
          </c:spPr>
          <c:marker>
            <c:symbol val="none"/>
          </c:marker>
          <c:cat>
            <c:strRef>
              <c:f>'Income Statement'!$AJ$3:$BI$3</c:f>
              <c:strCache>
                <c:ptCount val="6"/>
                <c:pt idx="0">
                  <c:v>2010</c:v>
                </c:pt>
                <c:pt idx="1">
                  <c:v>2011</c:v>
                </c:pt>
                <c:pt idx="2">
                  <c:v> 2012 </c:v>
                </c:pt>
                <c:pt idx="3">
                  <c:v> 2013 </c:v>
                </c:pt>
                <c:pt idx="4">
                  <c:v> 2014 </c:v>
                </c:pt>
                <c:pt idx="5">
                  <c:v> 2015 </c:v>
                </c:pt>
              </c:strCache>
            </c:strRef>
          </c:cat>
          <c:val>
            <c:numRef>
              <c:f>'Income Statement'!$AJ$97:$BI$97</c:f>
              <c:numCache>
                <c:formatCode>0.0%</c:formatCode>
                <c:ptCount val="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DD-4A24-8EEC-001E135A5BBD}"/>
            </c:ext>
          </c:extLst>
        </c:ser>
        <c:ser>
          <c:idx val="1"/>
          <c:order val="1"/>
          <c:tx>
            <c:strRef>
              <c:f>'Income Statement'!$A$98</c:f>
              <c:strCache>
                <c:ptCount val="1"/>
                <c:pt idx="0">
                  <c:v>ROE ex-JVs</c:v>
                </c:pt>
              </c:strCache>
            </c:strRef>
          </c:tx>
          <c:spPr>
            <a:ln>
              <a:solidFill>
                <a:srgbClr val="0040B4"/>
              </a:solidFill>
              <a:prstDash val="solid"/>
            </a:ln>
          </c:spPr>
          <c:marker>
            <c:symbol val="none"/>
          </c:marker>
          <c:cat>
            <c:strRef>
              <c:f>'Income Statement'!$AJ$3:$BI$3</c:f>
              <c:strCache>
                <c:ptCount val="6"/>
                <c:pt idx="0">
                  <c:v>2010</c:v>
                </c:pt>
                <c:pt idx="1">
                  <c:v>2011</c:v>
                </c:pt>
                <c:pt idx="2">
                  <c:v> 2012 </c:v>
                </c:pt>
                <c:pt idx="3">
                  <c:v> 2013 </c:v>
                </c:pt>
                <c:pt idx="4">
                  <c:v> 2014 </c:v>
                </c:pt>
                <c:pt idx="5">
                  <c:v> 2015 </c:v>
                </c:pt>
              </c:strCache>
            </c:strRef>
          </c:cat>
          <c:val>
            <c:numRef>
              <c:f>'Income Statement'!$AJ$98:$BI$98</c:f>
              <c:numCache>
                <c:formatCode>0.0%</c:formatCode>
                <c:ptCount val="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7DD-4A24-8EEC-001E135A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525312"/>
        <c:axId val="288369664"/>
      </c:lineChart>
      <c:catAx>
        <c:axId val="286525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effectLst/>
        </c:spPr>
        <c:crossAx val="288369664"/>
        <c:crosses val="autoZero"/>
        <c:auto val="1"/>
        <c:lblAlgn val="ctr"/>
        <c:lblOffset val="100"/>
        <c:noMultiLvlLbl val="0"/>
      </c:catAx>
      <c:valAx>
        <c:axId val="288369664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spPr>
          <a:effectLst/>
        </c:spPr>
        <c:crossAx val="2865253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0577044080759"/>
          <c:y val="0.68047820330849507"/>
          <c:w val="0.56498164507260584"/>
          <c:h val="0.10301127413398226"/>
        </c:manualLayout>
      </c:layout>
      <c:overlay val="0"/>
      <c:spPr>
        <a:effectLst/>
      </c:spPr>
    </c:legend>
    <c:plotVisOnly val="1"/>
    <c:dispBlanksAs val="gap"/>
    <c:showDLblsOverMax val="0"/>
  </c:chart>
  <c:spPr>
    <a:solidFill>
      <a:srgbClr val="FFFFFF"/>
    </a:solidFill>
    <a:ln w="25400">
      <a:noFill/>
    </a:ln>
    <a:effectLst/>
  </c:spPr>
  <c:txPr>
    <a:bodyPr/>
    <a:lstStyle/>
    <a:p>
      <a:pPr>
        <a:defRPr sz="850" b="0" i="0" strike="noStrike" baseline="0">
          <a:latin typeface="Arial Narrow"/>
          <a:ea typeface="Arial Narrow"/>
          <a:cs typeface="Arial Narro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3" name="Picture 1" descr="cid:image001.jpg@01CD1268.003EB22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3" name="Picture 1" descr="cid:image001.jpg@01CD1268.003EB22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76</xdr:col>
      <xdr:colOff>104775</xdr:colOff>
      <xdr:row>97</xdr:row>
      <xdr:rowOff>100012</xdr:rowOff>
    </xdr:from>
    <xdr:to>
      <xdr:col>79</xdr:col>
      <xdr:colOff>542925</xdr:colOff>
      <xdr:row>108</xdr:row>
      <xdr:rowOff>48005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3" name="Picture 1" descr="cid:image001.jpg@01CD1268.003EB2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5" name="Picture 1" descr="cid:image001.jpg@01CD1268.003EB220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3" name="Picture 1" descr="cid:image001.jpg@01CD1268.003EB22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1019174</xdr:colOff>
      <xdr:row>0</xdr:row>
      <xdr:rowOff>370091</xdr:rowOff>
    </xdr:to>
    <xdr:pic>
      <xdr:nvPicPr>
        <xdr:cNvPr id="2" name="Picture 1" descr="cid:image001.jpg@01CD1268.003EB22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137</xdr:col>
      <xdr:colOff>0</xdr:colOff>
      <xdr:row>17</xdr:row>
      <xdr:rowOff>0</xdr:rowOff>
    </xdr:from>
    <xdr:to>
      <xdr:col>137</xdr:col>
      <xdr:colOff>0</xdr:colOff>
      <xdr:row>20</xdr:row>
      <xdr:rowOff>152400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00000000-0008-0000-0600-0000020C0000}"/>
            </a:ext>
          </a:extLst>
        </xdr:cNvPr>
        <xdr:cNvSpPr txBox="1">
          <a:spLocks noChangeArrowheads="1"/>
        </xdr:cNvSpPr>
      </xdr:nvSpPr>
      <xdr:spPr bwMode="auto">
        <a:xfrm>
          <a:off x="21336000" y="3562350"/>
          <a:ext cx="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Terminal Growth</a:t>
          </a:r>
        </a:p>
      </xdr:txBody>
    </xdr:sp>
    <xdr:clientData/>
  </xdr:twoCellAnchor>
  <xdr:twoCellAnchor>
    <xdr:from>
      <xdr:col>137</xdr:col>
      <xdr:colOff>0</xdr:colOff>
      <xdr:row>35</xdr:row>
      <xdr:rowOff>28575</xdr:rowOff>
    </xdr:from>
    <xdr:to>
      <xdr:col>137</xdr:col>
      <xdr:colOff>0</xdr:colOff>
      <xdr:row>37</xdr:row>
      <xdr:rowOff>152400</xdr:rowOff>
    </xdr:to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00000000-0008-0000-0600-0000040C0000}"/>
            </a:ext>
          </a:extLst>
        </xdr:cNvPr>
        <xdr:cNvSpPr txBox="1">
          <a:spLocks noChangeArrowheads="1"/>
        </xdr:cNvSpPr>
      </xdr:nvSpPr>
      <xdr:spPr bwMode="auto">
        <a:xfrm>
          <a:off x="21336000" y="6629400"/>
          <a:ext cx="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Shift in  Margin</a:t>
          </a:r>
        </a:p>
      </xdr:txBody>
    </xdr:sp>
    <xdr:clientData/>
  </xdr:twoCellAnchor>
  <xdr:twoCellAnchor>
    <xdr:from>
      <xdr:col>137</xdr:col>
      <xdr:colOff>0</xdr:colOff>
      <xdr:row>17</xdr:row>
      <xdr:rowOff>0</xdr:rowOff>
    </xdr:from>
    <xdr:to>
      <xdr:col>137</xdr:col>
      <xdr:colOff>0</xdr:colOff>
      <xdr:row>20</xdr:row>
      <xdr:rowOff>152400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21336000" y="3562350"/>
          <a:ext cx="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Terminal Growth</a:t>
          </a:r>
        </a:p>
      </xdr:txBody>
    </xdr:sp>
    <xdr:clientData/>
  </xdr:twoCellAnchor>
  <xdr:twoCellAnchor>
    <xdr:from>
      <xdr:col>137</xdr:col>
      <xdr:colOff>0</xdr:colOff>
      <xdr:row>31</xdr:row>
      <xdr:rowOff>3510</xdr:rowOff>
    </xdr:from>
    <xdr:to>
      <xdr:col>137</xdr:col>
      <xdr:colOff>0</xdr:colOff>
      <xdr:row>32</xdr:row>
      <xdr:rowOff>155302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>
          <a:spLocks noChangeArrowheads="1"/>
        </xdr:cNvSpPr>
      </xdr:nvSpPr>
      <xdr:spPr bwMode="auto">
        <a:xfrm>
          <a:off x="18478500" y="4804110"/>
          <a:ext cx="0" cy="3137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Shift in  Margin</a:t>
          </a:r>
        </a:p>
      </xdr:txBody>
    </xdr:sp>
    <xdr:clientData/>
  </xdr:twoCellAnchor>
  <xdr:twoCellAnchor>
    <xdr:from>
      <xdr:col>137</xdr:col>
      <xdr:colOff>0</xdr:colOff>
      <xdr:row>31</xdr:row>
      <xdr:rowOff>3510</xdr:rowOff>
    </xdr:from>
    <xdr:to>
      <xdr:col>137</xdr:col>
      <xdr:colOff>0</xdr:colOff>
      <xdr:row>32</xdr:row>
      <xdr:rowOff>155302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18478500" y="4804110"/>
          <a:ext cx="0" cy="3137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pt-BR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Shift in  Margin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1019174</xdr:colOff>
      <xdr:row>0</xdr:row>
      <xdr:rowOff>370091</xdr:rowOff>
    </xdr:to>
    <xdr:pic>
      <xdr:nvPicPr>
        <xdr:cNvPr id="8" name="Picture 1" descr="cid:image001.jpg@01CD1268.003EB22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4" cy="370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mbauva, Gustavo" id="{EA718550-695C-4944-808A-3137BCA26F77}" userId="S::Gustavo.Cambauva@btgpactual.com::57b87f58-ce76-49d1-8a03-0d85f47a301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P32" dT="2022-11-11T02:40:07.17" personId="{EA718550-695C-4944-808A-3137BCA26F77}" id="{31E22DF7-0709-4E05-8774-582A3FC106A9}">
    <text>gains in the sale of CURY3</text>
  </threadedComment>
  <threadedComment ref="CY32" dT="2024-08-08T22:23:41.49" personId="{EA718550-695C-4944-808A-3137BCA26F77}" id="{8284F7DF-810E-4210-A60A-11DCDB3B0119}">
    <text>R$59mn gain in the sale of Cury's shares</text>
  </threadedComment>
  <threadedComment ref="CY45" dT="2024-08-08T22:25:38.07" personId="{EA718550-695C-4944-808A-3137BCA26F77}" id="{FA3EC16F-FA78-4505-99DA-CBB9603D026C}">
    <text>Eden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X46" dT="2024-08-13T20:09:12.96" personId="{EA718550-695C-4944-808A-3137BCA26F77}" id="{EFE611BA-41EA-4478-8592-7630C991D1DD}">
    <text>All land swaps in Rio (Carvalho Hoskem) were removed from landbank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50"/>
  <sheetViews>
    <sheetView zoomScaleNormal="100" workbookViewId="0">
      <pane xSplit="1" ySplit="3" topLeftCell="CH4" activePane="bottomRight" state="frozen"/>
      <selection sqref="A1:IV65536"/>
      <selection pane="topRight" sqref="A1:IV65536"/>
      <selection pane="bottomLeft" sqref="A1:IV65536"/>
      <selection pane="bottomRight" activeCell="DI6" sqref="DI6"/>
    </sheetView>
  </sheetViews>
  <sheetFormatPr defaultColWidth="10.7109375" defaultRowHeight="12.75" outlineLevelCol="1"/>
  <cols>
    <col min="1" max="1" width="30.7109375" style="66" customWidth="1"/>
    <col min="2" max="5" width="10.7109375" style="66" hidden="1" customWidth="1" outlineLevel="1" collapsed="1"/>
    <col min="6" max="6" width="10.7109375" style="67" hidden="1" customWidth="1" collapsed="1"/>
    <col min="7" max="10" width="10.7109375" style="66" hidden="1" customWidth="1" outlineLevel="1" collapsed="1"/>
    <col min="11" max="11" width="10.7109375" style="67" hidden="1" customWidth="1" collapsed="1"/>
    <col min="12" max="13" width="10.7109375" style="66" hidden="1" customWidth="1" outlineLevel="1" collapsed="1"/>
    <col min="14" max="15" width="10.7109375" style="66" hidden="1" customWidth="1" outlineLevel="1"/>
    <col min="16" max="16" width="10.7109375" style="67" hidden="1" customWidth="1" collapsed="1"/>
    <col min="17" max="20" width="10.7109375" style="66" hidden="1" customWidth="1" outlineLevel="1"/>
    <col min="21" max="21" width="10.7109375" style="67" customWidth="1" collapsed="1"/>
    <col min="22" max="25" width="10.7109375" style="66" hidden="1" customWidth="1" outlineLevel="1"/>
    <col min="26" max="26" width="10.7109375" style="67" customWidth="1" collapsed="1"/>
    <col min="27" max="30" width="10.7109375" style="66" hidden="1" customWidth="1" outlineLevel="1"/>
    <col min="31" max="31" width="10.7109375" style="67" customWidth="1" collapsed="1"/>
    <col min="32" max="35" width="10.7109375" style="66" hidden="1" customWidth="1" outlineLevel="1"/>
    <col min="36" max="36" width="10.7109375" style="67" customWidth="1" collapsed="1"/>
    <col min="37" max="40" width="10.7109375" style="66" hidden="1" customWidth="1" outlineLevel="1"/>
    <col min="41" max="41" width="10.7109375" style="67" customWidth="1" collapsed="1"/>
    <col min="42" max="45" width="10.7109375" style="66" hidden="1" customWidth="1" outlineLevel="1"/>
    <col min="46" max="46" width="10.7109375" style="67" customWidth="1" collapsed="1"/>
    <col min="47" max="50" width="10.7109375" style="66" hidden="1" customWidth="1" outlineLevel="1"/>
    <col min="51" max="51" width="10.7109375" style="67" customWidth="1" collapsed="1"/>
    <col min="52" max="55" width="10.7109375" style="66" hidden="1" customWidth="1" outlineLevel="1"/>
    <col min="56" max="56" width="10.7109375" style="67" customWidth="1" collapsed="1"/>
    <col min="57" max="60" width="10.7109375" style="66" hidden="1" customWidth="1" outlineLevel="1"/>
    <col min="61" max="61" width="10.7109375" style="67" customWidth="1" collapsed="1"/>
    <col min="62" max="65" width="10.7109375" style="66" hidden="1" customWidth="1" outlineLevel="1"/>
    <col min="66" max="66" width="10.7109375" style="67" customWidth="1" collapsed="1"/>
    <col min="67" max="70" width="10.7109375" style="66" hidden="1" customWidth="1" outlineLevel="1"/>
    <col min="71" max="71" width="10.7109375" style="67" customWidth="1" collapsed="1"/>
    <col min="72" max="75" width="10.7109375" style="66" hidden="1" customWidth="1" outlineLevel="1"/>
    <col min="76" max="76" width="10.7109375" style="67" customWidth="1" collapsed="1"/>
    <col min="77" max="80" width="10.7109375" style="66" hidden="1" customWidth="1" outlineLevel="1"/>
    <col min="81" max="81" width="10.7109375" style="67" customWidth="1" collapsed="1"/>
    <col min="82" max="85" width="10.7109375" style="66" hidden="1" customWidth="1" outlineLevel="1"/>
    <col min="86" max="86" width="10.7109375" style="67" customWidth="1" collapsed="1"/>
    <col min="87" max="90" width="10.7109375" style="66" hidden="1" customWidth="1" outlineLevel="1"/>
    <col min="91" max="91" width="10.7109375" style="66" collapsed="1"/>
    <col min="92" max="95" width="10.7109375" style="66" hidden="1" customWidth="1" outlineLevel="1"/>
    <col min="96" max="96" width="10.7109375" style="66" collapsed="1"/>
    <col min="97" max="100" width="10.7109375" style="66" hidden="1" customWidth="1" outlineLevel="1"/>
    <col min="101" max="101" width="10.7109375" style="66" collapsed="1"/>
    <col min="102" max="105" width="10.7109375" style="66" hidden="1" customWidth="1" outlineLevel="1"/>
    <col min="106" max="106" width="10.7109375" style="66" collapsed="1"/>
    <col min="107" max="110" width="10.7109375" style="66" customWidth="1" outlineLevel="1"/>
    <col min="111" max="111" width="10.7109375" style="66"/>
    <col min="112" max="115" width="10.7109375" style="66" customWidth="1" outlineLevel="1"/>
    <col min="116" max="116" width="10.7109375" style="66"/>
    <col min="117" max="120" width="0" style="66" hidden="1" customWidth="1" outlineLevel="1"/>
    <col min="121" max="121" width="10.7109375" style="66" collapsed="1"/>
    <col min="122" max="125" width="0" style="66" hidden="1" customWidth="1" outlineLevel="1"/>
    <col min="126" max="126" width="10.7109375" style="66" collapsed="1"/>
    <col min="127" max="130" width="0" style="66" hidden="1" customWidth="1" outlineLevel="1"/>
    <col min="131" max="131" width="10.7109375" style="66" collapsed="1"/>
    <col min="132" max="135" width="0" style="66" hidden="1" customWidth="1" outlineLevel="1"/>
    <col min="136" max="136" width="10.7109375" style="66" collapsed="1"/>
    <col min="137" max="16384" width="10.7109375" style="66"/>
  </cols>
  <sheetData>
    <row r="1" spans="1:136" ht="30" customHeight="1"/>
    <row r="2" spans="1:136">
      <c r="A2" s="68" t="str">
        <f ca="1">DCF!$A$2</f>
        <v>Cyrela - TP: R$35</v>
      </c>
    </row>
    <row r="3" spans="1:136" s="283" customFormat="1" ht="13.5" customHeight="1" thickBot="1">
      <c r="A3" s="284" t="s">
        <v>76</v>
      </c>
      <c r="B3" s="285" t="str">
        <f t="shared" ref="B3:AX3" si="0">B4&amp;RIGHT(B5,2)&amp;B6</f>
        <v>1Q04</v>
      </c>
      <c r="C3" s="285" t="str">
        <f t="shared" si="0"/>
        <v>2Q04</v>
      </c>
      <c r="D3" s="285" t="str">
        <f t="shared" si="0"/>
        <v>3Q04</v>
      </c>
      <c r="E3" s="285" t="str">
        <f t="shared" si="0"/>
        <v>4Q04</v>
      </c>
      <c r="F3" s="286" t="str">
        <f t="shared" si="0"/>
        <v>2004</v>
      </c>
      <c r="G3" s="285" t="str">
        <f t="shared" si="0"/>
        <v>1Q05</v>
      </c>
      <c r="H3" s="285" t="str">
        <f t="shared" si="0"/>
        <v>2Q05</v>
      </c>
      <c r="I3" s="285" t="str">
        <f t="shared" si="0"/>
        <v>3Q05</v>
      </c>
      <c r="J3" s="285" t="str">
        <f t="shared" si="0"/>
        <v>4Q05</v>
      </c>
      <c r="K3" s="286" t="str">
        <f t="shared" si="0"/>
        <v>2005</v>
      </c>
      <c r="L3" s="285" t="str">
        <f t="shared" si="0"/>
        <v>1Q06</v>
      </c>
      <c r="M3" s="285" t="str">
        <f t="shared" si="0"/>
        <v>2Q06</v>
      </c>
      <c r="N3" s="285" t="str">
        <f t="shared" si="0"/>
        <v>3Q06</v>
      </c>
      <c r="O3" s="285" t="str">
        <f t="shared" si="0"/>
        <v>4Q06</v>
      </c>
      <c r="P3" s="286" t="str">
        <f t="shared" si="0"/>
        <v>2006</v>
      </c>
      <c r="Q3" s="285" t="str">
        <f t="shared" si="0"/>
        <v>1Q07</v>
      </c>
      <c r="R3" s="285" t="str">
        <f t="shared" si="0"/>
        <v>2Q07</v>
      </c>
      <c r="S3" s="285" t="str">
        <f t="shared" si="0"/>
        <v>3Q07</v>
      </c>
      <c r="T3" s="285" t="str">
        <f t="shared" si="0"/>
        <v>4Q07</v>
      </c>
      <c r="U3" s="286" t="str">
        <f t="shared" si="0"/>
        <v>2007</v>
      </c>
      <c r="V3" s="285" t="str">
        <f t="shared" si="0"/>
        <v>1Q08</v>
      </c>
      <c r="W3" s="285" t="str">
        <f t="shared" si="0"/>
        <v>2Q08</v>
      </c>
      <c r="X3" s="285" t="str">
        <f t="shared" si="0"/>
        <v>3Q08</v>
      </c>
      <c r="Y3" s="285" t="str">
        <f t="shared" si="0"/>
        <v>4Q08</v>
      </c>
      <c r="Z3" s="286" t="str">
        <f t="shared" si="0"/>
        <v>2008</v>
      </c>
      <c r="AA3" s="285" t="str">
        <f t="shared" si="0"/>
        <v>1Q09</v>
      </c>
      <c r="AB3" s="285" t="str">
        <f t="shared" si="0"/>
        <v>2Q09</v>
      </c>
      <c r="AC3" s="285" t="str">
        <f t="shared" si="0"/>
        <v>3Q09</v>
      </c>
      <c r="AD3" s="285" t="str">
        <f t="shared" si="0"/>
        <v>4Q09</v>
      </c>
      <c r="AE3" s="286" t="str">
        <f t="shared" si="0"/>
        <v>2009</v>
      </c>
      <c r="AF3" s="285" t="str">
        <f t="shared" si="0"/>
        <v>1Q10</v>
      </c>
      <c r="AG3" s="285" t="str">
        <f t="shared" si="0"/>
        <v>2Q10</v>
      </c>
      <c r="AH3" s="285" t="str">
        <f t="shared" si="0"/>
        <v>3Q10</v>
      </c>
      <c r="AI3" s="285" t="str">
        <f t="shared" si="0"/>
        <v>4Q10</v>
      </c>
      <c r="AJ3" s="286" t="str">
        <f t="shared" si="0"/>
        <v>2010</v>
      </c>
      <c r="AK3" s="285" t="str">
        <f t="shared" si="0"/>
        <v>1Q11</v>
      </c>
      <c r="AL3" s="285" t="str">
        <f t="shared" si="0"/>
        <v>2Q11</v>
      </c>
      <c r="AM3" s="285" t="str">
        <f t="shared" si="0"/>
        <v>3Q11</v>
      </c>
      <c r="AN3" s="285" t="str">
        <f t="shared" si="0"/>
        <v>4Q11</v>
      </c>
      <c r="AO3" s="286" t="str">
        <f t="shared" si="0"/>
        <v>2011</v>
      </c>
      <c r="AP3" s="285" t="str">
        <f t="shared" si="0"/>
        <v>1Q12</v>
      </c>
      <c r="AQ3" s="285" t="str">
        <f t="shared" si="0"/>
        <v>2Q12</v>
      </c>
      <c r="AR3" s="285" t="str">
        <f t="shared" si="0"/>
        <v>3Q12</v>
      </c>
      <c r="AS3" s="285" t="str">
        <f t="shared" si="0"/>
        <v>4Q12</v>
      </c>
      <c r="AT3" s="286" t="str">
        <f t="shared" si="0"/>
        <v>2012</v>
      </c>
      <c r="AU3" s="285" t="str">
        <f t="shared" si="0"/>
        <v>1Q13</v>
      </c>
      <c r="AV3" s="285" t="str">
        <f t="shared" si="0"/>
        <v>2Q13</v>
      </c>
      <c r="AW3" s="285" t="str">
        <f t="shared" si="0"/>
        <v>3Q13</v>
      </c>
      <c r="AX3" s="285" t="str">
        <f t="shared" si="0"/>
        <v>4Q13</v>
      </c>
      <c r="AY3" s="286" t="str">
        <f t="shared" ref="AY3:CH3" si="1">AY4&amp;RIGHT(AY5,2)&amp;AY6</f>
        <v>2013</v>
      </c>
      <c r="AZ3" s="285" t="str">
        <f t="shared" si="1"/>
        <v>1Q14</v>
      </c>
      <c r="BA3" s="285" t="str">
        <f t="shared" si="1"/>
        <v>2Q14</v>
      </c>
      <c r="BB3" s="285" t="str">
        <f t="shared" si="1"/>
        <v>3Q14</v>
      </c>
      <c r="BC3" s="285" t="str">
        <f t="shared" si="1"/>
        <v>4Q14</v>
      </c>
      <c r="BD3" s="286" t="str">
        <f t="shared" si="1"/>
        <v>2014</v>
      </c>
      <c r="BE3" s="285" t="str">
        <f t="shared" si="1"/>
        <v>1Q15</v>
      </c>
      <c r="BF3" s="285" t="str">
        <f t="shared" si="1"/>
        <v>2Q15</v>
      </c>
      <c r="BG3" s="285" t="str">
        <f t="shared" si="1"/>
        <v>3Q15</v>
      </c>
      <c r="BH3" s="285" t="str">
        <f t="shared" si="1"/>
        <v>4Q15</v>
      </c>
      <c r="BI3" s="286" t="str">
        <f t="shared" si="1"/>
        <v>2015</v>
      </c>
      <c r="BJ3" s="285" t="str">
        <f t="shared" si="1"/>
        <v>1Q16</v>
      </c>
      <c r="BK3" s="285" t="str">
        <f t="shared" si="1"/>
        <v>2Q16</v>
      </c>
      <c r="BL3" s="285" t="str">
        <f t="shared" si="1"/>
        <v>3Q16</v>
      </c>
      <c r="BM3" s="285" t="str">
        <f t="shared" si="1"/>
        <v>4Q16</v>
      </c>
      <c r="BN3" s="286" t="str">
        <f t="shared" si="1"/>
        <v>2016</v>
      </c>
      <c r="BO3" s="285" t="str">
        <f t="shared" si="1"/>
        <v>1Q17</v>
      </c>
      <c r="BP3" s="285" t="str">
        <f t="shared" si="1"/>
        <v>2Q17</v>
      </c>
      <c r="BQ3" s="285" t="str">
        <f t="shared" si="1"/>
        <v>3Q17</v>
      </c>
      <c r="BR3" s="285" t="str">
        <f t="shared" si="1"/>
        <v>4Q17</v>
      </c>
      <c r="BS3" s="286" t="str">
        <f t="shared" si="1"/>
        <v>2017</v>
      </c>
      <c r="BT3" s="285" t="str">
        <f t="shared" si="1"/>
        <v>1Q18</v>
      </c>
      <c r="BU3" s="285" t="str">
        <f t="shared" si="1"/>
        <v>2Q18</v>
      </c>
      <c r="BV3" s="285" t="str">
        <f t="shared" si="1"/>
        <v>3Q18</v>
      </c>
      <c r="BW3" s="285" t="str">
        <f t="shared" si="1"/>
        <v>4Q18</v>
      </c>
      <c r="BX3" s="286" t="str">
        <f t="shared" si="1"/>
        <v>2018</v>
      </c>
      <c r="BY3" s="285" t="str">
        <f t="shared" si="1"/>
        <v>1Q19</v>
      </c>
      <c r="BZ3" s="285" t="str">
        <f t="shared" si="1"/>
        <v>2Q19</v>
      </c>
      <c r="CA3" s="285" t="str">
        <f t="shared" si="1"/>
        <v>3Q19</v>
      </c>
      <c r="CB3" s="285" t="str">
        <f t="shared" si="1"/>
        <v>4Q19</v>
      </c>
      <c r="CC3" s="286" t="str">
        <f t="shared" si="1"/>
        <v>2019</v>
      </c>
      <c r="CD3" s="285" t="str">
        <f t="shared" si="1"/>
        <v>1Q20</v>
      </c>
      <c r="CE3" s="285" t="str">
        <f t="shared" si="1"/>
        <v>2Q20</v>
      </c>
      <c r="CF3" s="285" t="str">
        <f t="shared" si="1"/>
        <v>3Q20</v>
      </c>
      <c r="CG3" s="285" t="str">
        <f t="shared" si="1"/>
        <v>4Q20</v>
      </c>
      <c r="CH3" s="286" t="str">
        <f t="shared" si="1"/>
        <v>2020</v>
      </c>
      <c r="CI3" s="285" t="str">
        <f t="shared" ref="CI3:DG3" si="2">CI4&amp;RIGHT(CI5,2)&amp;CI6</f>
        <v>1Q21</v>
      </c>
      <c r="CJ3" s="285" t="str">
        <f t="shared" si="2"/>
        <v>2Q21</v>
      </c>
      <c r="CK3" s="285" t="str">
        <f t="shared" si="2"/>
        <v>3Q21</v>
      </c>
      <c r="CL3" s="285" t="str">
        <f t="shared" si="2"/>
        <v>4Q21</v>
      </c>
      <c r="CM3" s="286" t="str">
        <f t="shared" si="2"/>
        <v>2021</v>
      </c>
      <c r="CN3" s="285" t="str">
        <f t="shared" si="2"/>
        <v>1Q22</v>
      </c>
      <c r="CO3" s="285" t="str">
        <f t="shared" si="2"/>
        <v>2Q22</v>
      </c>
      <c r="CP3" s="285" t="str">
        <f t="shared" si="2"/>
        <v>3Q22</v>
      </c>
      <c r="CQ3" s="285" t="str">
        <f t="shared" si="2"/>
        <v>4Q22</v>
      </c>
      <c r="CR3" s="286" t="str">
        <f t="shared" si="2"/>
        <v>2022</v>
      </c>
      <c r="CS3" s="285" t="str">
        <f t="shared" si="2"/>
        <v>1Q23</v>
      </c>
      <c r="CT3" s="285" t="str">
        <f t="shared" si="2"/>
        <v>2Q23</v>
      </c>
      <c r="CU3" s="285" t="str">
        <f t="shared" si="2"/>
        <v>3Q23</v>
      </c>
      <c r="CV3" s="285" t="str">
        <f t="shared" si="2"/>
        <v>4Q23</v>
      </c>
      <c r="CW3" s="286" t="str">
        <f t="shared" si="2"/>
        <v>2023</v>
      </c>
      <c r="CX3" s="285" t="str">
        <f t="shared" si="2"/>
        <v>1Q24</v>
      </c>
      <c r="CY3" s="285" t="str">
        <f t="shared" si="2"/>
        <v>2Q24</v>
      </c>
      <c r="CZ3" s="285" t="str">
        <f t="shared" si="2"/>
        <v>3Q24</v>
      </c>
      <c r="DA3" s="285" t="str">
        <f t="shared" si="2"/>
        <v>4Q24</v>
      </c>
      <c r="DB3" s="286" t="str">
        <f t="shared" si="2"/>
        <v>2024</v>
      </c>
      <c r="DC3" s="285" t="str">
        <f t="shared" si="2"/>
        <v>1Q25</v>
      </c>
      <c r="DD3" s="285" t="str">
        <f t="shared" si="2"/>
        <v>2Q25</v>
      </c>
      <c r="DE3" s="285" t="str">
        <f t="shared" si="2"/>
        <v>3Q25</v>
      </c>
      <c r="DF3" s="285" t="str">
        <f t="shared" si="2"/>
        <v>4Q25</v>
      </c>
      <c r="DG3" s="286" t="str">
        <f t="shared" si="2"/>
        <v>2025</v>
      </c>
      <c r="DH3" s="285" t="str">
        <f t="shared" ref="DH3:EF3" si="3">DH4&amp;RIGHT(DH5,2)&amp;DH6</f>
        <v>1Q26</v>
      </c>
      <c r="DI3" s="285" t="str">
        <f t="shared" si="3"/>
        <v>2Q26</v>
      </c>
      <c r="DJ3" s="285" t="str">
        <f t="shared" si="3"/>
        <v>3Q26E</v>
      </c>
      <c r="DK3" s="285" t="str">
        <f t="shared" si="3"/>
        <v>4Q26E</v>
      </c>
      <c r="DL3" s="286" t="str">
        <f t="shared" si="3"/>
        <v>2026E</v>
      </c>
      <c r="DM3" s="285" t="str">
        <f t="shared" si="3"/>
        <v>1Q27E</v>
      </c>
      <c r="DN3" s="285" t="str">
        <f t="shared" si="3"/>
        <v>2Q27E</v>
      </c>
      <c r="DO3" s="285" t="str">
        <f t="shared" si="3"/>
        <v>3Q27E</v>
      </c>
      <c r="DP3" s="285" t="str">
        <f t="shared" si="3"/>
        <v>4Q27E</v>
      </c>
      <c r="DQ3" s="286" t="str">
        <f t="shared" si="3"/>
        <v>2027E</v>
      </c>
      <c r="DR3" s="285" t="str">
        <f t="shared" si="3"/>
        <v>1Q28E</v>
      </c>
      <c r="DS3" s="285" t="str">
        <f t="shared" si="3"/>
        <v>2Q28E</v>
      </c>
      <c r="DT3" s="285" t="str">
        <f t="shared" si="3"/>
        <v>3Q28E</v>
      </c>
      <c r="DU3" s="285" t="str">
        <f t="shared" si="3"/>
        <v>4Q28E</v>
      </c>
      <c r="DV3" s="286" t="str">
        <f t="shared" si="3"/>
        <v>2028E</v>
      </c>
      <c r="DW3" s="285" t="str">
        <f t="shared" si="3"/>
        <v>1Q29E</v>
      </c>
      <c r="DX3" s="285" t="str">
        <f t="shared" si="3"/>
        <v>2Q29E</v>
      </c>
      <c r="DY3" s="285" t="str">
        <f t="shared" si="3"/>
        <v>3Q29E</v>
      </c>
      <c r="DZ3" s="285" t="str">
        <f t="shared" si="3"/>
        <v>4Q29E</v>
      </c>
      <c r="EA3" s="286" t="str">
        <f t="shared" si="3"/>
        <v>2029E</v>
      </c>
      <c r="EB3" s="285" t="str">
        <f t="shared" si="3"/>
        <v>1Q30E</v>
      </c>
      <c r="EC3" s="285" t="str">
        <f t="shared" si="3"/>
        <v>2Q30E</v>
      </c>
      <c r="ED3" s="285" t="str">
        <f t="shared" si="3"/>
        <v>3Q30E</v>
      </c>
      <c r="EE3" s="285" t="str">
        <f t="shared" si="3"/>
        <v>4Q30E</v>
      </c>
      <c r="EF3" s="286" t="str">
        <f t="shared" si="3"/>
        <v>2030E</v>
      </c>
    </row>
    <row r="4" spans="1:136" s="287" customFormat="1" ht="13.5" customHeight="1">
      <c r="A4" s="288" t="s">
        <v>677</v>
      </c>
      <c r="B4" s="289" t="s">
        <v>678</v>
      </c>
      <c r="C4" s="289" t="s">
        <v>679</v>
      </c>
      <c r="D4" s="289" t="s">
        <v>680</v>
      </c>
      <c r="E4" s="289" t="s">
        <v>681</v>
      </c>
      <c r="F4" s="290">
        <v>20</v>
      </c>
      <c r="G4" s="289" t="s">
        <v>678</v>
      </c>
      <c r="H4" s="289" t="s">
        <v>679</v>
      </c>
      <c r="I4" s="289" t="s">
        <v>680</v>
      </c>
      <c r="J4" s="289" t="s">
        <v>681</v>
      </c>
      <c r="K4" s="290">
        <v>20</v>
      </c>
      <c r="L4" s="289" t="s">
        <v>678</v>
      </c>
      <c r="M4" s="289" t="s">
        <v>679</v>
      </c>
      <c r="N4" s="289" t="s">
        <v>680</v>
      </c>
      <c r="O4" s="289" t="s">
        <v>681</v>
      </c>
      <c r="P4" s="290">
        <v>20</v>
      </c>
      <c r="Q4" s="289" t="s">
        <v>678</v>
      </c>
      <c r="R4" s="289" t="s">
        <v>679</v>
      </c>
      <c r="S4" s="289" t="s">
        <v>680</v>
      </c>
      <c r="T4" s="289" t="s">
        <v>681</v>
      </c>
      <c r="U4" s="290">
        <v>20</v>
      </c>
      <c r="V4" s="289" t="s">
        <v>678</v>
      </c>
      <c r="W4" s="289" t="s">
        <v>679</v>
      </c>
      <c r="X4" s="289" t="s">
        <v>680</v>
      </c>
      <c r="Y4" s="289" t="s">
        <v>681</v>
      </c>
      <c r="Z4" s="290">
        <v>20</v>
      </c>
      <c r="AA4" s="289" t="s">
        <v>678</v>
      </c>
      <c r="AB4" s="289" t="s">
        <v>679</v>
      </c>
      <c r="AC4" s="289" t="s">
        <v>680</v>
      </c>
      <c r="AD4" s="289" t="s">
        <v>681</v>
      </c>
      <c r="AE4" s="290">
        <v>20</v>
      </c>
      <c r="AF4" s="289" t="s">
        <v>678</v>
      </c>
      <c r="AG4" s="289" t="s">
        <v>679</v>
      </c>
      <c r="AH4" s="289" t="s">
        <v>680</v>
      </c>
      <c r="AI4" s="289" t="s">
        <v>681</v>
      </c>
      <c r="AJ4" s="290">
        <v>20</v>
      </c>
      <c r="AK4" s="289" t="s">
        <v>678</v>
      </c>
      <c r="AL4" s="289" t="s">
        <v>679</v>
      </c>
      <c r="AM4" s="289" t="s">
        <v>680</v>
      </c>
      <c r="AN4" s="289" t="s">
        <v>681</v>
      </c>
      <c r="AO4" s="290">
        <v>20</v>
      </c>
      <c r="AP4" s="289" t="s">
        <v>678</v>
      </c>
      <c r="AQ4" s="289" t="s">
        <v>679</v>
      </c>
      <c r="AR4" s="289" t="s">
        <v>680</v>
      </c>
      <c r="AS4" s="289" t="s">
        <v>681</v>
      </c>
      <c r="AT4" s="290">
        <v>20</v>
      </c>
      <c r="AU4" s="289" t="s">
        <v>678</v>
      </c>
      <c r="AV4" s="289" t="s">
        <v>679</v>
      </c>
      <c r="AW4" s="289" t="s">
        <v>680</v>
      </c>
      <c r="AX4" s="289" t="s">
        <v>681</v>
      </c>
      <c r="AY4" s="290">
        <v>20</v>
      </c>
      <c r="AZ4" s="289" t="s">
        <v>678</v>
      </c>
      <c r="BA4" s="289" t="s">
        <v>679</v>
      </c>
      <c r="BB4" s="289" t="s">
        <v>680</v>
      </c>
      <c r="BC4" s="289" t="s">
        <v>681</v>
      </c>
      <c r="BD4" s="290">
        <v>20</v>
      </c>
      <c r="BE4" s="289" t="s">
        <v>678</v>
      </c>
      <c r="BF4" s="289" t="s">
        <v>679</v>
      </c>
      <c r="BG4" s="289" t="s">
        <v>680</v>
      </c>
      <c r="BH4" s="289" t="s">
        <v>681</v>
      </c>
      <c r="BI4" s="290">
        <v>20</v>
      </c>
      <c r="BJ4" s="289" t="s">
        <v>678</v>
      </c>
      <c r="BK4" s="289" t="s">
        <v>679</v>
      </c>
      <c r="BL4" s="289" t="s">
        <v>680</v>
      </c>
      <c r="BM4" s="289" t="s">
        <v>681</v>
      </c>
      <c r="BN4" s="290">
        <v>20</v>
      </c>
      <c r="BO4" s="289" t="s">
        <v>678</v>
      </c>
      <c r="BP4" s="289" t="s">
        <v>679</v>
      </c>
      <c r="BQ4" s="289" t="s">
        <v>680</v>
      </c>
      <c r="BR4" s="289" t="s">
        <v>681</v>
      </c>
      <c r="BS4" s="290">
        <v>20</v>
      </c>
      <c r="BT4" s="289" t="s">
        <v>678</v>
      </c>
      <c r="BU4" s="289" t="s">
        <v>679</v>
      </c>
      <c r="BV4" s="289" t="s">
        <v>680</v>
      </c>
      <c r="BW4" s="289" t="s">
        <v>681</v>
      </c>
      <c r="BX4" s="290">
        <v>20</v>
      </c>
      <c r="BY4" s="289" t="s">
        <v>678</v>
      </c>
      <c r="BZ4" s="289" t="s">
        <v>679</v>
      </c>
      <c r="CA4" s="289" t="s">
        <v>680</v>
      </c>
      <c r="CB4" s="289" t="s">
        <v>681</v>
      </c>
      <c r="CC4" s="290">
        <v>20</v>
      </c>
      <c r="CD4" s="289" t="s">
        <v>678</v>
      </c>
      <c r="CE4" s="289" t="s">
        <v>679</v>
      </c>
      <c r="CF4" s="289" t="s">
        <v>680</v>
      </c>
      <c r="CG4" s="289" t="s">
        <v>681</v>
      </c>
      <c r="CH4" s="290">
        <v>20</v>
      </c>
      <c r="CI4" s="289" t="s">
        <v>678</v>
      </c>
      <c r="CJ4" s="289" t="s">
        <v>679</v>
      </c>
      <c r="CK4" s="289" t="s">
        <v>680</v>
      </c>
      <c r="CL4" s="289" t="s">
        <v>681</v>
      </c>
      <c r="CM4" s="290">
        <v>20</v>
      </c>
      <c r="CN4" s="289" t="s">
        <v>678</v>
      </c>
      <c r="CO4" s="289" t="s">
        <v>679</v>
      </c>
      <c r="CP4" s="289" t="s">
        <v>680</v>
      </c>
      <c r="CQ4" s="289" t="s">
        <v>681</v>
      </c>
      <c r="CR4" s="290">
        <v>20</v>
      </c>
      <c r="CS4" s="289" t="s">
        <v>678</v>
      </c>
      <c r="CT4" s="289" t="s">
        <v>679</v>
      </c>
      <c r="CU4" s="289" t="s">
        <v>680</v>
      </c>
      <c r="CV4" s="289" t="s">
        <v>681</v>
      </c>
      <c r="CW4" s="290">
        <v>20</v>
      </c>
      <c r="CX4" s="289" t="s">
        <v>678</v>
      </c>
      <c r="CY4" s="289" t="s">
        <v>679</v>
      </c>
      <c r="CZ4" s="289" t="s">
        <v>680</v>
      </c>
      <c r="DA4" s="289" t="s">
        <v>681</v>
      </c>
      <c r="DB4" s="290">
        <v>20</v>
      </c>
      <c r="DC4" s="289" t="s">
        <v>678</v>
      </c>
      <c r="DD4" s="289" t="s">
        <v>679</v>
      </c>
      <c r="DE4" s="289" t="s">
        <v>680</v>
      </c>
      <c r="DF4" s="289" t="s">
        <v>681</v>
      </c>
      <c r="DG4" s="290">
        <v>20</v>
      </c>
      <c r="DH4" s="289" t="s">
        <v>678</v>
      </c>
      <c r="DI4" s="289" t="s">
        <v>679</v>
      </c>
      <c r="DJ4" s="289" t="s">
        <v>680</v>
      </c>
      <c r="DK4" s="289" t="s">
        <v>681</v>
      </c>
      <c r="DL4" s="290">
        <v>20</v>
      </c>
      <c r="DM4" s="289" t="s">
        <v>678</v>
      </c>
      <c r="DN4" s="289" t="s">
        <v>679</v>
      </c>
      <c r="DO4" s="289" t="s">
        <v>680</v>
      </c>
      <c r="DP4" s="289" t="s">
        <v>681</v>
      </c>
      <c r="DQ4" s="290">
        <v>20</v>
      </c>
      <c r="DR4" s="289" t="s">
        <v>678</v>
      </c>
      <c r="DS4" s="289" t="s">
        <v>679</v>
      </c>
      <c r="DT4" s="289" t="s">
        <v>680</v>
      </c>
      <c r="DU4" s="289" t="s">
        <v>681</v>
      </c>
      <c r="DV4" s="290">
        <v>20</v>
      </c>
      <c r="DW4" s="289" t="s">
        <v>678</v>
      </c>
      <c r="DX4" s="289" t="s">
        <v>679</v>
      </c>
      <c r="DY4" s="289" t="s">
        <v>680</v>
      </c>
      <c r="DZ4" s="289" t="s">
        <v>681</v>
      </c>
      <c r="EA4" s="290">
        <v>20</v>
      </c>
      <c r="EB4" s="289" t="s">
        <v>678</v>
      </c>
      <c r="EC4" s="289" t="s">
        <v>679</v>
      </c>
      <c r="ED4" s="289" t="s">
        <v>680</v>
      </c>
      <c r="EE4" s="289" t="s">
        <v>681</v>
      </c>
      <c r="EF4" s="290">
        <v>20</v>
      </c>
    </row>
    <row r="5" spans="1:136" s="287" customFormat="1" ht="13.5" customHeight="1">
      <c r="A5" s="288" t="s">
        <v>682</v>
      </c>
      <c r="B5" s="289">
        <v>2004</v>
      </c>
      <c r="C5" s="289">
        <v>2004</v>
      </c>
      <c r="D5" s="289">
        <v>2004</v>
      </c>
      <c r="E5" s="289">
        <v>2004</v>
      </c>
      <c r="F5" s="290">
        <f>E5</f>
        <v>2004</v>
      </c>
      <c r="G5" s="289">
        <f>B5+1</f>
        <v>2005</v>
      </c>
      <c r="H5" s="289">
        <f>C5+1</f>
        <v>2005</v>
      </c>
      <c r="I5" s="289">
        <f>D5+1</f>
        <v>2005</v>
      </c>
      <c r="J5" s="289">
        <f>E5+1</f>
        <v>2005</v>
      </c>
      <c r="K5" s="290">
        <f>J5</f>
        <v>2005</v>
      </c>
      <c r="L5" s="289">
        <f>G5+1</f>
        <v>2006</v>
      </c>
      <c r="M5" s="289">
        <f>H5+1</f>
        <v>2006</v>
      </c>
      <c r="N5" s="289">
        <f>I5+1</f>
        <v>2006</v>
      </c>
      <c r="O5" s="289">
        <f>J5+1</f>
        <v>2006</v>
      </c>
      <c r="P5" s="290">
        <f>O5</f>
        <v>2006</v>
      </c>
      <c r="Q5" s="289">
        <f>L5+1</f>
        <v>2007</v>
      </c>
      <c r="R5" s="289">
        <f>M5+1</f>
        <v>2007</v>
      </c>
      <c r="S5" s="289">
        <f>N5+1</f>
        <v>2007</v>
      </c>
      <c r="T5" s="289">
        <f>O5+1</f>
        <v>2007</v>
      </c>
      <c r="U5" s="290">
        <f>T5</f>
        <v>2007</v>
      </c>
      <c r="V5" s="289">
        <f>Q5+1</f>
        <v>2008</v>
      </c>
      <c r="W5" s="289">
        <f>R5+1</f>
        <v>2008</v>
      </c>
      <c r="X5" s="289">
        <f>S5+1</f>
        <v>2008</v>
      </c>
      <c r="Y5" s="289">
        <f>T5+1</f>
        <v>2008</v>
      </c>
      <c r="Z5" s="290">
        <f>Y5</f>
        <v>2008</v>
      </c>
      <c r="AA5" s="289">
        <f>V5+1</f>
        <v>2009</v>
      </c>
      <c r="AB5" s="289">
        <f>W5+1</f>
        <v>2009</v>
      </c>
      <c r="AC5" s="289">
        <f>X5+1</f>
        <v>2009</v>
      </c>
      <c r="AD5" s="289">
        <f>Y5+1</f>
        <v>2009</v>
      </c>
      <c r="AE5" s="290">
        <f>AD5</f>
        <v>2009</v>
      </c>
      <c r="AF5" s="289">
        <f>AA5+1</f>
        <v>2010</v>
      </c>
      <c r="AG5" s="289">
        <f>AB5+1</f>
        <v>2010</v>
      </c>
      <c r="AH5" s="289">
        <f>AC5+1</f>
        <v>2010</v>
      </c>
      <c r="AI5" s="289">
        <f>AD5+1</f>
        <v>2010</v>
      </c>
      <c r="AJ5" s="290">
        <f>AI5</f>
        <v>2010</v>
      </c>
      <c r="AK5" s="289">
        <f>AF5+1</f>
        <v>2011</v>
      </c>
      <c r="AL5" s="289">
        <f>AG5+1</f>
        <v>2011</v>
      </c>
      <c r="AM5" s="289">
        <f>AH5+1</f>
        <v>2011</v>
      </c>
      <c r="AN5" s="289">
        <f>AI5+1</f>
        <v>2011</v>
      </c>
      <c r="AO5" s="290">
        <f>AN5</f>
        <v>2011</v>
      </c>
      <c r="AP5" s="289">
        <f t="shared" ref="AP5:CH5" si="4">AK5+1</f>
        <v>2012</v>
      </c>
      <c r="AQ5" s="289">
        <f t="shared" si="4"/>
        <v>2012</v>
      </c>
      <c r="AR5" s="289">
        <f t="shared" si="4"/>
        <v>2012</v>
      </c>
      <c r="AS5" s="289">
        <f t="shared" si="4"/>
        <v>2012</v>
      </c>
      <c r="AT5" s="290">
        <f t="shared" si="4"/>
        <v>2012</v>
      </c>
      <c r="AU5" s="289">
        <f t="shared" si="4"/>
        <v>2013</v>
      </c>
      <c r="AV5" s="289">
        <f t="shared" si="4"/>
        <v>2013</v>
      </c>
      <c r="AW5" s="289">
        <f t="shared" si="4"/>
        <v>2013</v>
      </c>
      <c r="AX5" s="289">
        <f t="shared" si="4"/>
        <v>2013</v>
      </c>
      <c r="AY5" s="290">
        <f t="shared" si="4"/>
        <v>2013</v>
      </c>
      <c r="AZ5" s="289">
        <f t="shared" si="4"/>
        <v>2014</v>
      </c>
      <c r="BA5" s="289">
        <f t="shared" si="4"/>
        <v>2014</v>
      </c>
      <c r="BB5" s="289">
        <f t="shared" si="4"/>
        <v>2014</v>
      </c>
      <c r="BC5" s="289">
        <f t="shared" si="4"/>
        <v>2014</v>
      </c>
      <c r="BD5" s="290">
        <f t="shared" si="4"/>
        <v>2014</v>
      </c>
      <c r="BE5" s="289">
        <f t="shared" si="4"/>
        <v>2015</v>
      </c>
      <c r="BF5" s="289">
        <f t="shared" si="4"/>
        <v>2015</v>
      </c>
      <c r="BG5" s="289">
        <f t="shared" si="4"/>
        <v>2015</v>
      </c>
      <c r="BH5" s="289">
        <f t="shared" si="4"/>
        <v>2015</v>
      </c>
      <c r="BI5" s="290">
        <f t="shared" si="4"/>
        <v>2015</v>
      </c>
      <c r="BJ5" s="289">
        <f t="shared" si="4"/>
        <v>2016</v>
      </c>
      <c r="BK5" s="289">
        <f t="shared" si="4"/>
        <v>2016</v>
      </c>
      <c r="BL5" s="289">
        <f t="shared" si="4"/>
        <v>2016</v>
      </c>
      <c r="BM5" s="289">
        <f t="shared" si="4"/>
        <v>2016</v>
      </c>
      <c r="BN5" s="290">
        <f t="shared" si="4"/>
        <v>2016</v>
      </c>
      <c r="BO5" s="289">
        <f t="shared" si="4"/>
        <v>2017</v>
      </c>
      <c r="BP5" s="289">
        <f t="shared" si="4"/>
        <v>2017</v>
      </c>
      <c r="BQ5" s="289">
        <f t="shared" si="4"/>
        <v>2017</v>
      </c>
      <c r="BR5" s="289">
        <f t="shared" si="4"/>
        <v>2017</v>
      </c>
      <c r="BS5" s="290">
        <f t="shared" si="4"/>
        <v>2017</v>
      </c>
      <c r="BT5" s="289">
        <f t="shared" si="4"/>
        <v>2018</v>
      </c>
      <c r="BU5" s="289">
        <f t="shared" si="4"/>
        <v>2018</v>
      </c>
      <c r="BV5" s="289">
        <f t="shared" si="4"/>
        <v>2018</v>
      </c>
      <c r="BW5" s="289">
        <f t="shared" si="4"/>
        <v>2018</v>
      </c>
      <c r="BX5" s="290">
        <f t="shared" si="4"/>
        <v>2018</v>
      </c>
      <c r="BY5" s="289">
        <f t="shared" si="4"/>
        <v>2019</v>
      </c>
      <c r="BZ5" s="289">
        <f t="shared" si="4"/>
        <v>2019</v>
      </c>
      <c r="CA5" s="289">
        <f t="shared" si="4"/>
        <v>2019</v>
      </c>
      <c r="CB5" s="289">
        <f t="shared" si="4"/>
        <v>2019</v>
      </c>
      <c r="CC5" s="290">
        <f t="shared" si="4"/>
        <v>2019</v>
      </c>
      <c r="CD5" s="289">
        <f t="shared" si="4"/>
        <v>2020</v>
      </c>
      <c r="CE5" s="289">
        <f t="shared" si="4"/>
        <v>2020</v>
      </c>
      <c r="CF5" s="289">
        <f t="shared" si="4"/>
        <v>2020</v>
      </c>
      <c r="CG5" s="289">
        <f t="shared" si="4"/>
        <v>2020</v>
      </c>
      <c r="CH5" s="290">
        <f t="shared" si="4"/>
        <v>2020</v>
      </c>
      <c r="CI5" s="289">
        <f t="shared" ref="CI5:DN5" si="5">CD5+1</f>
        <v>2021</v>
      </c>
      <c r="CJ5" s="289">
        <f t="shared" si="5"/>
        <v>2021</v>
      </c>
      <c r="CK5" s="289">
        <f t="shared" si="5"/>
        <v>2021</v>
      </c>
      <c r="CL5" s="289">
        <f t="shared" si="5"/>
        <v>2021</v>
      </c>
      <c r="CM5" s="290">
        <f t="shared" si="5"/>
        <v>2021</v>
      </c>
      <c r="CN5" s="289">
        <f t="shared" si="5"/>
        <v>2022</v>
      </c>
      <c r="CO5" s="289">
        <f t="shared" si="5"/>
        <v>2022</v>
      </c>
      <c r="CP5" s="289">
        <f t="shared" si="5"/>
        <v>2022</v>
      </c>
      <c r="CQ5" s="289">
        <f t="shared" si="5"/>
        <v>2022</v>
      </c>
      <c r="CR5" s="290">
        <f t="shared" si="5"/>
        <v>2022</v>
      </c>
      <c r="CS5" s="289">
        <f t="shared" si="5"/>
        <v>2023</v>
      </c>
      <c r="CT5" s="289">
        <f t="shared" si="5"/>
        <v>2023</v>
      </c>
      <c r="CU5" s="289">
        <f t="shared" si="5"/>
        <v>2023</v>
      </c>
      <c r="CV5" s="289">
        <f t="shared" si="5"/>
        <v>2023</v>
      </c>
      <c r="CW5" s="290">
        <f t="shared" si="5"/>
        <v>2023</v>
      </c>
      <c r="CX5" s="289">
        <f t="shared" si="5"/>
        <v>2024</v>
      </c>
      <c r="CY5" s="289">
        <f t="shared" si="5"/>
        <v>2024</v>
      </c>
      <c r="CZ5" s="289">
        <f t="shared" si="5"/>
        <v>2024</v>
      </c>
      <c r="DA5" s="289">
        <f t="shared" si="5"/>
        <v>2024</v>
      </c>
      <c r="DB5" s="290">
        <f t="shared" si="5"/>
        <v>2024</v>
      </c>
      <c r="DC5" s="289">
        <f t="shared" si="5"/>
        <v>2025</v>
      </c>
      <c r="DD5" s="289">
        <f t="shared" si="5"/>
        <v>2025</v>
      </c>
      <c r="DE5" s="289">
        <f t="shared" si="5"/>
        <v>2025</v>
      </c>
      <c r="DF5" s="289">
        <f t="shared" si="5"/>
        <v>2025</v>
      </c>
      <c r="DG5" s="290">
        <f t="shared" si="5"/>
        <v>2025</v>
      </c>
      <c r="DH5" s="289">
        <f t="shared" si="5"/>
        <v>2026</v>
      </c>
      <c r="DI5" s="289">
        <f t="shared" si="5"/>
        <v>2026</v>
      </c>
      <c r="DJ5" s="289">
        <f t="shared" si="5"/>
        <v>2026</v>
      </c>
      <c r="DK5" s="289">
        <f t="shared" si="5"/>
        <v>2026</v>
      </c>
      <c r="DL5" s="290">
        <f t="shared" si="5"/>
        <v>2026</v>
      </c>
      <c r="DM5" s="289">
        <f t="shared" si="5"/>
        <v>2027</v>
      </c>
      <c r="DN5" s="289">
        <f t="shared" si="5"/>
        <v>2027</v>
      </c>
      <c r="DO5" s="289">
        <f t="shared" ref="DO5:EF5" si="6">DJ5+1</f>
        <v>2027</v>
      </c>
      <c r="DP5" s="289">
        <f t="shared" si="6"/>
        <v>2027</v>
      </c>
      <c r="DQ5" s="290">
        <f t="shared" si="6"/>
        <v>2027</v>
      </c>
      <c r="DR5" s="289">
        <f t="shared" si="6"/>
        <v>2028</v>
      </c>
      <c r="DS5" s="289">
        <f t="shared" si="6"/>
        <v>2028</v>
      </c>
      <c r="DT5" s="289">
        <f t="shared" si="6"/>
        <v>2028</v>
      </c>
      <c r="DU5" s="289">
        <f t="shared" si="6"/>
        <v>2028</v>
      </c>
      <c r="DV5" s="290">
        <f t="shared" si="6"/>
        <v>2028</v>
      </c>
      <c r="DW5" s="289">
        <f t="shared" si="6"/>
        <v>2029</v>
      </c>
      <c r="DX5" s="289">
        <f t="shared" si="6"/>
        <v>2029</v>
      </c>
      <c r="DY5" s="289">
        <f t="shared" si="6"/>
        <v>2029</v>
      </c>
      <c r="DZ5" s="289">
        <f t="shared" si="6"/>
        <v>2029</v>
      </c>
      <c r="EA5" s="290">
        <f t="shared" si="6"/>
        <v>2029</v>
      </c>
      <c r="EB5" s="289">
        <f t="shared" si="6"/>
        <v>2030</v>
      </c>
      <c r="EC5" s="289">
        <f t="shared" si="6"/>
        <v>2030</v>
      </c>
      <c r="ED5" s="289">
        <f t="shared" si="6"/>
        <v>2030</v>
      </c>
      <c r="EE5" s="289">
        <f t="shared" si="6"/>
        <v>2030</v>
      </c>
      <c r="EF5" s="290">
        <f t="shared" si="6"/>
        <v>2030</v>
      </c>
    </row>
    <row r="6" spans="1:136" s="287" customFormat="1" ht="13.5" customHeight="1">
      <c r="A6" s="291" t="s">
        <v>683</v>
      </c>
      <c r="B6" s="292"/>
      <c r="C6" s="292"/>
      <c r="D6" s="292"/>
      <c r="E6" s="292"/>
      <c r="F6" s="290"/>
      <c r="G6" s="292"/>
      <c r="H6" s="292"/>
      <c r="I6" s="292"/>
      <c r="J6" s="292"/>
      <c r="K6" s="290"/>
      <c r="L6" s="292"/>
      <c r="M6" s="292"/>
      <c r="N6" s="292"/>
      <c r="O6" s="292"/>
      <c r="P6" s="290"/>
      <c r="Q6" s="292"/>
      <c r="R6" s="292"/>
      <c r="S6" s="292"/>
      <c r="T6" s="292"/>
      <c r="U6" s="290"/>
      <c r="V6" s="292"/>
      <c r="W6" s="292"/>
      <c r="X6" s="292"/>
      <c r="Y6" s="292"/>
      <c r="Z6" s="290"/>
      <c r="AA6" s="292"/>
      <c r="AB6" s="292"/>
      <c r="AC6" s="292"/>
      <c r="AD6" s="292"/>
      <c r="AE6" s="290"/>
      <c r="AF6" s="292"/>
      <c r="AG6" s="292"/>
      <c r="AH6" s="292"/>
      <c r="AI6" s="292"/>
      <c r="AJ6" s="290"/>
      <c r="AK6" s="292"/>
      <c r="AL6" s="292"/>
      <c r="AM6" s="292"/>
      <c r="AN6" s="292"/>
      <c r="AO6" s="290"/>
      <c r="AP6" s="292"/>
      <c r="AQ6" s="292"/>
      <c r="AR6" s="292"/>
      <c r="AS6" s="292"/>
      <c r="AT6" s="290"/>
      <c r="AU6" s="292"/>
      <c r="AV6" s="292"/>
      <c r="AW6" s="292"/>
      <c r="AX6" s="292"/>
      <c r="AY6" s="290"/>
      <c r="AZ6" s="292"/>
      <c r="BA6" s="292"/>
      <c r="BB6" s="292"/>
      <c r="BC6" s="292"/>
      <c r="BD6" s="290"/>
      <c r="BE6" s="292"/>
      <c r="BF6" s="292"/>
      <c r="BG6" s="292"/>
      <c r="BH6" s="292"/>
      <c r="BI6" s="290"/>
      <c r="BJ6" s="292"/>
      <c r="BK6" s="292"/>
      <c r="BL6" s="292"/>
      <c r="BM6" s="292"/>
      <c r="BN6" s="290"/>
      <c r="BO6" s="292"/>
      <c r="BP6" s="292"/>
      <c r="BQ6" s="292"/>
      <c r="BR6" s="292"/>
      <c r="BS6" s="290"/>
      <c r="BT6" s="292"/>
      <c r="BU6" s="292"/>
      <c r="BV6" s="292"/>
      <c r="BW6" s="292"/>
      <c r="BX6" s="290"/>
      <c r="BY6" s="292"/>
      <c r="BZ6" s="292"/>
      <c r="CA6" s="292"/>
      <c r="CB6" s="292"/>
      <c r="CC6" s="290"/>
      <c r="CD6" s="292"/>
      <c r="CE6" s="292"/>
      <c r="CF6" s="292"/>
      <c r="CG6" s="292"/>
      <c r="CH6" s="290"/>
      <c r="CI6" s="292"/>
      <c r="CJ6" s="292"/>
      <c r="CK6" s="292"/>
      <c r="CL6" s="292"/>
      <c r="CM6" s="290"/>
      <c r="CN6" s="292"/>
      <c r="CO6" s="292"/>
      <c r="CP6" s="292"/>
      <c r="CQ6" s="292"/>
      <c r="CR6" s="290"/>
      <c r="CS6" s="292"/>
      <c r="CT6" s="292"/>
      <c r="CU6" s="292"/>
      <c r="CV6" s="292"/>
      <c r="CW6" s="290"/>
      <c r="CX6" s="292"/>
      <c r="CY6" s="292"/>
      <c r="CZ6" s="292"/>
      <c r="DA6" s="292"/>
      <c r="DB6" s="290"/>
      <c r="DC6" s="292"/>
      <c r="DD6" s="292"/>
      <c r="DE6" s="292"/>
      <c r="DF6" s="292"/>
      <c r="DG6" s="290"/>
      <c r="DH6" s="292"/>
      <c r="DI6" s="292"/>
      <c r="DJ6" s="292" t="s">
        <v>684</v>
      </c>
      <c r="DK6" s="292" t="s">
        <v>684</v>
      </c>
      <c r="DL6" s="290" t="s">
        <v>684</v>
      </c>
      <c r="DM6" s="292" t="s">
        <v>684</v>
      </c>
      <c r="DN6" s="292" t="s">
        <v>684</v>
      </c>
      <c r="DO6" s="292" t="s">
        <v>684</v>
      </c>
      <c r="DP6" s="292" t="s">
        <v>684</v>
      </c>
      <c r="DQ6" s="290" t="s">
        <v>684</v>
      </c>
      <c r="DR6" s="292" t="s">
        <v>684</v>
      </c>
      <c r="DS6" s="292" t="s">
        <v>684</v>
      </c>
      <c r="DT6" s="292" t="s">
        <v>684</v>
      </c>
      <c r="DU6" s="292" t="s">
        <v>684</v>
      </c>
      <c r="DV6" s="290" t="s">
        <v>684</v>
      </c>
      <c r="DW6" s="292" t="s">
        <v>684</v>
      </c>
      <c r="DX6" s="292" t="s">
        <v>684</v>
      </c>
      <c r="DY6" s="292" t="s">
        <v>684</v>
      </c>
      <c r="DZ6" s="292" t="s">
        <v>684</v>
      </c>
      <c r="EA6" s="290" t="s">
        <v>684</v>
      </c>
      <c r="EB6" s="292" t="s">
        <v>684</v>
      </c>
      <c r="EC6" s="292" t="s">
        <v>684</v>
      </c>
      <c r="ED6" s="292" t="s">
        <v>684</v>
      </c>
      <c r="EE6" s="292" t="s">
        <v>684</v>
      </c>
      <c r="EF6" s="290" t="s">
        <v>684</v>
      </c>
    </row>
    <row r="7" spans="1:136" s="293" customFormat="1" ht="13.5" customHeight="1">
      <c r="A7" s="294" t="s">
        <v>685</v>
      </c>
      <c r="B7" s="295">
        <v>91</v>
      </c>
      <c r="C7" s="295">
        <v>91</v>
      </c>
      <c r="D7" s="295">
        <v>92</v>
      </c>
      <c r="E7" s="295">
        <v>92</v>
      </c>
      <c r="F7" s="296">
        <f>SUM(B7:E7)</f>
        <v>366</v>
      </c>
      <c r="G7" s="295">
        <v>90</v>
      </c>
      <c r="H7" s="295">
        <v>91</v>
      </c>
      <c r="I7" s="295">
        <v>92</v>
      </c>
      <c r="J7" s="295">
        <v>92</v>
      </c>
      <c r="K7" s="296">
        <f>SUM(G7:J7)</f>
        <v>365</v>
      </c>
      <c r="L7" s="295">
        <v>90</v>
      </c>
      <c r="M7" s="295">
        <v>91</v>
      </c>
      <c r="N7" s="295">
        <v>92</v>
      </c>
      <c r="O7" s="295">
        <v>92</v>
      </c>
      <c r="P7" s="296">
        <f>SUM(L7:O7)</f>
        <v>365</v>
      </c>
      <c r="Q7" s="295">
        <v>90</v>
      </c>
      <c r="R7" s="295">
        <v>91</v>
      </c>
      <c r="S7" s="295">
        <v>92</v>
      </c>
      <c r="T7" s="295">
        <v>92</v>
      </c>
      <c r="U7" s="296">
        <f>SUM(Q7:T7)</f>
        <v>365</v>
      </c>
      <c r="V7" s="295">
        <v>91</v>
      </c>
      <c r="W7" s="295">
        <v>91</v>
      </c>
      <c r="X7" s="295">
        <v>92</v>
      </c>
      <c r="Y7" s="295">
        <v>92</v>
      </c>
      <c r="Z7" s="296">
        <f>SUM(V7:Y7)</f>
        <v>366</v>
      </c>
      <c r="AA7" s="295">
        <v>90</v>
      </c>
      <c r="AB7" s="295">
        <v>91</v>
      </c>
      <c r="AC7" s="295">
        <v>92</v>
      </c>
      <c r="AD7" s="295">
        <v>92</v>
      </c>
      <c r="AE7" s="296">
        <f>SUM(AA7:AD7)</f>
        <v>365</v>
      </c>
      <c r="AF7" s="295">
        <v>90</v>
      </c>
      <c r="AG7" s="295">
        <v>91</v>
      </c>
      <c r="AH7" s="295">
        <v>92</v>
      </c>
      <c r="AI7" s="295">
        <v>92</v>
      </c>
      <c r="AJ7" s="296">
        <f>SUM(AF7:AI7)</f>
        <v>365</v>
      </c>
      <c r="AK7" s="295">
        <v>90</v>
      </c>
      <c r="AL7" s="295">
        <v>91</v>
      </c>
      <c r="AM7" s="295">
        <v>92</v>
      </c>
      <c r="AN7" s="295">
        <v>92</v>
      </c>
      <c r="AO7" s="296">
        <f>SUM(AK7:AN7)</f>
        <v>365</v>
      </c>
      <c r="AP7" s="295">
        <v>90</v>
      </c>
      <c r="AQ7" s="295">
        <v>91</v>
      </c>
      <c r="AR7" s="295">
        <v>92</v>
      </c>
      <c r="AS7" s="295">
        <v>92</v>
      </c>
      <c r="AT7" s="296">
        <v>366</v>
      </c>
      <c r="AU7" s="295">
        <v>90</v>
      </c>
      <c r="AV7" s="295">
        <v>91</v>
      </c>
      <c r="AW7" s="295">
        <v>92</v>
      </c>
      <c r="AX7" s="295">
        <v>92</v>
      </c>
      <c r="AY7" s="296">
        <f>SUM(AU7:AX7)</f>
        <v>365</v>
      </c>
      <c r="AZ7" s="295">
        <v>90</v>
      </c>
      <c r="BA7" s="295">
        <v>91</v>
      </c>
      <c r="BB7" s="295">
        <v>92</v>
      </c>
      <c r="BC7" s="295">
        <v>92</v>
      </c>
      <c r="BD7" s="296">
        <f>SUM(AZ7:BC7)</f>
        <v>365</v>
      </c>
      <c r="BE7" s="295">
        <v>90</v>
      </c>
      <c r="BF7" s="295">
        <v>91</v>
      </c>
      <c r="BG7" s="295">
        <v>92</v>
      </c>
      <c r="BH7" s="295">
        <v>92</v>
      </c>
      <c r="BI7" s="296">
        <f>SUM(BE7:BH7)</f>
        <v>365</v>
      </c>
      <c r="BJ7" s="295">
        <v>90</v>
      </c>
      <c r="BK7" s="295">
        <v>91</v>
      </c>
      <c r="BL7" s="295">
        <v>92</v>
      </c>
      <c r="BM7" s="295">
        <v>92</v>
      </c>
      <c r="BN7" s="296">
        <f>SUM(BJ7:BM7)</f>
        <v>365</v>
      </c>
      <c r="BO7" s="295">
        <v>90</v>
      </c>
      <c r="BP7" s="295">
        <v>91</v>
      </c>
      <c r="BQ7" s="295">
        <v>92</v>
      </c>
      <c r="BR7" s="295">
        <v>92</v>
      </c>
      <c r="BS7" s="296">
        <f>SUM(BO7:BR7)</f>
        <v>365</v>
      </c>
      <c r="BT7" s="295">
        <v>90</v>
      </c>
      <c r="BU7" s="295">
        <v>91</v>
      </c>
      <c r="BV7" s="295">
        <v>92</v>
      </c>
      <c r="BW7" s="295">
        <v>92</v>
      </c>
      <c r="BX7" s="296">
        <f>SUM(BT7:BW7)</f>
        <v>365</v>
      </c>
      <c r="BY7" s="295">
        <v>90</v>
      </c>
      <c r="BZ7" s="295">
        <v>91</v>
      </c>
      <c r="CA7" s="295">
        <v>92</v>
      </c>
      <c r="CB7" s="295">
        <v>92</v>
      </c>
      <c r="CC7" s="296">
        <f>SUM(BY7:CB7)</f>
        <v>365</v>
      </c>
      <c r="CD7" s="295">
        <v>90</v>
      </c>
      <c r="CE7" s="295">
        <v>91</v>
      </c>
      <c r="CF7" s="295">
        <v>92</v>
      </c>
      <c r="CG7" s="295">
        <v>92</v>
      </c>
      <c r="CH7" s="296">
        <f>SUM(CD7:CG7)</f>
        <v>365</v>
      </c>
      <c r="CI7" s="295">
        <v>90</v>
      </c>
      <c r="CJ7" s="295">
        <v>91</v>
      </c>
      <c r="CK7" s="295">
        <v>92</v>
      </c>
      <c r="CL7" s="295">
        <v>92</v>
      </c>
      <c r="CM7" s="296">
        <f>SUM(CI7:CL7)</f>
        <v>365</v>
      </c>
      <c r="CN7" s="295">
        <v>90</v>
      </c>
      <c r="CO7" s="295">
        <v>91</v>
      </c>
      <c r="CP7" s="295">
        <v>92</v>
      </c>
      <c r="CQ7" s="295">
        <v>92</v>
      </c>
      <c r="CR7" s="296">
        <f>SUM(CN7:CQ7)</f>
        <v>365</v>
      </c>
      <c r="CS7" s="295">
        <v>90</v>
      </c>
      <c r="CT7" s="295">
        <v>91</v>
      </c>
      <c r="CU7" s="295">
        <v>92</v>
      </c>
      <c r="CV7" s="295">
        <v>92</v>
      </c>
      <c r="CW7" s="296">
        <f>SUM(CS7:CV7)</f>
        <v>365</v>
      </c>
      <c r="CX7" s="295">
        <v>90</v>
      </c>
      <c r="CY7" s="295">
        <v>91</v>
      </c>
      <c r="CZ7" s="295">
        <v>92</v>
      </c>
      <c r="DA7" s="295">
        <v>92</v>
      </c>
      <c r="DB7" s="296">
        <f>SUM(CX7:DA7)</f>
        <v>365</v>
      </c>
      <c r="DC7" s="295">
        <v>90</v>
      </c>
      <c r="DD7" s="295">
        <v>91</v>
      </c>
      <c r="DE7" s="295">
        <v>92</v>
      </c>
      <c r="DF7" s="295">
        <v>92</v>
      </c>
      <c r="DG7" s="296">
        <f>SUM(DC7:DF7)</f>
        <v>365</v>
      </c>
      <c r="DH7" s="295">
        <v>90</v>
      </c>
      <c r="DI7" s="295">
        <v>91</v>
      </c>
      <c r="DJ7" s="295">
        <v>92</v>
      </c>
      <c r="DK7" s="295">
        <v>92</v>
      </c>
      <c r="DL7" s="296">
        <f>SUM(DH7:DK7)</f>
        <v>365</v>
      </c>
      <c r="DM7" s="295">
        <v>90</v>
      </c>
      <c r="DN7" s="295">
        <v>91</v>
      </c>
      <c r="DO7" s="295">
        <v>92</v>
      </c>
      <c r="DP7" s="295">
        <v>92</v>
      </c>
      <c r="DQ7" s="296">
        <f>SUM(DM7:DP7)</f>
        <v>365</v>
      </c>
      <c r="DR7" s="295">
        <v>90</v>
      </c>
      <c r="DS7" s="295">
        <v>91</v>
      </c>
      <c r="DT7" s="295">
        <v>92</v>
      </c>
      <c r="DU7" s="295">
        <v>92</v>
      </c>
      <c r="DV7" s="296">
        <f>SUM(DR7:DU7)</f>
        <v>365</v>
      </c>
      <c r="DW7" s="295">
        <v>90</v>
      </c>
      <c r="DX7" s="295">
        <v>91</v>
      </c>
      <c r="DY7" s="295">
        <v>92</v>
      </c>
      <c r="DZ7" s="295">
        <v>92</v>
      </c>
      <c r="EA7" s="296">
        <f>SUM(DW7:DZ7)</f>
        <v>365</v>
      </c>
      <c r="EB7" s="295">
        <v>90</v>
      </c>
      <c r="EC7" s="295">
        <v>91</v>
      </c>
      <c r="ED7" s="295">
        <v>92</v>
      </c>
      <c r="EE7" s="295">
        <v>92</v>
      </c>
      <c r="EF7" s="296">
        <f>SUM(EB7:EE7)</f>
        <v>365</v>
      </c>
    </row>
    <row r="8" spans="1:136" s="287" customFormat="1" ht="13.5" customHeight="1">
      <c r="A8" s="72"/>
      <c r="B8" s="77"/>
      <c r="C8" s="77"/>
      <c r="D8" s="77"/>
      <c r="E8" s="77"/>
      <c r="F8" s="74"/>
      <c r="G8" s="77"/>
      <c r="H8" s="77"/>
      <c r="I8" s="77"/>
      <c r="J8" s="77"/>
      <c r="K8" s="74"/>
      <c r="L8" s="77"/>
      <c r="M8" s="77"/>
      <c r="N8" s="77"/>
      <c r="O8" s="77"/>
      <c r="P8" s="74"/>
      <c r="Q8" s="77"/>
      <c r="R8" s="77"/>
      <c r="S8" s="77"/>
      <c r="T8" s="77"/>
      <c r="U8" s="74"/>
      <c r="V8" s="77"/>
      <c r="W8" s="77"/>
      <c r="X8" s="77"/>
      <c r="Y8" s="77"/>
      <c r="Z8" s="74"/>
      <c r="AA8" s="77"/>
      <c r="AB8" s="77"/>
      <c r="AC8" s="77"/>
      <c r="AD8" s="77"/>
      <c r="AE8" s="74"/>
      <c r="AF8" s="77"/>
      <c r="AG8" s="77"/>
      <c r="AH8" s="77"/>
      <c r="AI8" s="77"/>
      <c r="AJ8" s="74"/>
      <c r="AK8" s="77"/>
      <c r="AL8" s="77"/>
      <c r="AM8" s="77"/>
      <c r="AN8" s="77"/>
      <c r="AO8" s="74"/>
      <c r="AP8" s="77"/>
      <c r="AQ8" s="77"/>
      <c r="AR8" s="77"/>
      <c r="AS8" s="77"/>
      <c r="AT8" s="74"/>
      <c r="AU8" s="77"/>
      <c r="AV8" s="77"/>
      <c r="AW8" s="77"/>
      <c r="AX8" s="77"/>
      <c r="AY8" s="74"/>
      <c r="AZ8" s="77"/>
      <c r="BA8" s="77"/>
      <c r="BB8" s="77"/>
      <c r="BC8" s="77"/>
      <c r="BD8" s="74"/>
      <c r="BE8" s="77"/>
      <c r="BF8" s="77"/>
      <c r="BG8" s="77"/>
      <c r="BH8" s="77"/>
      <c r="BI8" s="74"/>
      <c r="BJ8" s="77"/>
      <c r="BK8" s="77"/>
      <c r="BL8" s="77"/>
      <c r="BM8" s="77"/>
      <c r="BN8" s="74"/>
      <c r="BO8" s="77"/>
      <c r="BP8" s="77"/>
      <c r="BQ8" s="77"/>
      <c r="BR8" s="77"/>
      <c r="BS8" s="74"/>
      <c r="BT8" s="77"/>
      <c r="BU8" s="77"/>
      <c r="BV8" s="77"/>
      <c r="BW8" s="77"/>
      <c r="BX8" s="74"/>
      <c r="BY8" s="77"/>
      <c r="BZ8" s="77"/>
      <c r="CA8" s="77"/>
      <c r="CB8" s="77"/>
      <c r="CC8" s="74"/>
      <c r="CD8" s="77"/>
      <c r="CE8" s="77"/>
      <c r="CF8" s="77"/>
      <c r="CG8" s="77"/>
      <c r="CH8" s="74"/>
      <c r="CI8" s="77"/>
      <c r="CJ8" s="77"/>
      <c r="CK8" s="77"/>
      <c r="CL8" s="77"/>
      <c r="CM8" s="74"/>
      <c r="CN8" s="77"/>
      <c r="CO8" s="77"/>
      <c r="CP8" s="77"/>
      <c r="CQ8" s="77"/>
      <c r="CR8" s="74"/>
      <c r="CS8" s="77"/>
      <c r="CT8" s="77"/>
      <c r="CU8" s="77"/>
      <c r="CV8" s="77"/>
      <c r="CW8" s="74"/>
      <c r="CX8" s="77"/>
      <c r="CY8" s="77"/>
      <c r="CZ8" s="77"/>
      <c r="DA8" s="77"/>
      <c r="DB8" s="74"/>
      <c r="DC8" s="77"/>
      <c r="DD8" s="77"/>
      <c r="DE8" s="77"/>
      <c r="DF8" s="77"/>
      <c r="DG8" s="74"/>
      <c r="DH8" s="77"/>
      <c r="DI8" s="77"/>
      <c r="DJ8" s="77"/>
      <c r="DK8" s="77"/>
      <c r="DL8" s="74"/>
      <c r="DM8" s="77"/>
      <c r="DN8" s="77"/>
      <c r="DO8" s="77"/>
      <c r="DP8" s="77"/>
      <c r="DQ8" s="74"/>
      <c r="DR8" s="77"/>
      <c r="DS8" s="77"/>
      <c r="DT8" s="77"/>
      <c r="DU8" s="77"/>
      <c r="DV8" s="74"/>
      <c r="DW8" s="77"/>
      <c r="DX8" s="77"/>
      <c r="DY8" s="77"/>
      <c r="DZ8" s="77"/>
      <c r="EA8" s="74"/>
      <c r="EB8" s="77"/>
      <c r="EC8" s="77"/>
      <c r="ED8" s="77"/>
      <c r="EE8" s="77"/>
      <c r="EF8" s="74"/>
    </row>
    <row r="9" spans="1:136" s="283" customFormat="1" ht="13.5" customHeight="1" thickBot="1">
      <c r="A9" s="284" t="s">
        <v>686</v>
      </c>
      <c r="B9" s="285" t="str">
        <f t="shared" ref="B9:R9" si="7">B$3</f>
        <v>1Q04</v>
      </c>
      <c r="C9" s="285" t="str">
        <f t="shared" si="7"/>
        <v>2Q04</v>
      </c>
      <c r="D9" s="285" t="str">
        <f t="shared" si="7"/>
        <v>3Q04</v>
      </c>
      <c r="E9" s="285" t="str">
        <f t="shared" si="7"/>
        <v>4Q04</v>
      </c>
      <c r="F9" s="286" t="str">
        <f t="shared" si="7"/>
        <v>2004</v>
      </c>
      <c r="G9" s="285" t="str">
        <f t="shared" si="7"/>
        <v>1Q05</v>
      </c>
      <c r="H9" s="285" t="str">
        <f t="shared" si="7"/>
        <v>2Q05</v>
      </c>
      <c r="I9" s="285" t="str">
        <f t="shared" si="7"/>
        <v>3Q05</v>
      </c>
      <c r="J9" s="285" t="str">
        <f t="shared" si="7"/>
        <v>4Q05</v>
      </c>
      <c r="K9" s="286" t="str">
        <f t="shared" si="7"/>
        <v>2005</v>
      </c>
      <c r="L9" s="285" t="str">
        <f t="shared" si="7"/>
        <v>1Q06</v>
      </c>
      <c r="M9" s="285" t="str">
        <f t="shared" si="7"/>
        <v>2Q06</v>
      </c>
      <c r="N9" s="285" t="str">
        <f t="shared" si="7"/>
        <v>3Q06</v>
      </c>
      <c r="O9" s="285" t="str">
        <f t="shared" si="7"/>
        <v>4Q06</v>
      </c>
      <c r="P9" s="286" t="str">
        <f t="shared" si="7"/>
        <v>2006</v>
      </c>
      <c r="Q9" s="285" t="str">
        <f t="shared" si="7"/>
        <v>1Q07</v>
      </c>
      <c r="R9" s="285" t="str">
        <f t="shared" si="7"/>
        <v>2Q07</v>
      </c>
      <c r="S9" s="285" t="str">
        <f t="shared" ref="S9:AX9" si="8">S$3</f>
        <v>3Q07</v>
      </c>
      <c r="T9" s="285" t="str">
        <f t="shared" si="8"/>
        <v>4Q07</v>
      </c>
      <c r="U9" s="286" t="str">
        <f t="shared" si="8"/>
        <v>2007</v>
      </c>
      <c r="V9" s="285" t="str">
        <f t="shared" si="8"/>
        <v>1Q08</v>
      </c>
      <c r="W9" s="285" t="str">
        <f t="shared" si="8"/>
        <v>2Q08</v>
      </c>
      <c r="X9" s="285" t="str">
        <f t="shared" si="8"/>
        <v>3Q08</v>
      </c>
      <c r="Y9" s="285" t="str">
        <f t="shared" si="8"/>
        <v>4Q08</v>
      </c>
      <c r="Z9" s="286" t="str">
        <f t="shared" si="8"/>
        <v>2008</v>
      </c>
      <c r="AA9" s="285" t="str">
        <f t="shared" si="8"/>
        <v>1Q09</v>
      </c>
      <c r="AB9" s="285" t="str">
        <f t="shared" si="8"/>
        <v>2Q09</v>
      </c>
      <c r="AC9" s="285" t="str">
        <f t="shared" si="8"/>
        <v>3Q09</v>
      </c>
      <c r="AD9" s="285" t="str">
        <f t="shared" si="8"/>
        <v>4Q09</v>
      </c>
      <c r="AE9" s="286" t="str">
        <f t="shared" si="8"/>
        <v>2009</v>
      </c>
      <c r="AF9" s="285" t="str">
        <f t="shared" si="8"/>
        <v>1Q10</v>
      </c>
      <c r="AG9" s="285" t="str">
        <f t="shared" si="8"/>
        <v>2Q10</v>
      </c>
      <c r="AH9" s="285" t="str">
        <f t="shared" si="8"/>
        <v>3Q10</v>
      </c>
      <c r="AI9" s="285" t="str">
        <f t="shared" si="8"/>
        <v>4Q10</v>
      </c>
      <c r="AJ9" s="286" t="str">
        <f t="shared" si="8"/>
        <v>2010</v>
      </c>
      <c r="AK9" s="285" t="str">
        <f t="shared" si="8"/>
        <v>1Q11</v>
      </c>
      <c r="AL9" s="285" t="str">
        <f t="shared" si="8"/>
        <v>2Q11</v>
      </c>
      <c r="AM9" s="285" t="str">
        <f t="shared" si="8"/>
        <v>3Q11</v>
      </c>
      <c r="AN9" s="285" t="str">
        <f t="shared" si="8"/>
        <v>4Q11</v>
      </c>
      <c r="AO9" s="286" t="str">
        <f t="shared" si="8"/>
        <v>2011</v>
      </c>
      <c r="AP9" s="285" t="str">
        <f t="shared" si="8"/>
        <v>1Q12</v>
      </c>
      <c r="AQ9" s="285" t="str">
        <f t="shared" si="8"/>
        <v>2Q12</v>
      </c>
      <c r="AR9" s="285" t="str">
        <f t="shared" si="8"/>
        <v>3Q12</v>
      </c>
      <c r="AS9" s="285" t="str">
        <f t="shared" si="8"/>
        <v>4Q12</v>
      </c>
      <c r="AT9" s="286" t="str">
        <f t="shared" si="8"/>
        <v>2012</v>
      </c>
      <c r="AU9" s="285" t="str">
        <f t="shared" si="8"/>
        <v>1Q13</v>
      </c>
      <c r="AV9" s="285" t="str">
        <f t="shared" si="8"/>
        <v>2Q13</v>
      </c>
      <c r="AW9" s="285" t="str">
        <f t="shared" si="8"/>
        <v>3Q13</v>
      </c>
      <c r="AX9" s="285" t="str">
        <f t="shared" si="8"/>
        <v>4Q13</v>
      </c>
      <c r="AY9" s="286" t="str">
        <f t="shared" ref="AY9:DJ9" si="9">AY$3</f>
        <v>2013</v>
      </c>
      <c r="AZ9" s="285" t="str">
        <f t="shared" si="9"/>
        <v>1Q14</v>
      </c>
      <c r="BA9" s="285" t="str">
        <f t="shared" si="9"/>
        <v>2Q14</v>
      </c>
      <c r="BB9" s="285" t="str">
        <f t="shared" si="9"/>
        <v>3Q14</v>
      </c>
      <c r="BC9" s="285" t="str">
        <f t="shared" si="9"/>
        <v>4Q14</v>
      </c>
      <c r="BD9" s="286" t="str">
        <f t="shared" si="9"/>
        <v>2014</v>
      </c>
      <c r="BE9" s="285" t="str">
        <f t="shared" si="9"/>
        <v>1Q15</v>
      </c>
      <c r="BF9" s="285" t="str">
        <f t="shared" si="9"/>
        <v>2Q15</v>
      </c>
      <c r="BG9" s="285" t="str">
        <f t="shared" si="9"/>
        <v>3Q15</v>
      </c>
      <c r="BH9" s="285" t="str">
        <f t="shared" si="9"/>
        <v>4Q15</v>
      </c>
      <c r="BI9" s="286" t="str">
        <f t="shared" si="9"/>
        <v>2015</v>
      </c>
      <c r="BJ9" s="285" t="str">
        <f t="shared" si="9"/>
        <v>1Q16</v>
      </c>
      <c r="BK9" s="285" t="str">
        <f t="shared" si="9"/>
        <v>2Q16</v>
      </c>
      <c r="BL9" s="285" t="str">
        <f t="shared" si="9"/>
        <v>3Q16</v>
      </c>
      <c r="BM9" s="285" t="str">
        <f t="shared" si="9"/>
        <v>4Q16</v>
      </c>
      <c r="BN9" s="286" t="str">
        <f t="shared" si="9"/>
        <v>2016</v>
      </c>
      <c r="BO9" s="285" t="str">
        <f t="shared" si="9"/>
        <v>1Q17</v>
      </c>
      <c r="BP9" s="285" t="str">
        <f t="shared" si="9"/>
        <v>2Q17</v>
      </c>
      <c r="BQ9" s="285" t="str">
        <f t="shared" si="9"/>
        <v>3Q17</v>
      </c>
      <c r="BR9" s="285" t="str">
        <f t="shared" si="9"/>
        <v>4Q17</v>
      </c>
      <c r="BS9" s="286" t="str">
        <f t="shared" si="9"/>
        <v>2017</v>
      </c>
      <c r="BT9" s="285" t="str">
        <f t="shared" si="9"/>
        <v>1Q18</v>
      </c>
      <c r="BU9" s="285" t="str">
        <f t="shared" si="9"/>
        <v>2Q18</v>
      </c>
      <c r="BV9" s="285" t="str">
        <f t="shared" si="9"/>
        <v>3Q18</v>
      </c>
      <c r="BW9" s="285" t="str">
        <f t="shared" si="9"/>
        <v>4Q18</v>
      </c>
      <c r="BX9" s="286" t="str">
        <f t="shared" si="9"/>
        <v>2018</v>
      </c>
      <c r="BY9" s="285" t="str">
        <f t="shared" si="9"/>
        <v>1Q19</v>
      </c>
      <c r="BZ9" s="285" t="str">
        <f t="shared" si="9"/>
        <v>2Q19</v>
      </c>
      <c r="CA9" s="285" t="str">
        <f t="shared" si="9"/>
        <v>3Q19</v>
      </c>
      <c r="CB9" s="285" t="str">
        <f t="shared" si="9"/>
        <v>4Q19</v>
      </c>
      <c r="CC9" s="286" t="str">
        <f t="shared" si="9"/>
        <v>2019</v>
      </c>
      <c r="CD9" s="285" t="str">
        <f t="shared" si="9"/>
        <v>1Q20</v>
      </c>
      <c r="CE9" s="285" t="str">
        <f t="shared" si="9"/>
        <v>2Q20</v>
      </c>
      <c r="CF9" s="285" t="str">
        <f t="shared" si="9"/>
        <v>3Q20</v>
      </c>
      <c r="CG9" s="285" t="str">
        <f t="shared" si="9"/>
        <v>4Q20</v>
      </c>
      <c r="CH9" s="286" t="str">
        <f t="shared" si="9"/>
        <v>2020</v>
      </c>
      <c r="CI9" s="285" t="str">
        <f t="shared" si="9"/>
        <v>1Q21</v>
      </c>
      <c r="CJ9" s="285" t="str">
        <f t="shared" si="9"/>
        <v>2Q21</v>
      </c>
      <c r="CK9" s="285" t="str">
        <f t="shared" si="9"/>
        <v>3Q21</v>
      </c>
      <c r="CL9" s="285" t="str">
        <f t="shared" si="9"/>
        <v>4Q21</v>
      </c>
      <c r="CM9" s="286" t="str">
        <f t="shared" si="9"/>
        <v>2021</v>
      </c>
      <c r="CN9" s="285" t="str">
        <f t="shared" si="9"/>
        <v>1Q22</v>
      </c>
      <c r="CO9" s="285" t="str">
        <f t="shared" si="9"/>
        <v>2Q22</v>
      </c>
      <c r="CP9" s="285" t="str">
        <f t="shared" si="9"/>
        <v>3Q22</v>
      </c>
      <c r="CQ9" s="285" t="str">
        <f t="shared" si="9"/>
        <v>4Q22</v>
      </c>
      <c r="CR9" s="286" t="str">
        <f t="shared" si="9"/>
        <v>2022</v>
      </c>
      <c r="CS9" s="285" t="str">
        <f t="shared" si="9"/>
        <v>1Q23</v>
      </c>
      <c r="CT9" s="285" t="str">
        <f t="shared" si="9"/>
        <v>2Q23</v>
      </c>
      <c r="CU9" s="285" t="str">
        <f t="shared" si="9"/>
        <v>3Q23</v>
      </c>
      <c r="CV9" s="285" t="str">
        <f t="shared" si="9"/>
        <v>4Q23</v>
      </c>
      <c r="CW9" s="286" t="str">
        <f t="shared" si="9"/>
        <v>2023</v>
      </c>
      <c r="CX9" s="285" t="str">
        <f t="shared" si="9"/>
        <v>1Q24</v>
      </c>
      <c r="CY9" s="285" t="str">
        <f t="shared" si="9"/>
        <v>2Q24</v>
      </c>
      <c r="CZ9" s="285" t="str">
        <f t="shared" si="9"/>
        <v>3Q24</v>
      </c>
      <c r="DA9" s="285" t="str">
        <f t="shared" si="9"/>
        <v>4Q24</v>
      </c>
      <c r="DB9" s="286" t="str">
        <f t="shared" si="9"/>
        <v>2024</v>
      </c>
      <c r="DC9" s="285" t="str">
        <f t="shared" si="9"/>
        <v>1Q25</v>
      </c>
      <c r="DD9" s="285" t="str">
        <f t="shared" si="9"/>
        <v>2Q25</v>
      </c>
      <c r="DE9" s="285" t="str">
        <f t="shared" si="9"/>
        <v>3Q25</v>
      </c>
      <c r="DF9" s="285" t="str">
        <f t="shared" si="9"/>
        <v>4Q25</v>
      </c>
      <c r="DG9" s="286" t="str">
        <f t="shared" si="9"/>
        <v>2025</v>
      </c>
      <c r="DH9" s="285" t="str">
        <f t="shared" si="9"/>
        <v>1Q26</v>
      </c>
      <c r="DI9" s="285" t="str">
        <f t="shared" si="9"/>
        <v>2Q26</v>
      </c>
      <c r="DJ9" s="285" t="str">
        <f t="shared" si="9"/>
        <v>3Q26E</v>
      </c>
      <c r="DK9" s="285" t="str">
        <f t="shared" ref="DK9:EF9" si="10">DK$3</f>
        <v>4Q26E</v>
      </c>
      <c r="DL9" s="286" t="str">
        <f t="shared" si="10"/>
        <v>2026E</v>
      </c>
      <c r="DM9" s="285" t="str">
        <f t="shared" si="10"/>
        <v>1Q27E</v>
      </c>
      <c r="DN9" s="285" t="str">
        <f t="shared" si="10"/>
        <v>2Q27E</v>
      </c>
      <c r="DO9" s="285" t="str">
        <f t="shared" si="10"/>
        <v>3Q27E</v>
      </c>
      <c r="DP9" s="285" t="str">
        <f t="shared" si="10"/>
        <v>4Q27E</v>
      </c>
      <c r="DQ9" s="286" t="str">
        <f t="shared" si="10"/>
        <v>2027E</v>
      </c>
      <c r="DR9" s="285" t="str">
        <f t="shared" si="10"/>
        <v>1Q28E</v>
      </c>
      <c r="DS9" s="285" t="str">
        <f t="shared" si="10"/>
        <v>2Q28E</v>
      </c>
      <c r="DT9" s="285" t="str">
        <f t="shared" si="10"/>
        <v>3Q28E</v>
      </c>
      <c r="DU9" s="285" t="str">
        <f t="shared" si="10"/>
        <v>4Q28E</v>
      </c>
      <c r="DV9" s="286" t="str">
        <f t="shared" si="10"/>
        <v>2028E</v>
      </c>
      <c r="DW9" s="285" t="str">
        <f t="shared" si="10"/>
        <v>1Q29E</v>
      </c>
      <c r="DX9" s="285" t="str">
        <f t="shared" si="10"/>
        <v>2Q29E</v>
      </c>
      <c r="DY9" s="285" t="str">
        <f t="shared" si="10"/>
        <v>3Q29E</v>
      </c>
      <c r="DZ9" s="285" t="str">
        <f t="shared" si="10"/>
        <v>4Q29E</v>
      </c>
      <c r="EA9" s="286" t="str">
        <f t="shared" si="10"/>
        <v>2029E</v>
      </c>
      <c r="EB9" s="285" t="str">
        <f t="shared" si="10"/>
        <v>1Q30E</v>
      </c>
      <c r="EC9" s="285" t="str">
        <f t="shared" si="10"/>
        <v>2Q30E</v>
      </c>
      <c r="ED9" s="285" t="str">
        <f t="shared" si="10"/>
        <v>3Q30E</v>
      </c>
      <c r="EE9" s="285" t="str">
        <f t="shared" si="10"/>
        <v>4Q30E</v>
      </c>
      <c r="EF9" s="286" t="str">
        <f t="shared" si="10"/>
        <v>2030E</v>
      </c>
    </row>
    <row r="10" spans="1:136">
      <c r="A10" s="72" t="s">
        <v>65</v>
      </c>
      <c r="B10" s="73">
        <v>1.862507571168992E-2</v>
      </c>
      <c r="C10" s="73">
        <v>3.497862417411568E-2</v>
      </c>
      <c r="D10" s="73">
        <v>4.6182358899209186E-2</v>
      </c>
      <c r="E10" s="73">
        <v>5.690444955805507E-2</v>
      </c>
      <c r="F10" s="74">
        <v>5.690444955805507E-2</v>
      </c>
      <c r="G10" s="73">
        <v>5.083989891482088E-2</v>
      </c>
      <c r="H10" s="73">
        <v>4.011766178495435E-2</v>
      </c>
      <c r="I10" s="73">
        <v>3.5368516458616606E-2</v>
      </c>
      <c r="J10" s="73">
        <v>3.1478278563434881E-2</v>
      </c>
      <c r="K10" s="74">
        <v>3.1478278563434881E-2</v>
      </c>
      <c r="L10" s="73">
        <v>3.5123173615180914E-2</v>
      </c>
      <c r="M10" s="73">
        <v>3.2874019696331747E-2</v>
      </c>
      <c r="N10" s="73">
        <v>3.5871316873246961E-2</v>
      </c>
      <c r="O10" s="73">
        <v>3.9296141402982654E-2</v>
      </c>
      <c r="P10" s="74">
        <v>3.9296141402982654E-2</v>
      </c>
      <c r="Q10" s="73">
        <v>4.1838308506276567E-2</v>
      </c>
      <c r="R10" s="73">
        <v>5.276137952462312E-2</v>
      </c>
      <c r="S10" s="73">
        <v>5.5890600391810263E-2</v>
      </c>
      <c r="T10" s="73">
        <v>6.0872371118366075E-2</v>
      </c>
      <c r="U10" s="74">
        <v>6.0872371118366075E-2</v>
      </c>
      <c r="V10" s="73">
        <v>6.3938235514579222E-2</v>
      </c>
      <c r="W10" s="73">
        <v>6.3785438916865056E-2</v>
      </c>
      <c r="X10" s="73">
        <v>6.6447176949941733E-2</v>
      </c>
      <c r="Y10" s="73">
        <v>5.1439408849367707E-2</v>
      </c>
      <c r="Z10" s="74">
        <v>5.1439408849367707E-2</v>
      </c>
      <c r="AA10" s="73">
        <v>2.9907002958996731E-2</v>
      </c>
      <c r="AB10" s="73">
        <v>9.432817187147835E-3</v>
      </c>
      <c r="AC10" s="73">
        <v>-1.0336181753057283E-2</v>
      </c>
      <c r="AD10" s="73">
        <v>-1.7527141544432245E-3</v>
      </c>
      <c r="AE10" s="74">
        <v>-1.7527141544432245E-3</v>
      </c>
      <c r="AF10" s="73">
        <v>9.2714293988523058E-2</v>
      </c>
      <c r="AG10" s="73">
        <v>9.1562714084863384E-2</v>
      </c>
      <c r="AH10" s="73">
        <v>6.7385174121558977E-2</v>
      </c>
      <c r="AI10" s="73">
        <v>5.036758875035563E-2</v>
      </c>
      <c r="AJ10" s="74">
        <v>7.4999999999999997E-2</v>
      </c>
      <c r="AK10" s="73">
        <v>4.235653966354147E-2</v>
      </c>
      <c r="AL10" s="73">
        <v>3.3143580012650276E-2</v>
      </c>
      <c r="AM10" s="73">
        <v>2.1219663970130753E-2</v>
      </c>
      <c r="AN10" s="73">
        <v>1.3664596273291751E-2</v>
      </c>
      <c r="AO10" s="74">
        <v>2.7325092432441078E-2</v>
      </c>
      <c r="AP10" s="73">
        <v>7.9730000000000009E-3</v>
      </c>
      <c r="AQ10" s="73">
        <v>5.5089999999999991E-3</v>
      </c>
      <c r="AR10" s="73">
        <v>9.444000000000001E-3</v>
      </c>
      <c r="AS10" s="73">
        <v>1.8249999999999999E-2</v>
      </c>
      <c r="AT10" s="74">
        <v>0.01</v>
      </c>
      <c r="AU10" s="73">
        <v>1.89E-2</v>
      </c>
      <c r="AV10" s="73">
        <v>3.4599999999999999E-2</v>
      </c>
      <c r="AW10" s="73">
        <v>2.4300000000000002E-2</v>
      </c>
      <c r="AX10" s="73">
        <v>2.1700000000000001E-2</v>
      </c>
      <c r="AY10" s="74">
        <v>2.5000000000000001E-2</v>
      </c>
      <c r="AZ10" s="73">
        <v>1.9099999999999999E-2</v>
      </c>
      <c r="BA10" s="73">
        <v>4.0000000000000001E-3</v>
      </c>
      <c r="BB10" s="73">
        <v>1.1000000000000001E-2</v>
      </c>
      <c r="BC10" s="73">
        <v>0.01</v>
      </c>
      <c r="BD10" s="74">
        <v>1.4458388757159213E-3</v>
      </c>
      <c r="BE10" s="73">
        <v>-8.1656208432130603E-3</v>
      </c>
      <c r="BF10" s="73">
        <v>-1.7777080562142042E-2</v>
      </c>
      <c r="BG10" s="73">
        <v>-2.7388540281071024E-2</v>
      </c>
      <c r="BH10" s="73">
        <v>-3.7000000000000005E-2</v>
      </c>
      <c r="BI10" s="74">
        <v>-3.7000000000000005E-2</v>
      </c>
      <c r="BJ10" s="73">
        <v>-3.4750000000000003E-2</v>
      </c>
      <c r="BK10" s="73">
        <v>-3.2500000000000001E-2</v>
      </c>
      <c r="BL10" s="73">
        <v>-3.0249999999999999E-2</v>
      </c>
      <c r="BM10" s="73">
        <v>-2.7999999999999997E-2</v>
      </c>
      <c r="BN10" s="74">
        <v>-2.7999999999999997E-2</v>
      </c>
      <c r="BO10" s="73">
        <v>5.0000000000000001E-3</v>
      </c>
      <c r="BP10" s="73">
        <v>5.0000000000000001E-3</v>
      </c>
      <c r="BQ10" s="73">
        <v>5.0000000000000001E-3</v>
      </c>
      <c r="BR10" s="73">
        <v>5.0000000000000001E-3</v>
      </c>
      <c r="BS10" s="74">
        <v>0.01</v>
      </c>
      <c r="BT10" s="73">
        <v>3.2837896492345919E-3</v>
      </c>
      <c r="BU10" s="73">
        <v>3.2837896492345919E-3</v>
      </c>
      <c r="BV10" s="73">
        <v>3.2837896492345919E-3</v>
      </c>
      <c r="BW10" s="73">
        <v>3.2837896492345919E-3</v>
      </c>
      <c r="BX10" s="74">
        <v>1.32E-2</v>
      </c>
      <c r="BY10" s="73">
        <v>2.7387284930973088E-3</v>
      </c>
      <c r="BZ10" s="73">
        <v>2.7387284930973088E-3</v>
      </c>
      <c r="CA10" s="73">
        <v>2.7387284930973088E-3</v>
      </c>
      <c r="CB10" s="73">
        <v>2.7387284930973088E-3</v>
      </c>
      <c r="CC10" s="74">
        <v>1.0999999999999999E-2</v>
      </c>
      <c r="CD10" s="73">
        <v>-0.01</v>
      </c>
      <c r="CE10" s="73">
        <v>-0.01</v>
      </c>
      <c r="CF10" s="73">
        <v>-0.01</v>
      </c>
      <c r="CG10" s="73">
        <v>-0.01</v>
      </c>
      <c r="CH10" s="74">
        <v>-4.1000000000000002E-2</v>
      </c>
      <c r="CI10" s="73">
        <v>0.03</v>
      </c>
      <c r="CJ10" s="73">
        <v>0.03</v>
      </c>
      <c r="CK10" s="73">
        <v>0.03</v>
      </c>
      <c r="CL10" s="73">
        <v>0.03</v>
      </c>
      <c r="CM10" s="74">
        <v>4.5999999999999999E-2</v>
      </c>
      <c r="CN10" s="73">
        <v>0.02</v>
      </c>
      <c r="CO10" s="73">
        <v>0.02</v>
      </c>
      <c r="CP10" s="73">
        <v>0.02</v>
      </c>
      <c r="CQ10" s="73">
        <v>0.02</v>
      </c>
      <c r="CR10" s="74">
        <v>0.03</v>
      </c>
      <c r="CS10" s="73">
        <v>0.02</v>
      </c>
      <c r="CT10" s="73">
        <v>0.02</v>
      </c>
      <c r="CU10" s="73">
        <v>0.02</v>
      </c>
      <c r="CV10" s="73">
        <v>0.02</v>
      </c>
      <c r="CW10" s="74">
        <v>2.9000000000000001E-2</v>
      </c>
      <c r="CX10" s="73">
        <v>0.02</v>
      </c>
      <c r="CY10" s="73">
        <v>0.02</v>
      </c>
      <c r="CZ10" s="73">
        <v>0.02</v>
      </c>
      <c r="DA10" s="73">
        <v>0.02</v>
      </c>
      <c r="DB10" s="74">
        <v>3.4000000000000002E-2</v>
      </c>
      <c r="DC10" s="73">
        <v>0.02</v>
      </c>
      <c r="DD10" s="73">
        <v>0.02</v>
      </c>
      <c r="DE10" s="73">
        <v>0.02</v>
      </c>
      <c r="DF10" s="73">
        <v>0.02</v>
      </c>
      <c r="DG10" s="74">
        <v>2.0000000000000018E-2</v>
      </c>
      <c r="DH10" s="73">
        <v>0.02</v>
      </c>
      <c r="DI10" s="73">
        <v>0.02</v>
      </c>
      <c r="DJ10" s="73">
        <v>0.02</v>
      </c>
      <c r="DK10" s="73">
        <v>0.02</v>
      </c>
      <c r="DL10" s="74">
        <v>2.0000000000000018E-2</v>
      </c>
      <c r="DM10" s="73">
        <v>0.02</v>
      </c>
      <c r="DN10" s="73">
        <v>0.02</v>
      </c>
      <c r="DO10" s="73">
        <v>0.02</v>
      </c>
      <c r="DP10" s="73">
        <v>0.02</v>
      </c>
      <c r="DQ10" s="74">
        <v>2.0000000000000018E-2</v>
      </c>
      <c r="DR10" s="73">
        <v>0.02</v>
      </c>
      <c r="DS10" s="73">
        <v>0.02</v>
      </c>
      <c r="DT10" s="73">
        <v>0.02</v>
      </c>
      <c r="DU10" s="73">
        <v>0.02</v>
      </c>
      <c r="DV10" s="74">
        <v>2.0000000000000018E-2</v>
      </c>
      <c r="DW10" s="73">
        <v>0.02</v>
      </c>
      <c r="DX10" s="73">
        <v>0.02</v>
      </c>
      <c r="DY10" s="73">
        <v>0.02</v>
      </c>
      <c r="DZ10" s="73">
        <v>0.02</v>
      </c>
      <c r="EA10" s="74">
        <v>2.0000000000000018E-2</v>
      </c>
      <c r="EB10" s="73">
        <v>0.02</v>
      </c>
      <c r="EC10" s="73">
        <v>0.02</v>
      </c>
      <c r="ED10" s="73">
        <v>0.02</v>
      </c>
      <c r="EE10" s="73">
        <v>0.02</v>
      </c>
      <c r="EF10" s="74">
        <v>2.0000000000000018E-2</v>
      </c>
    </row>
    <row r="11" spans="1:136">
      <c r="A11" s="72" t="s">
        <v>77</v>
      </c>
      <c r="B11" s="75">
        <v>2.9085999999999999</v>
      </c>
      <c r="C11" s="75">
        <v>3.1074999999999999</v>
      </c>
      <c r="D11" s="75">
        <v>2.8586</v>
      </c>
      <c r="E11" s="75">
        <v>2.6543999999999999</v>
      </c>
      <c r="F11" s="76">
        <v>2.6543999999999999</v>
      </c>
      <c r="G11" s="75">
        <v>2.6661999999999999</v>
      </c>
      <c r="H11" s="75">
        <v>2.3504</v>
      </c>
      <c r="I11" s="75">
        <v>2.2222</v>
      </c>
      <c r="J11" s="75">
        <v>2.3407</v>
      </c>
      <c r="K11" s="76">
        <v>2.3407</v>
      </c>
      <c r="L11" s="75">
        <v>2.1724000000000001</v>
      </c>
      <c r="M11" s="75">
        <v>2.1642999999999999</v>
      </c>
      <c r="N11" s="75">
        <v>2.1741999999999999</v>
      </c>
      <c r="O11" s="75">
        <v>2.1379999999999999</v>
      </c>
      <c r="P11" s="76">
        <v>2.1379999999999999</v>
      </c>
      <c r="Q11" s="75">
        <v>2.0503999999999998</v>
      </c>
      <c r="R11" s="75">
        <v>1.9261999999999999</v>
      </c>
      <c r="S11" s="75">
        <v>1.8389</v>
      </c>
      <c r="T11" s="75">
        <v>1.7713000000000001</v>
      </c>
      <c r="U11" s="76">
        <v>1.7713000000000001</v>
      </c>
      <c r="V11" s="75">
        <v>1.7491000000000001</v>
      </c>
      <c r="W11" s="75">
        <v>1.5919000000000001</v>
      </c>
      <c r="X11" s="75">
        <v>1.9142999999999999</v>
      </c>
      <c r="Y11" s="75">
        <v>2.3370000000000002</v>
      </c>
      <c r="Z11" s="76">
        <v>2.3370000000000002</v>
      </c>
      <c r="AA11" s="75">
        <v>2.3151999999999999</v>
      </c>
      <c r="AB11" s="75">
        <v>1.9516</v>
      </c>
      <c r="AC11" s="75">
        <v>1.7781</v>
      </c>
      <c r="AD11" s="75">
        <v>1.7412000000000001</v>
      </c>
      <c r="AE11" s="76">
        <v>1.7412000000000001</v>
      </c>
      <c r="AF11" s="75">
        <v>1.7810000000000001</v>
      </c>
      <c r="AG11" s="75">
        <v>1.8014999999999999</v>
      </c>
      <c r="AH11" s="75">
        <v>1.6941999999999999</v>
      </c>
      <c r="AI11" s="75">
        <v>1.7161</v>
      </c>
      <c r="AJ11" s="76">
        <v>1.6661999999999999</v>
      </c>
      <c r="AK11" s="75">
        <v>1.6317999999999999</v>
      </c>
      <c r="AL11" s="75">
        <v>1.5632999999999999</v>
      </c>
      <c r="AM11" s="75">
        <v>1.8793</v>
      </c>
      <c r="AN11" s="75">
        <v>1.8668</v>
      </c>
      <c r="AO11" s="76">
        <v>1.8757999999999999</v>
      </c>
      <c r="AP11" s="75">
        <v>1.82</v>
      </c>
      <c r="AQ11" s="75">
        <v>2.02</v>
      </c>
      <c r="AR11" s="75">
        <v>2.0299999999999998</v>
      </c>
      <c r="AS11" s="75">
        <v>2.04</v>
      </c>
      <c r="AT11" s="76">
        <v>2.04</v>
      </c>
      <c r="AU11" s="75">
        <v>2.0137999999999998</v>
      </c>
      <c r="AV11" s="75">
        <v>2.2155999999999998</v>
      </c>
      <c r="AW11" s="75">
        <v>2.23</v>
      </c>
      <c r="AX11" s="75">
        <v>2.3426</v>
      </c>
      <c r="AY11" s="76">
        <v>2.34</v>
      </c>
      <c r="AZ11" s="75">
        <v>2.2629999999999999</v>
      </c>
      <c r="BA11" s="75">
        <v>2.29</v>
      </c>
      <c r="BB11" s="75">
        <v>2.34</v>
      </c>
      <c r="BC11" s="75">
        <v>2.4</v>
      </c>
      <c r="BD11" s="76">
        <v>2.6562000000000001</v>
      </c>
      <c r="BE11" s="75">
        <v>3.2080000000000002</v>
      </c>
      <c r="BF11" s="75">
        <v>3.1025999999999998</v>
      </c>
      <c r="BG11" s="75">
        <v>3.9729000000000001</v>
      </c>
      <c r="BH11" s="75">
        <v>3.9047999999999998</v>
      </c>
      <c r="BI11" s="76">
        <v>3.7999999523162842</v>
      </c>
      <c r="BJ11" s="75">
        <v>3.5589</v>
      </c>
      <c r="BK11" s="75">
        <v>3.2098</v>
      </c>
      <c r="BL11" s="75">
        <v>3.2462</v>
      </c>
      <c r="BM11" s="75">
        <v>3.2591000000000001</v>
      </c>
      <c r="BN11" s="76">
        <v>3.2591000000000001</v>
      </c>
      <c r="BO11" s="75">
        <v>3.2</v>
      </c>
      <c r="BP11" s="75">
        <v>3.12</v>
      </c>
      <c r="BQ11" s="75">
        <v>3.31</v>
      </c>
      <c r="BR11" s="75">
        <v>3.3079999999999998</v>
      </c>
      <c r="BS11" s="76">
        <v>3.3079999999999998</v>
      </c>
      <c r="BT11" s="75">
        <v>3.3237999999999999</v>
      </c>
      <c r="BU11" s="75">
        <v>3.8557999999999999</v>
      </c>
      <c r="BV11" s="75">
        <v>4.0038999999999998</v>
      </c>
      <c r="BW11" s="75">
        <v>3.88</v>
      </c>
      <c r="BX11" s="76">
        <v>3.88</v>
      </c>
      <c r="BY11" s="75">
        <v>3.9017477950776094</v>
      </c>
      <c r="BZ11" s="75">
        <v>3.9236174887610789</v>
      </c>
      <c r="CA11" s="75">
        <v>3.9456097643045065</v>
      </c>
      <c r="CB11" s="75">
        <v>3.9677253087916995</v>
      </c>
      <c r="CC11" s="76">
        <v>4.0307000000000004</v>
      </c>
      <c r="CD11" s="75">
        <v>5</v>
      </c>
      <c r="CE11" s="75">
        <v>5.0084135653963973</v>
      </c>
      <c r="CF11" s="75">
        <v>5.0168412884093296</v>
      </c>
      <c r="CG11" s="75">
        <v>5.0252831928620045</v>
      </c>
      <c r="CH11" s="76">
        <v>4.8</v>
      </c>
      <c r="CI11" s="75">
        <v>4.8726419796985514</v>
      </c>
      <c r="CJ11" s="75">
        <v>4.9463833046501291</v>
      </c>
      <c r="CK11" s="75">
        <v>5.0212406120663058</v>
      </c>
      <c r="CL11" s="75">
        <v>5.0972307909419854</v>
      </c>
      <c r="CM11" s="76">
        <v>5.5804999999999998</v>
      </c>
      <c r="CN11" s="75">
        <v>5.6316783282881326</v>
      </c>
      <c r="CO11" s="75">
        <v>5.6833260090153601</v>
      </c>
      <c r="CP11" s="75">
        <v>5.7354473465761293</v>
      </c>
      <c r="CQ11" s="75">
        <v>5.7880466848401513</v>
      </c>
      <c r="CR11" s="76">
        <v>5.2176999999999998</v>
      </c>
      <c r="CS11" s="75">
        <v>5.2508591277992398</v>
      </c>
      <c r="CT11" s="75">
        <v>5.2842289859502456</v>
      </c>
      <c r="CU11" s="75">
        <v>5.3178109136704235</v>
      </c>
      <c r="CV11" s="75">
        <v>5.3516062586880739</v>
      </c>
      <c r="CW11" s="76">
        <v>4.8513000000000002</v>
      </c>
      <c r="CX11" s="75">
        <v>4.8845908634638056</v>
      </c>
      <c r="CY11" s="75">
        <v>4.9181101773615499</v>
      </c>
      <c r="CZ11" s="75">
        <v>4.9518595093786377</v>
      </c>
      <c r="DA11" s="75">
        <v>4.9858404379583323</v>
      </c>
      <c r="DB11" s="76">
        <v>6.1923000000000004</v>
      </c>
      <c r="DC11" s="75">
        <v>5.9623333333333335</v>
      </c>
      <c r="DD11" s="75">
        <v>5.7323666666666666</v>
      </c>
      <c r="DE11" s="75">
        <v>5.6173833333333327</v>
      </c>
      <c r="DF11" s="75">
        <v>5.5023999999999997</v>
      </c>
      <c r="DG11" s="76">
        <v>5.5023999999999997</v>
      </c>
      <c r="DH11" s="75">
        <v>5.5291053841950459</v>
      </c>
      <c r="DI11" s="75">
        <v>5.5559403804766374</v>
      </c>
      <c r="DJ11" s="75">
        <v>5.5829056179049239</v>
      </c>
      <c r="DK11" s="75">
        <v>5.6100017285931392</v>
      </c>
      <c r="DL11" s="76">
        <v>5.6100017285931392</v>
      </c>
      <c r="DM11" s="75">
        <v>5.6372293477224202</v>
      </c>
      <c r="DN11" s="75">
        <v>5.6645891135566959</v>
      </c>
      <c r="DO11" s="75">
        <v>5.69208166745765</v>
      </c>
      <c r="DP11" s="75">
        <v>5.7197076538997553</v>
      </c>
      <c r="DQ11" s="76">
        <v>5.7197076538997553</v>
      </c>
      <c r="DR11" s="75">
        <v>5.7474677204853801</v>
      </c>
      <c r="DS11" s="75">
        <v>5.7753625179599712</v>
      </c>
      <c r="DT11" s="75">
        <v>5.8033927002273078</v>
      </c>
      <c r="DU11" s="75">
        <v>5.8315589243648294</v>
      </c>
      <c r="DV11" s="76">
        <v>5.8315589243648294</v>
      </c>
      <c r="DW11" s="75">
        <v>5.8598618506390396</v>
      </c>
      <c r="DX11" s="75">
        <v>5.8883021425209847</v>
      </c>
      <c r="DY11" s="75">
        <v>5.9168804667018042</v>
      </c>
      <c r="DZ11" s="75">
        <v>5.9455974931083615</v>
      </c>
      <c r="EA11" s="76">
        <v>5.9455974931083615</v>
      </c>
      <c r="EB11" s="75">
        <v>5.9744538949189465</v>
      </c>
      <c r="EC11" s="75">
        <v>6.0034503485790589</v>
      </c>
      <c r="ED11" s="75">
        <v>6.0325875338172628</v>
      </c>
      <c r="EE11" s="75">
        <v>6.0618661336611197</v>
      </c>
      <c r="EF11" s="76">
        <v>6.0618661336611197</v>
      </c>
    </row>
    <row r="12" spans="1:136">
      <c r="A12" s="72" t="s">
        <v>66</v>
      </c>
      <c r="B12" s="73">
        <v>6.7146614979924912E-3</v>
      </c>
      <c r="C12" s="73">
        <v>6.8383414701230771E-2</v>
      </c>
      <c r="D12" s="73">
        <v>-8.0096540627514035E-2</v>
      </c>
      <c r="E12" s="73">
        <v>-7.143356887987129E-2</v>
      </c>
      <c r="F12" s="74">
        <v>-8.1268171120033372E-2</v>
      </c>
      <c r="G12" s="73">
        <v>4.4454490657022117E-3</v>
      </c>
      <c r="H12" s="73">
        <v>-0.11844572800240039</v>
      </c>
      <c r="I12" s="73">
        <v>-5.4543907420013693E-2</v>
      </c>
      <c r="J12" s="73">
        <v>5.3325533255332624E-2</v>
      </c>
      <c r="K12" s="74">
        <v>-0.11818113321277879</v>
      </c>
      <c r="L12" s="73">
        <v>-7.1901567907036279E-2</v>
      </c>
      <c r="M12" s="73">
        <v>-3.7285951021912567E-3</v>
      </c>
      <c r="N12" s="73">
        <v>4.5742272328235245E-3</v>
      </c>
      <c r="O12" s="73">
        <v>-1.6649802226106125E-2</v>
      </c>
      <c r="P12" s="74">
        <v>-8.6598026231469283E-2</v>
      </c>
      <c r="Q12" s="73">
        <v>-4.0972871842843817E-2</v>
      </c>
      <c r="R12" s="73">
        <v>-6.0573546625048658E-2</v>
      </c>
      <c r="S12" s="73">
        <v>-4.5322396428200573E-2</v>
      </c>
      <c r="T12" s="73">
        <v>-3.6761107183642339E-2</v>
      </c>
      <c r="U12" s="74">
        <v>-0.17151543498596811</v>
      </c>
      <c r="V12" s="73">
        <v>-1.2533167729915862E-2</v>
      </c>
      <c r="W12" s="73">
        <v>-8.9874792750557431E-2</v>
      </c>
      <c r="X12" s="73">
        <v>0.20252528425152327</v>
      </c>
      <c r="Y12" s="73">
        <v>0.2208117849866793</v>
      </c>
      <c r="Z12" s="74">
        <v>0.31936995427087456</v>
      </c>
      <c r="AA12" s="73">
        <v>-9.3281985451434402E-3</v>
      </c>
      <c r="AB12" s="73">
        <v>-0.15704906703524535</v>
      </c>
      <c r="AC12" s="73">
        <v>-8.8901414224226261E-2</v>
      </c>
      <c r="AD12" s="73">
        <v>-2.075248861143919E-2</v>
      </c>
      <c r="AE12" s="74">
        <v>-0.25494223363286272</v>
      </c>
      <c r="AF12" s="73">
        <v>-6.928735842545386E-3</v>
      </c>
      <c r="AG12" s="73">
        <v>-6.9770781741669285E-3</v>
      </c>
      <c r="AH12" s="73">
        <v>-7.0260998218837356E-3</v>
      </c>
      <c r="AI12" s="73">
        <v>-7.0758152058412183E-3</v>
      </c>
      <c r="AJ12" s="74">
        <v>-2.7714943370181544E-2</v>
      </c>
      <c r="AK12" s="73">
        <v>-4.9123011479517587E-2</v>
      </c>
      <c r="AL12" s="73">
        <v>-4.1978183600931529E-2</v>
      </c>
      <c r="AM12" s="73">
        <v>0.20213650610887224</v>
      </c>
      <c r="AN12" s="73">
        <v>-6.6514127600701967E-3</v>
      </c>
      <c r="AO12" s="74">
        <v>0.12579522266234555</v>
      </c>
      <c r="AP12" s="73">
        <v>-2.5069637883008311E-2</v>
      </c>
      <c r="AQ12" s="73">
        <v>0.10989010989010994</v>
      </c>
      <c r="AR12" s="73">
        <v>4.9504950495049549E-3</v>
      </c>
      <c r="AS12" s="73">
        <v>4.9261083743843415E-3</v>
      </c>
      <c r="AT12" s="74">
        <v>8.753598464655088E-2</v>
      </c>
      <c r="AU12" s="73">
        <v>-1.2843137254902048E-2</v>
      </c>
      <c r="AV12" s="73">
        <v>0.10020856092958597</v>
      </c>
      <c r="AW12" s="73">
        <v>6.4993681169887019E-3</v>
      </c>
      <c r="AX12" s="73">
        <v>5.0493273542600914E-2</v>
      </c>
      <c r="AY12" s="74">
        <v>0.14705882352941169</v>
      </c>
      <c r="AZ12" s="73">
        <v>-3.3979339195765457E-2</v>
      </c>
      <c r="BA12" s="73">
        <v>1.1931064958020432E-2</v>
      </c>
      <c r="BB12" s="73">
        <v>2.1834061135371119E-2</v>
      </c>
      <c r="BC12" s="73">
        <v>2.5641025641025772E-2</v>
      </c>
      <c r="BD12" s="74">
        <v>0.13512820512820523</v>
      </c>
      <c r="BE12" s="73">
        <v>0.33666666666666689</v>
      </c>
      <c r="BF12" s="73">
        <v>-3.2855361596010102E-2</v>
      </c>
      <c r="BG12" s="73">
        <v>0.28050667182363198</v>
      </c>
      <c r="BH12" s="73">
        <v>-1.7141131163633694E-2</v>
      </c>
      <c r="BI12" s="74">
        <v>0.43061514656888944</v>
      </c>
      <c r="BJ12" s="73">
        <v>-8.858328211432076E-2</v>
      </c>
      <c r="BK12" s="73">
        <v>-9.8092107111747984E-2</v>
      </c>
      <c r="BL12" s="73">
        <v>1.1340270421833054E-2</v>
      </c>
      <c r="BM12" s="73">
        <v>3.9738771486661495E-3</v>
      </c>
      <c r="BN12" s="74">
        <v>-0.14234209450096946</v>
      </c>
      <c r="BO12" s="73">
        <v>-1.8133840630848996E-2</v>
      </c>
      <c r="BP12" s="73">
        <v>-2.5000000000000022E-2</v>
      </c>
      <c r="BQ12" s="73">
        <v>6.0897435897435903E-2</v>
      </c>
      <c r="BR12" s="73">
        <v>-6.0422960725081687E-4</v>
      </c>
      <c r="BS12" s="74">
        <v>1.5004142247859731E-2</v>
      </c>
      <c r="BT12" s="73">
        <v>4.7762998790810141E-3</v>
      </c>
      <c r="BU12" s="73">
        <v>0.16005776520849624</v>
      </c>
      <c r="BV12" s="73">
        <v>3.8409668551273368E-2</v>
      </c>
      <c r="BW12" s="73">
        <v>-3.0944828791927836E-2</v>
      </c>
      <c r="BX12" s="74">
        <v>0.17291414752116085</v>
      </c>
      <c r="BY12" s="73">
        <v>5.6051018241261019E-3</v>
      </c>
      <c r="BZ12" s="73">
        <v>5.6051018241261019E-3</v>
      </c>
      <c r="CA12" s="73">
        <v>5.6051018241261019E-3</v>
      </c>
      <c r="CB12" s="73">
        <v>5.6051018241261019E-3</v>
      </c>
      <c r="CC12" s="74">
        <v>3.884020618556705E-2</v>
      </c>
      <c r="CD12" s="73">
        <v>5.6051018241261019E-3</v>
      </c>
      <c r="CE12" s="73">
        <v>5.6051018241261019E-3</v>
      </c>
      <c r="CF12" s="73">
        <v>5.6051018241261019E-3</v>
      </c>
      <c r="CG12" s="73">
        <v>5.6051018241261019E-3</v>
      </c>
      <c r="CH12" s="74">
        <v>0.19086014836132659</v>
      </c>
      <c r="CI12" s="73">
        <v>5.6051018241261019E-3</v>
      </c>
      <c r="CJ12" s="73">
        <v>5.6051018241261019E-3</v>
      </c>
      <c r="CK12" s="73">
        <v>5.6051018241261019E-3</v>
      </c>
      <c r="CL12" s="73">
        <v>5.6051018241261019E-3</v>
      </c>
      <c r="CM12" s="74">
        <v>0.16260416666666666</v>
      </c>
      <c r="CN12" s="73">
        <v>5.6051018241261019E-3</v>
      </c>
      <c r="CO12" s="73">
        <v>5.6051018241261019E-3</v>
      </c>
      <c r="CP12" s="73">
        <v>5.6051018241261019E-3</v>
      </c>
      <c r="CQ12" s="73">
        <v>5.6051018241261019E-3</v>
      </c>
      <c r="CR12" s="74">
        <v>-6.501209569035038E-2</v>
      </c>
      <c r="CS12" s="73">
        <v>5.6051018241261019E-3</v>
      </c>
      <c r="CT12" s="73">
        <v>5.6051018241261019E-3</v>
      </c>
      <c r="CU12" s="73">
        <v>5.6051018241261019E-3</v>
      </c>
      <c r="CV12" s="73">
        <v>5.6051018241261019E-3</v>
      </c>
      <c r="CW12" s="74">
        <v>-7.0222511834716395E-2</v>
      </c>
      <c r="CX12" s="73">
        <v>5.6051018241261019E-3</v>
      </c>
      <c r="CY12" s="73">
        <v>5.6051018241261019E-3</v>
      </c>
      <c r="CZ12" s="73">
        <v>5.6051018241261019E-3</v>
      </c>
      <c r="DA12" s="73">
        <v>5.6051018241261019E-3</v>
      </c>
      <c r="DB12" s="74">
        <v>0.27642075320017323</v>
      </c>
      <c r="DC12" s="73">
        <v>5.6051018241261019E-3</v>
      </c>
      <c r="DD12" s="73">
        <v>5.6051018241261019E-3</v>
      </c>
      <c r="DE12" s="73">
        <v>5.6051018241261019E-3</v>
      </c>
      <c r="DF12" s="73">
        <v>5.6051018241261019E-3</v>
      </c>
      <c r="DG12" s="74">
        <v>-0.11141256076094519</v>
      </c>
      <c r="DH12" s="73">
        <v>5.6051018241261019E-3</v>
      </c>
      <c r="DI12" s="73">
        <v>5.6051018241261019E-3</v>
      </c>
      <c r="DJ12" s="73">
        <v>5.6051018241261019E-3</v>
      </c>
      <c r="DK12" s="73">
        <v>5.6051018241261019E-3</v>
      </c>
      <c r="DL12" s="74">
        <v>1.9555417380259454E-2</v>
      </c>
      <c r="DM12" s="73">
        <v>5.6051018241261019E-3</v>
      </c>
      <c r="DN12" s="73">
        <v>5.6051018241261019E-3</v>
      </c>
      <c r="DO12" s="73">
        <v>5.6051018241261019E-3</v>
      </c>
      <c r="DP12" s="73">
        <v>5.6051018241261019E-3</v>
      </c>
      <c r="DQ12" s="74">
        <v>1.9555417380259454E-2</v>
      </c>
      <c r="DR12" s="73">
        <v>5.6051018241261019E-3</v>
      </c>
      <c r="DS12" s="73">
        <v>5.6051018241261019E-3</v>
      </c>
      <c r="DT12" s="73">
        <v>5.6051018241261019E-3</v>
      </c>
      <c r="DU12" s="73">
        <v>5.6051018241261019E-3</v>
      </c>
      <c r="DV12" s="74">
        <v>1.9555417380259454E-2</v>
      </c>
      <c r="DW12" s="73">
        <v>5.6051018241261019E-3</v>
      </c>
      <c r="DX12" s="73">
        <v>5.6051018241261019E-3</v>
      </c>
      <c r="DY12" s="73">
        <v>5.6051018241261019E-3</v>
      </c>
      <c r="DZ12" s="73">
        <v>5.6051018241261019E-3</v>
      </c>
      <c r="EA12" s="74">
        <v>1.9555417380259676E-2</v>
      </c>
      <c r="EB12" s="73">
        <v>5.6051018241261019E-3</v>
      </c>
      <c r="EC12" s="73">
        <v>5.6051018241261019E-3</v>
      </c>
      <c r="ED12" s="73">
        <v>5.6051018241261019E-3</v>
      </c>
      <c r="EE12" s="73">
        <v>5.6051018241261019E-3</v>
      </c>
      <c r="EF12" s="74">
        <v>1.9555417380259454E-2</v>
      </c>
    </row>
    <row r="13" spans="1:136">
      <c r="A13" s="72" t="s">
        <v>64</v>
      </c>
      <c r="B13" s="75">
        <v>2.8958666666666666</v>
      </c>
      <c r="C13" s="75">
        <v>3.0451666666666668</v>
      </c>
      <c r="D13" s="75">
        <v>2.9769333333333332</v>
      </c>
      <c r="E13" s="75">
        <v>2.7856999999999998</v>
      </c>
      <c r="F13" s="76">
        <v>2.9259166666666667</v>
      </c>
      <c r="G13" s="75">
        <v>2.6651666666666665</v>
      </c>
      <c r="H13" s="75">
        <v>2.4818333333333333</v>
      </c>
      <c r="I13" s="75">
        <v>2.3428333333333331</v>
      </c>
      <c r="J13" s="75">
        <v>2.2509333333333332</v>
      </c>
      <c r="K13" s="76">
        <v>2.4351916666666664</v>
      </c>
      <c r="L13" s="75">
        <v>2.1959333333333335</v>
      </c>
      <c r="M13" s="75">
        <v>2.1852333333333331</v>
      </c>
      <c r="N13" s="75">
        <v>2.1713</v>
      </c>
      <c r="O13" s="75">
        <v>2.1520333333333337</v>
      </c>
      <c r="P13" s="76">
        <v>2.1761250000000003</v>
      </c>
      <c r="Q13" s="75">
        <v>2.1078166666666664</v>
      </c>
      <c r="R13" s="75">
        <v>1.9818333333333333</v>
      </c>
      <c r="S13" s="75">
        <v>1.9161333333333335</v>
      </c>
      <c r="T13" s="75">
        <v>1.7856333333333332</v>
      </c>
      <c r="U13" s="76">
        <v>1.9478541666666667</v>
      </c>
      <c r="V13" s="75">
        <v>1.7365333333333333</v>
      </c>
      <c r="W13" s="75">
        <v>1.6561000000000001</v>
      </c>
      <c r="X13" s="75">
        <v>1.6677666666666668</v>
      </c>
      <c r="Y13" s="75">
        <v>2.2778666666666667</v>
      </c>
      <c r="Z13" s="76">
        <v>1.8345666666666669</v>
      </c>
      <c r="AA13" s="75">
        <v>2.3112999999999997</v>
      </c>
      <c r="AB13" s="75">
        <v>2.0748000000000002</v>
      </c>
      <c r="AC13" s="75">
        <v>1.8659333333333334</v>
      </c>
      <c r="AD13" s="75">
        <v>1.7383666666666666</v>
      </c>
      <c r="AE13" s="76">
        <v>1.9976</v>
      </c>
      <c r="AF13" s="75">
        <v>1.8416333333333332</v>
      </c>
      <c r="AG13" s="75">
        <v>1.813190476190476</v>
      </c>
      <c r="AH13" s="75">
        <v>1.759563636363636</v>
      </c>
      <c r="AI13" s="75">
        <v>1.7133300000000002</v>
      </c>
      <c r="AJ13" s="76">
        <v>1.7593000000000001</v>
      </c>
      <c r="AK13" s="75">
        <v>1.66683064516129</v>
      </c>
      <c r="AL13" s="75">
        <v>1.5953516129032264</v>
      </c>
      <c r="AM13" s="75">
        <v>1.6363953846153851</v>
      </c>
      <c r="AN13" s="75">
        <v>1.8029258064516125</v>
      </c>
      <c r="AO13" s="76">
        <v>1.6746000000000001</v>
      </c>
      <c r="AP13" s="75">
        <v>1.7687873015873015</v>
      </c>
      <c r="AQ13" s="75">
        <v>1.9633</v>
      </c>
      <c r="AR13" s="75">
        <v>2.0278999999999998</v>
      </c>
      <c r="AS13" s="75">
        <v>2.06</v>
      </c>
      <c r="AT13" s="76">
        <v>1.9549968253968255</v>
      </c>
      <c r="AU13" s="75">
        <v>1.9957333333333336</v>
      </c>
      <c r="AV13" s="75">
        <v>2.0700000000000003</v>
      </c>
      <c r="AW13" s="75">
        <v>2.2883</v>
      </c>
      <c r="AX13" s="75">
        <v>2.2765</v>
      </c>
      <c r="AY13" s="76">
        <v>2.1576333333333335</v>
      </c>
      <c r="AZ13" s="75">
        <v>2.3639964913333333</v>
      </c>
      <c r="BA13" s="75">
        <v>2.2688319718766357</v>
      </c>
      <c r="BB13" s="75">
        <v>2.33</v>
      </c>
      <c r="BC13" s="75">
        <v>2.38</v>
      </c>
      <c r="BD13" s="76">
        <v>2.3357071158024922</v>
      </c>
      <c r="BE13" s="75">
        <v>2.8691</v>
      </c>
      <c r="BF13" s="75">
        <v>3.0709</v>
      </c>
      <c r="BG13" s="75">
        <v>3.5398999999999998</v>
      </c>
      <c r="BH13" s="75">
        <v>3.8471000000000002</v>
      </c>
      <c r="BI13" s="76">
        <v>3.3317499999999995</v>
      </c>
      <c r="BJ13" s="75">
        <v>3.6794499761581418</v>
      </c>
      <c r="BK13" s="75">
        <v>3.38435</v>
      </c>
      <c r="BL13" s="75">
        <v>3.2279999999999998</v>
      </c>
      <c r="BM13" s="75">
        <v>3.25265</v>
      </c>
      <c r="BN13" s="76">
        <v>3.3861124940395353</v>
      </c>
      <c r="BO13" s="75">
        <v>3.2295500000000001</v>
      </c>
      <c r="BP13" s="75">
        <v>3.16</v>
      </c>
      <c r="BQ13" s="75">
        <v>3.2149999999999999</v>
      </c>
      <c r="BR13" s="75">
        <v>3.3090000000000002</v>
      </c>
      <c r="BS13" s="76">
        <v>3.2283875000000002</v>
      </c>
      <c r="BT13" s="75">
        <v>3.3159000000000001</v>
      </c>
      <c r="BU13" s="75">
        <v>3.5897999999999999</v>
      </c>
      <c r="BV13" s="75">
        <v>3.9298500000000001</v>
      </c>
      <c r="BW13" s="75">
        <v>3.9419499999999998</v>
      </c>
      <c r="BX13" s="76">
        <v>3.694375</v>
      </c>
      <c r="BY13" s="75">
        <v>3.8908738975388046</v>
      </c>
      <c r="BZ13" s="75">
        <v>3.9126826419193441</v>
      </c>
      <c r="CA13" s="75">
        <v>3.9346136265327925</v>
      </c>
      <c r="CB13" s="75">
        <v>3.9566675365481032</v>
      </c>
      <c r="CC13" s="76">
        <v>3.9237094256347609</v>
      </c>
      <c r="CD13" s="75">
        <v>4.5153499999999998</v>
      </c>
      <c r="CE13" s="75">
        <v>5.0042067826981986</v>
      </c>
      <c r="CF13" s="75">
        <v>5.0126274269028634</v>
      </c>
      <c r="CG13" s="75">
        <v>5.0210622406356666</v>
      </c>
      <c r="CH13" s="76">
        <v>4.8883116125591819</v>
      </c>
      <c r="CI13" s="75">
        <v>4.8363209898492752</v>
      </c>
      <c r="CJ13" s="75">
        <v>4.9095126421743398</v>
      </c>
      <c r="CK13" s="75">
        <v>4.983811958358217</v>
      </c>
      <c r="CL13" s="75">
        <v>5.0592357015041456</v>
      </c>
      <c r="CM13" s="76">
        <v>4.9472203229714946</v>
      </c>
      <c r="CN13" s="75">
        <v>5.6060891641440662</v>
      </c>
      <c r="CO13" s="75">
        <v>5.6575021686517459</v>
      </c>
      <c r="CP13" s="75">
        <v>5.7093866777957452</v>
      </c>
      <c r="CQ13" s="75">
        <v>5.7617470157081403</v>
      </c>
      <c r="CR13" s="76">
        <v>5.6836812565749248</v>
      </c>
      <c r="CS13" s="75">
        <v>5.2342795638996193</v>
      </c>
      <c r="CT13" s="75">
        <v>5.2675440568747423</v>
      </c>
      <c r="CU13" s="75">
        <v>5.3010199498103345</v>
      </c>
      <c r="CV13" s="75">
        <v>5.3347085861792483</v>
      </c>
      <c r="CW13" s="76">
        <v>5.2843880391909863</v>
      </c>
      <c r="CX13" s="75">
        <v>4.8679454317319024</v>
      </c>
      <c r="CY13" s="75">
        <v>4.9013505204126773</v>
      </c>
      <c r="CZ13" s="75">
        <v>4.9349848433700938</v>
      </c>
      <c r="DA13" s="75">
        <v>4.968849973668485</v>
      </c>
      <c r="DB13" s="76">
        <v>4.9182826922957901</v>
      </c>
      <c r="DC13" s="75">
        <v>6.0773166666666665</v>
      </c>
      <c r="DD13" s="75">
        <v>5.8473500000000005</v>
      </c>
      <c r="DE13" s="75">
        <v>5.6748750000000001</v>
      </c>
      <c r="DF13" s="75">
        <v>5.5598916666666662</v>
      </c>
      <c r="DG13" s="76">
        <v>5.7898583333333331</v>
      </c>
      <c r="DH13" s="75">
        <v>5.5157526920975233</v>
      </c>
      <c r="DI13" s="75">
        <v>5.5425228823358417</v>
      </c>
      <c r="DJ13" s="75">
        <v>5.5694229991907811</v>
      </c>
      <c r="DK13" s="75">
        <v>5.596453673249032</v>
      </c>
      <c r="DL13" s="76">
        <v>5.5560380617182936</v>
      </c>
      <c r="DM13" s="75">
        <v>5.6236155381577797</v>
      </c>
      <c r="DN13" s="75">
        <v>5.6509092306395576</v>
      </c>
      <c r="DO13" s="75">
        <v>5.678335390507173</v>
      </c>
      <c r="DP13" s="75">
        <v>5.7058946606787027</v>
      </c>
      <c r="DQ13" s="76">
        <v>5.664688704995803</v>
      </c>
      <c r="DR13" s="75">
        <v>5.7335876871925677</v>
      </c>
      <c r="DS13" s="75">
        <v>5.7614151192226757</v>
      </c>
      <c r="DT13" s="75">
        <v>5.7893776090936395</v>
      </c>
      <c r="DU13" s="75">
        <v>5.8174758122960686</v>
      </c>
      <c r="DV13" s="76">
        <v>5.7754640569512379</v>
      </c>
      <c r="DW13" s="75">
        <v>5.8457103875019349</v>
      </c>
      <c r="DX13" s="75">
        <v>5.8740819965800117</v>
      </c>
      <c r="DY13" s="75">
        <v>5.9025913046113949</v>
      </c>
      <c r="DZ13" s="75">
        <v>5.9312389799050829</v>
      </c>
      <c r="EA13" s="76">
        <v>5.8884056671496054</v>
      </c>
      <c r="EB13" s="75">
        <v>5.9600256940136536</v>
      </c>
      <c r="EC13" s="75">
        <v>5.9889521217490032</v>
      </c>
      <c r="ED13" s="75">
        <v>6.0180189411981608</v>
      </c>
      <c r="EE13" s="75">
        <v>6.0472268337391917</v>
      </c>
      <c r="EF13" s="76">
        <v>6.0035558976750023</v>
      </c>
    </row>
    <row r="14" spans="1:136">
      <c r="A14" s="72" t="s">
        <v>66</v>
      </c>
      <c r="B14" s="73">
        <v>-1.4941498287474042E-3</v>
      </c>
      <c r="C14" s="73">
        <v>5.1556241079239395E-2</v>
      </c>
      <c r="D14" s="73">
        <v>-2.2407093207815754E-2</v>
      </c>
      <c r="E14" s="73">
        <v>-6.4238366103820499E-2</v>
      </c>
      <c r="F14" s="74">
        <v>-4.9497284742036962E-2</v>
      </c>
      <c r="G14" s="73">
        <v>-4.3268597958622035E-2</v>
      </c>
      <c r="H14" s="73">
        <v>-6.8788693640172482E-2</v>
      </c>
      <c r="I14" s="73">
        <v>-5.6006984084346345E-2</v>
      </c>
      <c r="J14" s="73">
        <v>-3.9226008394394163E-2</v>
      </c>
      <c r="K14" s="74">
        <v>-0.16771666998946211</v>
      </c>
      <c r="L14" s="73">
        <v>-2.44343087311929E-2</v>
      </c>
      <c r="M14" s="73">
        <v>-4.8726433710800654E-3</v>
      </c>
      <c r="N14" s="73">
        <v>-6.3761306954253083E-3</v>
      </c>
      <c r="O14" s="73">
        <v>-8.8733324122259871E-3</v>
      </c>
      <c r="P14" s="74">
        <v>-0.10638450772184238</v>
      </c>
      <c r="Q14" s="73">
        <v>-2.0546459937114014E-2</v>
      </c>
      <c r="R14" s="73">
        <v>-5.9769587804125779E-2</v>
      </c>
      <c r="S14" s="73">
        <v>-3.3151122697838598E-2</v>
      </c>
      <c r="T14" s="73">
        <v>-6.8105907730847015E-2</v>
      </c>
      <c r="U14" s="74">
        <v>-0.10489784977119132</v>
      </c>
      <c r="V14" s="73">
        <v>-2.7497246541843157E-2</v>
      </c>
      <c r="W14" s="73">
        <v>-4.6318335380835296E-2</v>
      </c>
      <c r="X14" s="73">
        <v>7.0446631644627278E-3</v>
      </c>
      <c r="Y14" s="73">
        <v>0.36581855975056454</v>
      </c>
      <c r="Z14" s="74">
        <v>-5.8160154871279124E-2</v>
      </c>
      <c r="AA14" s="73">
        <v>1.4677476000936496E-2</v>
      </c>
      <c r="AB14" s="73">
        <v>-0.10232336780166984</v>
      </c>
      <c r="AC14" s="73">
        <v>-0.1006683375104428</v>
      </c>
      <c r="AD14" s="73">
        <v>-6.8366143842223837E-2</v>
      </c>
      <c r="AE14" s="74">
        <v>8.8867489143666933E-2</v>
      </c>
      <c r="AF14" s="73">
        <v>-4.4340070455626712E-2</v>
      </c>
      <c r="AG14" s="73">
        <v>-6.9528229794377783E-3</v>
      </c>
      <c r="AH14" s="73">
        <v>-7.0015031917195492E-3</v>
      </c>
      <c r="AI14" s="73">
        <v>-7.0508698796868385E-3</v>
      </c>
      <c r="AJ14" s="74">
        <v>-0.15792684502872834</v>
      </c>
      <c r="AK14" s="73">
        <v>-2.7139754068807642E-2</v>
      </c>
      <c r="AL14" s="73">
        <v>-4.2883200201270011E-2</v>
      </c>
      <c r="AM14" s="73">
        <v>2.572710077214091E-2</v>
      </c>
      <c r="AN14" s="73">
        <v>0.10176661667581532</v>
      </c>
      <c r="AO14" s="74">
        <v>-4.8144148240777618E-2</v>
      </c>
      <c r="AP14" s="73">
        <v>-1.893505808289464E-2</v>
      </c>
      <c r="AQ14" s="73">
        <v>0.10996952445222985</v>
      </c>
      <c r="AR14" s="73">
        <v>3.2903784444557438E-2</v>
      </c>
      <c r="AS14" s="73">
        <v>1.5829182898565053E-2</v>
      </c>
      <c r="AT14" s="74">
        <v>0.16744107571767919</v>
      </c>
      <c r="AU14" s="73">
        <v>-3.1197411003236142E-2</v>
      </c>
      <c r="AV14" s="73">
        <v>3.7212720470336746E-2</v>
      </c>
      <c r="AW14" s="73">
        <v>0.10545893719806743</v>
      </c>
      <c r="AX14" s="73">
        <v>-5.15666652099811E-3</v>
      </c>
      <c r="AY14" s="74">
        <v>0.10365055600301387</v>
      </c>
      <c r="AZ14" s="73">
        <v>3.8434654659931233E-2</v>
      </c>
      <c r="BA14" s="73">
        <v>-4.0255778638242923E-2</v>
      </c>
      <c r="BB14" s="73">
        <v>2.6960140231438112E-2</v>
      </c>
      <c r="BC14" s="73">
        <v>2.1459227467811148E-2</v>
      </c>
      <c r="BD14" s="74">
        <v>8.2531994532199837E-2</v>
      </c>
      <c r="BE14" s="73">
        <v>0.20550420168067229</v>
      </c>
      <c r="BF14" s="73">
        <v>7.0335645324317797E-2</v>
      </c>
      <c r="BG14" s="73">
        <v>0.15272395714611342</v>
      </c>
      <c r="BH14" s="73">
        <v>8.6782112489053542E-2</v>
      </c>
      <c r="BI14" s="74">
        <v>0.42644168759801504</v>
      </c>
      <c r="BJ14" s="73">
        <v>-4.3578285940541805E-2</v>
      </c>
      <c r="BK14" s="73">
        <v>-8.0202198173724648E-2</v>
      </c>
      <c r="BL14" s="73">
        <v>-4.6197940520336322E-2</v>
      </c>
      <c r="BM14" s="73">
        <v>7.6363073110286006E-3</v>
      </c>
      <c r="BN14" s="74">
        <v>1.6316498548671454E-2</v>
      </c>
      <c r="BO14" s="73">
        <v>-7.1019015264476293E-3</v>
      </c>
      <c r="BP14" s="73">
        <v>-2.1535508042916152E-2</v>
      </c>
      <c r="BQ14" s="73">
        <v>1.7405063291139111E-2</v>
      </c>
      <c r="BR14" s="73">
        <v>2.9237947122861652E-2</v>
      </c>
      <c r="BS14" s="74">
        <v>-4.6579962809024655E-2</v>
      </c>
      <c r="BT14" s="73">
        <v>2.7107185862911498E-2</v>
      </c>
      <c r="BU14" s="73">
        <v>8.2602008504478297E-2</v>
      </c>
      <c r="BV14" s="73">
        <v>9.4726725722881655E-2</v>
      </c>
      <c r="BW14" s="73">
        <v>3.0789979261294231E-3</v>
      </c>
      <c r="BX14" s="74">
        <v>0.14434063444986078</v>
      </c>
      <c r="BY14" s="73">
        <v>3.0789979261294231E-3</v>
      </c>
      <c r="BZ14" s="73">
        <v>3.0789979261294231E-3</v>
      </c>
      <c r="CA14" s="73">
        <v>3.0789979261294231E-3</v>
      </c>
      <c r="CB14" s="73">
        <v>3.0789979261294231E-3</v>
      </c>
      <c r="CC14" s="74">
        <v>6.2076650484794049E-2</v>
      </c>
      <c r="CD14" s="73">
        <v>3.0789979261294231E-3</v>
      </c>
      <c r="CE14" s="73">
        <v>3.0789979261294231E-3</v>
      </c>
      <c r="CF14" s="73">
        <v>3.0789979261294231E-3</v>
      </c>
      <c r="CG14" s="73">
        <v>3.0789979261294231E-3</v>
      </c>
      <c r="CH14" s="74">
        <v>0.24583935309337335</v>
      </c>
      <c r="CI14" s="73">
        <v>3.0789979261294231E-3</v>
      </c>
      <c r="CJ14" s="73">
        <v>3.0789979261294231E-3</v>
      </c>
      <c r="CK14" s="73">
        <v>3.0789979261294231E-3</v>
      </c>
      <c r="CL14" s="73">
        <v>3.0789979261294231E-3</v>
      </c>
      <c r="CM14" s="74">
        <v>1.2050931912966245E-2</v>
      </c>
      <c r="CN14" s="73">
        <v>3.0789979261294231E-3</v>
      </c>
      <c r="CO14" s="73">
        <v>3.0789979261294231E-3</v>
      </c>
      <c r="CP14" s="73">
        <v>3.0789979261294231E-3</v>
      </c>
      <c r="CQ14" s="73">
        <v>3.0789979261294231E-3</v>
      </c>
      <c r="CR14" s="74">
        <v>0.1488635810666874</v>
      </c>
      <c r="CS14" s="73">
        <v>3.0789979261294231E-3</v>
      </c>
      <c r="CT14" s="73">
        <v>3.0789979261294231E-3</v>
      </c>
      <c r="CU14" s="73">
        <v>3.0789979261294231E-3</v>
      </c>
      <c r="CV14" s="73">
        <v>3.0789979261294231E-3</v>
      </c>
      <c r="CW14" s="74">
        <v>-7.0252570360456623E-2</v>
      </c>
      <c r="CX14" s="73">
        <v>3.0789979261294231E-3</v>
      </c>
      <c r="CY14" s="73">
        <v>3.0789979261294231E-3</v>
      </c>
      <c r="CZ14" s="73">
        <v>3.0789979261294231E-3</v>
      </c>
      <c r="DA14" s="73">
        <v>3.0789979261294231E-3</v>
      </c>
      <c r="DB14" s="74">
        <v>-6.9280557025718559E-2</v>
      </c>
      <c r="DC14" s="73">
        <v>3.0789979261294231E-3</v>
      </c>
      <c r="DD14" s="73">
        <v>3.0789979261294231E-3</v>
      </c>
      <c r="DE14" s="73">
        <v>3.0789979261294231E-3</v>
      </c>
      <c r="DF14" s="73">
        <v>3.0789979261294231E-3</v>
      </c>
      <c r="DG14" s="74">
        <v>0.1772113755077187</v>
      </c>
      <c r="DH14" s="73">
        <v>3.0789979261294231E-3</v>
      </c>
      <c r="DI14" s="73">
        <v>3.0789979261294231E-3</v>
      </c>
      <c r="DJ14" s="73">
        <v>3.0789979261294231E-3</v>
      </c>
      <c r="DK14" s="73">
        <v>3.0789979261294231E-3</v>
      </c>
      <c r="DL14" s="74">
        <v>-4.0384454705720718E-2</v>
      </c>
      <c r="DM14" s="73">
        <v>3.0789979261294231E-3</v>
      </c>
      <c r="DN14" s="73">
        <v>3.0789979261294231E-3</v>
      </c>
      <c r="DO14" s="73">
        <v>3.0789979261294231E-3</v>
      </c>
      <c r="DP14" s="73">
        <v>3.0789979261294231E-3</v>
      </c>
      <c r="DQ14" s="74">
        <v>1.9555417380259454E-2</v>
      </c>
      <c r="DR14" s="73">
        <v>3.0789979261294231E-3</v>
      </c>
      <c r="DS14" s="73">
        <v>3.0789979261294231E-3</v>
      </c>
      <c r="DT14" s="73">
        <v>3.0789979261294231E-3</v>
      </c>
      <c r="DU14" s="73">
        <v>3.0789979261294231E-3</v>
      </c>
      <c r="DV14" s="74">
        <v>1.9555417380259454E-2</v>
      </c>
      <c r="DW14" s="73">
        <v>3.0789979261294231E-3</v>
      </c>
      <c r="DX14" s="73">
        <v>3.0789979261294231E-3</v>
      </c>
      <c r="DY14" s="73">
        <v>3.0789979261294231E-3</v>
      </c>
      <c r="DZ14" s="73">
        <v>3.0789979261294231E-3</v>
      </c>
      <c r="EA14" s="74">
        <v>1.9555417380259454E-2</v>
      </c>
      <c r="EB14" s="73">
        <v>3.0789979261294231E-3</v>
      </c>
      <c r="EC14" s="73">
        <v>3.0789979261294231E-3</v>
      </c>
      <c r="ED14" s="73">
        <v>3.0789979261294231E-3</v>
      </c>
      <c r="EE14" s="73">
        <v>3.0789979261294231E-3</v>
      </c>
      <c r="EF14" s="74">
        <v>1.9555417380259676E-2</v>
      </c>
    </row>
    <row r="15" spans="1:136">
      <c r="A15" s="72" t="s">
        <v>78</v>
      </c>
      <c r="B15" s="73">
        <v>2.7238816135999988E-2</v>
      </c>
      <c r="C15" s="73">
        <v>3.9508457438000244E-2</v>
      </c>
      <c r="D15" s="73">
        <v>3.253549275799994E-2</v>
      </c>
      <c r="E15" s="73">
        <v>1.9621756652000055E-2</v>
      </c>
      <c r="F15" s="74">
        <v>0.12419987276349853</v>
      </c>
      <c r="G15" s="73">
        <v>1.5470449449999757E-2</v>
      </c>
      <c r="H15" s="73">
        <v>1.9530032479999626E-3</v>
      </c>
      <c r="I15" s="73">
        <v>-1.5125547129999806E-2</v>
      </c>
      <c r="J15" s="73">
        <v>9.9229976000001496E-3</v>
      </c>
      <c r="K15" s="74">
        <v>1.2007603039307924E-2</v>
      </c>
      <c r="L15" s="73">
        <v>6.9795278840001362E-3</v>
      </c>
      <c r="M15" s="73">
        <v>7.0809202999999599E-3</v>
      </c>
      <c r="N15" s="73">
        <v>8.422629313999952E-3</v>
      </c>
      <c r="O15" s="73">
        <v>1.5474402800000231E-2</v>
      </c>
      <c r="P15" s="74">
        <v>3.8476259957920922E-2</v>
      </c>
      <c r="Q15" s="73">
        <v>1.1139725899999675E-2</v>
      </c>
      <c r="R15" s="73">
        <v>3.40224041599968E-3</v>
      </c>
      <c r="S15" s="73">
        <v>2.5690333975999735E-2</v>
      </c>
      <c r="T15" s="73">
        <v>3.5379965119999968E-2</v>
      </c>
      <c r="U15" s="74">
        <v>7.7462737333541476E-2</v>
      </c>
      <c r="V15" s="73">
        <v>2.3778077498000094E-2</v>
      </c>
      <c r="W15" s="73">
        <v>4.336868958200002E-2</v>
      </c>
      <c r="X15" s="73">
        <v>1.5459458048000085E-2</v>
      </c>
      <c r="Y15" s="73">
        <v>1.2319511587999932E-2</v>
      </c>
      <c r="Z15" s="74">
        <v>9.805431279728416E-2</v>
      </c>
      <c r="AA15" s="73">
        <v>-9.1980353439999885E-3</v>
      </c>
      <c r="AB15" s="73">
        <v>-3.1967510500000573E-3</v>
      </c>
      <c r="AC15" s="73">
        <v>-3.7176349840001288E-3</v>
      </c>
      <c r="AD15" s="73">
        <v>-1.1034013000001952E-3</v>
      </c>
      <c r="AE15" s="74">
        <v>-1.7122753570905869E-2</v>
      </c>
      <c r="AF15" s="73">
        <v>2.7745178796000136E-2</v>
      </c>
      <c r="AG15" s="73">
        <v>2.835900885500009E-2</v>
      </c>
      <c r="AH15" s="73">
        <v>2.0817482825000067E-2</v>
      </c>
      <c r="AI15" s="73">
        <v>3.1817200504999699E-2</v>
      </c>
      <c r="AJ15" s="74">
        <v>0.113</v>
      </c>
      <c r="AK15" s="73">
        <v>2.4312626443201424E-2</v>
      </c>
      <c r="AL15" s="73">
        <v>6.9680367870716964E-3</v>
      </c>
      <c r="AM15" s="73">
        <v>9.7144444229142479E-3</v>
      </c>
      <c r="AN15" s="73">
        <v>9.1198891198891463E-3</v>
      </c>
      <c r="AO15" s="74">
        <v>5.0968130206239914E-2</v>
      </c>
      <c r="AP15" s="73">
        <v>6.1573960596046362E-3</v>
      </c>
      <c r="AQ15" s="73">
        <v>2.5570914344997364E-2</v>
      </c>
      <c r="AR15" s="73">
        <v>3.7862168714000166E-2</v>
      </c>
      <c r="AS15" s="73">
        <v>6.6992595919999065E-3</v>
      </c>
      <c r="AT15" s="74">
        <v>7.8200000000000006E-2</v>
      </c>
      <c r="AU15" s="73">
        <v>8.3999999999999995E-3</v>
      </c>
      <c r="AV15" s="73">
        <v>9.0000000000000011E-3</v>
      </c>
      <c r="AW15" s="73">
        <v>1.9199999999999998E-2</v>
      </c>
      <c r="AX15" s="73">
        <v>1.7600000000000001E-2</v>
      </c>
      <c r="AY15" s="74">
        <v>5.5E-2</v>
      </c>
      <c r="AZ15" s="73">
        <v>2.5462164607999771E-2</v>
      </c>
      <c r="BA15" s="73">
        <v>0</v>
      </c>
      <c r="BB15" s="73">
        <v>1.3999999999999999E-2</v>
      </c>
      <c r="BC15" s="73">
        <v>1.2E-2</v>
      </c>
      <c r="BD15" s="74">
        <v>3.6900000000000002E-2</v>
      </c>
      <c r="BE15" s="73">
        <v>2.0221661095999988E-2</v>
      </c>
      <c r="BF15" s="73">
        <v>2.2654151398999955E-2</v>
      </c>
      <c r="BG15" s="73">
        <v>1.9311653539999973E-2</v>
      </c>
      <c r="BH15" s="73">
        <v>3.9455777671999925E-2</v>
      </c>
      <c r="BI15" s="74">
        <v>0.107</v>
      </c>
      <c r="BJ15" s="73">
        <v>2.9665631624325117E-2</v>
      </c>
      <c r="BK15" s="73">
        <v>2.8562254760769124E-2</v>
      </c>
      <c r="BL15" s="73">
        <v>5.1997257825602272E-3</v>
      </c>
      <c r="BM15" s="73">
        <v>6.7134119051168728E-3</v>
      </c>
      <c r="BN15" s="74">
        <v>7.1729082528960486E-2</v>
      </c>
      <c r="BO15" s="73">
        <v>-1.3025427170976211E-3</v>
      </c>
      <c r="BP15" s="73">
        <v>-1.3025427170976211E-3</v>
      </c>
      <c r="BQ15" s="73">
        <v>-1.3025427170976211E-3</v>
      </c>
      <c r="BR15" s="73">
        <v>-1.3025427170976211E-3</v>
      </c>
      <c r="BS15" s="74">
        <v>-5.1999999999999998E-3</v>
      </c>
      <c r="BT15" s="73">
        <v>1.8244601098569957E-2</v>
      </c>
      <c r="BU15" s="73">
        <v>1.8244601098569957E-2</v>
      </c>
      <c r="BV15" s="73">
        <v>1.8244601098569957E-2</v>
      </c>
      <c r="BW15" s="73">
        <v>1.8244601098569957E-2</v>
      </c>
      <c r="BX15" s="74">
        <v>7.4999999999999997E-2</v>
      </c>
      <c r="BY15" s="73">
        <v>1.7813112157422095E-2</v>
      </c>
      <c r="BZ15" s="73">
        <v>1.7813112157422095E-2</v>
      </c>
      <c r="CA15" s="73">
        <v>1.7813112157422095E-2</v>
      </c>
      <c r="CB15" s="73">
        <v>1.7813112157422095E-2</v>
      </c>
      <c r="CC15" s="74">
        <v>7.3178999999999994E-2</v>
      </c>
      <c r="CD15" s="73">
        <v>5.341377657257973E-2</v>
      </c>
      <c r="CE15" s="73">
        <v>5.341377657257973E-2</v>
      </c>
      <c r="CF15" s="73">
        <v>5.341377657257973E-2</v>
      </c>
      <c r="CG15" s="73">
        <v>5.341377657257973E-2</v>
      </c>
      <c r="CH15" s="74">
        <v>0.23139100000000001</v>
      </c>
      <c r="CI15" s="73">
        <v>4.1760502519797571E-2</v>
      </c>
      <c r="CJ15" s="73">
        <v>4.1760502519797571E-2</v>
      </c>
      <c r="CK15" s="73">
        <v>4.1760502519797571E-2</v>
      </c>
      <c r="CL15" s="73">
        <v>4.1760502519797571E-2</v>
      </c>
      <c r="CM15" s="74">
        <v>0.17780000000000001</v>
      </c>
      <c r="CN15" s="73">
        <v>1.3355073097137016E-2</v>
      </c>
      <c r="CO15" s="73">
        <v>1.3355073097137016E-2</v>
      </c>
      <c r="CP15" s="73">
        <v>1.3355073097137016E-2</v>
      </c>
      <c r="CQ15" s="73">
        <v>1.3355073097137016E-2</v>
      </c>
      <c r="CR15" s="74">
        <v>5.45E-2</v>
      </c>
      <c r="CS15" s="73">
        <v>-8.0466017478438845E-3</v>
      </c>
      <c r="CT15" s="73">
        <v>-8.0466017478438845E-3</v>
      </c>
      <c r="CU15" s="73">
        <v>-8.0466017478438845E-3</v>
      </c>
      <c r="CV15" s="73">
        <v>-8.0466017478438845E-3</v>
      </c>
      <c r="CW15" s="74">
        <v>-3.1800000000000002E-2</v>
      </c>
      <c r="CX15" s="73">
        <v>1.5963658044387596E-2</v>
      </c>
      <c r="CY15" s="73">
        <v>1.5963658044387596E-2</v>
      </c>
      <c r="CZ15" s="73">
        <v>1.5963658044387596E-2</v>
      </c>
      <c r="DA15" s="73">
        <v>1.5963658044387596E-2</v>
      </c>
      <c r="DB15" s="74">
        <v>6.54E-2</v>
      </c>
      <c r="DC15" s="73">
        <v>-2.6353997057481093E-3</v>
      </c>
      <c r="DD15" s="73">
        <v>-2.6353997057481093E-3</v>
      </c>
      <c r="DE15" s="73">
        <v>-2.6353997057481093E-3</v>
      </c>
      <c r="DF15" s="73">
        <v>-2.6353997057481093E-3</v>
      </c>
      <c r="DG15" s="74">
        <v>-1.0500000000000001E-2</v>
      </c>
      <c r="DH15" s="73">
        <v>1.1064990499148664E-2</v>
      </c>
      <c r="DI15" s="73">
        <v>1.1064990499148664E-2</v>
      </c>
      <c r="DJ15" s="73">
        <v>1.1064990499148664E-2</v>
      </c>
      <c r="DK15" s="73">
        <v>1.1064990499148664E-2</v>
      </c>
      <c r="DL15" s="74">
        <v>4.4999999999999998E-2</v>
      </c>
      <c r="DM15" s="73">
        <v>1.1064990499148664E-2</v>
      </c>
      <c r="DN15" s="73">
        <v>1.1064990499148664E-2</v>
      </c>
      <c r="DO15" s="73">
        <v>1.1064990499148664E-2</v>
      </c>
      <c r="DP15" s="73">
        <v>1.1064990499148664E-2</v>
      </c>
      <c r="DQ15" s="74">
        <v>4.4999999999999998E-2</v>
      </c>
      <c r="DR15" s="73">
        <v>1.1064990499148664E-2</v>
      </c>
      <c r="DS15" s="73">
        <v>1.1064990499148664E-2</v>
      </c>
      <c r="DT15" s="73">
        <v>1.1064990499148664E-2</v>
      </c>
      <c r="DU15" s="73">
        <v>1.1064990499148664E-2</v>
      </c>
      <c r="DV15" s="74">
        <v>4.4999999999999929E-2</v>
      </c>
      <c r="DW15" s="73">
        <v>1.1064990499148664E-2</v>
      </c>
      <c r="DX15" s="73">
        <v>1.1064990499148664E-2</v>
      </c>
      <c r="DY15" s="73">
        <v>1.1064990499148664E-2</v>
      </c>
      <c r="DZ15" s="73">
        <v>1.1064990499148664E-2</v>
      </c>
      <c r="EA15" s="74">
        <v>4.4999999999999929E-2</v>
      </c>
      <c r="EB15" s="73">
        <v>1.1064990499148664E-2</v>
      </c>
      <c r="EC15" s="73">
        <v>1.1064990499148664E-2</v>
      </c>
      <c r="ED15" s="73">
        <v>1.1064990499148664E-2</v>
      </c>
      <c r="EE15" s="73">
        <v>1.1064990499148664E-2</v>
      </c>
      <c r="EF15" s="74">
        <v>4.4999999999999929E-2</v>
      </c>
    </row>
    <row r="16" spans="1:136">
      <c r="A16" s="72" t="s">
        <v>62</v>
      </c>
      <c r="B16" s="73">
        <v>1.8510967891999908E-2</v>
      </c>
      <c r="C16" s="73">
        <v>1.5981483977000055E-2</v>
      </c>
      <c r="D16" s="73">
        <v>1.9415797207000152E-2</v>
      </c>
      <c r="E16" s="73">
        <v>2.0027801095999775E-2</v>
      </c>
      <c r="F16" s="74">
        <v>7.6006441380604306E-2</v>
      </c>
      <c r="G16" s="73">
        <v>1.7905798742000156E-2</v>
      </c>
      <c r="H16" s="73">
        <v>1.3439901473999871E-2</v>
      </c>
      <c r="I16" s="73">
        <v>7.7189648750000117E-3</v>
      </c>
      <c r="J16" s="73">
        <v>1.6688198500000251E-2</v>
      </c>
      <c r="K16" s="74">
        <v>5.6897333458586719E-2</v>
      </c>
      <c r="L16" s="73">
        <v>1.4367294016999876E-2</v>
      </c>
      <c r="M16" s="73">
        <v>9.9558558999968128E-4</v>
      </c>
      <c r="N16" s="73">
        <v>4.5059919949999028E-3</v>
      </c>
      <c r="O16" s="73">
        <v>1.1240999104000116E-2</v>
      </c>
      <c r="P16" s="74">
        <v>3.1417749683044116E-2</v>
      </c>
      <c r="Q16" s="73">
        <v>1.2551991632000048E-2</v>
      </c>
      <c r="R16" s="73">
        <v>8.1218595999998922E-3</v>
      </c>
      <c r="S16" s="73">
        <v>8.9240803040000483E-3</v>
      </c>
      <c r="T16" s="73">
        <v>1.4261804360000019E-2</v>
      </c>
      <c r="U16" s="74">
        <v>4.4573304332378605E-2</v>
      </c>
      <c r="V16" s="73">
        <v>1.5176027007999915E-2</v>
      </c>
      <c r="W16" s="73">
        <v>2.0942931530000042E-2</v>
      </c>
      <c r="X16" s="73">
        <v>1.0735938583999793E-2</v>
      </c>
      <c r="Y16" s="73">
        <v>1.0938925359999851E-2</v>
      </c>
      <c r="Z16" s="74">
        <v>5.9023134175254732E-2</v>
      </c>
      <c r="AA16" s="73">
        <v>1.2347052800000036E-2</v>
      </c>
      <c r="AB16" s="73">
        <v>1.3156841215999693E-2</v>
      </c>
      <c r="AC16" s="73">
        <v>6.3129686400000828E-3</v>
      </c>
      <c r="AD16" s="73">
        <v>1.0637052475999997E-2</v>
      </c>
      <c r="AE16" s="74">
        <v>4.3120283296899986E-2</v>
      </c>
      <c r="AF16" s="73">
        <v>2.0638364200000092E-2</v>
      </c>
      <c r="AG16" s="73">
        <v>1.0024510000000042E-2</v>
      </c>
      <c r="AH16" s="73">
        <v>5.0022901799999797E-3</v>
      </c>
      <c r="AI16" s="73">
        <v>2.2262182174999978E-2</v>
      </c>
      <c r="AJ16" s="74">
        <v>5.91E-2</v>
      </c>
      <c r="AK16" s="73">
        <v>2.4396959845301325E-2</v>
      </c>
      <c r="AL16" s="73">
        <v>1.3956003005626494E-2</v>
      </c>
      <c r="AM16" s="73">
        <v>1.0634041376000214E-2</v>
      </c>
      <c r="AN16" s="73">
        <v>1.4569971799999859E-2</v>
      </c>
      <c r="AO16" s="74">
        <v>6.5033527436801686E-2</v>
      </c>
      <c r="AP16" s="73">
        <v>1.2245389616685198E-2</v>
      </c>
      <c r="AQ16" s="73">
        <v>1.0828899898705835E-2</v>
      </c>
      <c r="AR16" s="73">
        <v>1.4165610491000201E-2</v>
      </c>
      <c r="AS16" s="73">
        <v>1.992E-2</v>
      </c>
      <c r="AT16" s="74">
        <v>5.8400000000000001E-2</v>
      </c>
      <c r="AU16" s="73">
        <v>1.94204625199998E-2</v>
      </c>
      <c r="AV16" s="73">
        <v>1.184432291E-2</v>
      </c>
      <c r="AW16" s="73">
        <v>6.1999999999999998E-3</v>
      </c>
      <c r="AX16" s="73">
        <v>2.0400000000000001E-2</v>
      </c>
      <c r="AY16" s="74">
        <v>5.9000000000000004E-2</v>
      </c>
      <c r="AZ16" s="73">
        <v>2.1752379140000055E-2</v>
      </c>
      <c r="BA16" s="73">
        <v>1.54E-2</v>
      </c>
      <c r="BB16" s="73">
        <v>6.6E-3</v>
      </c>
      <c r="BC16" s="73">
        <v>1.9099999999999999E-2</v>
      </c>
      <c r="BD16" s="74">
        <v>6.4100000000000004E-2</v>
      </c>
      <c r="BE16" s="73">
        <v>3.8277996896000088E-2</v>
      </c>
      <c r="BF16" s="73">
        <v>2.2567505066000138E-2</v>
      </c>
      <c r="BG16" s="73">
        <v>1.3859073656000032E-2</v>
      </c>
      <c r="BH16" s="73">
        <v>2.815929507199999E-2</v>
      </c>
      <c r="BI16" s="74">
        <v>0.107</v>
      </c>
      <c r="BJ16" s="73">
        <v>2.6208101489999747E-2</v>
      </c>
      <c r="BK16" s="73">
        <v>1.7496396530000125E-2</v>
      </c>
      <c r="BL16" s="73">
        <v>1.043057830399996E-2</v>
      </c>
      <c r="BM16" s="73">
        <v>7.4178940399998172E-3</v>
      </c>
      <c r="BN16" s="74">
        <v>6.2880550542244951E-2</v>
      </c>
      <c r="BO16" s="73">
        <v>7.294790162107212E-3</v>
      </c>
      <c r="BP16" s="73">
        <v>7.294790162107212E-3</v>
      </c>
      <c r="BQ16" s="73">
        <v>7.294790162107212E-3</v>
      </c>
      <c r="BR16" s="73">
        <v>7.294790162107212E-3</v>
      </c>
      <c r="BS16" s="74">
        <v>2.9499999999999998E-2</v>
      </c>
      <c r="BT16" s="73">
        <v>9.2459756536897864E-3</v>
      </c>
      <c r="BU16" s="73">
        <v>9.2459756536897864E-3</v>
      </c>
      <c r="BV16" s="73">
        <v>9.2459756536897864E-3</v>
      </c>
      <c r="BW16" s="73">
        <v>9.2459756536897864E-3</v>
      </c>
      <c r="BX16" s="74">
        <v>3.7499999999999999E-2</v>
      </c>
      <c r="BY16" s="73">
        <v>1.0605101824125995E-2</v>
      </c>
      <c r="BZ16" s="73">
        <v>1.0605101824125995E-2</v>
      </c>
      <c r="CA16" s="73">
        <v>1.0605101824125995E-2</v>
      </c>
      <c r="CB16" s="73">
        <v>1.0605101824125995E-2</v>
      </c>
      <c r="CC16" s="74">
        <v>4.3099999999999999E-2</v>
      </c>
      <c r="CD16" s="73">
        <v>6.6827130792792566E-3</v>
      </c>
      <c r="CE16" s="73">
        <v>6.6827130792792566E-3</v>
      </c>
      <c r="CF16" s="73">
        <v>6.6827130792792566E-3</v>
      </c>
      <c r="CG16" s="73">
        <v>6.6827130792792566E-3</v>
      </c>
      <c r="CH16" s="74">
        <v>2.7E-2</v>
      </c>
      <c r="CI16" s="73">
        <v>2.0133745770531508E-2</v>
      </c>
      <c r="CJ16" s="73">
        <v>2.0133745770531508E-2</v>
      </c>
      <c r="CK16" s="73">
        <v>2.0133745770531508E-2</v>
      </c>
      <c r="CL16" s="73">
        <v>2.0133745770531508E-2</v>
      </c>
      <c r="CM16" s="74">
        <v>8.3000000000000004E-2</v>
      </c>
      <c r="CN16" s="73">
        <v>1.4170921653638979E-2</v>
      </c>
      <c r="CO16" s="73">
        <v>1.4170921653638979E-2</v>
      </c>
      <c r="CP16" s="73">
        <v>1.4170921653638979E-2</v>
      </c>
      <c r="CQ16" s="73">
        <v>1.4170921653638979E-2</v>
      </c>
      <c r="CR16" s="74">
        <v>5.79E-2</v>
      </c>
      <c r="CS16" s="73">
        <v>1.1355123483381524E-2</v>
      </c>
      <c r="CT16" s="73">
        <v>1.1355123483381524E-2</v>
      </c>
      <c r="CU16" s="73">
        <v>1.1355123483381524E-2</v>
      </c>
      <c r="CV16" s="73">
        <v>1.1355123483381524E-2</v>
      </c>
      <c r="CW16" s="74">
        <v>4.6199999999999998E-2</v>
      </c>
      <c r="CX16" s="73">
        <v>1.1862256191908394E-2</v>
      </c>
      <c r="CY16" s="73">
        <v>1.1862256191908394E-2</v>
      </c>
      <c r="CZ16" s="73">
        <v>1.1862256191908394E-2</v>
      </c>
      <c r="DA16" s="73">
        <v>1.1862256191908394E-2</v>
      </c>
      <c r="DB16" s="74">
        <v>4.8300000000000003E-2</v>
      </c>
      <c r="DC16" s="73">
        <v>1.0483974078512981E-2</v>
      </c>
      <c r="DD16" s="73">
        <v>1.0483974078512981E-2</v>
      </c>
      <c r="DE16" s="73">
        <v>1.0483974078512981E-2</v>
      </c>
      <c r="DF16" s="73">
        <v>1.0483974078512981E-2</v>
      </c>
      <c r="DG16" s="74">
        <v>4.2599999999999999E-2</v>
      </c>
      <c r="DH16" s="73">
        <v>9.8534065489688238E-3</v>
      </c>
      <c r="DI16" s="73">
        <v>9.8534065489688238E-3</v>
      </c>
      <c r="DJ16" s="73">
        <v>9.8534065489688238E-3</v>
      </c>
      <c r="DK16" s="73">
        <v>9.8534065489688238E-3</v>
      </c>
      <c r="DL16" s="74">
        <v>0.04</v>
      </c>
      <c r="DM16" s="73">
        <v>9.8534065489688238E-3</v>
      </c>
      <c r="DN16" s="73">
        <v>9.8534065489688238E-3</v>
      </c>
      <c r="DO16" s="73">
        <v>9.8534065489688238E-3</v>
      </c>
      <c r="DP16" s="73">
        <v>9.8534065489688238E-3</v>
      </c>
      <c r="DQ16" s="74">
        <v>0.04</v>
      </c>
      <c r="DR16" s="73">
        <v>9.8534065489688238E-3</v>
      </c>
      <c r="DS16" s="73">
        <v>9.8534065489688238E-3</v>
      </c>
      <c r="DT16" s="73">
        <v>9.8534065489688238E-3</v>
      </c>
      <c r="DU16" s="73">
        <v>9.8534065489688238E-3</v>
      </c>
      <c r="DV16" s="74">
        <v>3.9999999999999591E-2</v>
      </c>
      <c r="DW16" s="73">
        <v>9.8534065489688238E-3</v>
      </c>
      <c r="DX16" s="73">
        <v>9.8534065489688238E-3</v>
      </c>
      <c r="DY16" s="73">
        <v>9.8534065489688238E-3</v>
      </c>
      <c r="DZ16" s="73">
        <v>9.8534065489688238E-3</v>
      </c>
      <c r="EA16" s="74">
        <v>3.9999999999999591E-2</v>
      </c>
      <c r="EB16" s="73">
        <v>9.8534065489688238E-3</v>
      </c>
      <c r="EC16" s="73">
        <v>9.8534065489688238E-3</v>
      </c>
      <c r="ED16" s="73">
        <v>9.8534065489688238E-3</v>
      </c>
      <c r="EE16" s="73">
        <v>9.8534065489688238E-3</v>
      </c>
      <c r="EF16" s="74">
        <v>3.9999999999999591E-2</v>
      </c>
    </row>
    <row r="17" spans="1:136">
      <c r="A17" s="72" t="s">
        <v>63</v>
      </c>
      <c r="B17" s="73">
        <v>0.1589118702203085</v>
      </c>
      <c r="C17" s="73">
        <v>0.15435041591856646</v>
      </c>
      <c r="D17" s="73">
        <v>0.16350860931365374</v>
      </c>
      <c r="E17" s="73">
        <v>0.16948770718692741</v>
      </c>
      <c r="F17" s="74">
        <v>0.16155113715083846</v>
      </c>
      <c r="G17" s="73">
        <v>0.17782540019002768</v>
      </c>
      <c r="H17" s="73">
        <v>0.19514372014816939</v>
      </c>
      <c r="I17" s="73">
        <v>0.20317558893145771</v>
      </c>
      <c r="J17" s="73">
        <v>0.18389070011910658</v>
      </c>
      <c r="K17" s="74">
        <v>0.18996836971985331</v>
      </c>
      <c r="L17" s="73">
        <v>0.17179576470155444</v>
      </c>
      <c r="M17" s="73">
        <v>0.15115658983834579</v>
      </c>
      <c r="N17" s="73">
        <v>0.14797491700421861</v>
      </c>
      <c r="O17" s="73">
        <v>0.130846630463056</v>
      </c>
      <c r="P17" s="74">
        <v>0.15035162098583843</v>
      </c>
      <c r="Q17" s="73">
        <v>0.12681932801775675</v>
      </c>
      <c r="R17" s="73">
        <v>0.12059149830921911</v>
      </c>
      <c r="S17" s="73">
        <v>0.11615637031205583</v>
      </c>
      <c r="T17" s="73">
        <v>0.10910244685866499</v>
      </c>
      <c r="U17" s="74">
        <v>0.11814874108068496</v>
      </c>
      <c r="V17" s="73">
        <v>0.10734371190714076</v>
      </c>
      <c r="W17" s="73">
        <v>0.11439214283912502</v>
      </c>
      <c r="X17" s="73">
        <v>0.13443412584298642</v>
      </c>
      <c r="Y17" s="73">
        <v>0.13938090464573571</v>
      </c>
      <c r="Z17" s="74">
        <v>0.12380814674295815</v>
      </c>
      <c r="AA17" s="73">
        <v>0.12058907849355149</v>
      </c>
      <c r="AB17" s="73">
        <v>9.8592428443922575E-2</v>
      </c>
      <c r="AC17" s="73">
        <v>8.9903740172401436E-2</v>
      </c>
      <c r="AD17" s="73">
        <v>8.6015280864330856E-2</v>
      </c>
      <c r="AE17" s="74">
        <v>9.8694034553175713E-2</v>
      </c>
      <c r="AF17" s="73">
        <v>8.7499999999999994E-2</v>
      </c>
      <c r="AG17" s="73">
        <v>9.7500000000000003E-2</v>
      </c>
      <c r="AH17" s="73">
        <v>0.1075</v>
      </c>
      <c r="AI17" s="73">
        <v>0.1075</v>
      </c>
      <c r="AJ17" s="74">
        <v>0.1</v>
      </c>
      <c r="AK17" s="73">
        <v>0.11333333333333334</v>
      </c>
      <c r="AL17" s="73">
        <v>0.12012096774193548</v>
      </c>
      <c r="AM17" s="73">
        <v>0.12280769230769231</v>
      </c>
      <c r="AN17" s="73">
        <v>0.11415384615384616</v>
      </c>
      <c r="AO17" s="74">
        <v>0.11708333333333334</v>
      </c>
      <c r="AP17" s="73">
        <v>0.10249999999999999</v>
      </c>
      <c r="AQ17" s="73">
        <v>8.6666666666666656E-2</v>
      </c>
      <c r="AR17" s="73">
        <v>7.6666666666666675E-2</v>
      </c>
      <c r="AS17" s="73">
        <v>7.2499999999999995E-2</v>
      </c>
      <c r="AT17" s="74">
        <v>8.4580000000000002E-2</v>
      </c>
      <c r="AU17" s="73">
        <v>7.2499999999999995E-2</v>
      </c>
      <c r="AV17" s="73">
        <v>7.8333333333333324E-2</v>
      </c>
      <c r="AW17" s="73">
        <v>8.8333333333333333E-2</v>
      </c>
      <c r="AX17" s="73">
        <v>9.8333333333333342E-2</v>
      </c>
      <c r="AY17" s="74">
        <v>8.4399999999999989E-2</v>
      </c>
      <c r="AZ17" s="73">
        <v>0.10666666666666666</v>
      </c>
      <c r="BA17" s="73">
        <v>0.11</v>
      </c>
      <c r="BB17" s="73">
        <v>0.11</v>
      </c>
      <c r="BC17" s="73">
        <v>0.11</v>
      </c>
      <c r="BD17" s="74">
        <v>0.11020833333333334</v>
      </c>
      <c r="BE17" s="73">
        <v>0.1225</v>
      </c>
      <c r="BF17" s="73">
        <v>0.13250000000000001</v>
      </c>
      <c r="BG17" s="73">
        <v>0.14000000000000001</v>
      </c>
      <c r="BH17" s="73">
        <v>0.14249999999999999</v>
      </c>
      <c r="BI17" s="74">
        <v>0.13583333333333333</v>
      </c>
      <c r="BJ17" s="73">
        <v>0.14249999999999999</v>
      </c>
      <c r="BK17" s="73">
        <v>0.14249999999999999</v>
      </c>
      <c r="BL17" s="73">
        <v>0.14249999999999999</v>
      </c>
      <c r="BM17" s="73">
        <v>0.14000000000000001</v>
      </c>
      <c r="BN17" s="74">
        <v>0.14000000000000001</v>
      </c>
      <c r="BO17" s="73">
        <v>0.13</v>
      </c>
      <c r="BP17" s="73">
        <v>0.11250000000000002</v>
      </c>
      <c r="BQ17" s="73">
        <v>9.5000000000000001E-2</v>
      </c>
      <c r="BR17" s="73">
        <v>7.8750000000000014E-2</v>
      </c>
      <c r="BS17" s="74">
        <v>9.5625000000000016E-2</v>
      </c>
      <c r="BT17" s="73">
        <v>6.9166666666666682E-2</v>
      </c>
      <c r="BU17" s="73">
        <v>6.7500000000000004E-2</v>
      </c>
      <c r="BV17" s="73">
        <v>6.5833333333333341E-2</v>
      </c>
      <c r="BW17" s="73">
        <v>6.5000000000000002E-2</v>
      </c>
      <c r="BX17" s="74">
        <v>6.6250000000000003E-2</v>
      </c>
      <c r="BY17" s="73">
        <v>6.25E-2</v>
      </c>
      <c r="BZ17" s="73">
        <v>5.7499999999999996E-2</v>
      </c>
      <c r="CA17" s="73">
        <v>5.2500000000000005E-2</v>
      </c>
      <c r="CB17" s="73">
        <v>4.7500000000000001E-2</v>
      </c>
      <c r="CC17" s="74">
        <v>5.2499999999999991E-2</v>
      </c>
      <c r="CD17" s="73">
        <v>4.1249999999999995E-2</v>
      </c>
      <c r="CE17" s="73">
        <v>3.3750000000000002E-2</v>
      </c>
      <c r="CF17" s="73">
        <v>2.6249999999999999E-2</v>
      </c>
      <c r="CG17" s="73">
        <v>2.2499999999999999E-2</v>
      </c>
      <c r="CH17" s="74">
        <v>2.8124999999999997E-2</v>
      </c>
      <c r="CI17" s="73">
        <v>3.1875000000000001E-2</v>
      </c>
      <c r="CJ17" s="73">
        <v>5.0624999999999996E-2</v>
      </c>
      <c r="CK17" s="73">
        <v>6.9374999999999992E-2</v>
      </c>
      <c r="CL17" s="73">
        <v>8.8125000000000009E-2</v>
      </c>
      <c r="CM17" s="74">
        <v>6.9374999999999992E-2</v>
      </c>
      <c r="CN17" s="73">
        <v>0.1075</v>
      </c>
      <c r="CO17" s="73">
        <v>0.125</v>
      </c>
      <c r="CP17" s="73">
        <v>0.13500000000000001</v>
      </c>
      <c r="CQ17" s="73">
        <v>0.13750000000000001</v>
      </c>
      <c r="CR17" s="74">
        <v>0.13125000000000001</v>
      </c>
      <c r="CS17" s="73">
        <v>0.13500000000000001</v>
      </c>
      <c r="CT17" s="73">
        <v>0.13</v>
      </c>
      <c r="CU17" s="73">
        <v>0.125</v>
      </c>
      <c r="CV17" s="73">
        <v>0.12</v>
      </c>
      <c r="CW17" s="74">
        <v>0.125</v>
      </c>
      <c r="CX17" s="73">
        <v>0.11437499999999999</v>
      </c>
      <c r="CY17" s="73">
        <v>0.108125</v>
      </c>
      <c r="CZ17" s="73">
        <v>0.10625</v>
      </c>
      <c r="DA17" s="73">
        <v>0.11499999999999999</v>
      </c>
      <c r="DB17" s="74">
        <v>0.1115625</v>
      </c>
      <c r="DC17" s="73">
        <v>0.13250000000000001</v>
      </c>
      <c r="DD17" s="73">
        <v>0.14624999999999999</v>
      </c>
      <c r="DE17" s="73">
        <v>0.15</v>
      </c>
      <c r="DF17" s="73">
        <v>0.15</v>
      </c>
      <c r="DG17" s="74">
        <v>0.14812500000000001</v>
      </c>
      <c r="DH17" s="73">
        <v>0.14750000000000002</v>
      </c>
      <c r="DI17" s="73">
        <v>0.14250000000000002</v>
      </c>
      <c r="DJ17" s="73">
        <v>0.13750000000000001</v>
      </c>
      <c r="DK17" s="73">
        <v>0.13250000000000001</v>
      </c>
      <c r="DL17" s="74">
        <v>0.13750000000000001</v>
      </c>
      <c r="DM17" s="73">
        <v>0.13</v>
      </c>
      <c r="DN17" s="73">
        <v>0.13</v>
      </c>
      <c r="DO17" s="73">
        <v>0.13</v>
      </c>
      <c r="DP17" s="73">
        <v>0.13</v>
      </c>
      <c r="DQ17" s="74">
        <v>0.13</v>
      </c>
      <c r="DR17" s="73">
        <v>0.13</v>
      </c>
      <c r="DS17" s="73">
        <v>0.13</v>
      </c>
      <c r="DT17" s="73">
        <v>0.13</v>
      </c>
      <c r="DU17" s="73">
        <v>0.13</v>
      </c>
      <c r="DV17" s="74">
        <v>0.13</v>
      </c>
      <c r="DW17" s="73">
        <v>0.13</v>
      </c>
      <c r="DX17" s="73">
        <v>0.13</v>
      </c>
      <c r="DY17" s="73">
        <v>0.13</v>
      </c>
      <c r="DZ17" s="73">
        <v>0.13</v>
      </c>
      <c r="EA17" s="74">
        <v>0.13</v>
      </c>
      <c r="EB17" s="73">
        <v>0.13</v>
      </c>
      <c r="EC17" s="73">
        <v>0.13</v>
      </c>
      <c r="ED17" s="73">
        <v>0.13</v>
      </c>
      <c r="EE17" s="73">
        <v>0.13</v>
      </c>
      <c r="EF17" s="74">
        <v>0.13</v>
      </c>
    </row>
    <row r="18" spans="1:136">
      <c r="A18" s="71"/>
      <c r="B18" s="77"/>
      <c r="C18" s="77"/>
      <c r="D18" s="77"/>
      <c r="E18" s="77"/>
      <c r="F18" s="74"/>
      <c r="G18" s="77"/>
      <c r="H18" s="77"/>
      <c r="I18" s="77"/>
      <c r="J18" s="77"/>
      <c r="K18" s="74"/>
      <c r="L18" s="77"/>
      <c r="M18" s="77"/>
      <c r="N18" s="77"/>
      <c r="O18" s="77"/>
      <c r="P18" s="74"/>
      <c r="Q18" s="77"/>
      <c r="R18" s="77"/>
      <c r="S18" s="77"/>
      <c r="T18" s="77"/>
      <c r="U18" s="74"/>
      <c r="V18" s="77"/>
      <c r="W18" s="77"/>
      <c r="X18" s="77"/>
      <c r="Y18" s="77"/>
      <c r="Z18" s="74"/>
      <c r="AA18" s="77"/>
      <c r="AB18" s="77"/>
      <c r="AC18" s="77"/>
      <c r="AD18" s="77"/>
      <c r="AE18" s="74"/>
      <c r="AF18" s="77"/>
      <c r="AG18" s="77"/>
      <c r="AH18" s="77"/>
      <c r="AI18" s="77"/>
      <c r="AJ18" s="74"/>
      <c r="AK18" s="77"/>
      <c r="AL18" s="77"/>
      <c r="AM18" s="77"/>
      <c r="AN18" s="77"/>
      <c r="AO18" s="74"/>
      <c r="AP18" s="77"/>
      <c r="AQ18" s="77"/>
      <c r="AR18" s="77"/>
      <c r="AS18" s="77"/>
      <c r="AT18" s="74"/>
      <c r="AU18" s="77"/>
      <c r="AV18" s="77"/>
      <c r="AW18" s="77"/>
      <c r="AX18" s="77"/>
      <c r="AY18" s="74"/>
      <c r="AZ18" s="77"/>
      <c r="BA18" s="77"/>
      <c r="BB18" s="77"/>
      <c r="BC18" s="77"/>
      <c r="BD18" s="74"/>
      <c r="BE18" s="77"/>
      <c r="BF18" s="77"/>
      <c r="BG18" s="77"/>
      <c r="BH18" s="77"/>
      <c r="BI18" s="74"/>
      <c r="BJ18" s="77"/>
      <c r="BK18" s="77"/>
      <c r="BL18" s="77"/>
      <c r="BM18" s="77"/>
      <c r="BN18" s="74"/>
      <c r="BO18" s="77"/>
      <c r="BP18" s="77"/>
      <c r="BQ18" s="77"/>
      <c r="BR18" s="77"/>
      <c r="BS18" s="74"/>
      <c r="BT18" s="77"/>
      <c r="BU18" s="77"/>
      <c r="BV18" s="77"/>
      <c r="BW18" s="77"/>
      <c r="BX18" s="74"/>
      <c r="BY18" s="77"/>
      <c r="BZ18" s="77"/>
      <c r="CA18" s="77"/>
      <c r="CB18" s="77"/>
      <c r="CC18" s="74"/>
      <c r="CD18" s="77"/>
      <c r="CE18" s="77"/>
      <c r="CF18" s="77"/>
      <c r="CG18" s="77"/>
      <c r="CH18" s="74"/>
      <c r="CI18" s="77"/>
      <c r="CJ18" s="77"/>
      <c r="CK18" s="77"/>
      <c r="CL18" s="77"/>
      <c r="CM18" s="74"/>
      <c r="CN18" s="77"/>
      <c r="CO18" s="77"/>
      <c r="CP18" s="77"/>
      <c r="CQ18" s="77"/>
      <c r="CR18" s="74"/>
      <c r="CS18" s="77"/>
      <c r="CT18" s="77"/>
      <c r="CU18" s="77"/>
      <c r="CV18" s="77"/>
      <c r="CW18" s="74"/>
      <c r="CX18" s="77"/>
      <c r="CY18" s="77"/>
      <c r="CZ18" s="77"/>
      <c r="DA18" s="77"/>
      <c r="DB18" s="74"/>
      <c r="DC18" s="77"/>
      <c r="DD18" s="77"/>
      <c r="DE18" s="77"/>
      <c r="DF18" s="77"/>
      <c r="DG18" s="74"/>
      <c r="DH18" s="77"/>
      <c r="DI18" s="77"/>
      <c r="DJ18" s="77"/>
      <c r="DK18" s="77"/>
      <c r="DL18" s="74"/>
      <c r="DM18" s="77"/>
      <c r="DN18" s="77"/>
      <c r="DO18" s="77"/>
      <c r="DP18" s="77"/>
      <c r="DQ18" s="74"/>
      <c r="DR18" s="77"/>
      <c r="DS18" s="77"/>
      <c r="DT18" s="77"/>
      <c r="DU18" s="77"/>
      <c r="DV18" s="74"/>
      <c r="DW18" s="77"/>
      <c r="DX18" s="77"/>
      <c r="DY18" s="77"/>
      <c r="DZ18" s="77"/>
      <c r="EA18" s="74"/>
      <c r="EB18" s="77"/>
      <c r="EC18" s="77"/>
      <c r="ED18" s="77"/>
      <c r="EE18" s="77"/>
      <c r="EF18" s="74"/>
    </row>
    <row r="19" spans="1:136" collapsed="1">
      <c r="A19" s="71"/>
      <c r="B19" s="77" t="e">
        <f>#REF!+#REF!+#REF!+B15</f>
        <v>#REF!</v>
      </c>
      <c r="C19" s="77" t="e">
        <f>#REF!+#REF!+B15+C15</f>
        <v>#REF!</v>
      </c>
      <c r="D19" s="77" t="e">
        <f>#REF!+B15+C15+D15</f>
        <v>#REF!</v>
      </c>
      <c r="E19" s="77">
        <f>B15+C15+D15+E15</f>
        <v>0.11890452298400023</v>
      </c>
      <c r="F19" s="74">
        <f>F15</f>
        <v>0.12419987276349853</v>
      </c>
      <c r="G19" s="77">
        <f>C15+D15+E15+G15</f>
        <v>0.107136156298</v>
      </c>
      <c r="H19" s="77">
        <f>D15+E15+G15+H15</f>
        <v>6.9580702107999715E-2</v>
      </c>
      <c r="I19" s="77">
        <f>E15+G15+H15+I15</f>
        <v>2.1919662219999969E-2</v>
      </c>
      <c r="J19" s="77">
        <f>G15+H15+I15+J15</f>
        <v>1.2220903168000063E-2</v>
      </c>
      <c r="K19" s="74">
        <f>K15</f>
        <v>1.2007603039307924E-2</v>
      </c>
      <c r="L19" s="77">
        <f>H15+I15+J15+L15</f>
        <v>3.7299816020004428E-3</v>
      </c>
      <c r="M19" s="77">
        <f>I15+J15+L15+M15</f>
        <v>8.8578986540004401E-3</v>
      </c>
      <c r="N19" s="77">
        <f>J15+L15+M15+N15</f>
        <v>3.2406075098000198E-2</v>
      </c>
      <c r="O19" s="77">
        <f>L15+M15+N15+O15</f>
        <v>3.7957480298000279E-2</v>
      </c>
      <c r="P19" s="74">
        <f>P15</f>
        <v>3.8476259957920922E-2</v>
      </c>
      <c r="Q19" s="77">
        <f>M15+N15+O15+Q15</f>
        <v>4.2117678313999818E-2</v>
      </c>
      <c r="R19" s="77">
        <f>N15+O15+Q15+R15</f>
        <v>3.8438998429999538E-2</v>
      </c>
      <c r="S19" s="77">
        <f>O15+Q15+R15+S15</f>
        <v>5.5706703091999321E-2</v>
      </c>
      <c r="T19" s="77">
        <f>Q15+R15+S15+T15</f>
        <v>7.5612265411999058E-2</v>
      </c>
      <c r="U19" s="74">
        <f>U15</f>
        <v>7.7462737333541476E-2</v>
      </c>
      <c r="V19" s="77">
        <f>R15+S15+T15+V15</f>
        <v>8.8250617009999477E-2</v>
      </c>
      <c r="W19" s="77">
        <f>S15+T15+V15+W15</f>
        <v>0.12821706617599982</v>
      </c>
      <c r="X19" s="77">
        <f>T15+V15+W15+X15</f>
        <v>0.11798619024800017</v>
      </c>
      <c r="Y19" s="77">
        <f>V15+W15+X15+Y15</f>
        <v>9.4925736716000131E-2</v>
      </c>
      <c r="Z19" s="74">
        <f>Z15</f>
        <v>9.805431279728416E-2</v>
      </c>
      <c r="AA19" s="77">
        <f>W15+X15+Y15+AA15</f>
        <v>6.1949623874000048E-2</v>
      </c>
      <c r="AB19" s="77">
        <f>X15+Y15+AA15+AB15</f>
        <v>1.5384183241999971E-2</v>
      </c>
      <c r="AC19" s="77">
        <f>Y15+AA15+AB15+AC15</f>
        <v>-3.7929097900002429E-3</v>
      </c>
      <c r="AD19" s="77">
        <f>AA15+AB15+AC15+AD15</f>
        <v>-1.721582267800037E-2</v>
      </c>
      <c r="AE19" s="74">
        <f>AE15</f>
        <v>-1.7122753570905869E-2</v>
      </c>
      <c r="AF19" s="77">
        <f>AB15+AC15+AD15+AF15</f>
        <v>1.9727391461999755E-2</v>
      </c>
      <c r="AG19" s="77">
        <f>AC15+AD15+AF15+AG15</f>
        <v>5.1283151366999902E-2</v>
      </c>
      <c r="AH19" s="77">
        <f>AD15+AF15+AG15+AH15</f>
        <v>7.5818269176000097E-2</v>
      </c>
      <c r="AI19" s="77">
        <f>AF15+AG15+AH15+AI15</f>
        <v>0.10873887098099999</v>
      </c>
      <c r="AJ19" s="74">
        <f>AJ15</f>
        <v>0.113</v>
      </c>
      <c r="AK19" s="77">
        <f>AG15+AH15+AI15+AK15</f>
        <v>0.10530631862820128</v>
      </c>
      <c r="AL19" s="77">
        <f>AH15+AI15+AK15+AL15</f>
        <v>8.3915346560272885E-2</v>
      </c>
      <c r="AM19" s="77">
        <f>AI15+AK15+AL15+AM15</f>
        <v>7.2812308158187067E-2</v>
      </c>
      <c r="AN19" s="77">
        <f>AK15+AL15+AM15+AN15</f>
        <v>5.0114996773076514E-2</v>
      </c>
      <c r="AO19" s="74">
        <f>AO15</f>
        <v>5.0968130206239914E-2</v>
      </c>
      <c r="AP19" s="77">
        <f>AL15+AM15+AN15+AP15</f>
        <v>3.1959766389479727E-2</v>
      </c>
      <c r="AQ19" s="77">
        <f>AM15+AN15+AP15+AQ15</f>
        <v>5.0562643947405395E-2</v>
      </c>
      <c r="AR19" s="77">
        <f>AN15+AP15+AQ15+AR15</f>
        <v>7.8710368238491313E-2</v>
      </c>
      <c r="AS19" s="77">
        <f>AP15+AQ15+AR15+AS15</f>
        <v>7.6289738710602073E-2</v>
      </c>
      <c r="AT19" s="74">
        <f>AT15</f>
        <v>7.8200000000000006E-2</v>
      </c>
      <c r="AU19" s="77">
        <f>AQ15+AR15+AS15+AU15</f>
        <v>7.8532342650997441E-2</v>
      </c>
      <c r="AV19" s="77">
        <f>AR15+AS15+AU15+AV15</f>
        <v>6.1961428306000071E-2</v>
      </c>
      <c r="AW19" s="77">
        <f>AS15+AU15+AV15+AW15</f>
        <v>4.32992595919999E-2</v>
      </c>
      <c r="AX19" s="77">
        <f>AU15+AV15+AW15+AX15</f>
        <v>5.4199999999999998E-2</v>
      </c>
      <c r="AY19" s="74">
        <f>AY15</f>
        <v>5.5E-2</v>
      </c>
      <c r="AZ19" s="77">
        <f>AV15+AW15+AX15+AZ15</f>
        <v>7.1262164607999778E-2</v>
      </c>
      <c r="BA19" s="77">
        <f>AW15+AX15+AZ15+BA15</f>
        <v>6.226216460799977E-2</v>
      </c>
      <c r="BB19" s="77">
        <f>AX15+AZ15+BA15+BB15</f>
        <v>5.7062164607999774E-2</v>
      </c>
      <c r="BC19" s="77">
        <f>AZ15+BA15+BB15+BC15</f>
        <v>5.1462164607999766E-2</v>
      </c>
      <c r="BD19" s="74">
        <f>BD15</f>
        <v>3.6900000000000002E-2</v>
      </c>
      <c r="BE19" s="77">
        <f>BA15+BB15+BC15+BE15</f>
        <v>4.6221661095999983E-2</v>
      </c>
      <c r="BF19" s="77">
        <f>BB15+BC15+BE15+BF15</f>
        <v>6.8875812494999938E-2</v>
      </c>
      <c r="BG19" s="77">
        <f>BC15+BE15+BF15+BG15</f>
        <v>7.4187466034999913E-2</v>
      </c>
      <c r="BH19" s="77">
        <f>BE15+BF15+BG15+BH15</f>
        <v>0.10164324370699984</v>
      </c>
      <c r="BI19" s="74">
        <f>BI15</f>
        <v>0.107</v>
      </c>
      <c r="BJ19" s="77">
        <f>BF15+BG15+BH15+BJ15</f>
        <v>0.11108721423532497</v>
      </c>
      <c r="BK19" s="77">
        <f>BG15+BH15+BJ15+BK15</f>
        <v>0.11699531759709414</v>
      </c>
      <c r="BL19" s="77">
        <f>BH15+BJ15+BK15+BL15</f>
        <v>0.10288338983965439</v>
      </c>
      <c r="BM19" s="77">
        <f>BJ15+BK15+BL15+BM15</f>
        <v>7.0141024072771341E-2</v>
      </c>
      <c r="BN19" s="74">
        <f>BN15</f>
        <v>7.1729082528960486E-2</v>
      </c>
      <c r="BO19" s="77">
        <f>BK15+BL15+BM15+BO15</f>
        <v>3.9172849731348602E-2</v>
      </c>
      <c r="BP19" s="77">
        <f>BL15+BM15+BO15+BP15</f>
        <v>9.3080522534818577E-3</v>
      </c>
      <c r="BQ19" s="77">
        <f>BM15+BO15+BP15+BQ15</f>
        <v>2.8057837538240094E-3</v>
      </c>
      <c r="BR19" s="77">
        <f>BO15+BP15+BQ15+BR15</f>
        <v>-5.2101708683904846E-3</v>
      </c>
      <c r="BS19" s="74">
        <f>BS15</f>
        <v>-5.1999999999999998E-3</v>
      </c>
      <c r="BT19" s="77">
        <f>BP15+BQ15+BR15+BT15</f>
        <v>1.4336972947277093E-2</v>
      </c>
      <c r="BU19" s="77">
        <f>BQ15+BR15+BT15+BU15</f>
        <v>3.3884116762944672E-2</v>
      </c>
      <c r="BV19" s="77">
        <f>BR15+BT15+BU15+BV15</f>
        <v>5.343126057861225E-2</v>
      </c>
      <c r="BW19" s="77">
        <f>BT15+BU15+BV15+BW15</f>
        <v>7.2978404394279828E-2</v>
      </c>
      <c r="BX19" s="74">
        <f>BX15</f>
        <v>7.4999999999999997E-2</v>
      </c>
      <c r="BY19" s="77">
        <f>BU15+BV15+BW15+BY15</f>
        <v>7.2546915453131966E-2</v>
      </c>
      <c r="BZ19" s="77">
        <f>BV15+BW15+BY15+BZ15</f>
        <v>7.2115426511984104E-2</v>
      </c>
      <c r="CA19" s="77">
        <f>BW15+BY15+BZ15+CA15</f>
        <v>7.1683937570836243E-2</v>
      </c>
      <c r="CB19" s="77">
        <f>BY15+BZ15+CA15+CB15</f>
        <v>7.1252448629688381E-2</v>
      </c>
      <c r="CC19" s="74">
        <f>CC15</f>
        <v>7.3178999999999994E-2</v>
      </c>
      <c r="CD19" s="77">
        <f>BZ15+CA15+CB15+CD15</f>
        <v>0.10685311304484602</v>
      </c>
      <c r="CE19" s="77">
        <f>CA15+CB15+CD15+CE15</f>
        <v>0.14245377746000365</v>
      </c>
      <c r="CF19" s="77">
        <f>CB15+CD15+CE15+CF15</f>
        <v>0.17805444187516128</v>
      </c>
      <c r="CG19" s="77">
        <f>CD15+CE15+CF15+CG15</f>
        <v>0.21365510629031892</v>
      </c>
      <c r="CH19" s="74">
        <f>CH15</f>
        <v>0.23139100000000001</v>
      </c>
      <c r="CI19" s="77">
        <f>CE15+CF15+CG15+CI15</f>
        <v>0.20200183223753676</v>
      </c>
      <c r="CJ19" s="77">
        <f>CF15+CG15+CI15+CJ15</f>
        <v>0.1903485581847546</v>
      </c>
      <c r="CK19" s="77">
        <f>CG15+CI15+CJ15+CK15</f>
        <v>0.17869528413197244</v>
      </c>
      <c r="CL19" s="77">
        <f>CI15+CJ15+CK15+CL15</f>
        <v>0.16704201007919028</v>
      </c>
      <c r="CM19" s="74">
        <f>CM15</f>
        <v>0.17780000000000001</v>
      </c>
      <c r="CN19" s="77">
        <f>CJ15+CK15+CL15+CN15</f>
        <v>0.13863658065652973</v>
      </c>
      <c r="CO19" s="77">
        <f>CK15+CL15+CN15+CO15</f>
        <v>0.11023115123386917</v>
      </c>
      <c r="CP19" s="77">
        <f>CL15+CN15+CO15+CP15</f>
        <v>8.1825721811208618E-2</v>
      </c>
      <c r="CQ19" s="77">
        <f>CN15+CO15+CP15+CQ15</f>
        <v>5.3420292388548063E-2</v>
      </c>
      <c r="CR19" s="74">
        <f>CR15</f>
        <v>5.45E-2</v>
      </c>
      <c r="CS19" s="77">
        <f>CO15+CP15+CQ15+CS15</f>
        <v>3.2018617543567163E-2</v>
      </c>
      <c r="CT19" s="77">
        <f>CP15+CQ15+CS15+CT15</f>
        <v>1.0616942698586262E-2</v>
      </c>
      <c r="CU19" s="77">
        <f>CQ15+CS15+CT15+CU15</f>
        <v>-1.0784732146394638E-2</v>
      </c>
      <c r="CV19" s="77">
        <f>CS15+CT15+CU15+CV15</f>
        <v>-3.2186406991375538E-2</v>
      </c>
      <c r="CW19" s="74">
        <f>CW15</f>
        <v>-3.1800000000000002E-2</v>
      </c>
      <c r="CX19" s="77">
        <f>CT15+CU15+CV15+CX15</f>
        <v>-8.1761471991440571E-3</v>
      </c>
      <c r="CY19" s="77">
        <f>CU15+CV15+CX15+CY15</f>
        <v>1.5834112593087424E-2</v>
      </c>
      <c r="CZ19" s="77">
        <f>CV15+CX15+CY15+CZ15</f>
        <v>3.9844372385318905E-2</v>
      </c>
      <c r="DA19" s="77">
        <f>CX15+CY15+CZ15+DA15</f>
        <v>6.3854632177550386E-2</v>
      </c>
      <c r="DB19" s="74">
        <f>DB15</f>
        <v>6.54E-2</v>
      </c>
      <c r="DC19" s="77">
        <f>CY15+CZ15+DA15+DC15</f>
        <v>4.525557442741468E-2</v>
      </c>
      <c r="DD19" s="77">
        <f>CZ15+DA15+DC15+DD15</f>
        <v>2.6656516677278974E-2</v>
      </c>
      <c r="DE19" s="77">
        <f>DA15+DC15+DD15+DE15</f>
        <v>8.0574589271432684E-3</v>
      </c>
      <c r="DF19" s="77">
        <f>DC15+DD15+DE15+DF15</f>
        <v>-1.0541598822992437E-2</v>
      </c>
      <c r="DG19" s="74">
        <f>DG15</f>
        <v>-1.0500000000000001E-2</v>
      </c>
      <c r="DH19" s="77">
        <f>DD15+DE15+DF15+DH15</f>
        <v>3.1587913819043356E-3</v>
      </c>
      <c r="DI19" s="77">
        <f>DE15+DF15+DH15+DI15</f>
        <v>1.6859181586801109E-2</v>
      </c>
      <c r="DJ19" s="77">
        <f>DF15+DH15+DI15+DJ15</f>
        <v>3.0559571791697882E-2</v>
      </c>
      <c r="DK19" s="77">
        <f>DH15+DI15+DJ15+DK15</f>
        <v>4.4259961996594654E-2</v>
      </c>
      <c r="DL19" s="74">
        <f>DL15</f>
        <v>4.4999999999999998E-2</v>
      </c>
      <c r="DM19" s="77">
        <f>DI15+DJ15+DK15+DM15</f>
        <v>4.4259961996594654E-2</v>
      </c>
      <c r="DN19" s="77">
        <f>DJ15+DK15+DM15+DN15</f>
        <v>4.4259961996594654E-2</v>
      </c>
      <c r="DO19" s="77">
        <f>DK15+DM15+DN15+DO15</f>
        <v>4.4259961996594654E-2</v>
      </c>
      <c r="DP19" s="77">
        <f>DM15+DN15+DO15+DP15</f>
        <v>4.4259961996594654E-2</v>
      </c>
      <c r="DQ19" s="74">
        <f>DQ15</f>
        <v>4.4999999999999998E-2</v>
      </c>
      <c r="DR19" s="77">
        <f>DN15+DO15+DP15+DR15</f>
        <v>4.4259961996594654E-2</v>
      </c>
      <c r="DS19" s="77">
        <f>DO15+DP15+DR15+DS15</f>
        <v>4.4259961996594654E-2</v>
      </c>
      <c r="DT19" s="77">
        <f>DP15+DR15+DS15+DT15</f>
        <v>4.4259961996594654E-2</v>
      </c>
      <c r="DU19" s="77">
        <f>DR15+DS15+DT15+DU15</f>
        <v>4.4259961996594654E-2</v>
      </c>
      <c r="DV19" s="74">
        <f>DV15</f>
        <v>4.4999999999999929E-2</v>
      </c>
      <c r="DW19" s="77">
        <f>DS15+DT15+DU15+DW15</f>
        <v>4.4259961996594654E-2</v>
      </c>
      <c r="DX19" s="77">
        <f>DT15+DU15+DW15+DX15</f>
        <v>4.4259961996594654E-2</v>
      </c>
      <c r="DY19" s="77">
        <f>DU15+DW15+DX15+DY15</f>
        <v>4.4259961996594654E-2</v>
      </c>
      <c r="DZ19" s="77">
        <f>DW15+DX15+DY15+DZ15</f>
        <v>4.4259961996594654E-2</v>
      </c>
      <c r="EA19" s="74">
        <f>EA15</f>
        <v>4.4999999999999929E-2</v>
      </c>
      <c r="EB19" s="77">
        <f>DX15+DY15+DZ15+EB15</f>
        <v>4.4259961996594654E-2</v>
      </c>
      <c r="EC19" s="77">
        <f>DY15+DZ15+EB15+EC15</f>
        <v>4.4259961996594654E-2</v>
      </c>
      <c r="ED19" s="77">
        <f>DZ15+EB15+EC15+ED15</f>
        <v>4.4259961996594654E-2</v>
      </c>
      <c r="EE19" s="77">
        <f>EB15+EC15+ED15+EE15</f>
        <v>4.4259961996594654E-2</v>
      </c>
      <c r="EF19" s="74">
        <f>EF15</f>
        <v>4.4999999999999929E-2</v>
      </c>
    </row>
    <row r="20" spans="1:136">
      <c r="A20" s="78"/>
      <c r="B20" s="79"/>
      <c r="C20" s="79"/>
      <c r="D20" s="79"/>
      <c r="E20" s="79"/>
      <c r="F20" s="80"/>
      <c r="G20" s="79"/>
      <c r="H20" s="79"/>
      <c r="I20" s="79"/>
      <c r="J20" s="79"/>
      <c r="K20" s="80"/>
      <c r="L20" s="81"/>
      <c r="M20" s="81"/>
      <c r="N20" s="82"/>
      <c r="O20" s="78"/>
      <c r="P20" s="80"/>
      <c r="Q20" s="68"/>
      <c r="R20" s="81"/>
      <c r="S20" s="68"/>
      <c r="T20" s="68"/>
      <c r="U20" s="80"/>
      <c r="V20" s="68"/>
      <c r="W20" s="68"/>
      <c r="X20" s="68"/>
      <c r="Y20" s="68"/>
      <c r="Z20" s="80"/>
      <c r="AA20" s="68"/>
      <c r="AB20" s="68"/>
      <c r="AC20" s="68"/>
      <c r="AD20" s="68"/>
      <c r="AE20" s="80"/>
      <c r="AF20" s="68"/>
      <c r="AG20" s="68"/>
      <c r="AH20" s="68"/>
      <c r="AI20" s="68"/>
      <c r="AJ20" s="80"/>
      <c r="AK20" s="68"/>
      <c r="AL20" s="68"/>
      <c r="AM20" s="68"/>
      <c r="AN20" s="68"/>
      <c r="AO20" s="80"/>
      <c r="AP20" s="68"/>
      <c r="AQ20" s="68"/>
      <c r="AR20" s="68"/>
      <c r="AS20" s="68"/>
      <c r="AT20" s="80"/>
      <c r="AU20" s="68"/>
      <c r="AV20" s="68"/>
      <c r="AW20" s="68"/>
      <c r="AX20" s="68"/>
      <c r="AY20" s="80"/>
      <c r="AZ20" s="68"/>
      <c r="BA20" s="68"/>
      <c r="BB20" s="68"/>
      <c r="BC20" s="68"/>
      <c r="BD20" s="80"/>
      <c r="BE20" s="68"/>
      <c r="BF20" s="68"/>
      <c r="BG20" s="68"/>
      <c r="BH20" s="68"/>
      <c r="BI20" s="80"/>
      <c r="BJ20" s="68"/>
      <c r="BK20" s="68"/>
      <c r="BL20" s="68"/>
      <c r="BM20" s="68"/>
      <c r="BN20" s="80"/>
      <c r="BO20" s="68"/>
      <c r="BP20" s="68"/>
      <c r="BQ20" s="68"/>
      <c r="BR20" s="68"/>
      <c r="BS20" s="80"/>
      <c r="BT20" s="68"/>
      <c r="BU20" s="68"/>
      <c r="BV20" s="68"/>
      <c r="BW20" s="68"/>
      <c r="BX20" s="80"/>
      <c r="BY20" s="68"/>
      <c r="BZ20" s="68"/>
      <c r="CA20" s="68"/>
      <c r="CB20" s="68"/>
      <c r="CC20" s="80"/>
      <c r="CD20" s="68"/>
      <c r="CE20" s="68"/>
      <c r="CF20" s="68"/>
      <c r="CG20" s="68"/>
      <c r="CH20" s="80"/>
      <c r="CM20" s="74"/>
      <c r="CN20" s="77"/>
      <c r="CO20" s="77"/>
      <c r="CP20" s="77"/>
      <c r="CQ20" s="77"/>
      <c r="CR20" s="74"/>
      <c r="CS20" s="77"/>
      <c r="CT20" s="77"/>
      <c r="CU20" s="77"/>
      <c r="CV20" s="77"/>
      <c r="CW20" s="74"/>
      <c r="CX20" s="77"/>
      <c r="CY20" s="77"/>
      <c r="CZ20" s="77"/>
      <c r="DA20" s="77"/>
      <c r="DB20" s="74"/>
      <c r="DC20" s="77"/>
      <c r="DD20" s="77"/>
      <c r="DE20" s="77"/>
      <c r="DF20" s="77"/>
      <c r="DG20" s="74"/>
      <c r="DH20" s="77"/>
      <c r="DI20" s="77"/>
      <c r="DJ20" s="77"/>
      <c r="DK20" s="77"/>
      <c r="DL20" s="74"/>
      <c r="DM20" s="77"/>
      <c r="DN20" s="77"/>
      <c r="DO20" s="77"/>
      <c r="DP20" s="77"/>
      <c r="DQ20" s="74"/>
      <c r="DR20" s="77"/>
      <c r="DS20" s="77"/>
      <c r="DT20" s="77"/>
      <c r="DU20" s="77"/>
      <c r="DV20" s="74"/>
      <c r="DW20" s="77"/>
      <c r="DX20" s="77"/>
      <c r="DY20" s="77"/>
      <c r="DZ20" s="77"/>
      <c r="EA20" s="74"/>
      <c r="EB20" s="77"/>
      <c r="EC20" s="77"/>
      <c r="ED20" s="77"/>
      <c r="EE20" s="77"/>
      <c r="EF20" s="74"/>
    </row>
    <row r="21" spans="1:136" collapsed="1">
      <c r="A21" s="71"/>
      <c r="B21" s="79"/>
      <c r="C21" s="79"/>
      <c r="D21" s="79"/>
      <c r="E21" s="79"/>
      <c r="F21" s="83"/>
      <c r="G21" s="79"/>
      <c r="H21" s="79"/>
      <c r="I21" s="79"/>
      <c r="J21" s="79"/>
      <c r="K21" s="83"/>
      <c r="L21" s="79"/>
      <c r="M21" s="79"/>
      <c r="N21" s="84"/>
      <c r="O21" s="71"/>
      <c r="P21" s="83"/>
      <c r="R21" s="85"/>
      <c r="U21" s="83"/>
      <c r="Z21" s="83"/>
      <c r="AE21" s="83"/>
      <c r="AJ21" s="83"/>
      <c r="AO21" s="83"/>
      <c r="AT21" s="83"/>
      <c r="AY21" s="83"/>
      <c r="BD21" s="83"/>
      <c r="BI21" s="83"/>
      <c r="BN21" s="83"/>
      <c r="BS21" s="83"/>
      <c r="BX21" s="83"/>
      <c r="CC21" s="83"/>
      <c r="CH21" s="83"/>
      <c r="CM21" s="74"/>
      <c r="CN21" s="77"/>
      <c r="CO21" s="77"/>
      <c r="CP21" s="77"/>
      <c r="CQ21" s="77"/>
      <c r="CR21" s="74"/>
      <c r="CS21" s="77"/>
      <c r="CT21" s="77"/>
      <c r="CU21" s="77"/>
      <c r="CV21" s="77"/>
      <c r="CW21" s="74"/>
      <c r="CX21" s="77"/>
      <c r="CY21" s="77"/>
      <c r="CZ21" s="77"/>
      <c r="DA21" s="77"/>
      <c r="DB21" s="74"/>
      <c r="DC21" s="77"/>
      <c r="DD21" s="77"/>
      <c r="DE21" s="77"/>
      <c r="DF21" s="77"/>
      <c r="DG21" s="74"/>
      <c r="DH21" s="77"/>
      <c r="DI21" s="77"/>
      <c r="DJ21" s="77"/>
      <c r="DK21" s="77"/>
      <c r="DL21" s="74"/>
      <c r="DM21" s="77"/>
      <c r="DN21" s="77"/>
      <c r="DO21" s="77"/>
      <c r="DP21" s="77"/>
      <c r="DQ21" s="74"/>
      <c r="DR21" s="77"/>
      <c r="DS21" s="77"/>
      <c r="DT21" s="77"/>
      <c r="DU21" s="77"/>
      <c r="DV21" s="74"/>
      <c r="DW21" s="77"/>
      <c r="DX21" s="77"/>
      <c r="DY21" s="77"/>
      <c r="DZ21" s="77"/>
      <c r="EA21" s="74"/>
      <c r="EB21" s="77"/>
      <c r="EC21" s="77"/>
      <c r="ED21" s="77"/>
      <c r="EE21" s="77"/>
      <c r="EF21" s="74"/>
    </row>
    <row r="22" spans="1:136">
      <c r="A22" s="71"/>
      <c r="B22" s="79"/>
      <c r="C22" s="79"/>
      <c r="D22" s="79"/>
      <c r="E22" s="79"/>
      <c r="F22" s="83"/>
      <c r="G22" s="79"/>
      <c r="H22" s="79"/>
      <c r="I22" s="79"/>
      <c r="J22" s="79"/>
      <c r="K22" s="83"/>
      <c r="L22" s="79"/>
      <c r="M22" s="79"/>
      <c r="N22" s="84"/>
      <c r="O22" s="71"/>
      <c r="P22" s="83"/>
      <c r="R22" s="85"/>
      <c r="U22" s="83"/>
      <c r="Z22" s="83"/>
      <c r="AE22" s="83"/>
      <c r="AJ22" s="83"/>
      <c r="AO22" s="83"/>
      <c r="AT22" s="83"/>
      <c r="AY22" s="83"/>
      <c r="BD22" s="83"/>
      <c r="BI22" s="83"/>
      <c r="BN22" s="83"/>
      <c r="BS22" s="83"/>
      <c r="BX22" s="83"/>
      <c r="CC22" s="83"/>
      <c r="CH22" s="83"/>
      <c r="CM22" s="74"/>
      <c r="CN22" s="77"/>
      <c r="CO22" s="77"/>
      <c r="CP22" s="77"/>
      <c r="CQ22" s="77"/>
      <c r="CR22" s="74"/>
      <c r="CS22" s="77"/>
      <c r="CT22" s="77"/>
      <c r="CU22" s="77"/>
      <c r="CV22" s="77"/>
      <c r="CW22" s="74"/>
      <c r="CX22" s="77"/>
      <c r="CY22" s="77"/>
      <c r="CZ22" s="77"/>
      <c r="DA22" s="77"/>
      <c r="DB22" s="74"/>
      <c r="DC22" s="77"/>
      <c r="DD22" s="77"/>
      <c r="DE22" s="77"/>
      <c r="DF22" s="77"/>
      <c r="DG22" s="74"/>
      <c r="DH22" s="77"/>
      <c r="DI22" s="77"/>
      <c r="DJ22" s="77"/>
      <c r="DK22" s="77"/>
      <c r="DL22" s="74"/>
      <c r="DM22" s="77"/>
      <c r="DN22" s="77"/>
      <c r="DO22" s="77"/>
      <c r="DP22" s="77"/>
      <c r="DQ22" s="74"/>
      <c r="DR22" s="77"/>
      <c r="DS22" s="77"/>
      <c r="DT22" s="77"/>
      <c r="DU22" s="77"/>
      <c r="DV22" s="74"/>
      <c r="DW22" s="77"/>
      <c r="DX22" s="77"/>
      <c r="DY22" s="77"/>
      <c r="DZ22" s="77"/>
      <c r="EA22" s="74"/>
      <c r="EB22" s="77"/>
      <c r="EC22" s="77"/>
      <c r="ED22" s="77"/>
      <c r="EE22" s="77"/>
      <c r="EF22" s="74"/>
    </row>
    <row r="23" spans="1:136">
      <c r="A23" s="71"/>
      <c r="B23" s="79"/>
      <c r="C23" s="79"/>
      <c r="D23" s="79"/>
      <c r="E23" s="79"/>
      <c r="F23" s="83"/>
      <c r="G23" s="79"/>
      <c r="H23" s="79"/>
      <c r="I23" s="79"/>
      <c r="J23" s="79"/>
      <c r="K23" s="83"/>
      <c r="L23" s="79"/>
      <c r="M23" s="79"/>
      <c r="N23" s="84"/>
      <c r="O23" s="71"/>
      <c r="P23" s="83"/>
      <c r="R23" s="85"/>
      <c r="U23" s="83"/>
      <c r="Z23" s="83"/>
      <c r="AE23" s="83"/>
      <c r="AJ23" s="83"/>
      <c r="AO23" s="83"/>
      <c r="AT23" s="83"/>
      <c r="AY23" s="83"/>
      <c r="BD23" s="83"/>
      <c r="BI23" s="83"/>
      <c r="BN23" s="83"/>
      <c r="BS23" s="83"/>
      <c r="BX23" s="83"/>
      <c r="CC23" s="83"/>
      <c r="CH23" s="83"/>
      <c r="CM23" s="74"/>
      <c r="CN23" s="77"/>
      <c r="CO23" s="77"/>
      <c r="CP23" s="77"/>
      <c r="CQ23" s="77"/>
      <c r="CR23" s="74"/>
      <c r="CS23" s="77"/>
      <c r="CT23" s="77"/>
      <c r="CU23" s="77"/>
      <c r="CV23" s="77"/>
      <c r="CW23" s="74"/>
      <c r="CX23" s="77"/>
      <c r="CY23" s="77"/>
      <c r="CZ23" s="77"/>
      <c r="DA23" s="77"/>
      <c r="DB23" s="74"/>
      <c r="DC23" s="77"/>
      <c r="DD23" s="77"/>
      <c r="DE23" s="77"/>
      <c r="DF23" s="77"/>
      <c r="DG23" s="74"/>
      <c r="DH23" s="77"/>
      <c r="DI23" s="77"/>
      <c r="DJ23" s="77"/>
      <c r="DK23" s="77"/>
      <c r="DL23" s="74"/>
      <c r="DM23" s="77"/>
      <c r="DN23" s="77"/>
      <c r="DO23" s="77"/>
      <c r="DP23" s="77"/>
      <c r="DQ23" s="74"/>
      <c r="DR23" s="77"/>
      <c r="DS23" s="77"/>
      <c r="DT23" s="77"/>
      <c r="DU23" s="77"/>
      <c r="DV23" s="74"/>
      <c r="DW23" s="77"/>
      <c r="DX23" s="77"/>
      <c r="DY23" s="77"/>
      <c r="DZ23" s="77"/>
      <c r="EA23" s="74"/>
      <c r="EB23" s="77"/>
      <c r="EC23" s="77"/>
      <c r="ED23" s="77"/>
      <c r="EE23" s="77"/>
      <c r="EF23" s="74"/>
    </row>
    <row r="24" spans="1:136">
      <c r="A24" s="71"/>
      <c r="B24" s="79"/>
      <c r="C24" s="79"/>
      <c r="D24" s="79"/>
      <c r="E24" s="79"/>
      <c r="F24" s="83"/>
      <c r="G24" s="79"/>
      <c r="H24" s="79"/>
      <c r="I24" s="79"/>
      <c r="J24" s="79"/>
      <c r="K24" s="83"/>
      <c r="L24" s="79"/>
      <c r="M24" s="79"/>
      <c r="N24" s="84"/>
      <c r="O24" s="71"/>
      <c r="P24" s="83"/>
      <c r="R24" s="85"/>
      <c r="U24" s="83"/>
      <c r="Z24" s="83"/>
      <c r="AE24" s="83"/>
      <c r="AJ24" s="83"/>
      <c r="AO24" s="83"/>
      <c r="AT24" s="83"/>
      <c r="AY24" s="83"/>
      <c r="BD24" s="83"/>
      <c r="BI24" s="83"/>
      <c r="BN24" s="83"/>
      <c r="BS24" s="83"/>
      <c r="BX24" s="83"/>
      <c r="CC24" s="83"/>
      <c r="CH24" s="83"/>
      <c r="CM24" s="74"/>
      <c r="CN24" s="77"/>
      <c r="CO24" s="77"/>
      <c r="CP24" s="77"/>
      <c r="CQ24" s="77"/>
      <c r="CR24" s="74"/>
      <c r="CS24" s="77"/>
      <c r="CT24" s="77"/>
      <c r="CU24" s="77"/>
      <c r="CV24" s="77"/>
      <c r="CW24" s="74"/>
      <c r="CX24" s="77"/>
      <c r="CY24" s="77"/>
      <c r="CZ24" s="77"/>
      <c r="DA24" s="77"/>
      <c r="DB24" s="74"/>
      <c r="DC24" s="77"/>
      <c r="DD24" s="77"/>
      <c r="DE24" s="77"/>
      <c r="DF24" s="77"/>
      <c r="DG24" s="74"/>
      <c r="DH24" s="77"/>
      <c r="DI24" s="77"/>
      <c r="DJ24" s="77"/>
      <c r="DK24" s="77"/>
      <c r="DL24" s="74"/>
      <c r="DM24" s="77"/>
      <c r="DN24" s="77"/>
      <c r="DO24" s="77"/>
      <c r="DP24" s="77"/>
      <c r="DQ24" s="74"/>
      <c r="DR24" s="77"/>
      <c r="DS24" s="77"/>
      <c r="DT24" s="77"/>
      <c r="DU24" s="77"/>
      <c r="DV24" s="74"/>
      <c r="DW24" s="77"/>
      <c r="DX24" s="77"/>
      <c r="DY24" s="77"/>
      <c r="DZ24" s="77"/>
      <c r="EA24" s="74"/>
      <c r="EB24" s="77"/>
      <c r="EC24" s="77"/>
      <c r="ED24" s="77"/>
      <c r="EE24" s="77"/>
      <c r="EF24" s="74"/>
    </row>
    <row r="25" spans="1:136">
      <c r="A25" s="71"/>
      <c r="B25" s="79"/>
      <c r="C25" s="79"/>
      <c r="D25" s="79"/>
      <c r="E25" s="79"/>
      <c r="F25" s="83"/>
      <c r="G25" s="79"/>
      <c r="H25" s="79"/>
      <c r="I25" s="79"/>
      <c r="J25" s="79"/>
      <c r="K25" s="83"/>
      <c r="L25" s="79"/>
      <c r="M25" s="79"/>
      <c r="N25" s="84"/>
      <c r="O25" s="71"/>
      <c r="P25" s="83"/>
      <c r="R25" s="85"/>
      <c r="U25" s="83"/>
      <c r="Z25" s="83"/>
      <c r="AE25" s="83"/>
      <c r="AJ25" s="83"/>
      <c r="AO25" s="83"/>
      <c r="AT25" s="83"/>
      <c r="AY25" s="83"/>
      <c r="BD25" s="83"/>
      <c r="BI25" s="83"/>
      <c r="BN25" s="83"/>
      <c r="BS25" s="83"/>
      <c r="BX25" s="83"/>
      <c r="CC25" s="83"/>
      <c r="CH25" s="83"/>
      <c r="CM25" s="74"/>
      <c r="CN25" s="77"/>
      <c r="CO25" s="77"/>
      <c r="CP25" s="77"/>
      <c r="CQ25" s="77"/>
      <c r="CR25" s="74"/>
      <c r="CS25" s="77"/>
      <c r="CT25" s="77"/>
      <c r="CU25" s="77"/>
      <c r="CV25" s="77"/>
      <c r="CW25" s="74"/>
      <c r="CX25" s="77"/>
      <c r="CY25" s="77"/>
      <c r="CZ25" s="77"/>
      <c r="DA25" s="77"/>
      <c r="DB25" s="74"/>
      <c r="DC25" s="77"/>
      <c r="DD25" s="77"/>
      <c r="DE25" s="77"/>
      <c r="DF25" s="77"/>
      <c r="DG25" s="74"/>
      <c r="DH25" s="77"/>
      <c r="DI25" s="77"/>
      <c r="DJ25" s="77"/>
      <c r="DK25" s="77"/>
      <c r="DL25" s="74"/>
      <c r="DM25" s="77"/>
      <c r="DN25" s="77"/>
      <c r="DO25" s="77"/>
      <c r="DP25" s="77"/>
      <c r="DQ25" s="74"/>
      <c r="DR25" s="77"/>
      <c r="DS25" s="77"/>
      <c r="DT25" s="77"/>
      <c r="DU25" s="77"/>
      <c r="DV25" s="74"/>
      <c r="DW25" s="77"/>
      <c r="DX25" s="77"/>
      <c r="DY25" s="77"/>
      <c r="DZ25" s="77"/>
      <c r="EA25" s="74"/>
      <c r="EB25" s="77"/>
      <c r="EC25" s="77"/>
      <c r="ED25" s="77"/>
      <c r="EE25" s="77"/>
      <c r="EF25" s="74"/>
    </row>
    <row r="26" spans="1:136">
      <c r="A26" s="71"/>
      <c r="B26" s="79"/>
      <c r="C26" s="79"/>
      <c r="D26" s="79"/>
      <c r="E26" s="79"/>
      <c r="F26" s="83"/>
      <c r="G26" s="79"/>
      <c r="H26" s="79"/>
      <c r="I26" s="79"/>
      <c r="J26" s="79"/>
      <c r="K26" s="83"/>
      <c r="L26" s="79"/>
      <c r="M26" s="79"/>
      <c r="N26" s="84"/>
      <c r="O26" s="71"/>
      <c r="P26" s="83"/>
      <c r="R26" s="85"/>
      <c r="U26" s="83"/>
      <c r="Z26" s="83"/>
      <c r="AE26" s="83"/>
      <c r="AJ26" s="83"/>
      <c r="AO26" s="83"/>
      <c r="AT26" s="83"/>
      <c r="AY26" s="83"/>
      <c r="BD26" s="83"/>
      <c r="BI26" s="83"/>
      <c r="BN26" s="83"/>
      <c r="BS26" s="83"/>
      <c r="BX26" s="83"/>
      <c r="CC26" s="83"/>
      <c r="CH26" s="83"/>
      <c r="CM26" s="74"/>
      <c r="CN26" s="77"/>
      <c r="CO26" s="77"/>
      <c r="CP26" s="77"/>
      <c r="CQ26" s="77"/>
      <c r="CR26" s="74"/>
      <c r="CS26" s="77"/>
      <c r="CT26" s="77"/>
      <c r="CU26" s="77"/>
      <c r="CV26" s="77"/>
      <c r="CW26" s="74"/>
      <c r="CX26" s="77"/>
      <c r="CY26" s="77"/>
      <c r="CZ26" s="77"/>
      <c r="DA26" s="77"/>
      <c r="DB26" s="74"/>
      <c r="DC26" s="77"/>
      <c r="DD26" s="77"/>
      <c r="DE26" s="77"/>
      <c r="DF26" s="77"/>
      <c r="DG26" s="74"/>
      <c r="DH26" s="77"/>
      <c r="DI26" s="77"/>
      <c r="DJ26" s="77"/>
      <c r="DK26" s="77"/>
      <c r="DL26" s="74"/>
      <c r="DM26" s="77"/>
      <c r="DN26" s="77"/>
      <c r="DO26" s="77"/>
      <c r="DP26" s="77"/>
      <c r="DQ26" s="74"/>
      <c r="DR26" s="77"/>
      <c r="DS26" s="77"/>
      <c r="DT26" s="77"/>
      <c r="DU26" s="77"/>
      <c r="DV26" s="74"/>
      <c r="DW26" s="77"/>
      <c r="DX26" s="77"/>
      <c r="DY26" s="77"/>
      <c r="DZ26" s="77"/>
      <c r="EA26" s="74"/>
      <c r="EB26" s="77"/>
      <c r="EC26" s="77"/>
      <c r="ED26" s="77"/>
      <c r="EE26" s="77"/>
      <c r="EF26" s="74"/>
    </row>
    <row r="27" spans="1:136">
      <c r="A27" s="71"/>
      <c r="B27" s="79"/>
      <c r="C27" s="79"/>
      <c r="D27" s="79"/>
      <c r="E27" s="79"/>
      <c r="F27" s="83"/>
      <c r="G27" s="79"/>
      <c r="H27" s="79"/>
      <c r="I27" s="79"/>
      <c r="J27" s="79"/>
      <c r="K27" s="83"/>
      <c r="L27" s="79"/>
      <c r="M27" s="79"/>
      <c r="N27" s="84"/>
      <c r="O27" s="71"/>
      <c r="P27" s="83"/>
      <c r="R27" s="85"/>
      <c r="U27" s="83"/>
      <c r="Z27" s="83"/>
      <c r="AE27" s="83"/>
      <c r="AJ27" s="83"/>
      <c r="AO27" s="83"/>
      <c r="AT27" s="83"/>
      <c r="AY27" s="83"/>
      <c r="BD27" s="83"/>
      <c r="BI27" s="83"/>
      <c r="BN27" s="83"/>
      <c r="BS27" s="83"/>
      <c r="BX27" s="83"/>
      <c r="CC27" s="83"/>
      <c r="CH27" s="83"/>
      <c r="CM27" s="74"/>
      <c r="CN27" s="77"/>
      <c r="CO27" s="77"/>
      <c r="CP27" s="77"/>
      <c r="CQ27" s="77"/>
      <c r="CR27" s="74"/>
      <c r="CS27" s="77"/>
      <c r="CT27" s="77"/>
      <c r="CU27" s="77"/>
      <c r="CV27" s="77"/>
      <c r="CW27" s="74"/>
      <c r="CX27" s="77"/>
      <c r="CY27" s="77"/>
      <c r="CZ27" s="77"/>
      <c r="DA27" s="77"/>
      <c r="DB27" s="74"/>
      <c r="DC27" s="77"/>
      <c r="DD27" s="77"/>
      <c r="DE27" s="77"/>
      <c r="DF27" s="77"/>
      <c r="DG27" s="74"/>
      <c r="DH27" s="77"/>
      <c r="DI27" s="77"/>
      <c r="DJ27" s="77"/>
      <c r="DK27" s="77"/>
      <c r="DL27" s="74"/>
      <c r="DM27" s="77"/>
      <c r="DN27" s="77"/>
      <c r="DO27" s="77"/>
      <c r="DP27" s="77"/>
      <c r="DQ27" s="74"/>
      <c r="DR27" s="77"/>
      <c r="DS27" s="77"/>
      <c r="DT27" s="77"/>
      <c r="DU27" s="77"/>
      <c r="DV27" s="74"/>
      <c r="DW27" s="77"/>
      <c r="DX27" s="77"/>
      <c r="DY27" s="77"/>
      <c r="DZ27" s="77"/>
      <c r="EA27" s="74"/>
      <c r="EB27" s="77"/>
      <c r="EC27" s="77"/>
      <c r="ED27" s="77"/>
      <c r="EE27" s="77"/>
      <c r="EF27" s="74"/>
    </row>
    <row r="28" spans="1:136">
      <c r="A28" s="71"/>
      <c r="B28" s="79"/>
      <c r="C28" s="79"/>
      <c r="D28" s="79"/>
      <c r="E28" s="79"/>
      <c r="F28" s="83"/>
      <c r="G28" s="79"/>
      <c r="H28" s="79"/>
      <c r="I28" s="79"/>
      <c r="J28" s="79"/>
      <c r="K28" s="83"/>
      <c r="L28" s="79"/>
      <c r="M28" s="79"/>
      <c r="N28" s="84"/>
      <c r="O28" s="71"/>
      <c r="P28" s="83"/>
      <c r="R28" s="85"/>
      <c r="U28" s="83"/>
      <c r="Z28" s="83"/>
      <c r="AE28" s="83"/>
      <c r="AJ28" s="83"/>
      <c r="AO28" s="83"/>
      <c r="AT28" s="83"/>
      <c r="AY28" s="83"/>
      <c r="BD28" s="83"/>
      <c r="BI28" s="83"/>
      <c r="BN28" s="83"/>
      <c r="BS28" s="83"/>
      <c r="BX28" s="83"/>
      <c r="CC28" s="83"/>
      <c r="CH28" s="83"/>
      <c r="CM28" s="74"/>
      <c r="CN28" s="77"/>
      <c r="CO28" s="77"/>
      <c r="CP28" s="77"/>
      <c r="CQ28" s="77"/>
      <c r="CR28" s="74"/>
      <c r="CS28" s="77"/>
      <c r="CT28" s="77"/>
      <c r="CU28" s="77"/>
      <c r="CV28" s="77"/>
      <c r="CW28" s="74"/>
      <c r="CX28" s="77"/>
      <c r="CY28" s="77"/>
      <c r="CZ28" s="77"/>
      <c r="DA28" s="77"/>
      <c r="DB28" s="74"/>
      <c r="DC28" s="77"/>
      <c r="DD28" s="77"/>
      <c r="DE28" s="77"/>
      <c r="DF28" s="77"/>
      <c r="DG28" s="74"/>
      <c r="DH28" s="77"/>
      <c r="DI28" s="77"/>
      <c r="DJ28" s="77"/>
      <c r="DK28" s="77"/>
      <c r="DL28" s="74"/>
      <c r="DM28" s="77"/>
      <c r="DN28" s="77"/>
      <c r="DO28" s="77"/>
      <c r="DP28" s="77"/>
      <c r="DQ28" s="74"/>
      <c r="DR28" s="77"/>
      <c r="DS28" s="77"/>
      <c r="DT28" s="77"/>
      <c r="DU28" s="77"/>
      <c r="DV28" s="74"/>
      <c r="DW28" s="77"/>
      <c r="DX28" s="77"/>
      <c r="DY28" s="77"/>
      <c r="DZ28" s="77"/>
      <c r="EA28" s="74"/>
      <c r="EB28" s="77"/>
      <c r="EC28" s="77"/>
      <c r="ED28" s="77"/>
      <c r="EE28" s="77"/>
      <c r="EF28" s="74"/>
    </row>
    <row r="29" spans="1:136">
      <c r="A29" s="71"/>
      <c r="B29" s="79"/>
      <c r="C29" s="79"/>
      <c r="D29" s="79"/>
      <c r="E29" s="79"/>
      <c r="F29" s="83"/>
      <c r="G29" s="79"/>
      <c r="H29" s="79"/>
      <c r="I29" s="79"/>
      <c r="J29" s="79"/>
      <c r="K29" s="83"/>
      <c r="L29" s="79"/>
      <c r="M29" s="79"/>
      <c r="N29" s="84"/>
      <c r="O29" s="71"/>
      <c r="P29" s="83"/>
      <c r="R29" s="85"/>
      <c r="U29" s="83"/>
      <c r="Z29" s="83"/>
      <c r="AE29" s="83"/>
      <c r="AJ29" s="83"/>
      <c r="AO29" s="83"/>
      <c r="AT29" s="83"/>
      <c r="AY29" s="83"/>
      <c r="BD29" s="83"/>
      <c r="BI29" s="83"/>
      <c r="BN29" s="83"/>
      <c r="BS29" s="83"/>
      <c r="BX29" s="83"/>
      <c r="CC29" s="83"/>
      <c r="CH29" s="83"/>
      <c r="CM29" s="74"/>
      <c r="CN29" s="77"/>
      <c r="CO29" s="77"/>
      <c r="CP29" s="77"/>
      <c r="CQ29" s="77"/>
      <c r="CR29" s="74"/>
      <c r="CS29" s="77"/>
      <c r="CT29" s="77"/>
      <c r="CU29" s="77"/>
      <c r="CV29" s="77"/>
      <c r="CW29" s="74"/>
      <c r="CX29" s="77"/>
      <c r="CY29" s="77"/>
      <c r="CZ29" s="77"/>
      <c r="DA29" s="77"/>
      <c r="DB29" s="74"/>
      <c r="DC29" s="77"/>
      <c r="DD29" s="77"/>
      <c r="DE29" s="77"/>
      <c r="DF29" s="77"/>
      <c r="DG29" s="74"/>
      <c r="DH29" s="77"/>
      <c r="DI29" s="77"/>
      <c r="DJ29" s="77"/>
      <c r="DK29" s="77"/>
      <c r="DL29" s="74"/>
      <c r="DM29" s="77"/>
      <c r="DN29" s="77"/>
      <c r="DO29" s="77"/>
      <c r="DP29" s="77"/>
      <c r="DQ29" s="74"/>
      <c r="DR29" s="77"/>
      <c r="DS29" s="77"/>
      <c r="DT29" s="77"/>
      <c r="DU29" s="77"/>
      <c r="DV29" s="74"/>
      <c r="DW29" s="77"/>
      <c r="DX29" s="77"/>
      <c r="DY29" s="77"/>
      <c r="DZ29" s="77"/>
      <c r="EA29" s="74"/>
      <c r="EB29" s="77"/>
      <c r="EC29" s="77"/>
      <c r="ED29" s="77"/>
      <c r="EE29" s="77"/>
      <c r="EF29" s="74"/>
    </row>
    <row r="30" spans="1:136">
      <c r="A30" s="71"/>
      <c r="B30" s="79"/>
      <c r="C30" s="79"/>
      <c r="D30" s="79"/>
      <c r="E30" s="79"/>
      <c r="F30" s="83"/>
      <c r="G30" s="79"/>
      <c r="H30" s="79"/>
      <c r="I30" s="79"/>
      <c r="J30" s="79"/>
      <c r="K30" s="83"/>
      <c r="L30" s="79"/>
      <c r="M30" s="79"/>
      <c r="N30" s="84"/>
      <c r="O30" s="71"/>
      <c r="P30" s="83"/>
      <c r="R30" s="85"/>
      <c r="U30" s="83"/>
      <c r="Z30" s="83"/>
      <c r="AE30" s="83"/>
      <c r="AJ30" s="83"/>
      <c r="AO30" s="83"/>
      <c r="AT30" s="83"/>
      <c r="AY30" s="83"/>
      <c r="BD30" s="83"/>
      <c r="BI30" s="83"/>
      <c r="BN30" s="83"/>
      <c r="BS30" s="83"/>
      <c r="BX30" s="83"/>
      <c r="CC30" s="83"/>
      <c r="CH30" s="83"/>
      <c r="CM30" s="74"/>
      <c r="CN30" s="77"/>
      <c r="CO30" s="77"/>
      <c r="CP30" s="77"/>
      <c r="CQ30" s="77"/>
      <c r="CR30" s="74"/>
      <c r="CS30" s="77"/>
      <c r="CT30" s="77"/>
      <c r="CU30" s="77"/>
      <c r="CV30" s="77"/>
      <c r="CW30" s="74"/>
      <c r="CX30" s="77"/>
      <c r="CY30" s="77"/>
      <c r="CZ30" s="77"/>
      <c r="DA30" s="77"/>
      <c r="DB30" s="74"/>
      <c r="DC30" s="77"/>
      <c r="DD30" s="77"/>
      <c r="DE30" s="77"/>
      <c r="DF30" s="77"/>
      <c r="DG30" s="74"/>
      <c r="DH30" s="77"/>
      <c r="DI30" s="77"/>
      <c r="DJ30" s="77"/>
      <c r="DK30" s="77"/>
      <c r="DL30" s="74"/>
      <c r="DM30" s="77"/>
      <c r="DN30" s="77"/>
      <c r="DO30" s="77"/>
      <c r="DP30" s="77"/>
      <c r="DQ30" s="74"/>
      <c r="DR30" s="77"/>
      <c r="DS30" s="77"/>
      <c r="DT30" s="77"/>
      <c r="DU30" s="77"/>
      <c r="DV30" s="74"/>
      <c r="DW30" s="77"/>
      <c r="DX30" s="77"/>
      <c r="DY30" s="77"/>
      <c r="DZ30" s="77"/>
      <c r="EA30" s="74"/>
      <c r="EB30" s="77"/>
      <c r="EC30" s="77"/>
      <c r="ED30" s="77"/>
      <c r="EE30" s="77"/>
      <c r="EF30" s="74"/>
    </row>
    <row r="31" spans="1:136">
      <c r="A31" s="71"/>
      <c r="B31" s="79"/>
      <c r="C31" s="79"/>
      <c r="D31" s="79"/>
      <c r="E31" s="79"/>
      <c r="F31" s="83"/>
      <c r="G31" s="79"/>
      <c r="H31" s="79"/>
      <c r="I31" s="79"/>
      <c r="J31" s="79"/>
      <c r="K31" s="83"/>
      <c r="L31" s="79"/>
      <c r="M31" s="79"/>
      <c r="N31" s="84"/>
      <c r="O31" s="71"/>
      <c r="P31" s="83"/>
      <c r="R31" s="85"/>
      <c r="U31" s="83"/>
      <c r="Z31" s="83"/>
      <c r="AE31" s="83"/>
      <c r="AJ31" s="83"/>
      <c r="AO31" s="83"/>
      <c r="AT31" s="83"/>
      <c r="AY31" s="83"/>
      <c r="BD31" s="83"/>
      <c r="BI31" s="83"/>
      <c r="BN31" s="83"/>
      <c r="BS31" s="83"/>
      <c r="BX31" s="83"/>
      <c r="CC31" s="83"/>
      <c r="CH31" s="83"/>
      <c r="CM31" s="74"/>
      <c r="CN31" s="77"/>
      <c r="CO31" s="77"/>
      <c r="CP31" s="77"/>
      <c r="CQ31" s="77"/>
      <c r="CR31" s="74"/>
      <c r="CS31" s="77"/>
      <c r="CT31" s="77"/>
      <c r="CU31" s="77"/>
      <c r="CV31" s="77"/>
      <c r="CW31" s="74"/>
      <c r="CX31" s="77"/>
      <c r="CY31" s="77"/>
      <c r="CZ31" s="77"/>
      <c r="DA31" s="77"/>
      <c r="DB31" s="74"/>
      <c r="DC31" s="77"/>
      <c r="DD31" s="77"/>
      <c r="DE31" s="77"/>
      <c r="DF31" s="77"/>
      <c r="DG31" s="74"/>
      <c r="DH31" s="77"/>
      <c r="DI31" s="77"/>
      <c r="DJ31" s="77"/>
      <c r="DK31" s="77"/>
      <c r="DL31" s="74"/>
      <c r="DM31" s="77"/>
      <c r="DN31" s="77"/>
      <c r="DO31" s="77"/>
      <c r="DP31" s="77"/>
      <c r="DQ31" s="74"/>
      <c r="DR31" s="77"/>
      <c r="DS31" s="77"/>
      <c r="DT31" s="77"/>
      <c r="DU31" s="77"/>
      <c r="DV31" s="74"/>
      <c r="DW31" s="77"/>
      <c r="DX31" s="77"/>
      <c r="DY31" s="77"/>
      <c r="DZ31" s="77"/>
      <c r="EA31" s="74"/>
      <c r="EB31" s="77"/>
      <c r="EC31" s="77"/>
      <c r="ED31" s="77"/>
      <c r="EE31" s="77"/>
      <c r="EF31" s="74"/>
    </row>
    <row r="32" spans="1:136">
      <c r="A32" s="71"/>
      <c r="B32" s="79"/>
      <c r="C32" s="79"/>
      <c r="D32" s="79"/>
      <c r="E32" s="79"/>
      <c r="F32" s="83"/>
      <c r="G32" s="79"/>
      <c r="H32" s="79"/>
      <c r="I32" s="79"/>
      <c r="J32" s="79"/>
      <c r="K32" s="83"/>
      <c r="L32" s="79"/>
      <c r="M32" s="79"/>
      <c r="N32" s="84"/>
      <c r="O32" s="71"/>
      <c r="P32" s="83"/>
      <c r="R32" s="85"/>
      <c r="U32" s="83"/>
      <c r="Z32" s="83"/>
      <c r="AE32" s="83"/>
      <c r="AJ32" s="83"/>
      <c r="AO32" s="83"/>
      <c r="AT32" s="83"/>
      <c r="AY32" s="83"/>
      <c r="BD32" s="83"/>
      <c r="BI32" s="83"/>
      <c r="BN32" s="83"/>
      <c r="BS32" s="83"/>
      <c r="BX32" s="83"/>
      <c r="CC32" s="83"/>
      <c r="CH32" s="83"/>
      <c r="CM32" s="74"/>
      <c r="CN32" s="77"/>
      <c r="CO32" s="77"/>
      <c r="CP32" s="77"/>
      <c r="CQ32" s="77"/>
      <c r="CR32" s="74"/>
      <c r="CS32" s="77"/>
      <c r="CT32" s="77"/>
      <c r="CU32" s="77"/>
      <c r="CV32" s="77"/>
      <c r="CW32" s="74"/>
      <c r="CX32" s="77"/>
      <c r="CY32" s="77"/>
      <c r="CZ32" s="77"/>
      <c r="DA32" s="77"/>
      <c r="DB32" s="74"/>
      <c r="DC32" s="77"/>
      <c r="DD32" s="77"/>
      <c r="DE32" s="77"/>
      <c r="DF32" s="77"/>
      <c r="DG32" s="74"/>
      <c r="DH32" s="77"/>
      <c r="DI32" s="77"/>
      <c r="DJ32" s="77"/>
      <c r="DK32" s="77"/>
      <c r="DL32" s="74"/>
      <c r="DM32" s="77"/>
      <c r="DN32" s="77"/>
      <c r="DO32" s="77"/>
      <c r="DP32" s="77"/>
      <c r="DQ32" s="74"/>
      <c r="DR32" s="77"/>
      <c r="DS32" s="77"/>
      <c r="DT32" s="77"/>
      <c r="DU32" s="77"/>
      <c r="DV32" s="74"/>
      <c r="DW32" s="77"/>
      <c r="DX32" s="77"/>
      <c r="DY32" s="77"/>
      <c r="DZ32" s="77"/>
      <c r="EA32" s="74"/>
      <c r="EB32" s="77"/>
      <c r="EC32" s="77"/>
      <c r="ED32" s="77"/>
      <c r="EE32" s="77"/>
      <c r="EF32" s="74"/>
    </row>
    <row r="33" spans="1:136">
      <c r="A33" s="71"/>
      <c r="B33" s="79"/>
      <c r="C33" s="79"/>
      <c r="D33" s="79"/>
      <c r="E33" s="79"/>
      <c r="F33" s="83"/>
      <c r="G33" s="79"/>
      <c r="H33" s="79"/>
      <c r="I33" s="79"/>
      <c r="J33" s="79"/>
      <c r="K33" s="83"/>
      <c r="L33" s="79"/>
      <c r="M33" s="79"/>
      <c r="N33" s="84"/>
      <c r="O33" s="71"/>
      <c r="P33" s="83"/>
      <c r="R33" s="85"/>
      <c r="U33" s="83"/>
      <c r="Z33" s="83"/>
      <c r="AE33" s="83"/>
      <c r="AJ33" s="83"/>
      <c r="AO33" s="83"/>
      <c r="AT33" s="83"/>
      <c r="AY33" s="83"/>
      <c r="BD33" s="83"/>
      <c r="BI33" s="83"/>
      <c r="BN33" s="83"/>
      <c r="BS33" s="83"/>
      <c r="BX33" s="83"/>
      <c r="CC33" s="83"/>
      <c r="CH33" s="83"/>
      <c r="CM33" s="74"/>
      <c r="CN33" s="77"/>
      <c r="CO33" s="77"/>
      <c r="CP33" s="77"/>
      <c r="CQ33" s="77"/>
      <c r="CR33" s="74"/>
      <c r="CS33" s="77"/>
      <c r="CT33" s="77"/>
      <c r="CU33" s="77"/>
      <c r="CV33" s="77"/>
      <c r="CW33" s="74"/>
      <c r="CX33" s="77"/>
      <c r="CY33" s="77"/>
      <c r="CZ33" s="77"/>
      <c r="DA33" s="77"/>
      <c r="DB33" s="74"/>
      <c r="DC33" s="77"/>
      <c r="DD33" s="77"/>
      <c r="DE33" s="77"/>
      <c r="DF33" s="77"/>
      <c r="DG33" s="74"/>
      <c r="DH33" s="77"/>
      <c r="DI33" s="77"/>
      <c r="DJ33" s="77"/>
      <c r="DK33" s="77"/>
      <c r="DL33" s="74"/>
      <c r="DM33" s="77"/>
      <c r="DN33" s="77"/>
      <c r="DO33" s="77"/>
      <c r="DP33" s="77"/>
      <c r="DQ33" s="74"/>
      <c r="DR33" s="77"/>
      <c r="DS33" s="77"/>
      <c r="DT33" s="77"/>
      <c r="DU33" s="77"/>
      <c r="DV33" s="74"/>
      <c r="DW33" s="77"/>
      <c r="DX33" s="77"/>
      <c r="DY33" s="77"/>
      <c r="DZ33" s="77"/>
      <c r="EA33" s="74"/>
      <c r="EB33" s="77"/>
      <c r="EC33" s="77"/>
      <c r="ED33" s="77"/>
      <c r="EE33" s="77"/>
      <c r="EF33" s="74"/>
    </row>
    <row r="34" spans="1:136">
      <c r="A34" s="78"/>
      <c r="B34" s="79"/>
      <c r="C34" s="79"/>
      <c r="D34" s="79"/>
      <c r="E34" s="79"/>
      <c r="F34" s="86"/>
      <c r="G34" s="79"/>
      <c r="H34" s="79"/>
      <c r="I34" s="79"/>
      <c r="J34" s="79"/>
      <c r="K34" s="86"/>
      <c r="L34" s="81"/>
      <c r="M34" s="81"/>
      <c r="N34" s="87"/>
      <c r="O34" s="71"/>
      <c r="P34" s="86"/>
      <c r="R34" s="88"/>
      <c r="U34" s="86"/>
      <c r="Z34" s="86"/>
      <c r="AE34" s="86"/>
      <c r="AJ34" s="86"/>
      <c r="AO34" s="86"/>
      <c r="AT34" s="86"/>
      <c r="AY34" s="86"/>
      <c r="BD34" s="86"/>
      <c r="BI34" s="86"/>
      <c r="BN34" s="86"/>
      <c r="BS34" s="86"/>
      <c r="BX34" s="86"/>
      <c r="CC34" s="86"/>
      <c r="CH34" s="86"/>
      <c r="CM34" s="74"/>
      <c r="CN34" s="77"/>
      <c r="CO34" s="77"/>
      <c r="CP34" s="77"/>
      <c r="CQ34" s="77"/>
      <c r="CR34" s="74"/>
      <c r="CS34" s="77"/>
      <c r="CT34" s="77"/>
      <c r="CU34" s="77"/>
      <c r="CV34" s="77"/>
      <c r="CW34" s="74"/>
      <c r="CX34" s="77"/>
      <c r="CY34" s="77"/>
      <c r="CZ34" s="77"/>
      <c r="DA34" s="77"/>
      <c r="DB34" s="74"/>
      <c r="DC34" s="77"/>
      <c r="DD34" s="77"/>
      <c r="DE34" s="77"/>
      <c r="DF34" s="77"/>
      <c r="DG34" s="74"/>
      <c r="DH34" s="77"/>
      <c r="DI34" s="77"/>
      <c r="DJ34" s="77"/>
      <c r="DK34" s="77"/>
      <c r="DL34" s="74"/>
      <c r="DM34" s="77"/>
      <c r="DN34" s="77"/>
      <c r="DO34" s="77"/>
      <c r="DP34" s="77"/>
      <c r="DQ34" s="74"/>
      <c r="DR34" s="77"/>
      <c r="DS34" s="77"/>
      <c r="DT34" s="77"/>
      <c r="DU34" s="77"/>
      <c r="DV34" s="74"/>
      <c r="DW34" s="77"/>
      <c r="DX34" s="77"/>
      <c r="DY34" s="77"/>
      <c r="DZ34" s="77"/>
      <c r="EA34" s="74"/>
      <c r="EB34" s="77"/>
      <c r="EC34" s="77"/>
      <c r="ED34" s="77"/>
      <c r="EE34" s="77"/>
      <c r="EF34" s="74"/>
    </row>
    <row r="35" spans="1:136" s="68" customFormat="1" collapsed="1">
      <c r="A35" s="78"/>
      <c r="B35" s="81"/>
      <c r="C35" s="81"/>
      <c r="D35" s="81"/>
      <c r="E35" s="81"/>
      <c r="F35" s="80"/>
      <c r="G35" s="81"/>
      <c r="H35" s="81"/>
      <c r="I35" s="81"/>
      <c r="J35" s="81"/>
      <c r="K35" s="80"/>
      <c r="L35" s="81"/>
      <c r="M35" s="81"/>
      <c r="N35" s="82"/>
      <c r="O35" s="78"/>
      <c r="P35" s="80"/>
      <c r="R35" s="81"/>
      <c r="U35" s="80"/>
      <c r="Z35" s="80"/>
      <c r="AE35" s="80"/>
      <c r="AJ35" s="80"/>
      <c r="AO35" s="80"/>
      <c r="AT35" s="80"/>
      <c r="AY35" s="80"/>
      <c r="BD35" s="80"/>
      <c r="BI35" s="80"/>
      <c r="BN35" s="80"/>
      <c r="BS35" s="80"/>
      <c r="BX35" s="80"/>
      <c r="CC35" s="80"/>
      <c r="CH35" s="80"/>
      <c r="CM35" s="74"/>
      <c r="CN35" s="77"/>
      <c r="CO35" s="77"/>
      <c r="CP35" s="77"/>
      <c r="CQ35" s="77"/>
      <c r="CR35" s="74"/>
      <c r="CS35" s="77"/>
      <c r="CT35" s="77"/>
      <c r="CU35" s="77"/>
      <c r="CV35" s="77"/>
      <c r="CW35" s="74"/>
      <c r="CX35" s="77"/>
      <c r="CY35" s="77"/>
      <c r="CZ35" s="77"/>
      <c r="DA35" s="77"/>
      <c r="DB35" s="74"/>
      <c r="DC35" s="77"/>
      <c r="DD35" s="77"/>
      <c r="DE35" s="77"/>
      <c r="DF35" s="77"/>
      <c r="DG35" s="74"/>
      <c r="DH35" s="77"/>
      <c r="DI35" s="77"/>
      <c r="DJ35" s="77"/>
      <c r="DK35" s="77"/>
      <c r="DL35" s="74"/>
      <c r="DM35" s="77"/>
      <c r="DN35" s="77"/>
      <c r="DO35" s="77"/>
      <c r="DP35" s="77"/>
      <c r="DQ35" s="74"/>
      <c r="DR35" s="77"/>
      <c r="DS35" s="77"/>
      <c r="DT35" s="77"/>
      <c r="DU35" s="77"/>
      <c r="DV35" s="74"/>
      <c r="DW35" s="77"/>
      <c r="DX35" s="77"/>
      <c r="DY35" s="77"/>
      <c r="DZ35" s="77"/>
      <c r="EA35" s="74"/>
      <c r="EB35" s="77"/>
      <c r="EC35" s="77"/>
      <c r="ED35" s="77"/>
      <c r="EE35" s="77"/>
      <c r="EF35" s="74"/>
    </row>
    <row r="36" spans="1:136">
      <c r="A36" s="71"/>
      <c r="B36" s="79"/>
      <c r="C36" s="79"/>
      <c r="D36" s="79"/>
      <c r="E36" s="79"/>
      <c r="F36" s="83"/>
      <c r="G36" s="79"/>
      <c r="H36" s="79"/>
      <c r="I36" s="79"/>
      <c r="J36" s="79"/>
      <c r="K36" s="83"/>
      <c r="L36" s="79"/>
      <c r="M36" s="79"/>
      <c r="N36" s="84"/>
      <c r="O36" s="78"/>
      <c r="P36" s="83"/>
      <c r="R36" s="85"/>
      <c r="U36" s="83"/>
      <c r="Z36" s="83"/>
      <c r="AE36" s="83"/>
      <c r="AJ36" s="83"/>
      <c r="AO36" s="83"/>
      <c r="AT36" s="83"/>
      <c r="AY36" s="83"/>
      <c r="BD36" s="83"/>
      <c r="BI36" s="83"/>
      <c r="BN36" s="83"/>
      <c r="BS36" s="83"/>
      <c r="BX36" s="83"/>
      <c r="CC36" s="83"/>
      <c r="CH36" s="83"/>
      <c r="CM36" s="74"/>
      <c r="CN36" s="77"/>
      <c r="CO36" s="77"/>
      <c r="CP36" s="77"/>
      <c r="CQ36" s="77"/>
      <c r="CR36" s="74"/>
      <c r="CS36" s="77"/>
      <c r="CT36" s="77"/>
      <c r="CU36" s="77"/>
      <c r="CV36" s="77"/>
      <c r="CW36" s="74"/>
      <c r="CX36" s="77"/>
      <c r="CY36" s="77"/>
      <c r="CZ36" s="77"/>
      <c r="DA36" s="77"/>
      <c r="DB36" s="74"/>
      <c r="DC36" s="77"/>
      <c r="DD36" s="77"/>
      <c r="DE36" s="77"/>
      <c r="DF36" s="77"/>
      <c r="DG36" s="74"/>
      <c r="DH36" s="77"/>
      <c r="DI36" s="77"/>
      <c r="DJ36" s="77"/>
      <c r="DK36" s="77"/>
      <c r="DL36" s="74"/>
      <c r="DM36" s="77"/>
      <c r="DN36" s="77"/>
      <c r="DO36" s="77"/>
      <c r="DP36" s="77"/>
      <c r="DQ36" s="74"/>
      <c r="DR36" s="77"/>
      <c r="DS36" s="77"/>
      <c r="DT36" s="77"/>
      <c r="DU36" s="77"/>
      <c r="DV36" s="74"/>
      <c r="DW36" s="77"/>
      <c r="DX36" s="77"/>
      <c r="DY36" s="77"/>
      <c r="DZ36" s="77"/>
      <c r="EA36" s="74"/>
      <c r="EB36" s="77"/>
      <c r="EC36" s="77"/>
      <c r="ED36" s="77"/>
      <c r="EE36" s="77"/>
      <c r="EF36" s="74"/>
    </row>
    <row r="37" spans="1:136">
      <c r="A37" s="71"/>
      <c r="B37" s="79"/>
      <c r="C37" s="79"/>
      <c r="D37" s="79"/>
      <c r="E37" s="79"/>
      <c r="F37" s="83"/>
      <c r="G37" s="79"/>
      <c r="H37" s="79"/>
      <c r="I37" s="79"/>
      <c r="J37" s="79"/>
      <c r="K37" s="83"/>
      <c r="L37" s="79"/>
      <c r="M37" s="79"/>
      <c r="N37" s="84"/>
      <c r="O37" s="71"/>
      <c r="P37" s="83"/>
      <c r="R37" s="85"/>
      <c r="U37" s="83"/>
      <c r="Z37" s="83"/>
      <c r="AE37" s="83"/>
      <c r="AJ37" s="83"/>
      <c r="AO37" s="83"/>
      <c r="AT37" s="83"/>
      <c r="AY37" s="83"/>
      <c r="BD37" s="83"/>
      <c r="BI37" s="83"/>
      <c r="BN37" s="83"/>
      <c r="BS37" s="83"/>
      <c r="BX37" s="83"/>
      <c r="CC37" s="83"/>
      <c r="CH37" s="83"/>
      <c r="CM37" s="74"/>
      <c r="CN37" s="77"/>
      <c r="CO37" s="77"/>
      <c r="CP37" s="77"/>
      <c r="CQ37" s="77"/>
      <c r="CR37" s="74"/>
      <c r="CS37" s="77"/>
      <c r="CT37" s="77"/>
      <c r="CU37" s="77"/>
      <c r="CV37" s="77"/>
      <c r="CW37" s="74"/>
      <c r="CX37" s="77"/>
      <c r="CY37" s="77"/>
      <c r="CZ37" s="77"/>
      <c r="DA37" s="77"/>
      <c r="DB37" s="74"/>
      <c r="DC37" s="77"/>
      <c r="DD37" s="77"/>
      <c r="DE37" s="77"/>
      <c r="DF37" s="77"/>
      <c r="DG37" s="74"/>
      <c r="DH37" s="77"/>
      <c r="DI37" s="77"/>
      <c r="DJ37" s="77"/>
      <c r="DK37" s="77"/>
      <c r="DL37" s="74"/>
      <c r="DM37" s="77"/>
      <c r="DN37" s="77"/>
      <c r="DO37" s="77"/>
      <c r="DP37" s="77"/>
      <c r="DQ37" s="74"/>
      <c r="DR37" s="77"/>
      <c r="DS37" s="77"/>
      <c r="DT37" s="77"/>
      <c r="DU37" s="77"/>
      <c r="DV37" s="74"/>
      <c r="DW37" s="77"/>
      <c r="DX37" s="77"/>
      <c r="DY37" s="77"/>
      <c r="DZ37" s="77"/>
      <c r="EA37" s="74"/>
      <c r="EB37" s="77"/>
      <c r="EC37" s="77"/>
      <c r="ED37" s="77"/>
      <c r="EE37" s="77"/>
      <c r="EF37" s="74"/>
    </row>
    <row r="38" spans="1:136">
      <c r="A38" s="78"/>
      <c r="B38" s="79"/>
      <c r="C38" s="79"/>
      <c r="D38" s="79"/>
      <c r="E38" s="79"/>
      <c r="F38" s="83"/>
      <c r="G38" s="79"/>
      <c r="H38" s="79"/>
      <c r="I38" s="79"/>
      <c r="J38" s="79"/>
      <c r="K38" s="83"/>
      <c r="L38" s="81"/>
      <c r="M38" s="81"/>
      <c r="N38" s="84"/>
      <c r="O38" s="71"/>
      <c r="P38" s="83"/>
      <c r="R38" s="85"/>
      <c r="U38" s="83"/>
      <c r="Z38" s="83"/>
      <c r="AE38" s="83"/>
      <c r="AJ38" s="83"/>
      <c r="AO38" s="83"/>
      <c r="AT38" s="83"/>
      <c r="AY38" s="83"/>
      <c r="BD38" s="83"/>
      <c r="BI38" s="83"/>
      <c r="BN38" s="83"/>
      <c r="BS38" s="83"/>
      <c r="BX38" s="83"/>
      <c r="CC38" s="83"/>
      <c r="CH38" s="83"/>
      <c r="CM38" s="74"/>
      <c r="CN38" s="77"/>
      <c r="CO38" s="77"/>
      <c r="CP38" s="77"/>
      <c r="CQ38" s="77"/>
      <c r="CR38" s="74"/>
      <c r="CS38" s="77"/>
      <c r="CT38" s="77"/>
      <c r="CU38" s="77"/>
      <c r="CV38" s="77"/>
      <c r="CW38" s="74"/>
      <c r="CX38" s="77"/>
      <c r="CY38" s="77"/>
      <c r="CZ38" s="77"/>
      <c r="DA38" s="77"/>
      <c r="DB38" s="74"/>
      <c r="DC38" s="77"/>
      <c r="DD38" s="77"/>
      <c r="DE38" s="77"/>
      <c r="DF38" s="77"/>
      <c r="DG38" s="74"/>
      <c r="DH38" s="77"/>
      <c r="DI38" s="77"/>
      <c r="DJ38" s="77"/>
      <c r="DK38" s="77"/>
      <c r="DL38" s="74"/>
      <c r="DM38" s="77"/>
      <c r="DN38" s="77"/>
      <c r="DO38" s="77"/>
      <c r="DP38" s="77"/>
      <c r="DQ38" s="74"/>
      <c r="DR38" s="77"/>
      <c r="DS38" s="77"/>
      <c r="DT38" s="77"/>
      <c r="DU38" s="77"/>
      <c r="DV38" s="74"/>
      <c r="DW38" s="77"/>
      <c r="DX38" s="77"/>
      <c r="DY38" s="77"/>
      <c r="DZ38" s="77"/>
      <c r="EA38" s="74"/>
      <c r="EB38" s="77"/>
      <c r="EC38" s="77"/>
      <c r="ED38" s="77"/>
      <c r="EE38" s="77"/>
      <c r="EF38" s="74"/>
    </row>
    <row r="39" spans="1:136" collapsed="1">
      <c r="A39" s="78"/>
      <c r="B39" s="79"/>
      <c r="C39" s="79"/>
      <c r="D39" s="79"/>
      <c r="E39" s="79"/>
      <c r="F39" s="89"/>
      <c r="G39" s="79"/>
      <c r="H39" s="79"/>
      <c r="I39" s="79"/>
      <c r="J39" s="79"/>
      <c r="K39" s="89"/>
      <c r="L39" s="81"/>
      <c r="M39" s="81"/>
      <c r="N39" s="82"/>
      <c r="O39" s="71"/>
      <c r="P39" s="89"/>
      <c r="R39" s="79"/>
      <c r="U39" s="89"/>
      <c r="Z39" s="89"/>
      <c r="AE39" s="89"/>
      <c r="AJ39" s="89"/>
      <c r="AO39" s="89"/>
      <c r="AT39" s="89"/>
      <c r="AY39" s="89"/>
      <c r="BD39" s="89"/>
      <c r="BI39" s="89"/>
      <c r="BN39" s="89"/>
      <c r="BS39" s="89"/>
      <c r="BX39" s="89"/>
      <c r="CC39" s="89"/>
      <c r="CH39" s="89"/>
      <c r="CM39" s="74"/>
      <c r="CN39" s="77"/>
      <c r="CO39" s="77"/>
      <c r="CP39" s="77"/>
      <c r="CQ39" s="77"/>
      <c r="CR39" s="74"/>
      <c r="CS39" s="77"/>
      <c r="CT39" s="77"/>
      <c r="CU39" s="77"/>
      <c r="CV39" s="77"/>
      <c r="CW39" s="74"/>
      <c r="CX39" s="77"/>
      <c r="CY39" s="77"/>
      <c r="CZ39" s="77"/>
      <c r="DA39" s="77"/>
      <c r="DB39" s="74"/>
      <c r="DC39" s="77"/>
      <c r="DD39" s="77"/>
      <c r="DE39" s="77"/>
      <c r="DF39" s="77"/>
      <c r="DG39" s="74"/>
      <c r="DH39" s="77"/>
      <c r="DI39" s="77"/>
      <c r="DJ39" s="77"/>
      <c r="DK39" s="77"/>
      <c r="DL39" s="74"/>
      <c r="DM39" s="77"/>
      <c r="DN39" s="77"/>
      <c r="DO39" s="77"/>
      <c r="DP39" s="77"/>
      <c r="DQ39" s="74"/>
      <c r="DR39" s="77"/>
      <c r="DS39" s="77"/>
      <c r="DT39" s="77"/>
      <c r="DU39" s="77"/>
      <c r="DV39" s="74"/>
      <c r="DW39" s="77"/>
      <c r="DX39" s="77"/>
      <c r="DY39" s="77"/>
      <c r="DZ39" s="77"/>
      <c r="EA39" s="74"/>
      <c r="EB39" s="77"/>
      <c r="EC39" s="77"/>
      <c r="ED39" s="77"/>
      <c r="EE39" s="77"/>
      <c r="EF39" s="74"/>
    </row>
    <row r="40" spans="1:136">
      <c r="A40" s="71"/>
      <c r="B40" s="79"/>
      <c r="C40" s="79"/>
      <c r="D40" s="79"/>
      <c r="E40" s="79"/>
      <c r="F40" s="83"/>
      <c r="G40" s="79"/>
      <c r="H40" s="79"/>
      <c r="I40" s="79"/>
      <c r="J40" s="79"/>
      <c r="K40" s="83"/>
      <c r="L40" s="79"/>
      <c r="M40" s="79"/>
      <c r="N40" s="84"/>
      <c r="O40" s="71"/>
      <c r="P40" s="83"/>
      <c r="R40" s="85"/>
      <c r="U40" s="83"/>
      <c r="Z40" s="83"/>
      <c r="AE40" s="83"/>
      <c r="AJ40" s="83"/>
      <c r="AO40" s="83"/>
      <c r="AT40" s="83"/>
      <c r="AY40" s="83"/>
      <c r="BD40" s="83"/>
      <c r="BI40" s="83"/>
      <c r="BN40" s="83"/>
      <c r="BS40" s="83"/>
      <c r="BX40" s="83"/>
      <c r="CC40" s="83"/>
      <c r="CH40" s="83"/>
      <c r="CM40" s="74"/>
      <c r="CN40" s="77"/>
      <c r="CO40" s="77"/>
      <c r="CP40" s="77"/>
      <c r="CQ40" s="77"/>
      <c r="CR40" s="74"/>
      <c r="CS40" s="77"/>
      <c r="CT40" s="77"/>
      <c r="CU40" s="77"/>
      <c r="CV40" s="77"/>
      <c r="CW40" s="74"/>
      <c r="CX40" s="77"/>
      <c r="CY40" s="77"/>
      <c r="CZ40" s="77"/>
      <c r="DA40" s="77"/>
      <c r="DB40" s="74"/>
      <c r="DC40" s="77"/>
      <c r="DD40" s="77"/>
      <c r="DE40" s="77"/>
      <c r="DF40" s="77"/>
      <c r="DG40" s="74"/>
      <c r="DH40" s="77"/>
      <c r="DI40" s="77"/>
      <c r="DJ40" s="77"/>
      <c r="DK40" s="77"/>
      <c r="DL40" s="74"/>
      <c r="DM40" s="77"/>
      <c r="DN40" s="77"/>
      <c r="DO40" s="77"/>
      <c r="DP40" s="77"/>
      <c r="DQ40" s="74"/>
      <c r="DR40" s="77"/>
      <c r="DS40" s="77"/>
      <c r="DT40" s="77"/>
      <c r="DU40" s="77"/>
      <c r="DV40" s="74"/>
      <c r="DW40" s="77"/>
      <c r="DX40" s="77"/>
      <c r="DY40" s="77"/>
      <c r="DZ40" s="77"/>
      <c r="EA40" s="74"/>
      <c r="EB40" s="77"/>
      <c r="EC40" s="77"/>
      <c r="ED40" s="77"/>
      <c r="EE40" s="77"/>
      <c r="EF40" s="74"/>
    </row>
    <row r="41" spans="1:136">
      <c r="A41" s="71"/>
      <c r="B41" s="79"/>
      <c r="C41" s="79"/>
      <c r="D41" s="79"/>
      <c r="E41" s="79"/>
      <c r="F41" s="83"/>
      <c r="G41" s="79"/>
      <c r="H41" s="79"/>
      <c r="I41" s="79"/>
      <c r="J41" s="79"/>
      <c r="K41" s="83"/>
      <c r="L41" s="79"/>
      <c r="M41" s="79"/>
      <c r="N41" s="84"/>
      <c r="O41" s="78"/>
      <c r="P41" s="83"/>
      <c r="R41" s="85"/>
      <c r="U41" s="83"/>
      <c r="Z41" s="83"/>
      <c r="AE41" s="83"/>
      <c r="AJ41" s="83"/>
      <c r="AO41" s="83"/>
      <c r="AT41" s="83"/>
      <c r="AY41" s="83"/>
      <c r="BD41" s="83"/>
      <c r="BI41" s="83"/>
      <c r="BN41" s="83"/>
      <c r="BS41" s="83"/>
      <c r="BX41" s="83"/>
      <c r="CC41" s="83"/>
      <c r="CH41" s="83"/>
      <c r="CM41" s="74"/>
      <c r="CN41" s="77"/>
      <c r="CO41" s="77"/>
      <c r="CP41" s="77"/>
      <c r="CQ41" s="77"/>
      <c r="CR41" s="74"/>
      <c r="CS41" s="77"/>
      <c r="CT41" s="77"/>
      <c r="CU41" s="77"/>
      <c r="CV41" s="77"/>
      <c r="CW41" s="74"/>
      <c r="CX41" s="77"/>
      <c r="CY41" s="77"/>
      <c r="CZ41" s="77"/>
      <c r="DA41" s="77"/>
      <c r="DB41" s="74"/>
      <c r="DC41" s="77"/>
      <c r="DD41" s="77"/>
      <c r="DE41" s="77"/>
      <c r="DF41" s="77"/>
      <c r="DG41" s="74"/>
      <c r="DH41" s="77"/>
      <c r="DI41" s="77"/>
      <c r="DJ41" s="77"/>
      <c r="DK41" s="77"/>
      <c r="DL41" s="74"/>
      <c r="DM41" s="77"/>
      <c r="DN41" s="77"/>
      <c r="DO41" s="77"/>
      <c r="DP41" s="77"/>
      <c r="DQ41" s="74"/>
      <c r="DR41" s="77"/>
      <c r="DS41" s="77"/>
      <c r="DT41" s="77"/>
      <c r="DU41" s="77"/>
      <c r="DV41" s="74"/>
      <c r="DW41" s="77"/>
      <c r="DX41" s="77"/>
      <c r="DY41" s="77"/>
      <c r="DZ41" s="77"/>
      <c r="EA41" s="74"/>
      <c r="EB41" s="77"/>
      <c r="EC41" s="77"/>
      <c r="ED41" s="77"/>
      <c r="EE41" s="77"/>
      <c r="EF41" s="74"/>
    </row>
    <row r="42" spans="1:136">
      <c r="A42" s="71"/>
      <c r="B42" s="79"/>
      <c r="C42" s="79"/>
      <c r="D42" s="79"/>
      <c r="E42" s="79"/>
      <c r="F42" s="89"/>
      <c r="G42" s="79"/>
      <c r="H42" s="79"/>
      <c r="I42" s="79"/>
      <c r="J42" s="79"/>
      <c r="K42" s="89"/>
      <c r="L42" s="79"/>
      <c r="M42" s="79"/>
      <c r="N42" s="84"/>
      <c r="O42" s="71"/>
      <c r="P42" s="89"/>
      <c r="R42" s="79"/>
      <c r="U42" s="89"/>
      <c r="Z42" s="89"/>
      <c r="AE42" s="89"/>
      <c r="AJ42" s="89"/>
      <c r="AO42" s="89"/>
      <c r="AT42" s="89"/>
      <c r="AY42" s="89"/>
      <c r="BD42" s="89"/>
      <c r="BI42" s="89"/>
      <c r="BN42" s="89"/>
      <c r="BS42" s="89"/>
      <c r="BX42" s="89"/>
      <c r="CC42" s="89"/>
      <c r="CH42" s="89"/>
      <c r="CM42" s="74"/>
      <c r="CN42" s="77"/>
      <c r="CO42" s="77"/>
      <c r="CP42" s="77"/>
      <c r="CQ42" s="77"/>
      <c r="CR42" s="74"/>
      <c r="CS42" s="77"/>
      <c r="CT42" s="77"/>
      <c r="CU42" s="77"/>
      <c r="CV42" s="77"/>
      <c r="CW42" s="74"/>
      <c r="CX42" s="77"/>
      <c r="CY42" s="77"/>
      <c r="CZ42" s="77"/>
      <c r="DA42" s="77"/>
      <c r="DB42" s="74"/>
      <c r="DC42" s="77"/>
      <c r="DD42" s="77"/>
      <c r="DE42" s="77"/>
      <c r="DF42" s="77"/>
      <c r="DG42" s="74"/>
      <c r="DH42" s="77"/>
      <c r="DI42" s="77"/>
      <c r="DJ42" s="77"/>
      <c r="DK42" s="77"/>
      <c r="DL42" s="74"/>
      <c r="DM42" s="77"/>
      <c r="DN42" s="77"/>
      <c r="DO42" s="77"/>
      <c r="DP42" s="77"/>
      <c r="DQ42" s="74"/>
      <c r="DR42" s="77"/>
      <c r="DS42" s="77"/>
      <c r="DT42" s="77"/>
      <c r="DU42" s="77"/>
      <c r="DV42" s="74"/>
      <c r="DW42" s="77"/>
      <c r="DX42" s="77"/>
      <c r="DY42" s="77"/>
      <c r="DZ42" s="77"/>
      <c r="EA42" s="74"/>
      <c r="EB42" s="77"/>
      <c r="EC42" s="77"/>
      <c r="ED42" s="77"/>
      <c r="EE42" s="77"/>
      <c r="EF42" s="74"/>
    </row>
    <row r="43" spans="1:136" collapsed="1">
      <c r="A43" s="71"/>
      <c r="B43" s="79"/>
      <c r="C43" s="79"/>
      <c r="D43" s="79"/>
      <c r="E43" s="79"/>
      <c r="F43" s="83"/>
      <c r="G43" s="79"/>
      <c r="H43" s="79"/>
      <c r="I43" s="79"/>
      <c r="J43" s="79"/>
      <c r="K43" s="83"/>
      <c r="L43" s="79"/>
      <c r="M43" s="79"/>
      <c r="N43" s="84"/>
      <c r="O43" s="71"/>
      <c r="P43" s="83"/>
      <c r="R43" s="85"/>
      <c r="U43" s="83"/>
      <c r="Z43" s="83"/>
      <c r="AE43" s="83"/>
      <c r="AJ43" s="83"/>
      <c r="AO43" s="83"/>
      <c r="AT43" s="83"/>
      <c r="AY43" s="83"/>
      <c r="BD43" s="83"/>
      <c r="BI43" s="83"/>
      <c r="BN43" s="83"/>
      <c r="BS43" s="83"/>
      <c r="BX43" s="83"/>
      <c r="CC43" s="83"/>
      <c r="CH43" s="83"/>
    </row>
    <row r="44" spans="1:136">
      <c r="A44" s="71"/>
      <c r="B44" s="79"/>
      <c r="C44" s="79"/>
      <c r="D44" s="79"/>
      <c r="E44" s="79"/>
      <c r="F44" s="83"/>
      <c r="G44" s="79"/>
      <c r="H44" s="79"/>
      <c r="I44" s="79"/>
      <c r="J44" s="79"/>
      <c r="K44" s="83"/>
      <c r="L44" s="79"/>
      <c r="M44" s="79"/>
      <c r="N44" s="87"/>
      <c r="O44" s="71"/>
      <c r="P44" s="83"/>
      <c r="R44" s="85"/>
      <c r="U44" s="83"/>
      <c r="Z44" s="83"/>
      <c r="AE44" s="83"/>
      <c r="AJ44" s="83"/>
      <c r="AO44" s="83"/>
      <c r="AT44" s="83"/>
      <c r="AY44" s="83"/>
      <c r="BD44" s="83"/>
      <c r="BI44" s="83"/>
      <c r="BN44" s="83"/>
      <c r="BS44" s="83"/>
      <c r="BX44" s="83"/>
      <c r="CC44" s="83"/>
      <c r="CH44" s="83"/>
    </row>
    <row r="45" spans="1:136">
      <c r="A45" s="78"/>
      <c r="B45" s="79"/>
      <c r="C45" s="79"/>
      <c r="D45" s="79"/>
      <c r="E45" s="79"/>
      <c r="F45" s="86"/>
      <c r="G45" s="79"/>
      <c r="H45" s="79"/>
      <c r="I45" s="79"/>
      <c r="J45" s="79"/>
      <c r="K45" s="86"/>
      <c r="L45" s="81"/>
      <c r="M45" s="81"/>
      <c r="N45" s="84"/>
      <c r="O45" s="71"/>
      <c r="P45" s="86"/>
      <c r="R45" s="88"/>
      <c r="U45" s="86"/>
      <c r="Z45" s="86"/>
      <c r="AE45" s="86"/>
      <c r="AJ45" s="86"/>
      <c r="AO45" s="86"/>
      <c r="AT45" s="86"/>
      <c r="AY45" s="86"/>
      <c r="BD45" s="86"/>
      <c r="BI45" s="86"/>
      <c r="BN45" s="86"/>
      <c r="BS45" s="86"/>
      <c r="BX45" s="86"/>
      <c r="CC45" s="86"/>
      <c r="CH45" s="86"/>
    </row>
    <row r="46" spans="1:136">
      <c r="A46" s="78"/>
      <c r="B46" s="79"/>
      <c r="C46" s="79"/>
      <c r="D46" s="79"/>
      <c r="E46" s="79"/>
      <c r="F46" s="83"/>
      <c r="G46" s="79"/>
      <c r="H46" s="79"/>
      <c r="I46" s="79"/>
      <c r="J46" s="79"/>
      <c r="K46" s="83"/>
      <c r="L46" s="81"/>
      <c r="M46" s="81"/>
      <c r="N46" s="84"/>
      <c r="O46" s="78"/>
      <c r="P46" s="83"/>
      <c r="R46" s="85"/>
      <c r="U46" s="83"/>
      <c r="V46" s="85"/>
      <c r="W46" s="85"/>
      <c r="X46" s="85"/>
      <c r="Y46" s="85"/>
      <c r="Z46" s="83"/>
      <c r="AA46" s="85"/>
      <c r="AB46" s="85"/>
      <c r="AC46" s="85"/>
      <c r="AD46" s="85"/>
      <c r="AE46" s="83"/>
      <c r="AF46" s="85"/>
      <c r="AG46" s="85"/>
      <c r="AH46" s="85"/>
      <c r="AI46" s="85"/>
      <c r="AJ46" s="83"/>
      <c r="AK46" s="85"/>
      <c r="AL46" s="85"/>
      <c r="AM46" s="85"/>
      <c r="AN46" s="85"/>
      <c r="AO46" s="83"/>
      <c r="AP46" s="85"/>
      <c r="AQ46" s="85"/>
      <c r="AR46" s="85"/>
      <c r="AS46" s="85"/>
      <c r="AT46" s="83"/>
      <c r="AU46" s="85"/>
      <c r="AV46" s="85"/>
      <c r="AW46" s="85"/>
      <c r="AX46" s="85"/>
      <c r="AY46" s="83"/>
      <c r="AZ46" s="85"/>
      <c r="BA46" s="85"/>
      <c r="BB46" s="85"/>
      <c r="BC46" s="85"/>
      <c r="BD46" s="83"/>
      <c r="BE46" s="85"/>
      <c r="BF46" s="85"/>
      <c r="BG46" s="85"/>
      <c r="BH46" s="85"/>
      <c r="BI46" s="83"/>
      <c r="BJ46" s="85"/>
      <c r="BK46" s="85"/>
      <c r="BL46" s="85"/>
      <c r="BM46" s="85"/>
      <c r="BN46" s="83"/>
      <c r="BO46" s="85"/>
      <c r="BP46" s="85"/>
      <c r="BQ46" s="85"/>
      <c r="BR46" s="85"/>
      <c r="BS46" s="83"/>
      <c r="BT46" s="85"/>
      <c r="BU46" s="85"/>
      <c r="BV46" s="85"/>
      <c r="BW46" s="85"/>
      <c r="BX46" s="83"/>
      <c r="BY46" s="85"/>
      <c r="BZ46" s="85"/>
      <c r="CA46" s="85"/>
      <c r="CB46" s="85"/>
      <c r="CC46" s="83"/>
      <c r="CD46" s="85"/>
      <c r="CE46" s="85"/>
      <c r="CF46" s="85"/>
      <c r="CG46" s="85"/>
      <c r="CH46" s="83"/>
    </row>
    <row r="47" spans="1:136">
      <c r="A47" s="78"/>
      <c r="B47" s="81"/>
      <c r="C47" s="81"/>
      <c r="D47" s="81"/>
      <c r="E47" s="81"/>
      <c r="F47" s="83"/>
      <c r="G47" s="81"/>
      <c r="H47" s="81"/>
      <c r="I47" s="81"/>
      <c r="J47" s="81"/>
      <c r="K47" s="83"/>
      <c r="L47" s="81"/>
      <c r="M47" s="81"/>
      <c r="N47" s="84"/>
      <c r="O47" s="78"/>
      <c r="P47" s="83"/>
      <c r="R47" s="85"/>
      <c r="U47" s="83"/>
      <c r="V47" s="85"/>
      <c r="W47" s="85"/>
      <c r="X47" s="85"/>
      <c r="Y47" s="85"/>
      <c r="Z47" s="83"/>
      <c r="AA47" s="85"/>
      <c r="AB47" s="85"/>
      <c r="AC47" s="85"/>
      <c r="AD47" s="85"/>
      <c r="AE47" s="83"/>
      <c r="AF47" s="85"/>
      <c r="AG47" s="85"/>
      <c r="AH47" s="85"/>
      <c r="AI47" s="85"/>
      <c r="AJ47" s="83"/>
      <c r="AK47" s="85"/>
      <c r="AL47" s="85"/>
      <c r="AM47" s="85"/>
      <c r="AN47" s="85"/>
      <c r="AO47" s="83"/>
      <c r="AP47" s="85"/>
      <c r="AQ47" s="85"/>
      <c r="AR47" s="85"/>
      <c r="AS47" s="85"/>
      <c r="AT47" s="83"/>
      <c r="AU47" s="85"/>
      <c r="AV47" s="85"/>
      <c r="AW47" s="85"/>
      <c r="AX47" s="85"/>
      <c r="AY47" s="83"/>
      <c r="AZ47" s="85"/>
      <c r="BA47" s="85"/>
      <c r="BB47" s="85"/>
      <c r="BC47" s="85"/>
      <c r="BD47" s="83"/>
      <c r="BE47" s="85"/>
      <c r="BF47" s="85"/>
      <c r="BG47" s="85"/>
      <c r="BH47" s="85"/>
      <c r="BI47" s="83"/>
      <c r="BJ47" s="85"/>
      <c r="BK47" s="85"/>
      <c r="BL47" s="85"/>
      <c r="BM47" s="85"/>
      <c r="BN47" s="83"/>
      <c r="BO47" s="85"/>
      <c r="BP47" s="85"/>
      <c r="BQ47" s="85"/>
      <c r="BR47" s="85"/>
      <c r="BS47" s="83"/>
      <c r="BT47" s="85"/>
      <c r="BU47" s="85"/>
      <c r="BV47" s="85"/>
      <c r="BW47" s="85"/>
      <c r="BX47" s="83"/>
      <c r="BY47" s="85"/>
      <c r="BZ47" s="85"/>
      <c r="CA47" s="85"/>
      <c r="CB47" s="85"/>
      <c r="CC47" s="83"/>
      <c r="CD47" s="85"/>
      <c r="CE47" s="85"/>
      <c r="CF47" s="85"/>
      <c r="CG47" s="85"/>
      <c r="CH47" s="83"/>
    </row>
    <row r="48" spans="1:136" collapsed="1">
      <c r="A48" s="71"/>
      <c r="B48" s="79"/>
      <c r="C48" s="79"/>
      <c r="D48" s="79"/>
      <c r="E48" s="79"/>
      <c r="F48" s="83"/>
      <c r="G48" s="79"/>
      <c r="H48" s="79"/>
      <c r="I48" s="79"/>
      <c r="J48" s="79"/>
      <c r="K48" s="83"/>
      <c r="L48" s="79"/>
      <c r="M48" s="79"/>
      <c r="N48" s="84"/>
      <c r="O48" s="71"/>
      <c r="P48" s="83"/>
      <c r="R48" s="85"/>
      <c r="U48" s="83"/>
      <c r="Z48" s="83"/>
      <c r="AE48" s="83"/>
      <c r="AJ48" s="83"/>
      <c r="AO48" s="83"/>
      <c r="AT48" s="83"/>
      <c r="AY48" s="83"/>
      <c r="BD48" s="83"/>
      <c r="BI48" s="83"/>
      <c r="BN48" s="83"/>
      <c r="BS48" s="83"/>
      <c r="BX48" s="83"/>
      <c r="CC48" s="83"/>
      <c r="CH48" s="83"/>
    </row>
    <row r="49" spans="1:86">
      <c r="A49" s="71"/>
      <c r="B49" s="79"/>
      <c r="C49" s="79"/>
      <c r="D49" s="79"/>
      <c r="E49" s="79"/>
      <c r="F49" s="83"/>
      <c r="G49" s="79"/>
      <c r="H49" s="79"/>
      <c r="I49" s="79"/>
      <c r="J49" s="79"/>
      <c r="K49" s="83"/>
      <c r="L49" s="79"/>
      <c r="M49" s="79"/>
      <c r="N49" s="87"/>
      <c r="O49" s="71"/>
      <c r="P49" s="83"/>
      <c r="R49" s="85"/>
      <c r="U49" s="83"/>
      <c r="Z49" s="83"/>
      <c r="AE49" s="83"/>
      <c r="AJ49" s="83"/>
      <c r="AO49" s="83"/>
      <c r="AT49" s="83"/>
      <c r="AY49" s="83"/>
      <c r="BD49" s="83"/>
      <c r="BI49" s="83"/>
      <c r="BN49" s="83"/>
      <c r="BS49" s="83"/>
      <c r="BX49" s="83"/>
      <c r="CC49" s="83"/>
      <c r="CH49" s="83"/>
    </row>
    <row r="50" spans="1:86">
      <c r="A50" s="71"/>
      <c r="B50" s="79"/>
      <c r="C50" s="79"/>
      <c r="D50" s="79"/>
      <c r="E50" s="79"/>
      <c r="F50" s="83"/>
      <c r="G50" s="79"/>
      <c r="H50" s="79"/>
      <c r="I50" s="79"/>
      <c r="J50" s="79"/>
      <c r="K50" s="83"/>
      <c r="L50" s="79"/>
      <c r="M50" s="79"/>
      <c r="N50" s="84"/>
      <c r="O50" s="71"/>
      <c r="P50" s="83"/>
      <c r="R50" s="85"/>
      <c r="U50" s="83"/>
      <c r="Z50" s="83"/>
      <c r="AE50" s="83"/>
      <c r="AJ50" s="83"/>
      <c r="AO50" s="83"/>
      <c r="AT50" s="83"/>
      <c r="AY50" s="83"/>
      <c r="BD50" s="83"/>
      <c r="BI50" s="83"/>
      <c r="BN50" s="83"/>
      <c r="BS50" s="83"/>
      <c r="BX50" s="83"/>
      <c r="CC50" s="83"/>
      <c r="CH50" s="83"/>
    </row>
  </sheetData>
  <phoneticPr fontId="4" type="noConversion"/>
  <pageMargins left="0.75" right="0.75" top="1" bottom="1" header="0.5" footer="0.5"/>
  <pageSetup orientation="portrait" horizont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O189"/>
  <sheetViews>
    <sheetView tabSelected="1" zoomScaleNormal="100" workbookViewId="0">
      <pane xSplit="1" ySplit="3" topLeftCell="CW16" activePane="bottomRight" state="frozen"/>
      <selection activeCell="Q13" sqref="Q13"/>
      <selection pane="topRight" activeCell="Q13" sqref="Q13"/>
      <selection pane="bottomLeft" activeCell="Q13" sqref="Q13"/>
      <selection pane="bottomRight" activeCell="DL10" sqref="DL10"/>
    </sheetView>
  </sheetViews>
  <sheetFormatPr defaultColWidth="10.7109375" defaultRowHeight="12.75" customHeight="1" outlineLevelRow="2" outlineLevelCol="1"/>
  <cols>
    <col min="1" max="1" width="30.7109375" style="66" customWidth="1"/>
    <col min="2" max="5" width="10.7109375" style="66" hidden="1" customWidth="1" outlineLevel="1"/>
    <col min="6" max="6" width="10.7109375" style="67" customWidth="1" collapsed="1"/>
    <col min="7" max="10" width="10.7109375" style="66" hidden="1" customWidth="1" outlineLevel="1"/>
    <col min="11" max="11" width="10.7109375" style="67" customWidth="1" collapsed="1"/>
    <col min="12" max="15" width="10.7109375" style="66" hidden="1" customWidth="1" outlineLevel="1"/>
    <col min="16" max="16" width="10.7109375" style="67" customWidth="1" collapsed="1"/>
    <col min="17" max="20" width="10.7109375" style="66" hidden="1" customWidth="1" outlineLevel="1"/>
    <col min="21" max="21" width="10.7109375" style="67" customWidth="1" collapsed="1"/>
    <col min="22" max="25" width="10.7109375" style="66" hidden="1" customWidth="1" outlineLevel="1"/>
    <col min="26" max="26" width="10.7109375" style="67" customWidth="1" collapsed="1"/>
    <col min="27" max="30" width="10.7109375" style="66" hidden="1" customWidth="1" outlineLevel="1"/>
    <col min="31" max="31" width="10.7109375" style="67" customWidth="1" collapsed="1"/>
    <col min="32" max="35" width="10.7109375" style="66" hidden="1" customWidth="1" outlineLevel="1"/>
    <col min="36" max="36" width="10.7109375" style="67" customWidth="1" collapsed="1"/>
    <col min="37" max="40" width="10.7109375" style="66" hidden="1" customWidth="1" outlineLevel="1"/>
    <col min="41" max="41" width="10.7109375" style="67" customWidth="1" collapsed="1"/>
    <col min="42" max="45" width="10.7109375" style="66" hidden="1" customWidth="1" outlineLevel="1"/>
    <col min="46" max="46" width="10.7109375" style="67" customWidth="1" collapsed="1"/>
    <col min="47" max="50" width="10.7109375" style="66" hidden="1" customWidth="1" outlineLevel="1"/>
    <col min="51" max="51" width="10.7109375" style="67" customWidth="1" collapsed="1"/>
    <col min="52" max="55" width="10.7109375" style="66" hidden="1" customWidth="1" outlineLevel="1"/>
    <col min="56" max="56" width="10.7109375" style="67" customWidth="1" collapsed="1"/>
    <col min="57" max="60" width="10.7109375" style="66" hidden="1" customWidth="1" outlineLevel="1"/>
    <col min="61" max="61" width="10.7109375" style="67" customWidth="1" collapsed="1"/>
    <col min="62" max="65" width="10.7109375" style="66" hidden="1" customWidth="1" outlineLevel="1"/>
    <col min="66" max="66" width="10.7109375" style="67" customWidth="1" collapsed="1"/>
    <col min="67" max="70" width="10.7109375" style="66" hidden="1" customWidth="1" outlineLevel="1"/>
    <col min="71" max="71" width="10.7109375" style="67" customWidth="1" collapsed="1"/>
    <col min="72" max="75" width="10.7109375" style="66" hidden="1" customWidth="1" outlineLevel="1"/>
    <col min="76" max="76" width="10.7109375" style="67" customWidth="1" collapsed="1"/>
    <col min="77" max="80" width="10.7109375" style="66" hidden="1" customWidth="1" outlineLevel="1"/>
    <col min="81" max="81" width="10.7109375" style="67" customWidth="1" collapsed="1"/>
    <col min="82" max="85" width="10.7109375" style="66" hidden="1" customWidth="1" outlineLevel="1"/>
    <col min="86" max="86" width="10.7109375" style="66" collapsed="1"/>
    <col min="87" max="90" width="10.7109375" style="66" hidden="1" customWidth="1" outlineLevel="1"/>
    <col min="91" max="91" width="10.7109375" style="66" collapsed="1"/>
    <col min="92" max="95" width="10.7109375" style="66" hidden="1" customWidth="1" outlineLevel="1"/>
    <col min="96" max="96" width="10.7109375" style="66" collapsed="1"/>
    <col min="97" max="100" width="10.7109375" style="66" hidden="1" customWidth="1" outlineLevel="1"/>
    <col min="101" max="101" width="10.7109375" style="66" collapsed="1"/>
    <col min="102" max="105" width="10.7109375" style="66" hidden="1" customWidth="1" outlineLevel="1"/>
    <col min="106" max="106" width="10.7109375" style="66" collapsed="1"/>
    <col min="107" max="110" width="10.7109375" style="66" customWidth="1" outlineLevel="1"/>
    <col min="111" max="111" width="10.7109375" style="66"/>
    <col min="112" max="115" width="10.7109375" style="66" customWidth="1" outlineLevel="1"/>
    <col min="116" max="116" width="10.7109375" style="66"/>
    <col min="117" max="120" width="10.7109375" style="66" customWidth="1" outlineLevel="1"/>
    <col min="121" max="121" width="10.7109375" style="66"/>
    <col min="122" max="125" width="10.7109375" style="66" hidden="1" customWidth="1" outlineLevel="1"/>
    <col min="126" max="126" width="10.7109375" style="66" collapsed="1"/>
    <col min="127" max="130" width="10.7109375" style="66" hidden="1" customWidth="1" outlineLevel="1"/>
    <col min="131" max="131" width="10.7109375" style="66" collapsed="1"/>
    <col min="132" max="135" width="10.7109375" style="66" hidden="1" customWidth="1" outlineLevel="1"/>
    <col min="136" max="136" width="10.7109375" style="66" collapsed="1"/>
    <col min="137" max="16384" width="10.7109375" style="66"/>
  </cols>
  <sheetData>
    <row r="1" spans="1:139" ht="30" customHeight="1">
      <c r="AK1" s="335"/>
      <c r="AL1" s="156"/>
      <c r="AO1" s="130"/>
      <c r="AP1" s="335"/>
      <c r="AQ1" s="156"/>
      <c r="AU1" s="335"/>
      <c r="AV1" s="156"/>
      <c r="AZ1" s="335"/>
      <c r="BA1" s="156"/>
      <c r="BE1" s="335"/>
      <c r="BF1" s="156"/>
      <c r="BJ1" s="335"/>
      <c r="BK1" s="156"/>
      <c r="BN1" s="134"/>
      <c r="BO1" s="335"/>
      <c r="BP1" s="156"/>
      <c r="BS1" s="67">
        <f>48+16-31</f>
        <v>33</v>
      </c>
      <c r="BT1" s="335"/>
      <c r="BU1" s="156"/>
      <c r="BY1" s="513"/>
      <c r="BZ1" s="513"/>
      <c r="CA1" s="513"/>
      <c r="CB1" s="513"/>
      <c r="CD1" s="513"/>
      <c r="CE1" s="513"/>
      <c r="CF1" s="513"/>
      <c r="CG1" s="513"/>
      <c r="CH1" s="67"/>
      <c r="CI1" s="513"/>
      <c r="CJ1" s="513"/>
      <c r="CK1" s="190"/>
      <c r="CL1" s="513"/>
      <c r="CM1" s="67"/>
      <c r="CN1" s="513"/>
      <c r="CO1" s="129"/>
      <c r="CP1" s="513"/>
      <c r="CQ1" s="513"/>
      <c r="CR1" s="67"/>
      <c r="CS1" s="513"/>
      <c r="CT1" s="513"/>
      <c r="CU1" s="513"/>
      <c r="CV1" s="513"/>
      <c r="CW1" s="67"/>
      <c r="CX1" s="513"/>
      <c r="CY1" s="513"/>
      <c r="CZ1" s="513"/>
      <c r="DA1" s="513"/>
      <c r="DB1" s="604">
        <f>DB10/CW10-1</f>
        <v>0.2739599331424718</v>
      </c>
      <c r="DC1" s="513"/>
      <c r="DD1" s="513"/>
      <c r="DE1" s="513"/>
      <c r="DF1" s="513"/>
      <c r="DG1" s="604">
        <f>DG10/DB10-1</f>
        <v>0.18301068281860911</v>
      </c>
      <c r="DH1" s="513"/>
      <c r="DI1" s="513"/>
      <c r="DJ1" s="513"/>
      <c r="DK1" s="513"/>
      <c r="DL1" s="67"/>
      <c r="DM1" s="513"/>
      <c r="DN1" s="513"/>
      <c r="DO1" s="513"/>
      <c r="DP1" s="513"/>
      <c r="DQ1" s="67"/>
      <c r="DR1" s="513"/>
      <c r="DS1" s="513"/>
      <c r="DT1" s="513"/>
      <c r="DU1" s="513"/>
      <c r="DV1" s="67"/>
      <c r="DW1" s="513"/>
      <c r="DX1" s="513"/>
      <c r="DY1" s="513"/>
      <c r="DZ1" s="513"/>
      <c r="EA1" s="67"/>
      <c r="EB1" s="513"/>
      <c r="EC1" s="513"/>
      <c r="ED1" s="513"/>
      <c r="EE1" s="513"/>
      <c r="EF1" s="67"/>
    </row>
    <row r="2" spans="1:139" ht="12.75" customHeight="1">
      <c r="A2" s="68" t="str">
        <f ca="1">DCF!$A$2</f>
        <v>Cyrela - TP: R$35</v>
      </c>
      <c r="F2" s="91"/>
      <c r="K2" s="91"/>
      <c r="L2" s="90"/>
      <c r="M2" s="90"/>
      <c r="N2" s="90"/>
      <c r="O2" s="90"/>
      <c r="P2" s="91"/>
      <c r="Q2" s="90"/>
      <c r="R2" s="90"/>
      <c r="S2" s="90"/>
      <c r="T2" s="90"/>
      <c r="U2" s="111">
        <f>U15/U10</f>
        <v>0.38876999648243044</v>
      </c>
      <c r="V2" s="90"/>
      <c r="W2" s="90"/>
      <c r="X2" s="90"/>
      <c r="Y2" s="90"/>
      <c r="Z2" s="111">
        <f>Z15/Z10</f>
        <v>0.38019400577571227</v>
      </c>
      <c r="AA2" s="90"/>
      <c r="AB2" s="90"/>
      <c r="AC2" s="90"/>
      <c r="AD2" s="90"/>
      <c r="AE2" s="111">
        <f>AE15/AE10</f>
        <v>0.34474420994049404</v>
      </c>
      <c r="AF2" s="90"/>
      <c r="AG2" s="90"/>
      <c r="AH2" s="90"/>
      <c r="AI2" s="90"/>
      <c r="AJ2" s="111">
        <f t="shared" ref="AJ2:AO2" si="0">AJ15/AJ10</f>
        <v>0.31423251647970751</v>
      </c>
      <c r="AK2" s="122">
        <f t="shared" si="0"/>
        <v>0.27375822616348888</v>
      </c>
      <c r="AL2" s="122">
        <f t="shared" si="0"/>
        <v>0.27659297526039783</v>
      </c>
      <c r="AM2" s="122">
        <f t="shared" si="0"/>
        <v>0.28594538863120206</v>
      </c>
      <c r="AN2" s="122">
        <f t="shared" si="0"/>
        <v>0.29054933243528153</v>
      </c>
      <c r="AO2" s="111">
        <f t="shared" si="0"/>
        <v>0.28293650450375163</v>
      </c>
      <c r="AP2" s="122"/>
      <c r="AQ2" s="122"/>
      <c r="AR2" s="122"/>
      <c r="AS2" s="122"/>
      <c r="AT2" s="111">
        <f>AT15/AT10</f>
        <v>0.32290354199129756</v>
      </c>
      <c r="AU2" s="122"/>
      <c r="AV2" s="122"/>
      <c r="AW2" s="122">
        <f>AW15/AW10</f>
        <v>0.32790753043498216</v>
      </c>
      <c r="AX2" s="122">
        <f>AX15/AX10</f>
        <v>0.32903727210906381</v>
      </c>
      <c r="AY2" s="111">
        <f>AY15/AY10</f>
        <v>0.3274995616061559</v>
      </c>
      <c r="AZ2" s="122">
        <f>AZ15/AZ10</f>
        <v>0.33272589598908892</v>
      </c>
      <c r="BA2" s="122">
        <f t="shared" ref="BA2:BF2" si="1">BA15/BA10</f>
        <v>0.33390388646066388</v>
      </c>
      <c r="BB2" s="122">
        <f t="shared" si="1"/>
        <v>0.2991461836678036</v>
      </c>
      <c r="BC2" s="122">
        <f t="shared" si="1"/>
        <v>0.32329024173199228</v>
      </c>
      <c r="BD2" s="111">
        <f t="shared" si="1"/>
        <v>0.32120478651588441</v>
      </c>
      <c r="BE2" s="122">
        <f t="shared" si="1"/>
        <v>0.34834440028824959</v>
      </c>
      <c r="BF2" s="122">
        <f t="shared" si="1"/>
        <v>0.35076203125123606</v>
      </c>
      <c r="BG2" s="122">
        <f t="shared" ref="BG2:BN2" si="2">BG15/BG10</f>
        <v>0.34675446699708984</v>
      </c>
      <c r="BH2" s="122">
        <f t="shared" si="2"/>
        <v>0.33855382638852499</v>
      </c>
      <c r="BI2" s="111">
        <f t="shared" si="2"/>
        <v>0.34623710950745235</v>
      </c>
      <c r="BJ2" s="122">
        <f t="shared" si="2"/>
        <v>0.3481669063754308</v>
      </c>
      <c r="BK2" s="122">
        <f t="shared" si="2"/>
        <v>0.39612625247062166</v>
      </c>
      <c r="BL2" s="122">
        <f t="shared" si="2"/>
        <v>0.31694808603709718</v>
      </c>
      <c r="BM2" s="122">
        <f t="shared" si="2"/>
        <v>0.28833410973873597</v>
      </c>
      <c r="BN2" s="111">
        <f t="shared" si="2"/>
        <v>0.33252579561920442</v>
      </c>
      <c r="BO2" s="122">
        <f t="shared" ref="BO2:BW2" si="3">BO15/BO10</f>
        <v>0.31054453650920655</v>
      </c>
      <c r="BP2" s="122">
        <f t="shared" si="3"/>
        <v>0.2672247005685891</v>
      </c>
      <c r="BQ2" s="122">
        <f t="shared" si="3"/>
        <v>0.2464458781553861</v>
      </c>
      <c r="BR2" s="122">
        <f t="shared" si="3"/>
        <v>0.27024604352126608</v>
      </c>
      <c r="BS2" s="111">
        <f t="shared" si="3"/>
        <v>0.27471061460035828</v>
      </c>
      <c r="BT2" s="122">
        <f t="shared" si="3"/>
        <v>0.27691280052904654</v>
      </c>
      <c r="BU2" s="122">
        <f t="shared" si="3"/>
        <v>0.26784449423725526</v>
      </c>
      <c r="BV2" s="122">
        <f t="shared" si="3"/>
        <v>0.28251784913599837</v>
      </c>
      <c r="BW2" s="122">
        <f t="shared" si="3"/>
        <v>0.29157023350981415</v>
      </c>
      <c r="BX2" s="111">
        <f t="shared" ref="BX2:CC2" si="4">BX15/BX10</f>
        <v>0.28177135611932547</v>
      </c>
      <c r="BY2" s="122">
        <f t="shared" si="4"/>
        <v>0.30123233555545875</v>
      </c>
      <c r="BZ2" s="122">
        <f t="shared" si="4"/>
        <v>0.31278359893318758</v>
      </c>
      <c r="CA2" s="122">
        <f t="shared" si="4"/>
        <v>0.30909250405719552</v>
      </c>
      <c r="CB2" s="122">
        <f t="shared" si="4"/>
        <v>0.31214411866306196</v>
      </c>
      <c r="CC2" s="111">
        <f t="shared" si="4"/>
        <v>0.30927721751907933</v>
      </c>
      <c r="CD2" s="122">
        <f>CD15/CD10</f>
        <v>0.34109616805382115</v>
      </c>
      <c r="CE2" s="122">
        <f>CE15/CE10</f>
        <v>0.32769239206111528</v>
      </c>
      <c r="CF2" s="122">
        <f>CF15/CF10</f>
        <v>0.32538033851223419</v>
      </c>
      <c r="CG2" s="122">
        <f>CG15/CG10</f>
        <v>0.31806403376773329</v>
      </c>
      <c r="CH2" s="111">
        <f>CH15/CH10</f>
        <v>0.3270089986233215</v>
      </c>
      <c r="CI2" s="122">
        <f t="shared" ref="CI2:CQ2" si="5">CI15/CI10</f>
        <v>0.3452515213224247</v>
      </c>
      <c r="CJ2" s="122">
        <f t="shared" si="5"/>
        <v>0.36571662553647616</v>
      </c>
      <c r="CK2" s="122">
        <f t="shared" si="5"/>
        <v>0.34687764633376772</v>
      </c>
      <c r="CL2" s="122">
        <f t="shared" si="5"/>
        <v>0.33423378745890431</v>
      </c>
      <c r="CM2" s="111">
        <f t="shared" si="5"/>
        <v>0.34770988677751863</v>
      </c>
      <c r="CN2" s="122">
        <f t="shared" si="5"/>
        <v>0.3114110154491691</v>
      </c>
      <c r="CO2" s="122">
        <f t="shared" si="5"/>
        <v>0.31304401387747854</v>
      </c>
      <c r="CP2" s="122">
        <f t="shared" si="5"/>
        <v>0.33878500478314283</v>
      </c>
      <c r="CQ2" s="122">
        <f t="shared" si="5"/>
        <v>0.31416731586763885</v>
      </c>
      <c r="CR2" s="111">
        <f t="shared" ref="CR2:DG2" si="6">CR15/CR10</f>
        <v>0.32037462850786957</v>
      </c>
      <c r="CS2" s="122">
        <f t="shared" si="6"/>
        <v>0.3073546897133142</v>
      </c>
      <c r="CT2" s="122">
        <f t="shared" si="6"/>
        <v>0.32276194004488518</v>
      </c>
      <c r="CU2" s="122">
        <f t="shared" si="6"/>
        <v>0.33546639671780892</v>
      </c>
      <c r="CV2" s="122">
        <f t="shared" si="6"/>
        <v>0.33713574365100385</v>
      </c>
      <c r="CW2" s="111">
        <f t="shared" si="6"/>
        <v>0.32683469970328016</v>
      </c>
      <c r="CX2" s="122">
        <f>CX15/CX10</f>
        <v>0.3137634615054507</v>
      </c>
      <c r="CY2" s="122">
        <f t="shared" si="6"/>
        <v>0.32852664475508886</v>
      </c>
      <c r="CZ2" s="122">
        <f t="shared" si="6"/>
        <v>0.33314348131772409</v>
      </c>
      <c r="DA2" s="122">
        <f t="shared" si="6"/>
        <v>0.31925982406517417</v>
      </c>
      <c r="DB2" s="111">
        <f t="shared" si="6"/>
        <v>0.32387221292121909</v>
      </c>
      <c r="DC2" s="122">
        <f t="shared" si="6"/>
        <v>0.32484493615138493</v>
      </c>
      <c r="DD2" s="122">
        <f t="shared" si="6"/>
        <v>0.32738179419399849</v>
      </c>
      <c r="DE2" s="122">
        <f t="shared" si="6"/>
        <v>0.33001260074251354</v>
      </c>
      <c r="DF2" s="122">
        <f t="shared" si="6"/>
        <v>0.32251124669028619</v>
      </c>
      <c r="DG2" s="111">
        <f t="shared" si="6"/>
        <v>0.32577820922897599</v>
      </c>
      <c r="DH2" s="122">
        <f>DH15/DH10</f>
        <v>0.32884698669108109</v>
      </c>
      <c r="DI2" s="122">
        <f>DI15/DI10</f>
        <v>0.34379820635575165</v>
      </c>
      <c r="DJ2" s="122">
        <f>DJ15/DJ10</f>
        <v>0.33209049807463287</v>
      </c>
      <c r="DK2" s="122">
        <f>DK15/DK10</f>
        <v>0.33235953113357319</v>
      </c>
      <c r="DL2" s="111">
        <f>DL15/DL10</f>
        <v>0.33436801833590168</v>
      </c>
      <c r="DM2" s="122">
        <f t="shared" ref="DM2:EF2" si="7">DM15/DM10</f>
        <v>0.32901316757644855</v>
      </c>
      <c r="DN2" s="122">
        <f t="shared" si="7"/>
        <v>0.32856383141304674</v>
      </c>
      <c r="DO2" s="122">
        <f t="shared" si="7"/>
        <v>0.32798059152084169</v>
      </c>
      <c r="DP2" s="122">
        <f t="shared" si="7"/>
        <v>0.32712063697028188</v>
      </c>
      <c r="DQ2" s="111">
        <f t="shared" si="7"/>
        <v>0.32812727246317741</v>
      </c>
      <c r="DR2" s="122">
        <f t="shared" si="7"/>
        <v>0.33250143965720008</v>
      </c>
      <c r="DS2" s="122">
        <f t="shared" si="7"/>
        <v>0.33176607607486985</v>
      </c>
      <c r="DT2" s="122">
        <f t="shared" si="7"/>
        <v>0.33102227311150806</v>
      </c>
      <c r="DU2" s="122">
        <f t="shared" si="7"/>
        <v>0.32975077341222225</v>
      </c>
      <c r="DV2" s="111">
        <f t="shared" si="7"/>
        <v>0.33120746533374035</v>
      </c>
      <c r="DW2" s="122">
        <f t="shared" si="7"/>
        <v>0.3300038486713161</v>
      </c>
      <c r="DX2" s="122">
        <f t="shared" si="7"/>
        <v>0.32955783666003569</v>
      </c>
      <c r="DY2" s="122">
        <f t="shared" si="7"/>
        <v>0.32907691826533864</v>
      </c>
      <c r="DZ2" s="122">
        <f t="shared" si="7"/>
        <v>0.32799982892000357</v>
      </c>
      <c r="EA2" s="111">
        <f t="shared" si="7"/>
        <v>0.32912357879749843</v>
      </c>
      <c r="EB2" s="122">
        <f t="shared" si="7"/>
        <v>0.32849851975850025</v>
      </c>
      <c r="EC2" s="122">
        <f t="shared" si="7"/>
        <v>0.32820374130676544</v>
      </c>
      <c r="ED2" s="122">
        <f t="shared" si="7"/>
        <v>0.32786604279456705</v>
      </c>
      <c r="EE2" s="122">
        <f t="shared" si="7"/>
        <v>0.32691108970077343</v>
      </c>
      <c r="EF2" s="111">
        <f t="shared" si="7"/>
        <v>0.32784265898646092</v>
      </c>
    </row>
    <row r="3" spans="1:139" s="70" customFormat="1" ht="12.75" customHeight="1" thickBot="1">
      <c r="A3" s="69"/>
      <c r="B3" s="93" t="str">
        <f>Macro!B$3</f>
        <v>1Q04</v>
      </c>
      <c r="C3" s="93" t="str">
        <f>Macro!C$3</f>
        <v>2Q04</v>
      </c>
      <c r="D3" s="93" t="str">
        <f>Macro!D$3</f>
        <v>3Q04</v>
      </c>
      <c r="E3" s="93" t="str">
        <f>Macro!E$3</f>
        <v>4Q04</v>
      </c>
      <c r="F3" s="92" t="str">
        <f>Macro!F$3</f>
        <v>2004</v>
      </c>
      <c r="G3" s="93" t="str">
        <f>Macro!G$3</f>
        <v>1Q05</v>
      </c>
      <c r="H3" s="93" t="str">
        <f>Macro!H$3</f>
        <v>2Q05</v>
      </c>
      <c r="I3" s="93" t="str">
        <f>Macro!I$3</f>
        <v>3Q05</v>
      </c>
      <c r="J3" s="93" t="str">
        <f>Macro!J$3</f>
        <v>4Q05</v>
      </c>
      <c r="K3" s="92" t="str">
        <f>Macro!K$3</f>
        <v>2005</v>
      </c>
      <c r="L3" s="93" t="str">
        <f>Macro!L$3</f>
        <v>1Q06</v>
      </c>
      <c r="M3" s="93" t="str">
        <f>Macro!M$3</f>
        <v>2Q06</v>
      </c>
      <c r="N3" s="93" t="str">
        <f>Macro!N$3</f>
        <v>3Q06</v>
      </c>
      <c r="O3" s="94" t="str">
        <f>Macro!O$3</f>
        <v>4Q06</v>
      </c>
      <c r="P3" s="92" t="str">
        <f>Macro!P$3</f>
        <v>2006</v>
      </c>
      <c r="Q3" s="93" t="str">
        <f>Macro!Q$3</f>
        <v>1Q07</v>
      </c>
      <c r="R3" s="93" t="str">
        <f>Macro!R$3</f>
        <v>2Q07</v>
      </c>
      <c r="S3" s="93" t="str">
        <f>Macro!S$3</f>
        <v>3Q07</v>
      </c>
      <c r="T3" s="94" t="str">
        <f>Macro!T$3</f>
        <v>4Q07</v>
      </c>
      <c r="U3" s="92" t="str">
        <f>Macro!U$3</f>
        <v>2007</v>
      </c>
      <c r="V3" s="93" t="str">
        <f>Macro!V$3</f>
        <v>1Q08</v>
      </c>
      <c r="W3" s="93" t="str">
        <f>Macro!W$3</f>
        <v>2Q08</v>
      </c>
      <c r="X3" s="93" t="str">
        <f>Macro!X$3</f>
        <v>3Q08</v>
      </c>
      <c r="Y3" s="94" t="str">
        <f>Macro!Y$3</f>
        <v>4Q08</v>
      </c>
      <c r="Z3" s="92" t="str">
        <f>Macro!Z$3</f>
        <v>2008</v>
      </c>
      <c r="AA3" s="93" t="str">
        <f>Macro!AA$3</f>
        <v>1Q09</v>
      </c>
      <c r="AB3" s="93" t="str">
        <f>Macro!AB$3</f>
        <v>2Q09</v>
      </c>
      <c r="AC3" s="93" t="str">
        <f>Macro!AC$3</f>
        <v>3Q09</v>
      </c>
      <c r="AD3" s="94" t="str">
        <f>Macro!AD$3</f>
        <v>4Q09</v>
      </c>
      <c r="AE3" s="92" t="str">
        <f>Macro!AE$3</f>
        <v>2009</v>
      </c>
      <c r="AF3" s="93" t="str">
        <f>Macro!AF$3</f>
        <v>1Q10</v>
      </c>
      <c r="AG3" s="93" t="str">
        <f>Macro!AG$3</f>
        <v>2Q10</v>
      </c>
      <c r="AH3" s="93" t="str">
        <f>Macro!AH$3</f>
        <v>3Q10</v>
      </c>
      <c r="AI3" s="94" t="str">
        <f>Macro!AI$3</f>
        <v>4Q10</v>
      </c>
      <c r="AJ3" s="92" t="str">
        <f>Macro!AJ$3</f>
        <v>2010</v>
      </c>
      <c r="AK3" s="93" t="str">
        <f>Macro!AK$3</f>
        <v>1Q11</v>
      </c>
      <c r="AL3" s="93" t="str">
        <f>Macro!AL$3</f>
        <v>2Q11</v>
      </c>
      <c r="AM3" s="93" t="str">
        <f>Macro!AM$3</f>
        <v>3Q11</v>
      </c>
      <c r="AN3" s="94" t="str">
        <f>Macro!AN$3</f>
        <v>4Q11</v>
      </c>
      <c r="AO3" s="92" t="str">
        <f>Macro!AO$3</f>
        <v>2011</v>
      </c>
      <c r="AP3" s="310" t="str">
        <f>Macro!AP$3</f>
        <v>1Q12</v>
      </c>
      <c r="AQ3" s="310" t="str">
        <f>Macro!AQ$3</f>
        <v>2Q12</v>
      </c>
      <c r="AR3" s="310" t="str">
        <f>Macro!AR$3</f>
        <v>3Q12</v>
      </c>
      <c r="AS3" s="310" t="str">
        <f>Macro!AS$3</f>
        <v>4Q12</v>
      </c>
      <c r="AT3" s="311" t="str">
        <f>Macro!AT$3</f>
        <v>2012</v>
      </c>
      <c r="AU3" s="310" t="str">
        <f>Macro!AU$3</f>
        <v>1Q13</v>
      </c>
      <c r="AV3" s="310" t="str">
        <f>Macro!AV$3</f>
        <v>2Q13</v>
      </c>
      <c r="AW3" s="310" t="str">
        <f>Macro!AW$3</f>
        <v>3Q13</v>
      </c>
      <c r="AX3" s="310" t="str">
        <f>Macro!AX$3</f>
        <v>4Q13</v>
      </c>
      <c r="AY3" s="311" t="str">
        <f>Macro!AY$3</f>
        <v>2013</v>
      </c>
      <c r="AZ3" s="310" t="str">
        <f>Macro!AZ$3</f>
        <v>1Q14</v>
      </c>
      <c r="BA3" s="310" t="str">
        <f>Macro!BA$3</f>
        <v>2Q14</v>
      </c>
      <c r="BB3" s="310" t="str">
        <f>Macro!BB$3</f>
        <v>3Q14</v>
      </c>
      <c r="BC3" s="310" t="str">
        <f>Macro!BC$3</f>
        <v>4Q14</v>
      </c>
      <c r="BD3" s="311" t="str">
        <f>Macro!BD$3</f>
        <v>2014</v>
      </c>
      <c r="BE3" s="310" t="str">
        <f>Macro!BE$3</f>
        <v>1Q15</v>
      </c>
      <c r="BF3" s="310" t="str">
        <f>Macro!BF$3</f>
        <v>2Q15</v>
      </c>
      <c r="BG3" s="310" t="str">
        <f>Macro!BG$3</f>
        <v>3Q15</v>
      </c>
      <c r="BH3" s="310" t="str">
        <f>Macro!BH$3</f>
        <v>4Q15</v>
      </c>
      <c r="BI3" s="311" t="str">
        <f>Macro!BI$3</f>
        <v>2015</v>
      </c>
      <c r="BJ3" s="310" t="str">
        <f>Macro!BJ$3</f>
        <v>1Q16</v>
      </c>
      <c r="BK3" s="310" t="str">
        <f>Macro!BK$3</f>
        <v>2Q16</v>
      </c>
      <c r="BL3" s="310" t="str">
        <f>Macro!BL$3</f>
        <v>3Q16</v>
      </c>
      <c r="BM3" s="310" t="str">
        <f>Macro!BM$3</f>
        <v>4Q16</v>
      </c>
      <c r="BN3" s="311" t="str">
        <f>Macro!BN$3</f>
        <v>2016</v>
      </c>
      <c r="BO3" s="310" t="str">
        <f>Macro!BO$3</f>
        <v>1Q17</v>
      </c>
      <c r="BP3" s="310" t="str">
        <f>Macro!BP$3</f>
        <v>2Q17</v>
      </c>
      <c r="BQ3" s="310" t="str">
        <f>Macro!BQ$3</f>
        <v>3Q17</v>
      </c>
      <c r="BR3" s="310" t="str">
        <f>Macro!BR$3</f>
        <v>4Q17</v>
      </c>
      <c r="BS3" s="311" t="str">
        <f>Macro!BS$3</f>
        <v>2017</v>
      </c>
      <c r="BT3" s="310" t="str">
        <f>Macro!BT$3</f>
        <v>1Q18</v>
      </c>
      <c r="BU3" s="310" t="str">
        <f>Macro!BU$3</f>
        <v>2Q18</v>
      </c>
      <c r="BV3" s="310" t="str">
        <f>Macro!BV$3</f>
        <v>3Q18</v>
      </c>
      <c r="BW3" s="310" t="str">
        <f>Macro!BW$3</f>
        <v>4Q18</v>
      </c>
      <c r="BX3" s="311" t="str">
        <f>Macro!BX$3</f>
        <v>2018</v>
      </c>
      <c r="BY3" s="310" t="str">
        <f>Macro!BY$3</f>
        <v>1Q19</v>
      </c>
      <c r="BZ3" s="310" t="str">
        <f>Macro!BZ$3</f>
        <v>2Q19</v>
      </c>
      <c r="CA3" s="310" t="str">
        <f>Macro!CA$3</f>
        <v>3Q19</v>
      </c>
      <c r="CB3" s="310" t="str">
        <f>Macro!CB$3</f>
        <v>4Q19</v>
      </c>
      <c r="CC3" s="311" t="str">
        <f>Macro!CC$3</f>
        <v>2019</v>
      </c>
      <c r="CD3" s="310" t="str">
        <f>Macro!CD$3</f>
        <v>1Q20</v>
      </c>
      <c r="CE3" s="310" t="str">
        <f>Macro!CE$3</f>
        <v>2Q20</v>
      </c>
      <c r="CF3" s="310" t="str">
        <f>Macro!CF$3</f>
        <v>3Q20</v>
      </c>
      <c r="CG3" s="310" t="str">
        <f>Macro!CG$3</f>
        <v>4Q20</v>
      </c>
      <c r="CH3" s="311" t="str">
        <f>Macro!CH$3</f>
        <v>2020</v>
      </c>
      <c r="CI3" s="310" t="str">
        <f>Macro!CI$3</f>
        <v>1Q21</v>
      </c>
      <c r="CJ3" s="310" t="str">
        <f>Macro!CJ$3</f>
        <v>2Q21</v>
      </c>
      <c r="CK3" s="310" t="str">
        <f>Macro!CK$3</f>
        <v>3Q21</v>
      </c>
      <c r="CL3" s="310" t="str">
        <f>Macro!CL$3</f>
        <v>4Q21</v>
      </c>
      <c r="CM3" s="311" t="str">
        <f>Macro!CM$3</f>
        <v>2021</v>
      </c>
      <c r="CN3" s="310" t="str">
        <f>Macro!CN$3</f>
        <v>1Q22</v>
      </c>
      <c r="CO3" s="310" t="str">
        <f>Macro!CO$3</f>
        <v>2Q22</v>
      </c>
      <c r="CP3" s="310" t="str">
        <f>Macro!CP$3</f>
        <v>3Q22</v>
      </c>
      <c r="CQ3" s="310" t="str">
        <f>Macro!CQ$3</f>
        <v>4Q22</v>
      </c>
      <c r="CR3" s="311" t="str">
        <f>Macro!CR$3</f>
        <v>2022</v>
      </c>
      <c r="CS3" s="310" t="str">
        <f>Macro!CS$3</f>
        <v>1Q23</v>
      </c>
      <c r="CT3" s="310" t="str">
        <f>Macro!CT$3</f>
        <v>2Q23</v>
      </c>
      <c r="CU3" s="310" t="str">
        <f>Macro!CU$3</f>
        <v>3Q23</v>
      </c>
      <c r="CV3" s="310" t="str">
        <f>Macro!CV$3</f>
        <v>4Q23</v>
      </c>
      <c r="CW3" s="311" t="str">
        <f>Macro!CW$3</f>
        <v>2023</v>
      </c>
      <c r="CX3" s="310" t="str">
        <f>Macro!CX$3</f>
        <v>1Q24</v>
      </c>
      <c r="CY3" s="310" t="str">
        <f>Macro!CY$3</f>
        <v>2Q24</v>
      </c>
      <c r="CZ3" s="310" t="str">
        <f>Macro!CZ$3</f>
        <v>3Q24</v>
      </c>
      <c r="DA3" s="310" t="str">
        <f>Macro!DA$3</f>
        <v>4Q24</v>
      </c>
      <c r="DB3" s="311" t="str">
        <f>Macro!DB$3</f>
        <v>2024</v>
      </c>
      <c r="DC3" s="310" t="str">
        <f>Macro!DC$3</f>
        <v>1Q25</v>
      </c>
      <c r="DD3" s="310" t="str">
        <f>Macro!DD$3</f>
        <v>2Q25</v>
      </c>
      <c r="DE3" s="310" t="str">
        <f>Macro!DE$3</f>
        <v>3Q25</v>
      </c>
      <c r="DF3" s="310" t="str">
        <f>Macro!DF$3</f>
        <v>4Q25</v>
      </c>
      <c r="DG3" s="311" t="str">
        <f>Macro!DG$3</f>
        <v>2025</v>
      </c>
      <c r="DH3" s="310" t="str">
        <f>Macro!DH$3</f>
        <v>1Q26</v>
      </c>
      <c r="DI3" s="310" t="str">
        <f>Macro!DI$3</f>
        <v>2Q26</v>
      </c>
      <c r="DJ3" s="310" t="str">
        <f>Macro!DJ$3</f>
        <v>3Q26E</v>
      </c>
      <c r="DK3" s="310" t="str">
        <f>Macro!DK$3</f>
        <v>4Q26E</v>
      </c>
      <c r="DL3" s="311" t="str">
        <f>Macro!DL$3</f>
        <v>2026E</v>
      </c>
      <c r="DM3" s="310" t="str">
        <f>Macro!DM$3</f>
        <v>1Q27E</v>
      </c>
      <c r="DN3" s="310" t="str">
        <f>Macro!DN$3</f>
        <v>2Q27E</v>
      </c>
      <c r="DO3" s="310" t="str">
        <f>Macro!DO$3</f>
        <v>3Q27E</v>
      </c>
      <c r="DP3" s="310" t="str">
        <f>Macro!DP$3</f>
        <v>4Q27E</v>
      </c>
      <c r="DQ3" s="311" t="str">
        <f>Macro!DQ$3</f>
        <v>2027E</v>
      </c>
      <c r="DR3" s="310" t="str">
        <f>Macro!DR$3</f>
        <v>1Q28E</v>
      </c>
      <c r="DS3" s="310" t="str">
        <f>Macro!DS$3</f>
        <v>2Q28E</v>
      </c>
      <c r="DT3" s="310" t="str">
        <f>Macro!DT$3</f>
        <v>3Q28E</v>
      </c>
      <c r="DU3" s="310" t="str">
        <f>Macro!DU$3</f>
        <v>4Q28E</v>
      </c>
      <c r="DV3" s="311" t="str">
        <f>Macro!DV$3</f>
        <v>2028E</v>
      </c>
      <c r="DW3" s="310" t="str">
        <f>Macro!DW$3</f>
        <v>1Q29E</v>
      </c>
      <c r="DX3" s="310" t="str">
        <f>Macro!DX$3</f>
        <v>2Q29E</v>
      </c>
      <c r="DY3" s="310" t="str">
        <f>Macro!DY$3</f>
        <v>3Q29E</v>
      </c>
      <c r="DZ3" s="310" t="str">
        <f>Macro!DZ$3</f>
        <v>4Q29E</v>
      </c>
      <c r="EA3" s="311" t="str">
        <f>Macro!EA$3</f>
        <v>2029E</v>
      </c>
      <c r="EB3" s="310" t="str">
        <f>Macro!EB$3</f>
        <v>1Q30E</v>
      </c>
      <c r="EC3" s="310" t="str">
        <f>Macro!EC$3</f>
        <v>2Q30E</v>
      </c>
      <c r="ED3" s="310" t="str">
        <f>Macro!ED$3</f>
        <v>3Q30E</v>
      </c>
      <c r="EE3" s="310" t="str">
        <f>Macro!EE$3</f>
        <v>4Q30E</v>
      </c>
      <c r="EF3" s="311" t="str">
        <f>Macro!EF$3</f>
        <v>2030E</v>
      </c>
    </row>
    <row r="4" spans="1:139" ht="12.75" customHeight="1">
      <c r="A4" s="78" t="s">
        <v>749</v>
      </c>
      <c r="B4" s="240">
        <f>B5+B6</f>
        <v>116483.5</v>
      </c>
      <c r="C4" s="240">
        <f>C5+C6</f>
        <v>116483.5</v>
      </c>
      <c r="D4" s="240">
        <f>D5+D6</f>
        <v>127779</v>
      </c>
      <c r="E4" s="240">
        <f>E5+E6</f>
        <v>196256</v>
      </c>
      <c r="F4" s="241">
        <f>SUM(B4:E4)</f>
        <v>557002</v>
      </c>
      <c r="G4" s="240">
        <f>G5+G6</f>
        <v>178056</v>
      </c>
      <c r="H4" s="240">
        <f>H5+H6</f>
        <v>154333</v>
      </c>
      <c r="I4" s="240">
        <f>I5+I6</f>
        <v>263879</v>
      </c>
      <c r="J4" s="240">
        <f>J5+J6</f>
        <v>128931</v>
      </c>
      <c r="K4" s="241">
        <f>SUM(G4:J4)</f>
        <v>725199</v>
      </c>
      <c r="L4" s="240">
        <f>L5+L6</f>
        <v>241448</v>
      </c>
      <c r="M4" s="240">
        <f>M5+M6</f>
        <v>275347</v>
      </c>
      <c r="N4" s="240">
        <f>N5+N6</f>
        <v>237808</v>
      </c>
      <c r="O4" s="240">
        <f>O5+O6</f>
        <v>402165</v>
      </c>
      <c r="P4" s="241">
        <f>SUM(L4:O4)</f>
        <v>1156768</v>
      </c>
      <c r="Q4" s="240">
        <f>Q5+Q6</f>
        <v>299261</v>
      </c>
      <c r="R4" s="240">
        <f>R5+R6</f>
        <v>387298</v>
      </c>
      <c r="S4" s="240">
        <f>S5+S6</f>
        <v>431668</v>
      </c>
      <c r="T4" s="240">
        <f>T5+T6</f>
        <v>961212</v>
      </c>
      <c r="U4" s="241">
        <f>SUM(Q4:T4)</f>
        <v>2079439</v>
      </c>
      <c r="V4" s="240">
        <f>V5+V6</f>
        <v>572579</v>
      </c>
      <c r="W4" s="240">
        <f>W5+W6</f>
        <v>830119</v>
      </c>
      <c r="X4" s="240">
        <f>X5+X6</f>
        <v>773992</v>
      </c>
      <c r="Y4" s="240">
        <f>Y5+Y6</f>
        <v>790759</v>
      </c>
      <c r="Z4" s="241">
        <f>SUM(V4:Y4)</f>
        <v>2967449</v>
      </c>
      <c r="AA4" s="240">
        <f>AA5+AA6</f>
        <v>698996</v>
      </c>
      <c r="AB4" s="240">
        <f>AB5+AB6</f>
        <v>909715</v>
      </c>
      <c r="AC4" s="240">
        <f>AC5+AC6</f>
        <v>1396986</v>
      </c>
      <c r="AD4" s="240">
        <f>AD5+AD6</f>
        <v>1228296</v>
      </c>
      <c r="AE4" s="241">
        <f>SUM(AA4:AD4)</f>
        <v>4233993</v>
      </c>
      <c r="AF4" s="240">
        <f>AF5+AF6</f>
        <v>1170169</v>
      </c>
      <c r="AG4" s="240">
        <f>AG5+AG6</f>
        <v>1234539</v>
      </c>
      <c r="AH4" s="240">
        <f>AH5+AH6</f>
        <v>1203539</v>
      </c>
      <c r="AI4" s="240">
        <f>AI5+AI6</f>
        <v>1445304</v>
      </c>
      <c r="AJ4" s="241">
        <f>SUM(AF4:AI4)</f>
        <v>5053551</v>
      </c>
      <c r="AK4" s="240">
        <f>AK5+AK6</f>
        <v>1248883</v>
      </c>
      <c r="AL4" s="240">
        <f>AL5+AL6</f>
        <v>1438136</v>
      </c>
      <c r="AM4" s="240">
        <f>AM5+AM6</f>
        <v>1619390</v>
      </c>
      <c r="AN4" s="240">
        <f>AN5+AN6</f>
        <v>2069350</v>
      </c>
      <c r="AO4" s="241">
        <f>SUM(AK4:AN4)</f>
        <v>6375759</v>
      </c>
      <c r="AP4" s="240">
        <f>AP5+AP6</f>
        <v>1522642</v>
      </c>
      <c r="AQ4" s="240">
        <f>AQ5+AQ6</f>
        <v>1438939</v>
      </c>
      <c r="AR4" s="240">
        <f>AR5+AR6</f>
        <v>1409120</v>
      </c>
      <c r="AS4" s="240">
        <f>AS5+AS6</f>
        <v>1432050</v>
      </c>
      <c r="AT4" s="241">
        <f>SUM(AP4:AS4)</f>
        <v>5802751</v>
      </c>
      <c r="AU4" s="240">
        <f>AU5+AU6</f>
        <v>1250942</v>
      </c>
      <c r="AV4" s="240">
        <f>AV5+AV6</f>
        <v>1410150</v>
      </c>
      <c r="AW4" s="240">
        <f>AW5+AW6</f>
        <v>1435138</v>
      </c>
      <c r="AX4" s="240">
        <f>AX5+AX6</f>
        <v>1436106</v>
      </c>
      <c r="AY4" s="241">
        <f>SUM(AU4:AX4)</f>
        <v>5532336</v>
      </c>
      <c r="AZ4" s="240">
        <f>AZ5+AZ6</f>
        <v>1351067</v>
      </c>
      <c r="BA4" s="240">
        <f>BA5+BA6</f>
        <v>1397217</v>
      </c>
      <c r="BB4" s="240">
        <f>BB5+BB6</f>
        <v>1628377</v>
      </c>
      <c r="BC4" s="240">
        <f>BC5+BC6</f>
        <v>1569902</v>
      </c>
      <c r="BD4" s="241">
        <f>SUM(AZ4:BC4)</f>
        <v>5946563</v>
      </c>
      <c r="BE4" s="240">
        <f>BE5+BE6</f>
        <v>1068010</v>
      </c>
      <c r="BF4" s="240">
        <f>BF5+BF6</f>
        <v>1165862</v>
      </c>
      <c r="BG4" s="240">
        <f>BG5+BG6</f>
        <v>1172876</v>
      </c>
      <c r="BH4" s="240">
        <f>BH5+BH6</f>
        <v>1059054</v>
      </c>
      <c r="BI4" s="241">
        <f>SUM(BE4:BH4)</f>
        <v>4465802</v>
      </c>
      <c r="BJ4" s="240">
        <f>BJ5+BJ6</f>
        <v>833226</v>
      </c>
      <c r="BK4" s="240">
        <f>BK5+BK6</f>
        <v>662190</v>
      </c>
      <c r="BL4" s="240">
        <f>BL5+BL6</f>
        <v>847384</v>
      </c>
      <c r="BM4" s="240">
        <f>BM5+BM6</f>
        <v>947904</v>
      </c>
      <c r="BN4" s="241">
        <f>SUM(BJ4:BM4)</f>
        <v>3290704</v>
      </c>
      <c r="BO4" s="240">
        <f>BO5+BO6</f>
        <v>712412</v>
      </c>
      <c r="BP4" s="240">
        <f>BP5+BP6</f>
        <v>591107</v>
      </c>
      <c r="BQ4" s="240">
        <f>BQ5+BQ6</f>
        <v>614497</v>
      </c>
      <c r="BR4" s="240">
        <f>BR5+BR6</f>
        <v>831905</v>
      </c>
      <c r="BS4" s="241">
        <f>SUM(BO4:BR4)</f>
        <v>2749921</v>
      </c>
      <c r="BT4" s="240">
        <f>BT5+BT6</f>
        <v>464152</v>
      </c>
      <c r="BU4" s="240">
        <f>BU5+BU6</f>
        <v>657521</v>
      </c>
      <c r="BV4" s="240">
        <f>BV5+BV6</f>
        <v>744589</v>
      </c>
      <c r="BW4" s="240">
        <f>BW5+BW6</f>
        <v>1111066</v>
      </c>
      <c r="BX4" s="241">
        <f>SUM(BT4:BW4)</f>
        <v>2977328</v>
      </c>
      <c r="BY4" s="240">
        <f>BY5+BY6</f>
        <v>847909</v>
      </c>
      <c r="BZ4" s="240">
        <f>BZ5+BZ6</f>
        <v>959639</v>
      </c>
      <c r="CA4" s="240">
        <f>CA5+CA6</f>
        <v>959878</v>
      </c>
      <c r="CB4" s="240">
        <f>CB5+CB6</f>
        <v>1265292</v>
      </c>
      <c r="CC4" s="241">
        <f>SUM(BY4:CB4)</f>
        <v>4032718</v>
      </c>
      <c r="CD4" s="240">
        <f>CD5+CD6</f>
        <v>785189</v>
      </c>
      <c r="CE4" s="240">
        <f>CE5+CE6</f>
        <v>860738</v>
      </c>
      <c r="CF4" s="240">
        <f>CF5+CF6</f>
        <v>1192465</v>
      </c>
      <c r="CG4" s="240">
        <f>CG5+CG6</f>
        <v>1087405</v>
      </c>
      <c r="CH4" s="241">
        <f>SUM(CD4:CG4)</f>
        <v>3925797</v>
      </c>
      <c r="CI4" s="240">
        <f>CI5+CI6</f>
        <v>1030234</v>
      </c>
      <c r="CJ4" s="240">
        <f>CJ5+CJ6</f>
        <v>1213954</v>
      </c>
      <c r="CK4" s="240">
        <f>CK5+CK6</f>
        <v>1321796</v>
      </c>
      <c r="CL4" s="240">
        <f>CL5+CL6</f>
        <v>1351676</v>
      </c>
      <c r="CM4" s="241">
        <f>SUM(CI4:CL4)</f>
        <v>4917660</v>
      </c>
      <c r="CN4" s="240">
        <f>CN5+CN6</f>
        <v>1259101</v>
      </c>
      <c r="CO4" s="240">
        <f>CO5+CO6</f>
        <v>1284091</v>
      </c>
      <c r="CP4" s="240">
        <f>CP5+CP6</f>
        <v>1600107</v>
      </c>
      <c r="CQ4" s="240">
        <f>CQ5+CQ6</f>
        <v>1412549</v>
      </c>
      <c r="CR4" s="241">
        <f>SUM(CN4:CQ4)</f>
        <v>5555848</v>
      </c>
      <c r="CS4" s="240">
        <f>CS5+CS6</f>
        <v>1317322</v>
      </c>
      <c r="CT4" s="240">
        <f>CT5+CT6</f>
        <v>1678440</v>
      </c>
      <c r="CU4" s="240">
        <f>CU5+CU6</f>
        <v>1672991</v>
      </c>
      <c r="CV4" s="240">
        <f>CV5+CV6</f>
        <v>1760921</v>
      </c>
      <c r="CW4" s="241">
        <f>SUM(CS4:CV4)</f>
        <v>6429674</v>
      </c>
      <c r="CX4" s="240">
        <f>CX5+CX6</f>
        <v>1614575</v>
      </c>
      <c r="CY4" s="240">
        <f>CY5+CY6</f>
        <v>1909290</v>
      </c>
      <c r="CZ4" s="240">
        <f>CZ5+CZ6</f>
        <v>2086805</v>
      </c>
      <c r="DA4" s="240">
        <f>DA5+DA6</f>
        <v>2574979</v>
      </c>
      <c r="DB4" s="241">
        <f>SUM(CX4:DA4)</f>
        <v>8185649</v>
      </c>
      <c r="DC4" s="240">
        <f>DC5+DC6</f>
        <v>2003367</v>
      </c>
      <c r="DD4" s="240">
        <f>DD5+DD6</f>
        <v>2167903</v>
      </c>
      <c r="DE4" s="240">
        <f>DE5+DE6</f>
        <v>2191373</v>
      </c>
      <c r="DF4" s="240">
        <f>DF5+DF6</f>
        <v>3317082</v>
      </c>
      <c r="DG4" s="241">
        <f>SUM(DC4:DF4)</f>
        <v>9679725</v>
      </c>
      <c r="DH4" s="240">
        <f>DH5+DH6</f>
        <v>2081306</v>
      </c>
      <c r="DI4" s="240">
        <f>DI5+DI6</f>
        <v>2548922</v>
      </c>
      <c r="DJ4" s="240">
        <f>DJ5+DJ6</f>
        <v>2779665.786373036</v>
      </c>
      <c r="DK4" s="240">
        <f>DK5+DK6</f>
        <v>3085867.7667267621</v>
      </c>
      <c r="DL4" s="241">
        <f>SUM(DH4:DK4)</f>
        <v>10495761.553099798</v>
      </c>
      <c r="DM4" s="240">
        <f>DM5+DM6</f>
        <v>2904177.1554702092</v>
      </c>
      <c r="DN4" s="240">
        <f>DN5+DN6</f>
        <v>3030696.4116353355</v>
      </c>
      <c r="DO4" s="240">
        <f>DO5+DO6</f>
        <v>3135918.4040873433</v>
      </c>
      <c r="DP4" s="240">
        <f>DP5+DP6</f>
        <v>3413245.9570425116</v>
      </c>
      <c r="DQ4" s="241">
        <f>SUM(DM4:DP4)</f>
        <v>12484037.9282354</v>
      </c>
      <c r="DR4" s="240">
        <f>DR5+DR6</f>
        <v>3232579.8249648795</v>
      </c>
      <c r="DS4" s="240">
        <f>DS5+DS6</f>
        <v>3342174.2588420142</v>
      </c>
      <c r="DT4" s="240">
        <f>DT5+DT6</f>
        <v>3438345.6022359603</v>
      </c>
      <c r="DU4" s="240">
        <f>DU5+DU6</f>
        <v>3716019.0078021539</v>
      </c>
      <c r="DV4" s="241">
        <f>SUM(DR4:DU4)</f>
        <v>13729118.693845008</v>
      </c>
      <c r="DW4" s="240">
        <f>DW5+DW6</f>
        <v>3508456.3407156784</v>
      </c>
      <c r="DX4" s="240">
        <f>DX5+DX6</f>
        <v>3616040.6726550502</v>
      </c>
      <c r="DY4" s="240">
        <f>DY5+DY6</f>
        <v>3707760.8499469208</v>
      </c>
      <c r="DZ4" s="240">
        <f>DZ5+DZ6</f>
        <v>3991703.5891580442</v>
      </c>
      <c r="EA4" s="241">
        <f>SUM(DW4:DZ4)</f>
        <v>14823961.452475693</v>
      </c>
      <c r="EB4" s="240">
        <f>EB5+EB6</f>
        <v>3765591.1476091463</v>
      </c>
      <c r="EC4" s="240">
        <f>EC5+EC6</f>
        <v>3873478.4363123695</v>
      </c>
      <c r="ED4" s="240">
        <f>ED5+ED6</f>
        <v>3962578.6052442482</v>
      </c>
      <c r="EE4" s="240">
        <f>EE5+EE6</f>
        <v>4251973.8867050102</v>
      </c>
      <c r="EF4" s="241">
        <f>SUM(EB4:EE4)</f>
        <v>15853622.075870775</v>
      </c>
    </row>
    <row r="5" spans="1:139" ht="12.75" customHeight="1" outlineLevel="1">
      <c r="A5" s="71" t="s">
        <v>687</v>
      </c>
      <c r="B5" s="246">
        <f>(482261+31373-SUM(D5:E5))/2</f>
        <v>105655</v>
      </c>
      <c r="C5" s="246">
        <f>B5</f>
        <v>105655</v>
      </c>
      <c r="D5" s="246">
        <v>113887</v>
      </c>
      <c r="E5" s="246">
        <v>188437</v>
      </c>
      <c r="F5" s="239">
        <f>SUM(B5:E5)</f>
        <v>513634</v>
      </c>
      <c r="G5" s="246">
        <v>167756</v>
      </c>
      <c r="H5" s="246">
        <v>143200</v>
      </c>
      <c r="I5" s="246">
        <v>245810</v>
      </c>
      <c r="J5" s="246">
        <v>114407</v>
      </c>
      <c r="K5" s="239">
        <f>SUM(G5:J5)</f>
        <v>671173</v>
      </c>
      <c r="L5" s="246">
        <v>227048</v>
      </c>
      <c r="M5" s="246">
        <f>481169-L5</f>
        <v>254121</v>
      </c>
      <c r="N5" s="246">
        <f>698102-SUM(L5:M5)</f>
        <v>216933</v>
      </c>
      <c r="O5" s="246">
        <f>1082508-SUM(L5:N5)</f>
        <v>384406</v>
      </c>
      <c r="P5" s="239">
        <f>SUM(L5:O5)</f>
        <v>1082508</v>
      </c>
      <c r="Q5" s="246">
        <v>293395</v>
      </c>
      <c r="R5" s="246">
        <f>668065-Q5</f>
        <v>374670</v>
      </c>
      <c r="S5" s="246">
        <v>418305</v>
      </c>
      <c r="T5" s="246">
        <f>2021962+8363-SUM(Q5:S5)</f>
        <v>943955</v>
      </c>
      <c r="U5" s="239">
        <f>SUM(Q5:T5)</f>
        <v>2030325</v>
      </c>
      <c r="V5" s="246">
        <f>559757+3794</f>
        <v>563551</v>
      </c>
      <c r="W5" s="246">
        <f>818418+4241</f>
        <v>822659</v>
      </c>
      <c r="X5" s="246">
        <f>761546+4301</f>
        <v>765847</v>
      </c>
      <c r="Y5" s="246">
        <f>2907848+22974-SUM(V5:X5)</f>
        <v>778765</v>
      </c>
      <c r="Z5" s="239">
        <f>SUM(V5:Y5)</f>
        <v>2930822</v>
      </c>
      <c r="AA5" s="246">
        <f>685017+5225</f>
        <v>690242</v>
      </c>
      <c r="AB5" s="246">
        <f>887540+13379</f>
        <v>900919</v>
      </c>
      <c r="AC5" s="246">
        <f>1370602+13033</f>
        <v>1383635</v>
      </c>
      <c r="AD5" s="246">
        <f>1201078+16442</f>
        <v>1217520</v>
      </c>
      <c r="AE5" s="239">
        <f>SUM(AA5:AD5)</f>
        <v>4192316</v>
      </c>
      <c r="AF5" s="246">
        <f>1140556+18091</f>
        <v>1158647</v>
      </c>
      <c r="AG5" s="245">
        <f>1191445+26952-AG34</f>
        <v>1218397</v>
      </c>
      <c r="AH5" s="246">
        <f>1171767+13862</f>
        <v>1185629</v>
      </c>
      <c r="AI5" s="246">
        <f>1407331+6543</f>
        <v>1413874</v>
      </c>
      <c r="AJ5" s="239">
        <f>SUM(AF5:AI5)</f>
        <v>4976547</v>
      </c>
      <c r="AK5" s="246">
        <f>1216842+8949</f>
        <v>1225791</v>
      </c>
      <c r="AL5" s="246">
        <f>2625160+13076-AK5</f>
        <v>1412445</v>
      </c>
      <c r="AM5" s="246">
        <f>4207472+17666-AK5-AL5</f>
        <v>1586902</v>
      </c>
      <c r="AN5" s="246">
        <f>6240161+26490-AK5-AL5-AM5</f>
        <v>2041513</v>
      </c>
      <c r="AO5" s="239">
        <f>SUM(AK5:AN5)</f>
        <v>6266651</v>
      </c>
      <c r="AP5" s="246">
        <f>2915251+4573-AQ5</f>
        <v>1505576</v>
      </c>
      <c r="AQ5" s="246">
        <f>1411422+2826</f>
        <v>1414248</v>
      </c>
      <c r="AR5" s="246">
        <f>1409120-AR6</f>
        <v>1394730</v>
      </c>
      <c r="AS5" s="246">
        <f>5701885+14069-AP5-AQ5-AR5</f>
        <v>1401400</v>
      </c>
      <c r="AT5" s="239">
        <f>SUM(AP5:AS5)</f>
        <v>5715954</v>
      </c>
      <c r="AU5" s="246">
        <f>2603392+20342-AV5</f>
        <v>1233951</v>
      </c>
      <c r="AV5" s="246">
        <f>1382665+7118</f>
        <v>1389783</v>
      </c>
      <c r="AW5" s="246">
        <f>1435138-AW6</f>
        <v>1414214</v>
      </c>
      <c r="AX5" s="246">
        <f>5532336-SUM(AU5:AW5)-SUM(AU6:AX6)</f>
        <v>1410416</v>
      </c>
      <c r="AY5" s="239">
        <f>SUM(AU5:AX5)</f>
        <v>5448364</v>
      </c>
      <c r="AZ5" s="246">
        <f>1317983+17433</f>
        <v>1335416</v>
      </c>
      <c r="BA5" s="246">
        <f>1366342+14295</f>
        <v>1380637</v>
      </c>
      <c r="BB5" s="246">
        <f>1628377-BB6</f>
        <v>1607593</v>
      </c>
      <c r="BC5" s="246">
        <f>5946563-SUM(AZ5:BB5)-SUM(AZ6:BC6)</f>
        <v>1558582</v>
      </c>
      <c r="BD5" s="239">
        <f>SUM(AZ5:BC5)</f>
        <v>5882228</v>
      </c>
      <c r="BE5" s="246">
        <f>1031782+22263</f>
        <v>1054045</v>
      </c>
      <c r="BF5" s="246">
        <f>1141593+15312</f>
        <v>1156905</v>
      </c>
      <c r="BG5" s="246">
        <f>1172876-BG6</f>
        <v>1164221</v>
      </c>
      <c r="BH5" s="246">
        <f>4465802-SUM(BE5:BG5)-SUM(BE6:BH6)</f>
        <v>1046063</v>
      </c>
      <c r="BI5" s="239">
        <f>SUM(BE5:BH5)</f>
        <v>4421234</v>
      </c>
      <c r="BJ5" s="246">
        <f>799333+20950</f>
        <v>820283</v>
      </c>
      <c r="BK5" s="246">
        <f>614249+21481</f>
        <v>635730</v>
      </c>
      <c r="BL5" s="246">
        <f>847384-BL6</f>
        <v>839121</v>
      </c>
      <c r="BM5" s="246">
        <f>3290704-SUM(BJ5:BL5)-SUM(BJ6:BM6)</f>
        <v>942441</v>
      </c>
      <c r="BN5" s="239">
        <f>SUM(BJ5:BM5)</f>
        <v>3237575</v>
      </c>
      <c r="BO5" s="246">
        <f>678581+16224</f>
        <v>694805</v>
      </c>
      <c r="BP5" s="246">
        <f>573917+11356</f>
        <v>585273</v>
      </c>
      <c r="BQ5" s="246">
        <f>614497-BQ6</f>
        <v>608783</v>
      </c>
      <c r="BR5" s="169">
        <f>2671670+44168-SUM(BO5:BQ5)</f>
        <v>826977</v>
      </c>
      <c r="BS5" s="239">
        <f>SUM(BO5:BR5)</f>
        <v>2715838</v>
      </c>
      <c r="BT5" s="246">
        <f>445472+14559</f>
        <v>460031</v>
      </c>
      <c r="BU5" s="246">
        <f>638476+14319</f>
        <v>652795</v>
      </c>
      <c r="BV5" s="246">
        <f>728261+9518</f>
        <v>737779</v>
      </c>
      <c r="BW5" s="307">
        <f>3156039+51958-SUM(BT5:BV5)-254000</f>
        <v>1103392</v>
      </c>
      <c r="BX5" s="239">
        <f>SUM(BT5:BW5)</f>
        <v>2953997</v>
      </c>
      <c r="BY5" s="246">
        <f>845764+11907-14195</f>
        <v>843476</v>
      </c>
      <c r="BZ5" s="246">
        <f>953167+9105-6610</f>
        <v>955662</v>
      </c>
      <c r="CA5" s="246">
        <f>901500+8113+41796</f>
        <v>951409</v>
      </c>
      <c r="CB5" s="246">
        <f>3867086+34904+105628-SUM(BY5:CA5)</f>
        <v>1257071</v>
      </c>
      <c r="CC5" s="239">
        <f>SUM(BY5:CB5)</f>
        <v>4007618</v>
      </c>
      <c r="CD5" s="246">
        <f>724852+9374+39479</f>
        <v>773705</v>
      </c>
      <c r="CE5" s="246">
        <f>826804+3845+16608</f>
        <v>847257</v>
      </c>
      <c r="CF5" s="246">
        <f>1153156+14847+6784</f>
        <v>1174787</v>
      </c>
      <c r="CG5" s="246">
        <f>3765116+41562+48464-SUM(CD5:CF5)</f>
        <v>1059393</v>
      </c>
      <c r="CH5" s="239">
        <f>SUM(CD5:CG5)</f>
        <v>3855142</v>
      </c>
      <c r="CI5" s="246">
        <f>1057818+20802-45161-24355</f>
        <v>1009104</v>
      </c>
      <c r="CJ5" s="246">
        <f>1193319+15809-12203-7752</f>
        <v>1189173</v>
      </c>
      <c r="CK5" s="246">
        <f>1288055+11945+2193-5203</f>
        <v>1296990</v>
      </c>
      <c r="CL5" s="246">
        <f>4851226+51769-62954-35986-SUM(CI5:CK5)</f>
        <v>1308788</v>
      </c>
      <c r="CM5" s="239">
        <f>SUM(CI5:CL5)</f>
        <v>4804055</v>
      </c>
      <c r="CN5" s="246">
        <f>1270338+6461-43143+5545</f>
        <v>1239201</v>
      </c>
      <c r="CO5" s="246">
        <f>1219902+10977+30436-6907</f>
        <v>1254408</v>
      </c>
      <c r="CP5" s="246">
        <f>1549256+2670+8131+9798</f>
        <v>1569855</v>
      </c>
      <c r="CQ5" s="246">
        <f>5440721+23045-15086+6545-SUM(CN5:CP5)</f>
        <v>1391761</v>
      </c>
      <c r="CR5" s="239">
        <f>SUM(CN5:CQ5)</f>
        <v>5455225</v>
      </c>
      <c r="CS5" s="246">
        <f>1323506+633-18150-4887</f>
        <v>1301102</v>
      </c>
      <c r="CT5" s="246">
        <f>2967331+1814-2630-7413-CS5</f>
        <v>1658000</v>
      </c>
      <c r="CU5" s="246">
        <f>4598860+2811+12432-3586-SUM(CS5:CT5)</f>
        <v>1651415</v>
      </c>
      <c r="CV5" s="246">
        <f>6373445+3955-30135-3508-SUM(CS5:CU5)</f>
        <v>1733240</v>
      </c>
      <c r="CW5" s="239">
        <f>SUM(CS5:CV5)</f>
        <v>6343757</v>
      </c>
      <c r="CX5" s="246">
        <f>1644948+2568-46749-5947</f>
        <v>1594820</v>
      </c>
      <c r="CY5" s="246">
        <f>3509983+3638-29563-3531-CX5</f>
        <v>1885707</v>
      </c>
      <c r="CZ5" s="246">
        <f>5585280+2631-45676-236-SUM(CX5:CY5)</f>
        <v>2061472</v>
      </c>
      <c r="DA5" s="246">
        <f>8201507+3951-109456-5895-SUM(CX5:CZ5)</f>
        <v>2548108</v>
      </c>
      <c r="DB5" s="239">
        <f>SUM(CX5:DA5)</f>
        <v>8090107</v>
      </c>
      <c r="DC5" s="246">
        <f>2074898+285-99013-914</f>
        <v>1975256</v>
      </c>
      <c r="DD5" s="246">
        <f>4146252+272-28621-1012-DC5</f>
        <v>2141635</v>
      </c>
      <c r="DE5" s="246">
        <f>6199476+66785+24246-10557-SUM(DC5:DD5)</f>
        <v>2163059</v>
      </c>
      <c r="DF5" s="246">
        <f>9498874+90734-12130-9388-SUM(DC5:DE5)</f>
        <v>3288140</v>
      </c>
      <c r="DG5" s="239">
        <f>SUM(DC5:DF5)</f>
        <v>9568090</v>
      </c>
      <c r="DH5" s="246">
        <f>2110359+10713-68796-2191</f>
        <v>2050085</v>
      </c>
      <c r="DI5" s="246">
        <f>4601478+13577-56471-3916-DH5</f>
        <v>2504583</v>
      </c>
      <c r="DJ5" s="114">
        <f>Forecasts!DJ36</f>
        <v>2746705.322503</v>
      </c>
      <c r="DK5" s="114">
        <f>Forecasts!DK36</f>
        <v>3049276.4493347453</v>
      </c>
      <c r="DL5" s="239">
        <f>SUM(DH5:DK5)</f>
        <v>10350649.771837745</v>
      </c>
      <c r="DM5" s="114">
        <f>Forecasts!DM36</f>
        <v>2875422.9262081278</v>
      </c>
      <c r="DN5" s="114">
        <f>Forecasts!DN36</f>
        <v>3000689.5164706293</v>
      </c>
      <c r="DO5" s="114">
        <f>Forecasts!DO36</f>
        <v>3104869.7070171717</v>
      </c>
      <c r="DP5" s="114">
        <f>Forecasts!DP36</f>
        <v>3379451.4426163482</v>
      </c>
      <c r="DQ5" s="239">
        <f>SUM(DM5:DP5)</f>
        <v>12360433.592312276</v>
      </c>
      <c r="DR5" s="114">
        <f>Forecasts!DR36</f>
        <v>3200574.0841236431</v>
      </c>
      <c r="DS5" s="114">
        <f>Forecasts!DS36</f>
        <v>3309083.4245960535</v>
      </c>
      <c r="DT5" s="114">
        <f>Forecasts!DT36</f>
        <v>3404302.5764712477</v>
      </c>
      <c r="DU5" s="114">
        <f>Forecasts!DU36</f>
        <v>3679226.7403981723</v>
      </c>
      <c r="DV5" s="239">
        <f>SUM(DR5:DU5)</f>
        <v>13593186.825589117</v>
      </c>
      <c r="DW5" s="114">
        <f>Forecasts!DW36</f>
        <v>3473719.1492234441</v>
      </c>
      <c r="DX5" s="114">
        <f>Forecasts!DX36</f>
        <v>3580238.2897574753</v>
      </c>
      <c r="DY5" s="114">
        <f>Forecasts!DY36</f>
        <v>3671050.3464821</v>
      </c>
      <c r="DZ5" s="114">
        <f>Forecasts!DZ36</f>
        <v>3952181.7714436082</v>
      </c>
      <c r="EA5" s="239">
        <f>SUM(DW5:DZ5)</f>
        <v>14677189.556906629</v>
      </c>
      <c r="EB5" s="114">
        <f>Forecasts!EB36</f>
        <v>3728308.0669397488</v>
      </c>
      <c r="EC5" s="114">
        <f>Forecasts!EC36</f>
        <v>3835127.1646657125</v>
      </c>
      <c r="ED5" s="114">
        <f>Forecasts!ED36</f>
        <v>3923345.1537071764</v>
      </c>
      <c r="EE5" s="114">
        <f>Forecasts!EE36</f>
        <v>4209875.1353514949</v>
      </c>
      <c r="EF5" s="239">
        <f>SUM(EB5:EE5)</f>
        <v>15696655.520664133</v>
      </c>
    </row>
    <row r="6" spans="1:139" ht="12.75" customHeight="1" outlineLevel="1">
      <c r="A6" s="71" t="s">
        <v>688</v>
      </c>
      <c r="B6" s="246">
        <f>(21672+14671+7025-SUM(D6:E6))/2</f>
        <v>10828.5</v>
      </c>
      <c r="C6" s="246">
        <f>B6</f>
        <v>10828.5</v>
      </c>
      <c r="D6" s="246">
        <v>13892</v>
      </c>
      <c r="E6" s="246">
        <v>7819</v>
      </c>
      <c r="F6" s="239">
        <f>SUM(B6:E6)</f>
        <v>43368</v>
      </c>
      <c r="G6" s="246">
        <v>10300</v>
      </c>
      <c r="H6" s="246">
        <v>11133</v>
      </c>
      <c r="I6" s="246">
        <v>18069</v>
      </c>
      <c r="J6" s="246">
        <v>14524</v>
      </c>
      <c r="K6" s="239">
        <f>SUM(G6:J6)</f>
        <v>54026</v>
      </c>
      <c r="L6" s="246">
        <v>14400</v>
      </c>
      <c r="M6" s="246">
        <v>21226</v>
      </c>
      <c r="N6" s="246">
        <f>40123+16378-SUM(L6:M6)</f>
        <v>20875</v>
      </c>
      <c r="O6" s="246">
        <f>52423+21837-SUM(L6:N6)</f>
        <v>17759</v>
      </c>
      <c r="P6" s="239">
        <f>SUM(L6:O6)</f>
        <v>74260</v>
      </c>
      <c r="Q6" s="246">
        <v>5866</v>
      </c>
      <c r="R6" s="246">
        <f>18494-Q6</f>
        <v>12628</v>
      </c>
      <c r="S6" s="246">
        <v>13363</v>
      </c>
      <c r="T6" s="246">
        <f>16559+698</f>
        <v>17257</v>
      </c>
      <c r="U6" s="239">
        <f>SUM(Q6:T6)</f>
        <v>49114</v>
      </c>
      <c r="V6" s="246">
        <v>9028</v>
      </c>
      <c r="W6" s="246">
        <v>7460</v>
      </c>
      <c r="X6" s="246">
        <v>8145</v>
      </c>
      <c r="Y6" s="246">
        <f>11994</f>
        <v>11994</v>
      </c>
      <c r="Z6" s="239">
        <f>SUM(V6:Y6)</f>
        <v>36627</v>
      </c>
      <c r="AA6" s="246">
        <v>8754</v>
      </c>
      <c r="AB6" s="246">
        <v>8796</v>
      </c>
      <c r="AC6" s="246">
        <v>13351</v>
      </c>
      <c r="AD6" s="246">
        <v>10776</v>
      </c>
      <c r="AE6" s="239">
        <f>SUM(AA6:AD6)</f>
        <v>41677</v>
      </c>
      <c r="AF6" s="246">
        <v>11522</v>
      </c>
      <c r="AG6" s="246">
        <v>16142</v>
      </c>
      <c r="AH6" s="246">
        <v>17910</v>
      </c>
      <c r="AI6" s="246">
        <v>31430</v>
      </c>
      <c r="AJ6" s="239">
        <f>SUM(AF6:AI6)</f>
        <v>77004</v>
      </c>
      <c r="AK6" s="246">
        <v>23092</v>
      </c>
      <c r="AL6" s="246">
        <f>48783-AK6</f>
        <v>25691</v>
      </c>
      <c r="AM6" s="246">
        <f>81271-AK6-AL6</f>
        <v>32488</v>
      </c>
      <c r="AN6" s="246">
        <f>109108-AK6-AL6-AM6</f>
        <v>27837</v>
      </c>
      <c r="AO6" s="239">
        <f>SUM(AK6:AN6)</f>
        <v>109108</v>
      </c>
      <c r="AP6" s="246">
        <f>41757-AQ6</f>
        <v>17066</v>
      </c>
      <c r="AQ6" s="246">
        <v>24691</v>
      </c>
      <c r="AR6" s="246">
        <v>14390</v>
      </c>
      <c r="AS6" s="246">
        <f>86797-AP6-AQ6-AR6</f>
        <v>30650</v>
      </c>
      <c r="AT6" s="239">
        <f>SUM(AP6:AS6)</f>
        <v>86797</v>
      </c>
      <c r="AU6" s="246">
        <f>37358-AV6</f>
        <v>16991</v>
      </c>
      <c r="AV6" s="246">
        <v>20367</v>
      </c>
      <c r="AW6" s="246">
        <v>20924</v>
      </c>
      <c r="AX6" s="246">
        <f>83972-SUM(AU6:AW6)</f>
        <v>25690</v>
      </c>
      <c r="AY6" s="239">
        <f>SUM(AU6:AX6)</f>
        <v>83972</v>
      </c>
      <c r="AZ6" s="246">
        <v>15651</v>
      </c>
      <c r="BA6" s="246">
        <v>16580</v>
      </c>
      <c r="BB6" s="246">
        <v>20784</v>
      </c>
      <c r="BC6" s="246">
        <f>64335-SUM(AZ6:BB6)</f>
        <v>11320</v>
      </c>
      <c r="BD6" s="239">
        <f>SUM(AZ6:BC6)</f>
        <v>64335</v>
      </c>
      <c r="BE6" s="246">
        <v>13965</v>
      </c>
      <c r="BF6" s="246">
        <v>8957</v>
      </c>
      <c r="BG6" s="246">
        <v>8655</v>
      </c>
      <c r="BH6" s="246">
        <f>44568-SUM(BE6:BG6)</f>
        <v>12991</v>
      </c>
      <c r="BI6" s="239">
        <f>SUM(BE6:BH6)</f>
        <v>44568</v>
      </c>
      <c r="BJ6" s="246">
        <v>12943</v>
      </c>
      <c r="BK6" s="246">
        <v>26460</v>
      </c>
      <c r="BL6" s="246">
        <v>8263</v>
      </c>
      <c r="BM6" s="246">
        <f>53129-SUM(BJ6:BL6)</f>
        <v>5463</v>
      </c>
      <c r="BN6" s="239">
        <f>SUM(BJ6:BM6)</f>
        <v>53129</v>
      </c>
      <c r="BO6" s="246">
        <v>17607</v>
      </c>
      <c r="BP6" s="246">
        <v>5834</v>
      </c>
      <c r="BQ6" s="246">
        <v>5714</v>
      </c>
      <c r="BR6" s="169">
        <f>34083-SUM(BO6:BQ6)</f>
        <v>4928</v>
      </c>
      <c r="BS6" s="239">
        <f>SUM(BO6:BR6)</f>
        <v>34083</v>
      </c>
      <c r="BT6" s="246">
        <v>4121</v>
      </c>
      <c r="BU6" s="246">
        <v>4726</v>
      </c>
      <c r="BV6" s="246">
        <v>6810</v>
      </c>
      <c r="BW6" s="169">
        <f>23331-SUM(BT6:BV6)</f>
        <v>7674</v>
      </c>
      <c r="BX6" s="239">
        <f>SUM(BT6:BW6)</f>
        <v>23331</v>
      </c>
      <c r="BY6" s="246">
        <v>4433</v>
      </c>
      <c r="BZ6" s="246">
        <v>3977</v>
      </c>
      <c r="CA6" s="246">
        <v>8469</v>
      </c>
      <c r="CB6" s="169">
        <f>25100-SUM(BY6:CA6)</f>
        <v>8221</v>
      </c>
      <c r="CC6" s="239">
        <f>SUM(BY6:CB6)</f>
        <v>25100</v>
      </c>
      <c r="CD6" s="246">
        <v>11484</v>
      </c>
      <c r="CE6" s="246">
        <v>13481</v>
      </c>
      <c r="CF6" s="246">
        <v>17678</v>
      </c>
      <c r="CG6" s="169">
        <f>70655-SUM(CD6:CF6)</f>
        <v>28012</v>
      </c>
      <c r="CH6" s="239">
        <f>SUM(CD6:CG6)</f>
        <v>70655</v>
      </c>
      <c r="CI6" s="246">
        <v>21130</v>
      </c>
      <c r="CJ6" s="246">
        <v>24781</v>
      </c>
      <c r="CK6" s="246">
        <v>24806</v>
      </c>
      <c r="CL6" s="169">
        <f>113605-SUM(CI6:CK6)</f>
        <v>42888</v>
      </c>
      <c r="CM6" s="239">
        <f>SUM(CI6:CL6)</f>
        <v>113605</v>
      </c>
      <c r="CN6" s="246">
        <v>19900</v>
      </c>
      <c r="CO6" s="246">
        <v>29683</v>
      </c>
      <c r="CP6" s="246">
        <v>30252</v>
      </c>
      <c r="CQ6" s="169">
        <f>100623-SUM(CN6:CP6)</f>
        <v>20788</v>
      </c>
      <c r="CR6" s="239">
        <f>SUM(CN6:CQ6)</f>
        <v>100623</v>
      </c>
      <c r="CS6" s="246">
        <v>16220</v>
      </c>
      <c r="CT6" s="246">
        <f>36660-CS6</f>
        <v>20440</v>
      </c>
      <c r="CU6" s="246">
        <f>58236-SUM(CS6:CT6)</f>
        <v>21576</v>
      </c>
      <c r="CV6" s="169">
        <f>85917-SUM(CS6:CU6)</f>
        <v>27681</v>
      </c>
      <c r="CW6" s="239">
        <f>SUM(CS6:CV6)</f>
        <v>85917</v>
      </c>
      <c r="CX6" s="246">
        <v>19755</v>
      </c>
      <c r="CY6" s="246">
        <f>43338-CX6</f>
        <v>23583</v>
      </c>
      <c r="CZ6" s="246">
        <f>68671-SUM(CX6:CY6)</f>
        <v>25333</v>
      </c>
      <c r="DA6" s="169">
        <f>95542-SUM(CX6:CZ6)</f>
        <v>26871</v>
      </c>
      <c r="DB6" s="239">
        <f>SUM(CX6:DA6)</f>
        <v>95542</v>
      </c>
      <c r="DC6" s="246">
        <v>28111</v>
      </c>
      <c r="DD6" s="246">
        <f>54379-DC6</f>
        <v>26268</v>
      </c>
      <c r="DE6" s="246">
        <f>82693-SUM(DC6:DD6)</f>
        <v>28314</v>
      </c>
      <c r="DF6" s="169">
        <f>111635-SUM(DC6:DE6)</f>
        <v>28942</v>
      </c>
      <c r="DG6" s="239">
        <f>SUM(DC6:DF6)</f>
        <v>111635</v>
      </c>
      <c r="DH6" s="246">
        <v>31221</v>
      </c>
      <c r="DI6" s="246">
        <f>75560-DH6</f>
        <v>44339</v>
      </c>
      <c r="DJ6" s="114">
        <f>Forecasts!DJ42</f>
        <v>32960.463870036001</v>
      </c>
      <c r="DK6" s="114">
        <f>Forecasts!DK42</f>
        <v>36591.317392016943</v>
      </c>
      <c r="DL6" s="239">
        <f>SUM(DH6:DK6)</f>
        <v>145111.78126205294</v>
      </c>
      <c r="DM6" s="114">
        <f>Forecasts!DM42</f>
        <v>28754.229262081277</v>
      </c>
      <c r="DN6" s="114">
        <f>Forecasts!DN42</f>
        <v>30006.895164706293</v>
      </c>
      <c r="DO6" s="114">
        <f>Forecasts!DO42</f>
        <v>31048.697070171718</v>
      </c>
      <c r="DP6" s="114">
        <f>Forecasts!DP42</f>
        <v>33794.514426163485</v>
      </c>
      <c r="DQ6" s="239">
        <f>SUM(DM6:DP6)</f>
        <v>123604.33592312278</v>
      </c>
      <c r="DR6" s="114">
        <f>Forecasts!DR42</f>
        <v>32005.740841236431</v>
      </c>
      <c r="DS6" s="114">
        <f>Forecasts!DS42</f>
        <v>33090.834245960534</v>
      </c>
      <c r="DT6" s="114">
        <f>Forecasts!DT42</f>
        <v>34043.025764712474</v>
      </c>
      <c r="DU6" s="114">
        <f>Forecasts!DU42</f>
        <v>36792.267403981721</v>
      </c>
      <c r="DV6" s="239">
        <f>SUM(DR6:DU6)</f>
        <v>135931.86825589114</v>
      </c>
      <c r="DW6" s="114">
        <f>Forecasts!DW42</f>
        <v>34737.191492234444</v>
      </c>
      <c r="DX6" s="114">
        <f>Forecasts!DX42</f>
        <v>35802.382897574753</v>
      </c>
      <c r="DY6" s="114">
        <f>Forecasts!DY42</f>
        <v>36710.503464820998</v>
      </c>
      <c r="DZ6" s="114">
        <f>Forecasts!DZ42</f>
        <v>39521.817714436082</v>
      </c>
      <c r="EA6" s="239">
        <f>SUM(DW6:DZ6)</f>
        <v>146771.89556906628</v>
      </c>
      <c r="EB6" s="114">
        <f>Forecasts!EB42</f>
        <v>37283.080669397488</v>
      </c>
      <c r="EC6" s="114">
        <f>Forecasts!EC42</f>
        <v>38351.271646657129</v>
      </c>
      <c r="ED6" s="114">
        <f>Forecasts!ED42</f>
        <v>39233.451537071764</v>
      </c>
      <c r="EE6" s="114">
        <f>Forecasts!EE42</f>
        <v>42098.751353514948</v>
      </c>
      <c r="EF6" s="239">
        <f>SUM(EB6:EE6)</f>
        <v>156966.55520664132</v>
      </c>
    </row>
    <row r="7" spans="1:139" s="68" customFormat="1" ht="12.75" customHeight="1">
      <c r="A7" s="78" t="s">
        <v>32</v>
      </c>
      <c r="B7" s="240">
        <f>B8</f>
        <v>-6878</v>
      </c>
      <c r="C7" s="240">
        <f>C8</f>
        <v>-6878</v>
      </c>
      <c r="D7" s="240">
        <f>D8</f>
        <v>-5069</v>
      </c>
      <c r="E7" s="240">
        <f>E8</f>
        <v>-13740</v>
      </c>
      <c r="F7" s="241">
        <f>SUM(B7:E7)</f>
        <v>-32565</v>
      </c>
      <c r="G7" s="240">
        <f>G8</f>
        <v>-7917</v>
      </c>
      <c r="H7" s="240">
        <f>H8</f>
        <v>-11628</v>
      </c>
      <c r="I7" s="240">
        <f>I8</f>
        <v>-10928</v>
      </c>
      <c r="J7" s="240">
        <f>J8</f>
        <v>-5878</v>
      </c>
      <c r="K7" s="241">
        <f>SUM(G7:J7)</f>
        <v>-36351</v>
      </c>
      <c r="L7" s="240">
        <f>L8</f>
        <v>-10369</v>
      </c>
      <c r="M7" s="240">
        <f>M8</f>
        <v>-13345</v>
      </c>
      <c r="N7" s="240">
        <f>N8</f>
        <v>-4993</v>
      </c>
      <c r="O7" s="240">
        <f>O8</f>
        <v>-11380</v>
      </c>
      <c r="P7" s="241">
        <f>SUM(L7:O7)</f>
        <v>-40087</v>
      </c>
      <c r="Q7" s="240">
        <f>Q8</f>
        <v>-11770</v>
      </c>
      <c r="R7" s="240">
        <f>R8</f>
        <v>-16002</v>
      </c>
      <c r="S7" s="240">
        <f>S8</f>
        <v>-16844</v>
      </c>
      <c r="T7" s="240">
        <f>T8</f>
        <v>-36284</v>
      </c>
      <c r="U7" s="241">
        <f>SUM(Q7:T7)</f>
        <v>-80900</v>
      </c>
      <c r="V7" s="240">
        <f>V8</f>
        <v>-21734</v>
      </c>
      <c r="W7" s="240">
        <f>W8</f>
        <v>-35238</v>
      </c>
      <c r="X7" s="240">
        <f>X8</f>
        <v>-23275</v>
      </c>
      <c r="Y7" s="240">
        <f>Y8</f>
        <v>-39761</v>
      </c>
      <c r="Z7" s="241">
        <f>SUM(V7:Y7)</f>
        <v>-120008</v>
      </c>
      <c r="AA7" s="240">
        <f>AA8</f>
        <v>-27542</v>
      </c>
      <c r="AB7" s="240">
        <f>AB8</f>
        <v>-34115</v>
      </c>
      <c r="AC7" s="240">
        <f>AC8</f>
        <v>-48118</v>
      </c>
      <c r="AD7" s="240">
        <f>AD8</f>
        <v>-36393</v>
      </c>
      <c r="AE7" s="241">
        <f>SUM(AA7:AD7)</f>
        <v>-146168</v>
      </c>
      <c r="AF7" s="240">
        <f>AF8</f>
        <v>-37721</v>
      </c>
      <c r="AG7" s="240">
        <f>AG8</f>
        <v>-28704</v>
      </c>
      <c r="AH7" s="240">
        <f>AH8</f>
        <v>-40990</v>
      </c>
      <c r="AI7" s="240">
        <f>AI8</f>
        <v>-56031</v>
      </c>
      <c r="AJ7" s="241">
        <f>SUM(AF7:AI7)</f>
        <v>-163446</v>
      </c>
      <c r="AK7" s="240">
        <f>AK8</f>
        <v>-48141</v>
      </c>
      <c r="AL7" s="240">
        <f>AL8</f>
        <v>-55252</v>
      </c>
      <c r="AM7" s="240">
        <f>AM8</f>
        <v>-59788</v>
      </c>
      <c r="AN7" s="240">
        <f>AN8</f>
        <v>-85797</v>
      </c>
      <c r="AO7" s="241">
        <f>SUM(AK7:AN7)</f>
        <v>-248978</v>
      </c>
      <c r="AP7" s="240">
        <f>AP8</f>
        <v>-56299</v>
      </c>
      <c r="AQ7" s="240">
        <f>AQ8</f>
        <v>-53676</v>
      </c>
      <c r="AR7" s="240">
        <f>AR8</f>
        <v>-59168</v>
      </c>
      <c r="AS7" s="240">
        <f>AS8</f>
        <v>-929</v>
      </c>
      <c r="AT7" s="241">
        <f>SUM(AP7:AS7)</f>
        <v>-170072</v>
      </c>
      <c r="AU7" s="240">
        <f>AU8</f>
        <v>-35572</v>
      </c>
      <c r="AV7" s="240">
        <f>AV8</f>
        <v>-37731</v>
      </c>
      <c r="AW7" s="240">
        <f>AW8</f>
        <v>-40690</v>
      </c>
      <c r="AX7" s="240">
        <f>AX8</f>
        <v>-46461</v>
      </c>
      <c r="AY7" s="241">
        <f>SUM(AU7:AX7)</f>
        <v>-160454</v>
      </c>
      <c r="AZ7" s="240">
        <f>AZ8</f>
        <v>-35705</v>
      </c>
      <c r="BA7" s="240">
        <f>BA8</f>
        <v>-38886</v>
      </c>
      <c r="BB7" s="240">
        <f>BB8</f>
        <v>-14681</v>
      </c>
      <c r="BC7" s="240">
        <f>BC8</f>
        <v>-39364</v>
      </c>
      <c r="BD7" s="241">
        <f>SUM(AZ7:BC7)</f>
        <v>-128636</v>
      </c>
      <c r="BE7" s="240">
        <f>BE8</f>
        <v>-32796</v>
      </c>
      <c r="BF7" s="240">
        <f>BF8</f>
        <v>-28179</v>
      </c>
      <c r="BG7" s="240">
        <f>BG8</f>
        <v>-35143</v>
      </c>
      <c r="BH7" s="240">
        <f>BH8</f>
        <v>-28500</v>
      </c>
      <c r="BI7" s="241">
        <f>SUM(BE7:BH7)</f>
        <v>-124618</v>
      </c>
      <c r="BJ7" s="240">
        <f>BJ8</f>
        <v>-22520</v>
      </c>
      <c r="BK7" s="240">
        <f>BK8</f>
        <v>-21157</v>
      </c>
      <c r="BL7" s="240">
        <f>BL8</f>
        <v>-22577</v>
      </c>
      <c r="BM7" s="240">
        <f>BM8</f>
        <v>-29140</v>
      </c>
      <c r="BN7" s="241">
        <f>SUM(BJ7:BM7)</f>
        <v>-95394</v>
      </c>
      <c r="BO7" s="240">
        <f>BO8</f>
        <v>-20025</v>
      </c>
      <c r="BP7" s="240">
        <f>BP8</f>
        <v>-16351</v>
      </c>
      <c r="BQ7" s="240">
        <f>BQ8</f>
        <v>-16670</v>
      </c>
      <c r="BR7" s="240">
        <f>BR8</f>
        <v>-23105</v>
      </c>
      <c r="BS7" s="241">
        <f>SUM(BO7:BR7)</f>
        <v>-76151</v>
      </c>
      <c r="BT7" s="240">
        <f>BT8</f>
        <v>-13530</v>
      </c>
      <c r="BU7" s="240">
        <f>BU8</f>
        <v>-17982</v>
      </c>
      <c r="BV7" s="240">
        <f>BV8</f>
        <v>-19764</v>
      </c>
      <c r="BW7" s="240">
        <f>BW8</f>
        <v>-33895</v>
      </c>
      <c r="BX7" s="241">
        <f>SUM(BT7:BW7)</f>
        <v>-85171</v>
      </c>
      <c r="BY7" s="240">
        <f>BY8</f>
        <v>-21673</v>
      </c>
      <c r="BZ7" s="240">
        <f>BZ8</f>
        <v>-23017</v>
      </c>
      <c r="CA7" s="240">
        <f>CA8</f>
        <v>-25119</v>
      </c>
      <c r="CB7" s="240">
        <f>CB8</f>
        <v>-32086</v>
      </c>
      <c r="CC7" s="241">
        <f>SUM(BY7:CB7)</f>
        <v>-101895</v>
      </c>
      <c r="CD7" s="240">
        <f>CD8</f>
        <v>-20434</v>
      </c>
      <c r="CE7" s="240">
        <f>CE8</f>
        <v>-21930</v>
      </c>
      <c r="CF7" s="240">
        <f>CF8</f>
        <v>-28962</v>
      </c>
      <c r="CG7" s="240">
        <f>CG8</f>
        <v>-30775</v>
      </c>
      <c r="CH7" s="241">
        <f>SUM(CD7:CG7)</f>
        <v>-102101</v>
      </c>
      <c r="CI7" s="240">
        <f>CI8</f>
        <v>-26502</v>
      </c>
      <c r="CJ7" s="240">
        <f>CJ8</f>
        <v>-31935</v>
      </c>
      <c r="CK7" s="240">
        <f>CK8</f>
        <v>-33457</v>
      </c>
      <c r="CL7" s="240">
        <f>CL8</f>
        <v>-34933</v>
      </c>
      <c r="CM7" s="241">
        <f>SUM(CI7:CL7)</f>
        <v>-126827</v>
      </c>
      <c r="CN7" s="240">
        <f>CN8</f>
        <v>-27449</v>
      </c>
      <c r="CO7" s="240">
        <f>CO8</f>
        <v>-34008</v>
      </c>
      <c r="CP7" s="240">
        <f>CP8</f>
        <v>-40463</v>
      </c>
      <c r="CQ7" s="240">
        <f>CQ8</f>
        <v>-41633</v>
      </c>
      <c r="CR7" s="241">
        <f>SUM(CN7:CQ7)</f>
        <v>-143553</v>
      </c>
      <c r="CS7" s="240">
        <f>CS8</f>
        <v>-33896</v>
      </c>
      <c r="CT7" s="240">
        <f>CT8</f>
        <v>-45385</v>
      </c>
      <c r="CU7" s="240">
        <f>CU8</f>
        <v>-47004</v>
      </c>
      <c r="CV7" s="240">
        <f>CV8</f>
        <v>-50690</v>
      </c>
      <c r="CW7" s="241">
        <f>SUM(CS7:CV7)</f>
        <v>-176975</v>
      </c>
      <c r="CX7" s="240">
        <f>CX8</f>
        <v>-41664</v>
      </c>
      <c r="CY7" s="240">
        <f>CY8</f>
        <v>-52433</v>
      </c>
      <c r="CZ7" s="240">
        <f>CZ8</f>
        <v>-57154</v>
      </c>
      <c r="DA7" s="240">
        <f>DA8</f>
        <v>-68710</v>
      </c>
      <c r="DB7" s="241">
        <f>SUM(CX7:DA7)</f>
        <v>-219961</v>
      </c>
      <c r="DC7" s="240">
        <f>DC8</f>
        <v>-50623</v>
      </c>
      <c r="DD7" s="240">
        <f>DD8</f>
        <v>-60773</v>
      </c>
      <c r="DE7" s="240">
        <f>DE8</f>
        <v>-62927</v>
      </c>
      <c r="DF7" s="240">
        <f>DF8</f>
        <v>-81908</v>
      </c>
      <c r="DG7" s="241">
        <f>SUM(DC7:DF7)</f>
        <v>-256231</v>
      </c>
      <c r="DH7" s="240">
        <f>DH8</f>
        <v>-56273</v>
      </c>
      <c r="DI7" s="240">
        <f>DI8</f>
        <v>-68051</v>
      </c>
      <c r="DJ7" s="240">
        <f>DJ8</f>
        <v>-70932.519099837766</v>
      </c>
      <c r="DK7" s="240">
        <f>DK8</f>
        <v>-75834.243689973096</v>
      </c>
      <c r="DL7" s="241">
        <f>SUM(DH7:DK7)</f>
        <v>-271090.76278981083</v>
      </c>
      <c r="DM7" s="240">
        <f>DM8</f>
        <v>-60406.88483378035</v>
      </c>
      <c r="DN7" s="240">
        <f>DN8</f>
        <v>-63038.485362014973</v>
      </c>
      <c r="DO7" s="240">
        <f>DO8</f>
        <v>-65227.102805016737</v>
      </c>
      <c r="DP7" s="240">
        <f>DP8</f>
        <v>-70995.51590648423</v>
      </c>
      <c r="DQ7" s="241">
        <f>SUM(DM7:DP7)</f>
        <v>-259667.98890729627</v>
      </c>
      <c r="DR7" s="240">
        <f>DR8</f>
        <v>-67237.660359269488</v>
      </c>
      <c r="DS7" s="240">
        <f>DS8</f>
        <v>-69517.224583913892</v>
      </c>
      <c r="DT7" s="240">
        <f>DT8</f>
        <v>-71517.588526507971</v>
      </c>
      <c r="DU7" s="240">
        <f>DU8</f>
        <v>-77293.195362284794</v>
      </c>
      <c r="DV7" s="241">
        <f>SUM(DR7:DU7)</f>
        <v>-285565.66883197613</v>
      </c>
      <c r="DW7" s="240">
        <f>DW8</f>
        <v>-72975.891886886107</v>
      </c>
      <c r="DX7" s="240">
        <f>DX8</f>
        <v>-75213.645991225043</v>
      </c>
      <c r="DY7" s="240">
        <f>DY8</f>
        <v>-77121.425678895946</v>
      </c>
      <c r="DZ7" s="240">
        <f>DZ8</f>
        <v>-83027.434654487311</v>
      </c>
      <c r="EA7" s="241">
        <f>SUM(DW7:DZ7)</f>
        <v>-308338.39821149438</v>
      </c>
      <c r="EB7" s="240">
        <f>EB8</f>
        <v>-78324.295870270245</v>
      </c>
      <c r="EC7" s="240">
        <f>EC8</f>
        <v>-80568.351475297284</v>
      </c>
      <c r="ED7" s="240">
        <f>ED8</f>
        <v>-82421.634989080354</v>
      </c>
      <c r="EE7" s="240">
        <f>EE8</f>
        <v>-88441.056843464205</v>
      </c>
      <c r="EF7" s="241">
        <f>SUM(EB7:EE7)</f>
        <v>-329755.3391781121</v>
      </c>
    </row>
    <row r="8" spans="1:139" ht="12.75" customHeight="1" outlineLevel="1">
      <c r="A8" s="71" t="s">
        <v>737</v>
      </c>
      <c r="B8" s="246">
        <f>(-18825-SUM(D8))/2</f>
        <v>-6878</v>
      </c>
      <c r="C8" s="246">
        <f>B8</f>
        <v>-6878</v>
      </c>
      <c r="D8" s="246">
        <v>-5069</v>
      </c>
      <c r="E8" s="246">
        <v>-13740</v>
      </c>
      <c r="F8" s="239">
        <f>SUM(B8:E8)</f>
        <v>-32565</v>
      </c>
      <c r="G8" s="246">
        <f>-7917</f>
        <v>-7917</v>
      </c>
      <c r="H8" s="246">
        <f>-11628</f>
        <v>-11628</v>
      </c>
      <c r="I8" s="246">
        <f>-10928</f>
        <v>-10928</v>
      </c>
      <c r="J8" s="246">
        <f>-5878</f>
        <v>-5878</v>
      </c>
      <c r="K8" s="239">
        <f>SUM(G8:J8)</f>
        <v>-36351</v>
      </c>
      <c r="L8" s="246">
        <f>-10369</f>
        <v>-10369</v>
      </c>
      <c r="M8" s="246">
        <f>-13345</f>
        <v>-13345</v>
      </c>
      <c r="N8" s="246">
        <f>-28707-L8-M8</f>
        <v>-4993</v>
      </c>
      <c r="O8" s="246">
        <f>-40087-SUM(L8:N8)</f>
        <v>-11380</v>
      </c>
      <c r="P8" s="239">
        <f>SUM(L8:O8)</f>
        <v>-40087</v>
      </c>
      <c r="Q8" s="246">
        <v>-11770</v>
      </c>
      <c r="R8" s="246">
        <f>-27772-Q8</f>
        <v>-16002</v>
      </c>
      <c r="S8" s="246">
        <v>-16844</v>
      </c>
      <c r="T8" s="246">
        <f>-80900-SUM(Q8:S8)</f>
        <v>-36284</v>
      </c>
      <c r="U8" s="239">
        <f>SUM(Q8:T8)</f>
        <v>-80900</v>
      </c>
      <c r="V8" s="246">
        <v>-21734</v>
      </c>
      <c r="W8" s="246">
        <v>-35238</v>
      </c>
      <c r="X8" s="246">
        <v>-23275</v>
      </c>
      <c r="Y8" s="246">
        <f>-120008-SUM(V8:X8)</f>
        <v>-39761</v>
      </c>
      <c r="Z8" s="239">
        <f>SUM(V8:Y8)</f>
        <v>-120008</v>
      </c>
      <c r="AA8" s="246">
        <v>-27542</v>
      </c>
      <c r="AB8" s="246">
        <v>-34115</v>
      </c>
      <c r="AC8" s="246">
        <v>-48118</v>
      </c>
      <c r="AD8" s="246">
        <v>-36393</v>
      </c>
      <c r="AE8" s="239">
        <f>SUM(AA8:AD8)</f>
        <v>-146168</v>
      </c>
      <c r="AF8" s="246">
        <v>-37721</v>
      </c>
      <c r="AG8" s="246">
        <v>-28704</v>
      </c>
      <c r="AH8" s="246">
        <v>-40990</v>
      </c>
      <c r="AI8" s="246">
        <v>-56031</v>
      </c>
      <c r="AJ8" s="239">
        <f>SUM(AF8:AI8)</f>
        <v>-163446</v>
      </c>
      <c r="AK8" s="246">
        <v>-48141</v>
      </c>
      <c r="AL8" s="246">
        <f>-103393-AK8</f>
        <v>-55252</v>
      </c>
      <c r="AM8" s="246">
        <f>-163181-AK8-AL8</f>
        <v>-59788</v>
      </c>
      <c r="AN8" s="246">
        <f>-248978-AK8-AL8-AM8</f>
        <v>-85797</v>
      </c>
      <c r="AO8" s="239">
        <f>SUM(AK8:AN8)</f>
        <v>-248978</v>
      </c>
      <c r="AP8" s="246">
        <f>-109975-AQ8</f>
        <v>-56299</v>
      </c>
      <c r="AQ8" s="246">
        <v>-53676</v>
      </c>
      <c r="AR8" s="246">
        <v>-59168</v>
      </c>
      <c r="AS8" s="246">
        <f>-170072-AP8-AQ8-AR8</f>
        <v>-929</v>
      </c>
      <c r="AT8" s="239">
        <f>SUM(AP8:AS8)</f>
        <v>-170072</v>
      </c>
      <c r="AU8" s="246">
        <f>-73303-AV8</f>
        <v>-35572</v>
      </c>
      <c r="AV8" s="246">
        <v>-37731</v>
      </c>
      <c r="AW8" s="246">
        <v>-40690</v>
      </c>
      <c r="AX8" s="246">
        <f>-160454-SUM(AU8:AW8)</f>
        <v>-46461</v>
      </c>
      <c r="AY8" s="239">
        <f>SUM(AU8:AX8)</f>
        <v>-160454</v>
      </c>
      <c r="AZ8" s="246">
        <v>-35705</v>
      </c>
      <c r="BA8" s="246">
        <v>-38886</v>
      </c>
      <c r="BB8" s="245">
        <v>-14681</v>
      </c>
      <c r="BC8" s="246">
        <f>-128636-SUM(AZ8:BB8)</f>
        <v>-39364</v>
      </c>
      <c r="BD8" s="239">
        <f>SUM(AZ8:BC8)</f>
        <v>-128636</v>
      </c>
      <c r="BE8" s="246">
        <v>-32796</v>
      </c>
      <c r="BF8" s="246">
        <v>-28179</v>
      </c>
      <c r="BG8" s="246">
        <v>-35143</v>
      </c>
      <c r="BH8" s="246">
        <f>-124618-SUM(BE8:BG8)</f>
        <v>-28500</v>
      </c>
      <c r="BI8" s="239">
        <f>SUM(BE8:BH8)</f>
        <v>-124618</v>
      </c>
      <c r="BJ8" s="246">
        <v>-22520</v>
      </c>
      <c r="BK8" s="246">
        <v>-21157</v>
      </c>
      <c r="BL8" s="246">
        <v>-22577</v>
      </c>
      <c r="BM8" s="246">
        <f>-95394-SUM(BJ8:BL8)</f>
        <v>-29140</v>
      </c>
      <c r="BN8" s="239">
        <f>SUM(BJ8:BM8)</f>
        <v>-95394</v>
      </c>
      <c r="BO8" s="246">
        <v>-20025</v>
      </c>
      <c r="BP8" s="246">
        <v>-16351</v>
      </c>
      <c r="BQ8" s="246">
        <v>-16670</v>
      </c>
      <c r="BR8" s="246">
        <f>-76151-SUM(BO8:BQ8)</f>
        <v>-23105</v>
      </c>
      <c r="BS8" s="239">
        <f>SUM(BO8:BR8)</f>
        <v>-76151</v>
      </c>
      <c r="BT8" s="246">
        <v>-13530</v>
      </c>
      <c r="BU8" s="246">
        <v>-17982</v>
      </c>
      <c r="BV8" s="246">
        <v>-19764</v>
      </c>
      <c r="BW8" s="246">
        <f>-85171-SUM(BT8:BV8)</f>
        <v>-33895</v>
      </c>
      <c r="BX8" s="239">
        <f>SUM(BT8:BW8)</f>
        <v>-85171</v>
      </c>
      <c r="BY8" s="246">
        <v>-21673</v>
      </c>
      <c r="BZ8" s="246">
        <v>-23017</v>
      </c>
      <c r="CA8" s="246">
        <v>-25119</v>
      </c>
      <c r="CB8" s="246">
        <f>-101895-SUM(BY8:CA8)</f>
        <v>-32086</v>
      </c>
      <c r="CC8" s="239">
        <f>SUM(BY8:CB8)</f>
        <v>-101895</v>
      </c>
      <c r="CD8" s="246">
        <v>-20434</v>
      </c>
      <c r="CE8" s="246">
        <v>-21930</v>
      </c>
      <c r="CF8" s="246">
        <v>-28962</v>
      </c>
      <c r="CG8" s="246">
        <f>-102101-SUM(CD8:CF8)</f>
        <v>-30775</v>
      </c>
      <c r="CH8" s="239">
        <f>SUM(CD8:CG8)</f>
        <v>-102101</v>
      </c>
      <c r="CI8" s="246">
        <v>-26502</v>
      </c>
      <c r="CJ8" s="246">
        <v>-31935</v>
      </c>
      <c r="CK8" s="246">
        <v>-33457</v>
      </c>
      <c r="CL8" s="246">
        <f>-126827-SUM(CI8:CK8)</f>
        <v>-34933</v>
      </c>
      <c r="CM8" s="239">
        <f>SUM(CI8:CL8)</f>
        <v>-126827</v>
      </c>
      <c r="CN8" s="246">
        <v>-27449</v>
      </c>
      <c r="CO8" s="246">
        <v>-34008</v>
      </c>
      <c r="CP8" s="246">
        <v>-40463</v>
      </c>
      <c r="CQ8" s="246">
        <f>-143553-SUM(CN8:CP8)</f>
        <v>-41633</v>
      </c>
      <c r="CR8" s="239">
        <f>SUM(CN8:CQ8)</f>
        <v>-143553</v>
      </c>
      <c r="CS8" s="246">
        <v>-33896</v>
      </c>
      <c r="CT8" s="246">
        <f>-79281-CS8</f>
        <v>-45385</v>
      </c>
      <c r="CU8" s="246">
        <f>-126285-SUM(CS8:CT8)</f>
        <v>-47004</v>
      </c>
      <c r="CV8" s="246">
        <f>-176975-SUM(CS8:CU8)</f>
        <v>-50690</v>
      </c>
      <c r="CW8" s="239">
        <f>SUM(CS8:CV8)</f>
        <v>-176975</v>
      </c>
      <c r="CX8" s="246">
        <v>-41664</v>
      </c>
      <c r="CY8" s="246">
        <f>-94097-CX8</f>
        <v>-52433</v>
      </c>
      <c r="CZ8" s="246">
        <f>-151251-SUM(CX8:CY8)</f>
        <v>-57154</v>
      </c>
      <c r="DA8" s="246">
        <f>-219961-SUM(CX8:CZ8)</f>
        <v>-68710</v>
      </c>
      <c r="DB8" s="239">
        <f>SUM(CX8:DA8)</f>
        <v>-219961</v>
      </c>
      <c r="DC8" s="246">
        <v>-50623</v>
      </c>
      <c r="DD8" s="246">
        <f>-111396-DC8</f>
        <v>-60773</v>
      </c>
      <c r="DE8" s="246">
        <f>-174323-SUM(DC8:DD8)</f>
        <v>-62927</v>
      </c>
      <c r="DF8" s="246">
        <f>-256231-SUM(DC8:DE8)</f>
        <v>-81908</v>
      </c>
      <c r="DG8" s="239">
        <f>SUM(DC8:DF8)</f>
        <v>-256231</v>
      </c>
      <c r="DH8" s="246">
        <v>-56273</v>
      </c>
      <c r="DI8" s="246">
        <f>-124324-DH8</f>
        <v>-68051</v>
      </c>
      <c r="DJ8" s="114">
        <f>-DJ9*DJ$4</f>
        <v>-70932.519099837766</v>
      </c>
      <c r="DK8" s="114">
        <f>-DK9*DK$4</f>
        <v>-75834.243689973096</v>
      </c>
      <c r="DL8" s="239">
        <f>SUM(DH8:DK8)</f>
        <v>-271090.76278981083</v>
      </c>
      <c r="DM8" s="114">
        <f>-DM9*DM$4</f>
        <v>-60406.88483378035</v>
      </c>
      <c r="DN8" s="114">
        <f>-DN9*DN$4</f>
        <v>-63038.485362014973</v>
      </c>
      <c r="DO8" s="114">
        <f>-DO9*DO$4</f>
        <v>-65227.102805016737</v>
      </c>
      <c r="DP8" s="114">
        <f>-DP9*DP$4</f>
        <v>-70995.51590648423</v>
      </c>
      <c r="DQ8" s="239">
        <f>SUM(DM8:DP8)</f>
        <v>-259667.98890729627</v>
      </c>
      <c r="DR8" s="114">
        <f>-DR9*DR$4</f>
        <v>-67237.660359269488</v>
      </c>
      <c r="DS8" s="114">
        <f>-DS9*DS$4</f>
        <v>-69517.224583913892</v>
      </c>
      <c r="DT8" s="114">
        <f>-DT9*DT$4</f>
        <v>-71517.588526507971</v>
      </c>
      <c r="DU8" s="114">
        <f>-DU9*DU$4</f>
        <v>-77293.195362284794</v>
      </c>
      <c r="DV8" s="239">
        <f>SUM(DR8:DU8)</f>
        <v>-285565.66883197613</v>
      </c>
      <c r="DW8" s="114">
        <f>-DW9*DW$4</f>
        <v>-72975.891886886107</v>
      </c>
      <c r="DX8" s="114">
        <f>-DX9*DX$4</f>
        <v>-75213.645991225043</v>
      </c>
      <c r="DY8" s="114">
        <f>-DY9*DY$4</f>
        <v>-77121.425678895946</v>
      </c>
      <c r="DZ8" s="114">
        <f>-DZ9*DZ$4</f>
        <v>-83027.434654487311</v>
      </c>
      <c r="EA8" s="239">
        <f>SUM(DW8:DZ8)</f>
        <v>-308338.39821149438</v>
      </c>
      <c r="EB8" s="114">
        <f>-EB9*EB$4</f>
        <v>-78324.295870270245</v>
      </c>
      <c r="EC8" s="114">
        <f>-EC9*EC$4</f>
        <v>-80568.351475297284</v>
      </c>
      <c r="ED8" s="114">
        <f>-ED9*ED$4</f>
        <v>-82421.634989080354</v>
      </c>
      <c r="EE8" s="114">
        <f>-EE9*EE$4</f>
        <v>-88441.056843464205</v>
      </c>
      <c r="EF8" s="239">
        <f>SUM(EB8:EE8)</f>
        <v>-329755.3391781121</v>
      </c>
    </row>
    <row r="9" spans="1:139" ht="12.75" customHeight="1" outlineLevel="1">
      <c r="A9" s="247" t="s">
        <v>738</v>
      </c>
      <c r="B9" s="248">
        <f t="shared" ref="B9:M9" si="8">-B8/B$4</f>
        <v>5.9046989487781532E-2</v>
      </c>
      <c r="C9" s="248">
        <f t="shared" si="8"/>
        <v>5.9046989487781532E-2</v>
      </c>
      <c r="D9" s="248">
        <f t="shared" si="8"/>
        <v>3.9670055329905543E-2</v>
      </c>
      <c r="E9" s="248">
        <f t="shared" si="8"/>
        <v>7.0010598402087065E-2</v>
      </c>
      <c r="F9" s="249">
        <f t="shared" si="8"/>
        <v>5.8464781095938612E-2</v>
      </c>
      <c r="G9" s="248">
        <f t="shared" si="8"/>
        <v>4.4463539560587677E-2</v>
      </c>
      <c r="H9" s="248">
        <f t="shared" si="8"/>
        <v>7.5343575256102066E-2</v>
      </c>
      <c r="I9" s="248">
        <f t="shared" si="8"/>
        <v>4.1412920315750779E-2</v>
      </c>
      <c r="J9" s="248">
        <f t="shared" si="8"/>
        <v>4.5590276969852093E-2</v>
      </c>
      <c r="K9" s="249">
        <f t="shared" si="8"/>
        <v>5.0125551745107202E-2</v>
      </c>
      <c r="L9" s="248">
        <f t="shared" si="8"/>
        <v>4.294506477585236E-2</v>
      </c>
      <c r="M9" s="248">
        <f t="shared" si="8"/>
        <v>4.8466117299262389E-2</v>
      </c>
      <c r="N9" s="248">
        <f>-N8/N$4</f>
        <v>2.0995929489335936E-2</v>
      </c>
      <c r="O9" s="248">
        <f>-O8/O$4</f>
        <v>2.8296843335446895E-2</v>
      </c>
      <c r="P9" s="249">
        <f t="shared" ref="P9:AI9" si="9">-P8/P$4</f>
        <v>3.4654312705745663E-2</v>
      </c>
      <c r="Q9" s="248">
        <f t="shared" si="9"/>
        <v>3.9330216767303458E-2</v>
      </c>
      <c r="R9" s="248">
        <f t="shared" si="9"/>
        <v>4.131702203471229E-2</v>
      </c>
      <c r="S9" s="248">
        <f t="shared" si="9"/>
        <v>3.9020728893501486E-2</v>
      </c>
      <c r="T9" s="248">
        <f t="shared" si="9"/>
        <v>3.7748176260804067E-2</v>
      </c>
      <c r="U9" s="249">
        <f t="shared" si="9"/>
        <v>3.8904723822146263E-2</v>
      </c>
      <c r="V9" s="248">
        <f t="shared" si="9"/>
        <v>3.7958080893640875E-2</v>
      </c>
      <c r="W9" s="248">
        <f t="shared" si="9"/>
        <v>4.244933557718833E-2</v>
      </c>
      <c r="X9" s="248">
        <f t="shared" si="9"/>
        <v>3.0071370246720897E-2</v>
      </c>
      <c r="Y9" s="248">
        <f t="shared" si="9"/>
        <v>5.028207076998175E-2</v>
      </c>
      <c r="Z9" s="249">
        <f t="shared" si="9"/>
        <v>4.0441470097716925E-2</v>
      </c>
      <c r="AA9" s="248">
        <f t="shared" si="9"/>
        <v>3.9402228338931838E-2</v>
      </c>
      <c r="AB9" s="248">
        <f t="shared" si="9"/>
        <v>3.7500755731190535E-2</v>
      </c>
      <c r="AC9" s="248">
        <f t="shared" si="9"/>
        <v>3.4444153341551022E-2</v>
      </c>
      <c r="AD9" s="248">
        <f t="shared" si="9"/>
        <v>2.9628851677445826E-2</v>
      </c>
      <c r="AE9" s="249">
        <f t="shared" si="9"/>
        <v>3.4522494486882715E-2</v>
      </c>
      <c r="AF9" s="248">
        <f t="shared" si="9"/>
        <v>3.2235514699158842E-2</v>
      </c>
      <c r="AG9" s="248">
        <f t="shared" si="9"/>
        <v>2.3250784300860482E-2</v>
      </c>
      <c r="AH9" s="248">
        <f t="shared" si="9"/>
        <v>3.4057890936646011E-2</v>
      </c>
      <c r="AI9" s="248">
        <f t="shared" si="9"/>
        <v>3.8767622590126366E-2</v>
      </c>
      <c r="AJ9" s="249">
        <f t="shared" ref="AJ9:BO9" si="10">-AJ8/AJ$4</f>
        <v>3.2342802120726592E-2</v>
      </c>
      <c r="AK9" s="248">
        <f t="shared" si="10"/>
        <v>3.8547245818863735E-2</v>
      </c>
      <c r="AL9" s="248">
        <f t="shared" si="10"/>
        <v>3.841917593329143E-2</v>
      </c>
      <c r="AM9" s="248">
        <f t="shared" si="10"/>
        <v>3.6920074842996434E-2</v>
      </c>
      <c r="AN9" s="248">
        <f t="shared" si="10"/>
        <v>4.1460845192934977E-2</v>
      </c>
      <c r="AO9" s="249">
        <f t="shared" si="10"/>
        <v>3.9050723215855558E-2</v>
      </c>
      <c r="AP9" s="248">
        <f t="shared" si="10"/>
        <v>3.6974548186638749E-2</v>
      </c>
      <c r="AQ9" s="248">
        <f t="shared" si="10"/>
        <v>3.7302484677946737E-2</v>
      </c>
      <c r="AR9" s="248">
        <f t="shared" si="10"/>
        <v>4.1989326671965484E-2</v>
      </c>
      <c r="AS9" s="248">
        <f t="shared" si="10"/>
        <v>6.4872036590901151E-4</v>
      </c>
      <c r="AT9" s="249">
        <f t="shared" si="10"/>
        <v>2.9308857126559455E-2</v>
      </c>
      <c r="AU9" s="248">
        <f t="shared" si="10"/>
        <v>2.843617050190976E-2</v>
      </c>
      <c r="AV9" s="248">
        <f t="shared" si="10"/>
        <v>2.6756728007658759E-2</v>
      </c>
      <c r="AW9" s="248">
        <f t="shared" si="10"/>
        <v>2.8352674098240029E-2</v>
      </c>
      <c r="AX9" s="248">
        <f t="shared" si="10"/>
        <v>3.2352068719161402E-2</v>
      </c>
      <c r="AY9" s="249">
        <f t="shared" si="10"/>
        <v>2.9002938360938309E-2</v>
      </c>
      <c r="AZ9" s="248">
        <f t="shared" si="10"/>
        <v>2.6427260824222632E-2</v>
      </c>
      <c r="BA9" s="248">
        <f t="shared" si="10"/>
        <v>2.7831038414219123E-2</v>
      </c>
      <c r="BB9" s="248">
        <f t="shared" si="10"/>
        <v>9.0157254738921031E-3</v>
      </c>
      <c r="BC9" s="248">
        <f t="shared" si="10"/>
        <v>2.5074176604654302E-2</v>
      </c>
      <c r="BD9" s="249">
        <f t="shared" si="10"/>
        <v>2.1631991454559549E-2</v>
      </c>
      <c r="BE9" s="248">
        <f t="shared" si="10"/>
        <v>3.0707577644404078E-2</v>
      </c>
      <c r="BF9" s="248">
        <f t="shared" si="10"/>
        <v>2.4170099034019465E-2</v>
      </c>
      <c r="BG9" s="248">
        <f t="shared" si="10"/>
        <v>2.9963099253459018E-2</v>
      </c>
      <c r="BH9" s="248">
        <f t="shared" si="10"/>
        <v>2.6910809080556798E-2</v>
      </c>
      <c r="BI9" s="249">
        <f t="shared" si="10"/>
        <v>2.790495413813689E-2</v>
      </c>
      <c r="BJ9" s="248">
        <f t="shared" si="10"/>
        <v>2.7027481139570778E-2</v>
      </c>
      <c r="BK9" s="248">
        <f t="shared" si="10"/>
        <v>3.1950044549147523E-2</v>
      </c>
      <c r="BL9" s="248">
        <f t="shared" si="10"/>
        <v>2.6643174759023065E-2</v>
      </c>
      <c r="BM9" s="248">
        <f t="shared" si="10"/>
        <v>3.0741509688744853E-2</v>
      </c>
      <c r="BN9" s="249">
        <f t="shared" si="10"/>
        <v>2.8988933674982616E-2</v>
      </c>
      <c r="BO9" s="248">
        <f t="shared" si="10"/>
        <v>2.8108734833214487E-2</v>
      </c>
      <c r="BP9" s="248">
        <f t="shared" ref="BP9:CU9" si="11">-BP8/BP$4</f>
        <v>2.7661658549129008E-2</v>
      </c>
      <c r="BQ9" s="248">
        <f t="shared" si="11"/>
        <v>2.7127878573857969E-2</v>
      </c>
      <c r="BR9" s="248">
        <f t="shared" si="11"/>
        <v>2.7773603957182612E-2</v>
      </c>
      <c r="BS9" s="249">
        <f t="shared" si="11"/>
        <v>2.769206824486958E-2</v>
      </c>
      <c r="BT9" s="248">
        <f t="shared" si="11"/>
        <v>2.9149933642427482E-2</v>
      </c>
      <c r="BU9" s="248">
        <f t="shared" si="11"/>
        <v>2.7348175951794694E-2</v>
      </c>
      <c r="BV9" s="248">
        <f t="shared" si="11"/>
        <v>2.6543502522868322E-2</v>
      </c>
      <c r="BW9" s="248">
        <f t="shared" si="11"/>
        <v>3.0506738573586087E-2</v>
      </c>
      <c r="BX9" s="249">
        <f t="shared" si="11"/>
        <v>2.8606522358302477E-2</v>
      </c>
      <c r="BY9" s="248">
        <f t="shared" si="11"/>
        <v>2.5560525952667092E-2</v>
      </c>
      <c r="BZ9" s="248">
        <f t="shared" si="11"/>
        <v>2.3985061048998634E-2</v>
      </c>
      <c r="CA9" s="248">
        <f t="shared" si="11"/>
        <v>2.6168950637476845E-2</v>
      </c>
      <c r="CB9" s="248">
        <f t="shared" si="11"/>
        <v>2.5358573356980049E-2</v>
      </c>
      <c r="CC9" s="249">
        <f t="shared" si="11"/>
        <v>2.5267077936022307E-2</v>
      </c>
      <c r="CD9" s="248">
        <f t="shared" si="11"/>
        <v>2.6024307523411561E-2</v>
      </c>
      <c r="CE9" s="248">
        <f t="shared" si="11"/>
        <v>2.5478136204048155E-2</v>
      </c>
      <c r="CF9" s="248">
        <f t="shared" si="11"/>
        <v>2.4287505293656416E-2</v>
      </c>
      <c r="CG9" s="248">
        <f t="shared" si="11"/>
        <v>2.8301322874182112E-2</v>
      </c>
      <c r="CH9" s="249">
        <f t="shared" si="11"/>
        <v>2.6007712574032737E-2</v>
      </c>
      <c r="CI9" s="248">
        <f t="shared" si="11"/>
        <v>2.5724252936711465E-2</v>
      </c>
      <c r="CJ9" s="248">
        <f t="shared" si="11"/>
        <v>2.63065981083303E-2</v>
      </c>
      <c r="CK9" s="248">
        <f t="shared" si="11"/>
        <v>2.5311772769776881E-2</v>
      </c>
      <c r="CL9" s="248">
        <f t="shared" si="11"/>
        <v>2.5844211186704505E-2</v>
      </c>
      <c r="CM9" s="249">
        <f t="shared" si="11"/>
        <v>2.5790111557122696E-2</v>
      </c>
      <c r="CN9" s="248">
        <f t="shared" si="11"/>
        <v>2.1800475100885473E-2</v>
      </c>
      <c r="CO9" s="248">
        <f t="shared" si="11"/>
        <v>2.6484104319709427E-2</v>
      </c>
      <c r="CP9" s="248">
        <f t="shared" si="11"/>
        <v>2.5287683886140114E-2</v>
      </c>
      <c r="CQ9" s="248">
        <f t="shared" si="11"/>
        <v>2.9473667816125315E-2</v>
      </c>
      <c r="CR9" s="249">
        <f t="shared" si="11"/>
        <v>2.5838179878211211E-2</v>
      </c>
      <c r="CS9" s="248">
        <f t="shared" si="11"/>
        <v>2.5730990600627637E-2</v>
      </c>
      <c r="CT9" s="248">
        <f t="shared" si="11"/>
        <v>2.703998951407259E-2</v>
      </c>
      <c r="CU9" s="248">
        <f t="shared" si="11"/>
        <v>2.8095787723902879E-2</v>
      </c>
      <c r="CV9" s="248">
        <f t="shared" ref="CV9:CY9" si="12">-CV8/CV$4</f>
        <v>2.8786072742615937E-2</v>
      </c>
      <c r="CW9" s="249">
        <f t="shared" si="12"/>
        <v>2.7524723648508463E-2</v>
      </c>
      <c r="CX9" s="248">
        <f t="shared" si="12"/>
        <v>2.5804933186751932E-2</v>
      </c>
      <c r="CY9" s="248">
        <f t="shared" si="12"/>
        <v>2.7462040863357583E-2</v>
      </c>
      <c r="CZ9" s="248">
        <f>-CZ8/CZ$4</f>
        <v>2.7388280169924836E-2</v>
      </c>
      <c r="DA9" s="248">
        <f t="shared" ref="DA9" si="13">-DA8/DA$4</f>
        <v>2.668371276037591E-2</v>
      </c>
      <c r="DB9" s="249">
        <f>-DB8/DB$4</f>
        <v>2.6871540668308647E-2</v>
      </c>
      <c r="DC9" s="248">
        <f t="shared" ref="DC9:DD9" si="14">-DC8/DC$4</f>
        <v>2.5268959706334387E-2</v>
      </c>
      <c r="DD9" s="248">
        <f t="shared" si="14"/>
        <v>2.8033080815885212E-2</v>
      </c>
      <c r="DE9" s="248">
        <f>-DE8/DE$4</f>
        <v>2.8715786860566413E-2</v>
      </c>
      <c r="DF9" s="248">
        <f t="shared" ref="DF9" si="15">-DF8/DF$4</f>
        <v>2.4692787214786974E-2</v>
      </c>
      <c r="DG9" s="249">
        <f>-DG8/DG$4</f>
        <v>2.6470896642208329E-2</v>
      </c>
      <c r="DH9" s="248">
        <f t="shared" ref="DH9:DI9" si="16">-DH8/DH$4</f>
        <v>2.7037350586602834E-2</v>
      </c>
      <c r="DI9" s="248">
        <f t="shared" si="16"/>
        <v>2.6697953095465455E-2</v>
      </c>
      <c r="DJ9" s="250">
        <f>DI9*80%+20%*2.08%</f>
        <v>2.5518362476372364E-2</v>
      </c>
      <c r="DK9" s="250">
        <f>DJ9*80%+20%*2.08%</f>
        <v>2.4574689981097894E-2</v>
      </c>
      <c r="DL9" s="249">
        <f>-DL8/DL$4</f>
        <v>2.5828593896528394E-2</v>
      </c>
      <c r="DM9" s="250">
        <v>2.0799999999999999E-2</v>
      </c>
      <c r="DN9" s="250">
        <f>DM9</f>
        <v>2.0799999999999999E-2</v>
      </c>
      <c r="DO9" s="250">
        <f>DN9</f>
        <v>2.0799999999999999E-2</v>
      </c>
      <c r="DP9" s="250">
        <f>DO9</f>
        <v>2.0799999999999999E-2</v>
      </c>
      <c r="DQ9" s="249">
        <f>-DQ8/DQ$4</f>
        <v>2.0799999999999996E-2</v>
      </c>
      <c r="DR9" s="250">
        <f>DP9</f>
        <v>2.0799999999999999E-2</v>
      </c>
      <c r="DS9" s="250">
        <f>DR9</f>
        <v>2.0799999999999999E-2</v>
      </c>
      <c r="DT9" s="250">
        <f>DS9</f>
        <v>2.0799999999999999E-2</v>
      </c>
      <c r="DU9" s="250">
        <f>DT9</f>
        <v>2.0799999999999999E-2</v>
      </c>
      <c r="DV9" s="249">
        <f>-DV8/DV$4</f>
        <v>2.0799999999999999E-2</v>
      </c>
      <c r="DW9" s="250">
        <f>DU9</f>
        <v>2.0799999999999999E-2</v>
      </c>
      <c r="DX9" s="250">
        <f>DW9</f>
        <v>2.0799999999999999E-2</v>
      </c>
      <c r="DY9" s="250">
        <f>DX9</f>
        <v>2.0799999999999999E-2</v>
      </c>
      <c r="DZ9" s="250">
        <f>DY9</f>
        <v>2.0799999999999999E-2</v>
      </c>
      <c r="EA9" s="249">
        <f>-EA8/EA$4</f>
        <v>2.0799999999999999E-2</v>
      </c>
      <c r="EB9" s="250">
        <f>DZ9</f>
        <v>2.0799999999999999E-2</v>
      </c>
      <c r="EC9" s="250">
        <f>EB9</f>
        <v>2.0799999999999999E-2</v>
      </c>
      <c r="ED9" s="250">
        <f>EC9</f>
        <v>2.0799999999999999E-2</v>
      </c>
      <c r="EE9" s="250">
        <f>ED9</f>
        <v>2.0799999999999999E-2</v>
      </c>
      <c r="EF9" s="249">
        <f>-EF8/EF$4</f>
        <v>2.0799999999999999E-2</v>
      </c>
    </row>
    <row r="10" spans="1:139" ht="12.75" customHeight="1">
      <c r="A10" s="78" t="s">
        <v>0</v>
      </c>
      <c r="B10" s="240">
        <f>B4+B7</f>
        <v>109605.5</v>
      </c>
      <c r="C10" s="240">
        <f>C4+C7</f>
        <v>109605.5</v>
      </c>
      <c r="D10" s="240">
        <f>D4+D7</f>
        <v>122710</v>
      </c>
      <c r="E10" s="240">
        <f>E4+E7</f>
        <v>182516</v>
      </c>
      <c r="F10" s="241">
        <f t="shared" ref="F10:F17" si="17">SUM(B10:E10)</f>
        <v>524437</v>
      </c>
      <c r="G10" s="240">
        <f>G4+G7</f>
        <v>170139</v>
      </c>
      <c r="H10" s="240">
        <f>H4+H7</f>
        <v>142705</v>
      </c>
      <c r="I10" s="240">
        <f>I4+I7</f>
        <v>252951</v>
      </c>
      <c r="J10" s="240">
        <f>J4+J7</f>
        <v>123053</v>
      </c>
      <c r="K10" s="241">
        <f t="shared" ref="K10:K17" si="18">SUM(G10:J10)</f>
        <v>688848</v>
      </c>
      <c r="L10" s="240">
        <f>L4+L7</f>
        <v>231079</v>
      </c>
      <c r="M10" s="240">
        <f>M4+M7</f>
        <v>262002</v>
      </c>
      <c r="N10" s="240">
        <f>N4+N7</f>
        <v>232815</v>
      </c>
      <c r="O10" s="240">
        <f>O4+O7</f>
        <v>390785</v>
      </c>
      <c r="P10" s="241">
        <f t="shared" ref="P10:P17" si="19">SUM(L10:O10)</f>
        <v>1116681</v>
      </c>
      <c r="Q10" s="240">
        <f>Q4+Q7</f>
        <v>287491</v>
      </c>
      <c r="R10" s="240">
        <f>R4+R7</f>
        <v>371296</v>
      </c>
      <c r="S10" s="240">
        <f>S4+S7</f>
        <v>414824</v>
      </c>
      <c r="T10" s="240">
        <f>T4+T7</f>
        <v>924928</v>
      </c>
      <c r="U10" s="241">
        <f t="shared" ref="U10:U17" si="20">SUM(Q10:T10)</f>
        <v>1998539</v>
      </c>
      <c r="V10" s="240">
        <f>V4+V7</f>
        <v>550845</v>
      </c>
      <c r="W10" s="240">
        <f>W4+W7</f>
        <v>794881</v>
      </c>
      <c r="X10" s="240">
        <f>X4+X7</f>
        <v>750717</v>
      </c>
      <c r="Y10" s="240">
        <f>Y4+Y7</f>
        <v>750998</v>
      </c>
      <c r="Z10" s="241">
        <f t="shared" ref="Z10:Z16" si="21">SUM(V10:Y10)</f>
        <v>2847441</v>
      </c>
      <c r="AA10" s="240">
        <f>AA4+AA7</f>
        <v>671454</v>
      </c>
      <c r="AB10" s="240">
        <f>AB4+AB7</f>
        <v>875600</v>
      </c>
      <c r="AC10" s="240">
        <f>AC4+AC7</f>
        <v>1348868</v>
      </c>
      <c r="AD10" s="240">
        <f>AD4+AD7</f>
        <v>1191903</v>
      </c>
      <c r="AE10" s="241">
        <f t="shared" ref="AE10:AE16" si="22">SUM(AA10:AD10)</f>
        <v>4087825</v>
      </c>
      <c r="AF10" s="240">
        <f>AF4+AF7</f>
        <v>1132448</v>
      </c>
      <c r="AG10" s="240">
        <f>AG4+AG7</f>
        <v>1205835</v>
      </c>
      <c r="AH10" s="240">
        <f>AH4+AH7</f>
        <v>1162549</v>
      </c>
      <c r="AI10" s="240">
        <f>AI4+AI7</f>
        <v>1389273</v>
      </c>
      <c r="AJ10" s="241">
        <f t="shared" ref="AJ10:AJ16" si="23">SUM(AF10:AI10)</f>
        <v>4890105</v>
      </c>
      <c r="AK10" s="240">
        <f>AK4+AK7</f>
        <v>1200742</v>
      </c>
      <c r="AL10" s="240">
        <f>AL4+AL7</f>
        <v>1382884</v>
      </c>
      <c r="AM10" s="240">
        <f>AM4+AM7</f>
        <v>1559602</v>
      </c>
      <c r="AN10" s="240">
        <f>AN4+AN7</f>
        <v>1983553</v>
      </c>
      <c r="AO10" s="241">
        <f t="shared" ref="AO10:AO17" si="24">SUM(AK10:AN10)</f>
        <v>6126781</v>
      </c>
      <c r="AP10" s="240">
        <f>AP4+AP7</f>
        <v>1466343</v>
      </c>
      <c r="AQ10" s="240">
        <f>AQ4+AQ7</f>
        <v>1385263</v>
      </c>
      <c r="AR10" s="240">
        <f>AR4+AR7</f>
        <v>1349952</v>
      </c>
      <c r="AS10" s="240">
        <f>AS4+AS7</f>
        <v>1431121</v>
      </c>
      <c r="AT10" s="241">
        <f t="shared" ref="AT10:AT17" si="25">SUM(AP10:AS10)</f>
        <v>5632679</v>
      </c>
      <c r="AU10" s="240">
        <f>AU4+AU7</f>
        <v>1215370</v>
      </c>
      <c r="AV10" s="240">
        <f>AV4+AV7</f>
        <v>1372419</v>
      </c>
      <c r="AW10" s="240">
        <f>AW4+AW7</f>
        <v>1394448</v>
      </c>
      <c r="AX10" s="240">
        <f>AX4+AX7</f>
        <v>1389645</v>
      </c>
      <c r="AY10" s="241">
        <f t="shared" ref="AY10:AY17" si="26">SUM(AU10:AX10)</f>
        <v>5371882</v>
      </c>
      <c r="AZ10" s="240">
        <f>AZ4+AZ7</f>
        <v>1315362</v>
      </c>
      <c r="BA10" s="240">
        <f>BA4+BA7</f>
        <v>1358331</v>
      </c>
      <c r="BB10" s="240">
        <f>BB4+BB7</f>
        <v>1613696</v>
      </c>
      <c r="BC10" s="240">
        <f>BC4+BC7</f>
        <v>1530538</v>
      </c>
      <c r="BD10" s="241">
        <f t="shared" ref="BD10:BD17" si="27">SUM(AZ10:BC10)</f>
        <v>5817927</v>
      </c>
      <c r="BE10" s="240">
        <f>BE4+BE7</f>
        <v>1035214</v>
      </c>
      <c r="BF10" s="240">
        <f>BF4+BF7</f>
        <v>1137683</v>
      </c>
      <c r="BG10" s="240">
        <f>BG4+BG7</f>
        <v>1137733</v>
      </c>
      <c r="BH10" s="240">
        <f>BH4+BH7</f>
        <v>1030554</v>
      </c>
      <c r="BI10" s="241">
        <f t="shared" ref="BI10:BI17" si="28">SUM(BE10:BH10)</f>
        <v>4341184</v>
      </c>
      <c r="BJ10" s="240">
        <f>BJ4+BJ7</f>
        <v>810706</v>
      </c>
      <c r="BK10" s="240">
        <f>BK4+BK7</f>
        <v>641033</v>
      </c>
      <c r="BL10" s="240">
        <f>BL4+BL7</f>
        <v>824807</v>
      </c>
      <c r="BM10" s="240">
        <f>BM4+BM7</f>
        <v>918764</v>
      </c>
      <c r="BN10" s="241">
        <f t="shared" ref="BN10:BN17" si="29">SUM(BJ10:BM10)</f>
        <v>3195310</v>
      </c>
      <c r="BO10" s="240">
        <f>BO4+BO7</f>
        <v>692387</v>
      </c>
      <c r="BP10" s="240">
        <f>BP4+BP7</f>
        <v>574756</v>
      </c>
      <c r="BQ10" s="240">
        <f>BQ4+BQ7</f>
        <v>597827</v>
      </c>
      <c r="BR10" s="240">
        <f>BR4+BR7</f>
        <v>808800</v>
      </c>
      <c r="BS10" s="241">
        <f t="shared" ref="BS10:BS17" si="30">SUM(BO10:BR10)</f>
        <v>2673770</v>
      </c>
      <c r="BT10" s="240">
        <f>BT4+BT7</f>
        <v>450622</v>
      </c>
      <c r="BU10" s="240">
        <f>BU4+BU7</f>
        <v>639539</v>
      </c>
      <c r="BV10" s="240">
        <f>BV4+BV7</f>
        <v>724825</v>
      </c>
      <c r="BW10" s="240">
        <f>BW4+BW7</f>
        <v>1077171</v>
      </c>
      <c r="BX10" s="241">
        <f t="shared" ref="BX10:BX17" si="31">SUM(BT10:BW10)</f>
        <v>2892157</v>
      </c>
      <c r="BY10" s="240">
        <f>BY4+BY7</f>
        <v>826236</v>
      </c>
      <c r="BZ10" s="240">
        <f>BZ4+BZ7</f>
        <v>936622</v>
      </c>
      <c r="CA10" s="240">
        <f>CA4+CA7</f>
        <v>934759</v>
      </c>
      <c r="CB10" s="240">
        <f>CB4+CB7</f>
        <v>1233206</v>
      </c>
      <c r="CC10" s="241">
        <f t="shared" ref="CC10:CC17" si="32">SUM(BY10:CB10)</f>
        <v>3930823</v>
      </c>
      <c r="CD10" s="240">
        <f>CD4+CD7</f>
        <v>764755</v>
      </c>
      <c r="CE10" s="240">
        <f>CE4+CE7</f>
        <v>838808</v>
      </c>
      <c r="CF10" s="240">
        <f>CF4+CF7</f>
        <v>1163503</v>
      </c>
      <c r="CG10" s="240">
        <f>CG4+CG7</f>
        <v>1056630</v>
      </c>
      <c r="CH10" s="241">
        <f t="shared" ref="CH10:CH17" si="33">SUM(CD10:CG10)</f>
        <v>3823696</v>
      </c>
      <c r="CI10" s="240">
        <f>CI4+CI7</f>
        <v>1003732</v>
      </c>
      <c r="CJ10" s="240">
        <f>CJ4+CJ7</f>
        <v>1182019</v>
      </c>
      <c r="CK10" s="240">
        <f>CK4+CK7</f>
        <v>1288339</v>
      </c>
      <c r="CL10" s="240">
        <f>CL4+CL7</f>
        <v>1316743</v>
      </c>
      <c r="CM10" s="241">
        <f t="shared" ref="CM10:CM17" si="34">SUM(CI10:CL10)</f>
        <v>4790833</v>
      </c>
      <c r="CN10" s="240">
        <f>CN4+CN7</f>
        <v>1231652</v>
      </c>
      <c r="CO10" s="240">
        <f>CO4+CO7</f>
        <v>1250083</v>
      </c>
      <c r="CP10" s="240">
        <f>CP4+CP7</f>
        <v>1559644</v>
      </c>
      <c r="CQ10" s="240">
        <f>CQ4+CQ7</f>
        <v>1370916</v>
      </c>
      <c r="CR10" s="241">
        <f t="shared" ref="CR10:CR17" si="35">SUM(CN10:CQ10)</f>
        <v>5412295</v>
      </c>
      <c r="CS10" s="240">
        <f>CS4+CS7</f>
        <v>1283426</v>
      </c>
      <c r="CT10" s="240">
        <f>CT4+CT7</f>
        <v>1633055</v>
      </c>
      <c r="CU10" s="240">
        <f>CU4+CU7</f>
        <v>1625987</v>
      </c>
      <c r="CV10" s="240">
        <f>CV4+CV7</f>
        <v>1710231</v>
      </c>
      <c r="CW10" s="241">
        <f t="shared" ref="CW10:CW17" si="36">SUM(CS10:CV10)</f>
        <v>6252699</v>
      </c>
      <c r="CX10" s="240">
        <f>CX4+CX7</f>
        <v>1572911</v>
      </c>
      <c r="CY10" s="240">
        <f>CY4+CY7</f>
        <v>1856857</v>
      </c>
      <c r="CZ10" s="240">
        <f>CZ4+CZ7</f>
        <v>2029651</v>
      </c>
      <c r="DA10" s="240">
        <f>DA4+DA7</f>
        <v>2506269</v>
      </c>
      <c r="DB10" s="241">
        <f t="shared" ref="DB10:DB17" si="37">SUM(CX10:DA10)</f>
        <v>7965688</v>
      </c>
      <c r="DC10" s="240">
        <f>DC4+DC7</f>
        <v>1952744</v>
      </c>
      <c r="DD10" s="240">
        <f>DD4+DD7</f>
        <v>2107130</v>
      </c>
      <c r="DE10" s="240">
        <f>DE4+DE7</f>
        <v>2128446</v>
      </c>
      <c r="DF10" s="240">
        <f>DF4+DF7</f>
        <v>3235174</v>
      </c>
      <c r="DG10" s="241">
        <f t="shared" ref="DG10:DG17" si="38">SUM(DC10:DF10)</f>
        <v>9423494</v>
      </c>
      <c r="DH10" s="240">
        <f>DH4+DH7</f>
        <v>2025033</v>
      </c>
      <c r="DI10" s="240">
        <f>DI4+DI7</f>
        <v>2480871</v>
      </c>
      <c r="DJ10" s="240">
        <f>DJ4+DJ7</f>
        <v>2708733.2672731983</v>
      </c>
      <c r="DK10" s="240">
        <f>DK4+DK7</f>
        <v>3010033.5230367891</v>
      </c>
      <c r="DL10" s="241">
        <f t="shared" ref="DL10:DL17" si="39">SUM(DH10:DK10)</f>
        <v>10224670.790309988</v>
      </c>
      <c r="DM10" s="240">
        <f>DM4+DM7</f>
        <v>2843770.2706364291</v>
      </c>
      <c r="DN10" s="240">
        <f>DN4+DN7</f>
        <v>2967657.9262733203</v>
      </c>
      <c r="DO10" s="240">
        <f>DO4+DO7</f>
        <v>3070691.3012823267</v>
      </c>
      <c r="DP10" s="240">
        <f>DP4+DP7</f>
        <v>3342250.4411360272</v>
      </c>
      <c r="DQ10" s="241">
        <f t="shared" ref="DQ10:DQ17" si="40">SUM(DM10:DP10)</f>
        <v>12224369.939328102</v>
      </c>
      <c r="DR10" s="240">
        <f>DR4+DR7</f>
        <v>3165342.1646056101</v>
      </c>
      <c r="DS10" s="240">
        <f>DS4+DS7</f>
        <v>3272657.0342581002</v>
      </c>
      <c r="DT10" s="240">
        <f>DT4+DT7</f>
        <v>3366828.0137094525</v>
      </c>
      <c r="DU10" s="240">
        <f>DU4+DU7</f>
        <v>3638725.8124398692</v>
      </c>
      <c r="DV10" s="241">
        <f t="shared" ref="DV10:DV17" si="41">SUM(DR10:DU10)</f>
        <v>13443553.025013033</v>
      </c>
      <c r="DW10" s="240">
        <f>DW4+DW7</f>
        <v>3435480.4488287922</v>
      </c>
      <c r="DX10" s="240">
        <f>DX4+DX7</f>
        <v>3540827.0266638249</v>
      </c>
      <c r="DY10" s="240">
        <f>DY4+DY7</f>
        <v>3630639.424268025</v>
      </c>
      <c r="DZ10" s="240">
        <f>DZ4+DZ7</f>
        <v>3908676.1545035569</v>
      </c>
      <c r="EA10" s="241">
        <f t="shared" ref="EA10:EA17" si="42">SUM(DW10:DZ10)</f>
        <v>14515623.054264199</v>
      </c>
      <c r="EB10" s="240">
        <f>EB4+EB7</f>
        <v>3687266.8517388762</v>
      </c>
      <c r="EC10" s="240">
        <f>EC4+EC7</f>
        <v>3792910.0848370721</v>
      </c>
      <c r="ED10" s="240">
        <f>ED4+ED7</f>
        <v>3880156.9702551677</v>
      </c>
      <c r="EE10" s="240">
        <f>EE4+EE7</f>
        <v>4163532.8298615459</v>
      </c>
      <c r="EF10" s="241">
        <f t="shared" ref="EF10:EF17" si="43">SUM(EB10:EE10)</f>
        <v>15523866.736692661</v>
      </c>
      <c r="EG10" s="236"/>
    </row>
    <row r="11" spans="1:139" ht="12.75" customHeight="1">
      <c r="A11" s="78" t="s">
        <v>33</v>
      </c>
      <c r="B11" s="240">
        <f>B12+B14</f>
        <v>-64466.5</v>
      </c>
      <c r="C11" s="240">
        <f>C12+C14</f>
        <v>-64466.5</v>
      </c>
      <c r="D11" s="240">
        <f>D12+D14</f>
        <v>-69814</v>
      </c>
      <c r="E11" s="240">
        <f>E12+E14</f>
        <v>-113127</v>
      </c>
      <c r="F11" s="241">
        <f>SUM(B11:E11)</f>
        <v>-311874</v>
      </c>
      <c r="G11" s="240">
        <f>G12+G14</f>
        <v>-87174</v>
      </c>
      <c r="H11" s="240">
        <f>H12+H14</f>
        <v>-72047</v>
      </c>
      <c r="I11" s="240">
        <f>I12+I14</f>
        <v>-132097</v>
      </c>
      <c r="J11" s="240">
        <f>J12+J14</f>
        <v>-78930</v>
      </c>
      <c r="K11" s="241">
        <f t="shared" si="18"/>
        <v>-370248</v>
      </c>
      <c r="L11" s="240">
        <f>L12+L14</f>
        <v>-127839</v>
      </c>
      <c r="M11" s="240">
        <f>M12+M14</f>
        <v>-146442</v>
      </c>
      <c r="N11" s="240">
        <f>N12+N14</f>
        <v>-133680</v>
      </c>
      <c r="O11" s="240">
        <f>O12+O14</f>
        <v>-237213</v>
      </c>
      <c r="P11" s="241">
        <f t="shared" si="19"/>
        <v>-645174</v>
      </c>
      <c r="Q11" s="240">
        <f>Q12+Q13+Q14</f>
        <v>-175293</v>
      </c>
      <c r="R11" s="240">
        <f>R12+R13+R14</f>
        <v>-214924</v>
      </c>
      <c r="S11" s="240">
        <f>S12+S13+S14</f>
        <v>-234337</v>
      </c>
      <c r="T11" s="240">
        <f>T12+T13+T14</f>
        <v>-597013</v>
      </c>
      <c r="U11" s="241">
        <f t="shared" si="20"/>
        <v>-1221567</v>
      </c>
      <c r="V11" s="240">
        <f>V12+V13+V14</f>
        <v>-331341</v>
      </c>
      <c r="W11" s="240">
        <f>W12+W13+W14</f>
        <v>-484092</v>
      </c>
      <c r="X11" s="240">
        <f>X12+X13+X14</f>
        <v>-445046</v>
      </c>
      <c r="Y11" s="240">
        <f>Y12+Y13+Y14</f>
        <v>-504382</v>
      </c>
      <c r="Z11" s="241">
        <f t="shared" si="21"/>
        <v>-1764861</v>
      </c>
      <c r="AA11" s="240">
        <f>AA12+AA13+AA14</f>
        <v>-419369</v>
      </c>
      <c r="AB11" s="240">
        <f>AB12+AB13+AB14</f>
        <v>-575732</v>
      </c>
      <c r="AC11" s="240">
        <f>AC12+AC13+AC14</f>
        <v>-890296</v>
      </c>
      <c r="AD11" s="240">
        <f>AD12+AD13+AD14</f>
        <v>-793174</v>
      </c>
      <c r="AE11" s="241">
        <f t="shared" si="22"/>
        <v>-2678571</v>
      </c>
      <c r="AF11" s="240">
        <f>AF12+AF13+AF14</f>
        <v>-737831</v>
      </c>
      <c r="AG11" s="240">
        <f>AG12+AG13+AG14</f>
        <v>-812794</v>
      </c>
      <c r="AH11" s="240">
        <f>AH12+AH13+AH14</f>
        <v>-753585</v>
      </c>
      <c r="AI11" s="240">
        <f>AI12+AI13+AI14</f>
        <v>-1049265</v>
      </c>
      <c r="AJ11" s="241">
        <f t="shared" si="23"/>
        <v>-3353475</v>
      </c>
      <c r="AK11" s="240">
        <f>AK12+AK13+AK14</f>
        <v>-872029</v>
      </c>
      <c r="AL11" s="240">
        <f>AL12+AL13+AL14</f>
        <v>-1000388</v>
      </c>
      <c r="AM11" s="240">
        <f>AM12+AM13+AM14</f>
        <v>-1113641</v>
      </c>
      <c r="AN11" s="240">
        <f>AN12+AN13+AN14</f>
        <v>-1407233</v>
      </c>
      <c r="AO11" s="241">
        <f>SUM(AK11:AN11)</f>
        <v>-4393291</v>
      </c>
      <c r="AP11" s="240">
        <f>AP12+AP13+AP14</f>
        <v>-1006468</v>
      </c>
      <c r="AQ11" s="240">
        <f>AQ12+AQ13+AQ14</f>
        <v>-973692</v>
      </c>
      <c r="AR11" s="240">
        <f>AR12+AR13+AR14</f>
        <v>-921666</v>
      </c>
      <c r="AS11" s="240">
        <f>AS12+AS13+AS14</f>
        <v>-912041</v>
      </c>
      <c r="AT11" s="241">
        <f t="shared" si="25"/>
        <v>-3813867</v>
      </c>
      <c r="AU11" s="240">
        <f>AU12+AU13+AU14</f>
        <v>-818350</v>
      </c>
      <c r="AV11" s="240">
        <f>AV12+AV13+AV14</f>
        <v>-924645</v>
      </c>
      <c r="AW11" s="240">
        <f>AW12+AW13+AW14</f>
        <v>-937198</v>
      </c>
      <c r="AX11" s="240">
        <f>AX12+AX13+AX14</f>
        <v>-932400</v>
      </c>
      <c r="AY11" s="241">
        <f t="shared" si="26"/>
        <v>-3612593</v>
      </c>
      <c r="AZ11" s="240">
        <f>AZ12+AZ13+AZ14</f>
        <v>-877707</v>
      </c>
      <c r="BA11" s="240">
        <f>BA12+BA13+BA14</f>
        <v>-904779</v>
      </c>
      <c r="BB11" s="240">
        <f>BB12+BB13+BB14</f>
        <v>-1130965</v>
      </c>
      <c r="BC11" s="240">
        <f>BC12+BC13+BC14</f>
        <v>-1035730</v>
      </c>
      <c r="BD11" s="241">
        <f t="shared" si="27"/>
        <v>-3949181</v>
      </c>
      <c r="BE11" s="240">
        <f>BE12+BE13+BE14</f>
        <v>-674603</v>
      </c>
      <c r="BF11" s="240">
        <f>BF12+BF13+BF14</f>
        <v>-738627</v>
      </c>
      <c r="BG11" s="240">
        <f>BG12+BG13+BG14</f>
        <v>-743219</v>
      </c>
      <c r="BH11" s="240">
        <f>BH12+BH13+BH14</f>
        <v>-681656</v>
      </c>
      <c r="BI11" s="241">
        <f t="shared" si="28"/>
        <v>-2838105</v>
      </c>
      <c r="BJ11" s="240">
        <f>BJ12+BJ13+BJ14</f>
        <v>-528445</v>
      </c>
      <c r="BK11" s="240">
        <f>BK12+BK13+BK14</f>
        <v>-387103</v>
      </c>
      <c r="BL11" s="240">
        <f>BL12+BL13+BL14</f>
        <v>-563386</v>
      </c>
      <c r="BM11" s="240">
        <f>BM12+BM13+BM14</f>
        <v>-653853</v>
      </c>
      <c r="BN11" s="241">
        <f t="shared" si="29"/>
        <v>-2132787</v>
      </c>
      <c r="BO11" s="240">
        <f>BO12+BO13+BO14</f>
        <v>-477370</v>
      </c>
      <c r="BP11" s="240">
        <f>BP12+BP13+BP14</f>
        <v>-421167</v>
      </c>
      <c r="BQ11" s="240">
        <f>BQ12+BQ13+BQ14</f>
        <v>-450495</v>
      </c>
      <c r="BR11" s="240">
        <f>BR12+BR13+BR14</f>
        <v>-590225</v>
      </c>
      <c r="BS11" s="241">
        <f t="shared" si="30"/>
        <v>-1939257</v>
      </c>
      <c r="BT11" s="240">
        <f>BT12+BT13+BT14</f>
        <v>-325839</v>
      </c>
      <c r="BU11" s="240">
        <f>BU12+BU13+BU14</f>
        <v>-468242</v>
      </c>
      <c r="BV11" s="240">
        <f>BV12+BV13+BV14</f>
        <v>-520049</v>
      </c>
      <c r="BW11" s="240">
        <f>BW12+BW13+BW14</f>
        <v>-763100</v>
      </c>
      <c r="BX11" s="241">
        <f t="shared" si="31"/>
        <v>-2077230</v>
      </c>
      <c r="BY11" s="240">
        <f>BY12+BY13+BY14</f>
        <v>-577347</v>
      </c>
      <c r="BZ11" s="240">
        <f>BZ12+BZ13+BZ14</f>
        <v>-643662</v>
      </c>
      <c r="CA11" s="240">
        <f>CA12+CA13+CA14</f>
        <v>-645832</v>
      </c>
      <c r="CB11" s="240">
        <f>CB12+CB13+CB14</f>
        <v>-848268</v>
      </c>
      <c r="CC11" s="241">
        <f t="shared" si="32"/>
        <v>-2715109</v>
      </c>
      <c r="CD11" s="240">
        <f>CD12+CD13+CD14</f>
        <v>-503900</v>
      </c>
      <c r="CE11" s="240">
        <f>CE12+CE13+CE14</f>
        <v>-563937</v>
      </c>
      <c r="CF11" s="240">
        <f>CF12+CF13+CF14</f>
        <v>-784922</v>
      </c>
      <c r="CG11" s="240">
        <f>CG12+CG13+CG14</f>
        <v>-720554</v>
      </c>
      <c r="CH11" s="241">
        <f t="shared" si="33"/>
        <v>-2573313</v>
      </c>
      <c r="CI11" s="240">
        <f>CI12+CI13+CI14</f>
        <v>-657192</v>
      </c>
      <c r="CJ11" s="240">
        <f>CJ12+CJ13+CJ14</f>
        <v>-749735</v>
      </c>
      <c r="CK11" s="240">
        <f>CK12+CK13+CK14</f>
        <v>-841443</v>
      </c>
      <c r="CL11" s="240">
        <f>CL12+CL13+CL14</f>
        <v>-876643</v>
      </c>
      <c r="CM11" s="241">
        <f t="shared" si="34"/>
        <v>-3125013</v>
      </c>
      <c r="CN11" s="240">
        <f>CN12+CN13+CN14</f>
        <v>-848102</v>
      </c>
      <c r="CO11" s="240">
        <f>CO12+CO13+CO14</f>
        <v>-858752</v>
      </c>
      <c r="CP11" s="240">
        <f>CP12+CP13+CP14</f>
        <v>-1031260</v>
      </c>
      <c r="CQ11" s="240">
        <f>CQ12+CQ13+CQ14</f>
        <v>-940219</v>
      </c>
      <c r="CR11" s="241">
        <f t="shared" si="35"/>
        <v>-3678333</v>
      </c>
      <c r="CS11" s="240">
        <f>CS12+CS13+CS14</f>
        <v>-888959</v>
      </c>
      <c r="CT11" s="240">
        <f>CT12+CT13+CT14</f>
        <v>-1105967</v>
      </c>
      <c r="CU11" s="240">
        <f>CU12+CU13+CU14</f>
        <v>-1080523</v>
      </c>
      <c r="CV11" s="240">
        <f>CV12+CV13+CV14</f>
        <v>-1133651</v>
      </c>
      <c r="CW11" s="241">
        <f t="shared" si="36"/>
        <v>-4209100</v>
      </c>
      <c r="CX11" s="240">
        <f>CX12+CX13+CX14</f>
        <v>-1079389</v>
      </c>
      <c r="CY11" s="240">
        <f>CY12+CY13+CY14</f>
        <v>-1246830</v>
      </c>
      <c r="CZ11" s="240">
        <f>CZ12+CZ13+CZ14</f>
        <v>-1353486</v>
      </c>
      <c r="DA11" s="240">
        <f>DA12+DA13+DA14</f>
        <v>-1706118</v>
      </c>
      <c r="DB11" s="241">
        <f t="shared" si="37"/>
        <v>-5385823</v>
      </c>
      <c r="DC11" s="240">
        <f>DC12+DC13+DC14</f>
        <v>-1318405</v>
      </c>
      <c r="DD11" s="240">
        <f>DD12+DD13+DD14</f>
        <v>-1417294</v>
      </c>
      <c r="DE11" s="240">
        <f>DE12+DE13+DE14</f>
        <v>-1426032</v>
      </c>
      <c r="DF11" s="240">
        <f>DF12+DF13+DF14</f>
        <v>-2191794</v>
      </c>
      <c r="DG11" s="241">
        <f t="shared" si="38"/>
        <v>-6353525</v>
      </c>
      <c r="DH11" s="240">
        <f>DH12+DH13+DH14</f>
        <v>-1359107</v>
      </c>
      <c r="DI11" s="240">
        <f>DI12+DI13+DI14</f>
        <v>-1627952</v>
      </c>
      <c r="DJ11" s="240">
        <f>DJ12+DJ13+DJ14</f>
        <v>-1809188.6873931142</v>
      </c>
      <c r="DK11" s="240">
        <f>DK12+DK13+DK14</f>
        <v>-2009620.1926239445</v>
      </c>
      <c r="DL11" s="241">
        <f t="shared" si="39"/>
        <v>-6805867.8800170589</v>
      </c>
      <c r="DM11" s="240">
        <f>DM12+DM13+DM14</f>
        <v>-1908132.4060346032</v>
      </c>
      <c r="DN11" s="240">
        <f>DN12+DN13+DN14</f>
        <v>-1992592.8676936612</v>
      </c>
      <c r="DO11" s="240">
        <f>DO12+DO13+DO14</f>
        <v>-2063564.1519098461</v>
      </c>
      <c r="DP11" s="240">
        <f>DP12+DP13+DP14</f>
        <v>-2248931.3479174045</v>
      </c>
      <c r="DQ11" s="241">
        <f t="shared" si="40"/>
        <v>-8213220.7735555153</v>
      </c>
      <c r="DR11" s="240">
        <f>DR12+DR13+DR14</f>
        <v>-2112861.3378666067</v>
      </c>
      <c r="DS11" s="240">
        <f>DS12+DS13+DS14</f>
        <v>-2186900.4516634694</v>
      </c>
      <c r="DT11" s="240">
        <f>DT12+DT13+DT14</f>
        <v>-2252332.9514358458</v>
      </c>
      <c r="DU11" s="240">
        <f>DU12+DU13+DU14</f>
        <v>-2438853.1615528055</v>
      </c>
      <c r="DV11" s="241">
        <f t="shared" si="41"/>
        <v>-8990947.9025187269</v>
      </c>
      <c r="DW11" s="240">
        <f>DW12+DW13+DW14</f>
        <v>-2301758.6786802304</v>
      </c>
      <c r="DX11" s="240">
        <f>DX12+DX13+DX14</f>
        <v>-2373919.7317691082</v>
      </c>
      <c r="DY11" s="240">
        <f>DY12+DY13+DY14</f>
        <v>-2435879.7911972599</v>
      </c>
      <c r="DZ11" s="240">
        <f>DZ12+DZ13+DZ14</f>
        <v>-2626631.0445226929</v>
      </c>
      <c r="EA11" s="241">
        <f t="shared" si="42"/>
        <v>-9738189.2461692914</v>
      </c>
      <c r="EB11" s="240">
        <f>EB12+EB13+EB14</f>
        <v>-2476005.14898807</v>
      </c>
      <c r="EC11" s="240">
        <f>EC12+EC13+EC14</f>
        <v>-2548062.804553384</v>
      </c>
      <c r="ED11" s="240">
        <f>ED12+ED13+ED14</f>
        <v>-2607985.2589958492</v>
      </c>
      <c r="EE11" s="240">
        <f>EE12+EE13+EE14</f>
        <v>-2802427.775446563</v>
      </c>
      <c r="EF11" s="241">
        <f t="shared" si="43"/>
        <v>-10434480.987983868</v>
      </c>
    </row>
    <row r="12" spans="1:139" ht="12.75" customHeight="1" outlineLevel="1">
      <c r="A12" s="71" t="s">
        <v>687</v>
      </c>
      <c r="B12" s="246">
        <f>(-186623-SUM(D12))/2</f>
        <v>-61275.5</v>
      </c>
      <c r="C12" s="246">
        <f>B12</f>
        <v>-61275.5</v>
      </c>
      <c r="D12" s="246">
        <v>-64072</v>
      </c>
      <c r="E12" s="246">
        <v>-116555</v>
      </c>
      <c r="F12" s="239">
        <f t="shared" si="17"/>
        <v>-303178</v>
      </c>
      <c r="G12" s="246">
        <v>-84233</v>
      </c>
      <c r="H12" s="246">
        <v>-70640</v>
      </c>
      <c r="I12" s="246">
        <v>-127457</v>
      </c>
      <c r="J12" s="246">
        <v>-78478</v>
      </c>
      <c r="K12" s="239">
        <f t="shared" si="18"/>
        <v>-360808</v>
      </c>
      <c r="L12" s="246">
        <v>-123633</v>
      </c>
      <c r="M12" s="246">
        <v>-144584</v>
      </c>
      <c r="N12" s="246">
        <f>-395386-L12-M12</f>
        <v>-127169</v>
      </c>
      <c r="O12" s="246">
        <f>-629377-SUM(L12:N12)</f>
        <v>-233991</v>
      </c>
      <c r="P12" s="239">
        <f t="shared" si="19"/>
        <v>-629377</v>
      </c>
      <c r="Q12" s="246">
        <v>-170895</v>
      </c>
      <c r="R12" s="246">
        <f>-382018-Q12</f>
        <v>-211123</v>
      </c>
      <c r="S12" s="246">
        <v>-230348</v>
      </c>
      <c r="T12" s="246">
        <f>-1196492-5221-SUM(Q12:S12)</f>
        <v>-589347</v>
      </c>
      <c r="U12" s="239">
        <f t="shared" si="20"/>
        <v>-1201713</v>
      </c>
      <c r="V12" s="246">
        <f>-322348-2044-V13</f>
        <v>-324392</v>
      </c>
      <c r="W12" s="246">
        <f>-476512-1933-W13</f>
        <v>-478445</v>
      </c>
      <c r="X12" s="246">
        <f>-435700-2651-X13</f>
        <v>-430268</v>
      </c>
      <c r="Y12" s="246">
        <f>-1723828-12725-SUM(V12:X13)-Y13</f>
        <v>-487282</v>
      </c>
      <c r="Z12" s="239">
        <f t="shared" si="21"/>
        <v>-1720387</v>
      </c>
      <c r="AA12" s="246">
        <f>-410631-2752-AA13</f>
        <v>-404214</v>
      </c>
      <c r="AB12" s="246">
        <f>-563157-6656-AB13</f>
        <v>-558186</v>
      </c>
      <c r="AC12" s="246">
        <f>-872920-8462-AC13</f>
        <v>-870439</v>
      </c>
      <c r="AD12" s="246">
        <f>-775381-10756-AD13</f>
        <v>-777924</v>
      </c>
      <c r="AE12" s="239">
        <f t="shared" si="22"/>
        <v>-2610763</v>
      </c>
      <c r="AF12" s="246">
        <f>-720668-8588-AF13</f>
        <v>-719706</v>
      </c>
      <c r="AG12" s="246">
        <f>-788554-11417-AG13</f>
        <v>-780649</v>
      </c>
      <c r="AH12" s="246">
        <f>-733569-6811-AH13</f>
        <v>-723289</v>
      </c>
      <c r="AI12" s="246">
        <f>-1022857-6899-AI13</f>
        <v>-979524</v>
      </c>
      <c r="AJ12" s="239">
        <f t="shared" si="23"/>
        <v>-3203168</v>
      </c>
      <c r="AK12" s="246">
        <f>-872029-AK13-AK14</f>
        <v>-814297</v>
      </c>
      <c r="AL12" s="246">
        <f>-1822675-11542-AK12-AK13-AL13</f>
        <v>-938469</v>
      </c>
      <c r="AM12" s="246">
        <f>-2913877-14933-AK12-AL12-AK13-AL13-AM13</f>
        <v>-1033848</v>
      </c>
      <c r="AN12" s="246">
        <f>-4307266-23111-AK12-AL12-AM12-SUM(AK13:AN13)</f>
        <v>-1351567</v>
      </c>
      <c r="AO12" s="239">
        <f>SUM(AK12:AN12)</f>
        <v>-4138181</v>
      </c>
      <c r="AP12" s="246">
        <f>-1948429-2281-AQ12-AP13-AQ13</f>
        <v>-953589</v>
      </c>
      <c r="AQ12" s="246">
        <f>-954640-1681-AQ13</f>
        <v>-920832</v>
      </c>
      <c r="AR12" s="246">
        <f>-921666-AR13-AR14</f>
        <v>-869668</v>
      </c>
      <c r="AS12" s="246">
        <f>-3752076-7039-AP12-AQ12-AR12-SUM(AP13:AS13)</f>
        <v>-836719</v>
      </c>
      <c r="AT12" s="239">
        <f t="shared" si="25"/>
        <v>-3580808</v>
      </c>
      <c r="AU12" s="246">
        <f>-1706950-9638-AV12-AU13-AV13</f>
        <v>-776189</v>
      </c>
      <c r="AV12" s="246">
        <f>-906964-3456-AV13</f>
        <v>-878136</v>
      </c>
      <c r="AW12" s="246">
        <f>-937198-AW13-AW14</f>
        <v>-872421</v>
      </c>
      <c r="AX12" s="246">
        <f>-3612593-SUM(AU12:AW12)-SUM(AU13:AX13)-SUM(AU14:AX14)</f>
        <v>-840276</v>
      </c>
      <c r="AY12" s="239">
        <f t="shared" si="26"/>
        <v>-3367022</v>
      </c>
      <c r="AZ12" s="246">
        <f>-860370-6154-AZ13</f>
        <v>-817972</v>
      </c>
      <c r="BA12" s="246">
        <f>-888975-5318-BA13</f>
        <v>-841556</v>
      </c>
      <c r="BB12" s="246">
        <f>-1130965-BB13-BB14</f>
        <v>-1065415</v>
      </c>
      <c r="BC12" s="246">
        <f>-3949181-SUM(AZ12:BB12)-SUM(AZ13:BC13)-SUM(AZ14:BC14)</f>
        <v>-971255</v>
      </c>
      <c r="BD12" s="239">
        <f t="shared" si="27"/>
        <v>-3696198</v>
      </c>
      <c r="BE12" s="246">
        <f>-649099-14345-BE13</f>
        <v>-619379</v>
      </c>
      <c r="BF12" s="246">
        <f>-723129-8237-BF13</f>
        <v>-690531</v>
      </c>
      <c r="BG12" s="246">
        <f>-743219-BG13-BG14</f>
        <v>-693061</v>
      </c>
      <c r="BH12" s="246">
        <f>-2838105-SUM(BE12:BG12)-SUM(BE13:BH13)-SUM(BE14:BH14)</f>
        <v>-628303</v>
      </c>
      <c r="BI12" s="239">
        <f t="shared" si="28"/>
        <v>-2631274</v>
      </c>
      <c r="BJ12" s="246">
        <f>-508878-8982-BJ13</f>
        <v>-467503</v>
      </c>
      <c r="BK12" s="246">
        <f>-355863-9166-BK13</f>
        <v>-316982</v>
      </c>
      <c r="BL12" s="246">
        <f>-563386-BL13-BL14</f>
        <v>-501053</v>
      </c>
      <c r="BM12" s="246">
        <f>-2132787-SUM(BJ12:BL12)-SUM(BJ13:BM13)-SUM(BJ14:BM14)</f>
        <v>-599914</v>
      </c>
      <c r="BN12" s="239">
        <f t="shared" si="29"/>
        <v>-1885452</v>
      </c>
      <c r="BO12" s="246">
        <f>-463095-6748-BO13</f>
        <v>-424962</v>
      </c>
      <c r="BP12" s="246">
        <f>-410665-7135-BP13</f>
        <v>-369701</v>
      </c>
      <c r="BQ12" s="246">
        <f>-450495-BQ13-BQ14</f>
        <v>-407556</v>
      </c>
      <c r="BR12" s="246">
        <f>-1939257-SUM(BO12:BQ12)-SUM(BO13:BR13)-SUM(BO14:BR14)</f>
        <v>-545529</v>
      </c>
      <c r="BS12" s="239">
        <f t="shared" si="30"/>
        <v>-1747748</v>
      </c>
      <c r="BT12" s="246">
        <f>-317073-6374-BT13</f>
        <v>-297842</v>
      </c>
      <c r="BU12" s="246">
        <f>-458811-5796-BU13</f>
        <v>-435627</v>
      </c>
      <c r="BV12" s="246">
        <f>-520049-BV13-BV14</f>
        <v>-481284</v>
      </c>
      <c r="BW12" s="245">
        <f>-2311230-SUM(BT12:BV12)-SUM(BT13:BW13)-SUM(BT14:BW14)+167000+67000</f>
        <v>-735041</v>
      </c>
      <c r="BX12" s="239">
        <f t="shared" si="31"/>
        <v>-1949794</v>
      </c>
      <c r="BY12" s="246">
        <f>-577017-6070+10468-BY13</f>
        <v>-548776</v>
      </c>
      <c r="BZ12" s="246">
        <f>-643682-5751+8996-BZ13</f>
        <v>-622178</v>
      </c>
      <c r="CA12" s="246">
        <f>-608648-5030-30212-CA13</f>
        <v>-623728</v>
      </c>
      <c r="CB12" s="246">
        <f>-2715109-SUM(BY12:CA12)-SUM(BY13:CB13)-SUM(BY14:CB14)</f>
        <v>-823979</v>
      </c>
      <c r="CC12" s="239">
        <f t="shared" si="32"/>
        <v>-2618661</v>
      </c>
      <c r="CD12" s="246">
        <f>-469844-5517-24451-CD13</f>
        <v>-488169</v>
      </c>
      <c r="CE12" s="246">
        <f>-535625-2042-12517-CE13</f>
        <v>-533358</v>
      </c>
      <c r="CF12" s="246">
        <f>-756657-13129-6433-CF13</f>
        <v>-757962</v>
      </c>
      <c r="CG12" s="246">
        <f>-2573313-SUM(CD12:CF12)-SUM(CD13:CG13)-SUM(CD14:CG14)</f>
        <v>-690696</v>
      </c>
      <c r="CH12" s="239">
        <f t="shared" si="33"/>
        <v>-2470185</v>
      </c>
      <c r="CI12" s="246">
        <f>-668863-8491+32132-CI13</f>
        <v>-636211</v>
      </c>
      <c r="CJ12" s="246">
        <f>-729733-9928+5283-CJ13</f>
        <v>-724002</v>
      </c>
      <c r="CK12" s="246">
        <f>-812566-4618-2520-CK13</f>
        <v>-808109</v>
      </c>
      <c r="CL12" s="246">
        <f>-3125013-SUM(CI12:CK12)-SUM(CI13:CL13)-SUM(CI14:CL14)</f>
        <v>-846902</v>
      </c>
      <c r="CM12" s="239">
        <f t="shared" si="34"/>
        <v>-3015224</v>
      </c>
      <c r="CN12" s="246">
        <f>-852833-1569+23103-CN13</f>
        <v>-815032</v>
      </c>
      <c r="CO12" s="246">
        <f>-815979-3365-16232-CO13</f>
        <v>-816065</v>
      </c>
      <c r="CP12" s="246">
        <f>-1002666-736-5819-CP13</f>
        <v>-986430</v>
      </c>
      <c r="CQ12" s="246">
        <f>-3678333-SUM(CN12:CP12)-SUM(CN13:CQ13)-SUM(CN14:CQ14)</f>
        <v>-902868</v>
      </c>
      <c r="CR12" s="239">
        <f t="shared" si="35"/>
        <v>-3520395</v>
      </c>
      <c r="CS12" s="246">
        <f>-888554-284+9962-CS13</f>
        <v>-854201</v>
      </c>
      <c r="CT12" s="246">
        <f>-1979270-547+1850-SUM(CS13:CT13)-CS12</f>
        <v>-1068710</v>
      </c>
      <c r="CU12" s="246">
        <f>-3045353-843-8169-SUM(CS13:CU13)-SUM(CS12:CT12)</f>
        <v>-1046397</v>
      </c>
      <c r="CV12" s="246">
        <f>-4209100-SUM(CS12:CU12)-SUM(CS13:CV13)-SUM(CS14:CV14)</f>
        <v>-1097346</v>
      </c>
      <c r="CW12" s="239">
        <f t="shared" si="36"/>
        <v>-4066654</v>
      </c>
      <c r="CX12" s="246">
        <f>-1099469-734+32389-CX13</f>
        <v>-1040695</v>
      </c>
      <c r="CY12" s="246">
        <f>-2326156-841+20515-SUM(CX13:CY13)-CX12</f>
        <v>-1203470</v>
      </c>
      <c r="CZ12" s="246">
        <f>-3680152-480+29360-SUM(CX13:CZ13)-SUM(CX12:CY12)</f>
        <v>-1308936</v>
      </c>
      <c r="DA12" s="246">
        <f>-5385823-SUM(CX12:CZ12)-SUM(CX13:DA13)-SUM(CX14:DA14)</f>
        <v>-1662991</v>
      </c>
      <c r="DB12" s="239">
        <f t="shared" si="37"/>
        <v>-5216092</v>
      </c>
      <c r="DC12" s="246">
        <f>-1371838+103+63476-DC13</f>
        <v>-1271764</v>
      </c>
      <c r="DD12" s="246">
        <f>-2741584+532+19610-SUM(DC13:DD13)-DC12</f>
        <v>-1367612</v>
      </c>
      <c r="DE12" s="246">
        <f>-4073434-55402-13316-SUM(DC13:DE13)-SUM(DC12:DD12)</f>
        <v>-1372087</v>
      </c>
      <c r="DF12" s="246">
        <f>-6353525-SUM(DC12:DE12)-SUM(DC13:DF13)-SUM(DC14:DF14)</f>
        <v>-2141389</v>
      </c>
      <c r="DG12" s="239">
        <f t="shared" si="38"/>
        <v>-6152852</v>
      </c>
      <c r="DH12" s="246">
        <f>-1387597-7626+43725-DH13</f>
        <v>-1286258</v>
      </c>
      <c r="DI12" s="246">
        <f>-2996523-10945+35263-SUM(DH13:DI13)-DH12</f>
        <v>-1547952</v>
      </c>
      <c r="DJ12" s="114">
        <f>-(1-DJ71)*DJ5</f>
        <v>-1755735.5584019199</v>
      </c>
      <c r="DK12" s="114">
        <f>-(1-DK71)*DK5</f>
        <v>-1949477.0612622066</v>
      </c>
      <c r="DL12" s="239">
        <f t="shared" si="39"/>
        <v>-6539422.619664127</v>
      </c>
      <c r="DM12" s="114">
        <f>-(1-DM71)*DM5</f>
        <v>-1852418.89908085</v>
      </c>
      <c r="DN12" s="114">
        <f>-(1-DN71)*DN5</f>
        <v>-1934687.4280412751</v>
      </c>
      <c r="DO12" s="114">
        <f>-(1-DO71)*DO5</f>
        <v>-2003196.4545035479</v>
      </c>
      <c r="DP12" s="114">
        <f>-(1-DP71)*DP5</f>
        <v>-2182435.9874171731</v>
      </c>
      <c r="DQ12" s="239">
        <f t="shared" si="40"/>
        <v>-7972738.7690428458</v>
      </c>
      <c r="DR12" s="114">
        <f>-(1-DR71)*DR5</f>
        <v>-2066866.5616108708</v>
      </c>
      <c r="DS12" s="114">
        <f>-(1-DS71)*DS5</f>
        <v>-2138152.6665152544</v>
      </c>
      <c r="DT12" s="114">
        <f>-(1-DT71)*DT5</f>
        <v>-2200739.2777171172</v>
      </c>
      <c r="DU12" s="114">
        <f>-(1-DU71)*DU5</f>
        <v>-2380093.9470248767</v>
      </c>
      <c r="DV12" s="239">
        <f t="shared" si="41"/>
        <v>-8785852.4528681189</v>
      </c>
      <c r="DW12" s="114">
        <f>-(1-DW71)*DW5</f>
        <v>-2247106.8850432606</v>
      </c>
      <c r="DX12" s="114">
        <f>-(1-DX71)*DX5</f>
        <v>-2316972.7091760952</v>
      </c>
      <c r="DY12" s="114">
        <f>-(1-DY71)*DY5</f>
        <v>-2376573.3116502692</v>
      </c>
      <c r="DZ12" s="114">
        <f>-(1-DZ71)*DZ5</f>
        <v>-2559844.2678450271</v>
      </c>
      <c r="EA12" s="239">
        <f t="shared" si="42"/>
        <v>-9500497.1737146527</v>
      </c>
      <c r="EB12" s="114">
        <f>-(1-EB71)*EB5</f>
        <v>-2414809.0378379868</v>
      </c>
      <c r="EC12" s="114">
        <f>-(1-EC71)*EC5</f>
        <v>-2484749.0006316728</v>
      </c>
      <c r="ED12" s="114">
        <f>-(1-ED71)*ED5</f>
        <v>-2542551.9136007642</v>
      </c>
      <c r="EE12" s="114">
        <f>-(1-EE71)*EE5</f>
        <v>-2729226.5373972277</v>
      </c>
      <c r="EF12" s="239">
        <f t="shared" si="43"/>
        <v>-10171336.489467651</v>
      </c>
    </row>
    <row r="13" spans="1:139" ht="12.75" customHeight="1" outlineLevel="2">
      <c r="A13" s="71" t="s">
        <v>143</v>
      </c>
      <c r="B13" s="246"/>
      <c r="C13" s="246"/>
      <c r="D13" s="246"/>
      <c r="E13" s="246"/>
      <c r="F13" s="239"/>
      <c r="G13" s="246"/>
      <c r="H13" s="246"/>
      <c r="I13" s="246"/>
      <c r="J13" s="246"/>
      <c r="K13" s="239"/>
      <c r="L13" s="246"/>
      <c r="M13" s="246"/>
      <c r="N13" s="246"/>
      <c r="O13" s="246"/>
      <c r="P13" s="239">
        <f t="shared" si="19"/>
        <v>0</v>
      </c>
      <c r="Q13" s="246">
        <v>0</v>
      </c>
      <c r="R13" s="246">
        <v>0</v>
      </c>
      <c r="S13" s="246">
        <v>0</v>
      </c>
      <c r="T13" s="246">
        <v>0</v>
      </c>
      <c r="U13" s="239">
        <f t="shared" si="20"/>
        <v>0</v>
      </c>
      <c r="V13" s="246">
        <v>0</v>
      </c>
      <c r="W13" s="246">
        <v>0</v>
      </c>
      <c r="X13" s="246">
        <f>-16166/2</f>
        <v>-8083</v>
      </c>
      <c r="Y13" s="246">
        <f>-16166-X13-W13-V13</f>
        <v>-8083</v>
      </c>
      <c r="Z13" s="239">
        <f>SUM(V13:Y13)</f>
        <v>-16166</v>
      </c>
      <c r="AA13" s="246">
        <v>-9169</v>
      </c>
      <c r="AB13" s="246">
        <v>-11627</v>
      </c>
      <c r="AC13" s="246">
        <f>-31739-AA13-AB13</f>
        <v>-10943</v>
      </c>
      <c r="AD13" s="246">
        <f>-39952-AC13-AB13-AA13</f>
        <v>-8213</v>
      </c>
      <c r="AE13" s="239">
        <f>SUM(AA13:AD13)</f>
        <v>-39952</v>
      </c>
      <c r="AF13" s="246">
        <v>-9550</v>
      </c>
      <c r="AG13" s="246">
        <f>-28872-AF13</f>
        <v>-19322</v>
      </c>
      <c r="AH13" s="246">
        <f>-45963-AG13-AF13</f>
        <v>-17091</v>
      </c>
      <c r="AI13" s="246">
        <f>-96195-AH13-AG13-AF13</f>
        <v>-50232</v>
      </c>
      <c r="AJ13" s="239">
        <f>SUM(AF13:AI13)</f>
        <v>-96195</v>
      </c>
      <c r="AK13" s="246">
        <v>-39087</v>
      </c>
      <c r="AL13" s="246">
        <f>-81451-AK13</f>
        <v>-42364</v>
      </c>
      <c r="AM13" s="246">
        <f>-142196-AK13-AL13</f>
        <v>-60745</v>
      </c>
      <c r="AN13" s="246">
        <v>-50000</v>
      </c>
      <c r="AO13" s="239">
        <f>SUM(AK13:AN13)</f>
        <v>-192196</v>
      </c>
      <c r="AP13" s="246">
        <f>-76289-AQ13</f>
        <v>-40800</v>
      </c>
      <c r="AQ13" s="246">
        <v>-35489</v>
      </c>
      <c r="AR13" s="246">
        <f>-119322-AP13-AQ13</f>
        <v>-43033</v>
      </c>
      <c r="AS13" s="246">
        <f>-178307-AP13-AQ13-AR13</f>
        <v>-58985</v>
      </c>
      <c r="AT13" s="239">
        <f t="shared" si="25"/>
        <v>-178307</v>
      </c>
      <c r="AU13" s="246">
        <v>-29979</v>
      </c>
      <c r="AV13" s="246">
        <f>-62263-AU13</f>
        <v>-32284</v>
      </c>
      <c r="AW13" s="246">
        <f>-112043-AU13-AV13</f>
        <v>-49780</v>
      </c>
      <c r="AX13" s="245">
        <f>-186376-SUM(AU13:AW13)</f>
        <v>-74333</v>
      </c>
      <c r="AY13" s="239">
        <f t="shared" si="26"/>
        <v>-186376</v>
      </c>
      <c r="AZ13" s="246">
        <v>-48552</v>
      </c>
      <c r="BA13" s="246">
        <f>-101289-AZ13</f>
        <v>-52737</v>
      </c>
      <c r="BB13" s="246">
        <f>-152526-AZ13-BA13</f>
        <v>-51237</v>
      </c>
      <c r="BC13" s="246">
        <f>-207728-SUM(AZ13:BB13)</f>
        <v>-55202</v>
      </c>
      <c r="BD13" s="239">
        <f t="shared" si="27"/>
        <v>-207728</v>
      </c>
      <c r="BE13" s="246">
        <v>-44065</v>
      </c>
      <c r="BF13" s="246">
        <f>-84900-BE13</f>
        <v>-40835</v>
      </c>
      <c r="BG13" s="246">
        <f>-128001-BE13-BF13</f>
        <v>-43101</v>
      </c>
      <c r="BH13" s="245">
        <v>-43000</v>
      </c>
      <c r="BI13" s="239">
        <f t="shared" si="28"/>
        <v>-171001</v>
      </c>
      <c r="BJ13" s="246">
        <v>-50357</v>
      </c>
      <c r="BK13" s="246">
        <f>-98404-BJ13</f>
        <v>-48047</v>
      </c>
      <c r="BL13" s="246">
        <f>-153560-BJ13-BK13</f>
        <v>-55156</v>
      </c>
      <c r="BM13" s="246">
        <f>-202752-SUM(BJ13:BL13)</f>
        <v>-49192</v>
      </c>
      <c r="BN13" s="239">
        <f t="shared" si="29"/>
        <v>-202752</v>
      </c>
      <c r="BO13" s="246">
        <v>-44881</v>
      </c>
      <c r="BP13" s="246">
        <f>-92980-BO13</f>
        <v>-48099</v>
      </c>
      <c r="BQ13" s="246">
        <f>-132347-BO13-BP13</f>
        <v>-39367</v>
      </c>
      <c r="BR13" s="246">
        <f>-173966-SUM(BO13:BQ13)</f>
        <v>-41619</v>
      </c>
      <c r="BS13" s="239">
        <f t="shared" si="30"/>
        <v>-173966</v>
      </c>
      <c r="BT13" s="246">
        <v>-25605</v>
      </c>
      <c r="BU13" s="246">
        <f>-54585-BT13</f>
        <v>-28980</v>
      </c>
      <c r="BV13" s="246">
        <f>-87467-BT13-BU13</f>
        <v>-32882</v>
      </c>
      <c r="BW13" s="245">
        <v>-22250</v>
      </c>
      <c r="BX13" s="239">
        <f t="shared" si="31"/>
        <v>-109717</v>
      </c>
      <c r="BY13" s="246">
        <v>-23843</v>
      </c>
      <c r="BZ13" s="246">
        <f>-42102-BY13</f>
        <v>-18259</v>
      </c>
      <c r="CA13" s="246">
        <f>-62264-BY13-BZ13</f>
        <v>-20162</v>
      </c>
      <c r="CB13" s="246">
        <f>-81394-CA13-BZ13-BY13</f>
        <v>-19130</v>
      </c>
      <c r="CC13" s="239">
        <f t="shared" si="32"/>
        <v>-81394</v>
      </c>
      <c r="CD13" s="246">
        <v>-11643</v>
      </c>
      <c r="CE13" s="246">
        <f>-28469-CD13</f>
        <v>-16826</v>
      </c>
      <c r="CF13" s="246">
        <f>-46726-CD13-CE13</f>
        <v>-18257</v>
      </c>
      <c r="CG13" s="246">
        <f>-67353-CF13-CE13-CD13</f>
        <v>-20627</v>
      </c>
      <c r="CH13" s="239">
        <f t="shared" si="33"/>
        <v>-67353</v>
      </c>
      <c r="CI13" s="246">
        <v>-9011</v>
      </c>
      <c r="CJ13" s="246">
        <f>-19387-CI13</f>
        <v>-10376</v>
      </c>
      <c r="CK13" s="246">
        <f>-30982-CI13-CJ13</f>
        <v>-11595</v>
      </c>
      <c r="CL13" s="246">
        <f>-46249-CK13-CJ13-CI13</f>
        <v>-15267</v>
      </c>
      <c r="CM13" s="239">
        <f t="shared" si="34"/>
        <v>-46249</v>
      </c>
      <c r="CN13" s="246">
        <v>-16267</v>
      </c>
      <c r="CO13" s="246">
        <f>-35778-CN13</f>
        <v>-19511</v>
      </c>
      <c r="CP13" s="246">
        <f>-58569-CN13-CO13</f>
        <v>-22791</v>
      </c>
      <c r="CQ13" s="246">
        <f>-82014-CP13-CO13-CN13</f>
        <v>-23445</v>
      </c>
      <c r="CR13" s="239">
        <f t="shared" si="35"/>
        <v>-82014</v>
      </c>
      <c r="CS13" s="246">
        <v>-24675</v>
      </c>
      <c r="CT13" s="246">
        <f>-55056-CS13</f>
        <v>-30381</v>
      </c>
      <c r="CU13" s="246">
        <f>-85057-CS13-CT13</f>
        <v>-30001</v>
      </c>
      <c r="CV13" s="246">
        <f>-114687-CU13-CT13-CS13</f>
        <v>-29630</v>
      </c>
      <c r="CW13" s="239">
        <f t="shared" si="36"/>
        <v>-114687</v>
      </c>
      <c r="CX13" s="246">
        <v>-27119</v>
      </c>
      <c r="CY13" s="246">
        <f>-62317-CX13</f>
        <v>-35198</v>
      </c>
      <c r="CZ13" s="246">
        <f>-98171-CX13-CY13</f>
        <v>-35854</v>
      </c>
      <c r="DA13" s="246">
        <f>-133989-CZ13-CY13-CX13</f>
        <v>-35818</v>
      </c>
      <c r="DB13" s="239">
        <f t="shared" si="37"/>
        <v>-133989</v>
      </c>
      <c r="DC13" s="246">
        <v>-36495</v>
      </c>
      <c r="DD13" s="246">
        <f>-82066-DC13</f>
        <v>-45571</v>
      </c>
      <c r="DE13" s="246">
        <f>-130689-DC13-DD13</f>
        <v>-48623</v>
      </c>
      <c r="DF13" s="246">
        <f>-178230-DE13-DD13-DC13</f>
        <v>-47541</v>
      </c>
      <c r="DG13" s="239">
        <f t="shared" si="38"/>
        <v>-178230</v>
      </c>
      <c r="DH13" s="246">
        <v>-65240</v>
      </c>
      <c r="DI13" s="246">
        <f>-137995-DH13</f>
        <v>-72755</v>
      </c>
      <c r="DJ13" s="246">
        <f>-('Balance Sheet'!DI133/(Forecasts!DI26+Forecasts!DI27))*Forecasts!DJ38-2%*Forecasts!DJ40</f>
        <v>-45213.013023685286</v>
      </c>
      <c r="DK13" s="246">
        <f>-('Balance Sheet'!DJ133/(Forecasts!DJ26+Forecasts!DJ27))*Forecasts!DK38-2%*Forecasts!DK40</f>
        <v>-50995.302013733708</v>
      </c>
      <c r="DL13" s="239">
        <f t="shared" si="39"/>
        <v>-234203.315037419</v>
      </c>
      <c r="DM13" s="246">
        <f>-('Balance Sheet'!DL133/(Forecasts!DL26+Forecasts!DL27))*Forecasts!DM38-2%*Forecasts!DM40</f>
        <v>-48524.949638233003</v>
      </c>
      <c r="DN13" s="246">
        <f>-('Balance Sheet'!DM133/(Forecasts!DM26+Forecasts!DM27))*Forecasts!DN38-2%*Forecasts!DN40</f>
        <v>-50403.71586120945</v>
      </c>
      <c r="DO13" s="246">
        <f>-('Balance Sheet'!DN133/(Forecasts!DN26+Forecasts!DN27))*Forecasts!DO38-2%*Forecasts!DO40</f>
        <v>-52605.523138755212</v>
      </c>
      <c r="DP13" s="246">
        <f>-('Balance Sheet'!DO133/(Forecasts!DO26+Forecasts!DO27))*Forecasts!DP38-2%*Forecasts!DP40</f>
        <v>-58046.731893690434</v>
      </c>
      <c r="DQ13" s="239">
        <f t="shared" si="40"/>
        <v>-209580.92053188808</v>
      </c>
      <c r="DR13" s="246">
        <f>-('Balance Sheet'!DQ133/(Forecasts!DQ26+Forecasts!DQ27))*Forecasts!DR38-1%*Forecasts!DR40</f>
        <v>-37993.341045426685</v>
      </c>
      <c r="DS13" s="246">
        <f>-('Balance Sheet'!DR133/(Forecasts!DR26+Forecasts!DR27))*Forecasts!DS38-1%*Forecasts!DS40</f>
        <v>-40475.076586724768</v>
      </c>
      <c r="DT13" s="246">
        <f>-('Balance Sheet'!DS133/(Forecasts!DS26+Forecasts!DS27))*Forecasts!DT38-1%*Forecasts!DT40</f>
        <v>-43082.917277550107</v>
      </c>
      <c r="DU13" s="246">
        <f>-('Balance Sheet'!DT133/(Forecasts!DT26+Forecasts!DT27))*Forecasts!DU38-1%*Forecasts!DU40</f>
        <v>-49561.147676933288</v>
      </c>
      <c r="DV13" s="239">
        <f t="shared" si="41"/>
        <v>-171112.48258663484</v>
      </c>
      <c r="DW13" s="246">
        <f>-('Balance Sheet'!DV133/(Forecasts!DV26+Forecasts!DV27))*Forecasts!DW38-1%*Forecasts!DW40</f>
        <v>-45967.495763910701</v>
      </c>
      <c r="DX13" s="246">
        <f>-('Balance Sheet'!DW133/(Forecasts!DW26+Forecasts!DW27))*Forecasts!DX38-1%*Forecasts!DX40</f>
        <v>-47996.426868619281</v>
      </c>
      <c r="DY13" s="246">
        <f>-('Balance Sheet'!DX133/(Forecasts!DX26+Forecasts!DX27))*Forecasts!DY38-1%*Forecasts!DY40</f>
        <v>-50128.853680785156</v>
      </c>
      <c r="DZ13" s="246">
        <f>-('Balance Sheet'!DY133/(Forecasts!DY26+Forecasts!DY27))*Forecasts!DZ38-1%*Forecasts!DZ40</f>
        <v>-56906.322249056553</v>
      </c>
      <c r="EA13" s="239">
        <f t="shared" si="42"/>
        <v>-200999.09856237168</v>
      </c>
      <c r="EB13" s="246">
        <f>-('Balance Sheet'!EA133/(Forecasts!EA26+Forecasts!EA27))*Forecasts!EB38-1%*Forecasts!EB40</f>
        <v>-51875.340982733724</v>
      </c>
      <c r="EC13" s="246">
        <f>-('Balance Sheet'!EB133/(Forecasts!EB26+Forecasts!EB27))*Forecasts!EC38-1%*Forecasts!EC40</f>
        <v>-53725.986010046719</v>
      </c>
      <c r="ED13" s="246">
        <f>-('Balance Sheet'!EC133/(Forecasts!EC26+Forecasts!EC27))*Forecasts!ED38-1%*Forecasts!ED40</f>
        <v>-55624.982510816597</v>
      </c>
      <c r="EE13" s="246">
        <f>-('Balance Sheet'!ED133/(Forecasts!ED26+Forecasts!ED27))*Forecasts!EE38-1%*Forecasts!EE40</f>
        <v>-62676.550210956426</v>
      </c>
      <c r="EF13" s="239">
        <f t="shared" si="43"/>
        <v>-223902.85971455346</v>
      </c>
    </row>
    <row r="14" spans="1:139" ht="12.75" customHeight="1" outlineLevel="1">
      <c r="A14" s="71" t="s">
        <v>688</v>
      </c>
      <c r="B14" s="246">
        <f>(-12124-SUM(D14))/2</f>
        <v>-3191</v>
      </c>
      <c r="C14" s="246">
        <f>B14</f>
        <v>-3191</v>
      </c>
      <c r="D14" s="246">
        <v>-5742</v>
      </c>
      <c r="E14" s="246">
        <v>3428</v>
      </c>
      <c r="F14" s="239">
        <f t="shared" si="17"/>
        <v>-8696</v>
      </c>
      <c r="G14" s="246">
        <v>-2941</v>
      </c>
      <c r="H14" s="246">
        <v>-1407</v>
      </c>
      <c r="I14" s="246">
        <v>-4640</v>
      </c>
      <c r="J14" s="246">
        <v>-452</v>
      </c>
      <c r="K14" s="239">
        <f t="shared" si="18"/>
        <v>-9440</v>
      </c>
      <c r="L14" s="246">
        <v>-4206</v>
      </c>
      <c r="M14" s="246">
        <v>-1858</v>
      </c>
      <c r="N14" s="246">
        <f>-12575-L14-M14</f>
        <v>-6511</v>
      </c>
      <c r="O14" s="246">
        <f>-15797-SUM(L14:N14)</f>
        <v>-3222</v>
      </c>
      <c r="P14" s="239">
        <f t="shared" si="19"/>
        <v>-15797</v>
      </c>
      <c r="Q14" s="246">
        <v>-4398</v>
      </c>
      <c r="R14" s="246">
        <f>-8199-Q14</f>
        <v>-3801</v>
      </c>
      <c r="S14" s="246">
        <v>-3989</v>
      </c>
      <c r="T14" s="246">
        <v>-7666</v>
      </c>
      <c r="U14" s="239">
        <f t="shared" si="20"/>
        <v>-19854</v>
      </c>
      <c r="V14" s="246">
        <v>-6949</v>
      </c>
      <c r="W14" s="246">
        <v>-5647</v>
      </c>
      <c r="X14" s="246">
        <v>-6695</v>
      </c>
      <c r="Y14" s="246">
        <v>-9017</v>
      </c>
      <c r="Z14" s="239">
        <f t="shared" si="21"/>
        <v>-28308</v>
      </c>
      <c r="AA14" s="246">
        <v>-5986</v>
      </c>
      <c r="AB14" s="246">
        <v>-5919</v>
      </c>
      <c r="AC14" s="246">
        <v>-8914</v>
      </c>
      <c r="AD14" s="246">
        <v>-7037</v>
      </c>
      <c r="AE14" s="239">
        <f t="shared" si="22"/>
        <v>-27856</v>
      </c>
      <c r="AF14" s="246">
        <v>-8575</v>
      </c>
      <c r="AG14" s="246">
        <v>-12823</v>
      </c>
      <c r="AH14" s="246">
        <v>-13205</v>
      </c>
      <c r="AI14" s="246">
        <v>-19509</v>
      </c>
      <c r="AJ14" s="239">
        <f t="shared" si="23"/>
        <v>-54112</v>
      </c>
      <c r="AK14" s="246">
        <v>-18645</v>
      </c>
      <c r="AL14" s="246">
        <f>-38200-AK14</f>
        <v>-19555</v>
      </c>
      <c r="AM14" s="246">
        <f>-57248-AK14-AL14</f>
        <v>-19048</v>
      </c>
      <c r="AN14" s="246">
        <f>-62914-AK14-AL14-AM14</f>
        <v>-5666</v>
      </c>
      <c r="AO14" s="239">
        <f t="shared" si="24"/>
        <v>-62914</v>
      </c>
      <c r="AP14" s="246">
        <f>-29450-AQ14</f>
        <v>-12079</v>
      </c>
      <c r="AQ14" s="246">
        <v>-17371</v>
      </c>
      <c r="AR14" s="246">
        <v>-8965</v>
      </c>
      <c r="AS14" s="246">
        <f>-54752-AP14-AQ14-AR14</f>
        <v>-16337</v>
      </c>
      <c r="AT14" s="239">
        <f t="shared" si="25"/>
        <v>-54752</v>
      </c>
      <c r="AU14" s="246">
        <f>-26407-AV14</f>
        <v>-12182</v>
      </c>
      <c r="AV14" s="246">
        <v>-14225</v>
      </c>
      <c r="AW14" s="246">
        <v>-14997</v>
      </c>
      <c r="AX14" s="246">
        <f>-59195-SUM(AU14:AW14)</f>
        <v>-17791</v>
      </c>
      <c r="AY14" s="239">
        <f t="shared" si="26"/>
        <v>-59195</v>
      </c>
      <c r="AZ14" s="246">
        <v>-11183</v>
      </c>
      <c r="BA14" s="246">
        <v>-10486</v>
      </c>
      <c r="BB14" s="246">
        <v>-14313</v>
      </c>
      <c r="BC14" s="246">
        <f>-45255-SUM(AZ14:BB14)</f>
        <v>-9273</v>
      </c>
      <c r="BD14" s="239">
        <f t="shared" si="27"/>
        <v>-45255</v>
      </c>
      <c r="BE14" s="246">
        <v>-11159</v>
      </c>
      <c r="BF14" s="246">
        <v>-7261</v>
      </c>
      <c r="BG14" s="246">
        <v>-7057</v>
      </c>
      <c r="BH14" s="246">
        <f>-35830-SUM(BE14:BG14)</f>
        <v>-10353</v>
      </c>
      <c r="BI14" s="239">
        <f t="shared" si="28"/>
        <v>-35830</v>
      </c>
      <c r="BJ14" s="246">
        <v>-10585</v>
      </c>
      <c r="BK14" s="246">
        <v>-22074</v>
      </c>
      <c r="BL14" s="246">
        <v>-7177</v>
      </c>
      <c r="BM14" s="246">
        <f>-44583-SUM(BJ14:BL14)</f>
        <v>-4747</v>
      </c>
      <c r="BN14" s="239">
        <f t="shared" si="29"/>
        <v>-44583</v>
      </c>
      <c r="BO14" s="246">
        <v>-7527</v>
      </c>
      <c r="BP14" s="246">
        <v>-3367</v>
      </c>
      <c r="BQ14" s="246">
        <v>-3572</v>
      </c>
      <c r="BR14" s="246">
        <f>-17543-SUM(BO14:BQ14)</f>
        <v>-3077</v>
      </c>
      <c r="BS14" s="239">
        <f t="shared" si="30"/>
        <v>-17543</v>
      </c>
      <c r="BT14" s="246">
        <v>-2392</v>
      </c>
      <c r="BU14" s="246">
        <v>-3635</v>
      </c>
      <c r="BV14" s="246">
        <v>-5883</v>
      </c>
      <c r="BW14" s="246">
        <f>-17719-SUM(BT14:BV14)</f>
        <v>-5809</v>
      </c>
      <c r="BX14" s="239">
        <f t="shared" si="31"/>
        <v>-17719</v>
      </c>
      <c r="BY14" s="246">
        <v>-4728</v>
      </c>
      <c r="BZ14" s="246">
        <v>-3225</v>
      </c>
      <c r="CA14" s="246">
        <v>-1942</v>
      </c>
      <c r="CB14" s="246">
        <f>-15054-SUM(BY14:CA14)</f>
        <v>-5159</v>
      </c>
      <c r="CC14" s="239">
        <f t="shared" si="32"/>
        <v>-15054</v>
      </c>
      <c r="CD14" s="246">
        <v>-4088</v>
      </c>
      <c r="CE14" s="246">
        <v>-13753</v>
      </c>
      <c r="CF14" s="246">
        <v>-8703</v>
      </c>
      <c r="CG14" s="246">
        <f>-35775-SUM(CD14:CF14)</f>
        <v>-9231</v>
      </c>
      <c r="CH14" s="239">
        <f t="shared" si="33"/>
        <v>-35775</v>
      </c>
      <c r="CI14" s="246">
        <v>-11970</v>
      </c>
      <c r="CJ14" s="246">
        <v>-15357</v>
      </c>
      <c r="CK14" s="246">
        <v>-21739</v>
      </c>
      <c r="CL14" s="246">
        <f>-63540-SUM(CI14:CK14)</f>
        <v>-14474</v>
      </c>
      <c r="CM14" s="239">
        <f t="shared" si="34"/>
        <v>-63540</v>
      </c>
      <c r="CN14" s="246">
        <v>-16803</v>
      </c>
      <c r="CO14" s="246">
        <v>-23176</v>
      </c>
      <c r="CP14" s="246">
        <v>-22039</v>
      </c>
      <c r="CQ14" s="246">
        <f>-75924-SUM(CN14:CP14)</f>
        <v>-13906</v>
      </c>
      <c r="CR14" s="239">
        <f t="shared" si="35"/>
        <v>-75924</v>
      </c>
      <c r="CS14" s="246">
        <v>-10083</v>
      </c>
      <c r="CT14" s="246">
        <f>-16959-CS14</f>
        <v>-6876</v>
      </c>
      <c r="CU14" s="246">
        <f>-21084-SUM(CS14:CT14)</f>
        <v>-4125</v>
      </c>
      <c r="CV14" s="246">
        <f>-27759-SUM(CS14:CU14)</f>
        <v>-6675</v>
      </c>
      <c r="CW14" s="239">
        <f t="shared" si="36"/>
        <v>-27759</v>
      </c>
      <c r="CX14" s="246">
        <v>-11575</v>
      </c>
      <c r="CY14" s="246">
        <f>-19737-CX14</f>
        <v>-8162</v>
      </c>
      <c r="CZ14" s="246">
        <f>-28433-SUM(CX14:CY14)</f>
        <v>-8696</v>
      </c>
      <c r="DA14" s="246">
        <f>-35742-SUM(CX14:CZ14)</f>
        <v>-7309</v>
      </c>
      <c r="DB14" s="239">
        <f t="shared" si="37"/>
        <v>-35742</v>
      </c>
      <c r="DC14" s="246">
        <v>-10146</v>
      </c>
      <c r="DD14" s="246">
        <f>-14257-DC14</f>
        <v>-4111</v>
      </c>
      <c r="DE14" s="246">
        <f>-19579-SUM(DC14:DD14)</f>
        <v>-5322</v>
      </c>
      <c r="DF14" s="246">
        <f>-22443-SUM(DC14:DE14)</f>
        <v>-2864</v>
      </c>
      <c r="DG14" s="239">
        <f t="shared" si="38"/>
        <v>-22443</v>
      </c>
      <c r="DH14" s="246">
        <v>-7609</v>
      </c>
      <c r="DI14" s="246">
        <f>-14854-DH14</f>
        <v>-7245</v>
      </c>
      <c r="DJ14" s="251">
        <f>-DJ6*(1-DJ72)</f>
        <v>-8240.1159675090003</v>
      </c>
      <c r="DK14" s="251">
        <f>-DK6*(1-DK72)</f>
        <v>-9147.8293480042357</v>
      </c>
      <c r="DL14" s="239">
        <f t="shared" si="39"/>
        <v>-32241.945315513236</v>
      </c>
      <c r="DM14" s="251">
        <f>-DM6*(1-DM72)</f>
        <v>-7188.5573155203192</v>
      </c>
      <c r="DN14" s="251">
        <f>-DN6*(1-DN72)</f>
        <v>-7501.7237911765733</v>
      </c>
      <c r="DO14" s="251">
        <f>-DO6*(1-DO72)</f>
        <v>-7762.1742675429296</v>
      </c>
      <c r="DP14" s="251">
        <f>-DP6*(1-DP72)</f>
        <v>-8448.6286065408713</v>
      </c>
      <c r="DQ14" s="239">
        <f t="shared" si="40"/>
        <v>-30901.083980780695</v>
      </c>
      <c r="DR14" s="251">
        <f>-DR6*(1-DR72)</f>
        <v>-8001.4352103091078</v>
      </c>
      <c r="DS14" s="251">
        <f>-DS6*(1-DS72)</f>
        <v>-8272.7085614901334</v>
      </c>
      <c r="DT14" s="251">
        <f>-DT6*(1-DT72)</f>
        <v>-8510.7564411781186</v>
      </c>
      <c r="DU14" s="251">
        <f>-DU6*(1-DU72)</f>
        <v>-9198.0668509954303</v>
      </c>
      <c r="DV14" s="239">
        <f t="shared" si="41"/>
        <v>-33982.967063972785</v>
      </c>
      <c r="DW14" s="251">
        <f>-DW6*(1-DW72)</f>
        <v>-8684.297873058611</v>
      </c>
      <c r="DX14" s="251">
        <f>-DX6*(1-DX72)</f>
        <v>-8950.5957243936882</v>
      </c>
      <c r="DY14" s="251">
        <f>-DY6*(1-DY72)</f>
        <v>-9177.6258662052496</v>
      </c>
      <c r="DZ14" s="251">
        <f>-DZ6*(1-DZ72)</f>
        <v>-9880.4544286090204</v>
      </c>
      <c r="EA14" s="239">
        <f t="shared" si="42"/>
        <v>-36692.973892266571</v>
      </c>
      <c r="EB14" s="251">
        <f>-EB6*(1-EB72)</f>
        <v>-9320.7701673493721</v>
      </c>
      <c r="EC14" s="251">
        <f>-EC6*(1-EC72)</f>
        <v>-9587.8179116642823</v>
      </c>
      <c r="ED14" s="251">
        <f>-ED6*(1-ED72)</f>
        <v>-9808.3628842679409</v>
      </c>
      <c r="EE14" s="251">
        <f>-EE6*(1-EE72)</f>
        <v>-10524.687838378737</v>
      </c>
      <c r="EF14" s="239">
        <f t="shared" si="43"/>
        <v>-39241.638801660331</v>
      </c>
    </row>
    <row r="15" spans="1:139" ht="12.75" customHeight="1">
      <c r="A15" s="78" t="s">
        <v>2</v>
      </c>
      <c r="B15" s="240">
        <f>B10+B11</f>
        <v>45139</v>
      </c>
      <c r="C15" s="240">
        <f>C10+C11</f>
        <v>45139</v>
      </c>
      <c r="D15" s="240">
        <f>D10+D11</f>
        <v>52896</v>
      </c>
      <c r="E15" s="240">
        <f>E10+E11</f>
        <v>69389</v>
      </c>
      <c r="F15" s="241">
        <f t="shared" si="17"/>
        <v>212563</v>
      </c>
      <c r="G15" s="240">
        <f>G10+G11</f>
        <v>82965</v>
      </c>
      <c r="H15" s="240">
        <f>H10+H11</f>
        <v>70658</v>
      </c>
      <c r="I15" s="240">
        <f>I10+I11</f>
        <v>120854</v>
      </c>
      <c r="J15" s="240">
        <f>J10+J11</f>
        <v>44123</v>
      </c>
      <c r="K15" s="241">
        <f t="shared" si="18"/>
        <v>318600</v>
      </c>
      <c r="L15" s="240">
        <f>L10+L11</f>
        <v>103240</v>
      </c>
      <c r="M15" s="240">
        <f>M10+M11</f>
        <v>115560</v>
      </c>
      <c r="N15" s="240">
        <f>N10+N11</f>
        <v>99135</v>
      </c>
      <c r="O15" s="240">
        <f>O10+O11</f>
        <v>153572</v>
      </c>
      <c r="P15" s="241">
        <f t="shared" si="19"/>
        <v>471507</v>
      </c>
      <c r="Q15" s="240">
        <f>Q10+Q11</f>
        <v>112198</v>
      </c>
      <c r="R15" s="240">
        <f>R10+R11</f>
        <v>156372</v>
      </c>
      <c r="S15" s="240">
        <f>S10+S11</f>
        <v>180487</v>
      </c>
      <c r="T15" s="240">
        <f>T10+T11</f>
        <v>327915</v>
      </c>
      <c r="U15" s="241">
        <f t="shared" si="20"/>
        <v>776972</v>
      </c>
      <c r="V15" s="240">
        <f>V10+V11</f>
        <v>219504</v>
      </c>
      <c r="W15" s="240">
        <f>W10+W11</f>
        <v>310789</v>
      </c>
      <c r="X15" s="240">
        <f>X10+X11</f>
        <v>305671</v>
      </c>
      <c r="Y15" s="240">
        <f>Y10+Y11</f>
        <v>246616</v>
      </c>
      <c r="Z15" s="241">
        <f t="shared" si="21"/>
        <v>1082580</v>
      </c>
      <c r="AA15" s="240">
        <f>AA10+AA11</f>
        <v>252085</v>
      </c>
      <c r="AB15" s="240">
        <f>AB10+AB11</f>
        <v>299868</v>
      </c>
      <c r="AC15" s="240">
        <f>AC10+AC11</f>
        <v>458572</v>
      </c>
      <c r="AD15" s="240">
        <f>AD10+AD11</f>
        <v>398729</v>
      </c>
      <c r="AE15" s="241">
        <f t="shared" si="22"/>
        <v>1409254</v>
      </c>
      <c r="AF15" s="240">
        <f>AF10+AF11</f>
        <v>394617</v>
      </c>
      <c r="AG15" s="240">
        <f>AG10+AG11</f>
        <v>393041</v>
      </c>
      <c r="AH15" s="240">
        <f>AH10+AH11</f>
        <v>408964</v>
      </c>
      <c r="AI15" s="240">
        <f>AI10+AI11</f>
        <v>340008</v>
      </c>
      <c r="AJ15" s="241">
        <f t="shared" si="23"/>
        <v>1536630</v>
      </c>
      <c r="AK15" s="240">
        <f>AK10+AK11</f>
        <v>328713</v>
      </c>
      <c r="AL15" s="240">
        <f>AL10+AL11</f>
        <v>382496</v>
      </c>
      <c r="AM15" s="240">
        <f>AM10+AM11</f>
        <v>445961</v>
      </c>
      <c r="AN15" s="240">
        <f>AN10+AN11</f>
        <v>576320</v>
      </c>
      <c r="AO15" s="241">
        <f t="shared" si="24"/>
        <v>1733490</v>
      </c>
      <c r="AP15" s="240">
        <f>AP10+AP11</f>
        <v>459875</v>
      </c>
      <c r="AQ15" s="240">
        <f>AQ10+AQ11</f>
        <v>411571</v>
      </c>
      <c r="AR15" s="240">
        <f>AR10+AR11</f>
        <v>428286</v>
      </c>
      <c r="AS15" s="240">
        <f>AS10+AS11</f>
        <v>519080</v>
      </c>
      <c r="AT15" s="241">
        <f t="shared" si="25"/>
        <v>1818812</v>
      </c>
      <c r="AU15" s="240">
        <f>AU10+AU11</f>
        <v>397020</v>
      </c>
      <c r="AV15" s="240">
        <f>AV10+AV11</f>
        <v>447774</v>
      </c>
      <c r="AW15" s="240">
        <f>AW10+AW11</f>
        <v>457250</v>
      </c>
      <c r="AX15" s="240">
        <f>AX10+AX11</f>
        <v>457245</v>
      </c>
      <c r="AY15" s="241">
        <f t="shared" si="26"/>
        <v>1759289</v>
      </c>
      <c r="AZ15" s="240">
        <f>AZ10+AZ11</f>
        <v>437655</v>
      </c>
      <c r="BA15" s="240">
        <f>BA10+BA11</f>
        <v>453552</v>
      </c>
      <c r="BB15" s="240">
        <f>BB10+BB11</f>
        <v>482731</v>
      </c>
      <c r="BC15" s="240">
        <f>BC10+BC11</f>
        <v>494808</v>
      </c>
      <c r="BD15" s="241">
        <f t="shared" si="27"/>
        <v>1868746</v>
      </c>
      <c r="BE15" s="240">
        <f>BE10+BE11</f>
        <v>360611</v>
      </c>
      <c r="BF15" s="240">
        <f>BF10+BF11</f>
        <v>399056</v>
      </c>
      <c r="BG15" s="240">
        <f>BG10+BG11</f>
        <v>394514</v>
      </c>
      <c r="BH15" s="240">
        <f>BH10+BH11</f>
        <v>348898</v>
      </c>
      <c r="BI15" s="241">
        <f t="shared" si="28"/>
        <v>1503079</v>
      </c>
      <c r="BJ15" s="240">
        <f>BJ10+BJ11</f>
        <v>282261</v>
      </c>
      <c r="BK15" s="240">
        <f>BK10+BK11</f>
        <v>253930</v>
      </c>
      <c r="BL15" s="240">
        <f>BL10+BL11</f>
        <v>261421</v>
      </c>
      <c r="BM15" s="240">
        <f>BM10+BM11</f>
        <v>264911</v>
      </c>
      <c r="BN15" s="241">
        <f t="shared" si="29"/>
        <v>1062523</v>
      </c>
      <c r="BO15" s="240">
        <f>BO10+BO11</f>
        <v>215017</v>
      </c>
      <c r="BP15" s="240">
        <f>BP10+BP11</f>
        <v>153589</v>
      </c>
      <c r="BQ15" s="240">
        <f>BQ10+BQ11</f>
        <v>147332</v>
      </c>
      <c r="BR15" s="240">
        <f>BR10+BR11</f>
        <v>218575</v>
      </c>
      <c r="BS15" s="241">
        <f t="shared" si="30"/>
        <v>734513</v>
      </c>
      <c r="BT15" s="240">
        <f>BT10+BT11</f>
        <v>124783</v>
      </c>
      <c r="BU15" s="240">
        <f>BU10+BU11</f>
        <v>171297</v>
      </c>
      <c r="BV15" s="240">
        <f>BV10+BV11</f>
        <v>204776</v>
      </c>
      <c r="BW15" s="240">
        <f>BW10+BW11</f>
        <v>314071</v>
      </c>
      <c r="BX15" s="241">
        <f t="shared" si="31"/>
        <v>814927</v>
      </c>
      <c r="BY15" s="240">
        <f>BY10+BY11</f>
        <v>248889</v>
      </c>
      <c r="BZ15" s="240">
        <f>BZ10+BZ11</f>
        <v>292960</v>
      </c>
      <c r="CA15" s="240">
        <f>CA10+CA11</f>
        <v>288927</v>
      </c>
      <c r="CB15" s="240">
        <f>CB10+CB11</f>
        <v>384938</v>
      </c>
      <c r="CC15" s="241">
        <f t="shared" si="32"/>
        <v>1215714</v>
      </c>
      <c r="CD15" s="240">
        <f>CD10+CD11</f>
        <v>260855</v>
      </c>
      <c r="CE15" s="240">
        <f>CE10+CE11</f>
        <v>274871</v>
      </c>
      <c r="CF15" s="240">
        <f>CF10+CF11</f>
        <v>378581</v>
      </c>
      <c r="CG15" s="240">
        <f>CG10+CG11</f>
        <v>336076</v>
      </c>
      <c r="CH15" s="241">
        <f t="shared" si="33"/>
        <v>1250383</v>
      </c>
      <c r="CI15" s="240">
        <f>CI10+CI11</f>
        <v>346540</v>
      </c>
      <c r="CJ15" s="240">
        <f>CJ10+CJ11</f>
        <v>432284</v>
      </c>
      <c r="CK15" s="240">
        <f>CK10+CK11</f>
        <v>446896</v>
      </c>
      <c r="CL15" s="240">
        <f>CL10+CL11</f>
        <v>440100</v>
      </c>
      <c r="CM15" s="241">
        <f t="shared" si="34"/>
        <v>1665820</v>
      </c>
      <c r="CN15" s="240">
        <f>CN10+CN11</f>
        <v>383550</v>
      </c>
      <c r="CO15" s="240">
        <f>CO10+CO11</f>
        <v>391331</v>
      </c>
      <c r="CP15" s="240">
        <f>CP10+CP11</f>
        <v>528384</v>
      </c>
      <c r="CQ15" s="240">
        <f>CQ10+CQ11</f>
        <v>430697</v>
      </c>
      <c r="CR15" s="241">
        <f t="shared" si="35"/>
        <v>1733962</v>
      </c>
      <c r="CS15" s="240">
        <f>CS10+CS11</f>
        <v>394467</v>
      </c>
      <c r="CT15" s="240">
        <f>CT10+CT11</f>
        <v>527088</v>
      </c>
      <c r="CU15" s="240">
        <f>CU10+CU11</f>
        <v>545464</v>
      </c>
      <c r="CV15" s="240">
        <f>CV10+CV11</f>
        <v>576580</v>
      </c>
      <c r="CW15" s="241">
        <f t="shared" si="36"/>
        <v>2043599</v>
      </c>
      <c r="CX15" s="240">
        <f>CX10+CX11</f>
        <v>493522</v>
      </c>
      <c r="CY15" s="240">
        <f>CY10+CY11</f>
        <v>610027</v>
      </c>
      <c r="CZ15" s="240">
        <f>CZ10+CZ11</f>
        <v>676165</v>
      </c>
      <c r="DA15" s="240">
        <f>DA10+DA11</f>
        <v>800151</v>
      </c>
      <c r="DB15" s="241">
        <f t="shared" si="37"/>
        <v>2579865</v>
      </c>
      <c r="DC15" s="240">
        <f>DC10+DC11</f>
        <v>634339</v>
      </c>
      <c r="DD15" s="240">
        <f>DD10+DD11</f>
        <v>689836</v>
      </c>
      <c r="DE15" s="240">
        <f>DE10+DE11</f>
        <v>702414</v>
      </c>
      <c r="DF15" s="240">
        <f>DF10+DF11</f>
        <v>1043380</v>
      </c>
      <c r="DG15" s="241">
        <f t="shared" si="38"/>
        <v>3069969</v>
      </c>
      <c r="DH15" s="240">
        <f>DH10+DH11</f>
        <v>665926</v>
      </c>
      <c r="DI15" s="240">
        <f>DI10+DI11</f>
        <v>852919</v>
      </c>
      <c r="DJ15" s="240">
        <f>DJ10+DJ11</f>
        <v>899544.57988008414</v>
      </c>
      <c r="DK15" s="240">
        <f>DK10+DK11</f>
        <v>1000413.3304128447</v>
      </c>
      <c r="DL15" s="241">
        <f t="shared" si="39"/>
        <v>3418802.9102929286</v>
      </c>
      <c r="DM15" s="240">
        <f>DM10+DM11</f>
        <v>935637.86460182583</v>
      </c>
      <c r="DN15" s="240">
        <f>DN10+DN11</f>
        <v>975065.05857965909</v>
      </c>
      <c r="DO15" s="240">
        <f>DO10+DO11</f>
        <v>1007127.1493724806</v>
      </c>
      <c r="DP15" s="240">
        <f>DP10+DP11</f>
        <v>1093319.0932186227</v>
      </c>
      <c r="DQ15" s="241">
        <f t="shared" si="40"/>
        <v>4011149.165772588</v>
      </c>
      <c r="DR15" s="240">
        <f>DR10+DR11</f>
        <v>1052480.8267390034</v>
      </c>
      <c r="DS15" s="240">
        <f>DS10+DS11</f>
        <v>1085756.5825946308</v>
      </c>
      <c r="DT15" s="240">
        <f>DT10+DT11</f>
        <v>1114495.0622736067</v>
      </c>
      <c r="DU15" s="240">
        <f>DU10+DU11</f>
        <v>1199872.6508870637</v>
      </c>
      <c r="DV15" s="241">
        <f t="shared" si="41"/>
        <v>4452605.1224943046</v>
      </c>
      <c r="DW15" s="240">
        <f>DW10+DW11</f>
        <v>1133721.7701485618</v>
      </c>
      <c r="DX15" s="240">
        <f>DX10+DX11</f>
        <v>1166907.2948947167</v>
      </c>
      <c r="DY15" s="240">
        <f>DY10+DY11</f>
        <v>1194759.6330707651</v>
      </c>
      <c r="DZ15" s="240">
        <f>DZ10+DZ11</f>
        <v>1282045.109980864</v>
      </c>
      <c r="EA15" s="241">
        <f t="shared" si="42"/>
        <v>4777433.8080949076</v>
      </c>
      <c r="EB15" s="240">
        <f>EB10+EB11</f>
        <v>1211261.7027508062</v>
      </c>
      <c r="EC15" s="240">
        <f>EC10+EC11</f>
        <v>1244847.2802836881</v>
      </c>
      <c r="ED15" s="240">
        <f>ED10+ED11</f>
        <v>1272171.7112593185</v>
      </c>
      <c r="EE15" s="240">
        <f>EE10+EE11</f>
        <v>1361105.0544149829</v>
      </c>
      <c r="EF15" s="241">
        <f t="shared" si="43"/>
        <v>5089385.7487087958</v>
      </c>
      <c r="EG15" s="236"/>
      <c r="EI15" s="607"/>
    </row>
    <row r="16" spans="1:139" ht="12.75" customHeight="1">
      <c r="A16" s="78" t="s">
        <v>34</v>
      </c>
      <c r="B16" s="240">
        <f>B17+B20+B22+B31+B35+B28</f>
        <v>-13312</v>
      </c>
      <c r="C16" s="240">
        <f>C17+C20+C22+C31+C35+C28</f>
        <v>-13312</v>
      </c>
      <c r="D16" s="240">
        <f>D17+D20+D22+D31+D35+D28</f>
        <v>-20313</v>
      </c>
      <c r="E16" s="240">
        <f>E17+E20+E22+E31+E35+E28</f>
        <v>-18430</v>
      </c>
      <c r="F16" s="241">
        <f t="shared" si="17"/>
        <v>-65367</v>
      </c>
      <c r="G16" s="240">
        <f>G17+G20+G22+G31+G35+G28</f>
        <v>-31442</v>
      </c>
      <c r="H16" s="240">
        <f>H17+H20+H22+H31+H35+H28</f>
        <v>-30388</v>
      </c>
      <c r="I16" s="240">
        <f>I17+I20+I22+I31+I35+I28</f>
        <v>-64956</v>
      </c>
      <c r="J16" s="240">
        <f>J17+J20+J22+J31+J35+J28</f>
        <v>-30148</v>
      </c>
      <c r="K16" s="241">
        <f t="shared" si="18"/>
        <v>-156934</v>
      </c>
      <c r="L16" s="240">
        <f>L17+L20+L22+L31+L35+L28</f>
        <v>-19465</v>
      </c>
      <c r="M16" s="240">
        <f>M17+M20+M22+M31+M35+M28</f>
        <v>-16696</v>
      </c>
      <c r="N16" s="240">
        <f>N17+N20+N22+N31+N35+N28</f>
        <v>-55005</v>
      </c>
      <c r="O16" s="240">
        <f>O17+O20+O22+O31+O35+O28</f>
        <v>-51754</v>
      </c>
      <c r="P16" s="241">
        <f t="shared" si="19"/>
        <v>-142920</v>
      </c>
      <c r="Q16" s="240">
        <f>Q17+Q20+Q22+Q31+Q35+Q28</f>
        <v>-58156</v>
      </c>
      <c r="R16" s="240">
        <f>R17+R20+R22+R31+R35+R28</f>
        <v>67398.000000000015</v>
      </c>
      <c r="S16" s="240">
        <f>S17+S20+S22+S31+S35+S28</f>
        <v>-55336</v>
      </c>
      <c r="T16" s="240">
        <f>T17+T20+T22+T31+T35+T28</f>
        <v>-193314</v>
      </c>
      <c r="U16" s="241">
        <f t="shared" si="20"/>
        <v>-239408</v>
      </c>
      <c r="V16" s="240">
        <f>V17+V20+V22+V31+V35+V28</f>
        <v>-126028</v>
      </c>
      <c r="W16" s="240">
        <f>W17+W20+W22+W31+W35+W28</f>
        <v>-161849</v>
      </c>
      <c r="X16" s="240">
        <f>X17+X20+X22+X31+X35+X28</f>
        <v>-189157</v>
      </c>
      <c r="Y16" s="240">
        <f>Y17+Y20+Y22+Y31+Y35+Y28</f>
        <v>-163553</v>
      </c>
      <c r="Z16" s="241">
        <f t="shared" si="21"/>
        <v>-640587</v>
      </c>
      <c r="AA16" s="240">
        <f>AA17+AA20+AA22+AA31+AA35+AA28</f>
        <v>-101565</v>
      </c>
      <c r="AB16" s="240">
        <f>AB17+AB20+AB22+AB31+AB35+AB28</f>
        <v>-96202</v>
      </c>
      <c r="AC16" s="240">
        <f>AC17+AC20+AC22+AC31+AC35+AC28</f>
        <v>-90744</v>
      </c>
      <c r="AD16" s="240">
        <f>AD17+AD20+AD22+AD31+AD35+AD28</f>
        <v>-148786</v>
      </c>
      <c r="AE16" s="241">
        <f t="shared" si="22"/>
        <v>-437297</v>
      </c>
      <c r="AF16" s="240">
        <f>AF17+AF20+AF22+AF31+AF35+AF28</f>
        <v>-178833</v>
      </c>
      <c r="AG16" s="240">
        <f>AG17+AG20+AG22+AG31+AG35+AG28</f>
        <v>-156810</v>
      </c>
      <c r="AH16" s="240">
        <f>AH17+AH20+AH22+AH31+AH35+AH28</f>
        <v>-173217</v>
      </c>
      <c r="AI16" s="240">
        <f>AI17+AI20+AI22+AI31+AI35+AI28</f>
        <v>-199860</v>
      </c>
      <c r="AJ16" s="241">
        <f t="shared" si="23"/>
        <v>-708720</v>
      </c>
      <c r="AK16" s="240">
        <f>AK17+AK20+AK22+AK31+AK35+AK28</f>
        <v>-196754</v>
      </c>
      <c r="AL16" s="240">
        <f>AL17+AL20+AL22+AL31+AL35+AL28</f>
        <v>-241502</v>
      </c>
      <c r="AM16" s="240">
        <f>AM17+AM20+AM22+AM31+AM35+AM28</f>
        <v>-221026</v>
      </c>
      <c r="AN16" s="240">
        <f>AN17+AN20+AN22+AN31+AN35+AN28</f>
        <v>-293810</v>
      </c>
      <c r="AO16" s="241">
        <f t="shared" si="24"/>
        <v>-953092</v>
      </c>
      <c r="AP16" s="240">
        <f>AP17+AP20+AP22+AP31+AP35+AP28</f>
        <v>-232954</v>
      </c>
      <c r="AQ16" s="240">
        <f>AQ17+AQ20+AQ22+AQ31+AQ35+AQ28</f>
        <v>-180102</v>
      </c>
      <c r="AR16" s="240">
        <f>AR17+AR20+AR22+AR31+AR35+AR28</f>
        <v>-214192</v>
      </c>
      <c r="AS16" s="240">
        <f>AS17+AS20+AS22+AS31+AS35+AS28</f>
        <v>-203195</v>
      </c>
      <c r="AT16" s="241">
        <f t="shared" si="25"/>
        <v>-830443</v>
      </c>
      <c r="AU16" s="240">
        <f>AU17+AU20+AU22+AU31+AU35+AU28</f>
        <v>-161583</v>
      </c>
      <c r="AV16" s="240">
        <f>AV17+AV20+AV22+AV31+AV35+AV28</f>
        <v>-189478</v>
      </c>
      <c r="AW16" s="240">
        <f>AW17+AW20+AW22+AW31+AW35+AW28</f>
        <v>-196650</v>
      </c>
      <c r="AX16" s="240">
        <f>AX17+AX20+AX22+AX31+AX35+AX28</f>
        <v>-187688</v>
      </c>
      <c r="AY16" s="241">
        <f t="shared" si="26"/>
        <v>-735399</v>
      </c>
      <c r="AZ16" s="240">
        <f>AZ17+AZ20+AZ22+AZ31+AZ35+AZ28</f>
        <v>-209059</v>
      </c>
      <c r="BA16" s="240">
        <f>BA17+BA20+BA22+BA31+BA35+BA28</f>
        <v>-202724</v>
      </c>
      <c r="BB16" s="240">
        <f>BB17+BB20+BB22+BB31+BB35+BB28</f>
        <v>-222391</v>
      </c>
      <c r="BC16" s="240">
        <f>BC17+BC20+BC22+BC31+BC35+BC28</f>
        <v>-258165</v>
      </c>
      <c r="BD16" s="241">
        <f t="shared" si="27"/>
        <v>-892339</v>
      </c>
      <c r="BE16" s="240">
        <f>BE17+BE20+BE22+BE31+BE35+BE28</f>
        <v>-219357</v>
      </c>
      <c r="BF16" s="240">
        <f>BF17+BF20+BF22+BF31+BF35+BF28</f>
        <v>-190079</v>
      </c>
      <c r="BG16" s="240">
        <f>BG17+BG20+BG22+BG31+BG35+BG28</f>
        <v>-196105</v>
      </c>
      <c r="BH16" s="240">
        <f>BH17+BH20+BH22+BH31+BH35+BH28</f>
        <v>-207134</v>
      </c>
      <c r="BI16" s="241">
        <f t="shared" si="28"/>
        <v>-812675</v>
      </c>
      <c r="BJ16" s="240">
        <f>BJ17+BJ20+BJ22+BJ31+BJ35+BJ28</f>
        <v>-175144</v>
      </c>
      <c r="BK16" s="240">
        <f>BK17+BK20+BK22+BK31+BK35+BK28</f>
        <v>-182593</v>
      </c>
      <c r="BL16" s="240">
        <f>BL17+BL20+BL22+BL31+BL35+BL28</f>
        <v>-199948</v>
      </c>
      <c r="BM16" s="240">
        <f>BM17+BM20+BM22+BM31+BM35+BM28</f>
        <v>-186495</v>
      </c>
      <c r="BN16" s="241">
        <f t="shared" si="29"/>
        <v>-744180</v>
      </c>
      <c r="BO16" s="240">
        <f>BO17+BO20+BO22+BO31+BO35+BO28</f>
        <v>-165320</v>
      </c>
      <c r="BP16" s="240">
        <f>BP17+BP20+BP22+BP31+BP35+BP28</f>
        <v>-273570</v>
      </c>
      <c r="BQ16" s="240">
        <f>BQ17+BQ20+BQ22+BQ31+BQ35+BQ28</f>
        <v>-118881</v>
      </c>
      <c r="BR16" s="240">
        <f>BR17+BR20+BR22+BR31+BR35+BR28</f>
        <v>-122112</v>
      </c>
      <c r="BS16" s="241">
        <f t="shared" si="30"/>
        <v>-679883</v>
      </c>
      <c r="BT16" s="240">
        <f>BT17+BT20+BT22+BT31+BT35+BT28</f>
        <v>-147683</v>
      </c>
      <c r="BU16" s="240">
        <f>BU17+BU20+BU22+BU31+BU35+BU28</f>
        <v>-176235</v>
      </c>
      <c r="BV16" s="240">
        <f>BV17+BV20+BV22+BV31+BV35+BV28</f>
        <v>-283464</v>
      </c>
      <c r="BW16" s="240">
        <f>BW17+BW20+BW22+BW31+BW35+BW28</f>
        <v>-132985</v>
      </c>
      <c r="BX16" s="241">
        <f t="shared" si="31"/>
        <v>-740367</v>
      </c>
      <c r="BY16" s="240">
        <f>BY17+BY20+BY22+BY31+BY35+BY28</f>
        <v>-169377</v>
      </c>
      <c r="BZ16" s="240">
        <f>BZ17+BZ20+BZ22+BZ31+BZ35+BZ28</f>
        <v>-131465</v>
      </c>
      <c r="CA16" s="240">
        <f>CA17+CA20+CA22+CA31+CA35+CA28</f>
        <v>-145997</v>
      </c>
      <c r="CB16" s="240">
        <f>CB17+CB20+CB22+CB31+CB35+CB28</f>
        <v>-148384</v>
      </c>
      <c r="CC16" s="241">
        <f t="shared" si="32"/>
        <v>-595223</v>
      </c>
      <c r="CD16" s="240">
        <f>CD17+CD20+CD22+CD31+CD35+CD28</f>
        <v>-195770</v>
      </c>
      <c r="CE16" s="240">
        <f>CE17+CE20+CE22+CE31+CE35+CE28</f>
        <v>-165614</v>
      </c>
      <c r="CF16" s="240">
        <f>CF17+CF20+CF22+CF31+CF35+CF28</f>
        <v>1057582</v>
      </c>
      <c r="CG16" s="240">
        <f>CG17+CG20+CG22+CG31+CG35+CG28</f>
        <v>-32202</v>
      </c>
      <c r="CH16" s="241">
        <f t="shared" si="33"/>
        <v>663996</v>
      </c>
      <c r="CI16" s="240">
        <f>CI17+CI20+CI22+CI31+CI35+CI28</f>
        <v>-120500</v>
      </c>
      <c r="CJ16" s="240">
        <f>CJ17+CJ20+CJ22+CJ31+CJ35+CJ28</f>
        <v>-120885</v>
      </c>
      <c r="CK16" s="240">
        <f>CK17+CK20+CK22+CK31+CK35+CK28</f>
        <v>-154069</v>
      </c>
      <c r="CL16" s="240">
        <f>CL17+CL20+CL22+CL31+CL35+CL28</f>
        <v>-164432</v>
      </c>
      <c r="CM16" s="241">
        <f t="shared" si="34"/>
        <v>-559886</v>
      </c>
      <c r="CN16" s="240">
        <f>CN17+CN20+CN22+CN31+CN35+CN28</f>
        <v>-186479</v>
      </c>
      <c r="CO16" s="240">
        <f>CO17+CO20+CO22+CO31+CO35+CO28</f>
        <v>-199209</v>
      </c>
      <c r="CP16" s="240">
        <f>CP17+CP20+CP22+CP31+CP35+CP28</f>
        <v>-186277</v>
      </c>
      <c r="CQ16" s="240">
        <f>CQ17+CQ20+CQ22+CQ31+CQ35+CQ28</f>
        <v>-180381</v>
      </c>
      <c r="CR16" s="241">
        <f t="shared" si="35"/>
        <v>-752346</v>
      </c>
      <c r="CS16" s="240">
        <f>CS17+CS20+CS22+CS31+CS35+CS28</f>
        <v>-171430</v>
      </c>
      <c r="CT16" s="240">
        <f>CT17+CT20+CT22+CT31+CT35+CT28</f>
        <v>-179239</v>
      </c>
      <c r="CU16" s="240">
        <f>CU17+CU20+CU22+CU31+CU35+CU28</f>
        <v>-199818</v>
      </c>
      <c r="CV16" s="240">
        <f>CV17+CV20+CV22+CV31+CV35+CV28</f>
        <v>-230901</v>
      </c>
      <c r="CW16" s="241">
        <f t="shared" si="36"/>
        <v>-781388</v>
      </c>
      <c r="CX16" s="240">
        <f>CX17+CX20+CX22+CX31+CX35+CX28</f>
        <v>-141678</v>
      </c>
      <c r="CY16" s="240">
        <f>CY17+CY20+CY22+CY31+CY35+CY28</f>
        <v>-90783</v>
      </c>
      <c r="CZ16" s="240">
        <f>CZ17+CZ20+CZ22+CZ31+CZ35+CZ28</f>
        <v>-83457</v>
      </c>
      <c r="DA16" s="240">
        <f>DA17+DA20+DA22+DA31+DA35+DA28</f>
        <v>-157465</v>
      </c>
      <c r="DB16" s="241">
        <f t="shared" si="37"/>
        <v>-473383</v>
      </c>
      <c r="DC16" s="240">
        <f>DC17+DC20+DC22+DC31+DC35+DC28</f>
        <v>-196376</v>
      </c>
      <c r="DD16" s="240">
        <f>DD17+DD20+DD22+DD31+DD35+DD28</f>
        <v>-161100</v>
      </c>
      <c r="DE16" s="240">
        <f>DE17+DE20+DE22+DE31+DE35+DE28</f>
        <v>36389</v>
      </c>
      <c r="DF16" s="240">
        <f>DF17+DF20+DF22+DF31+DF35+DF28</f>
        <v>-205022</v>
      </c>
      <c r="DG16" s="241">
        <f t="shared" si="38"/>
        <v>-526109</v>
      </c>
      <c r="DH16" s="240">
        <f>DH17+DH20+DH22+DH31+DH35+DH28</f>
        <v>-254645</v>
      </c>
      <c r="DI16" s="240">
        <f>DI17+DI20+DI22+DI31+DI35+DI28</f>
        <v>-279216</v>
      </c>
      <c r="DJ16" s="240">
        <f ca="1">DJ17+DJ20+DJ22+DJ31+DJ35+DJ28</f>
        <v>-213540.08107608603</v>
      </c>
      <c r="DK16" s="240">
        <f ca="1">DK17+DK20+DK22+DK31+DK35+DK28</f>
        <v>-223160.72020930849</v>
      </c>
      <c r="DL16" s="241">
        <f t="shared" ca="1" si="39"/>
        <v>-970561.80128539447</v>
      </c>
      <c r="DM16" s="240">
        <f ca="1">DM17+DM20+DM22+DM31+DM35+DM28</f>
        <v>-238927.89396102689</v>
      </c>
      <c r="DN16" s="240">
        <f ca="1">DN17+DN20+DN22+DN31+DN35+DN28</f>
        <v>-259298.35707088275</v>
      </c>
      <c r="DO16" s="240">
        <f ca="1">DO17+DO20+DO22+DO31+DO35+DO28</f>
        <v>-294762.22060241463</v>
      </c>
      <c r="DP16" s="240">
        <f ca="1">DP17+DP20+DP22+DP31+DP35+DP28</f>
        <v>-340987.67502834951</v>
      </c>
      <c r="DQ16" s="241">
        <f t="shared" ca="1" si="40"/>
        <v>-1133976.1466626737</v>
      </c>
      <c r="DR16" s="240">
        <f ca="1">DR17+DR20+DR22+DR31+DR35+DR28</f>
        <v>-265269.30178761733</v>
      </c>
      <c r="DS16" s="240">
        <f ca="1">DS17+DS20+DS22+DS31+DS35+DS28</f>
        <v>-337419.39334308461</v>
      </c>
      <c r="DT16" s="240">
        <f ca="1">DT17+DT20+DT22+DT31+DT35+DT28</f>
        <v>-367608.17526069912</v>
      </c>
      <c r="DU16" s="240">
        <f ca="1">DU17+DU20+DU22+DU31+DU35+DU28</f>
        <v>-386086.1445485343</v>
      </c>
      <c r="DV16" s="241">
        <f t="shared" ca="1" si="41"/>
        <v>-1356383.0149399354</v>
      </c>
      <c r="DW16" s="240">
        <f ca="1">DW17+DW20+DW22+DW31+DW35+DW28</f>
        <v>-293053.63546255551</v>
      </c>
      <c r="DX16" s="240">
        <f ca="1">DX17+DX20+DX22+DX31+DX35+DX28</f>
        <v>-376568.59127792029</v>
      </c>
      <c r="DY16" s="240">
        <f ca="1">DY17+DY20+DY22+DY31+DY35+DY28</f>
        <v>-412290.03654429538</v>
      </c>
      <c r="DZ16" s="240">
        <f ca="1">DZ17+DZ20+DZ22+DZ31+DZ35+DZ28</f>
        <v>-419192.15544372058</v>
      </c>
      <c r="EA16" s="241">
        <f t="shared" ca="1" si="42"/>
        <v>-1501104.4187284918</v>
      </c>
      <c r="EB16" s="240">
        <f ca="1">EB17+EB20+EB22+EB31+EB35+EB28</f>
        <v>-304803.89180431457</v>
      </c>
      <c r="EC16" s="240">
        <f ca="1">EC17+EC20+EC22+EC31+EC35+EC28</f>
        <v>-383407.15966388409</v>
      </c>
      <c r="ED16" s="240">
        <f ca="1">ED17+ED20+ED22+ED31+ED35+ED28</f>
        <v>-417433.30326314562</v>
      </c>
      <c r="EE16" s="240">
        <f ca="1">EE17+EE20+EE22+EE31+EE35+EE28</f>
        <v>-425913.50321872754</v>
      </c>
      <c r="EF16" s="241">
        <f t="shared" ca="1" si="43"/>
        <v>-1531557.8579500718</v>
      </c>
    </row>
    <row r="17" spans="1:171" ht="12.75" customHeight="1">
      <c r="A17" s="71" t="s">
        <v>35</v>
      </c>
      <c r="B17" s="246">
        <f>(-23743-SUM(D17))/2</f>
        <v>-6079.5</v>
      </c>
      <c r="C17" s="246">
        <f>B17</f>
        <v>-6079.5</v>
      </c>
      <c r="D17" s="246">
        <v>-11584</v>
      </c>
      <c r="E17" s="246">
        <v>-18592</v>
      </c>
      <c r="F17" s="239">
        <f t="shared" si="17"/>
        <v>-42335</v>
      </c>
      <c r="G17" s="246">
        <v>-20958</v>
      </c>
      <c r="H17" s="246">
        <v>-26303</v>
      </c>
      <c r="I17" s="246">
        <v>-19771</v>
      </c>
      <c r="J17" s="246">
        <v>-27283</v>
      </c>
      <c r="K17" s="239">
        <f t="shared" si="18"/>
        <v>-94315</v>
      </c>
      <c r="L17" s="246">
        <v>-20214</v>
      </c>
      <c r="M17" s="246">
        <f>-47715-L17</f>
        <v>-27501</v>
      </c>
      <c r="N17" s="246">
        <f>-81492-L17-M17</f>
        <v>-33777</v>
      </c>
      <c r="O17" s="246">
        <f>-131233-SUM(L17:N17)</f>
        <v>-49741</v>
      </c>
      <c r="P17" s="239">
        <f t="shared" si="19"/>
        <v>-131233</v>
      </c>
      <c r="Q17" s="246">
        <v>-29530</v>
      </c>
      <c r="R17" s="246">
        <f>-72045-Q17</f>
        <v>-42515</v>
      </c>
      <c r="S17" s="246">
        <v>-44577</v>
      </c>
      <c r="T17" s="246">
        <f>-262987-SUM(Q17:S17)</f>
        <v>-146365</v>
      </c>
      <c r="U17" s="239">
        <f t="shared" si="20"/>
        <v>-262987</v>
      </c>
      <c r="V17" s="246">
        <v>-69144</v>
      </c>
      <c r="W17" s="246">
        <v>-107614</v>
      </c>
      <c r="X17" s="246">
        <v>-91352</v>
      </c>
      <c r="Y17" s="246">
        <f>-366684-SUM(V17:X17)</f>
        <v>-98574</v>
      </c>
      <c r="Z17" s="239">
        <f>SUM(V17:Y17)</f>
        <v>-366684</v>
      </c>
      <c r="AA17" s="246">
        <v>-52424</v>
      </c>
      <c r="AB17" s="246">
        <v>-52750</v>
      </c>
      <c r="AC17" s="246">
        <v>-95819</v>
      </c>
      <c r="AD17" s="246">
        <v>-90298</v>
      </c>
      <c r="AE17" s="239">
        <f>SUM(AA17:AD17)</f>
        <v>-291291</v>
      </c>
      <c r="AF17" s="246">
        <v>-94188</v>
      </c>
      <c r="AG17" s="246">
        <v>-103019</v>
      </c>
      <c r="AH17" s="246">
        <v>-103927</v>
      </c>
      <c r="AI17" s="246">
        <v>-100686</v>
      </c>
      <c r="AJ17" s="239">
        <f>SUM(AF17:AI17)</f>
        <v>-401820</v>
      </c>
      <c r="AK17" s="246">
        <v>-112616</v>
      </c>
      <c r="AL17" s="246">
        <f>-255554-AK17</f>
        <v>-142938</v>
      </c>
      <c r="AM17" s="246">
        <f>-377323-AK17-AL17</f>
        <v>-121769</v>
      </c>
      <c r="AN17" s="246">
        <f>-511246-AK17-AL17-AM17</f>
        <v>-133923</v>
      </c>
      <c r="AO17" s="239">
        <f t="shared" si="24"/>
        <v>-511246</v>
      </c>
      <c r="AP17" s="246">
        <f>-219037-AQ17</f>
        <v>-109229</v>
      </c>
      <c r="AQ17" s="246">
        <v>-109808</v>
      </c>
      <c r="AR17" s="246">
        <v>-110247</v>
      </c>
      <c r="AS17" s="246">
        <f>-457139-AP17-AQ17-AR17</f>
        <v>-127855</v>
      </c>
      <c r="AT17" s="239">
        <f t="shared" si="25"/>
        <v>-457139</v>
      </c>
      <c r="AU17" s="246">
        <f>-195945-AV17</f>
        <v>-92544</v>
      </c>
      <c r="AV17" s="246">
        <v>-103401</v>
      </c>
      <c r="AW17" s="246">
        <v>-113426</v>
      </c>
      <c r="AX17" s="246">
        <f>-431373-SUM(AU17:AW17)</f>
        <v>-122002</v>
      </c>
      <c r="AY17" s="239">
        <f t="shared" si="26"/>
        <v>-431373</v>
      </c>
      <c r="AZ17" s="246">
        <v>-105875</v>
      </c>
      <c r="BA17" s="246">
        <v>-110796</v>
      </c>
      <c r="BB17" s="246">
        <v>-118305</v>
      </c>
      <c r="BC17" s="246">
        <f>-466628-SUM(AZ17:BB17)</f>
        <v>-131652</v>
      </c>
      <c r="BD17" s="239">
        <f t="shared" si="27"/>
        <v>-466628</v>
      </c>
      <c r="BE17" s="246">
        <v>-107499</v>
      </c>
      <c r="BF17" s="246">
        <v>-114777</v>
      </c>
      <c r="BG17" s="246">
        <v>-119917</v>
      </c>
      <c r="BH17" s="246">
        <f>-459538-SUM(BE17:BG17)</f>
        <v>-117345</v>
      </c>
      <c r="BI17" s="239">
        <f t="shared" si="28"/>
        <v>-459538</v>
      </c>
      <c r="BJ17" s="246">
        <v>-102376</v>
      </c>
      <c r="BK17" s="246">
        <v>-94828</v>
      </c>
      <c r="BL17" s="246">
        <v>-101971</v>
      </c>
      <c r="BM17" s="246">
        <f>-400579-SUM(BJ17:BL17)</f>
        <v>-101404</v>
      </c>
      <c r="BN17" s="239">
        <f t="shared" si="29"/>
        <v>-400579</v>
      </c>
      <c r="BO17" s="246">
        <v>-87376</v>
      </c>
      <c r="BP17" s="246">
        <v>-87704</v>
      </c>
      <c r="BQ17" s="246">
        <v>-88456</v>
      </c>
      <c r="BR17" s="246">
        <f>-343283-SUM(BO17:BQ17)</f>
        <v>-79747</v>
      </c>
      <c r="BS17" s="239">
        <f t="shared" si="30"/>
        <v>-343283</v>
      </c>
      <c r="BT17" s="246">
        <v>-73073</v>
      </c>
      <c r="BU17" s="246">
        <v>-84139</v>
      </c>
      <c r="BV17" s="246">
        <v>-87973</v>
      </c>
      <c r="BW17" s="246">
        <f>-332795-SUM(BT17:BV17)</f>
        <v>-87610</v>
      </c>
      <c r="BX17" s="239">
        <f t="shared" si="31"/>
        <v>-332795</v>
      </c>
      <c r="BY17" s="246">
        <v>-87514</v>
      </c>
      <c r="BZ17" s="246">
        <v>-98449</v>
      </c>
      <c r="CA17" s="246">
        <v>-95474</v>
      </c>
      <c r="CB17" s="246">
        <f>-382005-SUM(BY17:CA17)</f>
        <v>-100568</v>
      </c>
      <c r="CC17" s="239">
        <f t="shared" si="32"/>
        <v>-382005</v>
      </c>
      <c r="CD17" s="246">
        <v>-90755</v>
      </c>
      <c r="CE17" s="246">
        <v>-89321</v>
      </c>
      <c r="CF17" s="246">
        <v>-71523</v>
      </c>
      <c r="CG17" s="246">
        <f>-326318-SUM(CD17:CF17)</f>
        <v>-74719</v>
      </c>
      <c r="CH17" s="239">
        <f t="shared" si="33"/>
        <v>-326318</v>
      </c>
      <c r="CI17" s="246">
        <v>-70578</v>
      </c>
      <c r="CJ17" s="246">
        <v>-75141</v>
      </c>
      <c r="CK17" s="246">
        <v>-94562</v>
      </c>
      <c r="CL17" s="246">
        <f>-347846-SUM(CI17:CK17)</f>
        <v>-107565</v>
      </c>
      <c r="CM17" s="239">
        <f t="shared" si="34"/>
        <v>-347846</v>
      </c>
      <c r="CN17" s="246">
        <v>-97954</v>
      </c>
      <c r="CO17" s="246">
        <v>-108144</v>
      </c>
      <c r="CP17" s="246">
        <v>-152389</v>
      </c>
      <c r="CQ17" s="246">
        <f>-514969-SUM(CN17:CP17)</f>
        <v>-156482</v>
      </c>
      <c r="CR17" s="239">
        <f t="shared" si="35"/>
        <v>-514969</v>
      </c>
      <c r="CS17" s="246">
        <v>-142049</v>
      </c>
      <c r="CT17" s="246">
        <v>-155437</v>
      </c>
      <c r="CU17" s="246">
        <v>-155053</v>
      </c>
      <c r="CV17" s="246">
        <f>-628585-SUM(CS17:CU17)</f>
        <v>-176046</v>
      </c>
      <c r="CW17" s="239">
        <f t="shared" si="36"/>
        <v>-628585</v>
      </c>
      <c r="CX17" s="246">
        <v>-153798</v>
      </c>
      <c r="CY17" s="246">
        <v>-147794</v>
      </c>
      <c r="CZ17" s="246">
        <v>-170109</v>
      </c>
      <c r="DA17" s="246">
        <f>-659284-SUM(CX17:CZ17)</f>
        <v>-187583</v>
      </c>
      <c r="DB17" s="239">
        <f t="shared" si="37"/>
        <v>-659284</v>
      </c>
      <c r="DC17" s="246">
        <v>-200780</v>
      </c>
      <c r="DD17" s="246">
        <v>-225655</v>
      </c>
      <c r="DE17" s="246">
        <v>-237709</v>
      </c>
      <c r="DF17" s="246">
        <f>-938220-SUM(DC17:DE17)</f>
        <v>-274076</v>
      </c>
      <c r="DG17" s="239">
        <f t="shared" si="38"/>
        <v>-938220</v>
      </c>
      <c r="DH17" s="246">
        <v>-276768</v>
      </c>
      <c r="DI17" s="246">
        <v>-293787</v>
      </c>
      <c r="DJ17" s="110">
        <f>-DJ19*(Forecasts!DJ15+Forecasts!DJ17)</f>
        <v>-251393.75359824841</v>
      </c>
      <c r="DK17" s="110">
        <f>-DK19*(Forecasts!DK15+Forecasts!DK17)</f>
        <v>-275226.67852542509</v>
      </c>
      <c r="DL17" s="239">
        <f t="shared" si="39"/>
        <v>-1097175.4321236734</v>
      </c>
      <c r="DM17" s="110">
        <f>-DM19*(Forecasts!DM15+Forecasts!DM17)</f>
        <v>-247670.79250294928</v>
      </c>
      <c r="DN17" s="110">
        <f>-DN19*(Forecasts!DN15+Forecasts!DN17)</f>
        <v>-274528.42605882889</v>
      </c>
      <c r="DO17" s="110">
        <f>-DO19*(Forecasts!DO15+Forecasts!DO17)</f>
        <v>-293758.67394652427</v>
      </c>
      <c r="DP17" s="110">
        <f>-DP19*(Forecasts!DP15+Forecasts!DP17)</f>
        <v>-336125.42648397567</v>
      </c>
      <c r="DQ17" s="239">
        <f t="shared" si="40"/>
        <v>-1152083.3189922781</v>
      </c>
      <c r="DR17" s="110">
        <f>-DR19*(Forecasts!DR15+Forecasts!DR17)</f>
        <v>-255624.75795503208</v>
      </c>
      <c r="DS17" s="110">
        <f>-DS19*(Forecasts!DS15+Forecasts!DS17)</f>
        <v>-285071.46510564716</v>
      </c>
      <c r="DT17" s="110">
        <f>-DT19*(Forecasts!DT15+Forecasts!DT17)</f>
        <v>-306545.87505998882</v>
      </c>
      <c r="DU17" s="110">
        <f>-DU19*(Forecasts!DU15+Forecasts!DU17)</f>
        <v>-351882.0988199531</v>
      </c>
      <c r="DV17" s="239">
        <f t="shared" si="41"/>
        <v>-1199124.1969406211</v>
      </c>
      <c r="DW17" s="110">
        <f>-DW19*(Forecasts!DW15+Forecasts!DW17)</f>
        <v>-268362.94835812208</v>
      </c>
      <c r="DX17" s="110">
        <f>-DX19*(Forecasts!DX15+Forecasts!DX17)</f>
        <v>-299772.73565119604</v>
      </c>
      <c r="DY17" s="110">
        <f>-DY19*(Forecasts!DY15+Forecasts!DY17)</f>
        <v>-322535.00444882549</v>
      </c>
      <c r="DZ17" s="110">
        <f>-DZ19*(Forecasts!DZ15+Forecasts!DZ17)</f>
        <v>-370229.63318902912</v>
      </c>
      <c r="EA17" s="239">
        <f t="shared" si="42"/>
        <v>-1260900.3216471728</v>
      </c>
      <c r="EB17" s="110">
        <f>-EB19*(Forecasts!EB15+Forecasts!EB17)</f>
        <v>-282681.20082958747</v>
      </c>
      <c r="EC17" s="110">
        <f>-EC19*(Forecasts!EC15+Forecasts!EC17)</f>
        <v>-315551.91510739573</v>
      </c>
      <c r="ED17" s="110">
        <f>-ED19*(Forecasts!ED15+Forecasts!ED17)</f>
        <v>-339138.54567623255</v>
      </c>
      <c r="EE17" s="110">
        <f>-EE19*(Forecasts!EE15+Forecasts!EE17)</f>
        <v>-388861.78074510599</v>
      </c>
      <c r="EF17" s="239">
        <f t="shared" si="43"/>
        <v>-1326233.4423583217</v>
      </c>
      <c r="EG17" s="236"/>
    </row>
    <row r="18" spans="1:171" s="255" customFormat="1" ht="12.75" customHeight="1" outlineLevel="1">
      <c r="A18" s="252" t="s">
        <v>733</v>
      </c>
      <c r="B18" s="253">
        <f t="shared" ref="B18:AT18" si="44">-B17/B10</f>
        <v>5.5467107033862352E-2</v>
      </c>
      <c r="C18" s="253">
        <f t="shared" si="44"/>
        <v>5.5467107033862352E-2</v>
      </c>
      <c r="D18" s="253">
        <f t="shared" si="44"/>
        <v>9.4401434275935128E-2</v>
      </c>
      <c r="E18" s="253">
        <f t="shared" si="44"/>
        <v>0.10186504196892328</v>
      </c>
      <c r="F18" s="254">
        <f t="shared" si="44"/>
        <v>8.0724662828900326E-2</v>
      </c>
      <c r="G18" s="253">
        <f t="shared" si="44"/>
        <v>0.12318163384056566</v>
      </c>
      <c r="H18" s="253">
        <f t="shared" si="44"/>
        <v>0.18431729792228724</v>
      </c>
      <c r="I18" s="253">
        <f t="shared" si="44"/>
        <v>7.8161383034658888E-2</v>
      </c>
      <c r="J18" s="253">
        <f t="shared" si="44"/>
        <v>0.22171747133349046</v>
      </c>
      <c r="K18" s="254">
        <f t="shared" si="44"/>
        <v>0.1369169976540543</v>
      </c>
      <c r="L18" s="253">
        <f t="shared" si="44"/>
        <v>8.7476577274438611E-2</v>
      </c>
      <c r="M18" s="253">
        <f t="shared" si="44"/>
        <v>0.10496484759658323</v>
      </c>
      <c r="N18" s="253">
        <f t="shared" si="44"/>
        <v>0.14508085819212679</v>
      </c>
      <c r="O18" s="253">
        <f t="shared" si="44"/>
        <v>0.12728482413603387</v>
      </c>
      <c r="P18" s="254">
        <f t="shared" si="44"/>
        <v>0.11752058107910854</v>
      </c>
      <c r="Q18" s="253">
        <f t="shared" si="44"/>
        <v>0.10271625894375824</v>
      </c>
      <c r="R18" s="253">
        <f t="shared" si="44"/>
        <v>0.11450433077652332</v>
      </c>
      <c r="S18" s="253">
        <f t="shared" si="44"/>
        <v>0.10746003124216535</v>
      </c>
      <c r="T18" s="253">
        <f t="shared" si="44"/>
        <v>0.15824474986161086</v>
      </c>
      <c r="U18" s="254">
        <f t="shared" si="44"/>
        <v>0.13158962622195514</v>
      </c>
      <c r="V18" s="253">
        <f t="shared" si="44"/>
        <v>0.12552351387413882</v>
      </c>
      <c r="W18" s="253">
        <f t="shared" si="44"/>
        <v>0.13538378700711176</v>
      </c>
      <c r="X18" s="253">
        <f t="shared" si="44"/>
        <v>0.12168633453085517</v>
      </c>
      <c r="Y18" s="253">
        <f t="shared" si="44"/>
        <v>0.13125734023259716</v>
      </c>
      <c r="Z18" s="254">
        <f t="shared" si="44"/>
        <v>0.12877668053525956</v>
      </c>
      <c r="AA18" s="253">
        <f t="shared" si="44"/>
        <v>7.8075340976448124E-2</v>
      </c>
      <c r="AB18" s="253">
        <f t="shared" si="44"/>
        <v>6.0244403837368662E-2</v>
      </c>
      <c r="AC18" s="253">
        <f t="shared" si="44"/>
        <v>7.1036602543762623E-2</v>
      </c>
      <c r="AD18" s="253">
        <f t="shared" si="44"/>
        <v>7.5759520699251529E-2</v>
      </c>
      <c r="AE18" s="254">
        <f t="shared" si="44"/>
        <v>7.1258187422406777E-2</v>
      </c>
      <c r="AF18" s="253">
        <f t="shared" si="44"/>
        <v>8.317203085704597E-2</v>
      </c>
      <c r="AG18" s="253">
        <f t="shared" si="44"/>
        <v>8.5433745081209281E-2</v>
      </c>
      <c r="AH18" s="253">
        <f t="shared" si="44"/>
        <v>8.9395801811364514E-2</v>
      </c>
      <c r="AI18" s="253">
        <f t="shared" si="44"/>
        <v>7.2473876624680675E-2</v>
      </c>
      <c r="AJ18" s="254">
        <f>-AJ17/AJ10</f>
        <v>8.2170014754284412E-2</v>
      </c>
      <c r="AK18" s="253">
        <f>-AK17/AK10</f>
        <v>9.3788674003241326E-2</v>
      </c>
      <c r="AL18" s="253">
        <f>-AL17/AL10</f>
        <v>0.10336224874971436</v>
      </c>
      <c r="AM18" s="253">
        <f>-AM17/AM10</f>
        <v>7.8076970919503816E-2</v>
      </c>
      <c r="AN18" s="253">
        <f>-AN17/AN10</f>
        <v>6.7516723777988286E-2</v>
      </c>
      <c r="AO18" s="254">
        <f t="shared" si="44"/>
        <v>8.3444471085224028E-2</v>
      </c>
      <c r="AP18" s="253">
        <f>-AP17/AP10</f>
        <v>7.4490756937496891E-2</v>
      </c>
      <c r="AQ18" s="253">
        <f>-AQ17/AQ10</f>
        <v>7.9268702044304945E-2</v>
      </c>
      <c r="AR18" s="253">
        <f>-AR17/AR10</f>
        <v>8.1667348172379459E-2</v>
      </c>
      <c r="AS18" s="253">
        <f>-AS17/AS10</f>
        <v>8.9339056585711479E-2</v>
      </c>
      <c r="AT18" s="254">
        <f t="shared" si="44"/>
        <v>8.1158361767109402E-2</v>
      </c>
      <c r="AU18" s="253">
        <f t="shared" ref="AU18:CG18" si="45">-AU17/AU10</f>
        <v>7.6144713132626274E-2</v>
      </c>
      <c r="AV18" s="253">
        <f t="shared" si="45"/>
        <v>7.5342151340079086E-2</v>
      </c>
      <c r="AW18" s="253">
        <f t="shared" si="45"/>
        <v>8.134114717795142E-2</v>
      </c>
      <c r="AX18" s="253">
        <f t="shared" si="45"/>
        <v>8.7793645139586013E-2</v>
      </c>
      <c r="AY18" s="254">
        <f t="shared" si="45"/>
        <v>8.0302024504633571E-2</v>
      </c>
      <c r="AZ18" s="253">
        <f t="shared" si="45"/>
        <v>8.0491149964800571E-2</v>
      </c>
      <c r="BA18" s="253">
        <f t="shared" si="45"/>
        <v>8.1567747478339225E-2</v>
      </c>
      <c r="BB18" s="253">
        <f t="shared" si="45"/>
        <v>7.3313065162211463E-2</v>
      </c>
      <c r="BC18" s="253">
        <f t="shared" si="45"/>
        <v>8.6016812388846273E-2</v>
      </c>
      <c r="BD18" s="254">
        <f t="shared" si="45"/>
        <v>8.020520023712914E-2</v>
      </c>
      <c r="BE18" s="253">
        <f t="shared" si="45"/>
        <v>0.10384229734141927</v>
      </c>
      <c r="BF18" s="253">
        <f t="shared" si="45"/>
        <v>0.10088662659106271</v>
      </c>
      <c r="BG18" s="253">
        <f t="shared" si="45"/>
        <v>0.10539994884564305</v>
      </c>
      <c r="BH18" s="253">
        <f t="shared" si="45"/>
        <v>0.11386594006718716</v>
      </c>
      <c r="BI18" s="254">
        <f t="shared" si="45"/>
        <v>0.10585545325883446</v>
      </c>
      <c r="BJ18" s="253">
        <f t="shared" si="45"/>
        <v>0.1262800571353857</v>
      </c>
      <c r="BK18" s="253">
        <f t="shared" si="45"/>
        <v>0.14792998176380937</v>
      </c>
      <c r="BL18" s="253">
        <f t="shared" si="45"/>
        <v>0.12363013407985141</v>
      </c>
      <c r="BM18" s="253">
        <f t="shared" si="45"/>
        <v>0.11037001885141343</v>
      </c>
      <c r="BN18" s="254">
        <f t="shared" si="45"/>
        <v>0.12536467510194629</v>
      </c>
      <c r="BO18" s="253">
        <f t="shared" si="45"/>
        <v>0.12619532140262599</v>
      </c>
      <c r="BP18" s="253">
        <f t="shared" si="45"/>
        <v>0.15259344835025646</v>
      </c>
      <c r="BQ18" s="253">
        <f t="shared" si="45"/>
        <v>0.1479625376572152</v>
      </c>
      <c r="BR18" s="253">
        <f t="shared" si="45"/>
        <v>9.8599159248269036E-2</v>
      </c>
      <c r="BS18" s="254">
        <f t="shared" si="45"/>
        <v>0.12838912845906716</v>
      </c>
      <c r="BT18" s="253">
        <f t="shared" si="45"/>
        <v>0.1621603028702549</v>
      </c>
      <c r="BU18" s="253">
        <f t="shared" si="45"/>
        <v>0.13156195321942837</v>
      </c>
      <c r="BV18" s="253">
        <f t="shared" si="45"/>
        <v>0.12137136550201773</v>
      </c>
      <c r="BW18" s="253">
        <f t="shared" si="45"/>
        <v>8.1333418742242411E-2</v>
      </c>
      <c r="BX18" s="254">
        <f t="shared" si="45"/>
        <v>0.11506809623405645</v>
      </c>
      <c r="BY18" s="253">
        <f t="shared" si="45"/>
        <v>0.1059188900023722</v>
      </c>
      <c r="BZ18" s="253">
        <f t="shared" si="45"/>
        <v>0.1051107063468507</v>
      </c>
      <c r="CA18" s="253">
        <f t="shared" si="45"/>
        <v>0.1021375563113059</v>
      </c>
      <c r="CB18" s="253">
        <f t="shared" si="45"/>
        <v>8.1550041112352686E-2</v>
      </c>
      <c r="CC18" s="254">
        <f t="shared" si="45"/>
        <v>9.718193874412559E-2</v>
      </c>
      <c r="CD18" s="253">
        <f t="shared" si="45"/>
        <v>0.11867199299121942</v>
      </c>
      <c r="CE18" s="253">
        <f t="shared" si="45"/>
        <v>0.10648563199206493</v>
      </c>
      <c r="CF18" s="253">
        <f t="shared" si="45"/>
        <v>6.1472123406643556E-2</v>
      </c>
      <c r="CG18" s="253">
        <f t="shared" si="45"/>
        <v>7.0714441195120339E-2</v>
      </c>
      <c r="CH18" s="254">
        <f t="shared" ref="CH18:DG18" si="46">-CH17/CH10</f>
        <v>8.5340989451044222E-2</v>
      </c>
      <c r="CI18" s="253">
        <f>-CI17/CI10</f>
        <v>7.031558224705399E-2</v>
      </c>
      <c r="CJ18" s="253">
        <f>-CJ17/CJ10</f>
        <v>6.3570044136346371E-2</v>
      </c>
      <c r="CK18" s="253">
        <f>-CK17/CK10</f>
        <v>7.339838349999496E-2</v>
      </c>
      <c r="CL18" s="253">
        <f>-CL17/CL10</f>
        <v>8.1690200745323877E-2</v>
      </c>
      <c r="CM18" s="254">
        <f t="shared" si="46"/>
        <v>7.2606580108302662E-2</v>
      </c>
      <c r="CN18" s="253">
        <f>-CN17/CN10</f>
        <v>7.953058169028264E-2</v>
      </c>
      <c r="CO18" s="253">
        <f>-CO17/CO10</f>
        <v>8.6509455772136729E-2</v>
      </c>
      <c r="CP18" s="253">
        <f>-CP17/CP10</f>
        <v>9.7707553775092271E-2</v>
      </c>
      <c r="CQ18" s="253">
        <f>-CQ17/CQ10</f>
        <v>0.11414411969807049</v>
      </c>
      <c r="CR18" s="254">
        <f t="shared" si="46"/>
        <v>9.514799174841726E-2</v>
      </c>
      <c r="CS18" s="253">
        <f>-CS17/CS10</f>
        <v>0.11067954054226734</v>
      </c>
      <c r="CT18" s="253">
        <f>-CT17/CT10</f>
        <v>9.5181729947858465E-2</v>
      </c>
      <c r="CU18" s="253">
        <f>-CU17/CU10</f>
        <v>9.5359310990801277E-2</v>
      </c>
      <c r="CV18" s="253">
        <f>-CV17/CV10</f>
        <v>0.10293697167224779</v>
      </c>
      <c r="CW18" s="254">
        <f t="shared" si="46"/>
        <v>0.10053018704402691</v>
      </c>
      <c r="CX18" s="253">
        <f>-CX17/CX10</f>
        <v>9.7779213191337588E-2</v>
      </c>
      <c r="CY18" s="253">
        <f>-CY17/CY10</f>
        <v>7.9593635912727792E-2</v>
      </c>
      <c r="CZ18" s="253">
        <f>-CZ17/CZ10</f>
        <v>8.3811945994656217E-2</v>
      </c>
      <c r="DA18" s="253">
        <f>-DA17/DA10</f>
        <v>7.4845517380616372E-2</v>
      </c>
      <c r="DB18" s="254">
        <f t="shared" si="46"/>
        <v>8.2765481148646541E-2</v>
      </c>
      <c r="DC18" s="253">
        <f>-DC17/DC10</f>
        <v>0.10281941718934996</v>
      </c>
      <c r="DD18" s="253">
        <f>-DD17/DD10</f>
        <v>0.10709116191217438</v>
      </c>
      <c r="DE18" s="253">
        <f>-DE17/DE10</f>
        <v>0.11168195011759753</v>
      </c>
      <c r="DF18" s="253">
        <f>-DF17/DF10</f>
        <v>8.4717545331410307E-2</v>
      </c>
      <c r="DG18" s="254">
        <f t="shared" si="46"/>
        <v>9.956179735456934E-2</v>
      </c>
      <c r="DH18" s="253">
        <f>-DH17/DH10</f>
        <v>0.136673328286502</v>
      </c>
      <c r="DI18" s="253">
        <f>-DI17/DI10</f>
        <v>0.11842090943059917</v>
      </c>
      <c r="DJ18" s="253">
        <f>-DJ17/DJ10</f>
        <v>9.2808604167703479E-2</v>
      </c>
      <c r="DK18" s="253">
        <f>-DK17/DK10</f>
        <v>9.1436416378430224E-2</v>
      </c>
      <c r="DL18" s="254">
        <f>-DL17/DL10</f>
        <v>0.10730667564998536</v>
      </c>
      <c r="DM18" s="253">
        <f t="shared" ref="DM18:EF18" si="47">-DM17/DM10</f>
        <v>8.7092405128604541E-2</v>
      </c>
      <c r="DN18" s="253">
        <f t="shared" si="47"/>
        <v>9.2506762193974273E-2</v>
      </c>
      <c r="DO18" s="253">
        <f t="shared" si="47"/>
        <v>9.5665322601412292E-2</v>
      </c>
      <c r="DP18" s="253">
        <f t="shared" si="47"/>
        <v>0.10056859364785573</v>
      </c>
      <c r="DQ18" s="254">
        <f t="shared" si="47"/>
        <v>9.4244801548896917E-2</v>
      </c>
      <c r="DR18" s="253">
        <f t="shared" si="47"/>
        <v>8.0757385666987438E-2</v>
      </c>
      <c r="DS18" s="253">
        <f t="shared" si="47"/>
        <v>8.7107039363283553E-2</v>
      </c>
      <c r="DT18" s="253">
        <f t="shared" si="47"/>
        <v>9.1048866711266122E-2</v>
      </c>
      <c r="DU18" s="253">
        <f t="shared" si="47"/>
        <v>9.670475791744422E-2</v>
      </c>
      <c r="DV18" s="254">
        <f t="shared" si="47"/>
        <v>8.9196970079973223E-2</v>
      </c>
      <c r="DW18" s="253">
        <f t="shared" si="47"/>
        <v>7.8115114422965537E-2</v>
      </c>
      <c r="DX18" s="253">
        <f t="shared" si="47"/>
        <v>8.4661784773384582E-2</v>
      </c>
      <c r="DY18" s="253">
        <f t="shared" si="47"/>
        <v>8.8836969678929747E-2</v>
      </c>
      <c r="DZ18" s="253">
        <f t="shared" si="47"/>
        <v>9.4719955952977178E-2</v>
      </c>
      <c r="EA18" s="254">
        <f t="shared" si="47"/>
        <v>8.6865049948838605E-2</v>
      </c>
      <c r="EB18" s="253">
        <f t="shared" si="47"/>
        <v>7.6664155917079341E-2</v>
      </c>
      <c r="EC18" s="253">
        <f t="shared" si="47"/>
        <v>8.3195200531876193E-2</v>
      </c>
      <c r="ED18" s="253">
        <f t="shared" si="47"/>
        <v>8.7403305659031122E-2</v>
      </c>
      <c r="EE18" s="253">
        <f t="shared" si="47"/>
        <v>9.3397073263389446E-2</v>
      </c>
      <c r="EF18" s="254">
        <f t="shared" si="47"/>
        <v>8.5431900753412032E-2</v>
      </c>
    </row>
    <row r="19" spans="1:171" s="255" customFormat="1" ht="12.75" customHeight="1" outlineLevel="1">
      <c r="A19" s="252" t="s">
        <v>734</v>
      </c>
      <c r="B19" s="253">
        <f>-B17/Forecasts!B9</f>
        <v>3.1501849849559387E-2</v>
      </c>
      <c r="C19" s="253">
        <f>-C17/Forecasts!C9</f>
        <v>3.1501849849559387E-2</v>
      </c>
      <c r="D19" s="253">
        <f>-D17/Forecasts!D9</f>
        <v>6.0024250128677681E-2</v>
      </c>
      <c r="E19" s="253">
        <f>-E17/Forecasts!E9</f>
        <v>8.1495248448293964E-2</v>
      </c>
      <c r="F19" s="254">
        <f>-F17/Forecasts!F9</f>
        <v>5.2453097625826714E-2</v>
      </c>
      <c r="G19" s="253">
        <f>-G17/Forecasts!G9</f>
        <v>0.12354761694225838</v>
      </c>
      <c r="H19" s="253">
        <f>-H17/Forecasts!H9</f>
        <v>0.11098078099618151</v>
      </c>
      <c r="I19" s="253">
        <f>-I17/Forecasts!I9</f>
        <v>7.1948441377904904E-2</v>
      </c>
      <c r="J19" s="253">
        <f>-J17/Forecasts!J9</f>
        <v>9.0365895262605286E-2</v>
      </c>
      <c r="K19" s="254">
        <f>-K17/Forecasts!K9</f>
        <v>9.5911836160231703E-2</v>
      </c>
      <c r="L19" s="253">
        <f>-L17/Forecasts!L9</f>
        <v>0.10334989876679551</v>
      </c>
      <c r="M19" s="253">
        <f>-M17/Forecasts!M9</f>
        <v>4.5694565369098966E-2</v>
      </c>
      <c r="N19" s="253">
        <f>-N17/Forecasts!N9</f>
        <v>7.9640008393831008E-2</v>
      </c>
      <c r="O19" s="253">
        <f>-O17/Forecasts!O9</f>
        <v>7.1720035066268326E-2</v>
      </c>
      <c r="P19" s="254">
        <f>-P17/Forecasts!P9</f>
        <v>6.852551071825605E-2</v>
      </c>
      <c r="Q19" s="253">
        <f>-Q17/Forecasts!Q9</f>
        <v>7.5954185710941979E-2</v>
      </c>
      <c r="R19" s="253">
        <f>-R17/Forecasts!R9</f>
        <v>6.0882092230319471E-2</v>
      </c>
      <c r="S19" s="253">
        <f>-S17/Forecasts!S9</f>
        <v>4.2112651839647505E-2</v>
      </c>
      <c r="T19" s="253">
        <f>-T17/Forecasts!T9</f>
        <v>6.5149907326131892E-2</v>
      </c>
      <c r="U19" s="254">
        <f>-U17/Forecasts!U9</f>
        <v>5.9875780074267852E-2</v>
      </c>
      <c r="V19" s="253">
        <f>-V17/Forecasts!V9</f>
        <v>6.5725486021072005E-2</v>
      </c>
      <c r="W19" s="253">
        <f>-W17/Forecasts!W9</f>
        <v>5.5445326221866834E-2</v>
      </c>
      <c r="X19" s="253">
        <f>-X17/Forecasts!X9</f>
        <v>8.6791703521851365E-2</v>
      </c>
      <c r="Y19" s="253">
        <f>-Y17/Forecasts!Y9</f>
        <v>0.17413839704487277</v>
      </c>
      <c r="Z19" s="254">
        <f>-Z17/Forecasts!Z9</f>
        <v>7.951469416299381E-2</v>
      </c>
      <c r="AA19" s="253">
        <f>-AA17/Forecasts!AA9</f>
        <v>0.10447356673681525</v>
      </c>
      <c r="AB19" s="253">
        <f>-AB17/Forecasts!AB9</f>
        <v>6.2810330662157812E-2</v>
      </c>
      <c r="AC19" s="253">
        <f>-AC17/Forecasts!AC9</f>
        <v>5.8751610290407173E-2</v>
      </c>
      <c r="AD19" s="253">
        <f>-AD17/Forecasts!AD9</f>
        <v>3.9804297813271834E-2</v>
      </c>
      <c r="AE19" s="254">
        <f>-AE17/Forecasts!AE9</f>
        <v>5.5578345564890344E-2</v>
      </c>
      <c r="AF19" s="253">
        <f>-AF17/Forecasts!AF9</f>
        <v>8.8377033306059949E-2</v>
      </c>
      <c r="AG19" s="253">
        <f>-AG17/Forecasts!AG9</f>
        <v>6.6899711799841804E-2</v>
      </c>
      <c r="AH19" s="253">
        <f>-AH17/Forecasts!AH9</f>
        <v>0.10135570706740696</v>
      </c>
      <c r="AI19" s="253">
        <f>-AI17/Forecasts!AI9</f>
        <v>3.9618554449640651E-2</v>
      </c>
      <c r="AJ19" s="254">
        <f>-AJ17/Forecasts!AJ9</f>
        <v>6.5099390707808041E-2</v>
      </c>
      <c r="AK19" s="253">
        <f>-AK17/Forecasts!AK9</f>
        <v>0.11272872872872873</v>
      </c>
      <c r="AL19" s="253">
        <f>-AL17/Forecasts!AL9</f>
        <v>8.5694244604316544E-2</v>
      </c>
      <c r="AM19" s="253">
        <f>-AM17/Forecasts!AM9</f>
        <v>8.4036576949620426E-2</v>
      </c>
      <c r="AN19" s="253">
        <f>-AN17/Forecasts!AN9</f>
        <v>5.6222921914357682E-2</v>
      </c>
      <c r="AO19" s="254">
        <f>-AO17/Forecasts!AO9</f>
        <v>7.8677439212065256E-2</v>
      </c>
      <c r="AP19" s="253">
        <f>-AP17/(Forecasts!AP15+Forecasts!AP17)</f>
        <v>7.4001206604005915E-2</v>
      </c>
      <c r="AQ19" s="253">
        <f>-AQ17/(Forecasts!AQ15+Forecasts!AQ17)</f>
        <v>6.9820246691422685E-2</v>
      </c>
      <c r="AR19" s="253">
        <f>-AR17/(Forecasts!AR15+Forecasts!AR17)</f>
        <v>5.4881493468770241E-2</v>
      </c>
      <c r="AS19" s="253">
        <f>-AS17/(Forecasts!AS15+Forecasts!AS17)</f>
        <v>9.1306655188591823E-2</v>
      </c>
      <c r="AT19" s="254">
        <f>-AT17/(Forecasts!AT15+Forecasts!AT17)</f>
        <v>7.0787909559642703E-2</v>
      </c>
      <c r="AU19" s="253">
        <f>-AU17/(Forecasts!AU15+Forecasts!AU17)</f>
        <v>6.6539821297611934E-2</v>
      </c>
      <c r="AV19" s="253">
        <f>-AV17/(Forecasts!AV15+Forecasts!AV17)</f>
        <v>5.3967567413190615E-2</v>
      </c>
      <c r="AW19" s="253">
        <f>-AW17/(Forecasts!AW15+Forecasts!AW17)</f>
        <v>7.1505065571505558E-2</v>
      </c>
      <c r="AX19" s="253">
        <f>-AX17/(Forecasts!AX15+Forecasts!AX17)</f>
        <v>6.0001005246264186E-2</v>
      </c>
      <c r="AY19" s="254">
        <f>-AY17/(Forecasts!AY15+Forecasts!AY17)</f>
        <v>6.2279645435638867E-2</v>
      </c>
      <c r="AZ19" s="253">
        <f>-AZ17/(Forecasts!AZ15+Forecasts!AZ17)</f>
        <v>5.6568775569320308E-2</v>
      </c>
      <c r="BA19" s="253">
        <f>-BA17/(Forecasts!BA15+Forecasts!BA17)</f>
        <v>7.0154163641634015E-2</v>
      </c>
      <c r="BB19" s="253">
        <f>-BB17/(Forecasts!BB15+Forecasts!BB17)</f>
        <v>9.0647046131856729E-2</v>
      </c>
      <c r="BC19" s="253">
        <f>-BC17/(Forecasts!BC15+Forecasts!BC17)</f>
        <v>6.3397064465316455E-2</v>
      </c>
      <c r="BD19" s="254">
        <f>-BD17/(Forecasts!BD15+Forecasts!BD17)</f>
        <v>6.8293549322515815E-2</v>
      </c>
      <c r="BE19" s="253">
        <f>-BE17/(Forecasts!BE15+Forecasts!BE17)</f>
        <v>9.1051926337882866E-2</v>
      </c>
      <c r="BF19" s="253">
        <f>-BF17/(Forecasts!BF15+Forecasts!BF17)</f>
        <v>8.2394011310628804E-2</v>
      </c>
      <c r="BG19" s="253">
        <f>-BG17/(Forecasts!BG15+Forecasts!BG17)</f>
        <v>7.8519125765354733E-2</v>
      </c>
      <c r="BH19" s="253">
        <f>-BH17/(Forecasts!BH15+Forecasts!BH17)</f>
        <v>8.7359537596352704E-2</v>
      </c>
      <c r="BI19" s="254">
        <f>-BI17/(Forecasts!BI15+Forecasts!BI17)</f>
        <v>8.4409736349300671E-2</v>
      </c>
      <c r="BJ19" s="253">
        <f>-BJ17/(Forecasts!BJ15+Forecasts!BJ17)</f>
        <v>9.8680323215265112E-2</v>
      </c>
      <c r="BK19" s="253">
        <f>-BK17/(Forecasts!BK15+Forecasts!BK17)</f>
        <v>7.1794141874212611E-2</v>
      </c>
      <c r="BL19" s="253">
        <f>-BL17/(Forecasts!BL15+Forecasts!BL17)</f>
        <v>8.6664564594936155E-2</v>
      </c>
      <c r="BM19" s="253">
        <f>-BM17/(Forecasts!BM15+Forecasts!BM17)</f>
        <v>6.4998397538619315E-2</v>
      </c>
      <c r="BN19" s="254">
        <f>-BN17/(Forecasts!BN15+Forecasts!BN17)</f>
        <v>7.8621982335623161E-2</v>
      </c>
      <c r="BO19" s="253">
        <f>-BO17/(Forecasts!BO15+Forecasts!BO17)</f>
        <v>8.4339768339768334E-2</v>
      </c>
      <c r="BP19" s="253">
        <f>-BP17/(Forecasts!BP15+Forecasts!BP17)</f>
        <v>6.8199066874027992E-2</v>
      </c>
      <c r="BQ19" s="253">
        <f>-BQ17/(Forecasts!BQ15+Forecasts!BQ17)</f>
        <v>7.3552131578290908E-2</v>
      </c>
      <c r="BR19" s="253">
        <f>-BR17/(Forecasts!BR15+Forecasts!BR17)</f>
        <v>5.157308682518362E-2</v>
      </c>
      <c r="BS19" s="254">
        <f>-BS17/(Forecasts!BS15+Forecasts!BS17)</f>
        <v>6.7696380992723015E-2</v>
      </c>
      <c r="BT19" s="253">
        <f>-BT17/(Forecasts!BT15+Forecasts!BT17)</f>
        <v>7.9161123701646213E-2</v>
      </c>
      <c r="BU19" s="253">
        <f>-BU17/(Forecasts!BU15+Forecasts!BU17)</f>
        <v>5.90061959345973E-2</v>
      </c>
      <c r="BV19" s="253">
        <f>-BV17/(Forecasts!BV15+Forecasts!BV17)</f>
        <v>7.0547714514835602E-2</v>
      </c>
      <c r="BW19" s="253">
        <f>-BW17/(Forecasts!BW15+Forecasts!BW17)</f>
        <v>3.3347547238979813E-2</v>
      </c>
      <c r="BX19" s="254">
        <f>-BX17/(Forecasts!BX15+Forecasts!BX17)</f>
        <v>5.3476449470752377E-2</v>
      </c>
      <c r="BY19" s="253">
        <f>-BY17/(Forecasts!BY15+Forecasts!BY17)</f>
        <v>9.1062612900236886E-2</v>
      </c>
      <c r="BZ19" s="253">
        <f>-BZ17/(Forecasts!BZ15+Forecasts!BZ17)</f>
        <v>6.4452290138505341E-2</v>
      </c>
      <c r="CA19" s="253">
        <f>-CA17/(Forecasts!CA15+Forecasts!CA17)</f>
        <v>7.2144800582998936E-2</v>
      </c>
      <c r="CB19" s="253">
        <f>-CB17/(Forecasts!CB15+Forecasts!CB17)</f>
        <v>6.4780390223341838E-2</v>
      </c>
      <c r="CC19" s="254">
        <f>-CC17/(Forecasts!CC15+Forecasts!CC17)</f>
        <v>7.1212281689807352E-2</v>
      </c>
      <c r="CD19" s="253">
        <f>-CD17/(Forecasts!CD15+Forecasts!CD17)</f>
        <v>8.8010055825779754E-2</v>
      </c>
      <c r="CE19" s="253">
        <f>-CE17/(Forecasts!CE15+Forecasts!CE17)</f>
        <v>0.12347761338625632</v>
      </c>
      <c r="CF19" s="253">
        <f>-CF17/(Forecasts!CF15+Forecasts!CF17)</f>
        <v>3.5413963255681642E-2</v>
      </c>
      <c r="CG19" s="253">
        <f>-CG17/(Forecasts!CG15+Forecasts!CG17)</f>
        <v>3.6894723030356721E-2</v>
      </c>
      <c r="CH19" s="254">
        <f>-CH17/(Forecasts!CH15+Forecasts!CH17)</f>
        <v>5.6267652210069664E-2</v>
      </c>
      <c r="CI19" s="253">
        <f>-CI17/(Forecasts!CI15+Forecasts!CI17)</f>
        <v>6.0858218610588322E-2</v>
      </c>
      <c r="CJ19" s="253">
        <f>-CJ17/(Forecasts!CJ15+Forecasts!CJ17)</f>
        <v>4.3956119311585412E-2</v>
      </c>
      <c r="CK19" s="253">
        <f>-CK17/(Forecasts!CK15+Forecasts!CK17)</f>
        <v>6.1736484168926672E-2</v>
      </c>
      <c r="CL19" s="253">
        <f>-CL17/(Forecasts!CL15+Forecasts!CL17)</f>
        <v>6.1574257439794521E-2</v>
      </c>
      <c r="CM19" s="254">
        <f>-CM17/(Forecasts!CM15+Forecasts!CM17)</f>
        <v>5.6580698923670222E-2</v>
      </c>
      <c r="CN19" s="253">
        <f>-CN17/(Forecasts!CN15+Forecasts!CN17)</f>
        <v>6.4533116115649242E-2</v>
      </c>
      <c r="CO19" s="253">
        <f>-CO17/(Forecasts!CO15+Forecasts!CO17)</f>
        <v>5.8591106538012208E-2</v>
      </c>
      <c r="CP19" s="253">
        <f>-CP17/(Forecasts!CP15+Forecasts!CP17)</f>
        <v>6.0797101074128036E-2</v>
      </c>
      <c r="CQ19" s="253">
        <f>-CQ17/(Forecasts!CQ15+Forecasts!CQ17)</f>
        <v>5.4650233660938949E-2</v>
      </c>
      <c r="CR19" s="254">
        <f>-CR17/(Forecasts!CR15+Forecasts!CR17)</f>
        <v>5.8964911688663982E-2</v>
      </c>
      <c r="CS19" s="253">
        <f>-CS17/(Forecasts!CS15+Forecasts!CS17)</f>
        <v>7.669804012402226E-2</v>
      </c>
      <c r="CT19" s="253">
        <f>-CT17/(Forecasts!CT15+Forecasts!CT17)</f>
        <v>5.5557770555058311E-2</v>
      </c>
      <c r="CU19" s="253">
        <f>-CU17/(Forecasts!CU15+Forecasts!CU17)</f>
        <v>6.1394979213641503E-2</v>
      </c>
      <c r="CV19" s="253">
        <f>-CV17/(Forecasts!CV15+Forecasts!CV17)</f>
        <v>6.0376690793789031E-2</v>
      </c>
      <c r="CW19" s="254">
        <f>-CW17/(Forecasts!CW15+Forecasts!CW17)</f>
        <v>6.2291007771347114E-2</v>
      </c>
      <c r="CX19" s="253">
        <f>-CX17/(Forecasts!CX15+Forecasts!CX17)</f>
        <v>6.1907985625944337E-2</v>
      </c>
      <c r="CY19" s="253">
        <f>-CY17/(Forecasts!CY15+Forecasts!CY17)</f>
        <v>5.5081060643726636E-2</v>
      </c>
      <c r="CZ19" s="253">
        <f>-CZ17/(Forecasts!CZ15+Forecasts!CZ17)</f>
        <v>4.8363363992246979E-2</v>
      </c>
      <c r="DA19" s="253">
        <f>-DA17/(Forecasts!DA15+Forecasts!DA17)</f>
        <v>3.5933756295022407E-2</v>
      </c>
      <c r="DB19" s="254">
        <f>-DB17/(Forecasts!DB15+Forecasts!DB17)</f>
        <v>4.7413227647512775E-2</v>
      </c>
      <c r="DC19" s="253">
        <f>-DC17/(Forecasts!DC15+Forecasts!DC17)</f>
        <v>5.9520182623485074E-2</v>
      </c>
      <c r="DD19" s="253">
        <f>-DD17/(Forecasts!DD15+Forecasts!DD17)</f>
        <v>6.0807255921357793E-2</v>
      </c>
      <c r="DE19" s="253">
        <f>-DE17/(Forecasts!DE15+Forecasts!DE17)</f>
        <v>5.8448986926054963E-2</v>
      </c>
      <c r="DF19" s="253">
        <f>-DF17/(Forecasts!DF15+Forecasts!DF17)</f>
        <v>7.5194781194978855E-2</v>
      </c>
      <c r="DG19" s="254">
        <f>-DG17/(Forecasts!DG15+Forecasts!DG17)</f>
        <v>6.3409839635585039E-2</v>
      </c>
      <c r="DH19" s="253">
        <f>-DH17/(Forecasts!DH15+Forecasts!DH17)</f>
        <v>8.4225478042944557E-2</v>
      </c>
      <c r="DI19" s="253">
        <f>-DI17/(Forecasts!DI15+Forecasts!DI17)</f>
        <v>7.494829636502448E-2</v>
      </c>
      <c r="DJ19" s="256">
        <v>5.7500000000000002E-2</v>
      </c>
      <c r="DK19" s="256">
        <v>5.5E-2</v>
      </c>
      <c r="DL19" s="254">
        <f>-DL17/(Forecasts!DL15+Forecasts!DL17)</f>
        <v>6.6166311165020711E-2</v>
      </c>
      <c r="DM19" s="256">
        <v>6.5000000000000002E-2</v>
      </c>
      <c r="DN19" s="256">
        <v>6.5000000000000002E-2</v>
      </c>
      <c r="DO19" s="256">
        <v>6.5000000000000002E-2</v>
      </c>
      <c r="DP19" s="256">
        <v>6.5000000000000002E-2</v>
      </c>
      <c r="DQ19" s="254">
        <f>-DQ17/(Forecasts!DQ15+Forecasts!DQ17)</f>
        <v>6.5000000000000002E-2</v>
      </c>
      <c r="DR19" s="256">
        <f>DM19</f>
        <v>6.5000000000000002E-2</v>
      </c>
      <c r="DS19" s="256">
        <f>DN19</f>
        <v>6.5000000000000002E-2</v>
      </c>
      <c r="DT19" s="256">
        <f>DO19</f>
        <v>6.5000000000000002E-2</v>
      </c>
      <c r="DU19" s="256">
        <f>DP19</f>
        <v>6.5000000000000002E-2</v>
      </c>
      <c r="DV19" s="254">
        <f>-DV17/(Forecasts!DV15+Forecasts!DV17)</f>
        <v>6.5000000000000002E-2</v>
      </c>
      <c r="DW19" s="256">
        <f>DR19</f>
        <v>6.5000000000000002E-2</v>
      </c>
      <c r="DX19" s="256">
        <f>DS19</f>
        <v>6.5000000000000002E-2</v>
      </c>
      <c r="DY19" s="256">
        <f>DT19</f>
        <v>6.5000000000000002E-2</v>
      </c>
      <c r="DZ19" s="256">
        <f>DU19</f>
        <v>6.5000000000000002E-2</v>
      </c>
      <c r="EA19" s="254">
        <f>-EA17/(Forecasts!EA15+Forecasts!EA17)</f>
        <v>6.5000000000000002E-2</v>
      </c>
      <c r="EB19" s="256">
        <f>DW19</f>
        <v>6.5000000000000002E-2</v>
      </c>
      <c r="EC19" s="256">
        <f>DX19</f>
        <v>6.5000000000000002E-2</v>
      </c>
      <c r="ED19" s="256">
        <f>DY19</f>
        <v>6.5000000000000002E-2</v>
      </c>
      <c r="EE19" s="256">
        <f>DZ19</f>
        <v>6.5000000000000002E-2</v>
      </c>
      <c r="EF19" s="254">
        <f>-EF17/(Forecasts!EF15+Forecasts!EF17)</f>
        <v>6.5000000000000002E-2</v>
      </c>
    </row>
    <row r="20" spans="1:171" ht="12.75" customHeight="1">
      <c r="A20" s="71" t="s">
        <v>689</v>
      </c>
      <c r="B20" s="246">
        <f>(-27146-SUM(D20))/2</f>
        <v>-8407.5</v>
      </c>
      <c r="C20" s="246">
        <f>B20</f>
        <v>-8407.5</v>
      </c>
      <c r="D20" s="246">
        <v>-10331</v>
      </c>
      <c r="E20" s="246">
        <v>-5479</v>
      </c>
      <c r="F20" s="239">
        <f>SUM(B20:E20)</f>
        <v>-32625</v>
      </c>
      <c r="G20" s="246">
        <v>-10997</v>
      </c>
      <c r="H20" s="246">
        <v>-12345</v>
      </c>
      <c r="I20" s="246">
        <v>-8780</v>
      </c>
      <c r="J20" s="246">
        <v>-12722</v>
      </c>
      <c r="K20" s="239">
        <f>SUM(G20:J20)</f>
        <v>-44844</v>
      </c>
      <c r="L20" s="246">
        <v>-17512</v>
      </c>
      <c r="M20" s="246">
        <v>-14998</v>
      </c>
      <c r="N20" s="246">
        <f>-48254-L20-M20-1362</f>
        <v>-17106</v>
      </c>
      <c r="O20" s="246">
        <f>-72949-SUM(L20:N20)-1797</f>
        <v>-25130</v>
      </c>
      <c r="P20" s="239">
        <f>SUM(L20:O20)</f>
        <v>-74746</v>
      </c>
      <c r="Q20" s="246">
        <f>-24351-454</f>
        <v>-24805</v>
      </c>
      <c r="R20" s="246">
        <f>-43826-Q20-876</f>
        <v>-19897</v>
      </c>
      <c r="S20" s="246">
        <f>-29532-437</f>
        <v>-29969</v>
      </c>
      <c r="T20" s="246">
        <f>-133653-3297-SUM(Q20:S20)</f>
        <v>-62279</v>
      </c>
      <c r="U20" s="239">
        <f>SUM(Q20:T20)</f>
        <v>-136950</v>
      </c>
      <c r="V20" s="246">
        <f>-43679-1891</f>
        <v>-45570</v>
      </c>
      <c r="W20" s="246">
        <f>-52746-2123</f>
        <v>-54869</v>
      </c>
      <c r="X20" s="246">
        <f>-61052-2768</f>
        <v>-63820</v>
      </c>
      <c r="Y20" s="246">
        <f>-212648-SUM(V20:X20)-9394</f>
        <v>-57783</v>
      </c>
      <c r="Z20" s="239">
        <f>SUM(V20:Y20)</f>
        <v>-222042</v>
      </c>
      <c r="AA20" s="246">
        <f>-43676-2268-AA33</f>
        <v>-42957</v>
      </c>
      <c r="AB20" s="246">
        <f>-48572-2582-AB33</f>
        <v>-47904</v>
      </c>
      <c r="AC20" s="246">
        <f>-64087-2797-AC33</f>
        <v>-63580</v>
      </c>
      <c r="AD20" s="246">
        <f>-59431-1542-AD33</f>
        <v>-34121</v>
      </c>
      <c r="AE20" s="239">
        <f>SUM(AA20:AD20)</f>
        <v>-188562</v>
      </c>
      <c r="AF20" s="246">
        <f>-73166-1227-AF33</f>
        <v>-56073</v>
      </c>
      <c r="AG20" s="246">
        <f>-73035-1331-AG33</f>
        <v>-63450</v>
      </c>
      <c r="AH20" s="246">
        <f>-79447-1247-AH33</f>
        <v>-69372</v>
      </c>
      <c r="AI20" s="246">
        <f>-108018-1385-AI33</f>
        <v>-90428</v>
      </c>
      <c r="AJ20" s="239">
        <f>SUM(AF20:AI20)</f>
        <v>-279323</v>
      </c>
      <c r="AK20" s="246">
        <f>-83303-1930-AK33</f>
        <v>-81847</v>
      </c>
      <c r="AL20" s="246">
        <f>-101579-1927-AL33</f>
        <v>-99975</v>
      </c>
      <c r="AM20" s="246">
        <f>-102443-AM33</f>
        <v>-96569</v>
      </c>
      <c r="AN20" s="246">
        <f>-404033-AK20-AL20-AM20-SUM(AK33:AN33)</f>
        <v>-112306</v>
      </c>
      <c r="AO20" s="239">
        <f>SUM(AK20:AN20)</f>
        <v>-390697</v>
      </c>
      <c r="AP20" s="245">
        <f>-229623-3571-AP33-AQ20-AQ33-AP34</f>
        <v>-107149</v>
      </c>
      <c r="AQ20" s="246">
        <f>-103506-1632-AQ33</f>
        <v>-98867</v>
      </c>
      <c r="AR20" s="246">
        <f>-89636-AR33-2518</f>
        <v>-89846</v>
      </c>
      <c r="AS20" s="246">
        <f>-397452-AP20-AQ20-AR20-SUM(AP33:AS33)</f>
        <v>-83181</v>
      </c>
      <c r="AT20" s="239">
        <f>SUM(AP20:AS20)</f>
        <v>-379043</v>
      </c>
      <c r="AU20" s="246">
        <f>-186579-3351-AU33-AV20-AV33</f>
        <v>-84934</v>
      </c>
      <c r="AV20" s="246">
        <f>-97252-1586-AV33</f>
        <v>-94225</v>
      </c>
      <c r="AW20" s="246">
        <f>-98777-AW33-1590</f>
        <v>-98089</v>
      </c>
      <c r="AX20" s="246">
        <f>-401077-SUM(AU20:AW20)-SUM(AU33:AX33)</f>
        <v>-104248</v>
      </c>
      <c r="AY20" s="239">
        <f>SUM(AU20:AX20)</f>
        <v>-381496</v>
      </c>
      <c r="AZ20" s="246">
        <f>-105462-1375-AZ33</f>
        <v>-102174</v>
      </c>
      <c r="BA20" s="246">
        <f>-114861-1552-BA33</f>
        <v>-110181</v>
      </c>
      <c r="BB20" s="246">
        <f>-114766-BB33-1725</f>
        <v>-111149</v>
      </c>
      <c r="BC20" s="246">
        <f>-467317-SUM(AZ20:BB20)-SUM(AZ33:BC33)</f>
        <v>-122209</v>
      </c>
      <c r="BD20" s="239">
        <f>SUM(AZ20:BC20)</f>
        <v>-445713</v>
      </c>
      <c r="BE20" s="246">
        <f>-103807-1725-BE33</f>
        <v>-101107</v>
      </c>
      <c r="BF20" s="404">
        <f>-88399-1754-BF33</f>
        <v>-84496</v>
      </c>
      <c r="BG20" s="246">
        <f>-113883-BG33-1702</f>
        <v>-110889</v>
      </c>
      <c r="BH20" s="246">
        <f>-412408-SUM(BE20:BG20)-SUM(BE33:BH33)</f>
        <v>-94312</v>
      </c>
      <c r="BI20" s="239">
        <f>SUM(BE20:BH20)</f>
        <v>-390804</v>
      </c>
      <c r="BJ20" s="246">
        <f>-93379-1721-BJ33</f>
        <v>-88100</v>
      </c>
      <c r="BK20" s="246">
        <f>-113954-BK33-1564</f>
        <v>-107828</v>
      </c>
      <c r="BL20" s="246">
        <f>-111709-BL33-1684</f>
        <v>-102140</v>
      </c>
      <c r="BM20" s="246">
        <f>-438601-SUM(BJ20:BL20)-SUM(BJ33:BM33)</f>
        <v>-83590</v>
      </c>
      <c r="BN20" s="239">
        <f>SUM(BJ20:BM20)</f>
        <v>-381658</v>
      </c>
      <c r="BO20" s="389">
        <f>-98009-1501-BO33</f>
        <v>-78168</v>
      </c>
      <c r="BP20" s="389">
        <f>-102822-BP33-1517</f>
        <v>-75678</v>
      </c>
      <c r="BQ20" s="389">
        <f>-92934-BQ33-1441</f>
        <v>-83500</v>
      </c>
      <c r="BR20" s="246">
        <f>-391470-5761-SUM(BO20:BQ20)-SUM(BO33:BR33)</f>
        <v>-93350</v>
      </c>
      <c r="BS20" s="239">
        <f>SUM(BO20:BR20)</f>
        <v>-330696</v>
      </c>
      <c r="BT20" s="389">
        <f>-97415-1299-BT33</f>
        <v>-82847</v>
      </c>
      <c r="BU20" s="389">
        <f>-82780-BU33-1327</f>
        <v>-74523</v>
      </c>
      <c r="BV20" s="389">
        <f>-93939-BV33-1342</f>
        <v>-84406</v>
      </c>
      <c r="BW20" s="389">
        <f>-364737-5261-SUM(BT20:BV20)-SUM(BT33:BW33)</f>
        <v>-66853</v>
      </c>
      <c r="BX20" s="239">
        <f>SUM(BT20:BW20)</f>
        <v>-308629</v>
      </c>
      <c r="BY20" s="389">
        <f>-78164-1268-BY33</f>
        <v>-55073</v>
      </c>
      <c r="BZ20" s="404">
        <f>-94502-BZ33-1268</f>
        <v>-103651</v>
      </c>
      <c r="CA20" s="389">
        <f>-103322-CA33-1260</f>
        <v>-73044</v>
      </c>
      <c r="CB20" s="389">
        <f>-388305-5050-SUM(BY20:CA20)-SUM(BY33:CB33)</f>
        <v>-86909</v>
      </c>
      <c r="CC20" s="239">
        <f>SUM(BY20:CB20)</f>
        <v>-318677</v>
      </c>
      <c r="CD20" s="389">
        <f>-94234-1568-CD33</f>
        <v>-78603</v>
      </c>
      <c r="CE20" s="389">
        <f>-95740-1458-CE33</f>
        <v>-83473</v>
      </c>
      <c r="CF20" s="389">
        <f>-93025-CF33</f>
        <v>-84062</v>
      </c>
      <c r="CG20" s="389">
        <f>-384720-5957-SUM(CD20:CF20)-SUM(CD33:CG33)</f>
        <v>-93376</v>
      </c>
      <c r="CH20" s="239">
        <f>SUM(CD20:CG20)</f>
        <v>-339514</v>
      </c>
      <c r="CI20" s="389">
        <f>-118255-1332-CI33</f>
        <v>-108655</v>
      </c>
      <c r="CJ20" s="389">
        <f>-125166-CJ33</f>
        <v>-114704</v>
      </c>
      <c r="CK20" s="389">
        <f>-122372-CK33</f>
        <v>-111352</v>
      </c>
      <c r="CL20" s="389">
        <f>-501453-SUM(CI20:CK20)-SUM(CI33:CL33)</f>
        <v>-126719</v>
      </c>
      <c r="CM20" s="239">
        <f>SUM(CI20:CL20)</f>
        <v>-461430</v>
      </c>
      <c r="CN20" s="389">
        <f>-134623-1618-CN33</f>
        <v>-127709</v>
      </c>
      <c r="CO20" s="389">
        <f>-142746-CO33</f>
        <v>-133495</v>
      </c>
      <c r="CP20" s="389">
        <f>-151238-CP33</f>
        <v>-128406</v>
      </c>
      <c r="CQ20" s="389">
        <f>-554805-SUM(CN20:CP20)-SUM(CN33:CQ33)</f>
        <v>-121721</v>
      </c>
      <c r="CR20" s="239">
        <f>SUM(CN20:CQ20)</f>
        <v>-511331</v>
      </c>
      <c r="CS20" s="389">
        <f>-111939-1826-CS33</f>
        <v>-84481</v>
      </c>
      <c r="CT20" s="389">
        <f>-118608-CT33</f>
        <v>-102537</v>
      </c>
      <c r="CU20" s="389">
        <f>-150553-CU33</f>
        <v>-108251</v>
      </c>
      <c r="CV20" s="389">
        <f>-517647-SUM(CS20:CU20)-SUM(CS33:CV33)</f>
        <v>-155290</v>
      </c>
      <c r="CW20" s="239">
        <f>SUM(CS20:CV20)</f>
        <v>-450559</v>
      </c>
      <c r="CX20" s="389">
        <f>-105049-1827-CX33</f>
        <v>-83238</v>
      </c>
      <c r="CY20" s="389">
        <f>-110024-CY33</f>
        <v>-93659</v>
      </c>
      <c r="CZ20" s="389">
        <f>-125048-CZ33</f>
        <v>-85049</v>
      </c>
      <c r="DA20" s="389">
        <f>-462436-SUM(CX20:CZ20)-SUM(CX33:DA33)</f>
        <v>-100431</v>
      </c>
      <c r="DB20" s="239">
        <f>SUM(CX20:DA20)</f>
        <v>-362377</v>
      </c>
      <c r="DC20" s="389">
        <f>-124568-2139-DC33</f>
        <v>-96435</v>
      </c>
      <c r="DD20" s="389">
        <f>-126946-DD33</f>
        <v>-103144</v>
      </c>
      <c r="DE20" s="389">
        <f>-131713-DE33</f>
        <v>-103084</v>
      </c>
      <c r="DF20" s="389">
        <f>-524921-SUM(DC20:DE20)-SUM(DC33:DF33)</f>
        <v>-89683</v>
      </c>
      <c r="DG20" s="239">
        <f>SUM(DC20:DF20)</f>
        <v>-392346</v>
      </c>
      <c r="DH20" s="389">
        <f>-131579-2266-DH33</f>
        <v>-79262</v>
      </c>
      <c r="DI20" s="389">
        <f>-134332-DI33</f>
        <v>-93166</v>
      </c>
      <c r="DJ20" s="389">
        <f>DI20*(1+Macro!DJ15)</f>
        <v>-94196.880904843681</v>
      </c>
      <c r="DK20" s="389">
        <f>DF20*(1+Macro!DL15)</f>
        <v>-93718.735000000001</v>
      </c>
      <c r="DL20" s="239">
        <f>SUM(DH20:DK20)</f>
        <v>-360343.61590484367</v>
      </c>
      <c r="DM20" s="389">
        <f>DJ20</f>
        <v>-94196.880904843681</v>
      </c>
      <c r="DN20" s="389">
        <f>DM20*(1+Macro!DN15)</f>
        <v>-95239.168497105216</v>
      </c>
      <c r="DO20" s="389">
        <f>DN20*(1+Macro!DO15)</f>
        <v>-96292.988991672508</v>
      </c>
      <c r="DP20" s="389">
        <f>DK20*(1+Macro!DQ15)</f>
        <v>-97936.078074999998</v>
      </c>
      <c r="DQ20" s="239">
        <f>SUM(DM20:DP20)</f>
        <v>-383665.11646862142</v>
      </c>
      <c r="DR20" s="389">
        <f>DO20</f>
        <v>-96292.988991672508</v>
      </c>
      <c r="DS20" s="389">
        <f>DR20*(1+Macro!DS15)</f>
        <v>-97358.469999999987</v>
      </c>
      <c r="DT20" s="389">
        <f>DS20*(1+Macro!DT15)</f>
        <v>-98435.740545561639</v>
      </c>
      <c r="DU20" s="389">
        <f>DP20*(1+Macro!DV15)</f>
        <v>-102343.20158837498</v>
      </c>
      <c r="DV20" s="239">
        <f>SUM(DR20:DU20)</f>
        <v>-394430.40112560912</v>
      </c>
      <c r="DW20" s="389">
        <f>DT20</f>
        <v>-98435.740545561639</v>
      </c>
      <c r="DX20" s="389">
        <f>DW20*(1+Macro!DX15)</f>
        <v>-99524.931079474947</v>
      </c>
      <c r="DY20" s="389">
        <f>DX20*(1+Macro!DY15)</f>
        <v>-100626.17349629776</v>
      </c>
      <c r="DZ20" s="389">
        <f>DU20*(1+Macro!EA15)</f>
        <v>-106948.64565985186</v>
      </c>
      <c r="EA20" s="239">
        <f>SUM(DW20:DZ20)</f>
        <v>-405535.49078118615</v>
      </c>
      <c r="EB20" s="389">
        <f>DY20</f>
        <v>-100626.17349629776</v>
      </c>
      <c r="EC20" s="389">
        <f>EB20*(1+Macro!EC15)</f>
        <v>-101739.60114999999</v>
      </c>
      <c r="ED20" s="389">
        <f>EC20*(1+Macro!ED15)</f>
        <v>-102865.34887011191</v>
      </c>
      <c r="EE20" s="389">
        <f>DZ20*(1+Macro!EF15)</f>
        <v>-111761.33471454518</v>
      </c>
      <c r="EF20" s="239">
        <f>SUM(EB20:EE20)</f>
        <v>-416992.45823095483</v>
      </c>
      <c r="EG20" s="236"/>
    </row>
    <row r="21" spans="1:171" s="257" customFormat="1" ht="12.75" customHeight="1" outlineLevel="1">
      <c r="A21" s="252" t="s">
        <v>733</v>
      </c>
      <c r="B21" s="253">
        <f t="shared" ref="B21:N21" si="48">-B20/B10</f>
        <v>7.6706917079891065E-2</v>
      </c>
      <c r="C21" s="253">
        <f t="shared" si="48"/>
        <v>7.6706917079891065E-2</v>
      </c>
      <c r="D21" s="253">
        <f t="shared" si="48"/>
        <v>8.4190367533208382E-2</v>
      </c>
      <c r="E21" s="253">
        <f t="shared" si="48"/>
        <v>3.0019285980407196E-2</v>
      </c>
      <c r="F21" s="254">
        <f t="shared" si="48"/>
        <v>6.2209569500245025E-2</v>
      </c>
      <c r="G21" s="253">
        <f t="shared" si="48"/>
        <v>6.4635386360564012E-2</v>
      </c>
      <c r="H21" s="253">
        <f t="shared" si="48"/>
        <v>8.6507130093549628E-2</v>
      </c>
      <c r="I21" s="253">
        <f t="shared" si="48"/>
        <v>3.4710279856573011E-2</v>
      </c>
      <c r="J21" s="253">
        <f t="shared" si="48"/>
        <v>0.10338634572094951</v>
      </c>
      <c r="K21" s="254">
        <f t="shared" si="48"/>
        <v>6.5099993031844466E-2</v>
      </c>
      <c r="L21" s="253">
        <f t="shared" si="48"/>
        <v>7.5783606472245427E-2</v>
      </c>
      <c r="M21" s="253">
        <f t="shared" si="48"/>
        <v>5.7243837833298984E-2</v>
      </c>
      <c r="N21" s="253">
        <f t="shared" si="48"/>
        <v>7.3474647252110045E-2</v>
      </c>
      <c r="O21" s="253">
        <v>8.5000000000000006E-2</v>
      </c>
      <c r="P21" s="254">
        <f t="shared" ref="P21:AF21" si="49">-P20/P10</f>
        <v>6.6935857241235408E-2</v>
      </c>
      <c r="Q21" s="253">
        <f t="shared" si="49"/>
        <v>8.6280961838805389E-2</v>
      </c>
      <c r="R21" s="253">
        <f t="shared" si="49"/>
        <v>5.3587972938033267E-2</v>
      </c>
      <c r="S21" s="253">
        <f t="shared" si="49"/>
        <v>7.2245096715715579E-2</v>
      </c>
      <c r="T21" s="253">
        <f t="shared" si="49"/>
        <v>6.7333889773041791E-2</v>
      </c>
      <c r="U21" s="254">
        <f t="shared" si="49"/>
        <v>6.8525057554543592E-2</v>
      </c>
      <c r="V21" s="253">
        <f t="shared" si="49"/>
        <v>8.2727446014759148E-2</v>
      </c>
      <c r="W21" s="253">
        <f t="shared" si="49"/>
        <v>6.9027942547375015E-2</v>
      </c>
      <c r="X21" s="253">
        <f t="shared" si="49"/>
        <v>8.5012061802250377E-2</v>
      </c>
      <c r="Y21" s="253">
        <f t="shared" si="49"/>
        <v>7.6941616355835837E-2</v>
      </c>
      <c r="Z21" s="254">
        <f t="shared" si="49"/>
        <v>7.7979491058813855E-2</v>
      </c>
      <c r="AA21" s="253">
        <f>-AA20/AA10</f>
        <v>6.3976087714124871E-2</v>
      </c>
      <c r="AB21" s="253">
        <f>-AB20/AB10</f>
        <v>5.4709913202375511E-2</v>
      </c>
      <c r="AC21" s="253">
        <f>-AC20/AC10</f>
        <v>4.713582055471699E-2</v>
      </c>
      <c r="AD21" s="253">
        <f>-AD20/AD10</f>
        <v>2.8627329572960217E-2</v>
      </c>
      <c r="AE21" s="254">
        <f t="shared" si="49"/>
        <v>4.6127708500241574E-2</v>
      </c>
      <c r="AF21" s="253">
        <f t="shared" si="49"/>
        <v>4.9514856311283169E-2</v>
      </c>
      <c r="AG21" s="253">
        <f>-AG20/AG10</f>
        <v>5.2619139434499744E-2</v>
      </c>
      <c r="AH21" s="253">
        <f>-AH20/AH10</f>
        <v>5.9672323489160455E-2</v>
      </c>
      <c r="AI21" s="253">
        <f>-AI20/AI10</f>
        <v>6.5090158665719405E-2</v>
      </c>
      <c r="AJ21" s="254">
        <f>-AJ20/AJ10</f>
        <v>5.7120041389704314E-2</v>
      </c>
      <c r="AK21" s="253">
        <f>-AK20/AK10</f>
        <v>6.8163685454493972E-2</v>
      </c>
      <c r="AL21" s="253">
        <f t="shared" ref="AL21:AS21" si="50">-AL20/AL10</f>
        <v>7.2294567006343263E-2</v>
      </c>
      <c r="AM21" s="253">
        <f t="shared" si="50"/>
        <v>6.1919002412153867E-2</v>
      </c>
      <c r="AN21" s="253">
        <f t="shared" si="50"/>
        <v>5.6618603082448517E-2</v>
      </c>
      <c r="AO21" s="254">
        <f t="shared" si="50"/>
        <v>6.3768722923179394E-2</v>
      </c>
      <c r="AP21" s="253">
        <f t="shared" si="50"/>
        <v>7.3072262083291567E-2</v>
      </c>
      <c r="AQ21" s="253">
        <f t="shared" si="50"/>
        <v>7.137056284618877E-2</v>
      </c>
      <c r="AR21" s="253">
        <f>-AR20/AR10</f>
        <v>6.6554958991134505E-2</v>
      </c>
      <c r="AS21" s="253">
        <f t="shared" si="50"/>
        <v>5.8122967939119051E-2</v>
      </c>
      <c r="AT21" s="254">
        <f t="shared" ref="AT21:CG21" si="51">-AT20/AT10</f>
        <v>6.7293556050327025E-2</v>
      </c>
      <c r="AU21" s="253">
        <f t="shared" si="51"/>
        <v>6.98832454314324E-2</v>
      </c>
      <c r="AV21" s="253">
        <f t="shared" si="51"/>
        <v>6.8656146555825887E-2</v>
      </c>
      <c r="AW21" s="253">
        <f t="shared" si="51"/>
        <v>7.0342529803908066E-2</v>
      </c>
      <c r="AX21" s="253">
        <f t="shared" si="51"/>
        <v>7.5017720353039802E-2</v>
      </c>
      <c r="AY21" s="254">
        <f t="shared" si="51"/>
        <v>7.1017196580267394E-2</v>
      </c>
      <c r="AZ21" s="253">
        <f t="shared" si="51"/>
        <v>7.7677475858356868E-2</v>
      </c>
      <c r="BA21" s="253">
        <f t="shared" si="51"/>
        <v>8.1114985964393066E-2</v>
      </c>
      <c r="BB21" s="253">
        <f t="shared" si="51"/>
        <v>6.8878524827476792E-2</v>
      </c>
      <c r="BC21" s="253">
        <f t="shared" si="51"/>
        <v>7.9847086449340035E-2</v>
      </c>
      <c r="BD21" s="254">
        <f t="shared" si="51"/>
        <v>7.6610277165732737E-2</v>
      </c>
      <c r="BE21" s="253">
        <f t="shared" si="51"/>
        <v>9.7667728604906814E-2</v>
      </c>
      <c r="BF21" s="253">
        <f t="shared" si="51"/>
        <v>7.42702492697878E-2</v>
      </c>
      <c r="BG21" s="253">
        <f t="shared" si="51"/>
        <v>9.7464870931932179E-2</v>
      </c>
      <c r="BH21" s="253">
        <f t="shared" si="51"/>
        <v>9.1515825468631434E-2</v>
      </c>
      <c r="BI21" s="254">
        <f t="shared" si="51"/>
        <v>9.0022445489525441E-2</v>
      </c>
      <c r="BJ21" s="253">
        <f t="shared" si="51"/>
        <v>0.10867071416765141</v>
      </c>
      <c r="BK21" s="253">
        <f t="shared" si="51"/>
        <v>0.16820974895208202</v>
      </c>
      <c r="BL21" s="253">
        <f t="shared" si="51"/>
        <v>0.12383503049804379</v>
      </c>
      <c r="BM21" s="253">
        <f t="shared" si="51"/>
        <v>9.0980926549146468E-2</v>
      </c>
      <c r="BN21" s="254">
        <f t="shared" si="51"/>
        <v>0.11944318391642751</v>
      </c>
      <c r="BO21" s="253">
        <f t="shared" si="51"/>
        <v>0.11289640042346261</v>
      </c>
      <c r="BP21" s="253">
        <f t="shared" si="51"/>
        <v>0.13166978683128144</v>
      </c>
      <c r="BQ21" s="253">
        <f t="shared" si="51"/>
        <v>0.13967251395470595</v>
      </c>
      <c r="BR21" s="253">
        <f t="shared" si="51"/>
        <v>0.11541790306627102</v>
      </c>
      <c r="BS21" s="254">
        <f t="shared" si="51"/>
        <v>0.12368154328906375</v>
      </c>
      <c r="BT21" s="253">
        <f t="shared" si="51"/>
        <v>0.18385032244320074</v>
      </c>
      <c r="BU21" s="253">
        <f t="shared" si="51"/>
        <v>0.11652612272277375</v>
      </c>
      <c r="BV21" s="253">
        <f t="shared" si="51"/>
        <v>0.11645017762908288</v>
      </c>
      <c r="BW21" s="253">
        <f t="shared" si="51"/>
        <v>6.2063497810468347E-2</v>
      </c>
      <c r="BX21" s="254">
        <f t="shared" si="51"/>
        <v>0.10671239493568295</v>
      </c>
      <c r="BY21" s="253">
        <f t="shared" si="51"/>
        <v>6.6655289771929568E-2</v>
      </c>
      <c r="BZ21" s="253">
        <f t="shared" si="51"/>
        <v>0.1106647078543959</v>
      </c>
      <c r="CA21" s="253">
        <f t="shared" si="51"/>
        <v>7.8142066564750909E-2</v>
      </c>
      <c r="CB21" s="253">
        <f t="shared" si="51"/>
        <v>7.0474032724459665E-2</v>
      </c>
      <c r="CC21" s="254">
        <f t="shared" si="51"/>
        <v>8.1071317635009257E-2</v>
      </c>
      <c r="CD21" s="253">
        <f t="shared" si="51"/>
        <v>0.10278193669868128</v>
      </c>
      <c r="CE21" s="253">
        <f t="shared" si="51"/>
        <v>9.9513833916700836E-2</v>
      </c>
      <c r="CF21" s="253">
        <f t="shared" si="51"/>
        <v>7.2249061669802314E-2</v>
      </c>
      <c r="CG21" s="253">
        <f t="shared" si="51"/>
        <v>8.837152077832354E-2</v>
      </c>
      <c r="CH21" s="254">
        <f t="shared" ref="CH21:DG21" si="52">-CH20/CH10</f>
        <v>8.8792100627246517E-2</v>
      </c>
      <c r="CI21" s="253">
        <f t="shared" si="52"/>
        <v>0.10825100724097668</v>
      </c>
      <c r="CJ21" s="253">
        <f>-CJ20/CJ10</f>
        <v>9.7040741307880832E-2</v>
      </c>
      <c r="CK21" s="253">
        <f>-CK20/CK10</f>
        <v>8.6430667704695735E-2</v>
      </c>
      <c r="CL21" s="253">
        <f>-CL20/CL10</f>
        <v>9.6236699188831834E-2</v>
      </c>
      <c r="CM21" s="254">
        <f t="shared" si="52"/>
        <v>9.6315191950961346E-2</v>
      </c>
      <c r="CN21" s="253">
        <f>-CN20/CN10</f>
        <v>0.10368919142744866</v>
      </c>
      <c r="CO21" s="253">
        <f>-CO20/CO10</f>
        <v>0.10678890921642803</v>
      </c>
      <c r="CP21" s="253">
        <f>-CP20/CP10</f>
        <v>8.2330326664290063E-2</v>
      </c>
      <c r="CQ21" s="253">
        <f>-CQ20/CQ10</f>
        <v>8.8788080378374754E-2</v>
      </c>
      <c r="CR21" s="254">
        <f t="shared" si="52"/>
        <v>9.4475818483656188E-2</v>
      </c>
      <c r="CS21" s="253">
        <f t="shared" si="52"/>
        <v>6.5824597600484952E-2</v>
      </c>
      <c r="CT21" s="253">
        <f>-CT20/CT10</f>
        <v>6.2788454767291974E-2</v>
      </c>
      <c r="CU21" s="253">
        <f>-CU20/CU10</f>
        <v>6.6575563027256673E-2</v>
      </c>
      <c r="CV21" s="253">
        <f>-CV20/CV10</f>
        <v>9.0800599451185252E-2</v>
      </c>
      <c r="CW21" s="254">
        <f t="shared" si="52"/>
        <v>7.2058322334083255E-2</v>
      </c>
      <c r="CX21" s="253">
        <f>-CX20/CX10</f>
        <v>5.2919713829962405E-2</v>
      </c>
      <c r="CY21" s="253">
        <f>-CY20/CY10</f>
        <v>5.043953303889314E-2</v>
      </c>
      <c r="CZ21" s="253">
        <f>-CZ20/CZ10</f>
        <v>4.1903263171845798E-2</v>
      </c>
      <c r="DA21" s="253">
        <f>-DA20/DA10</f>
        <v>4.0071915664280248E-2</v>
      </c>
      <c r="DB21" s="254">
        <f t="shared" si="52"/>
        <v>4.5492241222603751E-2</v>
      </c>
      <c r="DC21" s="253">
        <f>-DC20/DC10</f>
        <v>4.9384353504606848E-2</v>
      </c>
      <c r="DD21" s="253">
        <f>-DD20/DD10</f>
        <v>4.8949993593181244E-2</v>
      </c>
      <c r="DE21" s="253">
        <f>-DE20/DE10</f>
        <v>4.843157871987356E-2</v>
      </c>
      <c r="DF21" s="253">
        <f>-DF20/DF10</f>
        <v>2.7721229213637351E-2</v>
      </c>
      <c r="DG21" s="254">
        <f t="shared" si="52"/>
        <v>4.1634875556773317E-2</v>
      </c>
      <c r="DH21" s="253">
        <f>-DH20/DH10</f>
        <v>3.9141090540252922E-2</v>
      </c>
      <c r="DI21" s="253">
        <f>-DI20/DI10</f>
        <v>3.7553746244766456E-2</v>
      </c>
      <c r="DJ21" s="253">
        <f>-DJ20/DJ10</f>
        <v>3.4775251606692488E-2</v>
      </c>
      <c r="DK21" s="253">
        <f>-DK20/DK10</f>
        <v>3.113544559644911E-2</v>
      </c>
      <c r="DL21" s="254">
        <f>-DL20/DL10</f>
        <v>3.5242564117208011E-2</v>
      </c>
      <c r="DM21" s="253">
        <f t="shared" ref="DM21:EF21" si="53">-DM20/DM10</f>
        <v>3.3123941788646187E-2</v>
      </c>
      <c r="DN21" s="253">
        <f t="shared" si="53"/>
        <v>3.2092367403241513E-2</v>
      </c>
      <c r="DO21" s="253">
        <f t="shared" si="53"/>
        <v>3.1358733113765087E-2</v>
      </c>
      <c r="DP21" s="253">
        <f t="shared" si="53"/>
        <v>2.9302435529550454E-2</v>
      </c>
      <c r="DQ21" s="254">
        <f t="shared" si="53"/>
        <v>3.138526716491935E-2</v>
      </c>
      <c r="DR21" s="253">
        <f t="shared" si="53"/>
        <v>3.0421036331682094E-2</v>
      </c>
      <c r="DS21" s="253">
        <f t="shared" si="53"/>
        <v>2.9749059855907208E-2</v>
      </c>
      <c r="DT21" s="253">
        <f t="shared" si="53"/>
        <v>2.9236937599645491E-2</v>
      </c>
      <c r="DU21" s="253">
        <f t="shared" si="53"/>
        <v>2.812610976031496E-2</v>
      </c>
      <c r="DV21" s="254">
        <f t="shared" si="53"/>
        <v>2.9339743770990686E-2</v>
      </c>
      <c r="DW21" s="253">
        <f t="shared" si="53"/>
        <v>2.8652685413802861E-2</v>
      </c>
      <c r="DX21" s="253">
        <f t="shared" si="53"/>
        <v>2.8107820667322335E-2</v>
      </c>
      <c r="DY21" s="253">
        <f t="shared" si="53"/>
        <v>2.7715826811026561E-2</v>
      </c>
      <c r="DZ21" s="253">
        <f t="shared" si="53"/>
        <v>2.7361858960002653E-2</v>
      </c>
      <c r="EA21" s="254">
        <f t="shared" si="53"/>
        <v>2.7937863174399086E-2</v>
      </c>
      <c r="EB21" s="253">
        <f t="shared" si="53"/>
        <v>2.7290179296039701E-2</v>
      </c>
      <c r="EC21" s="253">
        <f t="shared" si="53"/>
        <v>2.682362588997949E-2</v>
      </c>
      <c r="ED21" s="253">
        <f t="shared" si="53"/>
        <v>2.651061533300475E-2</v>
      </c>
      <c r="EE21" s="253">
        <f t="shared" si="53"/>
        <v>2.6842909442907334E-2</v>
      </c>
      <c r="EF21" s="254">
        <f t="shared" si="53"/>
        <v>2.6861378373297894E-2</v>
      </c>
    </row>
    <row r="22" spans="1:171" ht="12.75" customHeight="1">
      <c r="A22" s="71" t="s">
        <v>691</v>
      </c>
      <c r="B22" s="258">
        <f>B23+B25+B27</f>
        <v>-322.5</v>
      </c>
      <c r="C22" s="258">
        <f>C23+C25+C27</f>
        <v>-322.5</v>
      </c>
      <c r="D22" s="258">
        <f>D23+D25+D27</f>
        <v>4723</v>
      </c>
      <c r="E22" s="258">
        <f>E23+E25+E27</f>
        <v>2765</v>
      </c>
      <c r="F22" s="239">
        <f>SUM(B22:E22)</f>
        <v>6843</v>
      </c>
      <c r="G22" s="258">
        <f>G23+G25+G27</f>
        <v>-1143</v>
      </c>
      <c r="H22" s="258">
        <f>H23+H25+H27</f>
        <v>7287</v>
      </c>
      <c r="I22" s="258">
        <f>I23+I25+I27</f>
        <v>-8873</v>
      </c>
      <c r="J22" s="258">
        <f>J23+J25+J27</f>
        <v>9717</v>
      </c>
      <c r="K22" s="239">
        <f>SUM(G22:J22)</f>
        <v>6988</v>
      </c>
      <c r="L22" s="258">
        <f>L23+L25+L27</f>
        <v>17909</v>
      </c>
      <c r="M22" s="258">
        <f>M23+M25+M27</f>
        <v>21099</v>
      </c>
      <c r="N22" s="258">
        <f>N23+N25+N27</f>
        <v>18095</v>
      </c>
      <c r="O22" s="258">
        <f>O23+O25+O27</f>
        <v>23740</v>
      </c>
      <c r="P22" s="239">
        <f>SUM(L22:O22)</f>
        <v>80843</v>
      </c>
      <c r="Q22" s="258">
        <f>Q23+Q25+Q27</f>
        <v>484.99999999999909</v>
      </c>
      <c r="R22" s="258">
        <f>R23+R25+R27</f>
        <v>16529.000000000011</v>
      </c>
      <c r="S22" s="258">
        <f>S23+S25+S27</f>
        <v>11403.000000000004</v>
      </c>
      <c r="T22" s="258">
        <f>T23+T25+T27</f>
        <v>26777</v>
      </c>
      <c r="U22" s="239">
        <f>SUM(Q22:T22)</f>
        <v>55194.000000000015</v>
      </c>
      <c r="V22" s="258">
        <f>V23+V25+V27</f>
        <v>22</v>
      </c>
      <c r="W22" s="258">
        <f>W23+W25+W27</f>
        <v>8204</v>
      </c>
      <c r="X22" s="258">
        <f>X23+X25+X27</f>
        <v>-28122</v>
      </c>
      <c r="Y22" s="258">
        <f>Y23+Y25+Y27</f>
        <v>9116</v>
      </c>
      <c r="Z22" s="239">
        <f>SUM(V22:Y22)</f>
        <v>-10780</v>
      </c>
      <c r="AA22" s="258">
        <f>AA23+AA25+AA27</f>
        <v>-739</v>
      </c>
      <c r="AB22" s="258">
        <f>AB23+AB25+AB27</f>
        <v>-5487</v>
      </c>
      <c r="AC22" s="258">
        <f>AC23+AC25+AC27</f>
        <v>-12602</v>
      </c>
      <c r="AD22" s="258">
        <f>AD23+AD25+AD27</f>
        <v>4295</v>
      </c>
      <c r="AE22" s="239">
        <f>SUM(AA22:AD22)</f>
        <v>-14533</v>
      </c>
      <c r="AF22" s="258">
        <f>AF23+AF25+AF27</f>
        <v>5388</v>
      </c>
      <c r="AG22" s="258">
        <f>AG23+AG25+AG27</f>
        <v>20507</v>
      </c>
      <c r="AH22" s="258">
        <f>AH23+AH25+AH27</f>
        <v>22098</v>
      </c>
      <c r="AI22" s="258">
        <f>AI23+AI25+AI27</f>
        <v>17239</v>
      </c>
      <c r="AJ22" s="239">
        <f>SUM(AF22:AI22)</f>
        <v>65232</v>
      </c>
      <c r="AK22" s="258">
        <f>AK23+AK25+AK27</f>
        <v>3210</v>
      </c>
      <c r="AL22" s="258">
        <f>AL23+AL25+AL27</f>
        <v>6573</v>
      </c>
      <c r="AM22" s="258">
        <f>AM23+AM25+AM27</f>
        <v>7204</v>
      </c>
      <c r="AN22" s="258">
        <f>AN23+AN25+AN27</f>
        <v>32632</v>
      </c>
      <c r="AO22" s="239">
        <f>SUM(AK22:AN22)</f>
        <v>49619</v>
      </c>
      <c r="AP22" s="258">
        <f>AP23+AP25+AP27</f>
        <v>7372</v>
      </c>
      <c r="AQ22" s="258">
        <f>AQ23+AQ25+AQ27</f>
        <v>3487</v>
      </c>
      <c r="AR22" s="258">
        <f>AR23+AR25+AR27</f>
        <v>2574</v>
      </c>
      <c r="AS22" s="258">
        <f>AS23+AS25+AS27</f>
        <v>-2842</v>
      </c>
      <c r="AT22" s="239">
        <f>SUM(AP22:AS22)</f>
        <v>10591</v>
      </c>
      <c r="AU22" s="258">
        <f>AU23+AU25+AU27</f>
        <v>9802</v>
      </c>
      <c r="AV22" s="258">
        <f>AV23+AV25+AV27</f>
        <v>8806</v>
      </c>
      <c r="AW22" s="258">
        <f>AW23+AW25+AW27</f>
        <v>4964</v>
      </c>
      <c r="AX22" s="258">
        <f>AX23+AX25+AX27</f>
        <v>4306</v>
      </c>
      <c r="AY22" s="239">
        <f>SUM(AU22:AX22)</f>
        <v>27878</v>
      </c>
      <c r="AZ22" s="258">
        <f>AZ23+AZ25+AZ27</f>
        <v>9440</v>
      </c>
      <c r="BA22" s="258">
        <f>BA23+BA25+BA27</f>
        <v>3202</v>
      </c>
      <c r="BB22" s="258">
        <f>BB23+BB25+BB27</f>
        <v>1584</v>
      </c>
      <c r="BC22" s="258">
        <f>BC23+BC25+BC27</f>
        <v>1918</v>
      </c>
      <c r="BD22" s="239">
        <f>SUM(AZ22:BC22)</f>
        <v>16144</v>
      </c>
      <c r="BE22" s="258">
        <f>BE23+BE25+BE27</f>
        <v>6182</v>
      </c>
      <c r="BF22" s="258">
        <f>BF23+BF25+BF27</f>
        <v>-10004</v>
      </c>
      <c r="BG22" s="258">
        <f>BG23+BG25+BG27</f>
        <v>5184</v>
      </c>
      <c r="BH22" s="258">
        <f>BH23+BH25+BH27</f>
        <v>16235</v>
      </c>
      <c r="BI22" s="239">
        <f>SUM(BE22:BH22)</f>
        <v>17597</v>
      </c>
      <c r="BJ22" s="258">
        <f>BJ23+BJ25+BJ27</f>
        <v>20257</v>
      </c>
      <c r="BK22" s="258">
        <f>BK23+BK25+BK27</f>
        <v>25931</v>
      </c>
      <c r="BL22" s="258">
        <f>BL23+BL25+BL27</f>
        <v>18196</v>
      </c>
      <c r="BM22" s="258">
        <f>BM23+BM25+BM27</f>
        <v>14759</v>
      </c>
      <c r="BN22" s="239">
        <f>SUM(BJ22:BM22)</f>
        <v>79143</v>
      </c>
      <c r="BO22" s="258">
        <f>BO23+BO25+BO27</f>
        <v>12967</v>
      </c>
      <c r="BP22" s="258">
        <f>BP23+BP25+BP27</f>
        <v>5208</v>
      </c>
      <c r="BQ22" s="258">
        <f>BQ23+BQ25+BQ27</f>
        <v>11674</v>
      </c>
      <c r="BR22" s="258">
        <f>BR23+BR25+BR27</f>
        <v>7963</v>
      </c>
      <c r="BS22" s="239">
        <f>SUM(BO22:BR22)</f>
        <v>37812</v>
      </c>
      <c r="BT22" s="258">
        <f>BT23+BT25+BT27</f>
        <v>2760</v>
      </c>
      <c r="BU22" s="258">
        <f>BU23+BU25+BU27</f>
        <v>4473</v>
      </c>
      <c r="BV22" s="258">
        <f>BV23+BV25+BV27</f>
        <v>-769</v>
      </c>
      <c r="BW22" s="258">
        <f>BW23+BW25+BW27</f>
        <v>15654</v>
      </c>
      <c r="BX22" s="239">
        <f>SUM(BT22:BW22)</f>
        <v>22118</v>
      </c>
      <c r="BY22" s="258">
        <f>BY23+BY25+BY27</f>
        <v>1872</v>
      </c>
      <c r="BZ22" s="258">
        <f>BZ23+BZ25+BZ27</f>
        <v>17872</v>
      </c>
      <c r="CA22" s="258">
        <f>CA23+CA25+CA27</f>
        <v>9055</v>
      </c>
      <c r="CB22" s="258">
        <f>CB23+CB25+CB27</f>
        <v>1794</v>
      </c>
      <c r="CC22" s="239">
        <f>SUM(BY22:CB22)</f>
        <v>30593</v>
      </c>
      <c r="CD22" s="258">
        <f>CD23+CD25+CD27</f>
        <v>3251</v>
      </c>
      <c r="CE22" s="258">
        <f>CE23+CE25+CE27</f>
        <v>6501</v>
      </c>
      <c r="CF22" s="258">
        <f>CF23+CF25+CF27</f>
        <v>24471</v>
      </c>
      <c r="CG22" s="258">
        <f>CG23+CG25+CG27</f>
        <v>50278</v>
      </c>
      <c r="CH22" s="239">
        <f>SUM(CD22:CG22)</f>
        <v>84501</v>
      </c>
      <c r="CI22" s="258">
        <f>CI23+CI25+CI27</f>
        <v>10887</v>
      </c>
      <c r="CJ22" s="258">
        <f>CJ23+CJ25+CJ27</f>
        <v>9293</v>
      </c>
      <c r="CK22" s="258">
        <f>CK23+CK25+CK27</f>
        <v>8859</v>
      </c>
      <c r="CL22" s="258">
        <f>CL23+CL25+CL27</f>
        <v>13958</v>
      </c>
      <c r="CM22" s="239">
        <f>SUM(CI22:CL22)</f>
        <v>42997</v>
      </c>
      <c r="CN22" s="258">
        <f>CN23+CN25+CN27</f>
        <v>9333</v>
      </c>
      <c r="CO22" s="258">
        <f>CO23+CO25+CO27</f>
        <v>25501</v>
      </c>
      <c r="CP22" s="258">
        <f>CP23+CP25+CP27</f>
        <v>7027</v>
      </c>
      <c r="CQ22" s="258">
        <f>CQ23+CQ25+CQ27</f>
        <v>26466</v>
      </c>
      <c r="CR22" s="239">
        <f>SUM(CN22:CQ22)</f>
        <v>68327</v>
      </c>
      <c r="CS22" s="258">
        <f>CS23+CS25+CS27</f>
        <v>45587</v>
      </c>
      <c r="CT22" s="258">
        <f>CT23+CT25+CT27</f>
        <v>29183</v>
      </c>
      <c r="CU22" s="258">
        <f>CU23+CU25+CU27</f>
        <v>28081</v>
      </c>
      <c r="CV22" s="258">
        <f>CV23+CV25+CV27</f>
        <v>33921</v>
      </c>
      <c r="CW22" s="239">
        <f>SUM(CS22:CV22)</f>
        <v>136772</v>
      </c>
      <c r="CX22" s="258">
        <f>CX23+CX25+CX27</f>
        <v>13135</v>
      </c>
      <c r="CY22" s="258">
        <f>CY23+CY25+CY27</f>
        <v>44695</v>
      </c>
      <c r="CZ22" s="258">
        <f>CZ23+CZ25+CZ27</f>
        <v>39210</v>
      </c>
      <c r="DA22" s="258">
        <f>DA23+DA25+DA27</f>
        <v>16645</v>
      </c>
      <c r="DB22" s="239">
        <f>SUM(CX22:DA22)</f>
        <v>113685</v>
      </c>
      <c r="DC22" s="258">
        <f>DC23+DC25+DC27</f>
        <v>59001</v>
      </c>
      <c r="DD22" s="258">
        <f>DD23+DD25+DD27</f>
        <v>66436</v>
      </c>
      <c r="DE22" s="258">
        <f>DE23+DE25+DE27</f>
        <v>56503</v>
      </c>
      <c r="DF22" s="258">
        <f>DF23+DF25+DF27</f>
        <v>65739</v>
      </c>
      <c r="DG22" s="239">
        <f>SUM(DC22:DF22)</f>
        <v>247679</v>
      </c>
      <c r="DH22" s="258">
        <f>DH23+DH25+DH27</f>
        <v>37699</v>
      </c>
      <c r="DI22" s="258">
        <f>DI23+DI25+DI27</f>
        <v>69311</v>
      </c>
      <c r="DJ22" s="258">
        <f ca="1">DJ23+DJ25+DJ27</f>
        <v>49433.594602421043</v>
      </c>
      <c r="DK22" s="258">
        <f ca="1">DK23+DK25+DK27</f>
        <v>52198.18096926884</v>
      </c>
      <c r="DL22" s="239">
        <f ca="1">SUM(DH22:DK22)</f>
        <v>208641.77557168988</v>
      </c>
      <c r="DM22" s="258">
        <f ca="1">DM23+DM25+DM27</f>
        <v>27900.044596645093</v>
      </c>
      <c r="DN22" s="258">
        <f ca="1">DN23+DN25+DN27</f>
        <v>25908.02369855492</v>
      </c>
      <c r="DO22" s="258">
        <f ca="1">DO23+DO25+DO27</f>
        <v>5388.93713694506</v>
      </c>
      <c r="DP22" s="258">
        <f ca="1">DP23+DP25+DP27</f>
        <v>-171.38227001210362</v>
      </c>
      <c r="DQ22" s="239">
        <f ca="1">SUM(DM22:DP22)</f>
        <v>59025.623162132972</v>
      </c>
      <c r="DR22" s="258">
        <f ca="1">DR23+DR25+DR27</f>
        <v>-13663.266627885214</v>
      </c>
      <c r="DS22" s="258">
        <f ca="1">DS23+DS25+DS27</f>
        <v>-55671.251400869653</v>
      </c>
      <c r="DT22" s="258">
        <f ca="1">DT23+DT25+DT27</f>
        <v>-70549.485934652635</v>
      </c>
      <c r="DU22" s="258">
        <f ca="1">DU23+DU25+DU27</f>
        <v>-43829.429611810519</v>
      </c>
      <c r="DV22" s="239">
        <f ca="1">SUM(DR22:DU22)</f>
        <v>-183713.43357521802</v>
      </c>
      <c r="DW22" s="258">
        <f ca="1">DW23+DW25+DW27</f>
        <v>-40227.563833344037</v>
      </c>
      <c r="DX22" s="258">
        <f ca="1">DX23+DX25+DX27</f>
        <v>-88336.80026989519</v>
      </c>
      <c r="DY22" s="258">
        <f ca="1">DY23+DY25+DY27</f>
        <v>-107536.36046403048</v>
      </c>
      <c r="DZ22" s="258">
        <f ca="1">DZ23+DZ25+DZ27</f>
        <v>-64408.886891821239</v>
      </c>
      <c r="EA22" s="239">
        <f ca="1">SUM(DW22:DZ22)</f>
        <v>-300509.61145909096</v>
      </c>
      <c r="EB22" s="258">
        <f ca="1">EB23+EB25+EB27</f>
        <v>-45217.573171422016</v>
      </c>
      <c r="EC22" s="258">
        <f ca="1">EC23+EC25+EC27</f>
        <v>-86130.163426276064</v>
      </c>
      <c r="ED22" s="258">
        <f ca="1">ED23+ED25+ED27</f>
        <v>-102834.48417237746</v>
      </c>
      <c r="EE22" s="258">
        <f ca="1">EE23+EE25+EE27</f>
        <v>-56652.855068949131</v>
      </c>
      <c r="EF22" s="239">
        <f ca="1">SUM(EB22:EE22)</f>
        <v>-290835.07583902462</v>
      </c>
      <c r="EG22" s="236"/>
    </row>
    <row r="23" spans="1:171" ht="12.75" customHeight="1" outlineLevel="1">
      <c r="A23" s="71" t="s">
        <v>44</v>
      </c>
      <c r="B23" s="246">
        <f>(34575-SUM(D23))/2</f>
        <v>9849</v>
      </c>
      <c r="C23" s="246">
        <f>B23</f>
        <v>9849</v>
      </c>
      <c r="D23" s="246">
        <v>14877</v>
      </c>
      <c r="E23" s="246">
        <v>9124</v>
      </c>
      <c r="F23" s="239">
        <f>SUM(B23:E23)</f>
        <v>43699</v>
      </c>
      <c r="G23" s="246">
        <v>11688</v>
      </c>
      <c r="H23" s="246">
        <v>19433</v>
      </c>
      <c r="I23" s="246">
        <v>5656</v>
      </c>
      <c r="J23" s="246">
        <v>21014</v>
      </c>
      <c r="K23" s="239">
        <f>SUM(G23:J23)</f>
        <v>57791</v>
      </c>
      <c r="L23" s="246">
        <v>29751</v>
      </c>
      <c r="M23" s="246">
        <v>31770</v>
      </c>
      <c r="N23" s="246">
        <f>95612-L23-M23</f>
        <v>34091</v>
      </c>
      <c r="O23" s="246">
        <f>133293-SUM(L23:N23)</f>
        <v>37681</v>
      </c>
      <c r="P23" s="239">
        <f>SUM(L23:O23)</f>
        <v>133293</v>
      </c>
      <c r="Q23" s="246">
        <f>19763-Q27</f>
        <v>13408.333333333332</v>
      </c>
      <c r="R23" s="246">
        <f>67756-Q23-Q27-R27</f>
        <v>41638.333333333343</v>
      </c>
      <c r="S23" s="246">
        <f>44601-S27</f>
        <v>38246.333333333336</v>
      </c>
      <c r="T23" s="246">
        <f>144188-SUM(Q23:S23)</f>
        <v>50895</v>
      </c>
      <c r="U23" s="239">
        <f>SUM(Q23:T23)</f>
        <v>144188</v>
      </c>
      <c r="V23" s="246">
        <f>37046-V27</f>
        <v>29500</v>
      </c>
      <c r="W23" s="246">
        <f>55234-W27</f>
        <v>45460</v>
      </c>
      <c r="X23" s="246">
        <f>20683-X27</f>
        <v>-7416</v>
      </c>
      <c r="Y23" s="246">
        <f>190740-SUM(V23:X23)-SUM(V27:Y27)</f>
        <v>41643</v>
      </c>
      <c r="Z23" s="239">
        <f>SUM(V23:Y23)</f>
        <v>109187</v>
      </c>
      <c r="AA23" s="246">
        <f>55187-AA27</f>
        <v>29518</v>
      </c>
      <c r="AB23" s="246">
        <f>47545-AB27</f>
        <v>39177</v>
      </c>
      <c r="AC23" s="246">
        <f>10013+10725+3196</f>
        <v>23934</v>
      </c>
      <c r="AD23" s="246">
        <f>24316+9391+1720</f>
        <v>35427</v>
      </c>
      <c r="AE23" s="239">
        <f>SUM(AA23:AD23)</f>
        <v>128056</v>
      </c>
      <c r="AF23" s="246">
        <f>57269-AF27</f>
        <v>30543</v>
      </c>
      <c r="AG23" s="246">
        <f>79023-AG27</f>
        <v>40313</v>
      </c>
      <c r="AH23" s="246">
        <f>82309-AH27</f>
        <v>40595</v>
      </c>
      <c r="AI23" s="246">
        <f>69011-AI27</f>
        <v>27223</v>
      </c>
      <c r="AJ23" s="239">
        <f>SUM(AF23:AI23)</f>
        <v>138674</v>
      </c>
      <c r="AK23" s="246">
        <f>59606-AK27</f>
        <v>36957</v>
      </c>
      <c r="AL23" s="246">
        <f>135741-46605-AK23</f>
        <v>52179</v>
      </c>
      <c r="AM23" s="246">
        <f>101379-AM27</f>
        <v>57933</v>
      </c>
      <c r="AN23" s="245">
        <f>363335-AK23-AL23-AM23-SUM(AK27:AN27)</f>
        <v>94930</v>
      </c>
      <c r="AO23" s="239">
        <f>SUM(AK23:AN23)</f>
        <v>241999</v>
      </c>
      <c r="AP23" s="246">
        <f>156358-AQ23-AP27-AQ27</f>
        <v>60399</v>
      </c>
      <c r="AQ23" s="246">
        <f>78349-AQ27</f>
        <v>53870</v>
      </c>
      <c r="AR23" s="246">
        <f>47580-AR27</f>
        <v>44190</v>
      </c>
      <c r="AS23" s="246">
        <f>249302-AP23-AQ23-AR23-SUM(AP27:AS27)</f>
        <v>49593</v>
      </c>
      <c r="AT23" s="239">
        <f>SUM(AP23:AS23)</f>
        <v>208052</v>
      </c>
      <c r="AU23" s="246">
        <f>99206-AV23-AU27-AV27</f>
        <v>33764</v>
      </c>
      <c r="AV23" s="246">
        <f>48469-AV27</f>
        <v>32002</v>
      </c>
      <c r="AW23" s="246">
        <f>50340-AW27</f>
        <v>37130</v>
      </c>
      <c r="AX23" s="246">
        <f>207166-AU23-AV23-AW23-SUM(AU27:AX27)</f>
        <v>41654</v>
      </c>
      <c r="AY23" s="239">
        <f>SUM(AU23:AX23)</f>
        <v>144550</v>
      </c>
      <c r="AZ23" s="246">
        <f>69890-AZ27</f>
        <v>53994</v>
      </c>
      <c r="BA23" s="246">
        <f>72020-BA27</f>
        <v>58712</v>
      </c>
      <c r="BB23" s="246">
        <f>68287-BB27</f>
        <v>53481</v>
      </c>
      <c r="BC23" s="246">
        <f>278643-AZ23-BA23-BB23-SUM(AZ27:BC27)</f>
        <v>57135</v>
      </c>
      <c r="BD23" s="239">
        <f>SUM(AZ23:BC23)</f>
        <v>223322</v>
      </c>
      <c r="BE23" s="246">
        <f>70199-BE27</f>
        <v>57470</v>
      </c>
      <c r="BF23" s="246">
        <f>78523-BF27</f>
        <v>67812</v>
      </c>
      <c r="BG23" s="246">
        <f>92358-BG27</f>
        <v>83052</v>
      </c>
      <c r="BH23" s="246">
        <f>330885-BE23-BF23-BG23-SUM(BE27:BH27)</f>
        <v>81409</v>
      </c>
      <c r="BI23" s="239">
        <f>SUM(BE23:BH23)</f>
        <v>289743</v>
      </c>
      <c r="BJ23" s="246">
        <f>79540-BJ27</f>
        <v>75343</v>
      </c>
      <c r="BK23" s="246">
        <f>82849-BK27</f>
        <v>77531</v>
      </c>
      <c r="BL23" s="246">
        <f>72404-BL27</f>
        <v>66572</v>
      </c>
      <c r="BM23" s="246">
        <f>305693-BJ23-BK23-BL23-SUM(BJ27:BM27)</f>
        <v>67118</v>
      </c>
      <c r="BN23" s="239">
        <f>SUM(BJ23:BM23)</f>
        <v>286564</v>
      </c>
      <c r="BO23" s="246">
        <f>64967-BO27</f>
        <v>60573</v>
      </c>
      <c r="BP23" s="246">
        <f>49577-BP27</f>
        <v>45707</v>
      </c>
      <c r="BQ23" s="246">
        <f>53730-BQ27</f>
        <v>49917</v>
      </c>
      <c r="BR23" s="246">
        <f>205392-BO23-BP23-BQ23-SUM(BO27:BR27)</f>
        <v>32244</v>
      </c>
      <c r="BS23" s="239">
        <f>SUM(BO23:BR23)</f>
        <v>188441</v>
      </c>
      <c r="BT23" s="246">
        <f>31953-BT27</f>
        <v>29534</v>
      </c>
      <c r="BU23" s="246">
        <f>33070-BU27</f>
        <v>28664</v>
      </c>
      <c r="BV23" s="246">
        <f>49281-BV27</f>
        <v>42228</v>
      </c>
      <c r="BW23" s="246">
        <f>173006-BT23-BU23-BV23-SUM(BT27:BW27)</f>
        <v>54212</v>
      </c>
      <c r="BX23" s="239">
        <f>SUM(BT23:BW23)</f>
        <v>154638</v>
      </c>
      <c r="BY23" s="246">
        <f>40108-BY27</f>
        <v>36402</v>
      </c>
      <c r="BZ23" s="246">
        <f>49286-BZ27</f>
        <v>45795</v>
      </c>
      <c r="CA23" s="246">
        <f>47956-CA27</f>
        <v>43500</v>
      </c>
      <c r="CB23" s="246">
        <f>180522-BY23-BZ23-CA23-SUM(BY27:CB27)</f>
        <v>40873</v>
      </c>
      <c r="CC23" s="239">
        <f>SUM(BY23:CB23)</f>
        <v>166570</v>
      </c>
      <c r="CD23" s="246">
        <f>31141-CD27</f>
        <v>27505</v>
      </c>
      <c r="CE23" s="246">
        <f>42555-CE27</f>
        <v>34572</v>
      </c>
      <c r="CF23" s="246">
        <f>55454-CF27</f>
        <v>52179</v>
      </c>
      <c r="CG23" s="246">
        <f>202431-CD23-CE23-CF23-SUM(CD27:CG27)</f>
        <v>71282</v>
      </c>
      <c r="CH23" s="239">
        <f>SUM(CD23:CG23)</f>
        <v>185538</v>
      </c>
      <c r="CI23" s="246">
        <f>53921-CI27</f>
        <v>52590</v>
      </c>
      <c r="CJ23" s="246">
        <f>51865-CJ27</f>
        <v>48563</v>
      </c>
      <c r="CK23" s="246">
        <f>71473-CK27</f>
        <v>69268</v>
      </c>
      <c r="CL23" s="246">
        <f>271862-CI23-CJ23-CK23-SUM(CI27:CL27)</f>
        <v>91837</v>
      </c>
      <c r="CM23" s="239">
        <f>SUM(CI23:CL23)</f>
        <v>262258</v>
      </c>
      <c r="CN23" s="246">
        <f>95875-CN27</f>
        <v>87063</v>
      </c>
      <c r="CO23" s="246">
        <f>130109-CO27</f>
        <v>123190</v>
      </c>
      <c r="CP23" s="246">
        <f>130948-CP27</f>
        <v>127352</v>
      </c>
      <c r="CQ23" s="246">
        <f>572713-CN23-CO23-CP23-SUM(CN27:CQ27)</f>
        <v>209350</v>
      </c>
      <c r="CR23" s="239">
        <f>SUM(CN23:CQ23)</f>
        <v>546955</v>
      </c>
      <c r="CS23" s="246">
        <f>190820-CS27</f>
        <v>187928</v>
      </c>
      <c r="CT23" s="246">
        <f>178032-CT27</f>
        <v>175031</v>
      </c>
      <c r="CU23" s="246">
        <f>156108-CU27</f>
        <v>152003</v>
      </c>
      <c r="CV23" s="246">
        <f>694725-CS23-CT23-CU23-SUM(CS27:CV27)</f>
        <v>167390</v>
      </c>
      <c r="CW23" s="239">
        <f>SUM(CS23:CV23)</f>
        <v>682352</v>
      </c>
      <c r="CX23" s="246">
        <f>157466-CX27</f>
        <v>153718</v>
      </c>
      <c r="CY23" s="246">
        <f>182301-CY27</f>
        <v>178220</v>
      </c>
      <c r="CZ23" s="246">
        <f>169528-CZ27</f>
        <v>166458</v>
      </c>
      <c r="DA23" s="246">
        <f>683473-CX23-CY23-CZ23-SUM(CX27:DA27)</f>
        <v>170531</v>
      </c>
      <c r="DB23" s="239">
        <f>SUM(CX23:DA23)</f>
        <v>668927</v>
      </c>
      <c r="DC23" s="246">
        <f>211618-DC27</f>
        <v>207879</v>
      </c>
      <c r="DD23" s="246">
        <f>252543-DD27</f>
        <v>248937</v>
      </c>
      <c r="DE23" s="246">
        <f>246895-DE27</f>
        <v>238180</v>
      </c>
      <c r="DF23" s="246">
        <f>975978-DC23-DD23-DE23-SUM(DC27:DF27)</f>
        <v>258155</v>
      </c>
      <c r="DG23" s="239">
        <f>SUM(DC23:DF23)</f>
        <v>953151</v>
      </c>
      <c r="DH23" s="246">
        <f>260988-DH27</f>
        <v>258243</v>
      </c>
      <c r="DI23" s="246">
        <f>332564-DI27</f>
        <v>328877</v>
      </c>
      <c r="DJ23" s="258">
        <f ca="1">DJ24*(AVERAGE('Balance Sheet'!DI6:DJ6)+AVERAGE('Balance Sheet'!DI7:DJ7))/4</f>
        <v>282825.06754921301</v>
      </c>
      <c r="DK23" s="258">
        <f ca="1">DK24*(AVERAGE('Balance Sheet'!DJ6:DK6)+AVERAGE('Balance Sheet'!DJ7:DK7))/4</f>
        <v>274608.24174167286</v>
      </c>
      <c r="DL23" s="239">
        <f ca="1">SUM(DH23:DK23)</f>
        <v>1144553.3092908859</v>
      </c>
      <c r="DM23" s="258">
        <f ca="1">DM24*(AVERAGE('Balance Sheet'!DL6:DM6)+AVERAGE('Balance Sheet'!DL7:DM7))/4</f>
        <v>268974.96144456603</v>
      </c>
      <c r="DN23" s="258">
        <f ca="1">DN24*(AVERAGE('Balance Sheet'!DM6:DN6)+AVERAGE('Balance Sheet'!DM7:DN7))/4</f>
        <v>272847.52182183811</v>
      </c>
      <c r="DO23" s="258">
        <f ca="1">DO24*(AVERAGE('Balance Sheet'!DN6:DO6)+AVERAGE('Balance Sheet'!DN7:DO7))/4</f>
        <v>251203.19482537481</v>
      </c>
      <c r="DP23" s="258">
        <f ca="1">DP24*(AVERAGE('Balance Sheet'!DO6:DP6)+AVERAGE('Balance Sheet'!DO7:DP7))/4</f>
        <v>244595.30748825442</v>
      </c>
      <c r="DQ23" s="239">
        <f ca="1">SUM(DM23:DP23)</f>
        <v>1037620.9855800333</v>
      </c>
      <c r="DR23" s="258">
        <f ca="1">DR24*(AVERAGE('Balance Sheet'!DQ6:DR6)+AVERAGE('Balance Sheet'!DQ7:DR7))/4</f>
        <v>236726.79427349867</v>
      </c>
      <c r="DS23" s="258">
        <f ca="1">DS24*(AVERAGE('Balance Sheet'!DR6:DS6)+AVERAGE('Balance Sheet'!DR7:DS7))/4</f>
        <v>200346.50162380969</v>
      </c>
      <c r="DT23" s="258">
        <f ca="1">DT24*(AVERAGE('Balance Sheet'!DS6:DT6)+AVERAGE('Balance Sheet'!DS7:DT7))/4</f>
        <v>184691.85468195236</v>
      </c>
      <c r="DU23" s="258">
        <f ca="1">DU24*(AVERAGE('Balance Sheet'!DT6:DU6)+AVERAGE('Balance Sheet'!DT7:DU7))/4</f>
        <v>210583.11874748833</v>
      </c>
      <c r="DV23" s="239">
        <f ca="1">SUM(DR23:DU23)</f>
        <v>832348.26932674914</v>
      </c>
      <c r="DW23" s="258">
        <f ca="1">DW24*(AVERAGE('Balance Sheet'!DV6:DW6)+AVERAGE('Balance Sheet'!DV7:DW7))/4</f>
        <v>220126.40547700445</v>
      </c>
      <c r="DX23" s="258">
        <f ca="1">DX24*(AVERAGE('Balance Sheet'!DW6:DX6)+AVERAGE('Balance Sheet'!DW7:DX7))/4</f>
        <v>178215.43366201335</v>
      </c>
      <c r="DY23" s="258">
        <f ca="1">DY24*(AVERAGE('Balance Sheet'!DX6:DY6)+AVERAGE('Balance Sheet'!DX7:DY7))/4</f>
        <v>158819.34661675521</v>
      </c>
      <c r="DZ23" s="258">
        <f ca="1">DZ24*(AVERAGE('Balance Sheet'!DY6:DZ6)+AVERAGE('Balance Sheet'!DY7:DZ7))/4</f>
        <v>202049.67803621749</v>
      </c>
      <c r="EA23" s="239">
        <f ca="1">SUM(DW23:DZ23)</f>
        <v>759210.86379199044</v>
      </c>
      <c r="EB23" s="258">
        <f ca="1">EB24*(AVERAGE('Balance Sheet'!EA6:EB6)+AVERAGE('Balance Sheet'!EA7:EB7))/4</f>
        <v>228094.24896131657</v>
      </c>
      <c r="EC23" s="258">
        <f ca="1">EC24*(AVERAGE('Balance Sheet'!EB6:EC6)+AVERAGE('Balance Sheet'!EB7:EC7))/4</f>
        <v>193920.98571991085</v>
      </c>
      <c r="ED23" s="258">
        <f ca="1">ED24*(AVERAGE('Balance Sheet'!EC6:ED6)+AVERAGE('Balance Sheet'!EC7:ED7))/4</f>
        <v>177131.44685311845</v>
      </c>
      <c r="EE23" s="258">
        <f ca="1">EE24*(AVERAGE('Balance Sheet'!ED6:EE6)+AVERAGE('Balance Sheet'!ED7:EE7))/4</f>
        <v>223345.6666470168</v>
      </c>
      <c r="EF23" s="239">
        <f ca="1">SUM(EB23:EE23)</f>
        <v>822492.34818136261</v>
      </c>
      <c r="EG23" s="257"/>
      <c r="EH23" s="258"/>
      <c r="EI23" s="258"/>
      <c r="EM23" s="258"/>
      <c r="EN23" s="258"/>
      <c r="EO23" s="258"/>
      <c r="EP23" s="239"/>
      <c r="EQ23" s="258"/>
      <c r="ER23" s="258"/>
      <c r="ES23" s="258"/>
      <c r="ET23" s="258"/>
      <c r="EU23" s="239"/>
      <c r="EV23" s="258"/>
      <c r="EW23" s="258"/>
      <c r="EX23" s="258"/>
      <c r="EY23" s="258"/>
      <c r="EZ23" s="239"/>
      <c r="FA23" s="258"/>
      <c r="FB23" s="258"/>
      <c r="FC23" s="258"/>
      <c r="FD23" s="258"/>
      <c r="FE23" s="239"/>
      <c r="FF23" s="258"/>
      <c r="FG23" s="258"/>
      <c r="FH23" s="258"/>
      <c r="FI23" s="258"/>
      <c r="FJ23" s="239"/>
      <c r="FK23" s="258"/>
      <c r="FL23" s="258"/>
      <c r="FM23" s="258"/>
      <c r="FN23" s="258"/>
      <c r="FO23" s="239"/>
    </row>
    <row r="24" spans="1:171" s="257" customFormat="1" ht="12.75" customHeight="1" outlineLevel="1">
      <c r="A24" s="252" t="s">
        <v>753</v>
      </c>
      <c r="B24" s="253" t="e">
        <f>(1+(B23+B27)/(AVERAGE('Balance Sheet'!B6:B6)+AVERAGE('Balance Sheet'!B9:B9)+AVERAGE('Balance Sheet'!B7:B7)))^4-1</f>
        <v>#DIV/0!</v>
      </c>
      <c r="C24" s="253" t="e">
        <f>(1+(C23+C27)/(AVERAGE('Balance Sheet'!B6:C6)+AVERAGE('Balance Sheet'!B9:C9)+AVERAGE('Balance Sheet'!B7:C7)))^4-1</f>
        <v>#DIV/0!</v>
      </c>
      <c r="D24" s="253" t="e">
        <f>(1+(D23+D27)/(AVERAGE('Balance Sheet'!C6:D6)+AVERAGE('Balance Sheet'!C9:D9)+AVERAGE('Balance Sheet'!C7:D7)))^4-1</f>
        <v>#DIV/0!</v>
      </c>
      <c r="E24" s="253" t="e">
        <f>(1+(E23+E27)/(AVERAGE('Balance Sheet'!D6:E6)+AVERAGE('Balance Sheet'!D9:E9)+AVERAGE('Balance Sheet'!D7:E7)))^4-1</f>
        <v>#DIV/0!</v>
      </c>
      <c r="F24" s="254" t="e">
        <f>(F23+F27)/(AVERAGE('Balance Sheet'!B6:E6)+AVERAGE('Balance Sheet'!B9:E9)+AVERAGE('Balance Sheet'!B7:E7))</f>
        <v>#DIV/0!</v>
      </c>
      <c r="G24" s="253">
        <f>(1+(G23+G27)/(AVERAGE('Balance Sheet'!F6:G6)+AVERAGE('Balance Sheet'!F9:G9)+AVERAGE('Balance Sheet'!F7:G7)))^4-1</f>
        <v>0.27716163827325935</v>
      </c>
      <c r="H24" s="253" t="e">
        <f>(1+(H23+H27)/(AVERAGE('Balance Sheet'!G6:H6)+AVERAGE('Balance Sheet'!G9:H9)+AVERAGE('Balance Sheet'!G7:H7)))^4-1</f>
        <v>#DIV/0!</v>
      </c>
      <c r="I24" s="253" t="e">
        <f>(1+(I23+I27)/(AVERAGE('Balance Sheet'!H6:I6)+AVERAGE('Balance Sheet'!H9:I9)+AVERAGE('Balance Sheet'!H7:I7)))^4-1</f>
        <v>#DIV/0!</v>
      </c>
      <c r="J24" s="253" t="e">
        <f>(1+(J23+J27)/(AVERAGE('Balance Sheet'!I6:J6)+AVERAGE('Balance Sheet'!I9:J9)+AVERAGE('Balance Sheet'!I7:J7)))^4-1</f>
        <v>#DIV/0!</v>
      </c>
      <c r="K24" s="254" t="e">
        <f>(K23+K27)/(AVERAGE('Balance Sheet'!G6:J6)+AVERAGE('Balance Sheet'!G9:J9)+AVERAGE('Balance Sheet'!G7:J7))</f>
        <v>#DIV/0!</v>
      </c>
      <c r="L24" s="253">
        <f>(1+(L23+L27)/(AVERAGE('Balance Sheet'!K6:L6)+AVERAGE('Balance Sheet'!K9:L9)+AVERAGE('Balance Sheet'!K7:L7)))^4-1</f>
        <v>0.25772087694273416</v>
      </c>
      <c r="M24" s="253" t="e">
        <f>(1+(M23+M27)/(AVERAGE('Balance Sheet'!L6:M6)+AVERAGE('Balance Sheet'!L9:M9)+AVERAGE('Balance Sheet'!L7:M7)))^4-1</f>
        <v>#DIV/0!</v>
      </c>
      <c r="N24" s="253" t="e">
        <f>(1+(N23+N27)/(AVERAGE('Balance Sheet'!M6:N6)+AVERAGE('Balance Sheet'!M9:N9)+AVERAGE('Balance Sheet'!M7:N7)))^4-1</f>
        <v>#DIV/0!</v>
      </c>
      <c r="O24" s="253" t="e">
        <f>(1+(O23+O27)/(AVERAGE('Balance Sheet'!N6:O6)+AVERAGE('Balance Sheet'!N9:O9)+AVERAGE('Balance Sheet'!N7:O7)))^4-1</f>
        <v>#DIV/0!</v>
      </c>
      <c r="P24" s="254">
        <f>(P23)/(AVERAGE('Balance Sheet'!L6:O6)+AVERAGE('Balance Sheet'!L7:O7))</f>
        <v>0.22541630430600729</v>
      </c>
      <c r="Q24" s="253">
        <f>(1+(Q23)/(AVERAGE('Balance Sheet'!P6:Q6)+AVERAGE('Balance Sheet'!P7:Q7)))^4-1</f>
        <v>9.4577722343628157E-2</v>
      </c>
      <c r="R24" s="253">
        <f>(1+(R23)/(AVERAGE('Balance Sheet'!Q6:R6)+AVERAGE('Balance Sheet'!Q7:R7)))^4-1</f>
        <v>0.23879125076302277</v>
      </c>
      <c r="S24" s="253">
        <f>(1+(S23)/(AVERAGE('Balance Sheet'!R6:S6)+AVERAGE('Balance Sheet'!R7:S7)))^4-1</f>
        <v>0.16289557723578518</v>
      </c>
      <c r="T24" s="253">
        <f>(1+(T23)/(AVERAGE('Balance Sheet'!S6:T6)+AVERAGE('Balance Sheet'!S7:T7)))^4-1</f>
        <v>0.2284057860900921</v>
      </c>
      <c r="U24" s="254">
        <f>(U23)/(AVERAGE('Balance Sheet'!Q6:T6)+AVERAGE('Balance Sheet'!Q7:T7))</f>
        <v>0.16751048479849437</v>
      </c>
      <c r="V24" s="253">
        <f>(1+(V23)/(AVERAGE('Balance Sheet'!U6:V6)+AVERAGE('Balance Sheet'!U7:V7)))^4-1</f>
        <v>0.11010705586342961</v>
      </c>
      <c r="W24" s="253">
        <f>(1+(W23)/(AVERAGE('Balance Sheet'!V6:W6)+AVERAGE('Balance Sheet'!V7:W7)))^4-1</f>
        <v>0.1532716094440254</v>
      </c>
      <c r="X24" s="253">
        <f>(1+(X23)/(AVERAGE('Balance Sheet'!W6:X6)+AVERAGE('Balance Sheet'!W7:X7)))^4-1</f>
        <v>-2.579613821999005E-2</v>
      </c>
      <c r="Y24" s="253">
        <f>(1+(Y23)/(AVERAGE('Balance Sheet'!X6:Y6)+AVERAGE('Balance Sheet'!X7:Y7)))^4-1</f>
        <v>0.15870307907933334</v>
      </c>
      <c r="Z24" s="254">
        <f>(Z23)/(AVERAGE('Balance Sheet'!V6:Y6)+AVERAGE('Balance Sheet'!V7:Y7))</f>
        <v>9.2426142867451946E-2</v>
      </c>
      <c r="AA24" s="253">
        <f>(1+(AA23)/(AVERAGE('Balance Sheet'!Z6:AA6)+AVERAGE('Balance Sheet'!Z7:AA7)))^4-1</f>
        <v>0.10833832589367032</v>
      </c>
      <c r="AB24" s="253">
        <f>(1+(AB23)/(AVERAGE('Balance Sheet'!AA6:AB6)+AVERAGE('Balance Sheet'!AA7:AB7)))^4-1</f>
        <v>0.16811599421670254</v>
      </c>
      <c r="AC24" s="253">
        <f>(1+(AC23)/(AVERAGE('Balance Sheet'!AB6:AC6)+AVERAGE('Balance Sheet'!AB7:AC7)))^4-1</f>
        <v>8.8847513555658564E-2</v>
      </c>
      <c r="AD24" s="253">
        <f>(1+(AD23)/(AVERAGE('Balance Sheet'!AC6:AD6)+AVERAGE('Balance Sheet'!AC7:AD7)))^4-1</f>
        <v>8.6894303190256261E-2</v>
      </c>
      <c r="AE24" s="254">
        <f>(AE23)/(AVERAGE('Balance Sheet'!AA6:AD6)+AVERAGE('Balance Sheet'!AA7:AD7))</f>
        <v>9.5849115635922161E-2</v>
      </c>
      <c r="AF24" s="253">
        <f>(1+(AF23)/(AVERAGE('Balance Sheet'!AE6:AF6)+AVERAGE('Balance Sheet'!AE7:AF7)))^4-1</f>
        <v>6.7201126633201991E-2</v>
      </c>
      <c r="AG24" s="253">
        <f>(1+(AG23)/(AVERAGE('Balance Sheet'!AF6:AG6)+AVERAGE('Balance Sheet'!AF7:AG7)))^4-1</f>
        <v>0.10646104933778378</v>
      </c>
      <c r="AH24" s="253">
        <f>(1+(AH23)/(AVERAGE('Balance Sheet'!AG6:AH6)+AVERAGE('Balance Sheet'!AG7:AH7)))^4-1</f>
        <v>0.11790691142886911</v>
      </c>
      <c r="AI24" s="253">
        <f>(1+(AI23)/(AVERAGE('Balance Sheet'!AH6:AI6)+AVERAGE('Balance Sheet'!AH7:AI7)))^4-1</f>
        <v>7.6027601029837966E-2</v>
      </c>
      <c r="AJ24" s="254">
        <f>(AJ23)/(AVERAGE('Balance Sheet'!AF6:AI6)+AVERAGE('Balance Sheet'!AF7:AI7))</f>
        <v>9.1043231321066995E-2</v>
      </c>
      <c r="AK24" s="253">
        <f>(1+(AK23)/(AVERAGE('Balance Sheet'!AJ6:AK6)+AVERAGE('Balance Sheet'!AJ7:AK7)))^4-1</f>
        <v>9.6930176835146709E-2</v>
      </c>
      <c r="AL24" s="253">
        <f>(1+(AL23)/(AVERAGE('Balance Sheet'!AK6:AL6)+AVERAGE('Balance Sheet'!AK7:AL7)))^4-1</f>
        <v>0.12077167123609445</v>
      </c>
      <c r="AM24" s="253">
        <f>(1+(AM23)/(AVERAGE('Balance Sheet'!AL6:AM6)+AVERAGE('Balance Sheet'!AL7:AM7)))^4-1</f>
        <v>0.11709347737713127</v>
      </c>
      <c r="AN24" s="253">
        <f>(1+(AN23)/(AVERAGE('Balance Sheet'!AM6:AN6)+AVERAGE('Balance Sheet'!AM7:AN7)))^4-1</f>
        <v>0.1812150288001706</v>
      </c>
      <c r="AO24" s="254">
        <f>(AO23)/(AVERAGE('Balance Sheet'!AK6:AN6)+AVERAGE('Balance Sheet'!AK7:AN7))</f>
        <v>0.11987671965908307</v>
      </c>
      <c r="AP24" s="253">
        <f>(1+(AP23)/(AVERAGE('Balance Sheet'!AO6:AP6)+AVERAGE('Balance Sheet'!AO7:AP7)))^4-1</f>
        <v>0.10909401350208281</v>
      </c>
      <c r="AQ24" s="253">
        <f>(1+(AQ23)/(AVERAGE('Balance Sheet'!AP6:AQ6)+AVERAGE('Balance Sheet'!AP7:AQ7)))^4-1</f>
        <v>0.10044682883228395</v>
      </c>
      <c r="AR24" s="253">
        <f>(1+(AR23)/(AVERAGE('Balance Sheet'!AQ6:AR6)+AVERAGE('Balance Sheet'!AQ7:AR7)))^4-1</f>
        <v>8.4433726797783271E-2</v>
      </c>
      <c r="AS24" s="253">
        <f>(1+(AS23)/(AVERAGE('Balance Sheet'!AR6:AS6)+AVERAGE('Balance Sheet'!AR7:AS7)))^4-1</f>
        <v>9.7201038365447134E-2</v>
      </c>
      <c r="AT24" s="254">
        <f>(AT23)/(AVERAGE('Balance Sheet'!AP6:AS6)+AVERAGE('Balance Sheet'!AP7:AS7))</f>
        <v>9.5916212311871987E-2</v>
      </c>
      <c r="AU24" s="253">
        <f>(1+(AU23)/(AVERAGE('Balance Sheet'!AT6:AU6)+AVERAGE('Balance Sheet'!AT7:AU7)))^4-1</f>
        <v>6.6730222164547159E-2</v>
      </c>
      <c r="AV24" s="253">
        <f>(1+(AV23)/(AVERAGE('Balance Sheet'!AU6:AV6)+AVERAGE('Balance Sheet'!AU7:AV7)))^4-1</f>
        <v>6.5937704191200375E-2</v>
      </c>
      <c r="AW24" s="253">
        <f>(1+(AW23)/(AVERAGE('Balance Sheet'!AV6:AW6)+AVERAGE('Balance Sheet'!AV7:AW7)))^4-1</f>
        <v>7.9599810143524463E-2</v>
      </c>
      <c r="AX24" s="253">
        <f>(1+(AX23)/(AVERAGE('Balance Sheet'!AW6:AX6)+AVERAGE('Balance Sheet'!AW7:AX7)))^4-1</f>
        <v>8.813002204615028E-2</v>
      </c>
      <c r="AY24" s="254">
        <f>(AY23)/(AVERAGE('Balance Sheet'!AU6:AX6)+AVERAGE('Balance Sheet'!AU7:AX7))</f>
        <v>7.3363270758430563E-2</v>
      </c>
      <c r="AZ24" s="253">
        <f>(1+(AZ23)/(AVERAGE('Balance Sheet'!AY6:AZ6)+AVERAGE('Balance Sheet'!AY7:AZ7)))^4-1</f>
        <v>0.10325454102836717</v>
      </c>
      <c r="BA24" s="253">
        <f>(1+(BA23)/(AVERAGE('Balance Sheet'!AZ6:BA6)+AVERAGE('Balance Sheet'!AZ7:BA7)))^4-1</f>
        <v>0.11309617947614448</v>
      </c>
      <c r="BB24" s="253">
        <f>(1+(BB23)/(AVERAGE('Balance Sheet'!BA6:BB6)+AVERAGE('Balance Sheet'!BA7:BB7)))^4-1</f>
        <v>0.11478474344066214</v>
      </c>
      <c r="BC24" s="253">
        <f>(1+(BC23)/(AVERAGE('Balance Sheet'!BB6:BC6)+AVERAGE('Balance Sheet'!BB7:BC7)))^4-1</f>
        <v>0.12274524177217905</v>
      </c>
      <c r="BD24" s="254">
        <f>(BD23)/(AVERAGE('Balance Sheet'!AZ6:BC6)+AVERAGE('Balance Sheet'!AZ7:BC7))</f>
        <v>0.1087207294135574</v>
      </c>
      <c r="BE24" s="253">
        <f>(1+(BE23)/(AVERAGE('Balance Sheet'!BD6:BE6)+AVERAGE('Balance Sheet'!BD7:BE7)))^4-1</f>
        <v>0.11495047487562138</v>
      </c>
      <c r="BF24" s="253">
        <f>(1+(BF23)/(AVERAGE('Balance Sheet'!BE6:BF6)+AVERAGE('Balance Sheet'!BE7:BF7)))^4-1</f>
        <v>0.12122830584191568</v>
      </c>
      <c r="BG24" s="253">
        <f>(1+(BG23)/(AVERAGE('Balance Sheet'!BF6:BG6)+AVERAGE('Balance Sheet'!BF7:BG7)))^4-1</f>
        <v>0.13469298102662597</v>
      </c>
      <c r="BH24" s="253">
        <f>(1+(BH23)/(AVERAGE('Balance Sheet'!BG6:BH6)+AVERAGE('Balance Sheet'!BG7:BH7)))^4-1</f>
        <v>0.1318946141384143</v>
      </c>
      <c r="BI24" s="254">
        <f>(BI23)/(AVERAGE('Balance Sheet'!BE6:BH6)+AVERAGE('Balance Sheet'!BE7:BH7))</f>
        <v>0.11767015983222409</v>
      </c>
      <c r="BJ24" s="253">
        <f>(1+(BJ23)/(AVERAGE('Balance Sheet'!BI6:BJ6)+AVERAGE('Balance Sheet'!BI7:BJ7)))^4-1</f>
        <v>0.12914314902372759</v>
      </c>
      <c r="BK24" s="253">
        <f>(1+(BK23)/(AVERAGE('Balance Sheet'!BJ6:BK6)+AVERAGE('Balance Sheet'!BJ7:BK7)))^4-1</f>
        <v>0.14150858013924772</v>
      </c>
      <c r="BL24" s="253">
        <f>(1+(BL23)/(AVERAGE('Balance Sheet'!BK6:BL6)+AVERAGE('Balance Sheet'!BK7:BL7)))^4-1</f>
        <v>0.13769975727891448</v>
      </c>
      <c r="BM24" s="253">
        <f>(1+(BM23)/(AVERAGE('Balance Sheet'!BL6:BM6)+AVERAGE('Balance Sheet'!BL7:BM7)))^4-1</f>
        <v>0.14382363849409696</v>
      </c>
      <c r="BN24" s="254">
        <f>(BN23)/(AVERAGE('Balance Sheet'!BJ6:BM6)+AVERAGE('Balance Sheet'!BJ7:BM7))</f>
        <v>0.13424774748977059</v>
      </c>
      <c r="BO24" s="253">
        <f>(1+(BO23)/(AVERAGE('Balance Sheet'!BN6:BO6)+AVERAGE('Balance Sheet'!BN7:BO7)))^4-1</f>
        <v>0.11644379244743841</v>
      </c>
      <c r="BP24" s="253">
        <f>(1+(BP23)/(AVERAGE('Balance Sheet'!BO6:BP6)+AVERAGE('Balance Sheet'!BO7:BP7)))^4-1</f>
        <v>8.9224232714151919E-2</v>
      </c>
      <c r="BQ24" s="253">
        <f>(1+(BQ23)/(AVERAGE('Balance Sheet'!BP6:BQ6)+AVERAGE('Balance Sheet'!BP7:BQ7)))^4-1</f>
        <v>0.10834922509456635</v>
      </c>
      <c r="BR24" s="253">
        <f>(1+(BR23)/(AVERAGE('Balance Sheet'!BQ6:BR6)+AVERAGE('Balance Sheet'!BQ7:BR7)))^4-1</f>
        <v>7.3354475704908939E-2</v>
      </c>
      <c r="BS24" s="254">
        <f>(BS23)/(AVERAGE('Balance Sheet'!BO6:BR6)+AVERAGE('Balance Sheet'!BO7:BR7))</f>
        <v>9.608615686476471E-2</v>
      </c>
      <c r="BT24" s="253">
        <f>(1+(BT23)/(AVERAGE('Balance Sheet'!BS6:BT6)+AVERAGE('Balance Sheet'!BS7:BT7)))^4-1</f>
        <v>7.6063712506257097E-2</v>
      </c>
      <c r="BU24" s="253">
        <f>(1+(BU23)/(AVERAGE('Balance Sheet'!BT6:BU6)+AVERAGE('Balance Sheet'!BT7:BU7)))^4-1</f>
        <v>7.0298213812037824E-2</v>
      </c>
      <c r="BV24" s="253">
        <f>(1+(BV23)/(AVERAGE('Balance Sheet'!BU6:BV6)+AVERAGE('Balance Sheet'!BU7:BV7)))^4-1</f>
        <v>8.1817441839665106E-2</v>
      </c>
      <c r="BW24" s="253">
        <f>(1+(BW23)/(AVERAGE('Balance Sheet'!BV6:BW6)+AVERAGE('Balance Sheet'!BV7:BW7)))^4-1</f>
        <v>0.10666120272522539</v>
      </c>
      <c r="BX24" s="254">
        <f>(BX23)/(AVERAGE('Balance Sheet'!BT6:BW6)+AVERAGE('Balance Sheet'!BT7:BW7))</f>
        <v>8.1688572815245497E-2</v>
      </c>
      <c r="BY24" s="253">
        <f>(1+(BY23)/(AVERAGE('Balance Sheet'!BX6:BY6)+AVERAGE('Balance Sheet'!BX7:BY7)))^4-1</f>
        <v>8.3220133868459722E-2</v>
      </c>
      <c r="BZ24" s="253">
        <f>(1+(BZ23)/(AVERAGE('Balance Sheet'!BY6:BZ6)+AVERAGE('Balance Sheet'!BY7:BZ7)))^4-1</f>
        <v>0.10479399271224077</v>
      </c>
      <c r="CA24" s="253">
        <f>(1+(CA23)/(AVERAGE('Balance Sheet'!BZ6:CA6)+AVERAGE('Balance Sheet'!BZ7:CA7)))^4-1</f>
        <v>9.0584114300356955E-2</v>
      </c>
      <c r="CB24" s="253">
        <f>(1+(CB23)/(AVERAGE('Balance Sheet'!CA6:CB6)+AVERAGE('Balance Sheet'!CA7:CB7)))^4-1</f>
        <v>8.1340143575881596E-2</v>
      </c>
      <c r="CC24" s="254">
        <f>(CC23)/(AVERAGE('Balance Sheet'!BY6:CB6)+AVERAGE('Balance Sheet'!BY7:CB7))</f>
        <v>8.5738018289524737E-2</v>
      </c>
      <c r="CD24" s="253">
        <f>(1+(CD23)/(AVERAGE('Balance Sheet'!CC6:CD6)+AVERAGE('Balance Sheet'!CC7:CD7)))^4-1</f>
        <v>5.4413118178558761E-2</v>
      </c>
      <c r="CE24" s="253">
        <f>(1+(CE23)/(AVERAGE('Balance Sheet'!CD6:CE6)+AVERAGE('Balance Sheet'!CD7:CE7)))^4-1</f>
        <v>6.2143383074845682E-2</v>
      </c>
      <c r="CF24" s="253">
        <f>(1+(CF23)/(AVERAGE('Balance Sheet'!CE6:CF6)+AVERAGE('Balance Sheet'!CE7:CF7)))^4-1</f>
        <v>8.0331746706340468E-2</v>
      </c>
      <c r="CG24" s="253">
        <f>(1+(CG23)/(AVERAGE('Balance Sheet'!CF6:CG6)+AVERAGE('Balance Sheet'!CF7:CG7)))^4-1</f>
        <v>0.10432007634748897</v>
      </c>
      <c r="CH24" s="254">
        <f>(CH23)/(AVERAGE('Balance Sheet'!CD6:CG6)+AVERAGE('Balance Sheet'!CD7:CG7))</f>
        <v>7.2554734121319714E-2</v>
      </c>
      <c r="CI24" s="253">
        <f>(1+(CI23)/(AVERAGE('Balance Sheet'!CH6:CI6)+AVERAGE('Balance Sheet'!CH7:CI7)))^4-1</f>
        <v>7.7085573761245474E-2</v>
      </c>
      <c r="CJ24" s="253">
        <f>(1+(CJ23)/(AVERAGE('Balance Sheet'!CI6:CJ6)+AVERAGE('Balance Sheet'!CI7:CJ7)))^4-1</f>
        <v>6.6096956928177519E-2</v>
      </c>
      <c r="CK24" s="253">
        <f>(1+(CK23)/(AVERAGE('Balance Sheet'!CJ6:CK6)+AVERAGE('Balance Sheet'!CJ7:CK7)))^4-1</f>
        <v>8.6436967735254777E-2</v>
      </c>
      <c r="CL24" s="253">
        <f>(1+(CL23)/(AVERAGE('Balance Sheet'!CK6:CL6)+AVERAGE('Balance Sheet'!CK7:CL7)))^4-1</f>
        <v>0.10488604295193094</v>
      </c>
      <c r="CM24" s="254">
        <f>(CM23)/(AVERAGE('Balance Sheet'!CI6:CL6)+AVERAGE('Balance Sheet'!CI7:CL7))</f>
        <v>7.8898137263529039E-2</v>
      </c>
      <c r="CN24" s="253">
        <f>(1+(CN23)/(AVERAGE('Balance Sheet'!CM6:CN6)+AVERAGE('Balance Sheet'!CM7:CN7)))^4-1</f>
        <v>9.474081010285107E-2</v>
      </c>
      <c r="CO24" s="253">
        <f>(1+(CO23)/(AVERAGE('Balance Sheet'!CN6:CO6)+AVERAGE('Balance Sheet'!CN7:CO7)))^4-1</f>
        <v>0.13041413283526571</v>
      </c>
      <c r="CP24" s="253">
        <f>(1+(CP23)/(AVERAGE('Balance Sheet'!CO6:CP6)+AVERAGE('Balance Sheet'!CO7:CP7)))^4-1</f>
        <v>0.12435804524484362</v>
      </c>
      <c r="CQ24" s="253">
        <f>(1+(CQ23)/(AVERAGE('Balance Sheet'!CP6:CQ6)+AVERAGE('Balance Sheet'!CP7:CQ7)))^4-1</f>
        <v>0.18715983089458943</v>
      </c>
      <c r="CR24" s="254">
        <f>(CR23)/(AVERAGE('Balance Sheet'!CN6:CQ6)+AVERAGE('Balance Sheet'!CN7:CQ7))</f>
        <v>0.12522509316672065</v>
      </c>
      <c r="CS24" s="253">
        <f>(1+(CS23)/(AVERAGE('Balance Sheet'!CR6:CS6)+AVERAGE('Balance Sheet'!CR7:CS7)))^4-1</f>
        <v>0.15805693463441606</v>
      </c>
      <c r="CT24" s="253">
        <f>(1+(CT23)/(AVERAGE('Balance Sheet'!CS6:CT6)+AVERAGE('Balance Sheet'!CS7:CT7)))^4-1</f>
        <v>0.14683670348433142</v>
      </c>
      <c r="CU24" s="253">
        <f>(1+(CU23)/(AVERAGE('Balance Sheet'!CT6:CU6)+AVERAGE('Balance Sheet'!CT7:CU7)))^4-1</f>
        <v>0.12431134646984243</v>
      </c>
      <c r="CV24" s="253">
        <f>(1+(CV23)/(AVERAGE('Balance Sheet'!CU6:CV6)+AVERAGE('Balance Sheet'!CU7:CV7)))^4-1</f>
        <v>0.13892617427230736</v>
      </c>
      <c r="CW24" s="254">
        <f>(CW23)/(AVERAGE('Balance Sheet'!CS6:CV6)+AVERAGE('Balance Sheet'!CS7:CV7))</f>
        <v>0.13529441418716445</v>
      </c>
      <c r="CX24" s="253">
        <f>(1+(CX23)/(AVERAGE('Balance Sheet'!CW6:CX6)+AVERAGE('Balance Sheet'!CW7:CX7)))^4-1</f>
        <v>0.13136325000163152</v>
      </c>
      <c r="CY24" s="253">
        <f>(1+(CY23)/(AVERAGE('Balance Sheet'!CX6:CY6)+AVERAGE('Balance Sheet'!CX7:CY7)))^4-1</f>
        <v>0.15184522880680329</v>
      </c>
      <c r="CZ24" s="253">
        <f>(1+(CZ23)/(AVERAGE('Balance Sheet'!CY6:CZ6)+AVERAGE('Balance Sheet'!CY7:CZ7)))^4-1</f>
        <v>0.13320206016435709</v>
      </c>
      <c r="DA24" s="253">
        <f>(1+(DA23)/(AVERAGE('Balance Sheet'!CZ6:DA6)+AVERAGE('Balance Sheet'!CZ7:DA7)))^4-1</f>
        <v>0.13133374755412097</v>
      </c>
      <c r="DB24" s="254">
        <f>(DB23)/(AVERAGE('Balance Sheet'!CX6:DA6)+AVERAGE('Balance Sheet'!CX7:DA7))</f>
        <v>0.12867341743639096</v>
      </c>
      <c r="DC24" s="253">
        <f>(1+(DC23)/(AVERAGE('Balance Sheet'!DB6:DC6)+AVERAGE('Balance Sheet'!DB7:DC7)))^4-1</f>
        <v>0.15592497174808528</v>
      </c>
      <c r="DD24" s="253">
        <f>(1+(DD23)/(AVERAGE('Balance Sheet'!DC6:DD6)+AVERAGE('Balance Sheet'!DC7:DD7)))^4-1</f>
        <v>0.17631075164632493</v>
      </c>
      <c r="DE24" s="253">
        <f>(1+(DE23)/(AVERAGE('Balance Sheet'!DD6:DE6)+AVERAGE('Balance Sheet'!DD7:DE7)))^4-1</f>
        <v>0.14778190242228595</v>
      </c>
      <c r="DF24" s="253">
        <f>(1+(DF23)/(AVERAGE('Balance Sheet'!DE6:DF6)+AVERAGE('Balance Sheet'!DE7:DF7)))^4-1</f>
        <v>0.15026892054145424</v>
      </c>
      <c r="DG24" s="254">
        <f>(DG23)/(AVERAGE('Balance Sheet'!DC6:DF6)+AVERAGE('Balance Sheet'!DC7:DF7))</f>
        <v>0.14380431529419485</v>
      </c>
      <c r="DH24" s="253">
        <f>(1+(DH23)/(AVERAGE('Balance Sheet'!DG6:DH6)+AVERAGE('Balance Sheet'!DG7:DH7)))^4-1</f>
        <v>0.14878180529696983</v>
      </c>
      <c r="DI24" s="253">
        <f>(1+(DI23)/(AVERAGE('Balance Sheet'!DH6:DI6)+AVERAGE('Balance Sheet'!DH7:DI7)))^4-1</f>
        <v>0.1819083735453273</v>
      </c>
      <c r="DJ24" s="256">
        <f>Macro!DJ17</f>
        <v>0.13750000000000001</v>
      </c>
      <c r="DK24" s="256">
        <f>Macro!DK17</f>
        <v>0.13250000000000001</v>
      </c>
      <c r="DL24" s="254">
        <f ca="1">(DL23)/(AVERAGE('Balance Sheet'!DH6:DK6)+AVERAGE('Balance Sheet'!DH7:DK7))</f>
        <v>0.14308781759042494</v>
      </c>
      <c r="DM24" s="256">
        <f>Macro!DM17</f>
        <v>0.13</v>
      </c>
      <c r="DN24" s="256">
        <f>Macro!DN17</f>
        <v>0.13</v>
      </c>
      <c r="DO24" s="256">
        <f>Macro!DO17</f>
        <v>0.13</v>
      </c>
      <c r="DP24" s="256">
        <f>Macro!DP17</f>
        <v>0.13</v>
      </c>
      <c r="DQ24" s="254">
        <f ca="1">(DQ23)/(AVERAGE('Balance Sheet'!DM6:DP6)+AVERAGE('Balance Sheet'!DM7:DP7))</f>
        <v>0.13034360559721581</v>
      </c>
      <c r="DR24" s="256">
        <f>Macro!DR17</f>
        <v>0.13</v>
      </c>
      <c r="DS24" s="256">
        <f>Macro!DS17</f>
        <v>0.13</v>
      </c>
      <c r="DT24" s="256">
        <f>Macro!DT17</f>
        <v>0.13</v>
      </c>
      <c r="DU24" s="256">
        <f>Macro!DU17</f>
        <v>0.13</v>
      </c>
      <c r="DV24" s="254">
        <f ca="1">(DV23)/(AVERAGE('Balance Sheet'!DR6:DU6)+AVERAGE('Balance Sheet'!DR7:DU7))</f>
        <v>0.13165913291272097</v>
      </c>
      <c r="DW24" s="256">
        <f>Macro!DW17</f>
        <v>0.13</v>
      </c>
      <c r="DX24" s="256">
        <f>Macro!DX17</f>
        <v>0.13</v>
      </c>
      <c r="DY24" s="256">
        <f>Macro!DY17</f>
        <v>0.13</v>
      </c>
      <c r="DZ24" s="256">
        <f>Macro!DZ17</f>
        <v>0.13</v>
      </c>
      <c r="EA24" s="254">
        <f ca="1">(EA23)/(AVERAGE('Balance Sheet'!DW6:DZ6)+AVERAGE('Balance Sheet'!DW7:DZ7))</f>
        <v>0.12977447740628206</v>
      </c>
      <c r="EB24" s="256">
        <f>Macro!EB17</f>
        <v>0.13</v>
      </c>
      <c r="EC24" s="256">
        <f>Macro!EC17</f>
        <v>0.13</v>
      </c>
      <c r="ED24" s="256">
        <f>Macro!ED17</f>
        <v>0.13</v>
      </c>
      <c r="EE24" s="256">
        <f>Macro!EE17</f>
        <v>0.13</v>
      </c>
      <c r="EF24" s="254">
        <f ca="1">(EF23)/(AVERAGE('Balance Sheet'!EB6:EE6)+AVERAGE('Balance Sheet'!EB7:EE7))</f>
        <v>0.1281243117045841</v>
      </c>
      <c r="EJ24" s="66"/>
      <c r="EK24" s="66"/>
      <c r="EL24" s="66"/>
    </row>
    <row r="25" spans="1:171" ht="12.75" customHeight="1" outlineLevel="1">
      <c r="A25" s="71" t="s">
        <v>45</v>
      </c>
      <c r="B25" s="246">
        <f>(-30497-SUM(D25))/2</f>
        <v>-10171.5</v>
      </c>
      <c r="C25" s="246">
        <f>B25</f>
        <v>-10171.5</v>
      </c>
      <c r="D25" s="246">
        <v>-10154</v>
      </c>
      <c r="E25" s="246">
        <v>-6359</v>
      </c>
      <c r="F25" s="239">
        <f>SUM(B25:E25)</f>
        <v>-36856</v>
      </c>
      <c r="G25" s="246">
        <v>-12831</v>
      </c>
      <c r="H25" s="246">
        <v>-12146</v>
      </c>
      <c r="I25" s="246">
        <v>-14529</v>
      </c>
      <c r="J25" s="246">
        <v>-11297</v>
      </c>
      <c r="K25" s="239">
        <f>SUM(G25:J25)</f>
        <v>-50803</v>
      </c>
      <c r="L25" s="246">
        <v>-11842</v>
      </c>
      <c r="M25" s="246">
        <f>-22513-L25</f>
        <v>-10671</v>
      </c>
      <c r="N25" s="246">
        <f>-38509-L25-M25</f>
        <v>-15996</v>
      </c>
      <c r="O25" s="246">
        <f>-84450-SUM(L25:N25)+32000</f>
        <v>-13941</v>
      </c>
      <c r="P25" s="239">
        <f>SUM(L25:O25)</f>
        <v>-52450</v>
      </c>
      <c r="Q25" s="246">
        <v>-19278</v>
      </c>
      <c r="R25" s="246">
        <f>-50742-Q25</f>
        <v>-31464</v>
      </c>
      <c r="S25" s="246">
        <v>-33198</v>
      </c>
      <c r="T25" s="246">
        <f>-116922-SUM(Q25:S25)</f>
        <v>-32982</v>
      </c>
      <c r="U25" s="239">
        <f>SUM(Q25:T25)</f>
        <v>-116922</v>
      </c>
      <c r="V25" s="246">
        <v>-37024</v>
      </c>
      <c r="W25" s="246">
        <v>-47030</v>
      </c>
      <c r="X25" s="246">
        <v>-48805</v>
      </c>
      <c r="Y25" s="246">
        <f>-201520-SUM(V25:X25)</f>
        <v>-68661</v>
      </c>
      <c r="Z25" s="239">
        <f>SUM(V25:Y25)</f>
        <v>-201520</v>
      </c>
      <c r="AA25" s="246">
        <v>-55926</v>
      </c>
      <c r="AB25" s="246">
        <v>-53032</v>
      </c>
      <c r="AC25" s="246">
        <v>-54285</v>
      </c>
      <c r="AD25" s="246">
        <v>-62092</v>
      </c>
      <c r="AE25" s="239">
        <f>SUM(AA25:AD25)</f>
        <v>-225335</v>
      </c>
      <c r="AF25" s="246">
        <v>-51881</v>
      </c>
      <c r="AG25" s="246">
        <v>-58516</v>
      </c>
      <c r="AH25" s="246">
        <v>-60211</v>
      </c>
      <c r="AI25" s="246">
        <v>-51772</v>
      </c>
      <c r="AJ25" s="239">
        <f>SUM(AF25:AI25)</f>
        <v>-222380</v>
      </c>
      <c r="AK25" s="246">
        <v>-56396</v>
      </c>
      <c r="AL25" s="246">
        <f>-125958-AK25</f>
        <v>-69562</v>
      </c>
      <c r="AM25" s="246">
        <f>-220133-AK25-AL25</f>
        <v>-94175</v>
      </c>
      <c r="AN25" s="246">
        <f>-313716-AK25-AL25-AM25</f>
        <v>-93583</v>
      </c>
      <c r="AO25" s="239">
        <f>SUM(AK25:AN25)</f>
        <v>-313716</v>
      </c>
      <c r="AP25" s="246">
        <f>-145499-AQ25</f>
        <v>-70637</v>
      </c>
      <c r="AQ25" s="246">
        <v>-74862</v>
      </c>
      <c r="AR25" s="246">
        <v>-45006</v>
      </c>
      <c r="AS25" s="246">
        <f>-238711-AP25-AQ25-AR25</f>
        <v>-48206</v>
      </c>
      <c r="AT25" s="239">
        <f>SUM(AP25:AS25)</f>
        <v>-238711</v>
      </c>
      <c r="AU25" s="246">
        <f>-80598-AV25</f>
        <v>-40935</v>
      </c>
      <c r="AV25" s="246">
        <v>-39663</v>
      </c>
      <c r="AW25" s="246">
        <v>-45376</v>
      </c>
      <c r="AX25" s="246">
        <f>-179288-AU25-AV25-AW25</f>
        <v>-53314</v>
      </c>
      <c r="AY25" s="239">
        <f>SUM(AU25:AX25)</f>
        <v>-179288</v>
      </c>
      <c r="AZ25" s="246">
        <v>-60450</v>
      </c>
      <c r="BA25" s="246">
        <v>-68818</v>
      </c>
      <c r="BB25" s="246">
        <v>-66703</v>
      </c>
      <c r="BC25" s="246">
        <f>-262499-AZ25-BA25-BB25</f>
        <v>-66528</v>
      </c>
      <c r="BD25" s="239">
        <f>SUM(AZ25:BC25)</f>
        <v>-262499</v>
      </c>
      <c r="BE25" s="246">
        <v>-64017</v>
      </c>
      <c r="BF25" s="245">
        <v>-88527</v>
      </c>
      <c r="BG25" s="246">
        <v>-87174</v>
      </c>
      <c r="BH25" s="246">
        <f>-313288-BE25-BF25-BG25</f>
        <v>-73570</v>
      </c>
      <c r="BI25" s="239">
        <f>SUM(BE25:BH25)</f>
        <v>-313288</v>
      </c>
      <c r="BJ25" s="246">
        <v>-59283</v>
      </c>
      <c r="BK25" s="246">
        <v>-56918</v>
      </c>
      <c r="BL25" s="246">
        <v>-54208</v>
      </c>
      <c r="BM25" s="246">
        <f>-226550-BJ25-BK25-BL25</f>
        <v>-56141</v>
      </c>
      <c r="BN25" s="239">
        <f>SUM(BJ25:BM25)</f>
        <v>-226550</v>
      </c>
      <c r="BO25" s="246">
        <v>-52000</v>
      </c>
      <c r="BP25" s="246">
        <v>-44369</v>
      </c>
      <c r="BQ25" s="246">
        <v>-42056</v>
      </c>
      <c r="BR25" s="246">
        <f>-167580-BO25-BP25-BQ25</f>
        <v>-29155</v>
      </c>
      <c r="BS25" s="239">
        <f>SUM(BO25:BR25)</f>
        <v>-167580</v>
      </c>
      <c r="BT25" s="246">
        <v>-29193</v>
      </c>
      <c r="BU25" s="246">
        <v>-28597</v>
      </c>
      <c r="BV25" s="246">
        <v>-50050</v>
      </c>
      <c r="BW25" s="246">
        <f>-150888-BT25-BU25-BV25</f>
        <v>-43048</v>
      </c>
      <c r="BX25" s="239">
        <f>SUM(BT25:BW25)</f>
        <v>-150888</v>
      </c>
      <c r="BY25" s="246">
        <v>-38236</v>
      </c>
      <c r="BZ25" s="246">
        <v>-31414</v>
      </c>
      <c r="CA25" s="246">
        <v>-38901</v>
      </c>
      <c r="CB25" s="246">
        <f>-149929-BY25-BZ25-CA25</f>
        <v>-41378</v>
      </c>
      <c r="CC25" s="239">
        <f>SUM(BY25:CB25)</f>
        <v>-149929</v>
      </c>
      <c r="CD25" s="246">
        <v>-27890</v>
      </c>
      <c r="CE25" s="246">
        <v>-36054</v>
      </c>
      <c r="CF25" s="246">
        <v>-30983</v>
      </c>
      <c r="CG25" s="246">
        <f>-117930-CD25-CE25-CF25</f>
        <v>-23003</v>
      </c>
      <c r="CH25" s="239">
        <f>SUM(CD25:CG25)</f>
        <v>-117930</v>
      </c>
      <c r="CI25" s="246">
        <v>-43034</v>
      </c>
      <c r="CJ25" s="246">
        <v>-42572</v>
      </c>
      <c r="CK25" s="246">
        <v>-62614</v>
      </c>
      <c r="CL25" s="246">
        <f>-228865-CI25-CJ25-CK25</f>
        <v>-80645</v>
      </c>
      <c r="CM25" s="239">
        <f>SUM(CI25:CL25)</f>
        <v>-228865</v>
      </c>
      <c r="CN25" s="246">
        <v>-86542</v>
      </c>
      <c r="CO25" s="246">
        <v>-104608</v>
      </c>
      <c r="CP25" s="246">
        <v>-123921</v>
      </c>
      <c r="CQ25" s="246">
        <f>-504386-CN25-CO25-CP25</f>
        <v>-189315</v>
      </c>
      <c r="CR25" s="239">
        <f>SUM(CN25:CQ25)</f>
        <v>-504386</v>
      </c>
      <c r="CS25" s="246">
        <v>-145233</v>
      </c>
      <c r="CT25" s="246">
        <v>-148849</v>
      </c>
      <c r="CU25" s="246">
        <v>-128027</v>
      </c>
      <c r="CV25" s="246">
        <f>-557953-CS25-CT25-CU25</f>
        <v>-135844</v>
      </c>
      <c r="CW25" s="239">
        <f>SUM(CS25:CV25)</f>
        <v>-557953</v>
      </c>
      <c r="CX25" s="246">
        <v>-144331</v>
      </c>
      <c r="CY25" s="246">
        <v>-137606</v>
      </c>
      <c r="CZ25" s="246">
        <v>-130318</v>
      </c>
      <c r="DA25" s="246">
        <f>-569788-CX25-CY25-CZ25</f>
        <v>-157533</v>
      </c>
      <c r="DB25" s="239">
        <f>SUM(CX25:DA25)</f>
        <v>-569788</v>
      </c>
      <c r="DC25" s="246">
        <v>-152617</v>
      </c>
      <c r="DD25" s="246">
        <v>-186107</v>
      </c>
      <c r="DE25" s="246">
        <v>-190392</v>
      </c>
      <c r="DF25" s="246">
        <f>-728299-DC25-DD25-DE25</f>
        <v>-199183</v>
      </c>
      <c r="DG25" s="239">
        <f>SUM(DC25:DF25)</f>
        <v>-728299</v>
      </c>
      <c r="DH25" s="246">
        <v>-223289</v>
      </c>
      <c r="DI25" s="246">
        <v>-263253</v>
      </c>
      <c r="DJ25" s="258">
        <f>DJ85+DJ84</f>
        <v>-242832.35379352188</v>
      </c>
      <c r="DK25" s="258">
        <f>DK85+DK84</f>
        <v>-234399.18615650211</v>
      </c>
      <c r="DL25" s="239">
        <f>SUM(DH25:DK25)</f>
        <v>-963773.53995002399</v>
      </c>
      <c r="DM25" s="258">
        <f>DM85+DM84</f>
        <v>-247805.9117730312</v>
      </c>
      <c r="DN25" s="258">
        <f>DN85+DN84</f>
        <v>-254463.87596373845</v>
      </c>
      <c r="DO25" s="258">
        <f>DO85+DO84</f>
        <v>-254463.87596373845</v>
      </c>
      <c r="DP25" s="258">
        <f>DP85+DP84</f>
        <v>-254463.87596373845</v>
      </c>
      <c r="DQ25" s="239">
        <f>SUM(DM25:DP25)</f>
        <v>-1011197.5396642465</v>
      </c>
      <c r="DR25" s="258">
        <f>DR85+DR84</f>
        <v>-261121.84015444567</v>
      </c>
      <c r="DS25" s="258">
        <f>DS85+DS84</f>
        <v>-267779.80434515292</v>
      </c>
      <c r="DT25" s="258">
        <f>DT85+DT84</f>
        <v>-267779.80434515292</v>
      </c>
      <c r="DU25" s="258">
        <f>DU85+DU84</f>
        <v>-267779.80434515292</v>
      </c>
      <c r="DV25" s="239">
        <f>SUM(DR25:DU25)</f>
        <v>-1064461.2531899044</v>
      </c>
      <c r="DW25" s="258">
        <f>DW85+DW84</f>
        <v>-274437.76853586017</v>
      </c>
      <c r="DX25" s="258">
        <f>DX85+DX84</f>
        <v>-281095.73272656742</v>
      </c>
      <c r="DY25" s="258">
        <f>DY85+DY84</f>
        <v>-281095.73272656742</v>
      </c>
      <c r="DZ25" s="258">
        <f>DZ85+DZ84</f>
        <v>-281095.73272656742</v>
      </c>
      <c r="EA25" s="239">
        <f>SUM(DW25:DZ25)</f>
        <v>-1117724.9667155624</v>
      </c>
      <c r="EB25" s="258">
        <f>EB85+EB84</f>
        <v>-287753.69691727468</v>
      </c>
      <c r="EC25" s="258">
        <f>EC85+EC84</f>
        <v>-294411.66110798193</v>
      </c>
      <c r="ED25" s="258">
        <f>ED85+ED84</f>
        <v>-294411.66110798193</v>
      </c>
      <c r="EE25" s="258">
        <f>EE85+EE84</f>
        <v>-294411.66110798193</v>
      </c>
      <c r="EF25" s="239">
        <f>SUM(EB25:EE25)</f>
        <v>-1170988.6802412204</v>
      </c>
    </row>
    <row r="26" spans="1:171" s="255" customFormat="1" ht="12.75" customHeight="1" outlineLevel="1">
      <c r="A26" s="252" t="s">
        <v>753</v>
      </c>
      <c r="B26" s="253">
        <f>(1-B25/'Balance Sheet'!B50)^4-1</f>
        <v>0.56138680271553731</v>
      </c>
      <c r="C26" s="253">
        <f>(1-C25/'Balance Sheet'!C50)^4-1</f>
        <v>0.50940586784363484</v>
      </c>
      <c r="D26" s="253">
        <f>(1-D25/'Balance Sheet'!D50)^4-1</f>
        <v>0.44933822852144023</v>
      </c>
      <c r="E26" s="253">
        <f>(1-E25/'Balance Sheet'!E50)^4-1</f>
        <v>9.9488420505223107E-2</v>
      </c>
      <c r="F26" s="254">
        <f>-F25/AVERAGE('Balance Sheet'!B50:E50)</f>
        <v>0.26823530267991491</v>
      </c>
      <c r="G26" s="253">
        <f>(1-G25/'Balance Sheet'!G50)^4-1</f>
        <v>9.7220295507243204E-2</v>
      </c>
      <c r="H26" s="253">
        <f>(1-H25/'Balance Sheet'!H50)^4-1</f>
        <v>0.18389626784641511</v>
      </c>
      <c r="I26" s="253">
        <f>(1-I25/'Balance Sheet'!I50)^4-1</f>
        <v>0.34548078826063788</v>
      </c>
      <c r="J26" s="253">
        <f>(1-J25/'Balance Sheet'!J50)^4-1</f>
        <v>0.24081054478100605</v>
      </c>
      <c r="K26" s="254">
        <f>-K25/AVERAGE('Balance Sheet'!G50:J50)</f>
        <v>0.16642261641524578</v>
      </c>
      <c r="L26" s="253">
        <f>(1-L25/'Balance Sheet'!L50)^4-1</f>
        <v>0.22042429541952968</v>
      </c>
      <c r="M26" s="253">
        <f>(1-M25/'Balance Sheet'!M50)^4-1</f>
        <v>0.17682719777758993</v>
      </c>
      <c r="N26" s="253">
        <f>(1-N25/AVERAGE('Balance Sheet'!M50:N50))^4-1</f>
        <v>0.33640484913476265</v>
      </c>
      <c r="O26" s="253">
        <f>(1-O25/AVERAGE('Balance Sheet'!N50:O50))^4-1</f>
        <v>0.40132986978358942</v>
      </c>
      <c r="P26" s="254">
        <f>-P25/AVERAGE('Balance Sheet'!L50:O50)</f>
        <v>0.26044058900786782</v>
      </c>
      <c r="Q26" s="253">
        <f>(1-Q25/'Balance Sheet'!Q50)^4-1</f>
        <v>0.31368084194394208</v>
      </c>
      <c r="R26" s="253">
        <f>(1-R25/'Balance Sheet'!R50)^4-1</f>
        <v>0.1917333084474302</v>
      </c>
      <c r="S26" s="253">
        <f>(1-S25/AVERAGE('Balance Sheet'!R50:S50))^4-1</f>
        <v>0.19659667508278611</v>
      </c>
      <c r="T26" s="253">
        <f>(1-T25/AVERAGE('Balance Sheet'!S50:T50))^4-1</f>
        <v>0.17034023264787601</v>
      </c>
      <c r="U26" s="254">
        <f>-U25/AVERAGE('Balance Sheet'!Q50:T50)</f>
        <v>0.17852813006739734</v>
      </c>
      <c r="V26" s="253">
        <f>(1-V25/AVERAGE('Balance Sheet'!U50:V50))^4-1</f>
        <v>0.12972909574388725</v>
      </c>
      <c r="W26" s="253">
        <f>(1-W25/AVERAGE('Balance Sheet'!V50:W50))^4-1</f>
        <v>0.12339260512137451</v>
      </c>
      <c r="X26" s="253">
        <f>(1-X25/AVERAGE('Balance Sheet'!W50:X50))^4-1</f>
        <v>0.1161125628757409</v>
      </c>
      <c r="Y26" s="253">
        <f>(1-Y25/AVERAGE('Balance Sheet'!X50:Y50))^4-1</f>
        <v>0.14389059895306722</v>
      </c>
      <c r="Z26" s="254">
        <f>-Z25/AVERAGE('Balance Sheet'!V50:Y50)</f>
        <v>0.11188693157085876</v>
      </c>
      <c r="AA26" s="253">
        <f>(1-AA25/AVERAGE('Balance Sheet'!Z50:AA50))^4-1</f>
        <v>0.10212294436179836</v>
      </c>
      <c r="AB26" s="253">
        <f>(1-AB25/AVERAGE('Balance Sheet'!AA50:AB50))^4-1</f>
        <v>9.0260034608553585E-2</v>
      </c>
      <c r="AC26" s="253">
        <f>(1-AC25/AVERAGE('Balance Sheet'!AB50:AC50))^4-1</f>
        <v>8.0593819691318291E-2</v>
      </c>
      <c r="AD26" s="253">
        <f>(1-AD25/AVERAGE('Balance Sheet'!AC50:AD50))^4-1</f>
        <v>8.8781293767514979E-2</v>
      </c>
      <c r="AE26" s="254">
        <f>-AE25/AVERAGE('Balance Sheet'!AA50:AD50)</f>
        <v>8.475514204295681E-2</v>
      </c>
      <c r="AF26" s="253">
        <f>(1-AF25/AVERAGE('Balance Sheet'!AE50:AF50))^4-1</f>
        <v>7.7879877522534002E-2</v>
      </c>
      <c r="AG26" s="253">
        <f>(1-AG25/AVERAGE('Balance Sheet'!AF50:AG50))^4-1</f>
        <v>8.5444772050146112E-2</v>
      </c>
      <c r="AH26" s="253">
        <f>(1-AH25/AVERAGE('Balance Sheet'!AG50:AH50))^4-1</f>
        <v>8.2361157909035976E-2</v>
      </c>
      <c r="AI26" s="253">
        <f>(1-AI25/AVERAGE('Balance Sheet'!AH50:AI50))^4-1</f>
        <v>6.3527825607964772E-2</v>
      </c>
      <c r="AJ26" s="254">
        <f>-AJ25/AVERAGE('Balance Sheet'!AF50:AI50)</f>
        <v>7.2176734006031876E-2</v>
      </c>
      <c r="AK26" s="253">
        <f>(1-AK25/AVERAGE('Balance Sheet'!AJ50:AK50))^4-1</f>
        <v>6.2670270353102797E-2</v>
      </c>
      <c r="AL26" s="253">
        <f>(1-AL25/AVERAGE('Balance Sheet'!AK50:AL50))^4-1</f>
        <v>7.0221048375430639E-2</v>
      </c>
      <c r="AM26" s="253">
        <f>(1-AM25/AVERAGE('Balance Sheet'!AL50:AM50))^4-1</f>
        <v>8.5316441010623523E-2</v>
      </c>
      <c r="AN26" s="253">
        <f>(1-AN25/AVERAGE('Balance Sheet'!AM50:AN50))^4-1</f>
        <v>8.0736667846089682E-2</v>
      </c>
      <c r="AO26" s="254">
        <f>-AO25/AVERAGE('Balance Sheet'!AK50:AN50)</f>
        <v>7.0977381892855754E-2</v>
      </c>
      <c r="AP26" s="253">
        <f>(1-AP25/AVERAGE('Balance Sheet'!AO50:AP50))^4-1</f>
        <v>6.021764370228766E-2</v>
      </c>
      <c r="AQ26" s="253">
        <f>(1-AQ25/AVERAGE('Balance Sheet'!AP50:AQ50))^4-1</f>
        <v>6.4702039228486496E-2</v>
      </c>
      <c r="AR26" s="253">
        <f>(1-AR25/AVERAGE('Balance Sheet'!AQ50:AR50))^4-1</f>
        <v>3.9800195187601251E-2</v>
      </c>
      <c r="AS26" s="253">
        <f>(1-AS25/AVERAGE('Balance Sheet'!AR50:AS50))^4-1</f>
        <v>4.4230907785340889E-2</v>
      </c>
      <c r="AT26" s="254">
        <f>-AT25/AVERAGE('Balance Sheet'!AP50:AS50)</f>
        <v>5.2063033498139302E-2</v>
      </c>
      <c r="AU26" s="253">
        <f>(1-AU25/AVERAGE('Balance Sheet'!AT50:AU50))^4-1</f>
        <v>3.9291245961376786E-2</v>
      </c>
      <c r="AV26" s="253">
        <f>(1-AV25/AVERAGE('Balance Sheet'!AU50:AV50))^4-1</f>
        <v>3.9531970921841797E-2</v>
      </c>
      <c r="AW26" s="253">
        <f>(1-AW25/AVERAGE('Balance Sheet'!AV50:AW50))^4-1</f>
        <v>4.5197398906810626E-2</v>
      </c>
      <c r="AX26" s="253">
        <f>(1-AX25/AVERAGE('Balance Sheet'!AW50:AX50))^4-1</f>
        <v>5.096612856067706E-2</v>
      </c>
      <c r="AY26" s="254">
        <f>-AY25/AVERAGE('Balance Sheet'!AU50:AX50)</f>
        <v>4.3016985768654377E-2</v>
      </c>
      <c r="AZ26" s="253">
        <f>(1-AZ25/AVERAGE('Balance Sheet'!AY50:AZ50))^4-1</f>
        <v>5.3987202439061521E-2</v>
      </c>
      <c r="BA26" s="253">
        <f>(1-BA25/AVERAGE('Balance Sheet'!AZ50:BA50))^4-1</f>
        <v>6.129817236933599E-2</v>
      </c>
      <c r="BB26" s="253">
        <f>(1-BB25/AVERAGE('Balance Sheet'!BA50:BB50))^4-1</f>
        <v>6.1955836288425159E-2</v>
      </c>
      <c r="BC26" s="253">
        <f>(1-BC25/AVERAGE('Balance Sheet'!BB50:BC50))^4-1</f>
        <v>6.4858100362828797E-2</v>
      </c>
      <c r="BD26" s="254">
        <f>-BD25/AVERAGE('Balance Sheet'!AZ50:BC50)</f>
        <v>5.9698712526975395E-2</v>
      </c>
      <c r="BE26" s="253">
        <f>(1-BE25/AVERAGE('Balance Sheet'!BD50:BE50))^4-1</f>
        <v>6.5766147274305409E-2</v>
      </c>
      <c r="BF26" s="253">
        <f>(1-BF25/AVERAGE('Balance Sheet'!BE50:BF50))^4-1</f>
        <v>9.1182842572373968E-2</v>
      </c>
      <c r="BG26" s="253">
        <f>(1-BG25/AVERAGE('Balance Sheet'!BF50:BG50))^4-1</f>
        <v>8.7502827421340079E-2</v>
      </c>
      <c r="BH26" s="253">
        <f>(1-BH25/AVERAGE('Balance Sheet'!BG50:BH50))^4-1</f>
        <v>7.5367218115337531E-2</v>
      </c>
      <c r="BI26" s="254">
        <f>-BI25/AVERAGE('Balance Sheet'!BE50:BH50)</f>
        <v>7.8056894393858961E-2</v>
      </c>
      <c r="BJ26" s="253">
        <f>(1-BJ25/AVERAGE('Balance Sheet'!BI50:BJ50))^4-1</f>
        <v>6.3051054623825875E-2</v>
      </c>
      <c r="BK26" s="253">
        <f>(1-BK25/AVERAGE('Balance Sheet'!BJ50:BK50))^4-1</f>
        <v>6.239413889357448E-2</v>
      </c>
      <c r="BL26" s="253">
        <f>(1-BL25/AVERAGE('Balance Sheet'!BK50:BL50))^4-1</f>
        <v>6.1289796806092145E-2</v>
      </c>
      <c r="BM26" s="253">
        <f>(1-BM25/AVERAGE('Balance Sheet'!BL50:BM50))^4-1</f>
        <v>6.4948881597162611E-2</v>
      </c>
      <c r="BN26" s="254">
        <f>-BN25/AVERAGE('Balance Sheet'!BJ50:BM50)</f>
        <v>6.2291286897981211E-2</v>
      </c>
      <c r="BO26" s="253">
        <f>(1-BO25/AVERAGE('Balance Sheet'!BN50:BO50))^4-1</f>
        <v>5.9735976766840393E-2</v>
      </c>
      <c r="BP26" s="253">
        <f>(1-BP25/AVERAGE('Balance Sheet'!BO50:BP50))^4-1</f>
        <v>5.1097860752372437E-2</v>
      </c>
      <c r="BQ26" s="253">
        <f>(1-BQ25/AVERAGE('Balance Sheet'!BP50:BQ50))^4-1</f>
        <v>5.2062408059937892E-2</v>
      </c>
      <c r="BR26" s="253">
        <f>(1-BR25/AVERAGE('Balance Sheet'!BQ50:BR50))^4-1</f>
        <v>4.1091596247837758E-2</v>
      </c>
      <c r="BS26" s="254">
        <f>-BS25/AVERAGE('Balance Sheet'!BO50:BR50)</f>
        <v>5.2201257371854527E-2</v>
      </c>
      <c r="BT26" s="253">
        <f>(1-BT25/AVERAGE('Balance Sheet'!BS50:BT50))^4-1</f>
        <v>4.9609029433363538E-2</v>
      </c>
      <c r="BU26" s="253">
        <f>(1-BU25/AVERAGE('Balance Sheet'!BT50:BU50))^4-1</f>
        <v>5.1078586322136132E-2</v>
      </c>
      <c r="BV26" s="253">
        <f>(1-BV25/AVERAGE('Balance Sheet'!BU50:BV50))^4-1</f>
        <v>7.7217939828035931E-2</v>
      </c>
      <c r="BW26" s="253">
        <f>(1-BW25/AVERAGE('Balance Sheet'!BV50:BW50))^4-1</f>
        <v>6.6063080194832757E-2</v>
      </c>
      <c r="BX26" s="254">
        <f>-BX25/AVERAGE('Balance Sheet'!BT50:BW50)</f>
        <v>6.093910017615789E-2</v>
      </c>
      <c r="BY26" s="253">
        <f>(1-BY25/AVERAGE('Balance Sheet'!BX50:BY50))^4-1</f>
        <v>6.8625620481114646E-2</v>
      </c>
      <c r="BZ26" s="253">
        <f>(1-BZ25/AVERAGE('Balance Sheet'!BY50:BZ50))^4-1</f>
        <v>6.0622734407001611E-2</v>
      </c>
      <c r="CA26" s="253">
        <f>(1-CA25/AVERAGE('Balance Sheet'!BZ50:CA50))^4-1</f>
        <v>6.988856452086778E-2</v>
      </c>
      <c r="CB26" s="253">
        <f>(1-CB25/AVERAGE('Balance Sheet'!CA50:CB50))^4-1</f>
        <v>6.6318503299104936E-2</v>
      </c>
      <c r="CC26" s="254">
        <f>-CC25/AVERAGE('Balance Sheet'!BY50:CB50)</f>
        <v>6.412363759617086E-2</v>
      </c>
      <c r="CD26" s="253">
        <f>(1-CD25/AVERAGE('Balance Sheet'!CC50:CD50))^4-1</f>
        <v>4.3502325210904136E-2</v>
      </c>
      <c r="CE26" s="253">
        <f>(1-CE25/AVERAGE('Balance Sheet'!CD50:CE50))^4-1</f>
        <v>5.2514926645586879E-2</v>
      </c>
      <c r="CF26" s="253">
        <f>(1-CF25/AVERAGE('Balance Sheet'!CE50:CF50))^4-1</f>
        <v>4.5630380678074234E-2</v>
      </c>
      <c r="CG26" s="253">
        <f>(1-CG25/AVERAGE('Balance Sheet'!CF50:CG50))^4-1</f>
        <v>3.50795747289121E-2</v>
      </c>
      <c r="CH26" s="254">
        <f>-CH25/AVERAGE('Balance Sheet'!CD50:CG50)</f>
        <v>4.3222322553866412E-2</v>
      </c>
      <c r="CI26" s="253">
        <f>(1-CI25/AVERAGE('Balance Sheet'!CH50:CI50))^4-1</f>
        <v>6.2729706311728251E-2</v>
      </c>
      <c r="CJ26" s="253">
        <f>(1-CJ25/AVERAGE('Balance Sheet'!CI50:CJ50))^4-1</f>
        <v>5.5537861755068141E-2</v>
      </c>
      <c r="CK26" s="253">
        <f>(1-CK25/AVERAGE('Balance Sheet'!CJ50:CK50))^4-1</f>
        <v>7.4470221168180695E-2</v>
      </c>
      <c r="CL26" s="253">
        <f>(1-CL25/AVERAGE('Balance Sheet'!CK50:CL50))^4-1</f>
        <v>9.2397662001304948E-2</v>
      </c>
      <c r="CM26" s="254">
        <f>-CM25/AVERAGE('Balance Sheet'!CI50:CL50)</f>
        <v>6.7919980460745363E-2</v>
      </c>
      <c r="CN26" s="253">
        <f>(1-CN25/AVERAGE('Balance Sheet'!CM50:CN50))^4-1</f>
        <v>9.5347637559566545E-2</v>
      </c>
      <c r="CO26" s="253">
        <f>(1-CO25/AVERAGE('Balance Sheet'!CN50:CO50))^4-1</f>
        <v>0.11001776915244843</v>
      </c>
      <c r="CP26" s="253">
        <f>(1-CP25/AVERAGE('Balance Sheet'!CO50:CP50))^4-1</f>
        <v>0.11908937399348019</v>
      </c>
      <c r="CQ26" s="253">
        <f>(1-CQ25/AVERAGE('Balance Sheet'!CP50:CQ50))^4-1</f>
        <v>0.16680104303732768</v>
      </c>
      <c r="CR26" s="254">
        <f>-CR25/AVERAGE('Balance Sheet'!CN50:CQ50)</f>
        <v>0.11500481727144865</v>
      </c>
      <c r="CS26" s="253">
        <f>(1-CS25/AVERAGE('Balance Sheet'!CR50:CS50))^4-1</f>
        <v>0.12160394849041256</v>
      </c>
      <c r="CT26" s="253">
        <f>(1-CT25/AVERAGE('Balance Sheet'!CS50:CT50))^4-1</f>
        <v>0.12529839336953508</v>
      </c>
      <c r="CU26" s="253">
        <f>(1-CU25/AVERAGE('Balance Sheet'!CT50:CU50))^4-1</f>
        <v>0.10535499284884198</v>
      </c>
      <c r="CV26" s="253">
        <f>(1-CV25/AVERAGE('Balance Sheet'!CU50:CV50))^4-1</f>
        <v>0.11011658614354114</v>
      </c>
      <c r="CW26" s="254">
        <f>-CW25/AVERAGE('Balance Sheet'!CS50:CV50)</f>
        <v>0.11044755068606227</v>
      </c>
      <c r="CX26" s="253">
        <f>(1-CX25/AVERAGE('Balance Sheet'!CW50:CX50))^4-1</f>
        <v>0.11776188234753815</v>
      </c>
      <c r="CY26" s="253">
        <f>(1-CY25/AVERAGE('Balance Sheet'!CX50:CY50))^4-1</f>
        <v>0.11049727394433595</v>
      </c>
      <c r="CZ26" s="253">
        <f>(1-CZ25/AVERAGE('Balance Sheet'!CY50:CZ50))^4-1</f>
        <v>9.9120582868338136E-2</v>
      </c>
      <c r="DA26" s="253">
        <f>(1-DA25/AVERAGE('Balance Sheet'!CZ50:DA50))^4-1</f>
        <v>0.11261643191941895</v>
      </c>
      <c r="DB26" s="254">
        <f>-DB25/AVERAGE('Balance Sheet'!CX50:DA50)</f>
        <v>0.1035068450747107</v>
      </c>
      <c r="DC26" s="253">
        <f>(1-DC25/AVERAGE('Balance Sheet'!DB50:DC50))^4-1</f>
        <v>0.10302709852985537</v>
      </c>
      <c r="DD26" s="253">
        <f>(1-DD25/AVERAGE('Balance Sheet'!DC50:DD50))^4-1</f>
        <v>0.11666546366652875</v>
      </c>
      <c r="DE26" s="253">
        <f>(1-DE25/AVERAGE('Balance Sheet'!DD50:DE50))^4-1</f>
        <v>0.10668343154883497</v>
      </c>
      <c r="DF26" s="253">
        <f>(1-DF25/AVERAGE('Balance Sheet'!DE50:DF50))^4-1</f>
        <v>9.9695683434069871E-2</v>
      </c>
      <c r="DG26" s="254">
        <f>-DG25/AVERAGE('Balance Sheet'!DC50:DF50)</f>
        <v>9.7508779802065473E-2</v>
      </c>
      <c r="DH26" s="253">
        <f>(1-DH25/AVERAGE('Balance Sheet'!DG50:DH50))^4-1</f>
        <v>0.10438448226498465</v>
      </c>
      <c r="DI26" s="253">
        <f>(1-DI25/AVERAGE('Balance Sheet'!DH50:DI50))^4-1</f>
        <v>0.12238385931364748</v>
      </c>
      <c r="DJ26" s="253">
        <f>(1-DJ25/AVERAGE('Balance Sheet'!DI50:DJ50))^4-1</f>
        <v>0.11166437429594489</v>
      </c>
      <c r="DK26" s="253">
        <f>(1-DK25/AVERAGE('Balance Sheet'!DJ50:DK50))^4-1</f>
        <v>0.10763666651409398</v>
      </c>
      <c r="DL26" s="254">
        <f>-DL25/AVERAGE('Balance Sheet'!DH50:DK50)</f>
        <v>0.10682230253881167</v>
      </c>
      <c r="DM26" s="253">
        <f>(1-DM25/AVERAGE('Balance Sheet'!DL50:DM50))^4-1</f>
        <v>0.11085902005783677</v>
      </c>
      <c r="DN26" s="253">
        <f>(1-DN25/AVERAGE('Balance Sheet'!DM50:DN50))^4-1</f>
        <v>0.11085902005783677</v>
      </c>
      <c r="DO26" s="253">
        <f>(1-DO25/AVERAGE('Balance Sheet'!DN50:DO50))^4-1</f>
        <v>0.11085902005783677</v>
      </c>
      <c r="DP26" s="253">
        <f>(1-DP25/AVERAGE('Balance Sheet'!DO50:DP50))^4-1</f>
        <v>0.11085902005783677</v>
      </c>
      <c r="DQ26" s="254">
        <f>-DQ25/AVERAGE('Balance Sheet'!DM50:DP50)</f>
        <v>0.10583061321875367</v>
      </c>
      <c r="DR26" s="253">
        <f>(1-DR25/AVERAGE('Balance Sheet'!DQ50:DR50))^4-1</f>
        <v>0.11085902005783677</v>
      </c>
      <c r="DS26" s="253">
        <f>(1-DS25/AVERAGE('Balance Sheet'!DR50:DS50))^4-1</f>
        <v>0.11085902005783677</v>
      </c>
      <c r="DT26" s="253">
        <f>(1-DT25/AVERAGE('Balance Sheet'!DS50:DT50))^4-1</f>
        <v>0.11085902005783677</v>
      </c>
      <c r="DU26" s="253">
        <f>(1-DU25/AVERAGE('Balance Sheet'!DT50:DU50))^4-1</f>
        <v>0.11085902005783677</v>
      </c>
      <c r="DV26" s="254">
        <f>-DV25/AVERAGE('Balance Sheet'!DR50:DU50)</f>
        <v>0.1058652637896295</v>
      </c>
      <c r="DW26" s="253">
        <f>(1-DW25/AVERAGE('Balance Sheet'!DV50:DW50))^4-1</f>
        <v>0.11085902005783677</v>
      </c>
      <c r="DX26" s="253">
        <f>(1-DX25/AVERAGE('Balance Sheet'!DW50:DX50))^4-1</f>
        <v>0.11085902005783677</v>
      </c>
      <c r="DY26" s="253">
        <f>(1-DY25/AVERAGE('Balance Sheet'!DX50:DY50))^4-1</f>
        <v>0.11085902005783677</v>
      </c>
      <c r="DZ26" s="253">
        <f>(1-DZ25/AVERAGE('Balance Sheet'!DY50:DZ50))^4-1</f>
        <v>0.11085902005783677</v>
      </c>
      <c r="EA26" s="254">
        <f>-EA25/AVERAGE('Balance Sheet'!DW50:DZ50)</f>
        <v>0.10589663146100571</v>
      </c>
      <c r="EB26" s="253">
        <f>(1-EB25/AVERAGE('Balance Sheet'!EA50:EB50))^4-1</f>
        <v>0.11085902005783677</v>
      </c>
      <c r="EC26" s="253">
        <f>(1-EC25/AVERAGE('Balance Sheet'!EB50:EC50))^4-1</f>
        <v>0.11085902005783677</v>
      </c>
      <c r="ED26" s="253">
        <f>(1-ED25/AVERAGE('Balance Sheet'!EC50:ED50))^4-1</f>
        <v>0.11085902005783677</v>
      </c>
      <c r="EE26" s="253">
        <f>(1-EE25/AVERAGE('Balance Sheet'!ED50:EE50))^4-1</f>
        <v>0.11085902005783677</v>
      </c>
      <c r="EF26" s="254">
        <f>-EF25/AVERAGE('Balance Sheet'!EB50:EE50)</f>
        <v>0.10592516167911009</v>
      </c>
      <c r="EJ26" s="66"/>
      <c r="EK26" s="66"/>
      <c r="EL26" s="66"/>
    </row>
    <row r="27" spans="1:171" ht="12.75" customHeight="1" outlineLevel="1">
      <c r="A27" s="71" t="s">
        <v>690</v>
      </c>
      <c r="B27" s="246"/>
      <c r="C27" s="246"/>
      <c r="D27" s="246"/>
      <c r="E27" s="246"/>
      <c r="F27" s="239">
        <f>SUM(B27:E27)</f>
        <v>0</v>
      </c>
      <c r="G27" s="246">
        <v>0</v>
      </c>
      <c r="H27" s="246">
        <v>0</v>
      </c>
      <c r="I27" s="246">
        <v>0</v>
      </c>
      <c r="J27" s="246">
        <v>0</v>
      </c>
      <c r="K27" s="239">
        <f>SUM(G27:J27)</f>
        <v>0</v>
      </c>
      <c r="L27" s="246">
        <v>0</v>
      </c>
      <c r="M27" s="246">
        <v>0</v>
      </c>
      <c r="N27" s="246">
        <v>0</v>
      </c>
      <c r="O27" s="246">
        <v>0</v>
      </c>
      <c r="P27" s="239">
        <f>SUM(L27:O27)</f>
        <v>0</v>
      </c>
      <c r="Q27" s="246">
        <f>(27928-8864)/3</f>
        <v>6354.666666666667</v>
      </c>
      <c r="R27" s="246">
        <f>(27928-8864)/3</f>
        <v>6354.666666666667</v>
      </c>
      <c r="S27" s="246">
        <f>(27928-8864)/3</f>
        <v>6354.666666666667</v>
      </c>
      <c r="T27" s="246">
        <v>8864</v>
      </c>
      <c r="U27" s="239">
        <f>SUM(Q27:T27)</f>
        <v>27928</v>
      </c>
      <c r="V27" s="246">
        <f>45419-X27-W27</f>
        <v>7546</v>
      </c>
      <c r="W27" s="246">
        <v>9774</v>
      </c>
      <c r="X27" s="246">
        <v>28099</v>
      </c>
      <c r="Y27" s="246">
        <v>36134</v>
      </c>
      <c r="Z27" s="239">
        <f>SUM(V27:Y27)</f>
        <v>81553</v>
      </c>
      <c r="AA27" s="246">
        <v>25669</v>
      </c>
      <c r="AB27" s="246">
        <v>8368</v>
      </c>
      <c r="AC27" s="246">
        <v>17749</v>
      </c>
      <c r="AD27" s="246">
        <v>30960</v>
      </c>
      <c r="AE27" s="239">
        <f>SUM(AA27:AD27)</f>
        <v>82746</v>
      </c>
      <c r="AF27" s="246">
        <f>26726</f>
        <v>26726</v>
      </c>
      <c r="AG27" s="246">
        <v>38710</v>
      </c>
      <c r="AH27" s="246">
        <v>41714</v>
      </c>
      <c r="AI27" s="246">
        <v>41788</v>
      </c>
      <c r="AJ27" s="239">
        <f>SUM(AF27:AI27)</f>
        <v>148938</v>
      </c>
      <c r="AK27" s="246">
        <v>22649</v>
      </c>
      <c r="AL27" s="246">
        <f>46605-AK27</f>
        <v>23956</v>
      </c>
      <c r="AM27" s="246">
        <f>90051-AK27-AL27</f>
        <v>43446</v>
      </c>
      <c r="AN27" s="246">
        <f>121336-AK27-AL27-AM27</f>
        <v>31285</v>
      </c>
      <c r="AO27" s="239">
        <f>SUM(AK27:AN27)</f>
        <v>121336</v>
      </c>
      <c r="AP27" s="246">
        <f>42089-AQ27</f>
        <v>17610</v>
      </c>
      <c r="AQ27" s="246">
        <v>24479</v>
      </c>
      <c r="AR27" s="246">
        <f>3390</f>
        <v>3390</v>
      </c>
      <c r="AS27" s="246">
        <f>41250-AP27-AQ27-AR27</f>
        <v>-4229</v>
      </c>
      <c r="AT27" s="239">
        <f>SUM(AP27:AS27)</f>
        <v>41250</v>
      </c>
      <c r="AU27" s="246">
        <f>21752+11688-AV27</f>
        <v>16973</v>
      </c>
      <c r="AV27" s="246">
        <f>9826+6641</f>
        <v>16467</v>
      </c>
      <c r="AW27" s="246">
        <f>7234+5976</f>
        <v>13210</v>
      </c>
      <c r="AX27" s="246">
        <f>37487+25129-AU27-AV27-AW27</f>
        <v>15966</v>
      </c>
      <c r="AY27" s="239">
        <f>SUM(AU27:AX27)</f>
        <v>62616</v>
      </c>
      <c r="AZ27" s="246">
        <f>7112+8784</f>
        <v>15896</v>
      </c>
      <c r="BA27" s="246">
        <f>5703+7605</f>
        <v>13308</v>
      </c>
      <c r="BB27" s="246">
        <f>5905+8901</f>
        <v>14806</v>
      </c>
      <c r="BC27" s="246">
        <f>20945+34376-AZ27-BA27-BB27</f>
        <v>11311</v>
      </c>
      <c r="BD27" s="239">
        <f>SUM(AZ27:BC27)</f>
        <v>55321</v>
      </c>
      <c r="BE27" s="246">
        <f>2363+10366</f>
        <v>12729</v>
      </c>
      <c r="BF27" s="246">
        <f>3311+7400</f>
        <v>10711</v>
      </c>
      <c r="BG27" s="246">
        <f>2107+7199</f>
        <v>9306</v>
      </c>
      <c r="BH27" s="246">
        <f>9928+31214-BE27-BF27-BG27</f>
        <v>8396</v>
      </c>
      <c r="BI27" s="239">
        <f>SUM(BE27:BH27)</f>
        <v>41142</v>
      </c>
      <c r="BJ27" s="246">
        <f>2+4195</f>
        <v>4197</v>
      </c>
      <c r="BK27" s="246">
        <f>-1+5319</f>
        <v>5318</v>
      </c>
      <c r="BL27" s="246">
        <f>0+5832</f>
        <v>5832</v>
      </c>
      <c r="BM27" s="246">
        <f>0+19129-BJ27-BK27-BL27</f>
        <v>3782</v>
      </c>
      <c r="BN27" s="239">
        <f>SUM(BJ27:BM27)</f>
        <v>19129</v>
      </c>
      <c r="BO27" s="246">
        <f>4394</f>
        <v>4394</v>
      </c>
      <c r="BP27" s="246">
        <f>3870</f>
        <v>3870</v>
      </c>
      <c r="BQ27" s="246">
        <v>3813</v>
      </c>
      <c r="BR27" s="246">
        <f>0+16951-BO27-BP27-BQ27</f>
        <v>4874</v>
      </c>
      <c r="BS27" s="239">
        <f>SUM(BO27:BR27)</f>
        <v>16951</v>
      </c>
      <c r="BT27" s="246">
        <v>2419</v>
      </c>
      <c r="BU27" s="246">
        <v>4406</v>
      </c>
      <c r="BV27" s="246">
        <v>7053</v>
      </c>
      <c r="BW27" s="246">
        <f>18368-BT27-BU27-BV27</f>
        <v>4490</v>
      </c>
      <c r="BX27" s="239">
        <f>SUM(BT27:BW27)</f>
        <v>18368</v>
      </c>
      <c r="BY27" s="246">
        <v>3706</v>
      </c>
      <c r="BZ27" s="246">
        <v>3491</v>
      </c>
      <c r="CA27" s="246">
        <v>4456</v>
      </c>
      <c r="CB27" s="246">
        <f>13952-BY27-BZ27-CA27</f>
        <v>2299</v>
      </c>
      <c r="CC27" s="239">
        <f>SUM(BY27:CB27)</f>
        <v>13952</v>
      </c>
      <c r="CD27" s="246">
        <v>3636</v>
      </c>
      <c r="CE27" s="246">
        <v>7983</v>
      </c>
      <c r="CF27" s="246">
        <v>3275</v>
      </c>
      <c r="CG27" s="246">
        <f>16893-CD27-CE27-CF27</f>
        <v>1999</v>
      </c>
      <c r="CH27" s="239">
        <f>SUM(CD27:CG27)</f>
        <v>16893</v>
      </c>
      <c r="CI27" s="246">
        <v>1331</v>
      </c>
      <c r="CJ27" s="246">
        <v>3302</v>
      </c>
      <c r="CK27" s="246">
        <v>2205</v>
      </c>
      <c r="CL27" s="246">
        <f>9604-CI27-CJ27-CK27</f>
        <v>2766</v>
      </c>
      <c r="CM27" s="239">
        <f>SUM(CI27:CL27)</f>
        <v>9604</v>
      </c>
      <c r="CN27" s="246">
        <v>8812</v>
      </c>
      <c r="CO27" s="246">
        <v>6919</v>
      </c>
      <c r="CP27" s="246">
        <v>3596</v>
      </c>
      <c r="CQ27" s="246">
        <f>25758-CN27-CO27-CP27</f>
        <v>6431</v>
      </c>
      <c r="CR27" s="239">
        <f>SUM(CN27:CQ27)</f>
        <v>25758</v>
      </c>
      <c r="CS27" s="246">
        <v>2892</v>
      </c>
      <c r="CT27" s="246">
        <v>3001</v>
      </c>
      <c r="CU27" s="246">
        <v>4105</v>
      </c>
      <c r="CV27" s="246">
        <f>12373-CS27-CT27-CU27</f>
        <v>2375</v>
      </c>
      <c r="CW27" s="239">
        <f>SUM(CS27:CV27)</f>
        <v>12373</v>
      </c>
      <c r="CX27" s="246">
        <v>3748</v>
      </c>
      <c r="CY27" s="246">
        <v>4081</v>
      </c>
      <c r="CZ27" s="246">
        <v>3070</v>
      </c>
      <c r="DA27" s="246">
        <f>14546-CX27-CY27-CZ27</f>
        <v>3647</v>
      </c>
      <c r="DB27" s="239">
        <f>SUM(CX27:DA27)</f>
        <v>14546</v>
      </c>
      <c r="DC27" s="246">
        <v>3739</v>
      </c>
      <c r="DD27" s="246">
        <v>3606</v>
      </c>
      <c r="DE27" s="246">
        <v>8715</v>
      </c>
      <c r="DF27" s="246">
        <f>22827-DC27-DD27-DE27</f>
        <v>6767</v>
      </c>
      <c r="DG27" s="239">
        <f>SUM(DC27:DF27)</f>
        <v>22827</v>
      </c>
      <c r="DH27" s="246">
        <v>2745</v>
      </c>
      <c r="DI27" s="246">
        <v>3687</v>
      </c>
      <c r="DJ27" s="246">
        <f>AVERAGE('Balance Sheet'!DI9:DJ9)*0.5%</f>
        <v>9440.8808467299077</v>
      </c>
      <c r="DK27" s="246">
        <f>AVERAGE('Balance Sheet'!DJ9:DK9)*0.5%</f>
        <v>11989.125384098092</v>
      </c>
      <c r="DL27" s="239">
        <f>SUM(DH27:DK27)</f>
        <v>27862.006230827999</v>
      </c>
      <c r="DM27" s="246">
        <f>AVERAGE('Balance Sheet'!DL9:DM9)*0.25%</f>
        <v>6730.9949251102644</v>
      </c>
      <c r="DN27" s="246">
        <f>AVERAGE('Balance Sheet'!DM9:DN9)*0.25%</f>
        <v>7524.377840455265</v>
      </c>
      <c r="DO27" s="246">
        <f>AVERAGE('Balance Sheet'!DN9:DO9)*0.25%</f>
        <v>8649.6182753086978</v>
      </c>
      <c r="DP27" s="246">
        <f>AVERAGE('Balance Sheet'!DO9:DP9)*0.25%</f>
        <v>9697.1862054719295</v>
      </c>
      <c r="DQ27" s="239">
        <f>SUM(DM27:DP27)</f>
        <v>32602.17724634616</v>
      </c>
      <c r="DR27" s="246">
        <f>AVERAGE('Balance Sheet'!DQ9:DR9)*0.25%</f>
        <v>10731.779253061786</v>
      </c>
      <c r="DS27" s="246">
        <f>AVERAGE('Balance Sheet'!DR9:DS9)*0.25%</f>
        <v>11762.051320473585</v>
      </c>
      <c r="DT27" s="246">
        <f>AVERAGE('Balance Sheet'!DS9:DT9)*0.25%</f>
        <v>12538.46372854792</v>
      </c>
      <c r="DU27" s="246">
        <f>AVERAGE('Balance Sheet'!DT9:DU9)*0.25%</f>
        <v>13367.255985854068</v>
      </c>
      <c r="DV27" s="239">
        <f>SUM(DR27:DU27)</f>
        <v>48399.55028793736</v>
      </c>
      <c r="DW27" s="246">
        <f>AVERAGE('Balance Sheet'!DV9:DW9)*0.25%</f>
        <v>14083.799225511693</v>
      </c>
      <c r="DX27" s="246">
        <f>AVERAGE('Balance Sheet'!DW9:DX9)*0.25%</f>
        <v>14543.498794658883</v>
      </c>
      <c r="DY27" s="246">
        <f>AVERAGE('Balance Sheet'!DX9:DY9)*0.25%</f>
        <v>14740.025645781734</v>
      </c>
      <c r="DZ27" s="246">
        <f>AVERAGE('Balance Sheet'!DY9:DZ9)*0.25%</f>
        <v>14637.167798528699</v>
      </c>
      <c r="EA27" s="239">
        <f>SUM(DW27:DZ27)</f>
        <v>58004.491464481005</v>
      </c>
      <c r="EB27" s="246">
        <f>AVERAGE('Balance Sheet'!EA9:EB9)*0.25%</f>
        <v>14441.874784536096</v>
      </c>
      <c r="EC27" s="246">
        <f>AVERAGE('Balance Sheet'!EB9:EC9)*0.25%</f>
        <v>14360.511961795006</v>
      </c>
      <c r="ED27" s="246">
        <f>AVERAGE('Balance Sheet'!EC9:ED9)*0.25%</f>
        <v>14445.730082486039</v>
      </c>
      <c r="EE27" s="246">
        <f>AVERAGE('Balance Sheet'!ED9:EE9)*0.25%</f>
        <v>14413.139392016054</v>
      </c>
      <c r="EF27" s="239">
        <f>SUM(EB27:EE27)</f>
        <v>57661.256220833202</v>
      </c>
    </row>
    <row r="28" spans="1:171" ht="12.75" customHeight="1">
      <c r="A28" s="71" t="s">
        <v>736</v>
      </c>
      <c r="B28" s="258">
        <f>B29+B30</f>
        <v>0</v>
      </c>
      <c r="C28" s="258">
        <f>C29+C30</f>
        <v>0</v>
      </c>
      <c r="D28" s="258">
        <f>D29+D30</f>
        <v>0</v>
      </c>
      <c r="E28" s="258">
        <f>E29+E30</f>
        <v>0</v>
      </c>
      <c r="F28" s="239">
        <f>SUM(B28:E28)</f>
        <v>0</v>
      </c>
      <c r="G28" s="258">
        <f>G29+G30</f>
        <v>0</v>
      </c>
      <c r="H28" s="258">
        <f>H29+H30</f>
        <v>0</v>
      </c>
      <c r="I28" s="258">
        <f>I29+I30</f>
        <v>0</v>
      </c>
      <c r="J28" s="258">
        <f>J29+J30</f>
        <v>0</v>
      </c>
      <c r="K28" s="239">
        <f>SUM(G28:J28)</f>
        <v>0</v>
      </c>
      <c r="L28" s="258">
        <f>L29+L30</f>
        <v>0</v>
      </c>
      <c r="M28" s="258">
        <f>M29+M30</f>
        <v>0</v>
      </c>
      <c r="N28" s="258">
        <f>N29+N30</f>
        <v>0</v>
      </c>
      <c r="O28" s="258">
        <f>O29+O30</f>
        <v>0</v>
      </c>
      <c r="P28" s="239">
        <f>SUM(L28:O28)</f>
        <v>0</v>
      </c>
      <c r="Q28" s="258">
        <f>Q29+Q30</f>
        <v>0</v>
      </c>
      <c r="R28" s="258">
        <f>R29+R30</f>
        <v>0</v>
      </c>
      <c r="S28" s="258">
        <f>S29+S30</f>
        <v>0</v>
      </c>
      <c r="T28" s="258">
        <f>T29+T30</f>
        <v>0</v>
      </c>
      <c r="U28" s="239">
        <f>SUM(Q28:T28)</f>
        <v>0</v>
      </c>
      <c r="V28" s="258">
        <f>V29+V30</f>
        <v>0</v>
      </c>
      <c r="W28" s="258">
        <f>W29+W30</f>
        <v>0</v>
      </c>
      <c r="X28" s="258">
        <f>X29+X30</f>
        <v>0</v>
      </c>
      <c r="Y28" s="258">
        <f>Y29+Y30</f>
        <v>0</v>
      </c>
      <c r="Z28" s="239">
        <f>SUM(V28:Y28)</f>
        <v>0</v>
      </c>
      <c r="AA28" s="258">
        <f>AA29+AA30</f>
        <v>0</v>
      </c>
      <c r="AB28" s="258">
        <f>AB29+AB30</f>
        <v>0</v>
      </c>
      <c r="AC28" s="258">
        <f>AC29+AC30</f>
        <v>80632</v>
      </c>
      <c r="AD28" s="258">
        <f>AD29+AD30</f>
        <v>0</v>
      </c>
      <c r="AE28" s="239">
        <f>SUM(AA28:AD28)</f>
        <v>80632</v>
      </c>
      <c r="AF28" s="258">
        <f>AF29+AF30</f>
        <v>0</v>
      </c>
      <c r="AG28" s="258">
        <f>AG29+AG30</f>
        <v>0</v>
      </c>
      <c r="AH28" s="258">
        <f>AH29+AH30</f>
        <v>0</v>
      </c>
      <c r="AI28" s="258">
        <f>AI29+AI30</f>
        <v>0</v>
      </c>
      <c r="AJ28" s="239">
        <f>SUM(AF28:AI28)</f>
        <v>0</v>
      </c>
      <c r="AK28" s="258">
        <f>AK29+AK30</f>
        <v>0</v>
      </c>
      <c r="AL28" s="258">
        <f>AL29+AL30</f>
        <v>0</v>
      </c>
      <c r="AM28" s="258">
        <f>AM29+AM30</f>
        <v>0</v>
      </c>
      <c r="AN28" s="258">
        <f>AN29+AN30</f>
        <v>0</v>
      </c>
      <c r="AO28" s="239">
        <f>SUM(AK28:AN28)</f>
        <v>0</v>
      </c>
      <c r="AP28" s="258">
        <f>AP29+AP30</f>
        <v>0</v>
      </c>
      <c r="AQ28" s="258">
        <f>AQ29+AQ30</f>
        <v>0</v>
      </c>
      <c r="AR28" s="258">
        <f>AR29+AR30</f>
        <v>0</v>
      </c>
      <c r="AS28" s="258">
        <f>AS29+AS30</f>
        <v>0</v>
      </c>
      <c r="AT28" s="239">
        <f>SUM(AP28:AS28)</f>
        <v>0</v>
      </c>
      <c r="AU28" s="258">
        <f>AU29+AU30</f>
        <v>0</v>
      </c>
      <c r="AV28" s="258">
        <f>AV29+AV30</f>
        <v>0</v>
      </c>
      <c r="AW28" s="258">
        <f>AW29+AW30</f>
        <v>0</v>
      </c>
      <c r="AX28" s="258">
        <f>AX29+AX30</f>
        <v>0</v>
      </c>
      <c r="AY28" s="239">
        <f>SUM(AU28:AX28)</f>
        <v>0</v>
      </c>
      <c r="AZ28" s="258">
        <f>AZ29+AZ30</f>
        <v>0</v>
      </c>
      <c r="BA28" s="258">
        <f>BA29+BA30</f>
        <v>0</v>
      </c>
      <c r="BB28" s="258">
        <f>BB29+BB30</f>
        <v>0</v>
      </c>
      <c r="BC28" s="258">
        <f>BC29+BC30</f>
        <v>0</v>
      </c>
      <c r="BD28" s="239">
        <f>SUM(AZ28:BC28)</f>
        <v>0</v>
      </c>
      <c r="BE28" s="258">
        <f>BE29+BE30</f>
        <v>0</v>
      </c>
      <c r="BF28" s="258">
        <f>BF29+BF30</f>
        <v>0</v>
      </c>
      <c r="BG28" s="258">
        <f>BG29+BG30</f>
        <v>0</v>
      </c>
      <c r="BH28" s="258">
        <f>BH29+BH30</f>
        <v>0</v>
      </c>
      <c r="BI28" s="239">
        <f>SUM(BE28:BH28)</f>
        <v>0</v>
      </c>
      <c r="BJ28" s="258">
        <f>BJ29+BJ30</f>
        <v>0</v>
      </c>
      <c r="BK28" s="258">
        <f>BK29+BK30</f>
        <v>0</v>
      </c>
      <c r="BL28" s="258">
        <f>BL29+BL30</f>
        <v>0</v>
      </c>
      <c r="BM28" s="258">
        <f>BM29+BM30</f>
        <v>0</v>
      </c>
      <c r="BN28" s="239">
        <f>SUM(BJ28:BM28)</f>
        <v>0</v>
      </c>
      <c r="BO28" s="258">
        <f>BO29+BO30</f>
        <v>0</v>
      </c>
      <c r="BP28" s="258">
        <f>BP29+BP30</f>
        <v>0</v>
      </c>
      <c r="BQ28" s="258">
        <f>BQ29+BQ30</f>
        <v>0</v>
      </c>
      <c r="BR28" s="258">
        <f>BR29+BR30</f>
        <v>0</v>
      </c>
      <c r="BS28" s="239">
        <f>SUM(BO28:BR28)</f>
        <v>0</v>
      </c>
      <c r="BT28" s="258">
        <f>BT29+BT30</f>
        <v>0</v>
      </c>
      <c r="BU28" s="258">
        <f>BU29+BU30</f>
        <v>0</v>
      </c>
      <c r="BV28" s="258">
        <f>BV29+BV30</f>
        <v>0</v>
      </c>
      <c r="BW28" s="258">
        <f>BW29+BW30</f>
        <v>20000</v>
      </c>
      <c r="BX28" s="239">
        <f t="shared" ref="BX28:BX39" si="54">SUM(BT28:BW28)</f>
        <v>20000</v>
      </c>
      <c r="BY28" s="258">
        <f>BY29+BY30</f>
        <v>0</v>
      </c>
      <c r="BZ28" s="258">
        <f>BZ29+BZ30</f>
        <v>0</v>
      </c>
      <c r="CA28" s="258">
        <f>CA29+CA30</f>
        <v>0</v>
      </c>
      <c r="CB28" s="258">
        <f>CB29+CB30</f>
        <v>0</v>
      </c>
      <c r="CC28" s="239">
        <f t="shared" ref="CC28:CC39" si="55">SUM(BY28:CB28)</f>
        <v>0</v>
      </c>
      <c r="CD28" s="258">
        <f>CD29+CD30</f>
        <v>0</v>
      </c>
      <c r="CE28" s="258">
        <f>CE29+CE30</f>
        <v>0</v>
      </c>
      <c r="CF28" s="258">
        <f>CF29+CF30</f>
        <v>1153000</v>
      </c>
      <c r="CG28" s="258">
        <f>CG29+CG30</f>
        <v>0</v>
      </c>
      <c r="CH28" s="239">
        <f t="shared" ref="CH28:CH39" si="56">SUM(CD28:CG28)</f>
        <v>1153000</v>
      </c>
      <c r="CI28" s="258">
        <f>CI29+CI30</f>
        <v>0</v>
      </c>
      <c r="CJ28" s="258">
        <f>CJ29+CJ30</f>
        <v>0</v>
      </c>
      <c r="CK28" s="258">
        <f>CK29+CK30</f>
        <v>0</v>
      </c>
      <c r="CL28" s="258">
        <f>CL29+CL30</f>
        <v>0</v>
      </c>
      <c r="CM28" s="239">
        <f t="shared" ref="CM28:CM39" si="57">SUM(CI28:CL28)</f>
        <v>0</v>
      </c>
      <c r="CN28" s="258">
        <f>CN29+CN30</f>
        <v>0</v>
      </c>
      <c r="CO28" s="258">
        <f>CO29+CO30</f>
        <v>0</v>
      </c>
      <c r="CP28" s="258">
        <f>CP29+CP30</f>
        <v>0</v>
      </c>
      <c r="CQ28" s="258">
        <f>CQ29+CQ30</f>
        <v>0</v>
      </c>
      <c r="CR28" s="239">
        <f t="shared" ref="CR28:CR39" si="58">SUM(CN28:CQ28)</f>
        <v>0</v>
      </c>
      <c r="CS28" s="258">
        <f>CS29+CS30</f>
        <v>0</v>
      </c>
      <c r="CT28" s="258">
        <f>CT29+CT30</f>
        <v>0</v>
      </c>
      <c r="CU28" s="258">
        <f>CU29+CU30</f>
        <v>0</v>
      </c>
      <c r="CV28" s="258">
        <f>CV29+CV30</f>
        <v>0</v>
      </c>
      <c r="CW28" s="239">
        <f t="shared" ref="CW28:CW39" si="59">SUM(CS28:CV28)</f>
        <v>0</v>
      </c>
      <c r="CX28" s="258">
        <f>CX29+CX30</f>
        <v>0</v>
      </c>
      <c r="CY28" s="258">
        <f>CY29+CY30</f>
        <v>0</v>
      </c>
      <c r="CZ28" s="258">
        <f>CZ29+CZ30</f>
        <v>0</v>
      </c>
      <c r="DA28" s="258">
        <f>DA29+DA30</f>
        <v>0</v>
      </c>
      <c r="DB28" s="239">
        <f t="shared" ref="DB28:DB39" si="60">SUM(CX28:DA28)</f>
        <v>0</v>
      </c>
      <c r="DC28" s="258">
        <f>DC29+DC30</f>
        <v>0</v>
      </c>
      <c r="DD28" s="258">
        <f>DD29+DD30</f>
        <v>0</v>
      </c>
      <c r="DE28" s="258">
        <f>DE29+DE30</f>
        <v>0</v>
      </c>
      <c r="DF28" s="258">
        <f>DF29+DF30</f>
        <v>0</v>
      </c>
      <c r="DG28" s="239">
        <f t="shared" ref="DG28:DG39" si="61">SUM(DC28:DF28)</f>
        <v>0</v>
      </c>
      <c r="DH28" s="258">
        <f>DH29+DH30</f>
        <v>0</v>
      </c>
      <c r="DI28" s="258">
        <f>DI29+DI30</f>
        <v>0</v>
      </c>
      <c r="DJ28" s="258">
        <f>DJ29+DJ30</f>
        <v>0</v>
      </c>
      <c r="DK28" s="258">
        <f>DK29+DK30</f>
        <v>0</v>
      </c>
      <c r="DL28" s="239">
        <f t="shared" ref="DL28:DL39" si="62">SUM(DH28:DK28)</f>
        <v>0</v>
      </c>
      <c r="DM28" s="258">
        <f>DM29+DM30</f>
        <v>0</v>
      </c>
      <c r="DN28" s="258">
        <f>DN29+DN30</f>
        <v>0</v>
      </c>
      <c r="DO28" s="258">
        <f>DO29+DO30</f>
        <v>0</v>
      </c>
      <c r="DP28" s="258">
        <f>DP29+DP30</f>
        <v>0</v>
      </c>
      <c r="DQ28" s="239">
        <f t="shared" ref="DQ28:DQ39" si="63">SUM(DM28:DP28)</f>
        <v>0</v>
      </c>
      <c r="DR28" s="258">
        <f>DR29+DR30</f>
        <v>0</v>
      </c>
      <c r="DS28" s="258">
        <f>DS29+DS30</f>
        <v>0</v>
      </c>
      <c r="DT28" s="258">
        <f>DT29+DT30</f>
        <v>0</v>
      </c>
      <c r="DU28" s="258">
        <f>DU29+DU30</f>
        <v>0</v>
      </c>
      <c r="DV28" s="239">
        <f t="shared" ref="DV28:DV39" si="64">SUM(DR28:DU28)</f>
        <v>0</v>
      </c>
      <c r="DW28" s="258">
        <f>DW29+DW30</f>
        <v>0</v>
      </c>
      <c r="DX28" s="258">
        <f>DX29+DX30</f>
        <v>0</v>
      </c>
      <c r="DY28" s="258">
        <f>DY29+DY30</f>
        <v>0</v>
      </c>
      <c r="DZ28" s="258">
        <f>DZ29+DZ30</f>
        <v>0</v>
      </c>
      <c r="EA28" s="239">
        <f t="shared" ref="EA28:EA39" si="65">SUM(DW28:DZ28)</f>
        <v>0</v>
      </c>
      <c r="EB28" s="258">
        <f>EB29+EB30</f>
        <v>0</v>
      </c>
      <c r="EC28" s="258">
        <f>EC29+EC30</f>
        <v>0</v>
      </c>
      <c r="ED28" s="258">
        <f>ED29+ED30</f>
        <v>0</v>
      </c>
      <c r="EE28" s="258">
        <f>EE29+EE30</f>
        <v>0</v>
      </c>
      <c r="EF28" s="239">
        <f t="shared" ref="EF28:EF39" si="66">SUM(EB28:EE28)</f>
        <v>0</v>
      </c>
    </row>
    <row r="29" spans="1:171" ht="12.75" customHeight="1" outlineLevel="1">
      <c r="A29" s="71" t="s">
        <v>693</v>
      </c>
      <c r="B29" s="246">
        <v>0</v>
      </c>
      <c r="C29" s="246">
        <v>0</v>
      </c>
      <c r="D29" s="246">
        <v>0</v>
      </c>
      <c r="E29" s="246">
        <v>0</v>
      </c>
      <c r="F29" s="239">
        <f>SUM(B29:E29)</f>
        <v>0</v>
      </c>
      <c r="G29" s="246">
        <v>0</v>
      </c>
      <c r="H29" s="246">
        <v>0</v>
      </c>
      <c r="I29" s="246">
        <v>0</v>
      </c>
      <c r="J29" s="246">
        <v>0</v>
      </c>
      <c r="K29" s="239">
        <f>SUM(G29:J29)</f>
        <v>0</v>
      </c>
      <c r="L29" s="246">
        <v>0</v>
      </c>
      <c r="M29" s="246">
        <v>0</v>
      </c>
      <c r="N29" s="246">
        <v>0</v>
      </c>
      <c r="O29" s="246">
        <v>0</v>
      </c>
      <c r="P29" s="239">
        <f t="shared" ref="P29:P39" si="67">SUM(L29:O29)</f>
        <v>0</v>
      </c>
      <c r="Q29" s="246">
        <v>0</v>
      </c>
      <c r="R29" s="246">
        <v>0</v>
      </c>
      <c r="S29" s="246">
        <v>0</v>
      </c>
      <c r="T29" s="246">
        <v>0</v>
      </c>
      <c r="U29" s="239">
        <f t="shared" ref="U29:U39" si="68">SUM(Q29:T29)</f>
        <v>0</v>
      </c>
      <c r="V29" s="246">
        <v>0</v>
      </c>
      <c r="W29" s="246">
        <v>0</v>
      </c>
      <c r="X29" s="246">
        <v>0</v>
      </c>
      <c r="Y29" s="246">
        <v>0</v>
      </c>
      <c r="Z29" s="239">
        <f t="shared" ref="Z29:Z39" si="69">SUM(V29:Y29)</f>
        <v>0</v>
      </c>
      <c r="AA29" s="246">
        <v>0</v>
      </c>
      <c r="AB29" s="246">
        <v>0</v>
      </c>
      <c r="AC29" s="246">
        <v>0</v>
      </c>
      <c r="AD29" s="246">
        <v>0</v>
      </c>
      <c r="AE29" s="239">
        <f t="shared" ref="AE29:AE39" si="70">SUM(AA29:AD29)</f>
        <v>0</v>
      </c>
      <c r="AF29" s="246">
        <v>0</v>
      </c>
      <c r="AG29" s="246">
        <v>0</v>
      </c>
      <c r="AH29" s="246">
        <v>0</v>
      </c>
      <c r="AI29" s="246">
        <v>0</v>
      </c>
      <c r="AJ29" s="239">
        <f t="shared" ref="AJ29:AJ39" si="71">SUM(AF29:AI29)</f>
        <v>0</v>
      </c>
      <c r="AK29" s="246">
        <v>0</v>
      </c>
      <c r="AL29" s="246">
        <v>0</v>
      </c>
      <c r="AM29" s="246">
        <v>0</v>
      </c>
      <c r="AN29" s="246">
        <v>0</v>
      </c>
      <c r="AO29" s="239">
        <f t="shared" ref="AO29:AO39" si="72">SUM(AK29:AN29)</f>
        <v>0</v>
      </c>
      <c r="AP29" s="246">
        <v>0</v>
      </c>
      <c r="AQ29" s="246">
        <v>0</v>
      </c>
      <c r="AR29" s="246">
        <v>0</v>
      </c>
      <c r="AS29" s="246">
        <v>0</v>
      </c>
      <c r="AT29" s="239">
        <f t="shared" ref="AT29:AT39" si="73">SUM(AP29:AS29)</f>
        <v>0</v>
      </c>
      <c r="AU29" s="246">
        <v>0</v>
      </c>
      <c r="AV29" s="246">
        <v>0</v>
      </c>
      <c r="AW29" s="246">
        <v>0</v>
      </c>
      <c r="AX29" s="246">
        <v>0</v>
      </c>
      <c r="AY29" s="239">
        <f t="shared" ref="AY29:AY39" si="74">SUM(AU29:AX29)</f>
        <v>0</v>
      </c>
      <c r="AZ29" s="246">
        <v>0</v>
      </c>
      <c r="BA29" s="246">
        <v>0</v>
      </c>
      <c r="BB29" s="246">
        <v>0</v>
      </c>
      <c r="BC29" s="246">
        <v>0</v>
      </c>
      <c r="BD29" s="239">
        <f t="shared" ref="BD29:BD39" si="75">SUM(AZ29:BC29)</f>
        <v>0</v>
      </c>
      <c r="BE29" s="246">
        <v>0</v>
      </c>
      <c r="BF29" s="246">
        <v>0</v>
      </c>
      <c r="BG29" s="246">
        <v>0</v>
      </c>
      <c r="BH29" s="246">
        <v>0</v>
      </c>
      <c r="BI29" s="239">
        <f t="shared" ref="BI29:BI39" si="76">SUM(BE29:BH29)</f>
        <v>0</v>
      </c>
      <c r="BJ29" s="246">
        <v>0</v>
      </c>
      <c r="BK29" s="246">
        <v>0</v>
      </c>
      <c r="BL29" s="246">
        <v>0</v>
      </c>
      <c r="BM29" s="246">
        <v>0</v>
      </c>
      <c r="BN29" s="239">
        <f t="shared" ref="BN29:BN39" si="77">SUM(BJ29:BM29)</f>
        <v>0</v>
      </c>
      <c r="BO29" s="246">
        <v>0</v>
      </c>
      <c r="BP29" s="246">
        <v>0</v>
      </c>
      <c r="BQ29" s="246">
        <v>0</v>
      </c>
      <c r="BR29" s="246">
        <v>0</v>
      </c>
      <c r="BS29" s="239">
        <f t="shared" ref="BS29:BS39" si="78">SUM(BO29:BR29)</f>
        <v>0</v>
      </c>
      <c r="BT29" s="246">
        <v>0</v>
      </c>
      <c r="BU29" s="246">
        <v>0</v>
      </c>
      <c r="BV29" s="246">
        <v>0</v>
      </c>
      <c r="BW29" s="246">
        <v>0</v>
      </c>
      <c r="BX29" s="239">
        <f t="shared" si="54"/>
        <v>0</v>
      </c>
      <c r="BY29" s="246">
        <v>0</v>
      </c>
      <c r="BZ29" s="246">
        <v>0</v>
      </c>
      <c r="CA29" s="246">
        <v>0</v>
      </c>
      <c r="CB29" s="246">
        <v>0</v>
      </c>
      <c r="CC29" s="239">
        <f t="shared" si="55"/>
        <v>0</v>
      </c>
      <c r="CD29" s="246">
        <v>0</v>
      </c>
      <c r="CE29" s="246">
        <v>0</v>
      </c>
      <c r="CF29" s="246">
        <v>0</v>
      </c>
      <c r="CG29" s="246">
        <v>0</v>
      </c>
      <c r="CH29" s="239">
        <f t="shared" si="56"/>
        <v>0</v>
      </c>
      <c r="CI29" s="246">
        <v>0</v>
      </c>
      <c r="CJ29" s="246">
        <v>0</v>
      </c>
      <c r="CK29" s="246">
        <v>0</v>
      </c>
      <c r="CL29" s="246">
        <v>0</v>
      </c>
      <c r="CM29" s="239">
        <f t="shared" si="57"/>
        <v>0</v>
      </c>
      <c r="CN29" s="246">
        <v>0</v>
      </c>
      <c r="CO29" s="246">
        <v>0</v>
      </c>
      <c r="CP29" s="246">
        <v>0</v>
      </c>
      <c r="CQ29" s="246">
        <v>0</v>
      </c>
      <c r="CR29" s="239">
        <f t="shared" si="58"/>
        <v>0</v>
      </c>
      <c r="CS29" s="246">
        <v>0</v>
      </c>
      <c r="CT29" s="246">
        <v>0</v>
      </c>
      <c r="CU29" s="246">
        <v>0</v>
      </c>
      <c r="CV29" s="246">
        <v>0</v>
      </c>
      <c r="CW29" s="239">
        <f t="shared" si="59"/>
        <v>0</v>
      </c>
      <c r="CX29" s="246">
        <v>0</v>
      </c>
      <c r="CY29" s="246">
        <v>0</v>
      </c>
      <c r="CZ29" s="246">
        <v>0</v>
      </c>
      <c r="DA29" s="246">
        <v>0</v>
      </c>
      <c r="DB29" s="239">
        <f t="shared" si="60"/>
        <v>0</v>
      </c>
      <c r="DC29" s="246">
        <v>0</v>
      </c>
      <c r="DD29" s="246">
        <v>0</v>
      </c>
      <c r="DE29" s="246">
        <v>0</v>
      </c>
      <c r="DF29" s="246">
        <v>0</v>
      </c>
      <c r="DG29" s="239">
        <f t="shared" si="61"/>
        <v>0</v>
      </c>
      <c r="DH29" s="246">
        <v>0</v>
      </c>
      <c r="DI29" s="246">
        <v>0</v>
      </c>
      <c r="DJ29" s="246">
        <v>0</v>
      </c>
      <c r="DK29" s="246">
        <v>0</v>
      </c>
      <c r="DL29" s="239">
        <f t="shared" si="62"/>
        <v>0</v>
      </c>
      <c r="DM29" s="246">
        <v>0</v>
      </c>
      <c r="DN29" s="246">
        <v>0</v>
      </c>
      <c r="DO29" s="246">
        <v>0</v>
      </c>
      <c r="DP29" s="246">
        <v>0</v>
      </c>
      <c r="DQ29" s="239">
        <f t="shared" si="63"/>
        <v>0</v>
      </c>
      <c r="DR29" s="246">
        <v>0</v>
      </c>
      <c r="DS29" s="246">
        <v>0</v>
      </c>
      <c r="DT29" s="246">
        <v>0</v>
      </c>
      <c r="DU29" s="246">
        <v>0</v>
      </c>
      <c r="DV29" s="239">
        <f t="shared" si="64"/>
        <v>0</v>
      </c>
      <c r="DW29" s="246">
        <v>0</v>
      </c>
      <c r="DX29" s="246">
        <v>0</v>
      </c>
      <c r="DY29" s="246">
        <v>0</v>
      </c>
      <c r="DZ29" s="246">
        <v>0</v>
      </c>
      <c r="EA29" s="239">
        <f t="shared" si="65"/>
        <v>0</v>
      </c>
      <c r="EB29" s="246">
        <v>0</v>
      </c>
      <c r="EC29" s="246">
        <v>0</v>
      </c>
      <c r="ED29" s="246">
        <v>0</v>
      </c>
      <c r="EE29" s="246">
        <v>0</v>
      </c>
      <c r="EF29" s="239">
        <f t="shared" si="66"/>
        <v>0</v>
      </c>
    </row>
    <row r="30" spans="1:171" ht="12.75" customHeight="1" outlineLevel="1">
      <c r="A30" s="71" t="s">
        <v>692</v>
      </c>
      <c r="B30" s="246"/>
      <c r="C30" s="246"/>
      <c r="D30" s="246"/>
      <c r="E30" s="246"/>
      <c r="F30" s="239">
        <f>SUM(B30:E30)</f>
        <v>0</v>
      </c>
      <c r="G30" s="246">
        <v>0</v>
      </c>
      <c r="H30" s="246">
        <v>0</v>
      </c>
      <c r="I30" s="246">
        <v>0</v>
      </c>
      <c r="J30" s="246">
        <v>0</v>
      </c>
      <c r="K30" s="239">
        <f>SUM(G30:J30)</f>
        <v>0</v>
      </c>
      <c r="L30" s="246">
        <v>0</v>
      </c>
      <c r="M30" s="246">
        <v>0</v>
      </c>
      <c r="N30" s="246">
        <v>0</v>
      </c>
      <c r="O30" s="246">
        <v>0</v>
      </c>
      <c r="P30" s="239">
        <f>SUM(L30:O30)</f>
        <v>0</v>
      </c>
      <c r="Q30" s="246">
        <v>0</v>
      </c>
      <c r="R30" s="246">
        <v>0</v>
      </c>
      <c r="S30" s="246">
        <v>0</v>
      </c>
      <c r="T30" s="246">
        <v>0</v>
      </c>
      <c r="U30" s="239">
        <f>SUM(Q30:T30)</f>
        <v>0</v>
      </c>
      <c r="V30" s="246">
        <v>0</v>
      </c>
      <c r="W30" s="246">
        <v>0</v>
      </c>
      <c r="X30" s="246">
        <v>0</v>
      </c>
      <c r="Y30" s="246">
        <v>0</v>
      </c>
      <c r="Z30" s="239">
        <f>SUM(V30:Y30)</f>
        <v>0</v>
      </c>
      <c r="AA30" s="246">
        <v>0</v>
      </c>
      <c r="AB30" s="246">
        <v>0</v>
      </c>
      <c r="AC30" s="246">
        <v>80632</v>
      </c>
      <c r="AD30" s="246">
        <v>0</v>
      </c>
      <c r="AE30" s="239">
        <f>SUM(AA30:AD30)</f>
        <v>80632</v>
      </c>
      <c r="AF30" s="246">
        <v>0</v>
      </c>
      <c r="AG30" s="246">
        <v>0</v>
      </c>
      <c r="AH30" s="246">
        <v>0</v>
      </c>
      <c r="AI30" s="246">
        <v>0</v>
      </c>
      <c r="AJ30" s="239">
        <f>SUM(AF30:AI30)</f>
        <v>0</v>
      </c>
      <c r="AK30" s="246">
        <f>AVERAGE(AF30:AI30)</f>
        <v>0</v>
      </c>
      <c r="AL30" s="246">
        <f>AK30*AL12/AK12</f>
        <v>0</v>
      </c>
      <c r="AM30" s="246">
        <f>AL30*AM12/AL12</f>
        <v>0</v>
      </c>
      <c r="AN30" s="246">
        <f>AM30*AN12/AM12</f>
        <v>0</v>
      </c>
      <c r="AO30" s="239">
        <f>SUM(AK30:AN30)</f>
        <v>0</v>
      </c>
      <c r="AP30" s="246">
        <f>AVERAGE(AK30:AN30)</f>
        <v>0</v>
      </c>
      <c r="AQ30" s="246">
        <f>AP30*AQ12/AP12</f>
        <v>0</v>
      </c>
      <c r="AR30" s="246">
        <f>AQ30*AR12/AQ12</f>
        <v>0</v>
      </c>
      <c r="AS30" s="246">
        <f>AR30*AS12/AR12</f>
        <v>0</v>
      </c>
      <c r="AT30" s="239">
        <f>SUM(AP30:AS30)</f>
        <v>0</v>
      </c>
      <c r="AU30" s="246">
        <f>AVERAGE(AP30:AS30)</f>
        <v>0</v>
      </c>
      <c r="AV30" s="246">
        <f>AU30*AV12/AU12</f>
        <v>0</v>
      </c>
      <c r="AW30" s="246">
        <f>AV30*AW12/AV12</f>
        <v>0</v>
      </c>
      <c r="AX30" s="246">
        <f>AW30*AX12/AW12</f>
        <v>0</v>
      </c>
      <c r="AY30" s="239">
        <f>SUM(AU30:AX30)</f>
        <v>0</v>
      </c>
      <c r="AZ30" s="246">
        <f>AVERAGE(AU30:AX30)</f>
        <v>0</v>
      </c>
      <c r="BA30" s="246">
        <f>AZ30*BA12/AZ12</f>
        <v>0</v>
      </c>
      <c r="BB30" s="246">
        <f>BA30*BB12/BA12</f>
        <v>0</v>
      </c>
      <c r="BC30" s="246">
        <f>BB30*BC12/BB12</f>
        <v>0</v>
      </c>
      <c r="BD30" s="239">
        <f>SUM(AZ30:BC30)</f>
        <v>0</v>
      </c>
      <c r="BE30" s="246">
        <f>AVERAGE(AZ30:BC30)</f>
        <v>0</v>
      </c>
      <c r="BF30" s="246">
        <f>BE30*BF12/BE12</f>
        <v>0</v>
      </c>
      <c r="BG30" s="246">
        <f>BF30*BG12/BF12</f>
        <v>0</v>
      </c>
      <c r="BH30" s="246">
        <f>BG30*BH12/BG12</f>
        <v>0</v>
      </c>
      <c r="BI30" s="239">
        <f>SUM(BE30:BH30)</f>
        <v>0</v>
      </c>
      <c r="BJ30" s="246">
        <f>AVERAGE(BE30:BH30)</f>
        <v>0</v>
      </c>
      <c r="BK30" s="246">
        <f>BJ30*BK12/BJ12</f>
        <v>0</v>
      </c>
      <c r="BL30" s="246">
        <f>BK30*BL12/BK12</f>
        <v>0</v>
      </c>
      <c r="BM30" s="246">
        <f>BL30*BM12/BL12</f>
        <v>0</v>
      </c>
      <c r="BN30" s="239">
        <f>SUM(BJ30:BM30)</f>
        <v>0</v>
      </c>
      <c r="BO30" s="246">
        <f>AVERAGE(BJ30:BM30)</f>
        <v>0</v>
      </c>
      <c r="BP30" s="246">
        <f>BO30*BP12/BO12</f>
        <v>0</v>
      </c>
      <c r="BQ30" s="246">
        <f>BP30*BQ12/BP12</f>
        <v>0</v>
      </c>
      <c r="BR30" s="246">
        <f>BQ30*BR12/BQ12</f>
        <v>0</v>
      </c>
      <c r="BS30" s="239">
        <f>SUM(BO30:BR30)</f>
        <v>0</v>
      </c>
      <c r="BT30" s="246">
        <f>AVERAGE(BO30:BR30)</f>
        <v>0</v>
      </c>
      <c r="BU30" s="246">
        <f>BT30*BU12/BT12</f>
        <v>0</v>
      </c>
      <c r="BV30" s="246">
        <f>BU30*BV12/BU12</f>
        <v>0</v>
      </c>
      <c r="BW30" s="245">
        <f>254000-167000-67000</f>
        <v>20000</v>
      </c>
      <c r="BX30" s="239">
        <f t="shared" si="54"/>
        <v>20000</v>
      </c>
      <c r="BY30" s="246">
        <v>0</v>
      </c>
      <c r="BZ30" s="246">
        <f>BY30*BZ12/BY12</f>
        <v>0</v>
      </c>
      <c r="CA30" s="246">
        <f>BZ30*CA12/BZ12</f>
        <v>0</v>
      </c>
      <c r="CB30" s="246">
        <f>CA30*CB12/CA12</f>
        <v>0</v>
      </c>
      <c r="CC30" s="239">
        <f t="shared" si="55"/>
        <v>0</v>
      </c>
      <c r="CD30" s="246">
        <v>0</v>
      </c>
      <c r="CE30" s="246">
        <v>0</v>
      </c>
      <c r="CF30" s="245">
        <f>1403000-250000</f>
        <v>1153000</v>
      </c>
      <c r="CG30" s="246">
        <v>0</v>
      </c>
      <c r="CH30" s="239">
        <f t="shared" si="56"/>
        <v>1153000</v>
      </c>
      <c r="CI30" s="246">
        <v>0</v>
      </c>
      <c r="CJ30" s="246">
        <v>0</v>
      </c>
      <c r="CK30" s="246">
        <v>0</v>
      </c>
      <c r="CL30" s="246">
        <v>0</v>
      </c>
      <c r="CM30" s="239">
        <f t="shared" si="57"/>
        <v>0</v>
      </c>
      <c r="CN30" s="246">
        <v>0</v>
      </c>
      <c r="CO30" s="246">
        <v>0</v>
      </c>
      <c r="CP30" s="246">
        <v>0</v>
      </c>
      <c r="CQ30" s="246">
        <v>0</v>
      </c>
      <c r="CR30" s="239">
        <f t="shared" si="58"/>
        <v>0</v>
      </c>
      <c r="CS30" s="246">
        <v>0</v>
      </c>
      <c r="CT30" s="246">
        <v>0</v>
      </c>
      <c r="CU30" s="246">
        <v>0</v>
      </c>
      <c r="CV30" s="246">
        <v>0</v>
      </c>
      <c r="CW30" s="239">
        <f t="shared" si="59"/>
        <v>0</v>
      </c>
      <c r="CX30" s="246">
        <v>0</v>
      </c>
      <c r="CY30" s="246">
        <v>0</v>
      </c>
      <c r="CZ30" s="246">
        <v>0</v>
      </c>
      <c r="DA30" s="246">
        <v>0</v>
      </c>
      <c r="DB30" s="239">
        <f t="shared" si="60"/>
        <v>0</v>
      </c>
      <c r="DC30" s="246">
        <v>0</v>
      </c>
      <c r="DD30" s="246">
        <v>0</v>
      </c>
      <c r="DE30" s="246">
        <v>0</v>
      </c>
      <c r="DF30" s="246">
        <v>0</v>
      </c>
      <c r="DG30" s="239">
        <f t="shared" si="61"/>
        <v>0</v>
      </c>
      <c r="DH30" s="246">
        <v>0</v>
      </c>
      <c r="DI30" s="246">
        <v>0</v>
      </c>
      <c r="DJ30" s="246">
        <f>DI30*DJ12/DI12</f>
        <v>0</v>
      </c>
      <c r="DK30" s="246">
        <f>DJ30*DK12/DJ12</f>
        <v>0</v>
      </c>
      <c r="DL30" s="239">
        <f t="shared" si="62"/>
        <v>0</v>
      </c>
      <c r="DM30" s="246">
        <f>AVERAGE(DH30:DK30)</f>
        <v>0</v>
      </c>
      <c r="DN30" s="246">
        <f>DM30*DN12/DM12</f>
        <v>0</v>
      </c>
      <c r="DO30" s="246">
        <f>DN30*DO12/DN12</f>
        <v>0</v>
      </c>
      <c r="DP30" s="246">
        <f>DO30*DP12/DO12</f>
        <v>0</v>
      </c>
      <c r="DQ30" s="239">
        <f t="shared" si="63"/>
        <v>0</v>
      </c>
      <c r="DR30" s="246">
        <f>AVERAGE(DM30:DP30)</f>
        <v>0</v>
      </c>
      <c r="DS30" s="246">
        <f>DR30*DS12/DR12</f>
        <v>0</v>
      </c>
      <c r="DT30" s="246">
        <f>DS30*DT12/DS12</f>
        <v>0</v>
      </c>
      <c r="DU30" s="246">
        <f>DT30*DU12/DT12</f>
        <v>0</v>
      </c>
      <c r="DV30" s="239">
        <f t="shared" si="64"/>
        <v>0</v>
      </c>
      <c r="DW30" s="246">
        <f>AVERAGE(DR30:DU30)</f>
        <v>0</v>
      </c>
      <c r="DX30" s="246">
        <f>DW30*DX12/DW12</f>
        <v>0</v>
      </c>
      <c r="DY30" s="246">
        <f>DX30*DY12/DX12</f>
        <v>0</v>
      </c>
      <c r="DZ30" s="246">
        <f>DY30*DZ12/DY12</f>
        <v>0</v>
      </c>
      <c r="EA30" s="239">
        <f t="shared" si="65"/>
        <v>0</v>
      </c>
      <c r="EB30" s="246">
        <f>AVERAGE(DW30:DZ30)</f>
        <v>0</v>
      </c>
      <c r="EC30" s="246">
        <f>EB30*EC12/EB12</f>
        <v>0</v>
      </c>
      <c r="ED30" s="246">
        <f>EC30*ED12/EC12</f>
        <v>0</v>
      </c>
      <c r="EE30" s="246">
        <f>ED30*EE12/ED12</f>
        <v>0</v>
      </c>
      <c r="EF30" s="239">
        <f t="shared" si="66"/>
        <v>0</v>
      </c>
    </row>
    <row r="31" spans="1:171" ht="12.75" customHeight="1">
      <c r="A31" s="71" t="s">
        <v>735</v>
      </c>
      <c r="B31" s="258">
        <f>B32+B33+B34</f>
        <v>1497.5</v>
      </c>
      <c r="C31" s="258">
        <f>C32+C33+C34</f>
        <v>1497.5</v>
      </c>
      <c r="D31" s="258">
        <f>D32+D33+D34</f>
        <v>-3121</v>
      </c>
      <c r="E31" s="258">
        <f>E32+E33+E34</f>
        <v>2876</v>
      </c>
      <c r="F31" s="239">
        <f t="shared" ref="F31:F39" si="79">SUM(B31:E31)</f>
        <v>2750</v>
      </c>
      <c r="G31" s="258">
        <f>G32+G33+G34</f>
        <v>1656</v>
      </c>
      <c r="H31" s="258">
        <f>H32+H33+H34</f>
        <v>973</v>
      </c>
      <c r="I31" s="258">
        <f>I32+I33+I34</f>
        <v>-27532</v>
      </c>
      <c r="J31" s="258">
        <f>J32+J33+J34</f>
        <v>140</v>
      </c>
      <c r="K31" s="239">
        <f t="shared" ref="K31:K39" si="80">SUM(G31:J31)</f>
        <v>-24763</v>
      </c>
      <c r="L31" s="258">
        <f>L32+L33+L34</f>
        <v>629</v>
      </c>
      <c r="M31" s="258">
        <f>M32+M33+M34</f>
        <v>4704</v>
      </c>
      <c r="N31" s="258">
        <f>N32+N33+N34</f>
        <v>-22217</v>
      </c>
      <c r="O31" s="258">
        <f>O32+O33+O34</f>
        <v>-623</v>
      </c>
      <c r="P31" s="239">
        <f t="shared" si="67"/>
        <v>-17507</v>
      </c>
      <c r="Q31" s="258">
        <f>Q32+Q33+Q34</f>
        <v>-260</v>
      </c>
      <c r="R31" s="258">
        <f>R32+R33+R34</f>
        <v>113281</v>
      </c>
      <c r="S31" s="258">
        <f>S32+S33+S34</f>
        <v>139</v>
      </c>
      <c r="T31" s="258">
        <f>T32+T33+T34</f>
        <v>1147</v>
      </c>
      <c r="U31" s="239">
        <f t="shared" si="68"/>
        <v>114307</v>
      </c>
      <c r="V31" s="258">
        <f>V32+V33+V34</f>
        <v>454</v>
      </c>
      <c r="W31" s="258">
        <f>W32+W33+W34</f>
        <v>1118</v>
      </c>
      <c r="X31" s="258">
        <f>X32+X33+X34</f>
        <v>1066</v>
      </c>
      <c r="Y31" s="258">
        <f>Y32+Y33+Y34</f>
        <v>-964</v>
      </c>
      <c r="Z31" s="239">
        <f t="shared" si="69"/>
        <v>1674</v>
      </c>
      <c r="AA31" s="258">
        <f>AA32+AA33+AA34</f>
        <v>-2938</v>
      </c>
      <c r="AB31" s="258">
        <f>AB32+AB33+AB34</f>
        <v>-1114</v>
      </c>
      <c r="AC31" s="258">
        <f>AC32+AC33+AC34</f>
        <v>-16289</v>
      </c>
      <c r="AD31" s="258">
        <f>AD32+AD33+AD34</f>
        <v>-33654</v>
      </c>
      <c r="AE31" s="239">
        <f t="shared" si="70"/>
        <v>-53995</v>
      </c>
      <c r="AF31" s="258">
        <f>AF32+AF33+AF34</f>
        <v>-18319</v>
      </c>
      <c r="AG31" s="258">
        <f>AG32+AG33+AG34</f>
        <v>-10848</v>
      </c>
      <c r="AH31" s="258">
        <f>AH32+AH33+AH34</f>
        <v>-11262</v>
      </c>
      <c r="AI31" s="258">
        <f>AI32+AI33+AI34</f>
        <v>-19250</v>
      </c>
      <c r="AJ31" s="239">
        <f t="shared" si="71"/>
        <v>-59679</v>
      </c>
      <c r="AK31" s="258">
        <f>AK32+AK33+AK34</f>
        <v>-2558</v>
      </c>
      <c r="AL31" s="258">
        <f>AL32+AL33+AL34</f>
        <v>-2360</v>
      </c>
      <c r="AM31" s="258">
        <f>AM32+AM33+AM34</f>
        <v>-5676</v>
      </c>
      <c r="AN31" s="258">
        <f>AN32+AN33+AN34</f>
        <v>-36765</v>
      </c>
      <c r="AO31" s="239">
        <f t="shared" si="72"/>
        <v>-47359</v>
      </c>
      <c r="AP31" s="258">
        <f>AP32+AP33+AP34</f>
        <v>-26056</v>
      </c>
      <c r="AQ31" s="258">
        <f>AQ32+AQ33+AQ34</f>
        <v>-14249</v>
      </c>
      <c r="AR31" s="258">
        <f>AR32+AR33+AR34</f>
        <v>-12641</v>
      </c>
      <c r="AS31" s="258">
        <f>AS32+AS33+AS34</f>
        <v>-2202</v>
      </c>
      <c r="AT31" s="239">
        <f t="shared" si="73"/>
        <v>-55148</v>
      </c>
      <c r="AU31" s="258">
        <f>AU32+AU33+AU34</f>
        <v>-15625</v>
      </c>
      <c r="AV31" s="258">
        <f>AV32+AV33+AV34</f>
        <v>-20556</v>
      </c>
      <c r="AW31" s="258">
        <f>AW32+AW33+AW34</f>
        <v>-11063</v>
      </c>
      <c r="AX31" s="258">
        <f>AX32+AX33+AX34</f>
        <v>-9794</v>
      </c>
      <c r="AY31" s="239">
        <f t="shared" si="74"/>
        <v>-57038</v>
      </c>
      <c r="AZ31" s="258">
        <f>AZ32+AZ33+AZ34</f>
        <v>-14758</v>
      </c>
      <c r="BA31" s="258">
        <f>BA32+BA33+BA34</f>
        <v>-16717</v>
      </c>
      <c r="BB31" s="258">
        <f>BB32+BB33+BB34</f>
        <v>-32302</v>
      </c>
      <c r="BC31" s="258">
        <f>BC32+BC33+BC34</f>
        <v>-51022</v>
      </c>
      <c r="BD31" s="239">
        <f t="shared" si="75"/>
        <v>-114799</v>
      </c>
      <c r="BE31" s="258">
        <f>BE32+BE33+BE34</f>
        <v>-28353</v>
      </c>
      <c r="BF31" s="258">
        <f>BF32+BF33+BF34</f>
        <v>3216</v>
      </c>
      <c r="BG31" s="258">
        <f>BG32+BG33+BG34</f>
        <v>-1513</v>
      </c>
      <c r="BH31" s="258">
        <f>BH32+BH33+BH34</f>
        <v>-26931</v>
      </c>
      <c r="BI31" s="239">
        <f t="shared" si="76"/>
        <v>-53581</v>
      </c>
      <c r="BJ31" s="258">
        <f>BJ32+BJ33+BJ34</f>
        <v>-11807</v>
      </c>
      <c r="BK31" s="258">
        <f>BK32+BK33+BK34</f>
        <v>-18604</v>
      </c>
      <c r="BL31" s="258">
        <f>BL32+BL33+BL34</f>
        <v>-19828</v>
      </c>
      <c r="BM31" s="258">
        <f>BM32+BM33+BM34</f>
        <v>-50573</v>
      </c>
      <c r="BN31" s="239">
        <f t="shared" si="77"/>
        <v>-100812</v>
      </c>
      <c r="BO31" s="258">
        <f>BO32+BO33+BO34</f>
        <v>-14495</v>
      </c>
      <c r="BP31" s="258">
        <f>BP32+BP33+BP34</f>
        <v>-149746</v>
      </c>
      <c r="BQ31" s="258">
        <f>BQ32+BQ33+BQ34</f>
        <v>16317</v>
      </c>
      <c r="BR31" s="258">
        <f>BR32+BR33+BR34</f>
        <v>-23157</v>
      </c>
      <c r="BS31" s="239">
        <f t="shared" si="78"/>
        <v>-171081</v>
      </c>
      <c r="BT31" s="258">
        <f>BT32+BT33+BT34</f>
        <v>-4672</v>
      </c>
      <c r="BU31" s="258">
        <f>BU32+BU33+BU34</f>
        <v>-36070</v>
      </c>
      <c r="BV31" s="258">
        <f>BV32+BV33+BV34</f>
        <v>-133002</v>
      </c>
      <c r="BW31" s="258">
        <f>BW32+BW33+BW34</f>
        <v>-74971</v>
      </c>
      <c r="BX31" s="239">
        <f t="shared" si="54"/>
        <v>-248715</v>
      </c>
      <c r="BY31" s="258">
        <f>BY32+BY33+BY34</f>
        <v>-27820</v>
      </c>
      <c r="BZ31" s="258">
        <f>BZ32+BZ33+BZ34</f>
        <v>1272</v>
      </c>
      <c r="CA31" s="258">
        <f>CA32+CA33+CA34</f>
        <v>-22314</v>
      </c>
      <c r="CB31" s="258">
        <f>CB32+CB33+CB34</f>
        <v>19528</v>
      </c>
      <c r="CC31" s="239">
        <f t="shared" si="55"/>
        <v>-29334</v>
      </c>
      <c r="CD31" s="258">
        <f>CD32+CD33+CD34</f>
        <v>-40355</v>
      </c>
      <c r="CE31" s="258">
        <f>CE32+CE33+CE34</f>
        <v>-20788</v>
      </c>
      <c r="CF31" s="258">
        <f>CF32+CF33+CF34</f>
        <v>-29104</v>
      </c>
      <c r="CG31" s="258">
        <f>CG32+CG33+CG34</f>
        <v>26862</v>
      </c>
      <c r="CH31" s="239">
        <f t="shared" si="56"/>
        <v>-63385</v>
      </c>
      <c r="CI31" s="258">
        <f>CI32+CI33+CI34</f>
        <v>-31171</v>
      </c>
      <c r="CJ31" s="258">
        <f>CJ32+CJ33+CJ34</f>
        <v>-14738</v>
      </c>
      <c r="CK31" s="258">
        <f>CK32+CK33+CK34</f>
        <v>-35335</v>
      </c>
      <c r="CL31" s="258">
        <f>CL32+CL33+CL34</f>
        <v>-9530</v>
      </c>
      <c r="CM31" s="239">
        <f t="shared" si="57"/>
        <v>-90774</v>
      </c>
      <c r="CN31" s="258">
        <f>CN32+CN33+CN34</f>
        <v>-30483</v>
      </c>
      <c r="CO31" s="258">
        <f>CO32+CO33+CO34</f>
        <v>-21795</v>
      </c>
      <c r="CP31" s="258">
        <f>CP32+CP33+CP34</f>
        <v>27790</v>
      </c>
      <c r="CQ31" s="258">
        <f>CQ32+CQ33+CQ34</f>
        <v>13030</v>
      </c>
      <c r="CR31" s="239">
        <f t="shared" si="58"/>
        <v>-11458</v>
      </c>
      <c r="CS31" s="258">
        <f>CS32+CS33+CS34</f>
        <v>-37625</v>
      </c>
      <c r="CT31" s="258">
        <f>CT32+CT33+CT34</f>
        <v>16531</v>
      </c>
      <c r="CU31" s="258">
        <f>CU32+CU33+CU34</f>
        <v>-54025</v>
      </c>
      <c r="CV31" s="258">
        <f>CV32+CV33+CV34</f>
        <v>-25956</v>
      </c>
      <c r="CW31" s="239">
        <f t="shared" si="59"/>
        <v>-101075</v>
      </c>
      <c r="CX31" s="258">
        <f>CX32+CX33+CX34</f>
        <v>-18668</v>
      </c>
      <c r="CY31" s="258">
        <f>CY32+CY33+CY34</f>
        <v>-10492</v>
      </c>
      <c r="CZ31" s="258">
        <f>CZ32+CZ33+CZ34</f>
        <v>-3423</v>
      </c>
      <c r="DA31" s="258">
        <f>DA32+DA33+DA34</f>
        <v>-33704</v>
      </c>
      <c r="DB31" s="239">
        <f t="shared" si="60"/>
        <v>-66287</v>
      </c>
      <c r="DC31" s="258">
        <f>DC32+DC33+DC34</f>
        <v>-70720</v>
      </c>
      <c r="DD31" s="258">
        <f>DD32+DD33+DD34</f>
        <v>-38346</v>
      </c>
      <c r="DE31" s="258">
        <f>DE32+DE33+DE34</f>
        <v>188788</v>
      </c>
      <c r="DF31" s="258">
        <f>DF32+DF33+DF34</f>
        <v>-71050</v>
      </c>
      <c r="DG31" s="239">
        <f t="shared" si="61"/>
        <v>8672</v>
      </c>
      <c r="DH31" s="258">
        <f>DH32+DH33+DH34</f>
        <v>-64455</v>
      </c>
      <c r="DI31" s="258">
        <f>DI32+DI33+DI34</f>
        <v>-68131</v>
      </c>
      <c r="DJ31" s="258">
        <f>DJ32+DJ33+DJ34</f>
        <v>-70139.815530518274</v>
      </c>
      <c r="DK31" s="258">
        <f>DK32+DK33+DK34</f>
        <v>-73431.979534789352</v>
      </c>
      <c r="DL31" s="239">
        <f t="shared" si="62"/>
        <v>-276157.79506530764</v>
      </c>
      <c r="DM31" s="258">
        <f>DM32+DM33+DM34</f>
        <v>-86338.675426427799</v>
      </c>
      <c r="DN31" s="258">
        <f>DN32+DN33+DN34</f>
        <v>-88487.464916787838</v>
      </c>
      <c r="DO31" s="258">
        <f>DO32+DO33+DO34</f>
        <v>-90321.643009482912</v>
      </c>
      <c r="DP31" s="258">
        <f>DP32+DP33+DP34</f>
        <v>-94713.539394830499</v>
      </c>
      <c r="DQ31" s="239">
        <f t="shared" si="63"/>
        <v>-359861.32274752902</v>
      </c>
      <c r="DR31" s="258">
        <f>DR32+DR33+DR34</f>
        <v>-92305.255070131796</v>
      </c>
      <c r="DS31" s="258">
        <f>DS32+DS33+DS34</f>
        <v>-94209.487581801077</v>
      </c>
      <c r="DT31" s="258">
        <f>DT32+DT33+DT34</f>
        <v>-95916.094333465764</v>
      </c>
      <c r="DU31" s="258">
        <f>DU32+DU33+DU34</f>
        <v>-100320.01411884086</v>
      </c>
      <c r="DV31" s="239">
        <f t="shared" si="64"/>
        <v>-382750.85110423953</v>
      </c>
      <c r="DW31" s="258">
        <f>DW32+DW33+DW34</f>
        <v>-97519.206281942548</v>
      </c>
      <c r="DX31" s="258">
        <f>DX32+DX33+DX34</f>
        <v>-99400.559044000605</v>
      </c>
      <c r="DY31" s="258">
        <f>DY32+DY33+DY34</f>
        <v>-101048.07615949589</v>
      </c>
      <c r="DZ31" s="258">
        <f>DZ32+DZ33+DZ34</f>
        <v>-105552.16546498147</v>
      </c>
      <c r="EA31" s="239">
        <f t="shared" si="65"/>
        <v>-403520.0069504205</v>
      </c>
      <c r="EB31" s="258">
        <f>EB32+EB33+EB34</f>
        <v>-102482.97061981619</v>
      </c>
      <c r="EC31" s="258">
        <f>EC32+EC33+EC34</f>
        <v>-104375.97179378533</v>
      </c>
      <c r="ED31" s="258">
        <f>ED32+ED33+ED34</f>
        <v>-105991.77158743014</v>
      </c>
      <c r="EE31" s="258">
        <f>EE32+EE33+EE34</f>
        <v>-110584.0778546521</v>
      </c>
      <c r="EF31" s="239">
        <f t="shared" si="66"/>
        <v>-423434.79185568378</v>
      </c>
      <c r="EG31" s="236"/>
    </row>
    <row r="32" spans="1:171" ht="12.75" customHeight="1" outlineLevel="1">
      <c r="A32" s="71" t="s">
        <v>90</v>
      </c>
      <c r="B32" s="246">
        <f>1497.5-B33</f>
        <v>2260.5</v>
      </c>
      <c r="C32" s="246">
        <f>+B32+B33-C33</f>
        <v>2741.5</v>
      </c>
      <c r="D32" s="246">
        <f>-3121-D33</f>
        <v>-2098</v>
      </c>
      <c r="E32" s="246">
        <f>2876-E33</f>
        <v>3346</v>
      </c>
      <c r="F32" s="239">
        <f t="shared" si="79"/>
        <v>6250</v>
      </c>
      <c r="G32" s="246">
        <f>1656-G33</f>
        <v>2762</v>
      </c>
      <c r="H32" s="246">
        <f>973-H33</f>
        <v>1624</v>
      </c>
      <c r="I32" s="246">
        <f>-1806-I33</f>
        <v>-789</v>
      </c>
      <c r="J32" s="246">
        <f>140-J33</f>
        <v>453</v>
      </c>
      <c r="K32" s="239">
        <f t="shared" si="80"/>
        <v>4050</v>
      </c>
      <c r="L32" s="246">
        <f>629-L33</f>
        <v>1423</v>
      </c>
      <c r="M32" s="246">
        <f>5818-M33</f>
        <v>7051</v>
      </c>
      <c r="N32" s="246">
        <f>3943-L32-M32-N33-M33-L33</f>
        <v>-932</v>
      </c>
      <c r="O32" s="246">
        <f>3320-SUM(L32:N32)-SUM(L33:O33)</f>
        <v>836</v>
      </c>
      <c r="P32" s="239">
        <f t="shared" si="67"/>
        <v>8378</v>
      </c>
      <c r="Q32" s="246">
        <f>-260-Q33</f>
        <v>4906</v>
      </c>
      <c r="R32" s="246">
        <f>127-Q32-R33-Q33</f>
        <v>9609</v>
      </c>
      <c r="S32" s="246">
        <f>139-S33</f>
        <v>1829</v>
      </c>
      <c r="T32" s="246">
        <f>1147-T33</f>
        <v>1152</v>
      </c>
      <c r="U32" s="239">
        <f t="shared" si="68"/>
        <v>17496</v>
      </c>
      <c r="V32" s="246">
        <f>454-V33</f>
        <v>2276</v>
      </c>
      <c r="W32" s="246">
        <f>1118-W33</f>
        <v>13988</v>
      </c>
      <c r="X32" s="246">
        <f>1066-X33</f>
        <v>4929</v>
      </c>
      <c r="Y32" s="246">
        <f>-964-Y33</f>
        <v>2251</v>
      </c>
      <c r="Z32" s="239">
        <f t="shared" si="69"/>
        <v>23444</v>
      </c>
      <c r="AA32" s="246">
        <f>49</f>
        <v>49</v>
      </c>
      <c r="AB32" s="246">
        <f>2136</f>
        <v>2136</v>
      </c>
      <c r="AC32" s="246">
        <f>-80632+67647</f>
        <v>-12985</v>
      </c>
      <c r="AD32" s="246">
        <f>-6802</f>
        <v>-6802</v>
      </c>
      <c r="AE32" s="239">
        <f t="shared" si="70"/>
        <v>-17602</v>
      </c>
      <c r="AF32" s="246">
        <f>1</f>
        <v>1</v>
      </c>
      <c r="AG32" s="246">
        <f>68</f>
        <v>68</v>
      </c>
      <c r="AH32" s="246">
        <v>60</v>
      </c>
      <c r="AI32" s="246">
        <v>-275</v>
      </c>
      <c r="AJ32" s="239">
        <f t="shared" si="71"/>
        <v>-146</v>
      </c>
      <c r="AK32" s="246">
        <v>828</v>
      </c>
      <c r="AL32" s="246">
        <v>1171</v>
      </c>
      <c r="AM32" s="246">
        <v>198</v>
      </c>
      <c r="AN32" s="246">
        <v>0</v>
      </c>
      <c r="AO32" s="239">
        <f t="shared" si="72"/>
        <v>2197</v>
      </c>
      <c r="AP32" s="246">
        <f>-13127-AQ32</f>
        <v>-5149</v>
      </c>
      <c r="AQ32" s="246">
        <v>-7978</v>
      </c>
      <c r="AR32" s="246">
        <v>-10333</v>
      </c>
      <c r="AS32" s="246">
        <f>-18739-AR32-AQ32-AP32</f>
        <v>4721</v>
      </c>
      <c r="AT32" s="239">
        <f t="shared" si="73"/>
        <v>-18739</v>
      </c>
      <c r="AU32" s="246">
        <f>-19410-AV32</f>
        <v>-9467</v>
      </c>
      <c r="AV32" s="246">
        <f>-15943-AV34</f>
        <v>-9943</v>
      </c>
      <c r="AW32" s="246">
        <v>-8785</v>
      </c>
      <c r="AX32" s="246">
        <f>-31457-AW32-AV32-AU32</f>
        <v>-3262</v>
      </c>
      <c r="AY32" s="239">
        <f t="shared" si="74"/>
        <v>-31457</v>
      </c>
      <c r="AZ32" s="259">
        <v>-10095</v>
      </c>
      <c r="BA32" s="259">
        <v>-10485</v>
      </c>
      <c r="BB32" s="245">
        <v>-26960</v>
      </c>
      <c r="BC32" s="245">
        <f>-93195-BB32-BA32-AZ32</f>
        <v>-45655</v>
      </c>
      <c r="BD32" s="239">
        <f t="shared" si="75"/>
        <v>-93195</v>
      </c>
      <c r="BE32" s="338">
        <v>-23928</v>
      </c>
      <c r="BF32" s="338">
        <v>8873</v>
      </c>
      <c r="BG32" s="245">
        <v>3183</v>
      </c>
      <c r="BH32" s="245">
        <f>-31977-BG32-BF32-BE32</f>
        <v>-20105</v>
      </c>
      <c r="BI32" s="239">
        <f t="shared" si="76"/>
        <v>-31977</v>
      </c>
      <c r="BJ32" s="338">
        <v>-4807</v>
      </c>
      <c r="BK32" s="245">
        <v>-10914</v>
      </c>
      <c r="BL32" s="245">
        <v>-8575</v>
      </c>
      <c r="BM32" s="245">
        <f>-43869-BL32-BK32-BJ32</f>
        <v>-19573</v>
      </c>
      <c r="BN32" s="239">
        <f t="shared" si="77"/>
        <v>-43869</v>
      </c>
      <c r="BO32" s="338">
        <v>6847</v>
      </c>
      <c r="BP32" s="245">
        <v>-121085</v>
      </c>
      <c r="BQ32" s="245">
        <f>12013+15179</f>
        <v>27192</v>
      </c>
      <c r="BR32" s="245">
        <f>89804-194350-BQ32-BP32-BO32</f>
        <v>-17500</v>
      </c>
      <c r="BS32" s="239">
        <f t="shared" si="78"/>
        <v>-104546</v>
      </c>
      <c r="BT32" s="338">
        <f>52786-41771+180</f>
        <v>11195</v>
      </c>
      <c r="BU32" s="245">
        <f>20547-47033</f>
        <v>-26486</v>
      </c>
      <c r="BV32" s="245">
        <f>35318-157445</f>
        <v>-122127</v>
      </c>
      <c r="BW32" s="245">
        <f>27831-263185-BV32-BU32-BT32+48008</f>
        <v>-49928</v>
      </c>
      <c r="BX32" s="239">
        <f t="shared" si="54"/>
        <v>-187346</v>
      </c>
      <c r="BY32" s="338">
        <f>6551-10012</f>
        <v>-3461</v>
      </c>
      <c r="BZ32" s="245">
        <f>8726-15335</f>
        <v>-6609</v>
      </c>
      <c r="CA32" s="246">
        <f>34431-25207</f>
        <v>9224</v>
      </c>
      <c r="CB32" s="246">
        <f>-24458+110587-46506+5721-CA32-BZ32-BY32</f>
        <v>46190</v>
      </c>
      <c r="CC32" s="239">
        <f t="shared" si="55"/>
        <v>45344</v>
      </c>
      <c r="CD32" s="338">
        <f>44875-68031</f>
        <v>-23156</v>
      </c>
      <c r="CE32" s="246">
        <f>10194-17257</f>
        <v>-7063</v>
      </c>
      <c r="CF32" s="246">
        <f>1367584-109725-(1403000-250000+375000-250000)</f>
        <v>-20141</v>
      </c>
      <c r="CG32" s="246">
        <f>1492096-226318-CF32-CE32-CD32-(1403000-250000+375000-250000)</f>
        <v>38138</v>
      </c>
      <c r="CH32" s="239">
        <f t="shared" si="56"/>
        <v>-12222</v>
      </c>
      <c r="CI32" s="246">
        <f>2155-22394</f>
        <v>-20239</v>
      </c>
      <c r="CJ32" s="246">
        <f>5674-9950</f>
        <v>-4276</v>
      </c>
      <c r="CK32" s="246">
        <f>47195-71510</f>
        <v>-24315</v>
      </c>
      <c r="CL32" s="246">
        <f>79487-130238-CK32-CJ32-CI32</f>
        <v>-1921</v>
      </c>
      <c r="CM32" s="239">
        <f t="shared" si="57"/>
        <v>-50751</v>
      </c>
      <c r="CN32" s="246">
        <f>13339-35290</f>
        <v>-21951</v>
      </c>
      <c r="CO32" s="246">
        <f>18890-31434</f>
        <v>-12544</v>
      </c>
      <c r="CP32" s="245">
        <f>201308-150686</f>
        <v>50622</v>
      </c>
      <c r="CQ32" s="246">
        <f>325209-293193-CP32-CO32-CN32</f>
        <v>15889</v>
      </c>
      <c r="CR32" s="239">
        <f t="shared" si="58"/>
        <v>32016</v>
      </c>
      <c r="CS32" s="246">
        <f>8303-16644</f>
        <v>-8341</v>
      </c>
      <c r="CT32" s="245">
        <f>90079-57477</f>
        <v>32602</v>
      </c>
      <c r="CU32" s="245">
        <f>26088-37811</f>
        <v>-11723</v>
      </c>
      <c r="CV32" s="246">
        <f>123166-157153-CU32-CT32-CS32</f>
        <v>-46525</v>
      </c>
      <c r="CW32" s="239">
        <f t="shared" si="59"/>
        <v>-33987</v>
      </c>
      <c r="CX32" s="245">
        <f>50588-45618</f>
        <v>4970</v>
      </c>
      <c r="CY32" s="245">
        <f>90642-84769</f>
        <v>5873</v>
      </c>
      <c r="CZ32" s="245">
        <f>111059-74483</f>
        <v>36576</v>
      </c>
      <c r="DA32" s="246">
        <f>405906-372134-CZ32-CY32-CX32</f>
        <v>-13647</v>
      </c>
      <c r="DB32" s="239">
        <f t="shared" si="60"/>
        <v>33772</v>
      </c>
      <c r="DC32" s="245">
        <f>3278-43726</f>
        <v>-40448</v>
      </c>
      <c r="DD32" s="245">
        <f>26238-40782</f>
        <v>-14544</v>
      </c>
      <c r="DE32" s="245">
        <f>270767-53350-DE34</f>
        <v>4417</v>
      </c>
      <c r="DF32" s="245">
        <f>424091-282844-DE32-DD32-DC32-DE34</f>
        <v>-21178</v>
      </c>
      <c r="DG32" s="239">
        <f t="shared" si="61"/>
        <v>-71753</v>
      </c>
      <c r="DH32" s="245">
        <f>21481-31353</f>
        <v>-9872</v>
      </c>
      <c r="DI32" s="245">
        <f>8744-35709</f>
        <v>-26965</v>
      </c>
      <c r="DJ32" s="246">
        <f>-1%*DJ5</f>
        <v>-27467.053225030002</v>
      </c>
      <c r="DK32" s="246">
        <f>-1%*DK5</f>
        <v>-30492.764493347455</v>
      </c>
      <c r="DL32" s="239">
        <f t="shared" si="62"/>
        <v>-94796.817718377453</v>
      </c>
      <c r="DM32" s="246">
        <f>-1.5%*DM5</f>
        <v>-43131.343893121913</v>
      </c>
      <c r="DN32" s="246">
        <f>-1.5%*DN5</f>
        <v>-45010.34274705944</v>
      </c>
      <c r="DO32" s="246">
        <f>-1.5%*DO5</f>
        <v>-46573.045605257576</v>
      </c>
      <c r="DP32" s="246">
        <f>-1.5%*DP5</f>
        <v>-50691.77163924522</v>
      </c>
      <c r="DQ32" s="239">
        <f t="shared" si="63"/>
        <v>-185406.50388468412</v>
      </c>
      <c r="DR32" s="246">
        <f>-1.5%*DR5</f>
        <v>-48008.611261854647</v>
      </c>
      <c r="DS32" s="246">
        <f>-1.5%*DS5</f>
        <v>-49636.251368940801</v>
      </c>
      <c r="DT32" s="246">
        <f>-1.5%*DT5</f>
        <v>-51064.538647068715</v>
      </c>
      <c r="DU32" s="246">
        <f>-1.5%*DU5</f>
        <v>-55188.401105972582</v>
      </c>
      <c r="DV32" s="239">
        <f t="shared" si="64"/>
        <v>-203897.80238383677</v>
      </c>
      <c r="DW32" s="246">
        <f>-1.5%*DW5</f>
        <v>-52105.787238351659</v>
      </c>
      <c r="DX32" s="246">
        <f>-1.5%*DX5</f>
        <v>-53703.574346362126</v>
      </c>
      <c r="DY32" s="246">
        <f>-1.5%*DY5</f>
        <v>-55065.755197231498</v>
      </c>
      <c r="DZ32" s="246">
        <f>-1.5%*DZ5</f>
        <v>-59282.726571654122</v>
      </c>
      <c r="EA32" s="239">
        <f t="shared" si="65"/>
        <v>-220157.8433535994</v>
      </c>
      <c r="EB32" s="246">
        <f>-1.5%*EB5</f>
        <v>-55924.621004096232</v>
      </c>
      <c r="EC32" s="246">
        <f>-1.5%*EC5</f>
        <v>-57526.907469985686</v>
      </c>
      <c r="ED32" s="246">
        <f>-1.5%*ED5</f>
        <v>-58850.177305607642</v>
      </c>
      <c r="EE32" s="246">
        <f>-1.5%*EE5</f>
        <v>-63148.127030272422</v>
      </c>
      <c r="EF32" s="239">
        <f t="shared" si="66"/>
        <v>-235449.83280996198</v>
      </c>
    </row>
    <row r="33" spans="1:137" ht="12.75" customHeight="1" outlineLevel="1">
      <c r="A33" s="71" t="s">
        <v>694</v>
      </c>
      <c r="B33" s="259">
        <f>-3500-SUM(C33:E33)</f>
        <v>-763</v>
      </c>
      <c r="C33" s="259">
        <v>-1244</v>
      </c>
      <c r="D33" s="259">
        <v>-1023</v>
      </c>
      <c r="E33" s="259">
        <v>-470</v>
      </c>
      <c r="F33" s="83">
        <f>SUM(B33:E33)</f>
        <v>-3500</v>
      </c>
      <c r="G33" s="259">
        <v>-1106</v>
      </c>
      <c r="H33" s="259">
        <v>-651</v>
      </c>
      <c r="I33" s="259">
        <v>-1017</v>
      </c>
      <c r="J33" s="259">
        <v>-313</v>
      </c>
      <c r="K33" s="83">
        <f>SUM(G33:J33)</f>
        <v>-3087</v>
      </c>
      <c r="L33" s="259">
        <f>-668-126</f>
        <v>-794</v>
      </c>
      <c r="M33" s="259">
        <f>-1688-L33-339</f>
        <v>-1233</v>
      </c>
      <c r="N33" s="259">
        <f>-2759-840-L33-M33</f>
        <v>-1572</v>
      </c>
      <c r="O33" s="259">
        <f>-3564-1494-SUM(L33:N33)</f>
        <v>-1459</v>
      </c>
      <c r="P33" s="83">
        <f>SUM(L33:O33)</f>
        <v>-5058</v>
      </c>
      <c r="Q33" s="259">
        <f>-2252-2914</f>
        <v>-5166</v>
      </c>
      <c r="R33" s="259">
        <f>-13846-542-Q33</f>
        <v>-9222</v>
      </c>
      <c r="S33" s="259">
        <f>-1007-683</f>
        <v>-1690</v>
      </c>
      <c r="T33" s="259">
        <f>-526+521</f>
        <v>-5</v>
      </c>
      <c r="U33" s="83">
        <f>SUM(Q33:T33)</f>
        <v>-16083</v>
      </c>
      <c r="V33" s="259">
        <f>-785-1037</f>
        <v>-1822</v>
      </c>
      <c r="W33" s="259">
        <f>-1321-11549</f>
        <v>-12870</v>
      </c>
      <c r="X33" s="259">
        <f>-1277-2586</f>
        <v>-3863</v>
      </c>
      <c r="Y33" s="259">
        <f>-17880-3890-V33-W33-X33</f>
        <v>-3215</v>
      </c>
      <c r="Z33" s="83">
        <f>SUM(V33:Y33)</f>
        <v>-21770</v>
      </c>
      <c r="AA33" s="259">
        <f>-AA68</f>
        <v>-2987</v>
      </c>
      <c r="AB33" s="259">
        <f>-AB68</f>
        <v>-3250</v>
      </c>
      <c r="AC33" s="259">
        <f>-AC68</f>
        <v>-3304</v>
      </c>
      <c r="AD33" s="259">
        <f>-AD68</f>
        <v>-26852</v>
      </c>
      <c r="AE33" s="83">
        <f>SUM(AA33:AD33)</f>
        <v>-36393</v>
      </c>
      <c r="AF33" s="259">
        <f>-AF68</f>
        <v>-18320</v>
      </c>
      <c r="AG33" s="259">
        <f>-AG68</f>
        <v>-10916</v>
      </c>
      <c r="AH33" s="259">
        <f>-AH68</f>
        <v>-11322</v>
      </c>
      <c r="AI33" s="259">
        <f>-AI68</f>
        <v>-18975</v>
      </c>
      <c r="AJ33" s="83">
        <f t="shared" si="71"/>
        <v>-59533</v>
      </c>
      <c r="AK33" s="259">
        <f>-741-2645</f>
        <v>-3386</v>
      </c>
      <c r="AL33" s="259">
        <f>-1940-4977-AK33</f>
        <v>-3531</v>
      </c>
      <c r="AM33" s="259">
        <f>-5926-6865-AK33-AL33</f>
        <v>-5874</v>
      </c>
      <c r="AN33" s="259">
        <f>-6826-6510-AK33-AL33-AM33</f>
        <v>-545</v>
      </c>
      <c r="AO33" s="239">
        <f t="shared" si="72"/>
        <v>-13336</v>
      </c>
      <c r="AP33" s="259">
        <f>-4139-5039-AQ33</f>
        <v>-2907</v>
      </c>
      <c r="AQ33" s="259">
        <f>-2562-3709</f>
        <v>-6271</v>
      </c>
      <c r="AR33" s="259">
        <v>-2308</v>
      </c>
      <c r="AS33" s="338">
        <f>-9228-9181-AP33-AQ33-AR33</f>
        <v>-6923</v>
      </c>
      <c r="AT33" s="239">
        <f t="shared" si="73"/>
        <v>-18409</v>
      </c>
      <c r="AU33" s="259">
        <f>-6024-4747-AV33</f>
        <v>-6158</v>
      </c>
      <c r="AV33" s="259">
        <f>-2286-2327</f>
        <v>-4613</v>
      </c>
      <c r="AW33" s="259">
        <v>-2278</v>
      </c>
      <c r="AX33" s="259">
        <f>-10186-9395-SUM(AU33:AW33)</f>
        <v>-6532</v>
      </c>
      <c r="AY33" s="239">
        <f t="shared" si="74"/>
        <v>-19581</v>
      </c>
      <c r="AZ33" s="259">
        <f>-2303-2360</f>
        <v>-4663</v>
      </c>
      <c r="BA33" s="259">
        <v>-6232</v>
      </c>
      <c r="BB33" s="259">
        <v>-5342</v>
      </c>
      <c r="BC33" s="259">
        <f>-21604-SUM(AZ33:BB33)</f>
        <v>-5367</v>
      </c>
      <c r="BD33" s="239">
        <f t="shared" si="75"/>
        <v>-21604</v>
      </c>
      <c r="BE33" s="259">
        <v>-4425</v>
      </c>
      <c r="BF33" s="259">
        <v>-5657</v>
      </c>
      <c r="BG33" s="259">
        <v>-4696</v>
      </c>
      <c r="BH33" s="259">
        <f>-21604-SUM(BE33:BG33)</f>
        <v>-6826</v>
      </c>
      <c r="BI33" s="239">
        <f t="shared" si="76"/>
        <v>-21604</v>
      </c>
      <c r="BJ33" s="338">
        <v>-7000</v>
      </c>
      <c r="BK33" s="338">
        <v>-7690</v>
      </c>
      <c r="BL33" s="338">
        <v>-11253</v>
      </c>
      <c r="BM33" s="338">
        <v>-31000</v>
      </c>
      <c r="BN33" s="239">
        <f t="shared" si="77"/>
        <v>-56943</v>
      </c>
      <c r="BO33" s="246">
        <f>-BO68</f>
        <v>-21342</v>
      </c>
      <c r="BP33" s="246">
        <f>-BP68</f>
        <v>-28661</v>
      </c>
      <c r="BQ33" s="246">
        <v>-10875</v>
      </c>
      <c r="BR33" s="246">
        <f>-55495-11040-SUM(BO33:BQ33)</f>
        <v>-5657</v>
      </c>
      <c r="BS33" s="239">
        <f t="shared" si="78"/>
        <v>-66535</v>
      </c>
      <c r="BT33" s="246">
        <f>-BT68</f>
        <v>-15867</v>
      </c>
      <c r="BU33" s="246">
        <f>-BU68</f>
        <v>-9584</v>
      </c>
      <c r="BV33" s="246">
        <v>-10875</v>
      </c>
      <c r="BW33" s="246">
        <f>-61369-SUM(BT33:BV33)</f>
        <v>-25043</v>
      </c>
      <c r="BX33" s="239">
        <f t="shared" si="54"/>
        <v>-61369</v>
      </c>
      <c r="BY33" s="246">
        <f>-BY68</f>
        <v>-24359</v>
      </c>
      <c r="BZ33" s="245">
        <f>-BZ68</f>
        <v>7881</v>
      </c>
      <c r="CA33" s="246">
        <f>-CA68</f>
        <v>-31538</v>
      </c>
      <c r="CB33" s="246">
        <f>-74678-SUM(BY33:CA33)</f>
        <v>-26662</v>
      </c>
      <c r="CC33" s="239">
        <f t="shared" si="55"/>
        <v>-74678</v>
      </c>
      <c r="CD33" s="246">
        <f>-CD68</f>
        <v>-17199</v>
      </c>
      <c r="CE33" s="246">
        <f>-CE68</f>
        <v>-13725</v>
      </c>
      <c r="CF33" s="246">
        <f>-CF68</f>
        <v>-8963</v>
      </c>
      <c r="CG33" s="246">
        <f>-51163-SUM(CD33:CF33)</f>
        <v>-11276</v>
      </c>
      <c r="CH33" s="239">
        <f t="shared" si="56"/>
        <v>-51163</v>
      </c>
      <c r="CI33" s="246">
        <f>-CI68</f>
        <v>-10932</v>
      </c>
      <c r="CJ33" s="246">
        <f>-CJ68</f>
        <v>-10462</v>
      </c>
      <c r="CK33" s="246">
        <f>-CK68</f>
        <v>-11020</v>
      </c>
      <c r="CL33" s="246">
        <f>-40023-SUM(CI33:CK33)</f>
        <v>-7609</v>
      </c>
      <c r="CM33" s="239">
        <f t="shared" si="57"/>
        <v>-40023</v>
      </c>
      <c r="CN33" s="246">
        <f>-CN68</f>
        <v>-8532</v>
      </c>
      <c r="CO33" s="246">
        <f>-CO68</f>
        <v>-9251</v>
      </c>
      <c r="CP33" s="246">
        <f>-CP68</f>
        <v>-22832</v>
      </c>
      <c r="CQ33" s="246">
        <f>-43474-SUM(CN33:CP33)</f>
        <v>-2859</v>
      </c>
      <c r="CR33" s="239">
        <f>SUM(CN33:CQ33)</f>
        <v>-43474</v>
      </c>
      <c r="CS33" s="246">
        <f>-CS68</f>
        <v>-29284</v>
      </c>
      <c r="CT33" s="246">
        <f>-CT68</f>
        <v>-16071</v>
      </c>
      <c r="CU33" s="246">
        <f>-CU68</f>
        <v>-42302</v>
      </c>
      <c r="CV33" s="245">
        <f>-67088-SUM(CS33:CU33)</f>
        <v>20569</v>
      </c>
      <c r="CW33" s="239">
        <f t="shared" si="59"/>
        <v>-67088</v>
      </c>
      <c r="CX33" s="246">
        <f>-CX68</f>
        <v>-23638</v>
      </c>
      <c r="CY33" s="246">
        <f>-CY68</f>
        <v>-16365</v>
      </c>
      <c r="CZ33" s="246">
        <f>-CZ68</f>
        <v>-39999</v>
      </c>
      <c r="DA33" s="246">
        <f>-DA68</f>
        <v>-20057</v>
      </c>
      <c r="DB33" s="239">
        <f t="shared" si="60"/>
        <v>-100059</v>
      </c>
      <c r="DC33" s="246">
        <f>-DC68</f>
        <v>-30272</v>
      </c>
      <c r="DD33" s="246">
        <f>-DD68</f>
        <v>-23802</v>
      </c>
      <c r="DE33" s="246">
        <f>-DE68</f>
        <v>-28629</v>
      </c>
      <c r="DF33" s="246">
        <f>-DF68</f>
        <v>-49872</v>
      </c>
      <c r="DG33" s="239">
        <f t="shared" si="61"/>
        <v>-132575</v>
      </c>
      <c r="DH33" s="246">
        <f>-DH68</f>
        <v>-54583</v>
      </c>
      <c r="DI33" s="246">
        <f>-DI68</f>
        <v>-41166</v>
      </c>
      <c r="DJ33" s="258">
        <f>DI33*DJ68/DI68</f>
        <v>-42672.762305488272</v>
      </c>
      <c r="DK33" s="258">
        <f>DJ33*DK68/DJ68</f>
        <v>-42939.215041441901</v>
      </c>
      <c r="DL33" s="239">
        <f t="shared" si="62"/>
        <v>-181360.97734693019</v>
      </c>
      <c r="DM33" s="258">
        <f>DL33*DM68/DL68</f>
        <v>-43207.331533305885</v>
      </c>
      <c r="DN33" s="258">
        <f>DM33*DN68/DM68</f>
        <v>-43477.122169728405</v>
      </c>
      <c r="DO33" s="258">
        <f>DN33*DO68/DN68</f>
        <v>-43748.597404225344</v>
      </c>
      <c r="DP33" s="258">
        <f>DO33*DP68/DO68</f>
        <v>-44021.767755585286</v>
      </c>
      <c r="DQ33" s="239">
        <f t="shared" si="63"/>
        <v>-174454.81886284493</v>
      </c>
      <c r="DR33" s="258">
        <f>DQ33*DR68/DQ68</f>
        <v>-44296.643808277149</v>
      </c>
      <c r="DS33" s="258">
        <f>DR33*DS68/DR68</f>
        <v>-44573.236212860276</v>
      </c>
      <c r="DT33" s="258">
        <f>DS33*DT68/DS68</f>
        <v>-44851.555686397056</v>
      </c>
      <c r="DU33" s="258">
        <f>DT33*DU68/DT68</f>
        <v>-45131.613012868285</v>
      </c>
      <c r="DV33" s="239">
        <f t="shared" si="64"/>
        <v>-178853.04872040276</v>
      </c>
      <c r="DW33" s="258">
        <f>DV33*DW68/DV68</f>
        <v>-45413.419043590897</v>
      </c>
      <c r="DX33" s="258">
        <f>DW33*DX68/DW68</f>
        <v>-45696.984697638487</v>
      </c>
      <c r="DY33" s="258">
        <f>DX33*DY68/DX68</f>
        <v>-45982.320962264392</v>
      </c>
      <c r="DZ33" s="258">
        <f>DY33*DZ68/DY68</f>
        <v>-46269.438893327351</v>
      </c>
      <c r="EA33" s="239">
        <f t="shared" si="65"/>
        <v>-183362.1635968211</v>
      </c>
      <c r="EB33" s="258">
        <f>EA33*EB68/EA68</f>
        <v>-46558.349615719948</v>
      </c>
      <c r="EC33" s="258">
        <f>EB33*EC68/EB68</f>
        <v>-46849.064323799641</v>
      </c>
      <c r="ED33" s="258">
        <f>EC33*ED68/EC68</f>
        <v>-47141.594281822494</v>
      </c>
      <c r="EE33" s="258">
        <f>ED33*EE68/ED68</f>
        <v>-47435.950824379674</v>
      </c>
      <c r="EF33" s="239">
        <f t="shared" si="66"/>
        <v>-187984.95904572174</v>
      </c>
    </row>
    <row r="34" spans="1:137" ht="12.75" customHeight="1" outlineLevel="1">
      <c r="A34" s="71" t="s">
        <v>692</v>
      </c>
      <c r="B34" s="246"/>
      <c r="C34" s="246"/>
      <c r="D34" s="246"/>
      <c r="E34" s="246"/>
      <c r="F34" s="239">
        <f t="shared" si="79"/>
        <v>0</v>
      </c>
      <c r="G34" s="246">
        <v>0</v>
      </c>
      <c r="H34" s="246">
        <v>0</v>
      </c>
      <c r="I34" s="246">
        <v>-25726</v>
      </c>
      <c r="J34" s="246">
        <v>0</v>
      </c>
      <c r="K34" s="239">
        <f t="shared" si="80"/>
        <v>-25726</v>
      </c>
      <c r="L34" s="246">
        <v>0</v>
      </c>
      <c r="M34" s="246">
        <v>-1114</v>
      </c>
      <c r="N34" s="246">
        <f>-20827-M34</f>
        <v>-19713</v>
      </c>
      <c r="O34" s="246">
        <v>0</v>
      </c>
      <c r="P34" s="239">
        <f t="shared" si="67"/>
        <v>-20827</v>
      </c>
      <c r="Q34" s="246">
        <v>0</v>
      </c>
      <c r="R34" s="246">
        <v>112894</v>
      </c>
      <c r="S34" s="246">
        <v>0</v>
      </c>
      <c r="T34" s="246">
        <v>0</v>
      </c>
      <c r="U34" s="239">
        <f t="shared" si="68"/>
        <v>112894</v>
      </c>
      <c r="V34" s="246">
        <v>0</v>
      </c>
      <c r="W34" s="246">
        <v>0</v>
      </c>
      <c r="X34" s="246">
        <v>0</v>
      </c>
      <c r="Y34" s="246">
        <v>0</v>
      </c>
      <c r="Z34" s="239">
        <f t="shared" si="69"/>
        <v>0</v>
      </c>
      <c r="AA34" s="246">
        <v>0</v>
      </c>
      <c r="AB34" s="246">
        <v>0</v>
      </c>
      <c r="AC34" s="246">
        <v>0</v>
      </c>
      <c r="AD34" s="246">
        <v>0</v>
      </c>
      <c r="AE34" s="239">
        <f t="shared" si="70"/>
        <v>0</v>
      </c>
      <c r="AF34" s="246">
        <v>0</v>
      </c>
      <c r="AG34" s="246"/>
      <c r="AH34" s="246">
        <v>0</v>
      </c>
      <c r="AI34" s="246">
        <v>0</v>
      </c>
      <c r="AJ34" s="239">
        <f t="shared" si="71"/>
        <v>0</v>
      </c>
      <c r="AK34" s="246">
        <v>0</v>
      </c>
      <c r="AL34" s="246">
        <v>0</v>
      </c>
      <c r="AM34" s="246">
        <v>0</v>
      </c>
      <c r="AN34" s="245">
        <f>-34023-AK32-AL32-AM32</f>
        <v>-36220</v>
      </c>
      <c r="AO34" s="239">
        <f t="shared" si="72"/>
        <v>-36220</v>
      </c>
      <c r="AP34" s="245">
        <v>-18000</v>
      </c>
      <c r="AQ34" s="246">
        <v>0</v>
      </c>
      <c r="AR34" s="246">
        <v>0</v>
      </c>
      <c r="AS34" s="246">
        <v>0</v>
      </c>
      <c r="AT34" s="239">
        <f t="shared" si="73"/>
        <v>-18000</v>
      </c>
      <c r="AU34" s="246">
        <v>0</v>
      </c>
      <c r="AV34" s="246">
        <v>-6000</v>
      </c>
      <c r="AW34" s="246">
        <v>0</v>
      </c>
      <c r="AX34" s="246">
        <v>0</v>
      </c>
      <c r="AY34" s="239">
        <f t="shared" si="74"/>
        <v>-6000</v>
      </c>
      <c r="AZ34" s="246">
        <v>0</v>
      </c>
      <c r="BA34" s="246">
        <v>0</v>
      </c>
      <c r="BB34" s="246">
        <v>0</v>
      </c>
      <c r="BC34" s="246">
        <v>0</v>
      </c>
      <c r="BD34" s="239">
        <f t="shared" si="75"/>
        <v>0</v>
      </c>
      <c r="BE34" s="246">
        <v>0</v>
      </c>
      <c r="BF34" s="246">
        <v>0</v>
      </c>
      <c r="BG34" s="246">
        <v>0</v>
      </c>
      <c r="BH34" s="246">
        <v>0</v>
      </c>
      <c r="BI34" s="239">
        <f t="shared" si="76"/>
        <v>0</v>
      </c>
      <c r="BJ34" s="246">
        <v>0</v>
      </c>
      <c r="BK34" s="246">
        <v>0</v>
      </c>
      <c r="BL34" s="246">
        <v>0</v>
      </c>
      <c r="BM34" s="246">
        <v>0</v>
      </c>
      <c r="BN34" s="239">
        <f t="shared" si="77"/>
        <v>0</v>
      </c>
      <c r="BO34" s="246">
        <v>0</v>
      </c>
      <c r="BP34" s="246">
        <v>0</v>
      </c>
      <c r="BQ34" s="246">
        <v>0</v>
      </c>
      <c r="BR34" s="246">
        <v>0</v>
      </c>
      <c r="BS34" s="239">
        <f t="shared" si="78"/>
        <v>0</v>
      </c>
      <c r="BT34" s="246">
        <v>0</v>
      </c>
      <c r="BU34" s="246">
        <v>0</v>
      </c>
      <c r="BV34" s="246">
        <v>0</v>
      </c>
      <c r="BW34" s="246">
        <v>0</v>
      </c>
      <c r="BX34" s="239">
        <f t="shared" si="54"/>
        <v>0</v>
      </c>
      <c r="BY34" s="246">
        <v>0</v>
      </c>
      <c r="BZ34" s="246">
        <v>0</v>
      </c>
      <c r="CA34" s="246">
        <v>0</v>
      </c>
      <c r="CB34" s="246">
        <v>0</v>
      </c>
      <c r="CC34" s="239">
        <f t="shared" si="55"/>
        <v>0</v>
      </c>
      <c r="CD34" s="246">
        <v>0</v>
      </c>
      <c r="CE34" s="246">
        <v>0</v>
      </c>
      <c r="CF34" s="246">
        <v>0</v>
      </c>
      <c r="CG34" s="246">
        <v>0</v>
      </c>
      <c r="CH34" s="239">
        <f t="shared" si="56"/>
        <v>0</v>
      </c>
      <c r="CI34" s="246">
        <v>0</v>
      </c>
      <c r="CJ34" s="246">
        <v>0</v>
      </c>
      <c r="CK34" s="246">
        <v>0</v>
      </c>
      <c r="CL34" s="246">
        <v>0</v>
      </c>
      <c r="CM34" s="239">
        <f t="shared" si="57"/>
        <v>0</v>
      </c>
      <c r="CN34" s="246">
        <v>0</v>
      </c>
      <c r="CO34" s="246">
        <v>0</v>
      </c>
      <c r="CP34" s="246">
        <v>0</v>
      </c>
      <c r="CQ34" s="246">
        <v>0</v>
      </c>
      <c r="CR34" s="239">
        <f t="shared" si="58"/>
        <v>0</v>
      </c>
      <c r="CS34" s="246">
        <v>0</v>
      </c>
      <c r="CT34" s="246">
        <v>0</v>
      </c>
      <c r="CU34" s="246">
        <v>0</v>
      </c>
      <c r="CV34" s="246">
        <v>0</v>
      </c>
      <c r="CW34" s="239">
        <f t="shared" si="59"/>
        <v>0</v>
      </c>
      <c r="CX34" s="246">
        <v>0</v>
      </c>
      <c r="CY34" s="246">
        <v>0</v>
      </c>
      <c r="CZ34" s="246">
        <v>0</v>
      </c>
      <c r="DA34" s="246">
        <v>0</v>
      </c>
      <c r="DB34" s="239">
        <f t="shared" si="60"/>
        <v>0</v>
      </c>
      <c r="DC34" s="246">
        <v>0</v>
      </c>
      <c r="DD34" s="246">
        <v>0</v>
      </c>
      <c r="DE34" s="245">
        <v>213000</v>
      </c>
      <c r="DF34" s="246">
        <v>0</v>
      </c>
      <c r="DG34" s="239">
        <f t="shared" si="61"/>
        <v>213000</v>
      </c>
      <c r="DH34" s="246">
        <v>0</v>
      </c>
      <c r="DI34" s="246">
        <v>0</v>
      </c>
      <c r="DJ34" s="246">
        <v>0</v>
      </c>
      <c r="DK34" s="246">
        <v>0</v>
      </c>
      <c r="DL34" s="239">
        <f t="shared" si="62"/>
        <v>0</v>
      </c>
      <c r="DM34" s="246">
        <v>0</v>
      </c>
      <c r="DN34" s="246">
        <v>0</v>
      </c>
      <c r="DO34" s="246">
        <v>0</v>
      </c>
      <c r="DP34" s="246">
        <v>0</v>
      </c>
      <c r="DQ34" s="239">
        <f t="shared" si="63"/>
        <v>0</v>
      </c>
      <c r="DR34" s="246">
        <v>0</v>
      </c>
      <c r="DS34" s="246">
        <v>0</v>
      </c>
      <c r="DT34" s="246">
        <v>0</v>
      </c>
      <c r="DU34" s="246">
        <v>0</v>
      </c>
      <c r="DV34" s="239">
        <f t="shared" si="64"/>
        <v>0</v>
      </c>
      <c r="DW34" s="246">
        <v>0</v>
      </c>
      <c r="DX34" s="246">
        <v>0</v>
      </c>
      <c r="DY34" s="246">
        <v>0</v>
      </c>
      <c r="DZ34" s="246">
        <v>0</v>
      </c>
      <c r="EA34" s="239">
        <f t="shared" si="65"/>
        <v>0</v>
      </c>
      <c r="EB34" s="246">
        <v>0</v>
      </c>
      <c r="EC34" s="246">
        <v>0</v>
      </c>
      <c r="ED34" s="246">
        <v>0</v>
      </c>
      <c r="EE34" s="246">
        <v>0</v>
      </c>
      <c r="EF34" s="239">
        <f t="shared" si="66"/>
        <v>0</v>
      </c>
    </row>
    <row r="35" spans="1:137" ht="12.75" customHeight="1">
      <c r="A35" s="71" t="s">
        <v>36</v>
      </c>
      <c r="B35" s="246"/>
      <c r="C35" s="246"/>
      <c r="D35" s="246"/>
      <c r="E35" s="246"/>
      <c r="F35" s="239">
        <f t="shared" si="79"/>
        <v>0</v>
      </c>
      <c r="G35" s="246"/>
      <c r="H35" s="246"/>
      <c r="I35" s="246"/>
      <c r="J35" s="246"/>
      <c r="K35" s="239">
        <f t="shared" si="80"/>
        <v>0</v>
      </c>
      <c r="L35" s="246">
        <v>-277</v>
      </c>
      <c r="M35" s="246"/>
      <c r="N35" s="246">
        <f>M35*N$10/M$10</f>
        <v>0</v>
      </c>
      <c r="O35" s="246">
        <f>N35*O$10/N$10</f>
        <v>0</v>
      </c>
      <c r="P35" s="239">
        <f t="shared" si="67"/>
        <v>-277</v>
      </c>
      <c r="Q35" s="246">
        <v>-4046</v>
      </c>
      <c r="R35" s="246">
        <v>0</v>
      </c>
      <c r="S35" s="246">
        <v>7668</v>
      </c>
      <c r="T35" s="246">
        <f>103922-SUM(Q34:S35)</f>
        <v>-12594</v>
      </c>
      <c r="U35" s="239">
        <f>SUM(Q35:T35)</f>
        <v>-8972</v>
      </c>
      <c r="V35" s="246">
        <v>-11790</v>
      </c>
      <c r="W35" s="246">
        <v>-8688</v>
      </c>
      <c r="X35" s="246">
        <v>-6929</v>
      </c>
      <c r="Y35" s="246">
        <f>-42755-SUM(V35:X35)</f>
        <v>-15348</v>
      </c>
      <c r="Z35" s="239">
        <f>SUM(V35:Y35)</f>
        <v>-42755</v>
      </c>
      <c r="AA35" s="246">
        <v>-2507</v>
      </c>
      <c r="AB35" s="246">
        <v>11053</v>
      </c>
      <c r="AC35" s="246">
        <v>16914</v>
      </c>
      <c r="AD35" s="246">
        <v>4992</v>
      </c>
      <c r="AE35" s="239">
        <f>SUM(AA35:AD35)</f>
        <v>30452</v>
      </c>
      <c r="AF35" s="246">
        <f>236-15877</f>
        <v>-15641</v>
      </c>
      <c r="AG35" s="246">
        <v>0</v>
      </c>
      <c r="AH35" s="246">
        <f>167-10921</f>
        <v>-10754</v>
      </c>
      <c r="AI35" s="246">
        <f>579-7314</f>
        <v>-6735</v>
      </c>
      <c r="AJ35" s="239">
        <f>SUM(AF35:AI35)</f>
        <v>-33130</v>
      </c>
      <c r="AK35" s="246">
        <f>-3193+250</f>
        <v>-2943</v>
      </c>
      <c r="AL35" s="246">
        <f>-3293+491</f>
        <v>-2802</v>
      </c>
      <c r="AM35" s="246">
        <f>-4399+183</f>
        <v>-4216</v>
      </c>
      <c r="AN35" s="245">
        <f>-54858+1449-AK35-AL35-AM35</f>
        <v>-43448</v>
      </c>
      <c r="AO35" s="239">
        <f>SUM(AK35:AN35)</f>
        <v>-53409</v>
      </c>
      <c r="AP35" s="246">
        <f>41443-AQ35</f>
        <v>2108</v>
      </c>
      <c r="AQ35" s="246">
        <f>39335</f>
        <v>39335</v>
      </c>
      <c r="AR35" s="246">
        <f>9719-13751</f>
        <v>-4032</v>
      </c>
      <c r="AS35" s="246">
        <f>-31731+64027-AR35-AQ35-AP35-AP34</f>
        <v>12885</v>
      </c>
      <c r="AT35" s="239">
        <f>SUM(AP35:AS35)</f>
        <v>50296</v>
      </c>
      <c r="AU35" s="246">
        <f>25968+15648-AV35</f>
        <v>21718</v>
      </c>
      <c r="AV35" s="246">
        <f>12865+7033</f>
        <v>19898</v>
      </c>
      <c r="AW35" s="246">
        <f>23195-2231</f>
        <v>20964</v>
      </c>
      <c r="AX35" s="259">
        <f>90094+16536-SUM(AU35:AW35)</f>
        <v>44050</v>
      </c>
      <c r="AY35" s="239">
        <f>SUM(AU35:AX35)</f>
        <v>106630</v>
      </c>
      <c r="AZ35" s="245">
        <f>6853-2545</f>
        <v>4308</v>
      </c>
      <c r="BA35" s="246">
        <f>28886+2882</f>
        <v>31768</v>
      </c>
      <c r="BB35" s="246">
        <f>35253+2528</f>
        <v>37781</v>
      </c>
      <c r="BC35" s="259">
        <f>118221+436-SUM(AZ35:BB35)</f>
        <v>44800</v>
      </c>
      <c r="BD35" s="239">
        <f>SUM(AZ35:BC35)</f>
        <v>118657</v>
      </c>
      <c r="BE35" s="246">
        <f>8606+2814</f>
        <v>11420</v>
      </c>
      <c r="BF35" s="246">
        <f>22274-6292</f>
        <v>15982</v>
      </c>
      <c r="BG35" s="246">
        <f>28608+2422</f>
        <v>31030</v>
      </c>
      <c r="BH35" s="259">
        <f>73645+6-SUM(BE35:BG35)</f>
        <v>15219</v>
      </c>
      <c r="BI35" s="239">
        <f t="shared" si="76"/>
        <v>73651</v>
      </c>
      <c r="BJ35" s="246">
        <f>6821+61</f>
        <v>6882</v>
      </c>
      <c r="BK35" s="246">
        <f>13992-1256</f>
        <v>12736</v>
      </c>
      <c r="BL35" s="246">
        <f>-1606+7401</f>
        <v>5795</v>
      </c>
      <c r="BM35" s="259">
        <f>49438+10288-SUM(BJ35:BL35)</f>
        <v>34313</v>
      </c>
      <c r="BN35" s="239">
        <f t="shared" si="77"/>
        <v>59726</v>
      </c>
      <c r="BO35" s="246">
        <v>1752</v>
      </c>
      <c r="BP35" s="245">
        <f>19303+15047</f>
        <v>34350</v>
      </c>
      <c r="BQ35" s="246">
        <f>25084</f>
        <v>25084</v>
      </c>
      <c r="BR35" s="259">
        <f>73690+53675-SUM(BO35:BQ35)</f>
        <v>66179</v>
      </c>
      <c r="BS35" s="239">
        <f t="shared" si="78"/>
        <v>127365</v>
      </c>
      <c r="BT35" s="246">
        <v>10149</v>
      </c>
      <c r="BU35" s="246">
        <v>14024</v>
      </c>
      <c r="BV35" s="246">
        <v>22686</v>
      </c>
      <c r="BW35" s="259">
        <f>107654-SUM(BT35:BV35)</f>
        <v>60795</v>
      </c>
      <c r="BX35" s="239">
        <f t="shared" si="54"/>
        <v>107654</v>
      </c>
      <c r="BY35" s="246">
        <v>-842</v>
      </c>
      <c r="BZ35" s="246">
        <v>51491</v>
      </c>
      <c r="CA35" s="246">
        <f>86429-SUM(BY35:BZ35)</f>
        <v>35780</v>
      </c>
      <c r="CB35" s="259">
        <f>104200-SUM(BY35:CA35)</f>
        <v>17771</v>
      </c>
      <c r="CC35" s="239">
        <f t="shared" si="55"/>
        <v>104200</v>
      </c>
      <c r="CD35" s="246">
        <v>10692</v>
      </c>
      <c r="CE35" s="246">
        <v>21467</v>
      </c>
      <c r="CF35" s="245">
        <f>314800-250000</f>
        <v>64800</v>
      </c>
      <c r="CG35" s="338">
        <f>405712-SUM(CD35:CF35)-250000</f>
        <v>58753</v>
      </c>
      <c r="CH35" s="239">
        <f t="shared" si="56"/>
        <v>155712</v>
      </c>
      <c r="CI35" s="246">
        <v>79017</v>
      </c>
      <c r="CJ35" s="246">
        <v>74405</v>
      </c>
      <c r="CK35" s="246">
        <v>78321</v>
      </c>
      <c r="CL35" s="259">
        <f>297167-SUM(CI35:CK35)</f>
        <v>65424</v>
      </c>
      <c r="CM35" s="239">
        <f t="shared" si="57"/>
        <v>297167</v>
      </c>
      <c r="CN35" s="246">
        <v>60334</v>
      </c>
      <c r="CO35" s="246">
        <v>38724</v>
      </c>
      <c r="CP35" s="246">
        <v>59701</v>
      </c>
      <c r="CQ35" s="259">
        <f>217085-SUM(CN35:CP35)</f>
        <v>58326</v>
      </c>
      <c r="CR35" s="239">
        <f t="shared" si="58"/>
        <v>217085</v>
      </c>
      <c r="CS35" s="246">
        <v>47138</v>
      </c>
      <c r="CT35" s="246">
        <v>33021</v>
      </c>
      <c r="CU35" s="246">
        <v>89430</v>
      </c>
      <c r="CV35" s="259">
        <f>262059-SUM(CS35:CU35)</f>
        <v>92470</v>
      </c>
      <c r="CW35" s="239">
        <f t="shared" si="59"/>
        <v>262059</v>
      </c>
      <c r="CX35" s="246">
        <v>100891</v>
      </c>
      <c r="CY35" s="246">
        <v>116467</v>
      </c>
      <c r="CZ35" s="246">
        <v>135914</v>
      </c>
      <c r="DA35" s="259">
        <f>500880-SUM(CX35:CZ35)</f>
        <v>147608</v>
      </c>
      <c r="DB35" s="239">
        <f t="shared" si="60"/>
        <v>500880</v>
      </c>
      <c r="DC35" s="246">
        <v>112558</v>
      </c>
      <c r="DD35" s="246">
        <v>139609</v>
      </c>
      <c r="DE35" s="246">
        <v>131891</v>
      </c>
      <c r="DF35" s="259">
        <f>548106-SUM(DC35:DE35)</f>
        <v>164048</v>
      </c>
      <c r="DG35" s="239">
        <f t="shared" si="61"/>
        <v>548106</v>
      </c>
      <c r="DH35" s="246">
        <v>128141</v>
      </c>
      <c r="DI35" s="246">
        <v>106557</v>
      </c>
      <c r="DJ35" s="246">
        <v>152756.77435510326</v>
      </c>
      <c r="DK35" s="246">
        <v>167018.49188163708</v>
      </c>
      <c r="DL35" s="239">
        <f t="shared" si="62"/>
        <v>554473.2662367404</v>
      </c>
      <c r="DM35" s="246">
        <v>161378.41027654873</v>
      </c>
      <c r="DN35" s="246">
        <v>173048.6787032843</v>
      </c>
      <c r="DO35" s="246">
        <v>180222.14820831997</v>
      </c>
      <c r="DP35" s="246">
        <v>187958.75119546882</v>
      </c>
      <c r="DQ35" s="239">
        <f t="shared" si="63"/>
        <v>702607.98838362191</v>
      </c>
      <c r="DR35" s="246">
        <v>192616.96685710427</v>
      </c>
      <c r="DS35" s="246">
        <v>194891.28074523329</v>
      </c>
      <c r="DT35" s="246">
        <v>203839.02061296973</v>
      </c>
      <c r="DU35" s="246">
        <v>212288.59959044517</v>
      </c>
      <c r="DV35" s="239">
        <f t="shared" si="64"/>
        <v>803635.86780575244</v>
      </c>
      <c r="DW35" s="246">
        <v>211491.82355641481</v>
      </c>
      <c r="DX35" s="246">
        <v>210466.43476664647</v>
      </c>
      <c r="DY35" s="246">
        <v>219455.57802435427</v>
      </c>
      <c r="DZ35" s="246">
        <v>227947.17576196307</v>
      </c>
      <c r="EA35" s="239">
        <f t="shared" si="65"/>
        <v>869361.01210937859</v>
      </c>
      <c r="EB35" s="246">
        <v>226204.02631280886</v>
      </c>
      <c r="EC35" s="246">
        <v>224390.49181357303</v>
      </c>
      <c r="ED35" s="246">
        <v>233396.84704300642</v>
      </c>
      <c r="EE35" s="246">
        <v>241946.54516452478</v>
      </c>
      <c r="EF35" s="239">
        <f t="shared" si="66"/>
        <v>925937.91033391317</v>
      </c>
      <c r="EG35" s="236"/>
    </row>
    <row r="36" spans="1:137" ht="12.75" customHeight="1" outlineLevel="1">
      <c r="A36" s="78" t="s">
        <v>37</v>
      </c>
      <c r="B36" s="240">
        <f>B15+B16</f>
        <v>31827</v>
      </c>
      <c r="C36" s="240">
        <f>C15+C16</f>
        <v>31827</v>
      </c>
      <c r="D36" s="240">
        <f>D15+D16</f>
        <v>32583</v>
      </c>
      <c r="E36" s="240">
        <f>E15+E16</f>
        <v>50959</v>
      </c>
      <c r="F36" s="241">
        <f t="shared" si="79"/>
        <v>147196</v>
      </c>
      <c r="G36" s="240">
        <f>G15+G16</f>
        <v>51523</v>
      </c>
      <c r="H36" s="240">
        <f>H15+H16</f>
        <v>40270</v>
      </c>
      <c r="I36" s="240">
        <f>I15+I16</f>
        <v>55898</v>
      </c>
      <c r="J36" s="240">
        <f>J15+J16</f>
        <v>13975</v>
      </c>
      <c r="K36" s="241">
        <f t="shared" si="80"/>
        <v>161666</v>
      </c>
      <c r="L36" s="240">
        <f t="shared" ref="L36:W36" si="81">L15+L16</f>
        <v>83775</v>
      </c>
      <c r="M36" s="240">
        <f t="shared" si="81"/>
        <v>98864</v>
      </c>
      <c r="N36" s="240">
        <f t="shared" si="81"/>
        <v>44130</v>
      </c>
      <c r="O36" s="240">
        <f t="shared" si="81"/>
        <v>101818</v>
      </c>
      <c r="P36" s="241">
        <f t="shared" si="67"/>
        <v>328587</v>
      </c>
      <c r="Q36" s="240">
        <f t="shared" si="81"/>
        <v>54042</v>
      </c>
      <c r="R36" s="240">
        <f t="shared" si="81"/>
        <v>223770</v>
      </c>
      <c r="S36" s="240">
        <f t="shared" si="81"/>
        <v>125151</v>
      </c>
      <c r="T36" s="240">
        <f t="shared" si="81"/>
        <v>134601</v>
      </c>
      <c r="U36" s="241">
        <f t="shared" si="68"/>
        <v>537564</v>
      </c>
      <c r="V36" s="240">
        <f>V15+V16</f>
        <v>93476</v>
      </c>
      <c r="W36" s="240">
        <f t="shared" si="81"/>
        <v>148940</v>
      </c>
      <c r="X36" s="240">
        <f>X15+X16</f>
        <v>116514</v>
      </c>
      <c r="Y36" s="240">
        <f>Y15+Y16</f>
        <v>83063</v>
      </c>
      <c r="Z36" s="241">
        <f t="shared" si="69"/>
        <v>441993</v>
      </c>
      <c r="AA36" s="240">
        <f>AA15+AA16</f>
        <v>150520</v>
      </c>
      <c r="AB36" s="240">
        <f>AB15+AB16</f>
        <v>203666</v>
      </c>
      <c r="AC36" s="240">
        <f>AC15+AC16</f>
        <v>367828</v>
      </c>
      <c r="AD36" s="240">
        <f>AD15+AD16</f>
        <v>249943</v>
      </c>
      <c r="AE36" s="241">
        <f t="shared" si="70"/>
        <v>971957</v>
      </c>
      <c r="AF36" s="240">
        <f>AF15+AF16</f>
        <v>215784</v>
      </c>
      <c r="AG36" s="240">
        <f>AG15+AG16</f>
        <v>236231</v>
      </c>
      <c r="AH36" s="240">
        <f>AH15+AH16</f>
        <v>235747</v>
      </c>
      <c r="AI36" s="240">
        <f>AI15+AI16</f>
        <v>140148</v>
      </c>
      <c r="AJ36" s="241">
        <f t="shared" si="71"/>
        <v>827910</v>
      </c>
      <c r="AK36" s="240">
        <f>AK15+AK16</f>
        <v>131959</v>
      </c>
      <c r="AL36" s="240">
        <f>AL15+AL16</f>
        <v>140994</v>
      </c>
      <c r="AM36" s="240">
        <f>AM15+AM16</f>
        <v>224935</v>
      </c>
      <c r="AN36" s="240">
        <f>AN15+AN16</f>
        <v>282510</v>
      </c>
      <c r="AO36" s="241">
        <f t="shared" si="72"/>
        <v>780398</v>
      </c>
      <c r="AP36" s="240">
        <f>AP15+AP16</f>
        <v>226921</v>
      </c>
      <c r="AQ36" s="240">
        <f>AQ15+AQ16</f>
        <v>231469</v>
      </c>
      <c r="AR36" s="240">
        <f>AR15+AR16</f>
        <v>214094</v>
      </c>
      <c r="AS36" s="240">
        <f>AS15+AS16</f>
        <v>315885</v>
      </c>
      <c r="AT36" s="241">
        <f t="shared" si="73"/>
        <v>988369</v>
      </c>
      <c r="AU36" s="240">
        <f>AU15+AU16</f>
        <v>235437</v>
      </c>
      <c r="AV36" s="240">
        <f>AV15+AV16</f>
        <v>258296</v>
      </c>
      <c r="AW36" s="240">
        <f>AW15+AW16</f>
        <v>260600</v>
      </c>
      <c r="AX36" s="240">
        <f>AX15+AX16</f>
        <v>269557</v>
      </c>
      <c r="AY36" s="241">
        <f t="shared" si="74"/>
        <v>1023890</v>
      </c>
      <c r="AZ36" s="240">
        <f>AZ15+AZ16</f>
        <v>228596</v>
      </c>
      <c r="BA36" s="240">
        <f>BA15+BA16</f>
        <v>250828</v>
      </c>
      <c r="BB36" s="240">
        <f>BB15+BB16</f>
        <v>260340</v>
      </c>
      <c r="BC36" s="240">
        <f>BC15+BC16</f>
        <v>236643</v>
      </c>
      <c r="BD36" s="241">
        <f t="shared" si="75"/>
        <v>976407</v>
      </c>
      <c r="BE36" s="240">
        <f>BE15+BE16</f>
        <v>141254</v>
      </c>
      <c r="BF36" s="240">
        <f>BF15+BF16</f>
        <v>208977</v>
      </c>
      <c r="BG36" s="240">
        <f>BG15+BG16</f>
        <v>198409</v>
      </c>
      <c r="BH36" s="240">
        <f>BH15+BH16</f>
        <v>141764</v>
      </c>
      <c r="BI36" s="241">
        <f t="shared" si="76"/>
        <v>690404</v>
      </c>
      <c r="BJ36" s="240">
        <f>BJ15+BJ16</f>
        <v>107117</v>
      </c>
      <c r="BK36" s="240">
        <f>BK15+BK16</f>
        <v>71337</v>
      </c>
      <c r="BL36" s="240">
        <f>BL15+BL16</f>
        <v>61473</v>
      </c>
      <c r="BM36" s="240">
        <f>BM15+BM16</f>
        <v>78416</v>
      </c>
      <c r="BN36" s="241">
        <f t="shared" si="77"/>
        <v>318343</v>
      </c>
      <c r="BO36" s="240">
        <f>BO15+BO16</f>
        <v>49697</v>
      </c>
      <c r="BP36" s="240">
        <f>BP15+BP16</f>
        <v>-119981</v>
      </c>
      <c r="BQ36" s="240">
        <f>BQ15+BQ16</f>
        <v>28451</v>
      </c>
      <c r="BR36" s="240">
        <f>BR15+BR16</f>
        <v>96463</v>
      </c>
      <c r="BS36" s="241">
        <f t="shared" si="78"/>
        <v>54630</v>
      </c>
      <c r="BT36" s="240">
        <f>BT15+BT16</f>
        <v>-22900</v>
      </c>
      <c r="BU36" s="240">
        <f>BU15+BU16</f>
        <v>-4938</v>
      </c>
      <c r="BV36" s="240">
        <f>BV15+BV16</f>
        <v>-78688</v>
      </c>
      <c r="BW36" s="240">
        <f>BW15+BW16</f>
        <v>181086</v>
      </c>
      <c r="BX36" s="241">
        <f t="shared" si="54"/>
        <v>74560</v>
      </c>
      <c r="BY36" s="240">
        <f>BY15+BY16</f>
        <v>79512</v>
      </c>
      <c r="BZ36" s="240">
        <f>BZ15+BZ16</f>
        <v>161495</v>
      </c>
      <c r="CA36" s="240">
        <f>CA15+CA16</f>
        <v>142930</v>
      </c>
      <c r="CB36" s="240">
        <f>CB15+CB16</f>
        <v>236554</v>
      </c>
      <c r="CC36" s="241">
        <f t="shared" si="55"/>
        <v>620491</v>
      </c>
      <c r="CD36" s="240">
        <f>CD15+CD16</f>
        <v>65085</v>
      </c>
      <c r="CE36" s="240">
        <f>CE15+CE16</f>
        <v>109257</v>
      </c>
      <c r="CF36" s="240">
        <f>CF15+CF16</f>
        <v>1436163</v>
      </c>
      <c r="CG36" s="240">
        <f>CG15+CG16</f>
        <v>303874</v>
      </c>
      <c r="CH36" s="241">
        <f t="shared" si="56"/>
        <v>1914379</v>
      </c>
      <c r="CI36" s="240">
        <f>CI15+CI16</f>
        <v>226040</v>
      </c>
      <c r="CJ36" s="240">
        <f>CJ15+CJ16</f>
        <v>311399</v>
      </c>
      <c r="CK36" s="240">
        <f>CK15+CK16</f>
        <v>292827</v>
      </c>
      <c r="CL36" s="240">
        <f>CL15+CL16</f>
        <v>275668</v>
      </c>
      <c r="CM36" s="241">
        <f t="shared" si="57"/>
        <v>1105934</v>
      </c>
      <c r="CN36" s="240">
        <f>CN15+CN16</f>
        <v>197071</v>
      </c>
      <c r="CO36" s="240">
        <f>CO15+CO16</f>
        <v>192122</v>
      </c>
      <c r="CP36" s="240">
        <f>CP15+CP16</f>
        <v>342107</v>
      </c>
      <c r="CQ36" s="240">
        <f>CQ15+CQ16</f>
        <v>250316</v>
      </c>
      <c r="CR36" s="241">
        <f t="shared" si="58"/>
        <v>981616</v>
      </c>
      <c r="CS36" s="240">
        <f>CS15+CS16</f>
        <v>223037</v>
      </c>
      <c r="CT36" s="240">
        <f>CT15+CT16</f>
        <v>347849</v>
      </c>
      <c r="CU36" s="240">
        <f>CU15+CU16</f>
        <v>345646</v>
      </c>
      <c r="CV36" s="240">
        <f>CV15+CV16</f>
        <v>345679</v>
      </c>
      <c r="CW36" s="241">
        <f t="shared" si="59"/>
        <v>1262211</v>
      </c>
      <c r="CX36" s="240">
        <f>CX15+CX16</f>
        <v>351844</v>
      </c>
      <c r="CY36" s="240">
        <f>CY15+CY16</f>
        <v>519244</v>
      </c>
      <c r="CZ36" s="240">
        <f>CZ15+CZ16</f>
        <v>592708</v>
      </c>
      <c r="DA36" s="240">
        <f>DA15+DA16</f>
        <v>642686</v>
      </c>
      <c r="DB36" s="241">
        <f t="shared" si="60"/>
        <v>2106482</v>
      </c>
      <c r="DC36" s="240">
        <f>DC15+DC16</f>
        <v>437963</v>
      </c>
      <c r="DD36" s="240">
        <f>DD15+DD16</f>
        <v>528736</v>
      </c>
      <c r="DE36" s="240">
        <f>DE15+DE16</f>
        <v>738803</v>
      </c>
      <c r="DF36" s="240">
        <f>DF15+DF16</f>
        <v>838358</v>
      </c>
      <c r="DG36" s="241">
        <f t="shared" si="61"/>
        <v>2543860</v>
      </c>
      <c r="DH36" s="240">
        <f>DH15+DH16</f>
        <v>411281</v>
      </c>
      <c r="DI36" s="240">
        <f>DI15+DI16</f>
        <v>573703</v>
      </c>
      <c r="DJ36" s="240">
        <f ca="1">DJ15+DJ16</f>
        <v>686004.49880399811</v>
      </c>
      <c r="DK36" s="240">
        <f ca="1">DK15+DK16</f>
        <v>777252.61020353623</v>
      </c>
      <c r="DL36" s="241">
        <f t="shared" ca="1" si="62"/>
        <v>2448241.1090075346</v>
      </c>
      <c r="DM36" s="240">
        <f ca="1">DM15+DM16</f>
        <v>696709.97064079891</v>
      </c>
      <c r="DN36" s="240">
        <f ca="1">DN15+DN16</f>
        <v>715766.70150877628</v>
      </c>
      <c r="DO36" s="240">
        <f ca="1">DO15+DO16</f>
        <v>712364.92877006601</v>
      </c>
      <c r="DP36" s="240">
        <f ca="1">DP15+DP16</f>
        <v>752331.41819027322</v>
      </c>
      <c r="DQ36" s="241">
        <f t="shared" ca="1" si="63"/>
        <v>2877173.019109915</v>
      </c>
      <c r="DR36" s="240">
        <f ca="1">DR15+DR16</f>
        <v>787211.52495138603</v>
      </c>
      <c r="DS36" s="240">
        <f ca="1">DS15+DS16</f>
        <v>748337.18925154617</v>
      </c>
      <c r="DT36" s="240">
        <f ca="1">DT15+DT16</f>
        <v>746886.88701290754</v>
      </c>
      <c r="DU36" s="240">
        <f ca="1">DU15+DU16</f>
        <v>813786.50633852941</v>
      </c>
      <c r="DV36" s="241">
        <f t="shared" ca="1" si="64"/>
        <v>3096222.1075543687</v>
      </c>
      <c r="DW36" s="240">
        <f ca="1">DW15+DW16</f>
        <v>840668.13468600623</v>
      </c>
      <c r="DX36" s="240">
        <f ca="1">DX15+DX16</f>
        <v>790338.70361679641</v>
      </c>
      <c r="DY36" s="240">
        <f ca="1">DY15+DY16</f>
        <v>782469.59652646969</v>
      </c>
      <c r="DZ36" s="240">
        <f ca="1">DZ15+DZ16</f>
        <v>862852.95453714347</v>
      </c>
      <c r="EA36" s="241">
        <f t="shared" ca="1" si="65"/>
        <v>3276329.3893664158</v>
      </c>
      <c r="EB36" s="240">
        <f ca="1">EB15+EB16</f>
        <v>906457.81094649166</v>
      </c>
      <c r="EC36" s="240">
        <f ca="1">EC15+EC16</f>
        <v>861440.12061980402</v>
      </c>
      <c r="ED36" s="240">
        <f ca="1">ED15+ED16</f>
        <v>854738.4079961729</v>
      </c>
      <c r="EE36" s="240">
        <f ca="1">EE15+EE16</f>
        <v>935191.55119625537</v>
      </c>
      <c r="EF36" s="241">
        <f t="shared" ca="1" si="66"/>
        <v>3557827.890758724</v>
      </c>
    </row>
    <row r="37" spans="1:137" ht="12.75" customHeight="1" outlineLevel="1">
      <c r="A37" s="78" t="s">
        <v>695</v>
      </c>
      <c r="B37" s="261">
        <v>0</v>
      </c>
      <c r="C37" s="261">
        <v>0</v>
      </c>
      <c r="D37" s="261">
        <v>0</v>
      </c>
      <c r="E37" s="261">
        <v>0</v>
      </c>
      <c r="F37" s="241">
        <f>SUM(B37:E37)</f>
        <v>0</v>
      </c>
      <c r="G37" s="261">
        <v>0</v>
      </c>
      <c r="H37" s="261">
        <v>0</v>
      </c>
      <c r="I37" s="261">
        <v>0</v>
      </c>
      <c r="J37" s="261">
        <v>0</v>
      </c>
      <c r="K37" s="241">
        <f>SUM(G37:J37)</f>
        <v>0</v>
      </c>
      <c r="L37" s="261">
        <v>0</v>
      </c>
      <c r="M37" s="261">
        <v>0</v>
      </c>
      <c r="N37" s="261">
        <v>0</v>
      </c>
      <c r="O37" s="261">
        <v>0</v>
      </c>
      <c r="P37" s="241">
        <f t="shared" si="67"/>
        <v>0</v>
      </c>
      <c r="Q37" s="261">
        <v>0</v>
      </c>
      <c r="R37" s="261">
        <v>0</v>
      </c>
      <c r="S37" s="261">
        <v>0</v>
      </c>
      <c r="T37" s="261">
        <v>0</v>
      </c>
      <c r="U37" s="241">
        <f t="shared" si="68"/>
        <v>0</v>
      </c>
      <c r="V37" s="261">
        <v>0</v>
      </c>
      <c r="W37" s="261">
        <v>0</v>
      </c>
      <c r="X37" s="261">
        <v>0</v>
      </c>
      <c r="Y37" s="261">
        <v>0</v>
      </c>
      <c r="Z37" s="241">
        <f t="shared" si="69"/>
        <v>0</v>
      </c>
      <c r="AA37" s="261">
        <v>0</v>
      </c>
      <c r="AB37" s="261">
        <v>0</v>
      </c>
      <c r="AC37" s="261">
        <v>0</v>
      </c>
      <c r="AD37" s="261">
        <v>0</v>
      </c>
      <c r="AE37" s="241">
        <f t="shared" si="70"/>
        <v>0</v>
      </c>
      <c r="AF37" s="261">
        <v>0</v>
      </c>
      <c r="AG37" s="261">
        <v>0</v>
      </c>
      <c r="AH37" s="261">
        <v>0</v>
      </c>
      <c r="AI37" s="261">
        <v>0</v>
      </c>
      <c r="AJ37" s="241">
        <f t="shared" si="71"/>
        <v>0</v>
      </c>
      <c r="AK37" s="261">
        <v>0</v>
      </c>
      <c r="AL37" s="261">
        <v>0</v>
      </c>
      <c r="AM37" s="261">
        <v>0</v>
      </c>
      <c r="AN37" s="261">
        <v>0</v>
      </c>
      <c r="AO37" s="241">
        <f t="shared" si="72"/>
        <v>0</v>
      </c>
      <c r="AP37" s="261">
        <v>0</v>
      </c>
      <c r="AQ37" s="261">
        <v>0</v>
      </c>
      <c r="AR37" s="261">
        <v>0</v>
      </c>
      <c r="AS37" s="261">
        <v>0</v>
      </c>
      <c r="AT37" s="241">
        <f t="shared" si="73"/>
        <v>0</v>
      </c>
      <c r="AU37" s="261">
        <v>0</v>
      </c>
      <c r="AV37" s="261">
        <v>0</v>
      </c>
      <c r="AW37" s="261">
        <v>0</v>
      </c>
      <c r="AX37" s="261">
        <v>0</v>
      </c>
      <c r="AY37" s="241">
        <f t="shared" si="74"/>
        <v>0</v>
      </c>
      <c r="AZ37" s="261">
        <v>0</v>
      </c>
      <c r="BA37" s="261">
        <v>0</v>
      </c>
      <c r="BB37" s="261">
        <v>0</v>
      </c>
      <c r="BC37" s="261">
        <v>0</v>
      </c>
      <c r="BD37" s="241">
        <f t="shared" si="75"/>
        <v>0</v>
      </c>
      <c r="BE37" s="261">
        <v>0</v>
      </c>
      <c r="BF37" s="261">
        <v>0</v>
      </c>
      <c r="BG37" s="261">
        <v>0</v>
      </c>
      <c r="BH37" s="261">
        <v>0</v>
      </c>
      <c r="BI37" s="241">
        <f t="shared" si="76"/>
        <v>0</v>
      </c>
      <c r="BJ37" s="261">
        <v>0</v>
      </c>
      <c r="BK37" s="261">
        <v>0</v>
      </c>
      <c r="BL37" s="261">
        <v>0</v>
      </c>
      <c r="BM37" s="261">
        <v>0</v>
      </c>
      <c r="BN37" s="241">
        <f t="shared" si="77"/>
        <v>0</v>
      </c>
      <c r="BO37" s="261">
        <v>0</v>
      </c>
      <c r="BP37" s="261">
        <v>0</v>
      </c>
      <c r="BQ37" s="261">
        <v>0</v>
      </c>
      <c r="BR37" s="261">
        <v>0</v>
      </c>
      <c r="BS37" s="241">
        <f t="shared" si="78"/>
        <v>0</v>
      </c>
      <c r="BT37" s="261">
        <v>0</v>
      </c>
      <c r="BU37" s="261">
        <v>0</v>
      </c>
      <c r="BV37" s="261">
        <v>0</v>
      </c>
      <c r="BW37" s="261">
        <v>0</v>
      </c>
      <c r="BX37" s="241">
        <f t="shared" si="54"/>
        <v>0</v>
      </c>
      <c r="BY37" s="261">
        <v>0</v>
      </c>
      <c r="BZ37" s="261">
        <v>0</v>
      </c>
      <c r="CA37" s="261">
        <v>0</v>
      </c>
      <c r="CB37" s="261">
        <v>0</v>
      </c>
      <c r="CC37" s="241">
        <f t="shared" si="55"/>
        <v>0</v>
      </c>
      <c r="CD37" s="261">
        <v>0</v>
      </c>
      <c r="CE37" s="261">
        <v>0</v>
      </c>
      <c r="CF37" s="261">
        <v>0</v>
      </c>
      <c r="CG37" s="261">
        <v>0</v>
      </c>
      <c r="CH37" s="241">
        <f t="shared" si="56"/>
        <v>0</v>
      </c>
      <c r="CI37" s="261">
        <v>0</v>
      </c>
      <c r="CJ37" s="261">
        <v>0</v>
      </c>
      <c r="CK37" s="261">
        <v>0</v>
      </c>
      <c r="CL37" s="261">
        <v>0</v>
      </c>
      <c r="CM37" s="241">
        <f t="shared" si="57"/>
        <v>0</v>
      </c>
      <c r="CN37" s="261">
        <v>0</v>
      </c>
      <c r="CO37" s="261">
        <v>0</v>
      </c>
      <c r="CP37" s="261">
        <v>0</v>
      </c>
      <c r="CQ37" s="261">
        <v>0</v>
      </c>
      <c r="CR37" s="241">
        <f t="shared" si="58"/>
        <v>0</v>
      </c>
      <c r="CS37" s="261">
        <v>0</v>
      </c>
      <c r="CT37" s="261">
        <v>0</v>
      </c>
      <c r="CU37" s="261">
        <v>0</v>
      </c>
      <c r="CV37" s="261">
        <v>0</v>
      </c>
      <c r="CW37" s="241">
        <f t="shared" si="59"/>
        <v>0</v>
      </c>
      <c r="CX37" s="261">
        <v>0</v>
      </c>
      <c r="CY37" s="261">
        <v>0</v>
      </c>
      <c r="CZ37" s="261">
        <v>0</v>
      </c>
      <c r="DA37" s="261">
        <v>0</v>
      </c>
      <c r="DB37" s="241">
        <f t="shared" si="60"/>
        <v>0</v>
      </c>
      <c r="DC37" s="261">
        <v>0</v>
      </c>
      <c r="DD37" s="261">
        <v>0</v>
      </c>
      <c r="DE37" s="261">
        <v>0</v>
      </c>
      <c r="DF37" s="261">
        <v>0</v>
      </c>
      <c r="DG37" s="241">
        <f t="shared" si="61"/>
        <v>0</v>
      </c>
      <c r="DH37" s="261">
        <v>0</v>
      </c>
      <c r="DI37" s="261">
        <v>0</v>
      </c>
      <c r="DJ37" s="261">
        <v>0</v>
      </c>
      <c r="DK37" s="261">
        <v>0</v>
      </c>
      <c r="DL37" s="241">
        <f t="shared" si="62"/>
        <v>0</v>
      </c>
      <c r="DM37" s="261">
        <v>0</v>
      </c>
      <c r="DN37" s="261">
        <v>0</v>
      </c>
      <c r="DO37" s="261">
        <v>0</v>
      </c>
      <c r="DP37" s="261">
        <v>0</v>
      </c>
      <c r="DQ37" s="241">
        <f t="shared" si="63"/>
        <v>0</v>
      </c>
      <c r="DR37" s="261">
        <v>0</v>
      </c>
      <c r="DS37" s="261">
        <v>0</v>
      </c>
      <c r="DT37" s="261">
        <v>0</v>
      </c>
      <c r="DU37" s="261">
        <v>0</v>
      </c>
      <c r="DV37" s="241">
        <f t="shared" si="64"/>
        <v>0</v>
      </c>
      <c r="DW37" s="261">
        <v>0</v>
      </c>
      <c r="DX37" s="261">
        <v>0</v>
      </c>
      <c r="DY37" s="261">
        <v>0</v>
      </c>
      <c r="DZ37" s="261">
        <v>0</v>
      </c>
      <c r="EA37" s="241">
        <f t="shared" si="65"/>
        <v>0</v>
      </c>
      <c r="EB37" s="261">
        <v>0</v>
      </c>
      <c r="EC37" s="261">
        <v>0</v>
      </c>
      <c r="ED37" s="261">
        <v>0</v>
      </c>
      <c r="EE37" s="261">
        <v>0</v>
      </c>
      <c r="EF37" s="241">
        <f t="shared" si="66"/>
        <v>0</v>
      </c>
    </row>
    <row r="38" spans="1:137" ht="12.75" customHeight="1">
      <c r="A38" s="78" t="s">
        <v>38</v>
      </c>
      <c r="B38" s="240">
        <f>B36+B37</f>
        <v>31827</v>
      </c>
      <c r="C38" s="240">
        <f>C36+C37</f>
        <v>31827</v>
      </c>
      <c r="D38" s="240">
        <f>D36+D37</f>
        <v>32583</v>
      </c>
      <c r="E38" s="240">
        <f>E36+E37</f>
        <v>50959</v>
      </c>
      <c r="F38" s="241">
        <f t="shared" si="79"/>
        <v>147196</v>
      </c>
      <c r="G38" s="240">
        <f>G36+G37</f>
        <v>51523</v>
      </c>
      <c r="H38" s="240">
        <f>H36+H37</f>
        <v>40270</v>
      </c>
      <c r="I38" s="240">
        <f>I36+I37</f>
        <v>55898</v>
      </c>
      <c r="J38" s="240">
        <f>J36+J37</f>
        <v>13975</v>
      </c>
      <c r="K38" s="241">
        <f t="shared" si="80"/>
        <v>161666</v>
      </c>
      <c r="L38" s="240">
        <f>L36+L37</f>
        <v>83775</v>
      </c>
      <c r="M38" s="240">
        <f>M36+M37</f>
        <v>98864</v>
      </c>
      <c r="N38" s="240">
        <f>N36+N37</f>
        <v>44130</v>
      </c>
      <c r="O38" s="240">
        <f t="shared" ref="O38:W38" si="82">O36+O37</f>
        <v>101818</v>
      </c>
      <c r="P38" s="241">
        <f t="shared" si="67"/>
        <v>328587</v>
      </c>
      <c r="Q38" s="240">
        <f t="shared" si="82"/>
        <v>54042</v>
      </c>
      <c r="R38" s="240">
        <f t="shared" si="82"/>
        <v>223770</v>
      </c>
      <c r="S38" s="240">
        <f t="shared" si="82"/>
        <v>125151</v>
      </c>
      <c r="T38" s="240">
        <f t="shared" si="82"/>
        <v>134601</v>
      </c>
      <c r="U38" s="241">
        <f t="shared" si="68"/>
        <v>537564</v>
      </c>
      <c r="V38" s="240">
        <f>V36+V37</f>
        <v>93476</v>
      </c>
      <c r="W38" s="240">
        <f t="shared" si="82"/>
        <v>148940</v>
      </c>
      <c r="X38" s="240">
        <f>X36+X37</f>
        <v>116514</v>
      </c>
      <c r="Y38" s="240">
        <f>Y36+Y37</f>
        <v>83063</v>
      </c>
      <c r="Z38" s="241">
        <f t="shared" si="69"/>
        <v>441993</v>
      </c>
      <c r="AA38" s="240">
        <f>AA36+AA37</f>
        <v>150520</v>
      </c>
      <c r="AB38" s="240">
        <f>AB36+AB37</f>
        <v>203666</v>
      </c>
      <c r="AC38" s="240">
        <f>AC36+AC37</f>
        <v>367828</v>
      </c>
      <c r="AD38" s="240">
        <f>AD36+AD37</f>
        <v>249943</v>
      </c>
      <c r="AE38" s="241">
        <f t="shared" si="70"/>
        <v>971957</v>
      </c>
      <c r="AF38" s="240">
        <f>AF36+AF37</f>
        <v>215784</v>
      </c>
      <c r="AG38" s="240">
        <f>AG36+AG37</f>
        <v>236231</v>
      </c>
      <c r="AH38" s="240">
        <f>AH36+AH37</f>
        <v>235747</v>
      </c>
      <c r="AI38" s="240">
        <f>AI36+AI37</f>
        <v>140148</v>
      </c>
      <c r="AJ38" s="241">
        <f t="shared" si="71"/>
        <v>827910</v>
      </c>
      <c r="AK38" s="240">
        <f>AK36+AK37</f>
        <v>131959</v>
      </c>
      <c r="AL38" s="240">
        <f>AL36+AL37</f>
        <v>140994</v>
      </c>
      <c r="AM38" s="240">
        <f>AM36+AM37</f>
        <v>224935</v>
      </c>
      <c r="AN38" s="240">
        <f>AN36+AN37</f>
        <v>282510</v>
      </c>
      <c r="AO38" s="241">
        <f t="shared" si="72"/>
        <v>780398</v>
      </c>
      <c r="AP38" s="240">
        <f>AP36+AP37</f>
        <v>226921</v>
      </c>
      <c r="AQ38" s="240">
        <f>AQ36+AQ37</f>
        <v>231469</v>
      </c>
      <c r="AR38" s="240">
        <f>AR36+AR37</f>
        <v>214094</v>
      </c>
      <c r="AS38" s="240">
        <f>AS36+AS37</f>
        <v>315885</v>
      </c>
      <c r="AT38" s="241">
        <f t="shared" si="73"/>
        <v>988369</v>
      </c>
      <c r="AU38" s="240">
        <f>AU36+AU37</f>
        <v>235437</v>
      </c>
      <c r="AV38" s="240">
        <f>AV36+AV37</f>
        <v>258296</v>
      </c>
      <c r="AW38" s="240">
        <f>AW36+AW37</f>
        <v>260600</v>
      </c>
      <c r="AX38" s="240">
        <f>AX36+AX37</f>
        <v>269557</v>
      </c>
      <c r="AY38" s="241">
        <f t="shared" si="74"/>
        <v>1023890</v>
      </c>
      <c r="AZ38" s="240">
        <f>AZ36+AZ37</f>
        <v>228596</v>
      </c>
      <c r="BA38" s="240">
        <f>BA36+BA37</f>
        <v>250828</v>
      </c>
      <c r="BB38" s="240">
        <f>BB36+BB37</f>
        <v>260340</v>
      </c>
      <c r="BC38" s="240">
        <f>BC36+BC37</f>
        <v>236643</v>
      </c>
      <c r="BD38" s="241">
        <f t="shared" si="75"/>
        <v>976407</v>
      </c>
      <c r="BE38" s="240">
        <f>BE36+BE37</f>
        <v>141254</v>
      </c>
      <c r="BF38" s="240">
        <f>BF36+BF37</f>
        <v>208977</v>
      </c>
      <c r="BG38" s="240">
        <f>BG36+BG37</f>
        <v>198409</v>
      </c>
      <c r="BH38" s="240">
        <f>BH36+BH37</f>
        <v>141764</v>
      </c>
      <c r="BI38" s="241">
        <f t="shared" si="76"/>
        <v>690404</v>
      </c>
      <c r="BJ38" s="240">
        <f>BJ36+BJ37</f>
        <v>107117</v>
      </c>
      <c r="BK38" s="240">
        <f>BK36+BK37</f>
        <v>71337</v>
      </c>
      <c r="BL38" s="240">
        <f>BL36+BL37</f>
        <v>61473</v>
      </c>
      <c r="BM38" s="240">
        <f>BM36+BM37</f>
        <v>78416</v>
      </c>
      <c r="BN38" s="241">
        <f t="shared" si="77"/>
        <v>318343</v>
      </c>
      <c r="BO38" s="240">
        <f>BO36+BO37</f>
        <v>49697</v>
      </c>
      <c r="BP38" s="240">
        <f>BP36+BP37</f>
        <v>-119981</v>
      </c>
      <c r="BQ38" s="240">
        <f>BQ36+BQ37</f>
        <v>28451</v>
      </c>
      <c r="BR38" s="240">
        <f>BR36+BR37</f>
        <v>96463</v>
      </c>
      <c r="BS38" s="241">
        <f t="shared" si="78"/>
        <v>54630</v>
      </c>
      <c r="BT38" s="240">
        <f>BT36+BT37</f>
        <v>-22900</v>
      </c>
      <c r="BU38" s="240">
        <f>BU36+BU37</f>
        <v>-4938</v>
      </c>
      <c r="BV38" s="240">
        <f>BV36+BV37</f>
        <v>-78688</v>
      </c>
      <c r="BW38" s="240">
        <f>BW36+BW37</f>
        <v>181086</v>
      </c>
      <c r="BX38" s="241">
        <f t="shared" si="54"/>
        <v>74560</v>
      </c>
      <c r="BY38" s="240">
        <f>BY36+BY37</f>
        <v>79512</v>
      </c>
      <c r="BZ38" s="240">
        <f>BZ36+BZ37</f>
        <v>161495</v>
      </c>
      <c r="CA38" s="240">
        <f>CA36+CA37</f>
        <v>142930</v>
      </c>
      <c r="CB38" s="240">
        <f>CB36+CB37</f>
        <v>236554</v>
      </c>
      <c r="CC38" s="241">
        <f t="shared" si="55"/>
        <v>620491</v>
      </c>
      <c r="CD38" s="240">
        <f>CD36+CD37</f>
        <v>65085</v>
      </c>
      <c r="CE38" s="240">
        <f>CE36+CE37</f>
        <v>109257</v>
      </c>
      <c r="CF38" s="240">
        <f>CF36+CF37</f>
        <v>1436163</v>
      </c>
      <c r="CG38" s="240">
        <f>CG36+CG37</f>
        <v>303874</v>
      </c>
      <c r="CH38" s="241">
        <f t="shared" si="56"/>
        <v>1914379</v>
      </c>
      <c r="CI38" s="240">
        <f>CI36+CI37</f>
        <v>226040</v>
      </c>
      <c r="CJ38" s="240">
        <f>CJ36+CJ37</f>
        <v>311399</v>
      </c>
      <c r="CK38" s="240">
        <f>CK36+CK37</f>
        <v>292827</v>
      </c>
      <c r="CL38" s="240">
        <f>CL36+CL37</f>
        <v>275668</v>
      </c>
      <c r="CM38" s="241">
        <f t="shared" si="57"/>
        <v>1105934</v>
      </c>
      <c r="CN38" s="240">
        <f>CN36+CN37</f>
        <v>197071</v>
      </c>
      <c r="CO38" s="240">
        <f>CO36+CO37</f>
        <v>192122</v>
      </c>
      <c r="CP38" s="240">
        <f>CP36+CP37</f>
        <v>342107</v>
      </c>
      <c r="CQ38" s="240">
        <f>CQ36+CQ37</f>
        <v>250316</v>
      </c>
      <c r="CR38" s="241">
        <f t="shared" si="58"/>
        <v>981616</v>
      </c>
      <c r="CS38" s="240">
        <f>CS36+CS37</f>
        <v>223037</v>
      </c>
      <c r="CT38" s="240">
        <f>CT36+CT37</f>
        <v>347849</v>
      </c>
      <c r="CU38" s="240">
        <f>CU36+CU37</f>
        <v>345646</v>
      </c>
      <c r="CV38" s="240">
        <f>CV36+CV37</f>
        <v>345679</v>
      </c>
      <c r="CW38" s="241">
        <f t="shared" si="59"/>
        <v>1262211</v>
      </c>
      <c r="CX38" s="240">
        <f>CX36+CX37</f>
        <v>351844</v>
      </c>
      <c r="CY38" s="240">
        <f>CY36+CY37</f>
        <v>519244</v>
      </c>
      <c r="CZ38" s="240">
        <f>CZ36+CZ37</f>
        <v>592708</v>
      </c>
      <c r="DA38" s="240">
        <f>DA36+DA37</f>
        <v>642686</v>
      </c>
      <c r="DB38" s="241">
        <f t="shared" si="60"/>
        <v>2106482</v>
      </c>
      <c r="DC38" s="240">
        <f>DC36+DC37</f>
        <v>437963</v>
      </c>
      <c r="DD38" s="240">
        <f>DD36+DD37</f>
        <v>528736</v>
      </c>
      <c r="DE38" s="240">
        <f>DE36+DE37</f>
        <v>738803</v>
      </c>
      <c r="DF38" s="240">
        <f>DF36+DF37</f>
        <v>838358</v>
      </c>
      <c r="DG38" s="241">
        <f t="shared" si="61"/>
        <v>2543860</v>
      </c>
      <c r="DH38" s="240">
        <f>DH36+DH37</f>
        <v>411281</v>
      </c>
      <c r="DI38" s="240">
        <f>DI36+DI37</f>
        <v>573703</v>
      </c>
      <c r="DJ38" s="240">
        <f ca="1">DJ36+DJ37</f>
        <v>686004.49880399811</v>
      </c>
      <c r="DK38" s="240">
        <f ca="1">DK36+DK37</f>
        <v>777252.61020353623</v>
      </c>
      <c r="DL38" s="241">
        <f t="shared" ca="1" si="62"/>
        <v>2448241.1090075346</v>
      </c>
      <c r="DM38" s="240">
        <f ca="1">DM36+DM37</f>
        <v>696709.97064079891</v>
      </c>
      <c r="DN38" s="240">
        <f ca="1">DN36+DN37</f>
        <v>715766.70150877628</v>
      </c>
      <c r="DO38" s="240">
        <f ca="1">DO36+DO37</f>
        <v>712364.92877006601</v>
      </c>
      <c r="DP38" s="240">
        <f ca="1">DP36+DP37</f>
        <v>752331.41819027322</v>
      </c>
      <c r="DQ38" s="241">
        <f t="shared" ca="1" si="63"/>
        <v>2877173.019109915</v>
      </c>
      <c r="DR38" s="240">
        <f ca="1">DR36+DR37</f>
        <v>787211.52495138603</v>
      </c>
      <c r="DS38" s="240">
        <f ca="1">DS36+DS37</f>
        <v>748337.18925154617</v>
      </c>
      <c r="DT38" s="240">
        <f ca="1">DT36+DT37</f>
        <v>746886.88701290754</v>
      </c>
      <c r="DU38" s="240">
        <f ca="1">DU36+DU37</f>
        <v>813786.50633852941</v>
      </c>
      <c r="DV38" s="241">
        <f t="shared" ca="1" si="64"/>
        <v>3096222.1075543687</v>
      </c>
      <c r="DW38" s="240">
        <f ca="1">DW36+DW37</f>
        <v>840668.13468600623</v>
      </c>
      <c r="DX38" s="240">
        <f ca="1">DX36+DX37</f>
        <v>790338.70361679641</v>
      </c>
      <c r="DY38" s="240">
        <f ca="1">DY36+DY37</f>
        <v>782469.59652646969</v>
      </c>
      <c r="DZ38" s="240">
        <f ca="1">DZ36+DZ37</f>
        <v>862852.95453714347</v>
      </c>
      <c r="EA38" s="241">
        <f t="shared" ca="1" si="65"/>
        <v>3276329.3893664158</v>
      </c>
      <c r="EB38" s="240">
        <f ca="1">EB36+EB37</f>
        <v>906457.81094649166</v>
      </c>
      <c r="EC38" s="240">
        <f ca="1">EC36+EC37</f>
        <v>861440.12061980402</v>
      </c>
      <c r="ED38" s="240">
        <f ca="1">ED36+ED37</f>
        <v>854738.4079961729</v>
      </c>
      <c r="EE38" s="240">
        <f ca="1">EE36+EE37</f>
        <v>935191.55119625537</v>
      </c>
      <c r="EF38" s="241">
        <f t="shared" ca="1" si="66"/>
        <v>3557827.890758724</v>
      </c>
      <c r="EG38" s="236"/>
    </row>
    <row r="39" spans="1:137" ht="12.75" customHeight="1">
      <c r="A39" s="78" t="s">
        <v>39</v>
      </c>
      <c r="B39" s="261">
        <f>(-4895-SUM(D39))/2</f>
        <v>-821.5</v>
      </c>
      <c r="C39" s="261">
        <f>B39</f>
        <v>-821.5</v>
      </c>
      <c r="D39" s="261">
        <v>-3252</v>
      </c>
      <c r="E39" s="261">
        <v>-28280</v>
      </c>
      <c r="F39" s="241">
        <f t="shared" si="79"/>
        <v>-33175</v>
      </c>
      <c r="G39" s="261">
        <v>526</v>
      </c>
      <c r="H39" s="261">
        <v>-3879</v>
      </c>
      <c r="I39" s="261">
        <v>-4777</v>
      </c>
      <c r="J39" s="261">
        <v>13667</v>
      </c>
      <c r="K39" s="241">
        <f t="shared" si="80"/>
        <v>5537</v>
      </c>
      <c r="L39" s="261">
        <v>-12684</v>
      </c>
      <c r="M39" s="261">
        <v>-4719</v>
      </c>
      <c r="N39" s="261">
        <f>-24397-L39-M39</f>
        <v>-6994</v>
      </c>
      <c r="O39" s="261">
        <f>-40860-SUM(L39:N39)</f>
        <v>-16463</v>
      </c>
      <c r="P39" s="241">
        <f t="shared" si="67"/>
        <v>-40860</v>
      </c>
      <c r="Q39" s="261">
        <v>-8089</v>
      </c>
      <c r="R39" s="261">
        <f>-16298-Q39</f>
        <v>-8209</v>
      </c>
      <c r="S39" s="261">
        <v>-8013</v>
      </c>
      <c r="T39" s="261">
        <f>-44989-SUM(Q39:S39)</f>
        <v>-20678</v>
      </c>
      <c r="U39" s="241">
        <f t="shared" si="68"/>
        <v>-44989</v>
      </c>
      <c r="V39" s="261">
        <v>-15913</v>
      </c>
      <c r="W39" s="261">
        <v>-16602</v>
      </c>
      <c r="X39" s="261">
        <v>-24581</v>
      </c>
      <c r="Y39" s="261">
        <f>-76152-SUM(V39:X39)</f>
        <v>-19056</v>
      </c>
      <c r="Z39" s="241">
        <f t="shared" si="69"/>
        <v>-76152</v>
      </c>
      <c r="AA39" s="261">
        <v>-14941</v>
      </c>
      <c r="AB39" s="261">
        <v>-18704</v>
      </c>
      <c r="AC39" s="261">
        <v>-30803</v>
      </c>
      <c r="AD39" s="261">
        <v>-9446</v>
      </c>
      <c r="AE39" s="241">
        <f t="shared" si="70"/>
        <v>-73894</v>
      </c>
      <c r="AF39" s="261">
        <v>-23931</v>
      </c>
      <c r="AG39" s="261">
        <v>-15687</v>
      </c>
      <c r="AH39" s="261">
        <v>-29101</v>
      </c>
      <c r="AI39" s="261">
        <v>-33848</v>
      </c>
      <c r="AJ39" s="241">
        <f t="shared" si="71"/>
        <v>-102567</v>
      </c>
      <c r="AK39" s="261">
        <v>-34565</v>
      </c>
      <c r="AL39" s="261">
        <v>-39626</v>
      </c>
      <c r="AM39" s="261">
        <v>-49893</v>
      </c>
      <c r="AN39" s="261">
        <f>-178073-AK39-AL39-AM39</f>
        <v>-53989</v>
      </c>
      <c r="AO39" s="241">
        <f t="shared" si="72"/>
        <v>-178073</v>
      </c>
      <c r="AP39" s="261">
        <f>-90450-AQ39</f>
        <v>-42616</v>
      </c>
      <c r="AQ39" s="261">
        <v>-47834</v>
      </c>
      <c r="AR39" s="261">
        <v>-41335</v>
      </c>
      <c r="AS39" s="261">
        <f>-183130-AP39-AQ39-AR39</f>
        <v>-51345</v>
      </c>
      <c r="AT39" s="241">
        <f t="shared" si="73"/>
        <v>-183130</v>
      </c>
      <c r="AU39" s="261">
        <f>-65574-AV39</f>
        <v>-29418</v>
      </c>
      <c r="AV39" s="261">
        <f>-33111-AV41</f>
        <v>-36156</v>
      </c>
      <c r="AW39" s="261">
        <v>-33193</v>
      </c>
      <c r="AX39" s="261">
        <f>-142835-SUM(AU39:AW39)</f>
        <v>-44068</v>
      </c>
      <c r="AY39" s="241">
        <f t="shared" si="74"/>
        <v>-142835</v>
      </c>
      <c r="AZ39" s="261">
        <v>-35647</v>
      </c>
      <c r="BA39" s="261">
        <f>-42613-BA41</f>
        <v>-34983</v>
      </c>
      <c r="BB39" s="261">
        <v>-36586</v>
      </c>
      <c r="BC39" s="261">
        <f>-139210-SUM(AZ39:BB39)</f>
        <v>-31994</v>
      </c>
      <c r="BD39" s="241">
        <f t="shared" si="75"/>
        <v>-139210</v>
      </c>
      <c r="BE39" s="261">
        <v>-32913</v>
      </c>
      <c r="BF39" s="261">
        <f>-23918-BF41</f>
        <v>-31110</v>
      </c>
      <c r="BG39" s="261">
        <v>-29243</v>
      </c>
      <c r="BH39" s="261">
        <f>-118474-SUM(BE39:BG39)</f>
        <v>-25208</v>
      </c>
      <c r="BI39" s="241">
        <f t="shared" si="76"/>
        <v>-118474</v>
      </c>
      <c r="BJ39" s="261">
        <v>-20775</v>
      </c>
      <c r="BK39" s="261">
        <v>-20557</v>
      </c>
      <c r="BL39" s="261">
        <v>-17757</v>
      </c>
      <c r="BM39" s="261">
        <f>-83164-SUM(BJ39:BL39)</f>
        <v>-24075</v>
      </c>
      <c r="BN39" s="241">
        <f t="shared" si="77"/>
        <v>-83164</v>
      </c>
      <c r="BO39" s="261">
        <v>-21610</v>
      </c>
      <c r="BP39" s="261">
        <v>-19338</v>
      </c>
      <c r="BQ39" s="261">
        <v>-20444</v>
      </c>
      <c r="BR39" s="261">
        <f>-82764-SUM(BO39:BQ39)</f>
        <v>-21372</v>
      </c>
      <c r="BS39" s="241">
        <f t="shared" si="78"/>
        <v>-82764</v>
      </c>
      <c r="BT39" s="261">
        <v>-14173</v>
      </c>
      <c r="BU39" s="261">
        <v>-16481</v>
      </c>
      <c r="BV39" s="261">
        <v>-18051</v>
      </c>
      <c r="BW39" s="261">
        <f>-67433-SUM(BT39:BV39)</f>
        <v>-18728</v>
      </c>
      <c r="BX39" s="241">
        <f t="shared" si="54"/>
        <v>-67433</v>
      </c>
      <c r="BY39" s="261">
        <v>-174</v>
      </c>
      <c r="BZ39" s="261">
        <v>401</v>
      </c>
      <c r="CA39" s="261">
        <v>-21871</v>
      </c>
      <c r="CB39" s="261">
        <f>-83217-SUM(BY39:CA39)</f>
        <v>-61573</v>
      </c>
      <c r="CC39" s="241">
        <f t="shared" si="55"/>
        <v>-83217</v>
      </c>
      <c r="CD39" s="261">
        <v>-18306</v>
      </c>
      <c r="CE39" s="261">
        <v>-13360</v>
      </c>
      <c r="CF39" s="261">
        <f>-129743-266545+375000</f>
        <v>-21288</v>
      </c>
      <c r="CG39" s="306">
        <f>-197539-SUM(CD39:CF39)+(-266545+375000)</f>
        <v>-36130</v>
      </c>
      <c r="CH39" s="241">
        <f t="shared" si="56"/>
        <v>-89084</v>
      </c>
      <c r="CI39" s="261">
        <v>-17832</v>
      </c>
      <c r="CJ39" s="261">
        <v>-24464</v>
      </c>
      <c r="CK39" s="261">
        <v>-24110</v>
      </c>
      <c r="CL39" s="261">
        <f>-93019-SUM(CI39:CK39)</f>
        <v>-26613</v>
      </c>
      <c r="CM39" s="241">
        <f t="shared" si="57"/>
        <v>-93019</v>
      </c>
      <c r="CN39" s="261">
        <v>-25176</v>
      </c>
      <c r="CO39" s="261">
        <v>-27899</v>
      </c>
      <c r="CP39" s="261">
        <v>-35365</v>
      </c>
      <c r="CQ39" s="261">
        <f>-121158-SUM(CN39:CP39)</f>
        <v>-32718</v>
      </c>
      <c r="CR39" s="241">
        <f t="shared" si="58"/>
        <v>-121158</v>
      </c>
      <c r="CS39" s="261">
        <v>-35951</v>
      </c>
      <c r="CT39" s="261">
        <v>-33981</v>
      </c>
      <c r="CU39" s="261">
        <v>-35936</v>
      </c>
      <c r="CV39" s="261">
        <f>-143963-SUM(CS39:CU39)</f>
        <v>-38095</v>
      </c>
      <c r="CW39" s="241">
        <f t="shared" si="59"/>
        <v>-143963</v>
      </c>
      <c r="CX39" s="261">
        <v>-34290</v>
      </c>
      <c r="CY39" s="261">
        <v>-34111</v>
      </c>
      <c r="CZ39" s="261">
        <v>-44362</v>
      </c>
      <c r="DA39" s="261">
        <f>-158483-SUM(CX39:CZ39)</f>
        <v>-45720</v>
      </c>
      <c r="DB39" s="241">
        <f t="shared" si="60"/>
        <v>-158483</v>
      </c>
      <c r="DC39" s="261">
        <v>-43072</v>
      </c>
      <c r="DD39" s="261">
        <v>-43481</v>
      </c>
      <c r="DE39" s="261">
        <v>-54825</v>
      </c>
      <c r="DF39" s="261">
        <f>-197741-SUM(DC39:DE39)</f>
        <v>-56363</v>
      </c>
      <c r="DG39" s="241">
        <f t="shared" si="61"/>
        <v>-197741</v>
      </c>
      <c r="DH39" s="261">
        <v>-46053</v>
      </c>
      <c r="DI39" s="261">
        <v>-52535</v>
      </c>
      <c r="DJ39" s="236">
        <f>-DJ40*(DJ4+'Balance Sheet'!DJ63)</f>
        <v>-54805.347102880638</v>
      </c>
      <c r="DK39" s="236">
        <f>-DK40*(DK4+'Balance Sheet'!DK63)</f>
        <v>-59978.541302596866</v>
      </c>
      <c r="DL39" s="241">
        <f t="shared" si="62"/>
        <v>-213371.88840547751</v>
      </c>
      <c r="DM39" s="236">
        <f>-DM40*(DM4+'Balance Sheet'!DM63)</f>
        <v>-58047.047164105425</v>
      </c>
      <c r="DN39" s="236">
        <f>-DN40*(DN4+'Balance Sheet'!DN63)</f>
        <v>-49773.141132644982</v>
      </c>
      <c r="DO39" s="236">
        <f>-DO40*(DO4+'Balance Sheet'!DO63)</f>
        <v>-50836.055399412537</v>
      </c>
      <c r="DP39" s="236">
        <f>-DP40*(DP4+'Balance Sheet'!DP63)</f>
        <v>-58751.366105862711</v>
      </c>
      <c r="DQ39" s="241">
        <f t="shared" si="63"/>
        <v>-217407.60980202566</v>
      </c>
      <c r="DR39" s="236">
        <f>-DR40*(DR4+'Balance Sheet'!DR63)</f>
        <v>-52311.1616204846</v>
      </c>
      <c r="DS39" s="236">
        <f>-DS40*(DS4+'Balance Sheet'!DS63)</f>
        <v>-56720.077661587115</v>
      </c>
      <c r="DT39" s="236">
        <f>-DT40*(DT4+'Balance Sheet'!DT63)</f>
        <v>-59886.840116634448</v>
      </c>
      <c r="DU39" s="236">
        <f>-DU40*(DU4+'Balance Sheet'!DU63)</f>
        <v>-62706.147400306734</v>
      </c>
      <c r="DV39" s="241">
        <f t="shared" si="64"/>
        <v>-231624.22679901289</v>
      </c>
      <c r="DW39" s="236">
        <f>-DW40*(DW4+'Balance Sheet'!DW63)</f>
        <v>-62718.784458672635</v>
      </c>
      <c r="DX39" s="236">
        <f>-DX40*(DX4+'Balance Sheet'!DX63)</f>
        <v>-64566.090002390491</v>
      </c>
      <c r="DY39" s="236">
        <f>-DY40*(DY4+'Balance Sheet'!DY63)</f>
        <v>-70383.055171333326</v>
      </c>
      <c r="DZ39" s="236">
        <f>-DZ40*(DZ4+'Balance Sheet'!DZ63)</f>
        <v>-76182.158588821709</v>
      </c>
      <c r="EA39" s="241">
        <f t="shared" si="65"/>
        <v>-273850.08822121815</v>
      </c>
      <c r="EB39" s="236">
        <f>-EB40*(EB4+'Balance Sheet'!EB63)</f>
        <v>-72784.239833549611</v>
      </c>
      <c r="EC39" s="236">
        <f>-EC40*(EC4+'Balance Sheet'!EC63)</f>
        <v>-72074.652330786441</v>
      </c>
      <c r="ED39" s="236">
        <f>-ED40*(ED4+'Balance Sheet'!ED63)</f>
        <v>-73872.764701747888</v>
      </c>
      <c r="EE39" s="236">
        <f>-EE40*(EE4+'Balance Sheet'!EE63)</f>
        <v>-81033.548736823839</v>
      </c>
      <c r="EF39" s="241">
        <f t="shared" si="66"/>
        <v>-299765.20560290781</v>
      </c>
    </row>
    <row r="40" spans="1:137" ht="12.75" customHeight="1" outlineLevel="1">
      <c r="A40" s="247" t="s">
        <v>716</v>
      </c>
      <c r="B40" s="248" t="e">
        <f>-B39/(B4+'Balance Sheet'!B63)</f>
        <v>#REF!</v>
      </c>
      <c r="C40" s="248">
        <f>-C39/(C4+'Balance Sheet'!C63)</f>
        <v>4.4245523607935652E-3</v>
      </c>
      <c r="D40" s="248">
        <f>-D39/(D4+'Balance Sheet'!D63)</f>
        <v>2.7347724807211996E-2</v>
      </c>
      <c r="E40" s="248">
        <f>-E39/(E4+'Balance Sheet'!E63)</f>
        <v>-0.49350830657545719</v>
      </c>
      <c r="F40" s="249" t="e">
        <f>-F39/(F4+'Balance Sheet'!F63)</f>
        <v>#REF!</v>
      </c>
      <c r="G40" s="248">
        <f>-G39/(G4+'Balance Sheet'!G63)</f>
        <v>-2.8600324064508411E-3</v>
      </c>
      <c r="H40" s="248">
        <f>-H39/(H4+'Balance Sheet'!H63)</f>
        <v>2.4214843530535424E-2</v>
      </c>
      <c r="I40" s="248">
        <f>-I39/(I4+'Balance Sheet'!I63)</f>
        <v>2.3809642481545906E-2</v>
      </c>
      <c r="J40" s="248">
        <f>-J39/(J4+'Balance Sheet'!J63)</f>
        <v>-8.9727344945081638E-2</v>
      </c>
      <c r="K40" s="249">
        <f>-K39/(K4+'Balance Sheet'!K63)</f>
        <v>-7.943419098923328E-3</v>
      </c>
      <c r="L40" s="248">
        <f>-L39/(L4+'Balance Sheet'!L63)</f>
        <v>7.6574319470185878E-2</v>
      </c>
      <c r="M40" s="248">
        <f>-M39/(M4+'Balance Sheet'!M63)</f>
        <v>2.8326520321982317E-2</v>
      </c>
      <c r="N40" s="248">
        <f>-N39/(N4+'Balance Sheet'!N63)</f>
        <v>3.5367888748419722E-2</v>
      </c>
      <c r="O40" s="248">
        <f>-O39/(O4+'Balance Sheet'!O63)</f>
        <v>7.3914936986202967E-2</v>
      </c>
      <c r="P40" s="249">
        <f>-P39/(P4+'Balance Sheet'!P63)</f>
        <v>5.4283493752615535E-2</v>
      </c>
      <c r="Q40" s="248">
        <f>-Q39/(Q4+'Balance Sheet'!Q63)</f>
        <v>3.5748062118279286E-2</v>
      </c>
      <c r="R40" s="248">
        <f>-R39/(R4+'Balance Sheet'!R63)</f>
        <v>2.6535856863474001E-2</v>
      </c>
      <c r="S40" s="248">
        <f>-S39/(S4+'Balance Sheet'!S63)</f>
        <v>2.8523728837692757E-2</v>
      </c>
      <c r="T40" s="248">
        <f>-T39/(T4+'Balance Sheet'!T63)</f>
        <v>3.1256282470452548E-2</v>
      </c>
      <c r="U40" s="249">
        <f>-U39/(U4+'Balance Sheet'!U63)</f>
        <v>3.0436635726463344E-2</v>
      </c>
      <c r="V40" s="248">
        <f>-V39/(V4+'Balance Sheet'!V63)</f>
        <v>4.0655682419157457E-2</v>
      </c>
      <c r="W40" s="248">
        <f>-W39/(W4+'Balance Sheet'!W63)</f>
        <v>3.550478080577589E-2</v>
      </c>
      <c r="X40" s="248">
        <f>-X39/(X4+'Balance Sheet'!X63)</f>
        <v>4.6803479082095069E-2</v>
      </c>
      <c r="Y40" s="248">
        <f>-Y39/(Y4+'Balance Sheet'!Y63)</f>
        <v>4.9011715384318616E-2</v>
      </c>
      <c r="Z40" s="249">
        <f>-Z39/(Z4+'Balance Sheet'!Z63)</f>
        <v>4.2950712602135691E-2</v>
      </c>
      <c r="AA40" s="248">
        <f>-AA39/(AA4+'Balance Sheet'!AA63)</f>
        <v>2.8658236006068847E-2</v>
      </c>
      <c r="AB40" s="248">
        <f>-AB39/(AB4+'Balance Sheet'!AB63)</f>
        <v>3.689115491957673E-2</v>
      </c>
      <c r="AC40" s="248">
        <f>-AC39/(AC4+'Balance Sheet'!AC63)</f>
        <v>4.0570780555844586E-2</v>
      </c>
      <c r="AD40" s="248">
        <f>-AD39/(AD4+'Balance Sheet'!AD63)</f>
        <v>1.6914008222435502E-2</v>
      </c>
      <c r="AE40" s="249">
        <f>-AE39/(AE4+'Balance Sheet'!AE63)</f>
        <v>3.1496942332045648E-2</v>
      </c>
      <c r="AF40" s="248">
        <f>-AF39/(AF4+'Balance Sheet'!AF63)</f>
        <v>4.8598559771902965E-2</v>
      </c>
      <c r="AG40" s="248">
        <f>-AG39/(AG4+'Balance Sheet'!AG63)</f>
        <v>1.6940037644528099E-2</v>
      </c>
      <c r="AH40" s="248">
        <f>-AH39/(AH4+'Balance Sheet'!AH63)</f>
        <v>3.2212716169231603E-2</v>
      </c>
      <c r="AI40" s="248">
        <f>-AI39/(AI4+'Balance Sheet'!AI63)</f>
        <v>2.6535608814576082E-2</v>
      </c>
      <c r="AJ40" s="249">
        <f>-AJ39/(AJ4+'Balance Sheet'!AJ63)</f>
        <v>2.851124263118349E-2</v>
      </c>
      <c r="AK40" s="248">
        <f>-AK39/(AK4+'Balance Sheet'!AK63)</f>
        <v>3.0884246398476027E-2</v>
      </c>
      <c r="AL40" s="248">
        <f>-AL39/(AL4+'Balance Sheet'!AL63)</f>
        <v>2.9040908354702751E-2</v>
      </c>
      <c r="AM40" s="248">
        <f>-AM39/(AM4+'Balance Sheet'!AM63)</f>
        <v>3.1336162985982796E-2</v>
      </c>
      <c r="AN40" s="248">
        <f>-AN39/(AN4+'Balance Sheet'!AN63)</f>
        <v>2.8476397487026094E-2</v>
      </c>
      <c r="AO40" s="249">
        <f>-AO39/(AO4+'Balance Sheet'!AO63)</f>
        <v>2.9819107384320406E-2</v>
      </c>
      <c r="AP40" s="248">
        <f>-AP39/(AP4+'Balance Sheet'!AP63)</f>
        <v>3.1218385853564557E-2</v>
      </c>
      <c r="AQ40" s="248">
        <f>-AQ39/(AQ4+'Balance Sheet'!AQ63)</f>
        <v>3.1829451525197262E-2</v>
      </c>
      <c r="AR40" s="248">
        <f>-AR39/(AR4+'Balance Sheet'!AR63)</f>
        <v>2.7951906626363446E-2</v>
      </c>
      <c r="AS40" s="248">
        <f>-AS39/(AS4+'Balance Sheet'!AS63)</f>
        <v>2.6136900447144871E-2</v>
      </c>
      <c r="AT40" s="249">
        <f>-AT39/(AT4+'Balance Sheet'!AT63)</f>
        <v>2.90168113070653E-2</v>
      </c>
      <c r="AU40" s="248">
        <f>-AU39/(AU4+'Balance Sheet'!AU63)</f>
        <v>2.0388771413304058E-2</v>
      </c>
      <c r="AV40" s="248">
        <f>-AV39/(AV4+'Balance Sheet'!AV63)</f>
        <v>2.6335954594588293E-2</v>
      </c>
      <c r="AW40" s="248">
        <f>-AW39/(AW4+'Balance Sheet'!AW63)</f>
        <v>2.4359153120757347E-2</v>
      </c>
      <c r="AX40" s="248">
        <f>-AX39/(AX4+'Balance Sheet'!AX63)</f>
        <v>2.6998331749628887E-2</v>
      </c>
      <c r="AY40" s="249">
        <f>-AY39/(AY4+'Balance Sheet'!AY63)</f>
        <v>2.4581680327840638E-2</v>
      </c>
      <c r="AZ40" s="248">
        <f>-AZ39/(AZ4+'Balance Sheet'!AZ63)</f>
        <v>2.240949010190418E-2</v>
      </c>
      <c r="BA40" s="248">
        <f>-BA39/(BA4+'Balance Sheet'!BA63)</f>
        <v>2.4512627334911313E-2</v>
      </c>
      <c r="BB40" s="248">
        <f>-BB39/(BB4+'Balance Sheet'!BB63)</f>
        <v>1.9196281002576223E-2</v>
      </c>
      <c r="BC40" s="248">
        <f>-BC39/(BC4+'Balance Sheet'!BC63)</f>
        <v>1.8653294410599857E-2</v>
      </c>
      <c r="BD40" s="249">
        <f>-BD39/(BD4+'Balance Sheet'!BD63)</f>
        <v>2.0968724652372709E-2</v>
      </c>
      <c r="BE40" s="248">
        <f>-BE39/(BE4+'Balance Sheet'!BE63)</f>
        <v>2.1923438155694846E-2</v>
      </c>
      <c r="BF40" s="248">
        <f>-BF39/(BF4+'Balance Sheet'!BF63)</f>
        <v>2.0663393910974048E-2</v>
      </c>
      <c r="BG40" s="248">
        <f>-BG39/(BG4+'Balance Sheet'!BG63)</f>
        <v>2.242525235406485E-2</v>
      </c>
      <c r="BH40" s="248">
        <f>-BH39/(BH4+'Balance Sheet'!BH63)</f>
        <v>2.0351287375549393E-2</v>
      </c>
      <c r="BI40" s="249">
        <f>-BI39/(BI4+'Balance Sheet'!BI63)</f>
        <v>2.1348605350828255E-2</v>
      </c>
      <c r="BJ40" s="248">
        <f>-BJ39/(BJ4+'Balance Sheet'!BJ63)</f>
        <v>2.7854424931822021E-2</v>
      </c>
      <c r="BK40" s="248">
        <f>-BK39/(BK4+'Balance Sheet'!BK63)</f>
        <v>2.0239443137177682E-2</v>
      </c>
      <c r="BL40" s="248">
        <f>-BL39/(BL4+'Balance Sheet'!BL63)</f>
        <v>2.0622304188568016E-2</v>
      </c>
      <c r="BM40" s="248">
        <f>-BM39/(BM4+'Balance Sheet'!BM63)</f>
        <v>2.1218669961766735E-2</v>
      </c>
      <c r="BN40" s="249">
        <f>-BN39/(BN4+'Balance Sheet'!BN63)</f>
        <v>2.2134544730602862E-2</v>
      </c>
      <c r="BO40" s="248">
        <f>-BO39/(BO4+'Balance Sheet'!BO63)</f>
        <v>2.6024449253528235E-2</v>
      </c>
      <c r="BP40" s="248">
        <f>-BP39/(BP4+'Balance Sheet'!BP63)</f>
        <v>2.1163662151868812E-2</v>
      </c>
      <c r="BQ40" s="248">
        <f>-BQ39/(BQ4+'Balance Sheet'!BQ63)</f>
        <v>2.392213487852882E-2</v>
      </c>
      <c r="BR40" s="248">
        <f>-BR39/(BR4+'Balance Sheet'!BR63)</f>
        <v>2.4742869580116792E-2</v>
      </c>
      <c r="BS40" s="249">
        <f>-BS39/(BS4+'Balance Sheet'!BS63)</f>
        <v>2.3903105260710607E-2</v>
      </c>
      <c r="BT40" s="248">
        <f>-BT39/(BT4+'Balance Sheet'!BT63)</f>
        <v>1.6468608784265058E-2</v>
      </c>
      <c r="BU40" s="248">
        <f>-BU39/(BU4+'Balance Sheet'!BU63)</f>
        <v>2.0947858503767972E-2</v>
      </c>
      <c r="BV40" s="248">
        <f>-BV39/(BV4+'Balance Sheet'!BV63)</f>
        <v>2.3719263574091327E-2</v>
      </c>
      <c r="BW40" s="248">
        <f>-BW39/(BW4+'Balance Sheet'!BW63)</f>
        <v>1.4547725597332192E-2</v>
      </c>
      <c r="BX40" s="249">
        <f>-BX39/(BX4+'Balance Sheet'!BX63)</f>
        <v>1.8246113233972249E-2</v>
      </c>
      <c r="BY40" s="248">
        <f>-BY39/(BY4+'Balance Sheet'!BY63)</f>
        <v>2.1033239771680557E-4</v>
      </c>
      <c r="BZ40" s="248">
        <f>-BZ39/(BZ4+'Balance Sheet'!BZ63)</f>
        <v>-4.100560887193672E-4</v>
      </c>
      <c r="CA40" s="248">
        <f>-CA39/(CA4+'Balance Sheet'!CA63)</f>
        <v>2.2756264189499924E-2</v>
      </c>
      <c r="CB40" s="248">
        <f>-CB39/(CB4+'Balance Sheet'!CB63)</f>
        <v>5.3738703159842381E-2</v>
      </c>
      <c r="CC40" s="249">
        <f>-CC39/(CC4+'Balance Sheet'!CC63)</f>
        <v>2.1271913007469209E-2</v>
      </c>
      <c r="CD40" s="248">
        <f>-CD39/(CD4+'Balance Sheet'!CD63)</f>
        <v>2.3162798819210975E-2</v>
      </c>
      <c r="CE40" s="248">
        <f>-CE39/(CE4+'Balance Sheet'!CE63)</f>
        <v>1.8039135201698055E-2</v>
      </c>
      <c r="CF40" s="248">
        <f>-CF39/(CF4+'Balance Sheet'!CF63)</f>
        <v>1.6249166092918238E-2</v>
      </c>
      <c r="CG40" s="248">
        <f>-CG39/(CG4+'Balance Sheet'!CG63)</f>
        <v>3.3125880178382819E-2</v>
      </c>
      <c r="CH40" s="249">
        <f>-CH39/(CH4+'Balance Sheet'!CH63)</f>
        <v>2.2657785389945409E-2</v>
      </c>
      <c r="CI40" s="248">
        <f>-CI39/(CI4+'Balance Sheet'!CI63)</f>
        <v>1.8487243366643962E-2</v>
      </c>
      <c r="CJ40" s="248">
        <f>-CJ39/(CJ4+'Balance Sheet'!CJ63)</f>
        <v>2.070087139295947E-2</v>
      </c>
      <c r="CK40" s="248">
        <f>-CK39/(CK4+'Balance Sheet'!CK63)</f>
        <v>1.9735522713040916E-2</v>
      </c>
      <c r="CL40" s="248">
        <f>-CL39/(CL4+'Balance Sheet'!CL63)</f>
        <v>2.0798360701859683E-2</v>
      </c>
      <c r="CM40" s="249">
        <f>-CM39/(CM4+'Balance Sheet'!CM63)</f>
        <v>2.0014545235467137E-2</v>
      </c>
      <c r="CN40" s="248">
        <f>-CN39/(CN4+'Balance Sheet'!CN63)</f>
        <v>2.1148216438252602E-2</v>
      </c>
      <c r="CO40" s="248">
        <f>-CO39/(CO4+'Balance Sheet'!CO63)</f>
        <v>2.3515737143637416E-2</v>
      </c>
      <c r="CP40" s="248">
        <f>-CP39/(CP4+'Balance Sheet'!CP63)</f>
        <v>2.5465584916366454E-2</v>
      </c>
      <c r="CQ40" s="248">
        <f>-CQ39/(CQ4+'Balance Sheet'!CQ63)</f>
        <v>2.3123977397616076E-2</v>
      </c>
      <c r="CR40" s="249">
        <f>-CR39/(CR4+'Balance Sheet'!CR63)</f>
        <v>2.338739005853507E-2</v>
      </c>
      <c r="CS40" s="248">
        <f>-CS39/(CS4+'Balance Sheet'!CS63)</f>
        <v>2.6429175822277374E-2</v>
      </c>
      <c r="CT40" s="248">
        <f>-CT39/(CT4+'Balance Sheet'!CT63)</f>
        <v>2.4549109416596531E-2</v>
      </c>
      <c r="CU40" s="248">
        <f>-CU39/(CU4+'Balance Sheet'!CU63)</f>
        <v>2.5053245816151173E-2</v>
      </c>
      <c r="CV40" s="248">
        <f>-CV39/(CV4+'Balance Sheet'!CV63)</f>
        <v>2.5310560141066758E-2</v>
      </c>
      <c r="CW40" s="249">
        <f>-CW39/(CW4+'Balance Sheet'!CW63)</f>
        <v>2.5327895819295315E-2</v>
      </c>
      <c r="CX40" s="248">
        <f>-CX39/(CX4+'Balance Sheet'!CX63)</f>
        <v>2.3909266113130084E-2</v>
      </c>
      <c r="CY40" s="248">
        <f>-CY39/(CY4+'Balance Sheet'!CY63)</f>
        <v>2.1987974329421896E-2</v>
      </c>
      <c r="CZ40" s="248">
        <f>-CZ39/(CZ4+'Balance Sheet'!CZ63)</f>
        <v>2.5132910617892738E-2</v>
      </c>
      <c r="DA40" s="248">
        <f>-DA39/(DA4+'Balance Sheet'!DA63)</f>
        <v>2.1637011215089496E-2</v>
      </c>
      <c r="DB40" s="249">
        <f>-DB39/(DB4+'Balance Sheet'!DB63)</f>
        <v>2.3090152166583961E-2</v>
      </c>
      <c r="DC40" s="248">
        <f>-DC39/(DC4+'Balance Sheet'!DC63)</f>
        <v>2.2814949003779363E-2</v>
      </c>
      <c r="DD40" s="248">
        <f>-DD39/(DD4+'Balance Sheet'!DD63)</f>
        <v>2.4557420287645043E-2</v>
      </c>
      <c r="DE40" s="248">
        <f>-DE39/(DE4+'Balance Sheet'!DE63)</f>
        <v>2.5960970232367851E-2</v>
      </c>
      <c r="DF40" s="248">
        <f>-DF39/(DF4+'Balance Sheet'!DF63)</f>
        <v>2.1916119700127541E-2</v>
      </c>
      <c r="DG40" s="249">
        <f>-DG39/(DG4+'Balance Sheet'!DG63)</f>
        <v>2.3704114118657107E-2</v>
      </c>
      <c r="DH40" s="248">
        <f>-DH39/(DH4+'Balance Sheet'!DH63)</f>
        <v>2.4441115079106041E-2</v>
      </c>
      <c r="DI40" s="248">
        <f>-DI39/(DI4+'Balance Sheet'!DI63)</f>
        <v>2.2490376250916141E-2</v>
      </c>
      <c r="DJ40" s="250">
        <f>DI40*80%+20%*1.92%</f>
        <v>2.1832301000732912E-2</v>
      </c>
      <c r="DK40" s="250">
        <f>DJ40*80%+20%*1.92%</f>
        <v>2.1305840800586329E-2</v>
      </c>
      <c r="DL40" s="249">
        <f>-DL39/(DL4+'Balance Sheet'!DL63)</f>
        <v>2.2353044710441042E-2</v>
      </c>
      <c r="DM40" s="250">
        <f>DK40*80%+20%*1.92%</f>
        <v>2.0884672640469063E-2</v>
      </c>
      <c r="DN40" s="250">
        <f>DM40*80%+20%*1.92%</f>
        <v>2.0547738112375251E-2</v>
      </c>
      <c r="DO40" s="250">
        <f>DN40*80%+20%*1.92%</f>
        <v>2.0278190489900202E-2</v>
      </c>
      <c r="DP40" s="250">
        <f>DO40*80%+20%*1.92%</f>
        <v>2.006255239192016E-2</v>
      </c>
      <c r="DQ40" s="249">
        <f>-DQ39/(DQ4+'Balance Sheet'!DQ63)</f>
        <v>2.0438677868848499E-2</v>
      </c>
      <c r="DR40" s="250">
        <f>DP40*80%+20%*1.92%</f>
        <v>1.9890041913536129E-2</v>
      </c>
      <c r="DS40" s="250">
        <f>DR40*80%+20%*1.92%</f>
        <v>1.9752033530828904E-2</v>
      </c>
      <c r="DT40" s="250">
        <f>DS40*80%+20%*1.92%</f>
        <v>1.9641626824663125E-2</v>
      </c>
      <c r="DU40" s="250">
        <f>DT40*80%+20%*1.92%</f>
        <v>1.9553301459730499E-2</v>
      </c>
      <c r="DV40" s="249">
        <f>-DV39/(DV4+'Balance Sheet'!DV63)</f>
        <v>1.9700068255694786E-2</v>
      </c>
      <c r="DW40" s="250">
        <f>DU40*80%+20%*1.92%</f>
        <v>1.9482641167784399E-2</v>
      </c>
      <c r="DX40" s="250">
        <f>DW40*80%+20%*1.92%</f>
        <v>1.9426112934227521E-2</v>
      </c>
      <c r="DY40" s="250">
        <f>DX40*80%+20%*1.92%</f>
        <v>1.9380890347382017E-2</v>
      </c>
      <c r="DZ40" s="250">
        <f>DY40*80%+20%*1.92%</f>
        <v>1.9344712277905615E-2</v>
      </c>
      <c r="EA40" s="249">
        <f>-EA39/(EA4+'Balance Sheet'!EA63)</f>
        <v>1.9404655538346544E-2</v>
      </c>
      <c r="EB40" s="250">
        <f>DZ40*80%+20%*1.92%</f>
        <v>1.9315769822324493E-2</v>
      </c>
      <c r="EC40" s="250">
        <f>EB40*80%+20%*1.92%</f>
        <v>1.9292615857859595E-2</v>
      </c>
      <c r="ED40" s="250">
        <f>EC40*80%+20%*1.92%</f>
        <v>1.9274092686287676E-2</v>
      </c>
      <c r="EE40" s="250">
        <f>ED40*80%+20%*1.92%</f>
        <v>1.9259274149030142E-2</v>
      </c>
      <c r="EF40" s="249">
        <f>-EF39/(EF4+'Balance Sheet'!EF63)</f>
        <v>1.9284636499515347E-2</v>
      </c>
    </row>
    <row r="41" spans="1:137" ht="12.75" customHeight="1">
      <c r="A41" s="78" t="s">
        <v>40</v>
      </c>
      <c r="B41" s="261">
        <f>(-11959-SUM(D41))/2</f>
        <v>-4154</v>
      </c>
      <c r="C41" s="261">
        <f>B41</f>
        <v>-4154</v>
      </c>
      <c r="D41" s="261">
        <v>-3651</v>
      </c>
      <c r="E41" s="261">
        <v>-1431</v>
      </c>
      <c r="F41" s="241">
        <f>SUM(B41:E41)</f>
        <v>-13390</v>
      </c>
      <c r="G41" s="261">
        <v>-5285</v>
      </c>
      <c r="H41" s="261">
        <v>-4070</v>
      </c>
      <c r="I41" s="261">
        <v>-6872</v>
      </c>
      <c r="J41" s="261">
        <v>-7085</v>
      </c>
      <c r="K41" s="241">
        <f>SUM(G41:J41)</f>
        <v>-23312</v>
      </c>
      <c r="L41" s="261">
        <v>-4634</v>
      </c>
      <c r="M41" s="261">
        <v>-11170</v>
      </c>
      <c r="N41" s="261">
        <f>-14295-L41-M41</f>
        <v>1509</v>
      </c>
      <c r="O41" s="261">
        <f>-17148-SUM(L41:N41)</f>
        <v>-2853</v>
      </c>
      <c r="P41" s="241">
        <f>SUM(L41:O41)</f>
        <v>-17148</v>
      </c>
      <c r="Q41" s="261">
        <v>6472</v>
      </c>
      <c r="R41" s="261">
        <f>3866-Q41</f>
        <v>-2606</v>
      </c>
      <c r="S41" s="261">
        <v>-14981</v>
      </c>
      <c r="T41" s="261">
        <f>-20538-SUM(Q41:S41)</f>
        <v>-9423</v>
      </c>
      <c r="U41" s="241">
        <f>SUM(Q41:T41)</f>
        <v>-20538</v>
      </c>
      <c r="V41" s="261">
        <v>1921</v>
      </c>
      <c r="W41" s="261">
        <v>-19494</v>
      </c>
      <c r="X41" s="261">
        <v>-11504</v>
      </c>
      <c r="Y41" s="261">
        <f>-36247-SUM(V41:X41)</f>
        <v>-7170</v>
      </c>
      <c r="Z41" s="241">
        <f>SUM(V41:Y41)</f>
        <v>-36247</v>
      </c>
      <c r="AA41" s="261">
        <v>-13785</v>
      </c>
      <c r="AB41" s="261">
        <v>-3286</v>
      </c>
      <c r="AC41" s="261">
        <v>-17529</v>
      </c>
      <c r="AD41" s="261">
        <v>-5633</v>
      </c>
      <c r="AE41" s="241">
        <f>SUM(AA41:AD41)</f>
        <v>-40233</v>
      </c>
      <c r="AF41" s="261">
        <v>-593</v>
      </c>
      <c r="AG41" s="261">
        <v>-19909</v>
      </c>
      <c r="AH41" s="261">
        <v>-5466</v>
      </c>
      <c r="AI41" s="261">
        <v>-395</v>
      </c>
      <c r="AJ41" s="241">
        <f>SUM(AF41:AI41)</f>
        <v>-26363</v>
      </c>
      <c r="AK41" s="261">
        <v>-7319</v>
      </c>
      <c r="AL41" s="261">
        <v>4572</v>
      </c>
      <c r="AM41" s="261">
        <v>2519</v>
      </c>
      <c r="AN41" s="261">
        <f>-10139-AK41-AL41-AM41</f>
        <v>-9911</v>
      </c>
      <c r="AO41" s="241">
        <f>SUM(AK41:AN41)</f>
        <v>-10139</v>
      </c>
      <c r="AP41" s="261">
        <f>-20103-AQ41</f>
        <v>-6080</v>
      </c>
      <c r="AQ41" s="261">
        <v>-14023</v>
      </c>
      <c r="AR41" s="261">
        <v>-6910</v>
      </c>
      <c r="AS41" s="306">
        <f>30450-AP41-AQ41-AR41</f>
        <v>57463</v>
      </c>
      <c r="AT41" s="241">
        <f>SUM(AP41:AS41)</f>
        <v>30450</v>
      </c>
      <c r="AU41" s="261">
        <f>5483-AV41</f>
        <v>2438</v>
      </c>
      <c r="AV41" s="261">
        <v>3045</v>
      </c>
      <c r="AW41" s="261">
        <v>687</v>
      </c>
      <c r="AX41" s="261">
        <f>6944-SUM(AU41:AW41)</f>
        <v>774</v>
      </c>
      <c r="AY41" s="241">
        <f>SUM(AU41:AX41)</f>
        <v>6944</v>
      </c>
      <c r="AZ41" s="261">
        <v>-5605</v>
      </c>
      <c r="BA41" s="261">
        <v>-7630</v>
      </c>
      <c r="BB41" s="261">
        <v>6039</v>
      </c>
      <c r="BC41" s="261">
        <f>-5811-SUM(AZ41:BB41)</f>
        <v>1385</v>
      </c>
      <c r="BD41" s="241">
        <f>SUM(AZ41:BC41)</f>
        <v>-5811</v>
      </c>
      <c r="BE41" s="261">
        <v>9591</v>
      </c>
      <c r="BF41" s="261">
        <v>7192</v>
      </c>
      <c r="BG41" s="261">
        <v>-140</v>
      </c>
      <c r="BH41" s="261">
        <f>21223-SUM(BE41:BG41)</f>
        <v>4580</v>
      </c>
      <c r="BI41" s="241">
        <f>SUM(BE41:BH41)</f>
        <v>21223</v>
      </c>
      <c r="BJ41" s="261">
        <v>2525</v>
      </c>
      <c r="BK41" s="261">
        <v>5723</v>
      </c>
      <c r="BL41" s="261">
        <v>-741</v>
      </c>
      <c r="BM41" s="261">
        <f>9441-SUM(BJ41:BL41)</f>
        <v>1934</v>
      </c>
      <c r="BN41" s="241">
        <f>SUM(BJ41:BM41)</f>
        <v>9441</v>
      </c>
      <c r="BO41" s="261">
        <v>6159</v>
      </c>
      <c r="BP41" s="261">
        <v>4999</v>
      </c>
      <c r="BQ41" s="261">
        <v>6156</v>
      </c>
      <c r="BR41" s="261">
        <f>17595-SUM(BO41:BQ41)</f>
        <v>281</v>
      </c>
      <c r="BS41" s="241">
        <f>SUM(BO41:BR41)</f>
        <v>17595</v>
      </c>
      <c r="BT41" s="261">
        <v>2418</v>
      </c>
      <c r="BU41" s="261">
        <v>2288</v>
      </c>
      <c r="BV41" s="261">
        <v>2662</v>
      </c>
      <c r="BW41" s="261">
        <f>-1099-SUM(BT41:BV41)</f>
        <v>-8467</v>
      </c>
      <c r="BX41" s="241">
        <f>SUM(BT41:BW41)</f>
        <v>-1099</v>
      </c>
      <c r="BY41" s="261">
        <v>-17937</v>
      </c>
      <c r="BZ41" s="261">
        <v>-19605</v>
      </c>
      <c r="CA41" s="261">
        <v>202</v>
      </c>
      <c r="CB41" s="261">
        <f>-2956-SUM(BY41:CA41)</f>
        <v>34384</v>
      </c>
      <c r="CC41" s="241">
        <f>SUM(BY41:CB41)</f>
        <v>-2956</v>
      </c>
      <c r="CD41" s="261">
        <v>1457</v>
      </c>
      <c r="CE41" s="261">
        <v>-2972</v>
      </c>
      <c r="CF41" s="306">
        <v>0</v>
      </c>
      <c r="CG41" s="306">
        <f>-262343-SUM(CD41:CF41)+266545</f>
        <v>5717</v>
      </c>
      <c r="CH41" s="241">
        <f>SUM(CD41:CG41)</f>
        <v>4202</v>
      </c>
      <c r="CI41" s="261">
        <v>-15</v>
      </c>
      <c r="CJ41" s="261">
        <v>3417</v>
      </c>
      <c r="CK41" s="261">
        <v>-2474</v>
      </c>
      <c r="CL41" s="261">
        <f>4399-SUM(CI41:CK41)</f>
        <v>3471</v>
      </c>
      <c r="CM41" s="241">
        <f>SUM(CI41:CL41)</f>
        <v>4399</v>
      </c>
      <c r="CN41" s="261">
        <v>-1238</v>
      </c>
      <c r="CO41" s="261">
        <v>-2609</v>
      </c>
      <c r="CP41" s="261">
        <v>2855</v>
      </c>
      <c r="CQ41" s="261">
        <f>-1867-SUM(CN41:CP41)</f>
        <v>-875</v>
      </c>
      <c r="CR41" s="241">
        <f>SUM(CN41:CQ41)</f>
        <v>-1867</v>
      </c>
      <c r="CS41" s="261">
        <v>3974</v>
      </c>
      <c r="CT41" s="261">
        <v>-5843</v>
      </c>
      <c r="CU41" s="261">
        <v>-5072</v>
      </c>
      <c r="CV41" s="261">
        <f>-12548-SUM(CS41:CU41)</f>
        <v>-5607</v>
      </c>
      <c r="CW41" s="241">
        <f>SUM(CS41:CV41)</f>
        <v>-12548</v>
      </c>
      <c r="CX41" s="261">
        <v>-2751</v>
      </c>
      <c r="CY41" s="261">
        <v>-7190</v>
      </c>
      <c r="CZ41" s="261">
        <v>-7334</v>
      </c>
      <c r="DA41" s="261">
        <f>-26947-SUM(CX41:CZ41)</f>
        <v>-9672</v>
      </c>
      <c r="DB41" s="241">
        <f>SUM(CX41:DA41)</f>
        <v>-26947</v>
      </c>
      <c r="DC41" s="261">
        <v>-1078</v>
      </c>
      <c r="DD41" s="261">
        <v>-6252</v>
      </c>
      <c r="DE41" s="261">
        <v>-1015</v>
      </c>
      <c r="DF41" s="261">
        <f>49710-SUM(DC41:DE41)</f>
        <v>58055</v>
      </c>
      <c r="DG41" s="241">
        <f>SUM(DC41:DF41)</f>
        <v>49710</v>
      </c>
      <c r="DH41" s="261">
        <v>-5169</v>
      </c>
      <c r="DI41" s="261">
        <v>-2441</v>
      </c>
      <c r="DJ41" s="236">
        <f>-DJ42*DJ10-DJ39</f>
        <v>-10408.820503281946</v>
      </c>
      <c r="DK41" s="236">
        <f>-DK42*DK10-DK39</f>
        <v>-4941.7633384275396</v>
      </c>
      <c r="DL41" s="241">
        <f>SUM(DH41:DK41)</f>
        <v>-22960.583841709486</v>
      </c>
      <c r="DM41" s="236">
        <f>-DM42*DM10-DM39</f>
        <v>-1940.5060732319471</v>
      </c>
      <c r="DN41" s="236">
        <f>-DN42*DN10-DN39</f>
        <v>-11703.373913013027</v>
      </c>
      <c r="DO41" s="236">
        <f>-DO42*DO10-DO39</f>
        <v>-11844.121462321033</v>
      </c>
      <c r="DP41" s="236">
        <f>-DP42*DP10-DP39</f>
        <v>-8661.5559469174841</v>
      </c>
      <c r="DQ41" s="241">
        <f>SUM(DM41:DP41)</f>
        <v>-34149.557395483491</v>
      </c>
      <c r="DR41" s="236">
        <f>-DR42*DR10-DR39</f>
        <v>-10919.509389063038</v>
      </c>
      <c r="DS41" s="236">
        <f>-DS42*DS10-DS39</f>
        <v>-8146.4340916456422</v>
      </c>
      <c r="DT41" s="236">
        <f>-DT42*DT10-DT39</f>
        <v>-6428.22029261446</v>
      </c>
      <c r="DU41" s="236">
        <f>-DU42*DU10-DU39</f>
        <v>-8602.977518549138</v>
      </c>
      <c r="DV41" s="241">
        <f>SUM(DR41:DU41)</f>
        <v>-34097.141291872278</v>
      </c>
      <c r="DW41" s="236">
        <f>-DW42*DW10-DW39</f>
        <v>-4334.3155244317095</v>
      </c>
      <c r="DX41" s="236">
        <f>-DX42*DX10-DX39</f>
        <v>-4318.074470615953</v>
      </c>
      <c r="DY41" s="236">
        <f>-DY42*DY10-DY39</f>
        <v>-63.718679764773697</v>
      </c>
      <c r="DZ41" s="236">
        <f>-DZ42*DZ10-DZ39</f>
        <v>499.5352392939094</v>
      </c>
      <c r="EA41" s="241">
        <f>SUM(DW41:DZ41)</f>
        <v>-8216.5734355185268</v>
      </c>
      <c r="EB41" s="236">
        <f>-EB42*EB10-EB39</f>
        <v>1508.7064808486175</v>
      </c>
      <c r="EC41" s="236">
        <f>-EC42*EC10-EC39</f>
        <v>-1144.2312785064278</v>
      </c>
      <c r="ED41" s="236">
        <f>-ED42*ED10-ED39</f>
        <v>-949.52612440544181</v>
      </c>
      <c r="EE41" s="236">
        <f>-EE42*EE10-EE39</f>
        <v>816.20913743448909</v>
      </c>
      <c r="EF41" s="241">
        <f>SUM(EB41:EE41)</f>
        <v>231.15821537123702</v>
      </c>
    </row>
    <row r="42" spans="1:137" ht="12.75" customHeight="1" outlineLevel="1">
      <c r="A42" s="247" t="s">
        <v>715</v>
      </c>
      <c r="B42" s="248">
        <f t="shared" ref="B42:AL42" si="83">-(B39+B41)/B10</f>
        <v>4.5394619795539458E-2</v>
      </c>
      <c r="C42" s="248">
        <f t="shared" si="83"/>
        <v>4.5394619795539458E-2</v>
      </c>
      <c r="D42" s="248">
        <f t="shared" si="83"/>
        <v>5.6254583978485859E-2</v>
      </c>
      <c r="E42" s="248">
        <f t="shared" si="83"/>
        <v>0.16278572837449867</v>
      </c>
      <c r="F42" s="249">
        <f t="shared" si="83"/>
        <v>8.8790455288242434E-2</v>
      </c>
      <c r="G42" s="248">
        <f t="shared" si="83"/>
        <v>2.7971247039185607E-2</v>
      </c>
      <c r="H42" s="248">
        <f t="shared" si="83"/>
        <v>5.5702322973967273E-2</v>
      </c>
      <c r="I42" s="248">
        <f t="shared" si="83"/>
        <v>4.6052397499911052E-2</v>
      </c>
      <c r="J42" s="248">
        <f t="shared" si="83"/>
        <v>-5.3489146952938979E-2</v>
      </c>
      <c r="K42" s="249">
        <f t="shared" si="83"/>
        <v>2.5803950944185073E-2</v>
      </c>
      <c r="L42" s="248">
        <f t="shared" si="83"/>
        <v>7.4944066747735627E-2</v>
      </c>
      <c r="M42" s="248">
        <f t="shared" si="83"/>
        <v>6.0644575232250135E-2</v>
      </c>
      <c r="N42" s="248">
        <f t="shared" si="83"/>
        <v>2.355947855593497E-2</v>
      </c>
      <c r="O42" s="248">
        <f t="shared" si="83"/>
        <v>4.9428713998746113E-2</v>
      </c>
      <c r="P42" s="249">
        <f t="shared" si="83"/>
        <v>5.1946795906798807E-2</v>
      </c>
      <c r="Q42" s="248">
        <f t="shared" si="83"/>
        <v>5.6245238981394198E-3</v>
      </c>
      <c r="R42" s="248">
        <f t="shared" si="83"/>
        <v>2.9127704042058087E-2</v>
      </c>
      <c r="S42" s="248">
        <f t="shared" si="83"/>
        <v>5.5430736890825991E-2</v>
      </c>
      <c r="T42" s="248">
        <f t="shared" si="83"/>
        <v>3.2544154788264598E-2</v>
      </c>
      <c r="U42" s="249">
        <f t="shared" si="83"/>
        <v>3.2787451233125799E-2</v>
      </c>
      <c r="V42" s="248">
        <f t="shared" si="83"/>
        <v>2.5400974865887865E-2</v>
      </c>
      <c r="W42" s="248">
        <f t="shared" si="83"/>
        <v>4.5410570890485495E-2</v>
      </c>
      <c r="X42" s="248">
        <f t="shared" si="83"/>
        <v>4.8067380917176515E-2</v>
      </c>
      <c r="Y42" s="248">
        <f t="shared" si="83"/>
        <v>3.4921531082639366E-2</v>
      </c>
      <c r="Z42" s="249">
        <f t="shared" si="83"/>
        <v>3.947368883148062E-2</v>
      </c>
      <c r="AA42" s="248">
        <f t="shared" si="83"/>
        <v>4.2781784009031147E-2</v>
      </c>
      <c r="AB42" s="248">
        <f t="shared" si="83"/>
        <v>2.5114207400639563E-2</v>
      </c>
      <c r="AC42" s="248">
        <f t="shared" si="83"/>
        <v>3.5831526880317419E-2</v>
      </c>
      <c r="AD42" s="248">
        <f t="shared" si="83"/>
        <v>1.2651197287027552E-2</v>
      </c>
      <c r="AE42" s="249">
        <f t="shared" si="83"/>
        <v>2.7918758753126664E-2</v>
      </c>
      <c r="AF42" s="248">
        <f t="shared" si="83"/>
        <v>2.165574048433129E-2</v>
      </c>
      <c r="AG42" s="248">
        <f t="shared" si="83"/>
        <v>2.951979333822621E-2</v>
      </c>
      <c r="AH42" s="248">
        <f t="shared" si="83"/>
        <v>2.9733800467765231E-2</v>
      </c>
      <c r="AI42" s="248">
        <f t="shared" si="83"/>
        <v>2.464814330948633E-2</v>
      </c>
      <c r="AJ42" s="249">
        <f t="shared" si="83"/>
        <v>2.6365487039644343E-2</v>
      </c>
      <c r="AK42" s="248">
        <f t="shared" si="83"/>
        <v>3.4881764775447181E-2</v>
      </c>
      <c r="AL42" s="248">
        <f t="shared" si="83"/>
        <v>2.5348474637062832E-2</v>
      </c>
      <c r="AM42" s="248">
        <f t="shared" ref="AM42:BR42" si="84">-(AM39+AM41)/AM10</f>
        <v>3.0375698415364947E-2</v>
      </c>
      <c r="AN42" s="248">
        <f t="shared" si="84"/>
        <v>3.2214919389600381E-2</v>
      </c>
      <c r="AO42" s="249">
        <f t="shared" si="84"/>
        <v>3.0719557300970934E-2</v>
      </c>
      <c r="AP42" s="248">
        <f t="shared" si="84"/>
        <v>3.3209146836722374E-2</v>
      </c>
      <c r="AQ42" s="248">
        <f t="shared" si="84"/>
        <v>4.4653614512190104E-2</v>
      </c>
      <c r="AR42" s="248">
        <f t="shared" si="84"/>
        <v>3.5738307732423077E-2</v>
      </c>
      <c r="AS42" s="248">
        <f t="shared" si="84"/>
        <v>-4.2749704602196457E-3</v>
      </c>
      <c r="AT42" s="249">
        <f t="shared" si="84"/>
        <v>2.7106107058470757E-2</v>
      </c>
      <c r="AU42" s="248">
        <f t="shared" si="84"/>
        <v>2.2199001127228744E-2</v>
      </c>
      <c r="AV42" s="248">
        <f t="shared" si="84"/>
        <v>2.4126013994268513E-2</v>
      </c>
      <c r="AW42" s="248">
        <f t="shared" si="84"/>
        <v>2.3311016258763324E-2</v>
      </c>
      <c r="AX42" s="248">
        <f t="shared" si="84"/>
        <v>3.1154719370774551E-2</v>
      </c>
      <c r="AY42" s="249">
        <f t="shared" si="84"/>
        <v>2.5296720962969775E-2</v>
      </c>
      <c r="AZ42" s="248">
        <f t="shared" si="84"/>
        <v>3.1361708791952332E-2</v>
      </c>
      <c r="BA42" s="248">
        <f t="shared" si="84"/>
        <v>3.1371587632175076E-2</v>
      </c>
      <c r="BB42" s="248">
        <f t="shared" si="84"/>
        <v>1.8929835607202346E-2</v>
      </c>
      <c r="BC42" s="248">
        <f t="shared" si="84"/>
        <v>1.999885007755443E-2</v>
      </c>
      <c r="BD42" s="249">
        <f t="shared" si="84"/>
        <v>2.4926576081136805E-2</v>
      </c>
      <c r="BE42" s="248">
        <f t="shared" si="84"/>
        <v>2.2528675230435447E-2</v>
      </c>
      <c r="BF42" s="248">
        <f t="shared" si="84"/>
        <v>2.1023430955723166E-2</v>
      </c>
      <c r="BG42" s="248">
        <f t="shared" si="84"/>
        <v>2.582591873488771E-2</v>
      </c>
      <c r="BH42" s="248">
        <f t="shared" si="84"/>
        <v>2.0016418353623392E-2</v>
      </c>
      <c r="BI42" s="249">
        <f t="shared" si="84"/>
        <v>2.2401953015582846E-2</v>
      </c>
      <c r="BJ42" s="248">
        <f t="shared" si="84"/>
        <v>2.251124328671553E-2</v>
      </c>
      <c r="BK42" s="248">
        <f t="shared" si="84"/>
        <v>2.3140774343910531E-2</v>
      </c>
      <c r="BL42" s="248">
        <f t="shared" si="84"/>
        <v>2.2427064755754983E-2</v>
      </c>
      <c r="BM42" s="248">
        <f t="shared" si="84"/>
        <v>2.4098680401060554E-2</v>
      </c>
      <c r="BN42" s="249">
        <f t="shared" si="84"/>
        <v>2.3072252770466716E-2</v>
      </c>
      <c r="BO42" s="248">
        <f t="shared" si="84"/>
        <v>2.2315554740340301E-2</v>
      </c>
      <c r="BP42" s="248">
        <f t="shared" si="84"/>
        <v>2.4947977924545374E-2</v>
      </c>
      <c r="BQ42" s="248">
        <f t="shared" si="84"/>
        <v>2.3899890771075915E-2</v>
      </c>
      <c r="BR42" s="248">
        <f t="shared" si="84"/>
        <v>2.6076904055390704E-2</v>
      </c>
      <c r="BS42" s="249">
        <f t="shared" ref="BS42:CX42" si="85">-(BS39+BS41)/BS10</f>
        <v>2.4373450221971224E-2</v>
      </c>
      <c r="BT42" s="248">
        <f t="shared" si="85"/>
        <v>2.608616534479009E-2</v>
      </c>
      <c r="BU42" s="248">
        <f t="shared" si="85"/>
        <v>2.2192548069781513E-2</v>
      </c>
      <c r="BV42" s="248">
        <f t="shared" si="85"/>
        <v>2.1231331700755356E-2</v>
      </c>
      <c r="BW42" s="248">
        <f t="shared" si="85"/>
        <v>2.5246687851789549E-2</v>
      </c>
      <c r="BX42" s="249">
        <f t="shared" si="85"/>
        <v>2.3695809044944654E-2</v>
      </c>
      <c r="BY42" s="248">
        <f t="shared" si="85"/>
        <v>2.1919887296123625E-2</v>
      </c>
      <c r="BZ42" s="248">
        <f t="shared" si="85"/>
        <v>2.0503468848692429E-2</v>
      </c>
      <c r="CA42" s="248">
        <f t="shared" si="85"/>
        <v>2.3181376162197957E-2</v>
      </c>
      <c r="CB42" s="248">
        <f t="shared" si="85"/>
        <v>2.2047411381391269E-2</v>
      </c>
      <c r="CC42" s="249">
        <f t="shared" si="85"/>
        <v>2.1922381140030981E-2</v>
      </c>
      <c r="CD42" s="248">
        <f t="shared" si="85"/>
        <v>2.203189256690051E-2</v>
      </c>
      <c r="CE42" s="248">
        <f t="shared" si="85"/>
        <v>1.9470486690637188E-2</v>
      </c>
      <c r="CF42" s="248">
        <f t="shared" si="85"/>
        <v>1.8296471947214576E-2</v>
      </c>
      <c r="CG42" s="248">
        <f t="shared" si="85"/>
        <v>2.8783017707239053E-2</v>
      </c>
      <c r="CH42" s="249">
        <f t="shared" si="85"/>
        <v>2.2198940501546149E-2</v>
      </c>
      <c r="CI42" s="248">
        <f t="shared" si="85"/>
        <v>1.7780642641661321E-2</v>
      </c>
      <c r="CJ42" s="248">
        <f t="shared" si="85"/>
        <v>1.7805974354050146E-2</v>
      </c>
      <c r="CK42" s="248">
        <f t="shared" si="85"/>
        <v>2.0634320625239164E-2</v>
      </c>
      <c r="CL42" s="248">
        <f t="shared" si="85"/>
        <v>1.7575183615937202E-2</v>
      </c>
      <c r="CM42" s="249">
        <f t="shared" si="85"/>
        <v>1.8497826995848111E-2</v>
      </c>
      <c r="CN42" s="248">
        <f t="shared" si="85"/>
        <v>2.1445992861620002E-2</v>
      </c>
      <c r="CO42" s="248">
        <f t="shared" si="85"/>
        <v>2.4404779522639697E-2</v>
      </c>
      <c r="CP42" s="248">
        <f t="shared" si="85"/>
        <v>2.0844500411632397E-2</v>
      </c>
      <c r="CQ42" s="248">
        <f t="shared" si="85"/>
        <v>2.4504054223599404E-2</v>
      </c>
      <c r="CR42" s="249">
        <f t="shared" si="85"/>
        <v>2.2730653077853297E-2</v>
      </c>
      <c r="CS42" s="248">
        <f t="shared" si="85"/>
        <v>2.4915343775176752E-2</v>
      </c>
      <c r="CT42" s="248">
        <f t="shared" si="85"/>
        <v>2.4386196423268048E-2</v>
      </c>
      <c r="CU42" s="248">
        <f t="shared" si="85"/>
        <v>2.5220373840627263E-2</v>
      </c>
      <c r="CV42" s="248">
        <f t="shared" si="85"/>
        <v>2.5553273212799908E-2</v>
      </c>
      <c r="CW42" s="249">
        <f t="shared" si="85"/>
        <v>2.5030950634278095E-2</v>
      </c>
      <c r="CX42" s="248">
        <f t="shared" si="85"/>
        <v>2.3549329873082458E-2</v>
      </c>
      <c r="CY42" s="248">
        <f t="shared" ref="CY42" si="86">-(CY39+CY41)/CY10</f>
        <v>2.2242423622282168E-2</v>
      </c>
      <c r="CZ42" s="248">
        <f>-(CZ39+CZ41)/CZ10</f>
        <v>2.5470388751563693E-2</v>
      </c>
      <c r="DA42" s="248">
        <f t="shared" ref="DA42" si="87">-(DA39+DA41)/DA10</f>
        <v>2.2101378583065105E-2</v>
      </c>
      <c r="DB42" s="249">
        <f>-(DB39+DB41)/DB10</f>
        <v>2.3278591880575791E-2</v>
      </c>
      <c r="DC42" s="248">
        <f t="shared" ref="DC42:DD42" si="88">-(DC39+DC41)/DC10</f>
        <v>2.2609210423895812E-2</v>
      </c>
      <c r="DD42" s="248">
        <f t="shared" si="88"/>
        <v>2.3602245708617884E-2</v>
      </c>
      <c r="DE42" s="248">
        <f>-(DE39+DE41)/DE10</f>
        <v>2.6235102981236075E-2</v>
      </c>
      <c r="DF42" s="248">
        <f t="shared" ref="DF42" si="89">-(DF39+DF41)/DF10</f>
        <v>-5.2300123579133615E-4</v>
      </c>
      <c r="DG42" s="249">
        <f>-(DG39+DG41)/DG10</f>
        <v>1.5708716957850241E-2</v>
      </c>
      <c r="DH42" s="248">
        <f t="shared" ref="DH42:DI42" si="90">-(DH39+DH41)/DH10</f>
        <v>2.5294402609735249E-2</v>
      </c>
      <c r="DI42" s="248">
        <f t="shared" si="90"/>
        <v>2.2159959143381498E-2</v>
      </c>
      <c r="DJ42" s="250">
        <f>DH42*80%+20%*1.92%</f>
        <v>2.4075522087788199E-2</v>
      </c>
      <c r="DK42" s="250">
        <f>DI42*80%+20%*1.92%</f>
        <v>2.15679673147052E-2</v>
      </c>
      <c r="DL42" s="249">
        <f>-(DL39+DL41)/DL10</f>
        <v>2.3113944408964384E-2</v>
      </c>
      <c r="DM42" s="250">
        <f>DK42*80%+20%*1.92%</f>
        <v>2.1094373851764159E-2</v>
      </c>
      <c r="DN42" s="250">
        <f>DM42*80%+20%*1.92%</f>
        <v>2.0715499081411327E-2</v>
      </c>
      <c r="DO42" s="250">
        <f>DN42*80%+20%*1.92%</f>
        <v>2.0412399265129062E-2</v>
      </c>
      <c r="DP42" s="250">
        <f>DO42*80%+20%*1.92%</f>
        <v>2.0169919412103249E-2</v>
      </c>
      <c r="DQ42" s="249">
        <f>-(DQ39+DQ41)/DQ10</f>
        <v>2.0578333971078732E-2</v>
      </c>
      <c r="DR42" s="250">
        <f>DP42*80%+20%*1.92%</f>
        <v>1.99759355296826E-2</v>
      </c>
      <c r="DS42" s="250">
        <f>DR42*80%+20%*1.92%</f>
        <v>1.9820748423746079E-2</v>
      </c>
      <c r="DT42" s="250">
        <f>DS42*80%+20%*1.92%</f>
        <v>1.9696598738996863E-2</v>
      </c>
      <c r="DU42" s="250">
        <f>DT42*80%+20%*1.92%</f>
        <v>1.9597278991197491E-2</v>
      </c>
      <c r="DV42" s="249">
        <f>-(DV39+DV41)/DV10</f>
        <v>1.9765709823622135E-2</v>
      </c>
      <c r="DW42" s="250">
        <f>DU42*80%+20%*1.92%</f>
        <v>1.9517823192957993E-2</v>
      </c>
      <c r="DX42" s="250">
        <f>DW42*80%+20%*1.92%</f>
        <v>1.9454258554366395E-2</v>
      </c>
      <c r="DY42" s="250">
        <f>DX42*80%+20%*1.92%</f>
        <v>1.9403406843493117E-2</v>
      </c>
      <c r="DZ42" s="250">
        <f>DY42*80%+20%*1.92%</f>
        <v>1.9362725474794493E-2</v>
      </c>
      <c r="EA42" s="249">
        <f>-(EA39+EA41)/EA10</f>
        <v>1.9431936238787563E-2</v>
      </c>
      <c r="EB42" s="250">
        <f>DZ42*80%+20%*1.92%</f>
        <v>1.9330180379835596E-2</v>
      </c>
      <c r="EC42" s="250">
        <f>EB42*80%+20%*1.92%</f>
        <v>1.9304144303868478E-2</v>
      </c>
      <c r="ED42" s="250">
        <f>EC42*80%+20%*1.92%</f>
        <v>1.9283315443094782E-2</v>
      </c>
      <c r="EE42" s="250">
        <f>ED42*80%+20%*1.92%</f>
        <v>1.9266652354475826E-2</v>
      </c>
      <c r="EF42" s="249">
        <f>-(EF39+EF41)/EF10</f>
        <v>1.9295066910072683E-2</v>
      </c>
    </row>
    <row r="43" spans="1:137" ht="12.75" customHeight="1" outlineLevel="1">
      <c r="A43" s="78" t="s">
        <v>696</v>
      </c>
      <c r="B43" s="261">
        <v>0</v>
      </c>
      <c r="C43" s="261">
        <v>0</v>
      </c>
      <c r="D43" s="261">
        <v>0</v>
      </c>
      <c r="E43" s="261">
        <v>0</v>
      </c>
      <c r="F43" s="241">
        <f>SUM(B43:E43)</f>
        <v>0</v>
      </c>
      <c r="G43" s="261">
        <v>0</v>
      </c>
      <c r="H43" s="261">
        <v>0</v>
      </c>
      <c r="I43" s="261">
        <v>0</v>
      </c>
      <c r="J43" s="261">
        <v>0</v>
      </c>
      <c r="K43" s="241">
        <f>SUM(G43:J43)</f>
        <v>0</v>
      </c>
      <c r="L43" s="261">
        <v>0</v>
      </c>
      <c r="M43" s="261">
        <v>-1500</v>
      </c>
      <c r="N43" s="261">
        <v>-1500</v>
      </c>
      <c r="O43" s="261">
        <f>-4603-SUM(L43:N43)</f>
        <v>-1603</v>
      </c>
      <c r="P43" s="241">
        <f>SUM(L43:O43)</f>
        <v>-4603</v>
      </c>
      <c r="Q43" s="261">
        <v>-1151</v>
      </c>
      <c r="R43" s="261">
        <f>-3000-Q43</f>
        <v>-1849</v>
      </c>
      <c r="S43" s="261">
        <v>-5000</v>
      </c>
      <c r="T43" s="261">
        <v>5000</v>
      </c>
      <c r="U43" s="241">
        <f>SUM(Q43:T43)</f>
        <v>-3000</v>
      </c>
      <c r="V43" s="261">
        <v>-750</v>
      </c>
      <c r="W43" s="261">
        <v>-750</v>
      </c>
      <c r="X43" s="261">
        <v>-1570</v>
      </c>
      <c r="Y43" s="261">
        <v>-985</v>
      </c>
      <c r="Z43" s="241">
        <f>SUM(V43:Y43)</f>
        <v>-4055</v>
      </c>
      <c r="AA43" s="261">
        <v>-3000</v>
      </c>
      <c r="AB43" s="261">
        <v>-3000</v>
      </c>
      <c r="AC43" s="261">
        <v>-9800</v>
      </c>
      <c r="AD43" s="261">
        <v>-15132</v>
      </c>
      <c r="AE43" s="241">
        <f>SUM(AA43:AD43)</f>
        <v>-30932</v>
      </c>
      <c r="AF43" s="261">
        <v>-4987</v>
      </c>
      <c r="AG43" s="261">
        <v>-3544</v>
      </c>
      <c r="AH43" s="261">
        <v>-5038</v>
      </c>
      <c r="AI43" s="261">
        <v>0</v>
      </c>
      <c r="AJ43" s="241">
        <f>SUM(AF43:AI43)</f>
        <v>-13569</v>
      </c>
      <c r="AK43" s="261">
        <v>0</v>
      </c>
      <c r="AL43" s="261">
        <v>0</v>
      </c>
      <c r="AM43" s="261">
        <v>0</v>
      </c>
      <c r="AN43" s="261">
        <f>AM43*AN20/AM20</f>
        <v>0</v>
      </c>
      <c r="AO43" s="241">
        <f>SUM(AK43:AN43)</f>
        <v>0</v>
      </c>
      <c r="AP43" s="261">
        <v>0</v>
      </c>
      <c r="AQ43" s="261">
        <f>AP43*AQ20/AP20</f>
        <v>0</v>
      </c>
      <c r="AR43" s="261">
        <f>AQ43*AR20/AQ20</f>
        <v>0</v>
      </c>
      <c r="AS43" s="261">
        <f>AR43*AS20/AR20</f>
        <v>0</v>
      </c>
      <c r="AT43" s="241">
        <f>SUM(AP43:AS43)</f>
        <v>0</v>
      </c>
      <c r="AU43" s="261">
        <v>0</v>
      </c>
      <c r="AV43" s="261">
        <f>AU43*AV20/AU20</f>
        <v>0</v>
      </c>
      <c r="AW43" s="261">
        <f>AV43*AW20/AV20</f>
        <v>0</v>
      </c>
      <c r="AX43" s="261">
        <f>AW43*AX20/AW20</f>
        <v>0</v>
      </c>
      <c r="AY43" s="241">
        <f>SUM(AU43:AX43)</f>
        <v>0</v>
      </c>
      <c r="AZ43" s="261">
        <v>0</v>
      </c>
      <c r="BA43" s="261">
        <f>AZ43*BA20/AZ20</f>
        <v>0</v>
      </c>
      <c r="BB43" s="261">
        <f>BA43*BB20/BA20</f>
        <v>0</v>
      </c>
      <c r="BC43" s="261">
        <f>BB43*BC20/BB20</f>
        <v>0</v>
      </c>
      <c r="BD43" s="241">
        <f>SUM(AZ43:BC43)</f>
        <v>0</v>
      </c>
      <c r="BE43" s="261">
        <v>0</v>
      </c>
      <c r="BF43" s="261">
        <f>BE43*BF20/BE20</f>
        <v>0</v>
      </c>
      <c r="BG43" s="261">
        <f>BF43*BG20/BF20</f>
        <v>0</v>
      </c>
      <c r="BH43" s="261">
        <f>BG43*BH20/BG20</f>
        <v>0</v>
      </c>
      <c r="BI43" s="241">
        <f>SUM(BE43:BH43)</f>
        <v>0</v>
      </c>
      <c r="BJ43" s="261">
        <v>0</v>
      </c>
      <c r="BK43" s="261">
        <f>BJ43*BK20/BJ20</f>
        <v>0</v>
      </c>
      <c r="BL43" s="261">
        <f>BK43*BL20/BK20</f>
        <v>0</v>
      </c>
      <c r="BM43" s="261">
        <f>BL43*BM20/BL20</f>
        <v>0</v>
      </c>
      <c r="BN43" s="241">
        <f>SUM(BJ43:BM43)</f>
        <v>0</v>
      </c>
      <c r="BO43" s="261">
        <v>0</v>
      </c>
      <c r="BP43" s="261">
        <f>BO43*BP20/BO20</f>
        <v>0</v>
      </c>
      <c r="BQ43" s="261">
        <f>BP43*BQ20/BP20</f>
        <v>0</v>
      </c>
      <c r="BR43" s="261">
        <f>BQ43*BR20/BQ20</f>
        <v>0</v>
      </c>
      <c r="BS43" s="241">
        <f>SUM(BO43:BR43)</f>
        <v>0</v>
      </c>
      <c r="BT43" s="261">
        <v>0</v>
      </c>
      <c r="BU43" s="261">
        <f>BT43*BU20/BT20</f>
        <v>0</v>
      </c>
      <c r="BV43" s="261">
        <f>BU43*BV20/BU20</f>
        <v>0</v>
      </c>
      <c r="BW43" s="261">
        <f>BV43*BW20/BV20</f>
        <v>0</v>
      </c>
      <c r="BX43" s="241">
        <f>SUM(BT43:BW43)</f>
        <v>0</v>
      </c>
      <c r="BY43" s="261">
        <v>0</v>
      </c>
      <c r="BZ43" s="261">
        <f>BY43*BZ20/BY20</f>
        <v>0</v>
      </c>
      <c r="CA43" s="261">
        <f>BZ43*CA20/BZ20</f>
        <v>0</v>
      </c>
      <c r="CB43" s="261">
        <f>CA43*CB20/CA20</f>
        <v>0</v>
      </c>
      <c r="CC43" s="241">
        <f>SUM(BY43:CB43)</f>
        <v>0</v>
      </c>
      <c r="CD43" s="261">
        <v>0</v>
      </c>
      <c r="CE43" s="261">
        <f>CD43*CE20/CD20</f>
        <v>0</v>
      </c>
      <c r="CF43" s="261">
        <f>CE43*CF20/CE20</f>
        <v>0</v>
      </c>
      <c r="CG43" s="261">
        <f>CF43*CG20/CF20</f>
        <v>0</v>
      </c>
      <c r="CH43" s="241">
        <f>SUM(CD43:CG43)</f>
        <v>0</v>
      </c>
      <c r="CI43" s="261">
        <v>0</v>
      </c>
      <c r="CJ43" s="261">
        <f>CI43*CJ20/CI20</f>
        <v>0</v>
      </c>
      <c r="CK43" s="261">
        <f>CJ43*CK20/CJ20</f>
        <v>0</v>
      </c>
      <c r="CL43" s="261">
        <f>CK43*CL20/CK20</f>
        <v>0</v>
      </c>
      <c r="CM43" s="241">
        <f>SUM(CI43:CL43)</f>
        <v>0</v>
      </c>
      <c r="CN43" s="261">
        <v>0</v>
      </c>
      <c r="CO43" s="261">
        <f>CN43*CO20/CN20</f>
        <v>0</v>
      </c>
      <c r="CP43" s="261">
        <f>CO43*CP20/CO20</f>
        <v>0</v>
      </c>
      <c r="CQ43" s="261">
        <f>CP43*CQ20/CP20</f>
        <v>0</v>
      </c>
      <c r="CR43" s="241">
        <f>SUM(CN43:CQ43)</f>
        <v>0</v>
      </c>
      <c r="CS43" s="261">
        <v>0</v>
      </c>
      <c r="CT43" s="261">
        <f>CS43*CT20/CS20</f>
        <v>0</v>
      </c>
      <c r="CU43" s="261">
        <f>CT43*CU20/CT20</f>
        <v>0</v>
      </c>
      <c r="CV43" s="261">
        <f>CU43*CV20/CU20</f>
        <v>0</v>
      </c>
      <c r="CW43" s="241">
        <f>SUM(CS43:CV43)</f>
        <v>0</v>
      </c>
      <c r="CX43" s="261">
        <v>0</v>
      </c>
      <c r="CY43" s="261">
        <f>CX43*CY20/CX20</f>
        <v>0</v>
      </c>
      <c r="CZ43" s="261">
        <f>CY43*CZ20/CY20</f>
        <v>0</v>
      </c>
      <c r="DA43" s="261">
        <f>CZ43*DA20/CZ20</f>
        <v>0</v>
      </c>
      <c r="DB43" s="241">
        <f>SUM(CX43:DA43)</f>
        <v>0</v>
      </c>
      <c r="DC43" s="261">
        <v>0</v>
      </c>
      <c r="DD43" s="261">
        <f>DC43*DD20/DC20</f>
        <v>0</v>
      </c>
      <c r="DE43" s="261">
        <f>DD43*DE20/DD20</f>
        <v>0</v>
      </c>
      <c r="DF43" s="261">
        <f>DE43*DF20/DE20</f>
        <v>0</v>
      </c>
      <c r="DG43" s="241">
        <f>SUM(DC43:DF43)</f>
        <v>0</v>
      </c>
      <c r="DH43" s="261">
        <v>0</v>
      </c>
      <c r="DI43" s="261">
        <f>DH43*DI20/DH20</f>
        <v>0</v>
      </c>
      <c r="DJ43" s="261">
        <f>DI43*DJ20/DI20</f>
        <v>0</v>
      </c>
      <c r="DK43" s="261">
        <f>DJ43*DK20/DJ20</f>
        <v>0</v>
      </c>
      <c r="DL43" s="241">
        <f>SUM(DH43:DK43)</f>
        <v>0</v>
      </c>
      <c r="DM43" s="261">
        <f>DL43*DM20/DL20</f>
        <v>0</v>
      </c>
      <c r="DN43" s="261">
        <f>DM43*DN20/DM20</f>
        <v>0</v>
      </c>
      <c r="DO43" s="261">
        <f>DN43*DO20/DN20</f>
        <v>0</v>
      </c>
      <c r="DP43" s="261">
        <f>DO43*DP20/DO20</f>
        <v>0</v>
      </c>
      <c r="DQ43" s="241">
        <f>SUM(DM43:DP43)</f>
        <v>0</v>
      </c>
      <c r="DR43" s="261">
        <f>DQ43*DR20/DQ20</f>
        <v>0</v>
      </c>
      <c r="DS43" s="261">
        <f>DR43*DS20/DR20</f>
        <v>0</v>
      </c>
      <c r="DT43" s="261">
        <f>DS43*DT20/DS20</f>
        <v>0</v>
      </c>
      <c r="DU43" s="261">
        <f>DT43*DU20/DT20</f>
        <v>0</v>
      </c>
      <c r="DV43" s="241">
        <f>SUM(DR43:DU43)</f>
        <v>0</v>
      </c>
      <c r="DW43" s="261">
        <f>DV43*DW20/DV20</f>
        <v>0</v>
      </c>
      <c r="DX43" s="261">
        <f>DW43*DX20/DW20</f>
        <v>0</v>
      </c>
      <c r="DY43" s="261">
        <f>DX43*DY20/DX20</f>
        <v>0</v>
      </c>
      <c r="DZ43" s="261">
        <f>DY43*DZ20/DY20</f>
        <v>0</v>
      </c>
      <c r="EA43" s="241">
        <f>SUM(DW43:DZ43)</f>
        <v>0</v>
      </c>
      <c r="EB43" s="261">
        <f>EA43*EB20/EA20</f>
        <v>0</v>
      </c>
      <c r="EC43" s="261">
        <f>EB43*EC20/EB20</f>
        <v>0</v>
      </c>
      <c r="ED43" s="261">
        <f>EC43*ED20/EC20</f>
        <v>0</v>
      </c>
      <c r="EE43" s="261">
        <f>ED43*EE20/ED20</f>
        <v>0</v>
      </c>
      <c r="EF43" s="241">
        <f>SUM(EB43:EE43)</f>
        <v>0</v>
      </c>
    </row>
    <row r="44" spans="1:137" ht="12.75" customHeight="1">
      <c r="A44" s="78" t="s">
        <v>697</v>
      </c>
      <c r="B44" s="240">
        <f>B38+B39+B41+B43</f>
        <v>26851.5</v>
      </c>
      <c r="C44" s="240">
        <f>C38+C39+C41+C43</f>
        <v>26851.5</v>
      </c>
      <c r="D44" s="240">
        <f>D38+D39+D41+D43</f>
        <v>25680</v>
      </c>
      <c r="E44" s="240">
        <f>E38+E39+E41+E43</f>
        <v>21248</v>
      </c>
      <c r="F44" s="241">
        <f>SUM(B44:E44)</f>
        <v>100631</v>
      </c>
      <c r="G44" s="240">
        <f>G38+G39+G41+G43</f>
        <v>46764</v>
      </c>
      <c r="H44" s="240">
        <f>H38+H39+H41+H43</f>
        <v>32321</v>
      </c>
      <c r="I44" s="240">
        <f>I38+I39+I41+I43</f>
        <v>44249</v>
      </c>
      <c r="J44" s="240">
        <f>J38+J39+J41+J43</f>
        <v>20557</v>
      </c>
      <c r="K44" s="241">
        <f>SUM(G44:J44)</f>
        <v>143891</v>
      </c>
      <c r="L44" s="240">
        <f>L38+L39+L41+L43</f>
        <v>66457</v>
      </c>
      <c r="M44" s="240">
        <f>M38+M39+M41+M43</f>
        <v>81475</v>
      </c>
      <c r="N44" s="240">
        <f>N38+N39+N41+N43</f>
        <v>37145</v>
      </c>
      <c r="O44" s="240">
        <f>O38+O39+O41+O43</f>
        <v>80899</v>
      </c>
      <c r="P44" s="241">
        <f>SUM(L44:O44)</f>
        <v>265976</v>
      </c>
      <c r="Q44" s="240">
        <f>Q38+Q39+Q41+Q43</f>
        <v>51274</v>
      </c>
      <c r="R44" s="240">
        <f>R38+R39+R41+R43</f>
        <v>211106</v>
      </c>
      <c r="S44" s="240">
        <f>S38+S39+S41+S43</f>
        <v>97157</v>
      </c>
      <c r="T44" s="240">
        <f>T38+T39+T41+T43</f>
        <v>109500</v>
      </c>
      <c r="U44" s="241">
        <f>SUM(Q44:T44)</f>
        <v>469037</v>
      </c>
      <c r="V44" s="240">
        <f>V38+V39+V41+V43</f>
        <v>78734</v>
      </c>
      <c r="W44" s="240">
        <f>W38+W39+W41+W43</f>
        <v>112094</v>
      </c>
      <c r="X44" s="240">
        <f>X38+X39+X41+X43</f>
        <v>78859</v>
      </c>
      <c r="Y44" s="240">
        <f>Y38+Y39+Y41+Y43</f>
        <v>55852</v>
      </c>
      <c r="Z44" s="241">
        <f>SUM(V44:Y44)</f>
        <v>325539</v>
      </c>
      <c r="AA44" s="240">
        <f>AA38+AA39+AA41+AA43</f>
        <v>118794</v>
      </c>
      <c r="AB44" s="240">
        <f>AB38+AB39+AB41+AB43</f>
        <v>178676</v>
      </c>
      <c r="AC44" s="240">
        <f>AC38+AC39+AC41+AC43</f>
        <v>309696</v>
      </c>
      <c r="AD44" s="240">
        <f>AD38+AD39+AD41+AD43</f>
        <v>219732</v>
      </c>
      <c r="AE44" s="241">
        <f>SUM(AA44:AD44)</f>
        <v>826898</v>
      </c>
      <c r="AF44" s="240">
        <f>AF38+AF39+AF41+AF43</f>
        <v>186273</v>
      </c>
      <c r="AG44" s="240">
        <f>AG38+AG39+AG41+AG43</f>
        <v>197091</v>
      </c>
      <c r="AH44" s="240">
        <f>AH38+AH39+AH41+AH43</f>
        <v>196142</v>
      </c>
      <c r="AI44" s="240">
        <f>AI38+AI39+AI41+AI43</f>
        <v>105905</v>
      </c>
      <c r="AJ44" s="241">
        <f>SUM(AF44:AI44)</f>
        <v>685411</v>
      </c>
      <c r="AK44" s="240">
        <f>AK38+AK39+AK41+AK43</f>
        <v>90075</v>
      </c>
      <c r="AL44" s="240">
        <f>AL38+AL39+AL41+AL43</f>
        <v>105940</v>
      </c>
      <c r="AM44" s="240">
        <f>AM38+AM39+AM41+AM43</f>
        <v>177561</v>
      </c>
      <c r="AN44" s="240">
        <f>AN38+AN39+AN41+AN43</f>
        <v>218610</v>
      </c>
      <c r="AO44" s="241">
        <f>SUM(AK44:AN44)</f>
        <v>592186</v>
      </c>
      <c r="AP44" s="240">
        <f>AP38+AP39+AP41+AP43</f>
        <v>178225</v>
      </c>
      <c r="AQ44" s="240">
        <f>AQ38+AQ39+AQ41+AQ43</f>
        <v>169612</v>
      </c>
      <c r="AR44" s="240">
        <f>AR38+AR39+AR41+AR43</f>
        <v>165849</v>
      </c>
      <c r="AS44" s="240">
        <f>AS38+AS39+AS41+AS43</f>
        <v>322003</v>
      </c>
      <c r="AT44" s="241">
        <f>SUM(AP44:AS44)</f>
        <v>835689</v>
      </c>
      <c r="AU44" s="240">
        <f>AU38+AU39+AU41+AU43</f>
        <v>208457</v>
      </c>
      <c r="AV44" s="240">
        <f>AV38+AV39+AV41+AV43</f>
        <v>225185</v>
      </c>
      <c r="AW44" s="240">
        <f>AW38+AW39+AW41+AW43</f>
        <v>228094</v>
      </c>
      <c r="AX44" s="240">
        <f>AX38+AX39+AX41+AX43</f>
        <v>226263</v>
      </c>
      <c r="AY44" s="241">
        <f>SUM(AU44:AX44)</f>
        <v>887999</v>
      </c>
      <c r="AZ44" s="240">
        <f>AZ38+AZ39+AZ41+AZ43</f>
        <v>187344</v>
      </c>
      <c r="BA44" s="240">
        <f>BA38+BA39+BA41+BA43</f>
        <v>208215</v>
      </c>
      <c r="BB44" s="240">
        <f>BB38+BB39+BB41+BB43</f>
        <v>229793</v>
      </c>
      <c r="BC44" s="240">
        <f>BC38+BC39+BC41+BC43</f>
        <v>206034</v>
      </c>
      <c r="BD44" s="241">
        <f>SUM(AZ44:BC44)</f>
        <v>831386</v>
      </c>
      <c r="BE44" s="240">
        <f>BE38+BE39+BE41+BE43</f>
        <v>117932</v>
      </c>
      <c r="BF44" s="240">
        <f>BF38+BF39+BF41+BF43</f>
        <v>185059</v>
      </c>
      <c r="BG44" s="240">
        <f>BG38+BG39+BG41+BG43</f>
        <v>169026</v>
      </c>
      <c r="BH44" s="240">
        <f>BH38+BH39+BH41+BH43</f>
        <v>121136</v>
      </c>
      <c r="BI44" s="241">
        <f>SUM(BE44:BH44)</f>
        <v>593153</v>
      </c>
      <c r="BJ44" s="240">
        <f>BJ38+BJ39+BJ41+BJ43</f>
        <v>88867</v>
      </c>
      <c r="BK44" s="240">
        <f>BK38+BK39+BK41+BK43</f>
        <v>56503</v>
      </c>
      <c r="BL44" s="240">
        <f>BL38+BL39+BL41+BL43</f>
        <v>42975</v>
      </c>
      <c r="BM44" s="240">
        <f>BM38+BM39+BM41+BM43</f>
        <v>56275</v>
      </c>
      <c r="BN44" s="241">
        <f>SUM(BJ44:BM44)</f>
        <v>244620</v>
      </c>
      <c r="BO44" s="240">
        <f>BO38+BO39+BO41+BO43</f>
        <v>34246</v>
      </c>
      <c r="BP44" s="240">
        <f>BP38+BP39+BP41+BP43</f>
        <v>-134320</v>
      </c>
      <c r="BQ44" s="240">
        <f>BQ38+BQ39+BQ41+BQ43</f>
        <v>14163</v>
      </c>
      <c r="BR44" s="240">
        <f>BR38+BR39+BR41+BR43</f>
        <v>75372</v>
      </c>
      <c r="BS44" s="241">
        <f>SUM(BO44:BR44)</f>
        <v>-10539</v>
      </c>
      <c r="BT44" s="240">
        <f>BT38+BT39+BT41+BT43</f>
        <v>-34655</v>
      </c>
      <c r="BU44" s="240">
        <f>BU38+BU39+BU41+BU43</f>
        <v>-19131</v>
      </c>
      <c r="BV44" s="240">
        <f>BV38+BV39+BV41+BV43</f>
        <v>-94077</v>
      </c>
      <c r="BW44" s="240">
        <f>BW38+BW39+BW41+BW43</f>
        <v>153891</v>
      </c>
      <c r="BX44" s="241">
        <f>SUM(BT44:BW44)</f>
        <v>6028</v>
      </c>
      <c r="BY44" s="240">
        <f>BY38+BY39+BY41+BY43</f>
        <v>61401</v>
      </c>
      <c r="BZ44" s="240">
        <f>BZ38+BZ39+BZ41+BZ43</f>
        <v>142291</v>
      </c>
      <c r="CA44" s="240">
        <f>CA38+CA39+CA41+CA43</f>
        <v>121261</v>
      </c>
      <c r="CB44" s="240">
        <f>CB38+CB39+CB41+CB43</f>
        <v>209365</v>
      </c>
      <c r="CC44" s="241">
        <f>SUM(BY44:CB44)</f>
        <v>534318</v>
      </c>
      <c r="CD44" s="240">
        <f>CD38+CD39+CD41+CD43</f>
        <v>48236</v>
      </c>
      <c r="CE44" s="240">
        <f>CE38+CE39+CE41+CE43</f>
        <v>92925</v>
      </c>
      <c r="CF44" s="240">
        <f>CF38+CF39+CF41+CF43</f>
        <v>1414875</v>
      </c>
      <c r="CG44" s="240">
        <f>CG38+CG39+CG41+CG43</f>
        <v>273461</v>
      </c>
      <c r="CH44" s="241">
        <f>SUM(CD44:CG44)</f>
        <v>1829497</v>
      </c>
      <c r="CI44" s="240">
        <f>CI38+CI39+CI41+CI43</f>
        <v>208193</v>
      </c>
      <c r="CJ44" s="240">
        <f>CJ38+CJ39+CJ41+CJ43</f>
        <v>290352</v>
      </c>
      <c r="CK44" s="240">
        <f>CK38+CK39+CK41+CK43</f>
        <v>266243</v>
      </c>
      <c r="CL44" s="240">
        <f>CL38+CL39+CL41+CL43</f>
        <v>252526</v>
      </c>
      <c r="CM44" s="241">
        <f>SUM(CI44:CL44)</f>
        <v>1017314</v>
      </c>
      <c r="CN44" s="240">
        <f>CN38+CN39+CN41+CN43</f>
        <v>170657</v>
      </c>
      <c r="CO44" s="240">
        <f>CO38+CO39+CO41+CO43</f>
        <v>161614</v>
      </c>
      <c r="CP44" s="240">
        <f>CP38+CP39+CP41+CP43</f>
        <v>309597</v>
      </c>
      <c r="CQ44" s="240">
        <f>CQ38+CQ39+CQ41+CQ43</f>
        <v>216723</v>
      </c>
      <c r="CR44" s="241">
        <f>SUM(CN44:CQ44)</f>
        <v>858591</v>
      </c>
      <c r="CS44" s="240">
        <f>CS38+CS39+CS41+CS43</f>
        <v>191060</v>
      </c>
      <c r="CT44" s="240">
        <f>CT38+CT39+CT41+CT43</f>
        <v>308025</v>
      </c>
      <c r="CU44" s="240">
        <f>CU38+CU39+CU41+CU43</f>
        <v>304638</v>
      </c>
      <c r="CV44" s="240">
        <f>CV38+CV39+CV41+CV43</f>
        <v>301977</v>
      </c>
      <c r="CW44" s="241">
        <f>SUM(CS44:CV44)</f>
        <v>1105700</v>
      </c>
      <c r="CX44" s="240">
        <f>CX38+CX39+CX41+CX43</f>
        <v>314803</v>
      </c>
      <c r="CY44" s="240">
        <f>CY38+CY39+CY41+CY43</f>
        <v>477943</v>
      </c>
      <c r="CZ44" s="240">
        <f>CZ38+CZ39+CZ41+CZ43</f>
        <v>541012</v>
      </c>
      <c r="DA44" s="240">
        <f>DA38+DA39+DA41+DA43</f>
        <v>587294</v>
      </c>
      <c r="DB44" s="241">
        <f>SUM(CX44:DA44)</f>
        <v>1921052</v>
      </c>
      <c r="DC44" s="240">
        <f>DC38+DC39+DC41+DC43</f>
        <v>393813</v>
      </c>
      <c r="DD44" s="240">
        <f>DD38+DD39+DD41+DD43</f>
        <v>479003</v>
      </c>
      <c r="DE44" s="240">
        <f>DE38+DE39+DE41+DE43</f>
        <v>682963</v>
      </c>
      <c r="DF44" s="240">
        <f>DF38+DF39+DF41+DF43</f>
        <v>840050</v>
      </c>
      <c r="DG44" s="241">
        <f>SUM(DC44:DF44)</f>
        <v>2395829</v>
      </c>
      <c r="DH44" s="240">
        <f>DH38+DH39+DH41+DH43</f>
        <v>360059</v>
      </c>
      <c r="DI44" s="240">
        <f>DI38+DI39+DI41+DI43</f>
        <v>518727</v>
      </c>
      <c r="DJ44" s="240">
        <f ca="1">DJ38+DJ39+DJ41+DJ43</f>
        <v>620790.33119783562</v>
      </c>
      <c r="DK44" s="240">
        <f ca="1">DK38+DK39+DK41+DK43</f>
        <v>712332.30556251178</v>
      </c>
      <c r="DL44" s="241">
        <f ca="1">SUM(DH44:DK44)</f>
        <v>2211908.6367603475</v>
      </c>
      <c r="DM44" s="240">
        <f ca="1">DM38+DM39+DM41+DM43</f>
        <v>636722.41740346153</v>
      </c>
      <c r="DN44" s="240">
        <f ca="1">DN38+DN39+DN41+DN43</f>
        <v>654290.1864631183</v>
      </c>
      <c r="DO44" s="240">
        <f ca="1">DO38+DO39+DO41+DO43</f>
        <v>649684.75190833246</v>
      </c>
      <c r="DP44" s="240">
        <f ca="1">DP38+DP39+DP41+DP43</f>
        <v>684918.49613749306</v>
      </c>
      <c r="DQ44" s="241">
        <f ca="1">SUM(DM44:DP44)</f>
        <v>2625615.8519124053</v>
      </c>
      <c r="DR44" s="240">
        <f ca="1">DR38+DR39+DR41+DR43</f>
        <v>723980.85394183849</v>
      </c>
      <c r="DS44" s="240">
        <f ca="1">DS38+DS39+DS41+DS43</f>
        <v>683470.67749831337</v>
      </c>
      <c r="DT44" s="240">
        <f ca="1">DT38+DT39+DT41+DT43</f>
        <v>680571.82660365861</v>
      </c>
      <c r="DU44" s="240">
        <f ca="1">DU38+DU39+DU41+DU43</f>
        <v>742477.38141967345</v>
      </c>
      <c r="DV44" s="241">
        <f ca="1">SUM(DR44:DU44)</f>
        <v>2830500.7394634839</v>
      </c>
      <c r="DW44" s="240">
        <f ca="1">DW38+DW39+DW41+DW43</f>
        <v>773615.03470290184</v>
      </c>
      <c r="DX44" s="240">
        <f ca="1">DX38+DX39+DX41+DX43</f>
        <v>721454.53914379003</v>
      </c>
      <c r="DY44" s="240">
        <f ca="1">DY38+DY39+DY41+DY43</f>
        <v>712022.82267537154</v>
      </c>
      <c r="DZ44" s="240">
        <f ca="1">DZ38+DZ39+DZ41+DZ43</f>
        <v>787170.33118761564</v>
      </c>
      <c r="EA44" s="241">
        <f ca="1">SUM(DW44:DZ44)</f>
        <v>2994262.7277096789</v>
      </c>
      <c r="EB44" s="240">
        <f ca="1">EB38+EB39+EB41+EB43</f>
        <v>835182.27759379067</v>
      </c>
      <c r="EC44" s="240">
        <f ca="1">EC38+EC39+EC41+EC43</f>
        <v>788221.2370105111</v>
      </c>
      <c r="ED44" s="240">
        <f ca="1">ED38+ED39+ED41+ED43</f>
        <v>779916.11717001954</v>
      </c>
      <c r="EE44" s="240">
        <f ca="1">EE38+EE39+EE41+EE43</f>
        <v>854974.21159686602</v>
      </c>
      <c r="EF44" s="241">
        <f ca="1">SUM(EB44:EE44)</f>
        <v>3258293.8433711873</v>
      </c>
    </row>
    <row r="45" spans="1:137" ht="12.75" customHeight="1">
      <c r="A45" s="78" t="s">
        <v>699</v>
      </c>
      <c r="B45" s="261">
        <f>(-12945-SUM(D45))/2</f>
        <v>-4600.5</v>
      </c>
      <c r="C45" s="261">
        <f>B45</f>
        <v>-4600.5</v>
      </c>
      <c r="D45" s="261">
        <v>-3744</v>
      </c>
      <c r="E45" s="261">
        <v>-3153</v>
      </c>
      <c r="F45" s="241">
        <f>SUM(B45:E45)</f>
        <v>-16098</v>
      </c>
      <c r="G45" s="261">
        <v>-6267</v>
      </c>
      <c r="H45" s="261">
        <f>-4088-G45</f>
        <v>2179</v>
      </c>
      <c r="I45" s="261">
        <f>-17842-G45-H45</f>
        <v>-13754</v>
      </c>
      <c r="J45" s="261">
        <f>-16090-SUM(G45:I45)</f>
        <v>1752</v>
      </c>
      <c r="K45" s="241">
        <f>SUM(G45:J45)</f>
        <v>-16090</v>
      </c>
      <c r="L45" s="261">
        <v>-9044</v>
      </c>
      <c r="M45" s="261">
        <v>-8517</v>
      </c>
      <c r="N45" s="261">
        <f>-23698-L45-M45</f>
        <v>-6137</v>
      </c>
      <c r="O45" s="261">
        <f>-23970-SUM(L45:N45)</f>
        <v>-272</v>
      </c>
      <c r="P45" s="241">
        <f>SUM(L45:O45)</f>
        <v>-23970</v>
      </c>
      <c r="Q45" s="261">
        <v>-7961</v>
      </c>
      <c r="R45" s="261">
        <f>-21610-Q45</f>
        <v>-13649</v>
      </c>
      <c r="S45" s="261">
        <v>-7144</v>
      </c>
      <c r="T45" s="261">
        <f>-54350-SUM(Q45:S45)</f>
        <v>-25596</v>
      </c>
      <c r="U45" s="241">
        <f>SUM(Q45:T45)</f>
        <v>-54350</v>
      </c>
      <c r="V45" s="261">
        <v>-10224</v>
      </c>
      <c r="W45" s="261">
        <v>-18067</v>
      </c>
      <c r="X45" s="261">
        <v>-960</v>
      </c>
      <c r="Y45" s="261">
        <f>-47833-SUM(V45:X45)</f>
        <v>-18582</v>
      </c>
      <c r="Z45" s="241">
        <f>SUM(V45:Y45)</f>
        <v>-47833</v>
      </c>
      <c r="AA45" s="261">
        <v>-18337</v>
      </c>
      <c r="AB45" s="261">
        <v>-21605</v>
      </c>
      <c r="AC45" s="261">
        <v>-45593</v>
      </c>
      <c r="AD45" s="261">
        <v>-12014</v>
      </c>
      <c r="AE45" s="241">
        <f>SUM(AA45:AD45)</f>
        <v>-97549</v>
      </c>
      <c r="AF45" s="261">
        <v>-12033</v>
      </c>
      <c r="AG45" s="261">
        <v>-29297</v>
      </c>
      <c r="AH45" s="261">
        <v>-20108</v>
      </c>
      <c r="AI45" s="261">
        <v>-23379</v>
      </c>
      <c r="AJ45" s="241">
        <f>SUM(AF45:AI45)</f>
        <v>-84817</v>
      </c>
      <c r="AK45" s="261">
        <v>-15894</v>
      </c>
      <c r="AL45" s="261">
        <v>-10068</v>
      </c>
      <c r="AM45" s="261">
        <v>-30808</v>
      </c>
      <c r="AN45" s="261">
        <f>-94015-AK45-AL45-AM45</f>
        <v>-37245</v>
      </c>
      <c r="AO45" s="241">
        <f>SUM(AK45:AN45)</f>
        <v>-94015</v>
      </c>
      <c r="AP45" s="261">
        <f>-87186-AQ45</f>
        <v>-60319</v>
      </c>
      <c r="AQ45" s="261">
        <v>-26867</v>
      </c>
      <c r="AR45" s="261">
        <v>-15454</v>
      </c>
      <c r="AS45" s="261">
        <f>-175541-AP45-AQ45-AR45</f>
        <v>-72901</v>
      </c>
      <c r="AT45" s="241">
        <f>SUM(AP45:AS45)</f>
        <v>-175541</v>
      </c>
      <c r="AU45" s="261">
        <f>-77936-AV45</f>
        <v>-35528</v>
      </c>
      <c r="AV45" s="261">
        <v>-42408</v>
      </c>
      <c r="AW45" s="261">
        <v>-53490</v>
      </c>
      <c r="AX45" s="261">
        <f>-175167-SUM(AU45:AW45)</f>
        <v>-43741</v>
      </c>
      <c r="AY45" s="241">
        <f>SUM(AU45:AX45)</f>
        <v>-175167</v>
      </c>
      <c r="AZ45" s="261">
        <v>-23891</v>
      </c>
      <c r="BA45" s="261">
        <v>-39321</v>
      </c>
      <c r="BB45" s="261">
        <v>-50664</v>
      </c>
      <c r="BC45" s="261">
        <f>-169887-SUM(AZ45:BB45)</f>
        <v>-56011</v>
      </c>
      <c r="BD45" s="241">
        <f>SUM(AZ45:BC45)</f>
        <v>-169887</v>
      </c>
      <c r="BE45" s="261">
        <v>-17391</v>
      </c>
      <c r="BF45" s="306">
        <v>-67053</v>
      </c>
      <c r="BG45" s="261">
        <v>-37794</v>
      </c>
      <c r="BH45" s="261">
        <f>-145353-SUM(BE45:BG45)</f>
        <v>-23115</v>
      </c>
      <c r="BI45" s="241">
        <f>SUM(BE45:BH45)</f>
        <v>-145353</v>
      </c>
      <c r="BJ45" s="261">
        <v>-27595</v>
      </c>
      <c r="BK45" s="261">
        <v>-11800</v>
      </c>
      <c r="BL45" s="261">
        <v>-28531</v>
      </c>
      <c r="BM45" s="261">
        <f>-93268-SUM(BJ45:BL45)</f>
        <v>-25342</v>
      </c>
      <c r="BN45" s="241">
        <f>SUM(BJ45:BM45)</f>
        <v>-93268</v>
      </c>
      <c r="BO45" s="261">
        <v>-30221</v>
      </c>
      <c r="BP45" s="261">
        <v>-6708</v>
      </c>
      <c r="BQ45" s="261">
        <v>-20926</v>
      </c>
      <c r="BR45" s="261">
        <f>-84465-SUM(BO45:BQ45)</f>
        <v>-26610</v>
      </c>
      <c r="BS45" s="241">
        <f>SUM(BO45:BR45)</f>
        <v>-84465</v>
      </c>
      <c r="BT45" s="261">
        <v>-16629</v>
      </c>
      <c r="BU45" s="261">
        <v>-9306</v>
      </c>
      <c r="BV45" s="261">
        <v>-26676</v>
      </c>
      <c r="BW45" s="261">
        <f>-90391-SUM(BT45:BV45)</f>
        <v>-37780</v>
      </c>
      <c r="BX45" s="241">
        <f>SUM(BT45:BW45)</f>
        <v>-90391</v>
      </c>
      <c r="BY45" s="261">
        <v>-12991</v>
      </c>
      <c r="BZ45" s="261">
        <v>-28456</v>
      </c>
      <c r="CA45" s="261">
        <v>-16878</v>
      </c>
      <c r="CB45" s="261">
        <f>-118475-SUM(BY45:CA45)</f>
        <v>-60150</v>
      </c>
      <c r="CC45" s="241">
        <f>SUM(BY45:CB45)</f>
        <v>-118475</v>
      </c>
      <c r="CD45" s="261">
        <v>-20301</v>
      </c>
      <c r="CE45" s="261">
        <v>-25114</v>
      </c>
      <c r="CF45" s="261">
        <v>-11594</v>
      </c>
      <c r="CG45" s="261">
        <f>-69239-SUM(CD45:CF45)</f>
        <v>-12230</v>
      </c>
      <c r="CH45" s="241">
        <f>SUM(CD45:CG45)</f>
        <v>-69239</v>
      </c>
      <c r="CI45" s="261">
        <v>-15908</v>
      </c>
      <c r="CJ45" s="261">
        <v>-23378</v>
      </c>
      <c r="CK45" s="261">
        <v>-28696</v>
      </c>
      <c r="CL45" s="261">
        <f>-102959-SUM(CI45:CK45)</f>
        <v>-34977</v>
      </c>
      <c r="CM45" s="241">
        <f>SUM(CI45:CL45)</f>
        <v>-102959</v>
      </c>
      <c r="CN45" s="261">
        <v>-8906</v>
      </c>
      <c r="CO45" s="261">
        <v>-10817</v>
      </c>
      <c r="CP45" s="261">
        <v>-20969</v>
      </c>
      <c r="CQ45" s="261">
        <f>-49711-SUM(CN45:CP45)</f>
        <v>-9019</v>
      </c>
      <c r="CR45" s="241">
        <f>SUM(CN45:CQ45)</f>
        <v>-49711</v>
      </c>
      <c r="CS45" s="261">
        <v>-27484</v>
      </c>
      <c r="CT45" s="261">
        <v>-28640</v>
      </c>
      <c r="CU45" s="261">
        <v>-53319</v>
      </c>
      <c r="CV45" s="261">
        <f>-163610-SUM(CS45:CU45)</f>
        <v>-54167</v>
      </c>
      <c r="CW45" s="241">
        <f>SUM(CS45:CV45)</f>
        <v>-163610</v>
      </c>
      <c r="CX45" s="261">
        <v>-47545</v>
      </c>
      <c r="CY45" s="306">
        <v>-65938</v>
      </c>
      <c r="CZ45" s="261">
        <v>-67911</v>
      </c>
      <c r="DA45" s="261">
        <f>-272056-SUM(CX45:CZ45)</f>
        <v>-90662</v>
      </c>
      <c r="DB45" s="241">
        <f>SUM(CX45:DA45)</f>
        <v>-272056</v>
      </c>
      <c r="DC45" s="261">
        <v>-66181</v>
      </c>
      <c r="DD45" s="261">
        <v>-91196</v>
      </c>
      <c r="DE45" s="261">
        <v>-73848</v>
      </c>
      <c r="DF45" s="261">
        <f>-389073-SUM(DC45:DE45)</f>
        <v>-157848</v>
      </c>
      <c r="DG45" s="241">
        <f>SUM(DC45:DF45)</f>
        <v>-389073</v>
      </c>
      <c r="DH45" s="261">
        <v>-63283</v>
      </c>
      <c r="DI45" s="261">
        <v>-67151</v>
      </c>
      <c r="DJ45" s="261">
        <f>-30%/4*'Balance Sheet'!DI42</f>
        <v>-96260.25</v>
      </c>
      <c r="DK45" s="261">
        <f>-30%/4*'Balance Sheet'!DJ42</f>
        <v>-95144.265189510217</v>
      </c>
      <c r="DL45" s="241">
        <f>SUM(DH45:DK45)</f>
        <v>-321838.51518951019</v>
      </c>
      <c r="DM45" s="261">
        <f>-30%/4*'Balance Sheet'!DL42</f>
        <v>-99065.432050399962</v>
      </c>
      <c r="DN45" s="261">
        <f>-30%/4*'Balance Sheet'!DM42</f>
        <v>-98640.759862051564</v>
      </c>
      <c r="DO45" s="261">
        <f>-30%/4*'Balance Sheet'!DN42</f>
        <v>-102537.42783356267</v>
      </c>
      <c r="DP45" s="261">
        <f>-30%/4*'Balance Sheet'!DO42</f>
        <v>-107636.19116155068</v>
      </c>
      <c r="DQ45" s="241">
        <f>SUM(DM45:DP45)</f>
        <v>-407879.81090756488</v>
      </c>
      <c r="DR45" s="261">
        <f>-30%/4*'Balance Sheet'!DQ42</f>
        <v>-112507.45225279985</v>
      </c>
      <c r="DS45" s="261">
        <f>-30%/4*'Balance Sheet'!DR42</f>
        <v>-115618.20496213749</v>
      </c>
      <c r="DT45" s="261">
        <f>-30%/4*'Balance Sheet'!DS42</f>
        <v>-118903.96113041727</v>
      </c>
      <c r="DU45" s="261">
        <f>-30%/4*'Balance Sheet'!DT42</f>
        <v>-122642.75752893474</v>
      </c>
      <c r="DV45" s="241">
        <f>SUM(DR45:DU45)</f>
        <v>-469672.37587428931</v>
      </c>
      <c r="DW45" s="261">
        <f>-30%/4*'Balance Sheet'!DV42</f>
        <v>-127947.20916240133</v>
      </c>
      <c r="DX45" s="261">
        <f>-30%/4*'Balance Sheet'!DW42</f>
        <v>-128997.41956513212</v>
      </c>
      <c r="DY45" s="261">
        <f>-30%/4*'Balance Sheet'!DX42</f>
        <v>-131141.4031239578</v>
      </c>
      <c r="DZ45" s="261">
        <f>-30%/4*'Balance Sheet'!DY42</f>
        <v>-132802.3648283082</v>
      </c>
      <c r="EA45" s="241">
        <f>SUM(DW45:DZ45)</f>
        <v>-520888.39667979942</v>
      </c>
      <c r="EB45" s="261">
        <f>-30%/4*'Balance Sheet'!EA42</f>
        <v>-135014.53187156952</v>
      </c>
      <c r="EC45" s="261">
        <f>-30%/4*'Balance Sheet'!EB42</f>
        <v>-133932.72138301693</v>
      </c>
      <c r="ED45" s="261">
        <f>-30%/4*'Balance Sheet'!EC42</f>
        <v>-134910.45622329522</v>
      </c>
      <c r="EE45" s="261">
        <f>-30%/4*'Balance Sheet'!ED42</f>
        <v>-136891.76008004797</v>
      </c>
      <c r="EF45" s="241">
        <f>SUM(EB45:EE45)</f>
        <v>-540749.46955792967</v>
      </c>
    </row>
    <row r="46" spans="1:137" s="200" customFormat="1" ht="12.75" customHeight="1" outlineLevel="1">
      <c r="A46" s="262" t="s">
        <v>698</v>
      </c>
      <c r="B46" s="253">
        <f t="shared" ref="B46:AI46" si="91">-B45/B44</f>
        <v>0.17133121054689682</v>
      </c>
      <c r="C46" s="253">
        <f t="shared" si="91"/>
        <v>0.17133121054689682</v>
      </c>
      <c r="D46" s="253">
        <f t="shared" si="91"/>
        <v>0.14579439252336449</v>
      </c>
      <c r="E46" s="253">
        <f t="shared" si="91"/>
        <v>0.14839043674698796</v>
      </c>
      <c r="F46" s="254">
        <f t="shared" si="91"/>
        <v>0.15997058560483349</v>
      </c>
      <c r="G46" s="253">
        <f t="shared" si="91"/>
        <v>0.13401334359763922</v>
      </c>
      <c r="H46" s="253">
        <f t="shared" si="91"/>
        <v>-6.7417468518919582E-2</v>
      </c>
      <c r="I46" s="253">
        <f t="shared" si="91"/>
        <v>0.31083188320640015</v>
      </c>
      <c r="J46" s="253">
        <f t="shared" si="91"/>
        <v>-8.5226443547210193E-2</v>
      </c>
      <c r="K46" s="254">
        <f t="shared" si="91"/>
        <v>0.11182075320902628</v>
      </c>
      <c r="L46" s="253">
        <f t="shared" si="91"/>
        <v>0.13608799674977806</v>
      </c>
      <c r="M46" s="253">
        <f t="shared" si="91"/>
        <v>0.10453513347652654</v>
      </c>
      <c r="N46" s="253">
        <f t="shared" si="91"/>
        <v>0.16521739130434782</v>
      </c>
      <c r="O46" s="253">
        <f t="shared" si="91"/>
        <v>3.362217085501675E-3</v>
      </c>
      <c r="P46" s="254">
        <f t="shared" si="91"/>
        <v>9.0120913165097599E-2</v>
      </c>
      <c r="Q46" s="253">
        <f t="shared" si="91"/>
        <v>0.15526387642859929</v>
      </c>
      <c r="R46" s="253">
        <f t="shared" si="91"/>
        <v>6.4654723219614796E-2</v>
      </c>
      <c r="S46" s="253">
        <f t="shared" si="91"/>
        <v>7.3530471299031466E-2</v>
      </c>
      <c r="T46" s="253">
        <f t="shared" si="91"/>
        <v>0.23375342465753424</v>
      </c>
      <c r="U46" s="254">
        <f t="shared" si="91"/>
        <v>0.11587571982594123</v>
      </c>
      <c r="V46" s="253">
        <f t="shared" si="91"/>
        <v>0.12985495465745422</v>
      </c>
      <c r="W46" s="253">
        <f t="shared" si="91"/>
        <v>0.16117722625653469</v>
      </c>
      <c r="X46" s="253">
        <f t="shared" si="91"/>
        <v>1.2173626345756351E-2</v>
      </c>
      <c r="Y46" s="253">
        <f t="shared" si="91"/>
        <v>0.33270070901668697</v>
      </c>
      <c r="Z46" s="254">
        <f>-Z45/Z44</f>
        <v>0.14693477586402859</v>
      </c>
      <c r="AA46" s="253">
        <f t="shared" si="91"/>
        <v>0.1543596477936596</v>
      </c>
      <c r="AB46" s="253">
        <f t="shared" si="91"/>
        <v>0.12091719089301305</v>
      </c>
      <c r="AC46" s="253">
        <f t="shared" si="91"/>
        <v>0.14721856271957015</v>
      </c>
      <c r="AD46" s="253">
        <f t="shared" si="91"/>
        <v>5.467569584766898E-2</v>
      </c>
      <c r="AE46" s="254">
        <f>-AE45/AE44</f>
        <v>0.11796981006121673</v>
      </c>
      <c r="AF46" s="253">
        <f t="shared" si="91"/>
        <v>6.4598734116055462E-2</v>
      </c>
      <c r="AG46" s="253">
        <f t="shared" si="91"/>
        <v>0.14864707165725477</v>
      </c>
      <c r="AH46" s="253">
        <f t="shared" si="91"/>
        <v>0.10251756380581416</v>
      </c>
      <c r="AI46" s="253">
        <f t="shared" si="91"/>
        <v>0.22075444974269393</v>
      </c>
      <c r="AJ46" s="254">
        <f t="shared" ref="AJ46:AT46" si="92">-AJ45/AJ44</f>
        <v>0.12374619024205914</v>
      </c>
      <c r="AK46" s="253">
        <f t="shared" si="92"/>
        <v>0.17645295587010823</v>
      </c>
      <c r="AL46" s="253">
        <f t="shared" si="92"/>
        <v>9.5034925429488395E-2</v>
      </c>
      <c r="AM46" s="253">
        <f t="shared" si="92"/>
        <v>0.1735065695732734</v>
      </c>
      <c r="AN46" s="253">
        <f t="shared" si="92"/>
        <v>0.17037189515575682</v>
      </c>
      <c r="AO46" s="254">
        <f t="shared" si="92"/>
        <v>0.15875924118435761</v>
      </c>
      <c r="AP46" s="253">
        <f t="shared" si="92"/>
        <v>0.33844297937999718</v>
      </c>
      <c r="AQ46" s="253">
        <f t="shared" si="92"/>
        <v>0.15840270735561163</v>
      </c>
      <c r="AR46" s="253">
        <f t="shared" si="92"/>
        <v>9.3181146705738349E-2</v>
      </c>
      <c r="AS46" s="253">
        <f t="shared" si="92"/>
        <v>0.22639851181510731</v>
      </c>
      <c r="AT46" s="254">
        <f t="shared" si="92"/>
        <v>0.2100554153518833</v>
      </c>
      <c r="AU46" s="253">
        <f t="shared" ref="AU46:CC46" si="93">-AU45/AU44</f>
        <v>0.17043323083417683</v>
      </c>
      <c r="AV46" s="253">
        <f t="shared" si="93"/>
        <v>0.18832515487266024</v>
      </c>
      <c r="AW46" s="253">
        <f t="shared" si="93"/>
        <v>0.234508579796049</v>
      </c>
      <c r="AX46" s="253">
        <f t="shared" si="93"/>
        <v>0.19331927889226255</v>
      </c>
      <c r="AY46" s="254">
        <f t="shared" si="93"/>
        <v>0.1972603572751771</v>
      </c>
      <c r="AZ46" s="253">
        <f>-AZ45/AZ44</f>
        <v>0.12752476727303783</v>
      </c>
      <c r="BA46" s="253">
        <f>-BA45/BA44</f>
        <v>0.18884806570131835</v>
      </c>
      <c r="BB46" s="253">
        <f>-BB45/BB44</f>
        <v>0.22047668989046665</v>
      </c>
      <c r="BC46" s="253">
        <f t="shared" si="93"/>
        <v>0.2718531892794393</v>
      </c>
      <c r="BD46" s="254">
        <f t="shared" si="93"/>
        <v>0.20434190616632947</v>
      </c>
      <c r="BE46" s="253">
        <f t="shared" si="93"/>
        <v>0.14746633653291727</v>
      </c>
      <c r="BF46" s="253">
        <f t="shared" si="93"/>
        <v>0.36233309377009493</v>
      </c>
      <c r="BG46" s="253">
        <f t="shared" si="93"/>
        <v>0.22359873628909163</v>
      </c>
      <c r="BH46" s="253">
        <f>-BH45/BH44</f>
        <v>0.19081858407079647</v>
      </c>
      <c r="BI46" s="254">
        <f t="shared" si="93"/>
        <v>0.24505144541121768</v>
      </c>
      <c r="BJ46" s="253">
        <f>-BJ45/BJ44</f>
        <v>0.31052021560309229</v>
      </c>
      <c r="BK46" s="253">
        <f>-BK45/BK44</f>
        <v>0.20883846875387146</v>
      </c>
      <c r="BL46" s="253">
        <f>-BL45/BL44</f>
        <v>0.66389761489237931</v>
      </c>
      <c r="BM46" s="253">
        <f>-BM45/BM44</f>
        <v>0.45032430031097292</v>
      </c>
      <c r="BN46" s="254">
        <f t="shared" si="93"/>
        <v>0.38127708282233669</v>
      </c>
      <c r="BO46" s="253">
        <f t="shared" si="93"/>
        <v>0.88246802546282777</v>
      </c>
      <c r="BP46" s="253">
        <f t="shared" si="93"/>
        <v>-4.994044073853484E-2</v>
      </c>
      <c r="BQ46" s="253">
        <f t="shared" si="93"/>
        <v>1.4775118265904117</v>
      </c>
      <c r="BR46" s="253">
        <f t="shared" si="93"/>
        <v>0.35304887756726638</v>
      </c>
      <c r="BS46" s="254">
        <f t="shared" si="93"/>
        <v>-8.0145175064047827</v>
      </c>
      <c r="BT46" s="253">
        <f>-BT45/BT44</f>
        <v>-0.47984417832924542</v>
      </c>
      <c r="BU46" s="253">
        <f>-BU45/BU44</f>
        <v>-0.48643562803826251</v>
      </c>
      <c r="BV46" s="253">
        <f>-BV45/BV44</f>
        <v>-0.28355496029847893</v>
      </c>
      <c r="BW46" s="253">
        <f>-BW45/BW44</f>
        <v>0.24549843720555459</v>
      </c>
      <c r="BX46" s="254">
        <f t="shared" si="93"/>
        <v>14.995189117451892</v>
      </c>
      <c r="BY46" s="253">
        <f t="shared" si="93"/>
        <v>0.21157635869122654</v>
      </c>
      <c r="BZ46" s="253">
        <f t="shared" si="93"/>
        <v>0.199984538726975</v>
      </c>
      <c r="CA46" s="253">
        <f t="shared" si="93"/>
        <v>0.13918737269196196</v>
      </c>
      <c r="CB46" s="253">
        <f t="shared" si="93"/>
        <v>0.287297303751821</v>
      </c>
      <c r="CC46" s="254">
        <f t="shared" si="93"/>
        <v>0.22173125367290639</v>
      </c>
      <c r="CD46" s="253">
        <f>-CD45/CD44</f>
        <v>0.42086823119661665</v>
      </c>
      <c r="CE46" s="253">
        <f>-CE45/CE44</f>
        <v>0.27026096314231907</v>
      </c>
      <c r="CF46" s="253">
        <f>-CF45/CF44</f>
        <v>8.1943634596695816E-3</v>
      </c>
      <c r="CG46" s="253">
        <f>-CG45/CG44</f>
        <v>4.4723013519295259E-2</v>
      </c>
      <c r="CH46" s="254">
        <f t="shared" ref="CH46:DG46" si="94">-CH45/CH44</f>
        <v>3.7845921583910772E-2</v>
      </c>
      <c r="CI46" s="253">
        <f t="shared" si="94"/>
        <v>7.6409869688221985E-2</v>
      </c>
      <c r="CJ46" s="253">
        <f t="shared" si="94"/>
        <v>8.051606326114509E-2</v>
      </c>
      <c r="CK46" s="253">
        <f t="shared" si="94"/>
        <v>0.10778123744098436</v>
      </c>
      <c r="CL46" s="253">
        <f t="shared" si="94"/>
        <v>0.13850851001481035</v>
      </c>
      <c r="CM46" s="254">
        <f t="shared" si="94"/>
        <v>0.10120670707372552</v>
      </c>
      <c r="CN46" s="253">
        <f>-CN45/CN44</f>
        <v>5.2186549628787569E-2</v>
      </c>
      <c r="CO46" s="253">
        <f>-CO45/CO44</f>
        <v>6.6931082703231157E-2</v>
      </c>
      <c r="CP46" s="253">
        <f>-CP45/CP44</f>
        <v>6.7729984463673745E-2</v>
      </c>
      <c r="CQ46" s="253">
        <f>-CQ45/CQ44</f>
        <v>4.1615333859350415E-2</v>
      </c>
      <c r="CR46" s="254">
        <f t="shared" si="94"/>
        <v>5.7898347408719637E-2</v>
      </c>
      <c r="CS46" s="253">
        <f t="shared" si="94"/>
        <v>0.14385009944520047</v>
      </c>
      <c r="CT46" s="253">
        <f t="shared" si="94"/>
        <v>9.2979465952438931E-2</v>
      </c>
      <c r="CU46" s="253">
        <f t="shared" si="94"/>
        <v>0.17502412699663206</v>
      </c>
      <c r="CV46" s="253">
        <f t="shared" si="94"/>
        <v>0.17937458813088414</v>
      </c>
      <c r="CW46" s="254">
        <f t="shared" si="94"/>
        <v>0.14796961201049108</v>
      </c>
      <c r="CX46" s="253">
        <f>-CX45/CX44</f>
        <v>0.15103096222081747</v>
      </c>
      <c r="CY46" s="253">
        <f t="shared" ref="CY46" si="95">-CY45/CY44</f>
        <v>0.13796205823707011</v>
      </c>
      <c r="CZ46" s="253">
        <f>-CZ45/CZ44</f>
        <v>0.12552586633937879</v>
      </c>
      <c r="DA46" s="253">
        <f t="shared" ref="DA46" si="96">-DA45/DA44</f>
        <v>0.15437242675729704</v>
      </c>
      <c r="DB46" s="254">
        <f t="shared" si="94"/>
        <v>0.14161823834024273</v>
      </c>
      <c r="DC46" s="253">
        <f>-DC45/DC44</f>
        <v>0.16805184186403191</v>
      </c>
      <c r="DD46" s="253">
        <f t="shared" ref="DD46" si="97">-DD45/DD44</f>
        <v>0.19038711657338264</v>
      </c>
      <c r="DE46" s="253">
        <f>-DE45/DE44</f>
        <v>0.10812884446155942</v>
      </c>
      <c r="DF46" s="253">
        <f t="shared" ref="DF46" si="98">-DF45/DF44</f>
        <v>0.1879031010058925</v>
      </c>
      <c r="DG46" s="254">
        <f t="shared" si="94"/>
        <v>0.16239598068142594</v>
      </c>
      <c r="DH46" s="253">
        <f>-DH45/DH44</f>
        <v>0.17575730644144433</v>
      </c>
      <c r="DI46" s="253">
        <f t="shared" ref="DI46" si="99">-DI45/DI44</f>
        <v>0.12945345046623755</v>
      </c>
      <c r="DJ46" s="253">
        <f ca="1">-DJ45/DJ44</f>
        <v>0.15506080742955941</v>
      </c>
      <c r="DK46" s="253">
        <f ca="1">-DK45/DK44</f>
        <v>0.13356724726162331</v>
      </c>
      <c r="DL46" s="254">
        <f ca="1">-DL45/DL44</f>
        <v>0.14550262603110412</v>
      </c>
      <c r="DM46" s="253">
        <f t="shared" ref="DM46:EF46" ca="1" si="100">-DM45/DM44</f>
        <v>0.15558653086911306</v>
      </c>
      <c r="DN46" s="253">
        <f t="shared" ca="1" si="100"/>
        <v>0.1507599562134222</v>
      </c>
      <c r="DO46" s="253">
        <f t="shared" ca="1" si="100"/>
        <v>0.1578264343320008</v>
      </c>
      <c r="DP46" s="253">
        <f t="shared" ca="1" si="100"/>
        <v>0.15715182429522739</v>
      </c>
      <c r="DQ46" s="254">
        <f t="shared" ca="1" si="100"/>
        <v>0.15534633926378824</v>
      </c>
      <c r="DR46" s="253">
        <f t="shared" ca="1" si="100"/>
        <v>0.15540114305541872</v>
      </c>
      <c r="DS46" s="253">
        <f t="shared" ca="1" si="100"/>
        <v>0.16916337272190116</v>
      </c>
      <c r="DT46" s="253">
        <f t="shared" ca="1" si="100"/>
        <v>0.174711847423656</v>
      </c>
      <c r="DU46" s="253">
        <f t="shared" ca="1" si="100"/>
        <v>0.16518046286397631</v>
      </c>
      <c r="DV46" s="254">
        <f t="shared" ca="1" si="100"/>
        <v>0.16593261020073602</v>
      </c>
      <c r="DW46" s="253">
        <f t="shared" ca="1" si="100"/>
        <v>0.16538873137533841</v>
      </c>
      <c r="DX46" s="253">
        <f t="shared" ca="1" si="100"/>
        <v>0.17880186840077833</v>
      </c>
      <c r="DY46" s="253">
        <f t="shared" ca="1" si="100"/>
        <v>0.1841814601268032</v>
      </c>
      <c r="DZ46" s="253">
        <f t="shared" ca="1" si="100"/>
        <v>0.16870854955616441</v>
      </c>
      <c r="EA46" s="254">
        <f t="shared" ca="1" si="100"/>
        <v>0.1739621549770379</v>
      </c>
      <c r="EB46" s="253">
        <f t="shared" ca="1" si="100"/>
        <v>0.16165876060080481</v>
      </c>
      <c r="EC46" s="253">
        <f t="shared" ca="1" si="100"/>
        <v>0.16991767678194505</v>
      </c>
      <c r="ED46" s="253">
        <f t="shared" ca="1" si="100"/>
        <v>0.1729807260719618</v>
      </c>
      <c r="EE46" s="253">
        <f t="shared" ca="1" si="100"/>
        <v>0.1601121510137368</v>
      </c>
      <c r="EF46" s="254">
        <f t="shared" ca="1" si="100"/>
        <v>0.16596092788195071</v>
      </c>
    </row>
    <row r="47" spans="1:137" s="95" customFormat="1" ht="12.75" customHeight="1">
      <c r="A47" s="191" t="s">
        <v>700</v>
      </c>
      <c r="B47" s="263">
        <f>B44+B45</f>
        <v>22251</v>
      </c>
      <c r="C47" s="263">
        <f>C44+C45</f>
        <v>22251</v>
      </c>
      <c r="D47" s="263">
        <f>D44+D45</f>
        <v>21936</v>
      </c>
      <c r="E47" s="263">
        <f>E44+E45</f>
        <v>18095</v>
      </c>
      <c r="F47" s="264">
        <f>SUM(B47:E47)</f>
        <v>84533</v>
      </c>
      <c r="G47" s="263">
        <f>G44+G45</f>
        <v>40497</v>
      </c>
      <c r="H47" s="263">
        <f>H44+H45</f>
        <v>34500</v>
      </c>
      <c r="I47" s="263">
        <f>I44+I45</f>
        <v>30495</v>
      </c>
      <c r="J47" s="263">
        <f>J44+J45</f>
        <v>22309</v>
      </c>
      <c r="K47" s="264">
        <f>SUM(G47:J47)</f>
        <v>127801</v>
      </c>
      <c r="L47" s="263">
        <f>L44+L45</f>
        <v>57413</v>
      </c>
      <c r="M47" s="263">
        <f>M44+M45</f>
        <v>72958</v>
      </c>
      <c r="N47" s="263">
        <f>N44+N45</f>
        <v>31008</v>
      </c>
      <c r="O47" s="263">
        <f>O44+O45</f>
        <v>80627</v>
      </c>
      <c r="P47" s="264">
        <f>SUM(L47:O47)</f>
        <v>242006</v>
      </c>
      <c r="Q47" s="263">
        <f>Q44+Q45</f>
        <v>43313</v>
      </c>
      <c r="R47" s="263">
        <f>R44+R45</f>
        <v>197457</v>
      </c>
      <c r="S47" s="263">
        <f>S44+S45</f>
        <v>90013</v>
      </c>
      <c r="T47" s="263">
        <f>T44+T45</f>
        <v>83904</v>
      </c>
      <c r="U47" s="264">
        <f>SUM(Q47:T47)</f>
        <v>414687</v>
      </c>
      <c r="V47" s="263">
        <f>V44+V45</f>
        <v>68510</v>
      </c>
      <c r="W47" s="263">
        <f>W44+W45</f>
        <v>94027</v>
      </c>
      <c r="X47" s="263">
        <f>X44+X45</f>
        <v>77899</v>
      </c>
      <c r="Y47" s="263">
        <f>Y44+Y45</f>
        <v>37270</v>
      </c>
      <c r="Z47" s="264">
        <f>SUM(V47:Y47)</f>
        <v>277706</v>
      </c>
      <c r="AA47" s="263">
        <f>AA44+AA45</f>
        <v>100457</v>
      </c>
      <c r="AB47" s="263">
        <f>AB44+AB45</f>
        <v>157071</v>
      </c>
      <c r="AC47" s="263">
        <f>AC44+AC45</f>
        <v>264103</v>
      </c>
      <c r="AD47" s="263">
        <f>AD44+AD45</f>
        <v>207718</v>
      </c>
      <c r="AE47" s="264">
        <f>SUM(AA47:AD47)</f>
        <v>729349</v>
      </c>
      <c r="AF47" s="263">
        <f>AF44+AF45</f>
        <v>174240</v>
      </c>
      <c r="AG47" s="263">
        <f>AG44+AG45</f>
        <v>167794</v>
      </c>
      <c r="AH47" s="263">
        <f>AH44+AH45</f>
        <v>176034</v>
      </c>
      <c r="AI47" s="263">
        <f>AI44+AI45</f>
        <v>82526</v>
      </c>
      <c r="AJ47" s="264">
        <f>SUM(AF47:AI47)</f>
        <v>600594</v>
      </c>
      <c r="AK47" s="263">
        <f>AK44+AK45</f>
        <v>74181</v>
      </c>
      <c r="AL47" s="263">
        <f>AL44+AL45</f>
        <v>95872</v>
      </c>
      <c r="AM47" s="263">
        <f>AM44+AM45</f>
        <v>146753</v>
      </c>
      <c r="AN47" s="263">
        <f>AN44+AN45</f>
        <v>181365</v>
      </c>
      <c r="AO47" s="264">
        <f>SUM(AK47:AN47)</f>
        <v>498171</v>
      </c>
      <c r="AP47" s="263">
        <f>AP44+AP45</f>
        <v>117906</v>
      </c>
      <c r="AQ47" s="263">
        <f>AQ44+AQ45</f>
        <v>142745</v>
      </c>
      <c r="AR47" s="263">
        <f>AR44+AR45</f>
        <v>150395</v>
      </c>
      <c r="AS47" s="263">
        <f>AS44+AS45</f>
        <v>249102</v>
      </c>
      <c r="AT47" s="264">
        <f>SUM(AP47:AS47)</f>
        <v>660148</v>
      </c>
      <c r="AU47" s="263">
        <f>AU44+AU45</f>
        <v>172929</v>
      </c>
      <c r="AV47" s="263">
        <f>AV44+AV45</f>
        <v>182777</v>
      </c>
      <c r="AW47" s="263">
        <f>AW44+AW45</f>
        <v>174604</v>
      </c>
      <c r="AX47" s="263">
        <f>AX44+AX45</f>
        <v>182522</v>
      </c>
      <c r="AY47" s="264">
        <f>SUM(AU47:AX47)</f>
        <v>712832</v>
      </c>
      <c r="AZ47" s="263">
        <f>AZ44+AZ45</f>
        <v>163453</v>
      </c>
      <c r="BA47" s="263">
        <f>BA44+BA45</f>
        <v>168894</v>
      </c>
      <c r="BB47" s="263">
        <f>BB44+BB45</f>
        <v>179129</v>
      </c>
      <c r="BC47" s="263">
        <f>BC44+BC45</f>
        <v>150023</v>
      </c>
      <c r="BD47" s="264">
        <f>SUM(AZ47:BC47)</f>
        <v>661499</v>
      </c>
      <c r="BE47" s="263">
        <f>BE44+BE45</f>
        <v>100541</v>
      </c>
      <c r="BF47" s="263">
        <f>BF44+BF45</f>
        <v>118006</v>
      </c>
      <c r="BG47" s="263">
        <f>BG44+BG45</f>
        <v>131232</v>
      </c>
      <c r="BH47" s="263">
        <f>BH44+BH45</f>
        <v>98021</v>
      </c>
      <c r="BI47" s="264">
        <f>SUM(BE47:BH47)</f>
        <v>447800</v>
      </c>
      <c r="BJ47" s="263">
        <f>BJ44+BJ45</f>
        <v>61272</v>
      </c>
      <c r="BK47" s="263">
        <f>BK44+BK45</f>
        <v>44703</v>
      </c>
      <c r="BL47" s="263">
        <f>BL44+BL45</f>
        <v>14444</v>
      </c>
      <c r="BM47" s="263">
        <f>BM44+BM45</f>
        <v>30933</v>
      </c>
      <c r="BN47" s="264">
        <f>SUM(BJ47:BM47)</f>
        <v>151352</v>
      </c>
      <c r="BO47" s="263">
        <f>BO44+BO45</f>
        <v>4025</v>
      </c>
      <c r="BP47" s="263">
        <f>BP44+BP45</f>
        <v>-141028</v>
      </c>
      <c r="BQ47" s="263">
        <f>BQ44+BQ45</f>
        <v>-6763</v>
      </c>
      <c r="BR47" s="263">
        <f>BR44+BR45</f>
        <v>48762</v>
      </c>
      <c r="BS47" s="264">
        <f>SUM(BO47:BR47)</f>
        <v>-95004</v>
      </c>
      <c r="BT47" s="263">
        <f>BT44+BT45</f>
        <v>-51284</v>
      </c>
      <c r="BU47" s="263">
        <f>BU44+BU45</f>
        <v>-28437</v>
      </c>
      <c r="BV47" s="263">
        <f>BV44+BV45</f>
        <v>-120753</v>
      </c>
      <c r="BW47" s="263">
        <f>BW44+BW45</f>
        <v>116111</v>
      </c>
      <c r="BX47" s="264">
        <f>SUM(BT47:BW47)</f>
        <v>-84363</v>
      </c>
      <c r="BY47" s="263">
        <f>BY44+BY45</f>
        <v>48410</v>
      </c>
      <c r="BZ47" s="263">
        <f>BZ44+BZ45</f>
        <v>113835</v>
      </c>
      <c r="CA47" s="263">
        <f>CA44+CA45</f>
        <v>104383</v>
      </c>
      <c r="CB47" s="263">
        <f>CB44+CB45</f>
        <v>149215</v>
      </c>
      <c r="CC47" s="264">
        <f>SUM(BY47:CB47)</f>
        <v>415843</v>
      </c>
      <c r="CD47" s="263">
        <f>CD44+CD45</f>
        <v>27935</v>
      </c>
      <c r="CE47" s="263">
        <f>CE44+CE45</f>
        <v>67811</v>
      </c>
      <c r="CF47" s="263">
        <f>CF44+CF45</f>
        <v>1403281</v>
      </c>
      <c r="CG47" s="263">
        <f>CG44+CG45</f>
        <v>261231</v>
      </c>
      <c r="CH47" s="264">
        <f>SUM(CD47:CG47)</f>
        <v>1760258</v>
      </c>
      <c r="CI47" s="263">
        <f>CI44+CI45</f>
        <v>192285</v>
      </c>
      <c r="CJ47" s="263">
        <f>CJ44+CJ45</f>
        <v>266974</v>
      </c>
      <c r="CK47" s="263">
        <f>CK44+CK45</f>
        <v>237547</v>
      </c>
      <c r="CL47" s="263">
        <f>CL44+CL45</f>
        <v>217549</v>
      </c>
      <c r="CM47" s="264">
        <f>SUM(CI47:CL47)</f>
        <v>914355</v>
      </c>
      <c r="CN47" s="263">
        <f>CN44+CN45</f>
        <v>161751</v>
      </c>
      <c r="CO47" s="263">
        <f>CO44+CO45</f>
        <v>150797</v>
      </c>
      <c r="CP47" s="263">
        <f>CP44+CP45</f>
        <v>288628</v>
      </c>
      <c r="CQ47" s="263">
        <f>CQ44+CQ45</f>
        <v>207704</v>
      </c>
      <c r="CR47" s="264">
        <f>SUM(CN47:CQ47)</f>
        <v>808880</v>
      </c>
      <c r="CS47" s="263">
        <f>CS44+CS45</f>
        <v>163576</v>
      </c>
      <c r="CT47" s="263">
        <f>CT44+CT45</f>
        <v>279385</v>
      </c>
      <c r="CU47" s="263">
        <f>CU44+CU45</f>
        <v>251319</v>
      </c>
      <c r="CV47" s="263">
        <f>CV44+CV45</f>
        <v>247810</v>
      </c>
      <c r="CW47" s="264">
        <f>SUM(CS47:CV47)</f>
        <v>942090</v>
      </c>
      <c r="CX47" s="263">
        <f>CX44+CX45</f>
        <v>267258</v>
      </c>
      <c r="CY47" s="263">
        <f>CY44+CY45</f>
        <v>412005</v>
      </c>
      <c r="CZ47" s="263">
        <f>CZ44+CZ45</f>
        <v>473101</v>
      </c>
      <c r="DA47" s="263">
        <f>DA44+DA45</f>
        <v>496632</v>
      </c>
      <c r="DB47" s="264">
        <f>SUM(CX47:DA47)</f>
        <v>1648996</v>
      </c>
      <c r="DC47" s="263">
        <f>DC44+DC45</f>
        <v>327632</v>
      </c>
      <c r="DD47" s="263">
        <f>DD44+DD45</f>
        <v>387807</v>
      </c>
      <c r="DE47" s="263">
        <f>DE44+DE45</f>
        <v>609115</v>
      </c>
      <c r="DF47" s="263">
        <f>DF44+DF45</f>
        <v>682202</v>
      </c>
      <c r="DG47" s="264">
        <f>SUM(DC47:DF47)</f>
        <v>2006756</v>
      </c>
      <c r="DH47" s="263">
        <f>DH44+DH45</f>
        <v>296776</v>
      </c>
      <c r="DI47" s="263">
        <f>DI44+DI45</f>
        <v>451576</v>
      </c>
      <c r="DJ47" s="263">
        <f ca="1">DJ44+DJ45</f>
        <v>524530.08119783562</v>
      </c>
      <c r="DK47" s="263">
        <f ca="1">DK44+DK45</f>
        <v>617188.0403730016</v>
      </c>
      <c r="DL47" s="264">
        <f ca="1">SUM(DH47:DK47)</f>
        <v>1890070.1215708372</v>
      </c>
      <c r="DM47" s="263">
        <f ca="1">DM44+DM45</f>
        <v>537656.98535306158</v>
      </c>
      <c r="DN47" s="263">
        <f ca="1">DN44+DN45</f>
        <v>555649.42660106672</v>
      </c>
      <c r="DO47" s="263">
        <f ca="1">DO44+DO45</f>
        <v>547147.32407476974</v>
      </c>
      <c r="DP47" s="263">
        <f ca="1">DP44+DP45</f>
        <v>577282.30497594236</v>
      </c>
      <c r="DQ47" s="264">
        <f ca="1">SUM(DM47:DP47)</f>
        <v>2217736.0410048403</v>
      </c>
      <c r="DR47" s="263">
        <f ca="1">DR44+DR45</f>
        <v>611473.40168903861</v>
      </c>
      <c r="DS47" s="263">
        <f ca="1">DS44+DS45</f>
        <v>567852.47253617586</v>
      </c>
      <c r="DT47" s="263">
        <f ca="1">DT44+DT45</f>
        <v>561667.86547324131</v>
      </c>
      <c r="DU47" s="263">
        <f ca="1">DU44+DU45</f>
        <v>619834.6238907387</v>
      </c>
      <c r="DV47" s="264">
        <f ca="1">SUM(DR47:DU47)</f>
        <v>2360828.3635891946</v>
      </c>
      <c r="DW47" s="263">
        <f ca="1">DW44+DW45</f>
        <v>645667.82554050046</v>
      </c>
      <c r="DX47" s="263">
        <f ca="1">DX44+DX45</f>
        <v>592457.1195786579</v>
      </c>
      <c r="DY47" s="263">
        <f ca="1">DY44+DY45</f>
        <v>580881.41955141374</v>
      </c>
      <c r="DZ47" s="263">
        <f ca="1">DZ44+DZ45</f>
        <v>654367.96635930741</v>
      </c>
      <c r="EA47" s="264">
        <f ca="1">SUM(DW47:DZ47)</f>
        <v>2473374.3310298794</v>
      </c>
      <c r="EB47" s="263">
        <f ca="1">EB44+EB45</f>
        <v>700167.74572222121</v>
      </c>
      <c r="EC47" s="263">
        <f ca="1">EC44+EC45</f>
        <v>654288.5156274942</v>
      </c>
      <c r="ED47" s="263">
        <f ca="1">ED44+ED45</f>
        <v>645005.66094672435</v>
      </c>
      <c r="EE47" s="263">
        <f ca="1">EE44+EE45</f>
        <v>718082.45151681802</v>
      </c>
      <c r="EF47" s="264">
        <f ca="1">SUM(EB47:EE47)</f>
        <v>2717544.3738132576</v>
      </c>
      <c r="EG47" s="608"/>
    </row>
    <row r="48" spans="1:137" ht="12.75" customHeight="1">
      <c r="B48" s="131"/>
      <c r="C48" s="131"/>
      <c r="D48" s="131"/>
      <c r="E48" s="220"/>
      <c r="F48" s="91"/>
      <c r="G48" s="131"/>
      <c r="H48" s="131"/>
      <c r="I48" s="131"/>
      <c r="J48" s="220"/>
      <c r="K48" s="91">
        <f>K47/F47-1</f>
        <v>0.51184744419339201</v>
      </c>
      <c r="L48" s="131"/>
      <c r="M48" s="131"/>
      <c r="N48" s="131"/>
      <c r="O48" s="220"/>
      <c r="P48" s="91">
        <f>P47/K47-1</f>
        <v>0.89361585590097103</v>
      </c>
      <c r="Q48" s="131"/>
      <c r="R48" s="131"/>
      <c r="S48" s="131"/>
      <c r="T48" s="220"/>
      <c r="U48" s="91">
        <f>U47/P47-1</f>
        <v>0.71354016016131827</v>
      </c>
      <c r="V48" s="131"/>
      <c r="W48" s="131"/>
      <c r="X48" s="131"/>
      <c r="Y48" s="220"/>
      <c r="Z48" s="91"/>
      <c r="AA48" s="131"/>
      <c r="AB48" s="131"/>
      <c r="AC48" s="131"/>
      <c r="AD48" s="220"/>
      <c r="AE48" s="91"/>
      <c r="AF48" s="131"/>
      <c r="AG48" s="131"/>
      <c r="AH48" s="131"/>
      <c r="AI48" s="220"/>
      <c r="AJ48" s="91"/>
      <c r="AK48" s="131"/>
      <c r="AL48" s="131"/>
      <c r="AM48" s="131"/>
      <c r="AN48" s="220"/>
      <c r="AO48" s="91"/>
      <c r="AP48" s="131"/>
      <c r="AQ48" s="131"/>
      <c r="AR48" s="339"/>
      <c r="AS48" s="223"/>
      <c r="AT48" s="91"/>
      <c r="AU48" s="131"/>
      <c r="AV48" s="90"/>
      <c r="AW48" s="90"/>
      <c r="AX48" s="90"/>
      <c r="AY48" s="91">
        <f>-(AY39+AY41)/(AY4+'Balance Sheet'!AY63)</f>
        <v>2.3386628777474654E-2</v>
      </c>
      <c r="AZ48" s="90"/>
      <c r="BA48" s="90"/>
      <c r="BB48" s="90"/>
      <c r="BC48" s="90"/>
      <c r="BD48" s="91">
        <f>-(BD39+BD41)/(BD4+'Balance Sheet'!BD63)</f>
        <v>2.1844015644075444E-2</v>
      </c>
      <c r="BE48" s="131"/>
      <c r="BF48" s="131"/>
      <c r="BG48" s="131"/>
      <c r="BH48" s="220"/>
      <c r="BI48" s="91">
        <f>-(BI39+BI41)/(BI4+'Balance Sheet'!BI63)</f>
        <v>1.7524294098058633E-2</v>
      </c>
      <c r="BJ48" s="131"/>
      <c r="BK48" s="131"/>
      <c r="BL48" s="131"/>
      <c r="BM48" s="220"/>
      <c r="BN48" s="91">
        <f>-(BN39+BN41)/(BN4+'Balance Sheet'!BN63)</f>
        <v>1.9621771934662052E-2</v>
      </c>
      <c r="BO48" s="122">
        <f>-(BO39+BO41)/(BO4+'Balance Sheet'!BO63)</f>
        <v>1.8607300574561069E-2</v>
      </c>
      <c r="BP48" s="122">
        <f>-(BP39+BP41)/(BP4+'Balance Sheet'!BP63)</f>
        <v>1.5692716495793096E-2</v>
      </c>
      <c r="BQ48" s="122">
        <f>-(BQ39+BQ41)/(BQ4+'Balance Sheet'!BQ63)</f>
        <v>1.6718815454139099E-2</v>
      </c>
      <c r="BR48" s="122">
        <f>-(BR39+BR41)/(BR4+'Balance Sheet'!BR63)</f>
        <v>2.4417549237986301E-2</v>
      </c>
      <c r="BS48" s="91">
        <f>-(BS39+BS41)/(BS4+'Balance Sheet'!BS63)</f>
        <v>1.8821485993128044E-2</v>
      </c>
      <c r="BT48" s="131"/>
      <c r="BU48" s="131"/>
      <c r="BV48" s="131"/>
      <c r="BW48" s="220"/>
      <c r="BX48" s="91"/>
      <c r="BY48" s="131"/>
      <c r="BZ48" s="339"/>
      <c r="CA48" s="131"/>
      <c r="CB48" s="220"/>
      <c r="CC48" s="91"/>
      <c r="CD48" s="131">
        <f>CC39/CC36</f>
        <v>-0.1341147575065553</v>
      </c>
      <c r="CE48" s="339"/>
      <c r="CF48" s="131"/>
      <c r="CG48" s="131"/>
      <c r="CH48" s="111"/>
      <c r="CI48" s="131"/>
      <c r="CJ48" s="131"/>
      <c r="CK48" s="131"/>
      <c r="CL48" s="220"/>
      <c r="CM48" s="111"/>
      <c r="CN48" s="131"/>
      <c r="CO48" s="131"/>
      <c r="CP48" s="131"/>
      <c r="CQ48" s="220"/>
      <c r="CR48" s="111"/>
      <c r="CS48" s="131"/>
      <c r="CT48" s="131"/>
      <c r="CU48" s="131"/>
      <c r="CV48" s="220"/>
      <c r="CW48" s="111"/>
      <c r="CX48" s="131">
        <f t="shared" ref="CX48:DC48" si="101">-CX45/CX44</f>
        <v>0.15103096222081747</v>
      </c>
      <c r="CY48" s="131">
        <f>-CY45/CY44</f>
        <v>0.13796205823707011</v>
      </c>
      <c r="CZ48" s="131">
        <f t="shared" ref="CZ48:DA48" si="102">-CZ45/CZ44</f>
        <v>0.12552586633937879</v>
      </c>
      <c r="DA48" s="131">
        <f t="shared" si="102"/>
        <v>0.15437242675729704</v>
      </c>
      <c r="DB48" s="111"/>
      <c r="DC48" s="131">
        <f t="shared" si="101"/>
        <v>0.16805184186403191</v>
      </c>
      <c r="DD48" s="131">
        <f>-DD45/DD44</f>
        <v>0.19038711657338264</v>
      </c>
      <c r="DE48" s="131">
        <f t="shared" ref="DE48:DF48" si="103">-DE45/DE44</f>
        <v>0.10812884446155942</v>
      </c>
      <c r="DF48" s="131">
        <f t="shared" si="103"/>
        <v>0.1879031010058925</v>
      </c>
      <c r="DG48" s="111"/>
      <c r="DH48" s="131">
        <f t="shared" ref="DH48" si="104">-DH45/DH44</f>
        <v>0.17575730644144433</v>
      </c>
      <c r="DI48" s="131"/>
      <c r="DJ48" s="131"/>
      <c r="DK48" s="220"/>
      <c r="DL48" s="91"/>
      <c r="DM48" s="131"/>
      <c r="DN48" s="131"/>
      <c r="DO48" s="131"/>
      <c r="DP48" s="220"/>
      <c r="DQ48" s="91"/>
      <c r="DR48" s="131"/>
      <c r="DS48" s="131"/>
      <c r="DT48" s="131"/>
      <c r="DU48" s="220"/>
      <c r="DV48" s="91"/>
      <c r="DW48" s="131"/>
      <c r="DX48" s="131"/>
      <c r="DY48" s="131"/>
      <c r="DZ48" s="220"/>
      <c r="EA48" s="91"/>
      <c r="EB48" s="131"/>
      <c r="EC48" s="131"/>
      <c r="ED48" s="131"/>
      <c r="EE48" s="220"/>
      <c r="EF48" s="91"/>
    </row>
    <row r="49" spans="1:138" ht="12.75" customHeight="1">
      <c r="A49" s="78" t="s">
        <v>91</v>
      </c>
      <c r="B49" s="261">
        <v>0</v>
      </c>
      <c r="C49" s="261">
        <v>0</v>
      </c>
      <c r="D49" s="261">
        <v>0</v>
      </c>
      <c r="E49" s="261">
        <v>0</v>
      </c>
      <c r="F49" s="241">
        <f>SUM(B49:E49)</f>
        <v>0</v>
      </c>
      <c r="G49" s="261">
        <v>0</v>
      </c>
      <c r="H49" s="261">
        <v>0</v>
      </c>
      <c r="I49" s="261">
        <v>0</v>
      </c>
      <c r="J49" s="261">
        <v>0</v>
      </c>
      <c r="K49" s="241">
        <f>SUM(G49:J49)</f>
        <v>0</v>
      </c>
      <c r="L49" s="261">
        <v>0</v>
      </c>
      <c r="M49" s="261">
        <f>0.090277*M78</f>
        <v>26850.546447999997</v>
      </c>
      <c r="N49" s="261">
        <v>0</v>
      </c>
      <c r="O49" s="261">
        <f>0.085152*O78</f>
        <v>30182.807616000002</v>
      </c>
      <c r="P49" s="241">
        <f>SUM(L49:O49)</f>
        <v>57033.354063999999</v>
      </c>
      <c r="Q49" s="261">
        <v>0</v>
      </c>
      <c r="R49" s="261">
        <v>60000</v>
      </c>
      <c r="S49" s="261">
        <v>0</v>
      </c>
      <c r="T49" s="261">
        <v>14574</v>
      </c>
      <c r="U49" s="241">
        <f>SUM(Q49:T49)</f>
        <v>74574</v>
      </c>
      <c r="V49" s="261">
        <v>0</v>
      </c>
      <c r="W49" s="261">
        <v>0</v>
      </c>
      <c r="X49" s="261">
        <v>0</v>
      </c>
      <c r="Y49" s="261">
        <v>65955</v>
      </c>
      <c r="Z49" s="241">
        <f>SUM(V49:Y49)</f>
        <v>65955</v>
      </c>
      <c r="AA49" s="261">
        <v>0</v>
      </c>
      <c r="AB49" s="261">
        <v>0</v>
      </c>
      <c r="AC49" s="261">
        <v>0</v>
      </c>
      <c r="AD49" s="261">
        <f>0.4703*AD78</f>
        <v>198648.82525980001</v>
      </c>
      <c r="AE49" s="241">
        <f>SUM(AA49:AD49)</f>
        <v>198648.82525980001</v>
      </c>
      <c r="AF49" s="261">
        <v>0</v>
      </c>
      <c r="AG49" s="261">
        <v>0</v>
      </c>
      <c r="AH49" s="261">
        <v>0</v>
      </c>
      <c r="AI49" s="261">
        <v>142559</v>
      </c>
      <c r="AJ49" s="241">
        <f>SUM(AF49:AI49)</f>
        <v>142559</v>
      </c>
      <c r="AK49" s="261">
        <v>0</v>
      </c>
      <c r="AL49" s="261">
        <v>0</v>
      </c>
      <c r="AM49" s="261">
        <v>0</v>
      </c>
      <c r="AN49" s="261">
        <v>118315</v>
      </c>
      <c r="AO49" s="241">
        <f>SUM(AK49:AN49)</f>
        <v>118315</v>
      </c>
      <c r="AP49" s="261">
        <v>0</v>
      </c>
      <c r="AQ49" s="261">
        <v>0</v>
      </c>
      <c r="AR49" s="261">
        <v>0</v>
      </c>
      <c r="AS49" s="261">
        <f>'Balance Sheet'!AS38</f>
        <v>156818</v>
      </c>
      <c r="AT49" s="241">
        <f>SUM(AP49:AS49)</f>
        <v>156818</v>
      </c>
      <c r="AU49" s="306">
        <v>50000</v>
      </c>
      <c r="AV49" s="261">
        <v>0</v>
      </c>
      <c r="AW49" s="261">
        <v>0</v>
      </c>
      <c r="AX49" s="261">
        <f>'Balance Sheet'!AY38</f>
        <v>170826</v>
      </c>
      <c r="AY49" s="241">
        <f>SUM(AU49:AX49)</f>
        <v>220826</v>
      </c>
      <c r="AZ49" s="261">
        <v>0</v>
      </c>
      <c r="BA49" s="261">
        <v>0</v>
      </c>
      <c r="BB49" s="261">
        <v>0</v>
      </c>
      <c r="BC49" s="261">
        <v>157106</v>
      </c>
      <c r="BD49" s="241">
        <f>SUM(AZ49:BC49)</f>
        <v>157106</v>
      </c>
      <c r="BE49" s="261">
        <v>0</v>
      </c>
      <c r="BF49" s="261">
        <v>0</v>
      </c>
      <c r="BG49" s="261">
        <v>0</v>
      </c>
      <c r="BH49" s="261">
        <v>106353</v>
      </c>
      <c r="BI49" s="241">
        <f>SUM(BE49:BH49)</f>
        <v>106353</v>
      </c>
      <c r="BJ49" s="261">
        <v>0</v>
      </c>
      <c r="BK49" s="261">
        <v>0</v>
      </c>
      <c r="BL49" s="261">
        <v>0</v>
      </c>
      <c r="BM49" s="261">
        <f>0.094063*BM78</f>
        <v>35946.081386999998</v>
      </c>
      <c r="BN49" s="241">
        <f>SUM(BJ49:BM49)</f>
        <v>35946.081386999998</v>
      </c>
      <c r="BO49" s="261">
        <v>0</v>
      </c>
      <c r="BP49" s="261">
        <v>0</v>
      </c>
      <c r="BQ49" s="261">
        <v>0</v>
      </c>
      <c r="BR49" s="261">
        <v>0</v>
      </c>
      <c r="BS49" s="241">
        <f>SUM(BO49:BR49)</f>
        <v>0</v>
      </c>
      <c r="BT49" s="261">
        <v>0</v>
      </c>
      <c r="BU49" s="261">
        <v>200000</v>
      </c>
      <c r="BV49" s="261">
        <v>0</v>
      </c>
      <c r="BW49" s="261">
        <v>230000</v>
      </c>
      <c r="BX49" s="241">
        <f>SUM(BT49:BW49)</f>
        <v>430000</v>
      </c>
      <c r="BY49" s="261">
        <v>0</v>
      </c>
      <c r="BZ49" s="261">
        <v>0</v>
      </c>
      <c r="CA49" s="261">
        <v>300000</v>
      </c>
      <c r="CB49" s="261">
        <v>400000</v>
      </c>
      <c r="CC49" s="241">
        <f>SUM(BY49:CB49)</f>
        <v>700000</v>
      </c>
      <c r="CD49" s="261">
        <v>0</v>
      </c>
      <c r="CE49" s="261">
        <v>0</v>
      </c>
      <c r="CF49" s="261">
        <v>98762.316059999997</v>
      </c>
      <c r="CG49" s="261">
        <v>600000</v>
      </c>
      <c r="CH49" s="241">
        <f>SUM(CD49:CG49)</f>
        <v>698762.31605999998</v>
      </c>
      <c r="CI49" s="261">
        <v>0</v>
      </c>
      <c r="CJ49" s="261">
        <v>418060.97850000003</v>
      </c>
      <c r="CK49" s="261">
        <v>0</v>
      </c>
      <c r="CL49" s="261">
        <v>0</v>
      </c>
      <c r="CM49" s="241">
        <f>SUM(CI49:CL49)</f>
        <v>418060.97850000003</v>
      </c>
      <c r="CN49" s="261">
        <v>0</v>
      </c>
      <c r="CO49" s="261">
        <v>217159.66805000001</v>
      </c>
      <c r="CP49" s="261">
        <v>0</v>
      </c>
      <c r="CQ49" s="261">
        <v>0</v>
      </c>
      <c r="CR49" s="241">
        <f>SUM(CN49:CQ49)</f>
        <v>217159.66805000001</v>
      </c>
      <c r="CS49" s="261">
        <v>0</v>
      </c>
      <c r="CT49" s="261">
        <v>192108.92821000001</v>
      </c>
      <c r="CU49" s="261">
        <v>0</v>
      </c>
      <c r="CV49" s="261">
        <v>125000</v>
      </c>
      <c r="CW49" s="241">
        <f>SUM(CS49:CV49)</f>
        <v>317108.92821000004</v>
      </c>
      <c r="CX49" s="261">
        <v>0</v>
      </c>
      <c r="CY49" s="261">
        <v>0</v>
      </c>
      <c r="CZ49" s="261">
        <v>0</v>
      </c>
      <c r="DA49" s="261">
        <v>125000</v>
      </c>
      <c r="DB49" s="241">
        <f>SUM(CX49:DA49)</f>
        <v>125000</v>
      </c>
      <c r="DC49" s="261"/>
      <c r="DD49" s="261">
        <v>391636.58</v>
      </c>
      <c r="DE49" s="261">
        <v>0</v>
      </c>
      <c r="DF49" s="261">
        <v>1000000</v>
      </c>
      <c r="DG49" s="241">
        <f>SUM(DC49:DF49)</f>
        <v>1391636.58</v>
      </c>
      <c r="DH49" s="261"/>
      <c r="DI49" s="261">
        <v>0</v>
      </c>
      <c r="DJ49" s="261">
        <v>0</v>
      </c>
      <c r="DK49" s="261">
        <f>25%*DG47</f>
        <v>501689</v>
      </c>
      <c r="DL49" s="241">
        <f>SUM(DH49:DK49)</f>
        <v>501689</v>
      </c>
      <c r="DM49" s="261">
        <v>0</v>
      </c>
      <c r="DN49" s="261">
        <v>0</v>
      </c>
      <c r="DO49" s="261">
        <f ca="1">+DL47*50%</f>
        <v>945035.06078541861</v>
      </c>
      <c r="DP49" s="261">
        <v>0</v>
      </c>
      <c r="DQ49" s="241">
        <f ca="1">SUM(DM49:DP49)</f>
        <v>945035.06078541861</v>
      </c>
      <c r="DR49" s="261">
        <f ca="1">80%*DQ47</f>
        <v>1774188.8328038724</v>
      </c>
      <c r="DS49" s="261">
        <v>0</v>
      </c>
      <c r="DT49" s="261">
        <v>0</v>
      </c>
      <c r="DU49" s="261">
        <v>0</v>
      </c>
      <c r="DV49" s="241">
        <f ca="1">SUM(DR49:DU49)</f>
        <v>1774188.8328038724</v>
      </c>
      <c r="DW49" s="261">
        <f ca="1">80%*DV47</f>
        <v>1888662.6908713558</v>
      </c>
      <c r="DX49" s="261">
        <v>0</v>
      </c>
      <c r="DY49" s="261">
        <v>0</v>
      </c>
      <c r="DZ49" s="261">
        <v>0</v>
      </c>
      <c r="EA49" s="241">
        <f ca="1">SUM(DW49:DZ49)</f>
        <v>1888662.6908713558</v>
      </c>
      <c r="EB49" s="261">
        <f ca="1">80%*EA47</f>
        <v>1978699.4648239035</v>
      </c>
      <c r="EC49" s="261">
        <v>0</v>
      </c>
      <c r="ED49" s="261">
        <v>0</v>
      </c>
      <c r="EE49" s="261">
        <v>0</v>
      </c>
      <c r="EF49" s="241">
        <f ca="1">SUM(EB49:EE49)</f>
        <v>1978699.4648239035</v>
      </c>
    </row>
    <row r="50" spans="1:138" ht="12.75" customHeight="1" outlineLevel="1">
      <c r="A50" s="247" t="s">
        <v>754</v>
      </c>
      <c r="B50" s="248">
        <f t="shared" ref="B50:AX50" si="105">B49/B47</f>
        <v>0</v>
      </c>
      <c r="C50" s="248">
        <f t="shared" si="105"/>
        <v>0</v>
      </c>
      <c r="D50" s="248">
        <f t="shared" si="105"/>
        <v>0</v>
      </c>
      <c r="E50" s="248">
        <f t="shared" si="105"/>
        <v>0</v>
      </c>
      <c r="F50" s="249">
        <f t="shared" si="105"/>
        <v>0</v>
      </c>
      <c r="G50" s="248">
        <f t="shared" si="105"/>
        <v>0</v>
      </c>
      <c r="H50" s="248">
        <f t="shared" si="105"/>
        <v>0</v>
      </c>
      <c r="I50" s="248">
        <f t="shared" si="105"/>
        <v>0</v>
      </c>
      <c r="J50" s="248">
        <f t="shared" si="105"/>
        <v>0</v>
      </c>
      <c r="K50" s="249">
        <f t="shared" si="105"/>
        <v>0</v>
      </c>
      <c r="L50" s="248">
        <f t="shared" si="105"/>
        <v>0</v>
      </c>
      <c r="M50" s="248">
        <f t="shared" si="105"/>
        <v>0.3680274465857068</v>
      </c>
      <c r="N50" s="248">
        <f t="shared" si="105"/>
        <v>0</v>
      </c>
      <c r="O50" s="248">
        <f t="shared" si="105"/>
        <v>0.37435111831024348</v>
      </c>
      <c r="P50" s="249">
        <f t="shared" si="105"/>
        <v>0.23566917375602259</v>
      </c>
      <c r="Q50" s="248">
        <f t="shared" si="105"/>
        <v>0</v>
      </c>
      <c r="R50" s="248">
        <f t="shared" si="105"/>
        <v>0.30386362600464911</v>
      </c>
      <c r="S50" s="248">
        <f t="shared" si="105"/>
        <v>0</v>
      </c>
      <c r="T50" s="248">
        <f t="shared" si="105"/>
        <v>0.17369851258581237</v>
      </c>
      <c r="U50" s="249">
        <f t="shared" si="105"/>
        <v>0.17983201788336745</v>
      </c>
      <c r="V50" s="248">
        <f t="shared" si="105"/>
        <v>0</v>
      </c>
      <c r="W50" s="248">
        <f t="shared" si="105"/>
        <v>0</v>
      </c>
      <c r="X50" s="248">
        <f t="shared" si="105"/>
        <v>0</v>
      </c>
      <c r="Y50" s="248">
        <f t="shared" si="105"/>
        <v>1.7696538771129595</v>
      </c>
      <c r="Z50" s="249">
        <f t="shared" si="105"/>
        <v>0.23749936983716594</v>
      </c>
      <c r="AA50" s="248">
        <f t="shared" si="105"/>
        <v>0</v>
      </c>
      <c r="AB50" s="248">
        <f t="shared" si="105"/>
        <v>0</v>
      </c>
      <c r="AC50" s="248">
        <f t="shared" si="105"/>
        <v>0</v>
      </c>
      <c r="AD50" s="248">
        <f t="shared" si="105"/>
        <v>0.95633900412963735</v>
      </c>
      <c r="AE50" s="249">
        <f t="shared" si="105"/>
        <v>0.27236456793633779</v>
      </c>
      <c r="AF50" s="248">
        <f t="shared" si="105"/>
        <v>0</v>
      </c>
      <c r="AG50" s="248">
        <f t="shared" si="105"/>
        <v>0</v>
      </c>
      <c r="AH50" s="248">
        <f t="shared" si="105"/>
        <v>0</v>
      </c>
      <c r="AI50" s="248">
        <f t="shared" si="105"/>
        <v>1.7274434723602259</v>
      </c>
      <c r="AJ50" s="249">
        <f t="shared" si="105"/>
        <v>0.23736334362314643</v>
      </c>
      <c r="AK50" s="248">
        <f t="shared" si="105"/>
        <v>0</v>
      </c>
      <c r="AL50" s="248">
        <f t="shared" si="105"/>
        <v>0</v>
      </c>
      <c r="AM50" s="248">
        <f t="shared" si="105"/>
        <v>0</v>
      </c>
      <c r="AN50" s="248">
        <f t="shared" si="105"/>
        <v>0.65235850357014857</v>
      </c>
      <c r="AO50" s="249">
        <f t="shared" ref="AO50:AT50" si="106">AO49/AO47</f>
        <v>0.23749877050249812</v>
      </c>
      <c r="AP50" s="248">
        <f t="shared" si="106"/>
        <v>0</v>
      </c>
      <c r="AQ50" s="248">
        <f t="shared" si="106"/>
        <v>0</v>
      </c>
      <c r="AR50" s="248">
        <f t="shared" si="106"/>
        <v>0</v>
      </c>
      <c r="AS50" s="248">
        <f t="shared" si="106"/>
        <v>0.62953328355452787</v>
      </c>
      <c r="AT50" s="249">
        <f t="shared" si="106"/>
        <v>0.23754976156861796</v>
      </c>
      <c r="AU50" s="248">
        <f t="shared" si="105"/>
        <v>0.28913600379346438</v>
      </c>
      <c r="AV50" s="248">
        <f t="shared" si="105"/>
        <v>0</v>
      </c>
      <c r="AW50" s="248">
        <f t="shared" si="105"/>
        <v>0</v>
      </c>
      <c r="AX50" s="248">
        <f t="shared" si="105"/>
        <v>0.935920053473006</v>
      </c>
      <c r="AY50" s="249">
        <f t="shared" ref="AY50:BI50" si="107">AY49/AY47</f>
        <v>0.30978687825462381</v>
      </c>
      <c r="AZ50" s="248">
        <f t="shared" si="107"/>
        <v>0</v>
      </c>
      <c r="BA50" s="248">
        <f t="shared" si="107"/>
        <v>0</v>
      </c>
      <c r="BB50" s="248">
        <f t="shared" si="107"/>
        <v>0</v>
      </c>
      <c r="BC50" s="248">
        <f t="shared" si="107"/>
        <v>1.0472127607100246</v>
      </c>
      <c r="BD50" s="249">
        <f t="shared" si="107"/>
        <v>0.23749998110352397</v>
      </c>
      <c r="BE50" s="248">
        <f t="shared" si="107"/>
        <v>0</v>
      </c>
      <c r="BF50" s="248">
        <f t="shared" si="107"/>
        <v>0</v>
      </c>
      <c r="BG50" s="248">
        <f t="shared" si="107"/>
        <v>0</v>
      </c>
      <c r="BH50" s="248">
        <f t="shared" si="107"/>
        <v>1.0850021934075351</v>
      </c>
      <c r="BI50" s="249">
        <f t="shared" si="107"/>
        <v>0.23750111656989728</v>
      </c>
      <c r="BJ50" s="248">
        <f t="shared" ref="BJ50:CC50" si="108">BJ49/BJ47</f>
        <v>0</v>
      </c>
      <c r="BK50" s="248">
        <f t="shared" si="108"/>
        <v>0</v>
      </c>
      <c r="BL50" s="248">
        <f t="shared" si="108"/>
        <v>0</v>
      </c>
      <c r="BM50" s="248">
        <f t="shared" si="108"/>
        <v>1.1620625670643001</v>
      </c>
      <c r="BN50" s="249">
        <f t="shared" si="108"/>
        <v>0.23749987702177705</v>
      </c>
      <c r="BO50" s="248">
        <f t="shared" si="108"/>
        <v>0</v>
      </c>
      <c r="BP50" s="248">
        <f t="shared" si="108"/>
        <v>0</v>
      </c>
      <c r="BQ50" s="248">
        <f t="shared" si="108"/>
        <v>0</v>
      </c>
      <c r="BR50" s="248">
        <f t="shared" si="108"/>
        <v>0</v>
      </c>
      <c r="BS50" s="249">
        <f t="shared" si="108"/>
        <v>0</v>
      </c>
      <c r="BT50" s="248">
        <f t="shared" si="108"/>
        <v>0</v>
      </c>
      <c r="BU50" s="248">
        <f t="shared" si="108"/>
        <v>-7.0330906917044693</v>
      </c>
      <c r="BV50" s="248">
        <f t="shared" si="108"/>
        <v>0</v>
      </c>
      <c r="BW50" s="248">
        <f t="shared" si="108"/>
        <v>1.9808631395819518</v>
      </c>
      <c r="BX50" s="249">
        <f t="shared" si="108"/>
        <v>-5.0970212059789244</v>
      </c>
      <c r="BY50" s="248">
        <f t="shared" si="108"/>
        <v>0</v>
      </c>
      <c r="BZ50" s="248">
        <f t="shared" si="108"/>
        <v>0</v>
      </c>
      <c r="CA50" s="248">
        <f t="shared" si="108"/>
        <v>2.8740312119789619</v>
      </c>
      <c r="CB50" s="248">
        <f t="shared" si="108"/>
        <v>2.6806956405187146</v>
      </c>
      <c r="CC50" s="249">
        <f t="shared" si="108"/>
        <v>1.6833276020036407</v>
      </c>
      <c r="CD50" s="248">
        <f t="shared" ref="CD50:DG50" si="109">CD49/CD47</f>
        <v>0</v>
      </c>
      <c r="CE50" s="248">
        <f t="shared" si="109"/>
        <v>0</v>
      </c>
      <c r="CF50" s="248">
        <f t="shared" si="109"/>
        <v>7.037957191752757E-2</v>
      </c>
      <c r="CG50" s="248">
        <f t="shared" si="109"/>
        <v>2.2968177589949126</v>
      </c>
      <c r="CH50" s="249">
        <f t="shared" si="109"/>
        <v>0.39696585163084047</v>
      </c>
      <c r="CI50" s="248">
        <f t="shared" si="109"/>
        <v>0</v>
      </c>
      <c r="CJ50" s="248">
        <f t="shared" si="109"/>
        <v>1.5659239420318085</v>
      </c>
      <c r="CK50" s="248">
        <f t="shared" si="109"/>
        <v>0</v>
      </c>
      <c r="CL50" s="248">
        <f t="shared" si="109"/>
        <v>0</v>
      </c>
      <c r="CM50" s="249">
        <f t="shared" si="109"/>
        <v>0.45721954656561187</v>
      </c>
      <c r="CN50" s="248">
        <f t="shared" si="109"/>
        <v>0</v>
      </c>
      <c r="CO50" s="248">
        <f t="shared" si="109"/>
        <v>1.440079497934309</v>
      </c>
      <c r="CP50" s="248">
        <f t="shared" si="109"/>
        <v>0</v>
      </c>
      <c r="CQ50" s="248">
        <f t="shared" si="109"/>
        <v>0</v>
      </c>
      <c r="CR50" s="249">
        <f t="shared" si="109"/>
        <v>0.2684695728043715</v>
      </c>
      <c r="CS50" s="248">
        <f t="shared" si="109"/>
        <v>0</v>
      </c>
      <c r="CT50" s="248">
        <f t="shared" si="109"/>
        <v>0.68761360921309311</v>
      </c>
      <c r="CU50" s="248">
        <f t="shared" si="109"/>
        <v>0</v>
      </c>
      <c r="CV50" s="248">
        <f t="shared" si="109"/>
        <v>0.50441870788103793</v>
      </c>
      <c r="CW50" s="249">
        <f>CW49/CW47</f>
        <v>0.33660152237047419</v>
      </c>
      <c r="CX50" s="248">
        <f>CX49/CX47</f>
        <v>0</v>
      </c>
      <c r="CY50" s="248">
        <f t="shared" si="109"/>
        <v>0</v>
      </c>
      <c r="CZ50" s="248">
        <f>CZ49/CZ47</f>
        <v>0</v>
      </c>
      <c r="DA50" s="248">
        <f t="shared" ref="DA50" si="110">DA49/DA47</f>
        <v>0.25169542035148762</v>
      </c>
      <c r="DB50" s="249">
        <f t="shared" si="109"/>
        <v>7.5803701161191422E-2</v>
      </c>
      <c r="DC50" s="248">
        <f t="shared" si="109"/>
        <v>0</v>
      </c>
      <c r="DD50" s="248">
        <f t="shared" si="109"/>
        <v>1.0098749635772433</v>
      </c>
      <c r="DE50" s="248">
        <f t="shared" si="109"/>
        <v>0</v>
      </c>
      <c r="DF50" s="248">
        <f t="shared" si="109"/>
        <v>1.4658414956273949</v>
      </c>
      <c r="DG50" s="249">
        <f t="shared" si="109"/>
        <v>0.69347572898748033</v>
      </c>
      <c r="DH50" s="248">
        <f>DH49/DH47</f>
        <v>0</v>
      </c>
      <c r="DI50" s="248">
        <f>DI49/DI47</f>
        <v>0</v>
      </c>
      <c r="DJ50" s="248">
        <f ca="1">DJ49/DJ47</f>
        <v>0</v>
      </c>
      <c r="DK50" s="248">
        <f ca="1">DK49/DK47</f>
        <v>0.8128624781789372</v>
      </c>
      <c r="DL50" s="249">
        <f ca="1">DL49/DL47</f>
        <v>0.26543406737896386</v>
      </c>
      <c r="DM50" s="248">
        <f t="shared" ref="DM50:EF50" ca="1" si="111">DM49/DM47</f>
        <v>0</v>
      </c>
      <c r="DN50" s="248">
        <f t="shared" ca="1" si="111"/>
        <v>0</v>
      </c>
      <c r="DO50" s="248">
        <f t="shared" ca="1" si="111"/>
        <v>1.7272040256862813</v>
      </c>
      <c r="DP50" s="248">
        <f t="shared" ca="1" si="111"/>
        <v>0</v>
      </c>
      <c r="DQ50" s="249">
        <f t="shared" ca="1" si="111"/>
        <v>0.42612603272535088</v>
      </c>
      <c r="DR50" s="248">
        <f t="shared" ca="1" si="111"/>
        <v>2.9014979685185494</v>
      </c>
      <c r="DS50" s="248">
        <f t="shared" ca="1" si="111"/>
        <v>0</v>
      </c>
      <c r="DT50" s="248">
        <f t="shared" ca="1" si="111"/>
        <v>0</v>
      </c>
      <c r="DU50" s="248">
        <f t="shared" ca="1" si="111"/>
        <v>0</v>
      </c>
      <c r="DV50" s="249">
        <f t="shared" ca="1" si="111"/>
        <v>0.75151114759844406</v>
      </c>
      <c r="DW50" s="248">
        <f t="shared" ca="1" si="111"/>
        <v>2.9251305642964653</v>
      </c>
      <c r="DX50" s="248">
        <f t="shared" ca="1" si="111"/>
        <v>0</v>
      </c>
      <c r="DY50" s="248">
        <f t="shared" ca="1" si="111"/>
        <v>0</v>
      </c>
      <c r="DZ50" s="248">
        <f t="shared" ca="1" si="111"/>
        <v>0</v>
      </c>
      <c r="EA50" s="249">
        <f t="shared" ca="1" si="111"/>
        <v>0.76359759506558089</v>
      </c>
      <c r="EB50" s="248">
        <f t="shared" ca="1" si="111"/>
        <v>2.8260362990341408</v>
      </c>
      <c r="EC50" s="248">
        <f t="shared" ca="1" si="111"/>
        <v>0</v>
      </c>
      <c r="ED50" s="248">
        <f t="shared" ca="1" si="111"/>
        <v>0</v>
      </c>
      <c r="EE50" s="248">
        <f t="shared" ca="1" si="111"/>
        <v>0</v>
      </c>
      <c r="EF50" s="249">
        <f t="shared" ca="1" si="111"/>
        <v>0.72812038835170623</v>
      </c>
    </row>
    <row r="51" spans="1:138" ht="12.75" customHeight="1">
      <c r="I51" s="265"/>
      <c r="J51" s="266"/>
      <c r="AP51" s="122">
        <f>AP27/AVERAGE('Balance Sheet'!AO9:AP9)</f>
        <v>1.0322318952035508E-2</v>
      </c>
      <c r="AQ51" s="122">
        <f>AQ27/AVERAGE('Balance Sheet'!AP9:AQ9)</f>
        <v>1.3302846398289254E-2</v>
      </c>
      <c r="AR51" s="122">
        <f>AR27/AVERAGE('Balance Sheet'!AQ9:AR9)</f>
        <v>1.6919147933742819E-3</v>
      </c>
      <c r="AS51" s="122">
        <f>AS27/AVERAGE('Balance Sheet'!AR9:AS9)</f>
        <v>-2.1212290689138621E-3</v>
      </c>
      <c r="AT51" s="91"/>
      <c r="AU51" s="122"/>
      <c r="AV51" s="122"/>
      <c r="AX51" s="114"/>
      <c r="AY51" s="91"/>
      <c r="BD51" s="91"/>
      <c r="BE51" s="131"/>
      <c r="BF51" s="131"/>
      <c r="BG51" s="131"/>
      <c r="BH51" s="220"/>
      <c r="BI51" s="91"/>
      <c r="BJ51" s="131"/>
      <c r="BK51" s="131"/>
      <c r="BL51" s="131"/>
      <c r="BM51" s="220"/>
      <c r="BN51" s="89">
        <f>BN47*0.25</f>
        <v>37838</v>
      </c>
      <c r="BO51" s="131"/>
      <c r="BP51" s="131"/>
      <c r="BQ51" s="131"/>
      <c r="BR51" s="220"/>
      <c r="BS51" s="91">
        <f>BN51/4000</f>
        <v>9.4595000000000002</v>
      </c>
      <c r="BT51" s="131"/>
      <c r="BU51" s="131"/>
      <c r="BV51" s="131"/>
      <c r="BW51" s="220"/>
      <c r="BX51" s="91"/>
      <c r="BY51" s="131"/>
      <c r="BZ51" s="104"/>
      <c r="CA51" s="79"/>
      <c r="CB51" s="220"/>
      <c r="CC51" s="91"/>
      <c r="CD51" s="131"/>
      <c r="CE51" s="104"/>
      <c r="CF51" s="349"/>
      <c r="CG51" s="220"/>
      <c r="CH51" s="91"/>
      <c r="CI51" s="131"/>
      <c r="CJ51" s="131"/>
      <c r="CK51" s="339"/>
      <c r="CL51" s="220"/>
      <c r="CM51" s="111">
        <f>CM47/AVERAGE('Balance Sheet'!CI43:CL43)</f>
        <v>0.15204328192197222</v>
      </c>
      <c r="CO51" s="122"/>
      <c r="CP51" s="131"/>
      <c r="CQ51" s="220"/>
      <c r="CR51" s="111">
        <f>CR47/AVERAGE('Balance Sheet'!CN43:CQ43)</f>
        <v>0.12399075388403283</v>
      </c>
      <c r="CS51" s="131"/>
      <c r="CT51" s="131"/>
      <c r="CU51" s="131"/>
      <c r="CV51" s="220"/>
      <c r="CW51" s="111">
        <f>CW47/AVERAGE('Balance Sheet'!CS43:CV43)</f>
        <v>0.12471835143915465</v>
      </c>
      <c r="CX51" s="131"/>
      <c r="CY51" s="122"/>
      <c r="CZ51" s="571"/>
      <c r="DA51" s="571"/>
      <c r="DB51" s="111">
        <f>DB47/AVERAGE('Balance Sheet'!CX43:DA43)</f>
        <v>0.19367697749489204</v>
      </c>
      <c r="DC51" s="131"/>
      <c r="DD51" s="131"/>
      <c r="DE51" s="131"/>
      <c r="DF51" s="220"/>
      <c r="DG51" s="111">
        <f>DG47/AVERAGE('Balance Sheet'!DC43:DF43)</f>
        <v>0.20169720643545591</v>
      </c>
      <c r="DH51" s="131"/>
      <c r="DI51" s="131"/>
      <c r="DJ51" s="131"/>
      <c r="DK51" s="220"/>
      <c r="DL51" s="111">
        <f ca="1">DL47/AVERAGE('Balance Sheet'!DH43:DK43)</f>
        <v>0.16693164505242986</v>
      </c>
      <c r="DM51" s="131"/>
      <c r="DN51" s="131"/>
      <c r="DO51" s="131"/>
      <c r="DP51" s="220"/>
      <c r="DQ51" s="111">
        <f ca="1">DQ47/AVERAGE('Balance Sheet'!DM43:DP43)</f>
        <v>0.17451720821040001</v>
      </c>
      <c r="DR51" s="131"/>
      <c r="DS51" s="131"/>
      <c r="DT51" s="131"/>
      <c r="DU51" s="220"/>
      <c r="DV51" s="111">
        <f ca="1">DV47/AVERAGE('Balance Sheet'!DR43:DU43)</f>
        <v>0.18473221897008366</v>
      </c>
      <c r="DW51" s="131"/>
      <c r="DX51" s="131"/>
      <c r="DY51" s="131"/>
      <c r="DZ51" s="220"/>
      <c r="EA51" s="91"/>
      <c r="EB51" s="131"/>
      <c r="EC51" s="131"/>
      <c r="ED51" s="131"/>
      <c r="EE51" s="220"/>
      <c r="EF51" s="91"/>
    </row>
    <row r="52" spans="1:138" s="70" customFormat="1" ht="12.75" customHeight="1" thickBot="1">
      <c r="A52" s="69" t="s">
        <v>702</v>
      </c>
      <c r="B52" s="93" t="str">
        <f>Macro!B$3</f>
        <v>1Q04</v>
      </c>
      <c r="C52" s="93" t="str">
        <f>Macro!C$3</f>
        <v>2Q04</v>
      </c>
      <c r="D52" s="93" t="str">
        <f>Macro!D$3</f>
        <v>3Q04</v>
      </c>
      <c r="E52" s="93" t="str">
        <f>Macro!E$3</f>
        <v>4Q04</v>
      </c>
      <c r="F52" s="92" t="str">
        <f>Macro!F$3</f>
        <v>2004</v>
      </c>
      <c r="G52" s="93" t="str">
        <f>Macro!G$3</f>
        <v>1Q05</v>
      </c>
      <c r="H52" s="93" t="str">
        <f>Macro!H$3</f>
        <v>2Q05</v>
      </c>
      <c r="I52" s="93" t="str">
        <f>Macro!I$3</f>
        <v>3Q05</v>
      </c>
      <c r="J52" s="93" t="str">
        <f>Macro!J$3</f>
        <v>4Q05</v>
      </c>
      <c r="K52" s="92" t="str">
        <f>Macro!K$3</f>
        <v>2005</v>
      </c>
      <c r="L52" s="93" t="str">
        <f>Macro!L$3</f>
        <v>1Q06</v>
      </c>
      <c r="M52" s="93" t="str">
        <f>Macro!M$3</f>
        <v>2Q06</v>
      </c>
      <c r="N52" s="93" t="str">
        <f>Macro!N$3</f>
        <v>3Q06</v>
      </c>
      <c r="O52" s="94" t="str">
        <f>Macro!O$3</f>
        <v>4Q06</v>
      </c>
      <c r="P52" s="92" t="str">
        <f>Macro!P$3</f>
        <v>2006</v>
      </c>
      <c r="Q52" s="93" t="str">
        <f>Macro!Q$3</f>
        <v>1Q07</v>
      </c>
      <c r="R52" s="93" t="str">
        <f>Macro!R$3</f>
        <v>2Q07</v>
      </c>
      <c r="S52" s="93" t="str">
        <f>Macro!S$3</f>
        <v>3Q07</v>
      </c>
      <c r="T52" s="94" t="str">
        <f>Macro!T$3</f>
        <v>4Q07</v>
      </c>
      <c r="U52" s="92" t="str">
        <f>Macro!U$3</f>
        <v>2007</v>
      </c>
      <c r="V52" s="93" t="str">
        <f>Macro!V$3</f>
        <v>1Q08</v>
      </c>
      <c r="W52" s="93" t="str">
        <f>Macro!W$3</f>
        <v>2Q08</v>
      </c>
      <c r="X52" s="93" t="str">
        <f>Macro!X$3</f>
        <v>3Q08</v>
      </c>
      <c r="Y52" s="94" t="str">
        <f>Macro!Y$3</f>
        <v>4Q08</v>
      </c>
      <c r="Z52" s="92" t="str">
        <f>Macro!Z$3</f>
        <v>2008</v>
      </c>
      <c r="AA52" s="93" t="str">
        <f>Macro!AA$3</f>
        <v>1Q09</v>
      </c>
      <c r="AB52" s="93" t="str">
        <f>Macro!AB$3</f>
        <v>2Q09</v>
      </c>
      <c r="AC52" s="93" t="str">
        <f>Macro!AC$3</f>
        <v>3Q09</v>
      </c>
      <c r="AD52" s="94" t="str">
        <f>Macro!AD$3</f>
        <v>4Q09</v>
      </c>
      <c r="AE52" s="92" t="str">
        <f>Macro!AE$3</f>
        <v>2009</v>
      </c>
      <c r="AF52" s="93" t="str">
        <f>Macro!AF$3</f>
        <v>1Q10</v>
      </c>
      <c r="AG52" s="93" t="str">
        <f>Macro!AG$3</f>
        <v>2Q10</v>
      </c>
      <c r="AH52" s="93" t="str">
        <f>Macro!AH$3</f>
        <v>3Q10</v>
      </c>
      <c r="AI52" s="94" t="str">
        <f>Macro!AI$3</f>
        <v>4Q10</v>
      </c>
      <c r="AJ52" s="92" t="str">
        <f>Macro!AJ$3</f>
        <v>2010</v>
      </c>
      <c r="AK52" s="93" t="str">
        <f>Macro!AK$3</f>
        <v>1Q11</v>
      </c>
      <c r="AL52" s="93" t="str">
        <f>Macro!AL$3</f>
        <v>2Q11</v>
      </c>
      <c r="AM52" s="93" t="str">
        <f>Macro!AM$3</f>
        <v>3Q11</v>
      </c>
      <c r="AN52" s="94" t="str">
        <f>Macro!AN$3</f>
        <v>4Q11</v>
      </c>
      <c r="AO52" s="92" t="str">
        <f>Macro!AO$3</f>
        <v>2011</v>
      </c>
      <c r="AP52" s="310" t="str">
        <f>Macro!AP$3</f>
        <v>1Q12</v>
      </c>
      <c r="AQ52" s="310" t="str">
        <f>Macro!AQ$3</f>
        <v>2Q12</v>
      </c>
      <c r="AR52" s="310" t="str">
        <f>Macro!AR$3</f>
        <v>3Q12</v>
      </c>
      <c r="AS52" s="310" t="str">
        <f>Macro!AS$3</f>
        <v>4Q12</v>
      </c>
      <c r="AT52" s="311" t="str">
        <f>Macro!AT$3</f>
        <v>2012</v>
      </c>
      <c r="AU52" s="310" t="str">
        <f>Macro!AU$3</f>
        <v>1Q13</v>
      </c>
      <c r="AV52" s="310" t="str">
        <f>Macro!AV$3</f>
        <v>2Q13</v>
      </c>
      <c r="AW52" s="310" t="str">
        <f>Macro!AW$3</f>
        <v>3Q13</v>
      </c>
      <c r="AX52" s="310" t="str">
        <f>Macro!AX$3</f>
        <v>4Q13</v>
      </c>
      <c r="AY52" s="311" t="str">
        <f>Macro!AY$3</f>
        <v>2013</v>
      </c>
      <c r="AZ52" s="310" t="str">
        <f>Macro!AZ$3</f>
        <v>1Q14</v>
      </c>
      <c r="BA52" s="310" t="str">
        <f>Macro!BA$3</f>
        <v>2Q14</v>
      </c>
      <c r="BB52" s="310" t="str">
        <f>Macro!BB$3</f>
        <v>3Q14</v>
      </c>
      <c r="BC52" s="310" t="str">
        <f>Macro!BC$3</f>
        <v>4Q14</v>
      </c>
      <c r="BD52" s="311" t="str">
        <f>Macro!BD$3</f>
        <v>2014</v>
      </c>
      <c r="BE52" s="310" t="str">
        <f>Macro!BE$3</f>
        <v>1Q15</v>
      </c>
      <c r="BF52" s="310" t="str">
        <f>Macro!BF$3</f>
        <v>2Q15</v>
      </c>
      <c r="BG52" s="310" t="str">
        <f>Macro!BG$3</f>
        <v>3Q15</v>
      </c>
      <c r="BH52" s="310" t="str">
        <f>Macro!BH$3</f>
        <v>4Q15</v>
      </c>
      <c r="BI52" s="311" t="str">
        <f>Macro!BI$3</f>
        <v>2015</v>
      </c>
      <c r="BJ52" s="310" t="str">
        <f>Macro!BJ$3</f>
        <v>1Q16</v>
      </c>
      <c r="BK52" s="310" t="str">
        <f>Macro!BK$3</f>
        <v>2Q16</v>
      </c>
      <c r="BL52" s="310" t="str">
        <f>Macro!BL$3</f>
        <v>3Q16</v>
      </c>
      <c r="BM52" s="310" t="str">
        <f>Macro!BM$3</f>
        <v>4Q16</v>
      </c>
      <c r="BN52" s="311" t="str">
        <f>Macro!BN$3</f>
        <v>2016</v>
      </c>
      <c r="BO52" s="310" t="str">
        <f>Macro!BO$3</f>
        <v>1Q17</v>
      </c>
      <c r="BP52" s="310" t="str">
        <f>Macro!BP$3</f>
        <v>2Q17</v>
      </c>
      <c r="BQ52" s="310" t="str">
        <f>Macro!BQ$3</f>
        <v>3Q17</v>
      </c>
      <c r="BR52" s="310" t="str">
        <f>Macro!BR$3</f>
        <v>4Q17</v>
      </c>
      <c r="BS52" s="311" t="str">
        <f>Macro!BS$3</f>
        <v>2017</v>
      </c>
      <c r="BT52" s="310" t="str">
        <f>Macro!BT$3</f>
        <v>1Q18</v>
      </c>
      <c r="BU52" s="310" t="str">
        <f>Macro!BU$3</f>
        <v>2Q18</v>
      </c>
      <c r="BV52" s="310" t="str">
        <f>Macro!BV$3</f>
        <v>3Q18</v>
      </c>
      <c r="BW52" s="310" t="str">
        <f>Macro!BW$3</f>
        <v>4Q18</v>
      </c>
      <c r="BX52" s="311" t="str">
        <f>Macro!BX$3</f>
        <v>2018</v>
      </c>
      <c r="BY52" s="310" t="str">
        <f>Macro!BY$3</f>
        <v>1Q19</v>
      </c>
      <c r="BZ52" s="310" t="str">
        <f>Macro!BZ$3</f>
        <v>2Q19</v>
      </c>
      <c r="CA52" s="310" t="str">
        <f>Macro!CA$3</f>
        <v>3Q19</v>
      </c>
      <c r="CB52" s="310" t="str">
        <f>Macro!CB$3</f>
        <v>4Q19</v>
      </c>
      <c r="CC52" s="311" t="str">
        <f>Macro!CC$3</f>
        <v>2019</v>
      </c>
      <c r="CD52" s="310" t="str">
        <f>Macro!CD$3</f>
        <v>1Q20</v>
      </c>
      <c r="CE52" s="310" t="str">
        <f>Macro!CE$3</f>
        <v>2Q20</v>
      </c>
      <c r="CF52" s="310" t="str">
        <f>Macro!CF$3</f>
        <v>3Q20</v>
      </c>
      <c r="CG52" s="310" t="str">
        <f>Macro!CG$3</f>
        <v>4Q20</v>
      </c>
      <c r="CH52" s="311" t="str">
        <f>Macro!CH$3</f>
        <v>2020</v>
      </c>
      <c r="CI52" s="310" t="str">
        <f>Macro!CI$3</f>
        <v>1Q21</v>
      </c>
      <c r="CJ52" s="310" t="str">
        <f>Macro!CJ$3</f>
        <v>2Q21</v>
      </c>
      <c r="CK52" s="310" t="str">
        <f>Macro!CK$3</f>
        <v>3Q21</v>
      </c>
      <c r="CL52" s="310" t="str">
        <f>Macro!CL$3</f>
        <v>4Q21</v>
      </c>
      <c r="CM52" s="311" t="str">
        <f>Macro!CM$3</f>
        <v>2021</v>
      </c>
      <c r="CN52" s="310" t="str">
        <f>Macro!CN$3</f>
        <v>1Q22</v>
      </c>
      <c r="CO52" s="310" t="str">
        <f>Macro!CO$3</f>
        <v>2Q22</v>
      </c>
      <c r="CP52" s="310" t="str">
        <f>Macro!CP$3</f>
        <v>3Q22</v>
      </c>
      <c r="CQ52" s="310" t="str">
        <f>Macro!CQ$3</f>
        <v>4Q22</v>
      </c>
      <c r="CR52" s="311" t="str">
        <f>Macro!CR$3</f>
        <v>2022</v>
      </c>
      <c r="CS52" s="310" t="str">
        <f>Macro!CS$3</f>
        <v>1Q23</v>
      </c>
      <c r="CT52" s="310" t="str">
        <f>Macro!CT$3</f>
        <v>2Q23</v>
      </c>
      <c r="CU52" s="310" t="str">
        <f>Macro!CU$3</f>
        <v>3Q23</v>
      </c>
      <c r="CV52" s="310" t="str">
        <f>Macro!CV$3</f>
        <v>4Q23</v>
      </c>
      <c r="CW52" s="311" t="str">
        <f>Macro!CW$3</f>
        <v>2023</v>
      </c>
      <c r="CX52" s="310" t="str">
        <f>Macro!CX$3</f>
        <v>1Q24</v>
      </c>
      <c r="CY52" s="310" t="str">
        <f>Macro!CY$3</f>
        <v>2Q24</v>
      </c>
      <c r="CZ52" s="310" t="str">
        <f>Macro!CZ$3</f>
        <v>3Q24</v>
      </c>
      <c r="DA52" s="310" t="str">
        <f>Macro!DA$3</f>
        <v>4Q24</v>
      </c>
      <c r="DB52" s="311" t="str">
        <f>Macro!DB$3</f>
        <v>2024</v>
      </c>
      <c r="DC52" s="310" t="str">
        <f>Macro!DC$3</f>
        <v>1Q25</v>
      </c>
      <c r="DD52" s="310" t="str">
        <f>Macro!DD$3</f>
        <v>2Q25</v>
      </c>
      <c r="DE52" s="310" t="str">
        <f>Macro!DE$3</f>
        <v>3Q25</v>
      </c>
      <c r="DF52" s="310" t="str">
        <f>Macro!DF$3</f>
        <v>4Q25</v>
      </c>
      <c r="DG52" s="311" t="str">
        <f>Macro!DG$3</f>
        <v>2025</v>
      </c>
      <c r="DH52" s="310" t="str">
        <f>Macro!DH$3</f>
        <v>1Q26</v>
      </c>
      <c r="DI52" s="310" t="str">
        <f>Macro!DI$3</f>
        <v>2Q26</v>
      </c>
      <c r="DJ52" s="310" t="str">
        <f>Macro!DJ$3</f>
        <v>3Q26E</v>
      </c>
      <c r="DK52" s="310" t="str">
        <f>Macro!DK$3</f>
        <v>4Q26E</v>
      </c>
      <c r="DL52" s="311" t="str">
        <f>Macro!DL$3</f>
        <v>2026E</v>
      </c>
      <c r="DM52" s="310" t="str">
        <f>Macro!DM$3</f>
        <v>1Q27E</v>
      </c>
      <c r="DN52" s="310" t="str">
        <f>Macro!DN$3</f>
        <v>2Q27E</v>
      </c>
      <c r="DO52" s="310" t="str">
        <f>Macro!DO$3</f>
        <v>3Q27E</v>
      </c>
      <c r="DP52" s="310" t="str">
        <f>Macro!DP$3</f>
        <v>4Q27E</v>
      </c>
      <c r="DQ52" s="311" t="str">
        <f>Macro!DQ$3</f>
        <v>2027E</v>
      </c>
      <c r="DR52" s="310" t="str">
        <f>Macro!DR$3</f>
        <v>1Q28E</v>
      </c>
      <c r="DS52" s="310" t="str">
        <f>Macro!DS$3</f>
        <v>2Q28E</v>
      </c>
      <c r="DT52" s="310" t="str">
        <f>Macro!DT$3</f>
        <v>3Q28E</v>
      </c>
      <c r="DU52" s="310" t="str">
        <f>Macro!DU$3</f>
        <v>4Q28E</v>
      </c>
      <c r="DV52" s="311" t="str">
        <f>Macro!DV$3</f>
        <v>2028E</v>
      </c>
      <c r="DW52" s="310" t="str">
        <f>Macro!DW$3</f>
        <v>1Q29E</v>
      </c>
      <c r="DX52" s="310" t="str">
        <f>Macro!DX$3</f>
        <v>2Q29E</v>
      </c>
      <c r="DY52" s="310" t="str">
        <f>Macro!DY$3</f>
        <v>3Q29E</v>
      </c>
      <c r="DZ52" s="310" t="str">
        <f>Macro!DZ$3</f>
        <v>4Q29E</v>
      </c>
      <c r="EA52" s="311" t="str">
        <f>Macro!EA$3</f>
        <v>2029E</v>
      </c>
      <c r="EB52" s="310" t="str">
        <f>Macro!EB$3</f>
        <v>1Q30E</v>
      </c>
      <c r="EC52" s="310" t="str">
        <f>Macro!EC$3</f>
        <v>2Q30E</v>
      </c>
      <c r="ED52" s="310" t="str">
        <f>Macro!ED$3</f>
        <v>3Q30E</v>
      </c>
      <c r="EE52" s="310" t="str">
        <f>Macro!EE$3</f>
        <v>4Q30E</v>
      </c>
      <c r="EF52" s="311" t="str">
        <f>Macro!EF$3</f>
        <v>2030E</v>
      </c>
    </row>
    <row r="53" spans="1:138" s="68" customFormat="1" ht="12.75" customHeight="1">
      <c r="A53" s="120" t="s">
        <v>0</v>
      </c>
      <c r="B53" s="236">
        <f t="shared" ref="B53:AG53" si="112">B10</f>
        <v>109605.5</v>
      </c>
      <c r="C53" s="236">
        <f t="shared" si="112"/>
        <v>109605.5</v>
      </c>
      <c r="D53" s="236">
        <f t="shared" si="112"/>
        <v>122710</v>
      </c>
      <c r="E53" s="236">
        <f t="shared" si="112"/>
        <v>182516</v>
      </c>
      <c r="F53" s="237">
        <f t="shared" si="112"/>
        <v>524437</v>
      </c>
      <c r="G53" s="236">
        <f t="shared" si="112"/>
        <v>170139</v>
      </c>
      <c r="H53" s="236">
        <f t="shared" si="112"/>
        <v>142705</v>
      </c>
      <c r="I53" s="236">
        <f t="shared" si="112"/>
        <v>252951</v>
      </c>
      <c r="J53" s="236">
        <f t="shared" si="112"/>
        <v>123053</v>
      </c>
      <c r="K53" s="237">
        <f t="shared" si="112"/>
        <v>688848</v>
      </c>
      <c r="L53" s="236">
        <f t="shared" si="112"/>
        <v>231079</v>
      </c>
      <c r="M53" s="236">
        <f t="shared" si="112"/>
        <v>262002</v>
      </c>
      <c r="N53" s="236">
        <f t="shared" si="112"/>
        <v>232815</v>
      </c>
      <c r="O53" s="236">
        <f t="shared" si="112"/>
        <v>390785</v>
      </c>
      <c r="P53" s="237">
        <f t="shared" si="112"/>
        <v>1116681</v>
      </c>
      <c r="Q53" s="236">
        <f t="shared" si="112"/>
        <v>287491</v>
      </c>
      <c r="R53" s="236">
        <f t="shared" si="112"/>
        <v>371296</v>
      </c>
      <c r="S53" s="236">
        <f t="shared" si="112"/>
        <v>414824</v>
      </c>
      <c r="T53" s="236">
        <f t="shared" si="112"/>
        <v>924928</v>
      </c>
      <c r="U53" s="237">
        <f t="shared" si="112"/>
        <v>1998539</v>
      </c>
      <c r="V53" s="236">
        <f t="shared" si="112"/>
        <v>550845</v>
      </c>
      <c r="W53" s="236">
        <f t="shared" si="112"/>
        <v>794881</v>
      </c>
      <c r="X53" s="236">
        <f t="shared" si="112"/>
        <v>750717</v>
      </c>
      <c r="Y53" s="236">
        <f t="shared" si="112"/>
        <v>750998</v>
      </c>
      <c r="Z53" s="237">
        <f t="shared" si="112"/>
        <v>2847441</v>
      </c>
      <c r="AA53" s="236">
        <f t="shared" si="112"/>
        <v>671454</v>
      </c>
      <c r="AB53" s="236">
        <f t="shared" si="112"/>
        <v>875600</v>
      </c>
      <c r="AC53" s="236">
        <f t="shared" si="112"/>
        <v>1348868</v>
      </c>
      <c r="AD53" s="236">
        <f t="shared" si="112"/>
        <v>1191903</v>
      </c>
      <c r="AE53" s="237">
        <f t="shared" si="112"/>
        <v>4087825</v>
      </c>
      <c r="AF53" s="236">
        <f t="shared" si="112"/>
        <v>1132448</v>
      </c>
      <c r="AG53" s="236">
        <f t="shared" si="112"/>
        <v>1205835</v>
      </c>
      <c r="AH53" s="236">
        <f t="shared" ref="AH53:AX53" si="113">AH10</f>
        <v>1162549</v>
      </c>
      <c r="AI53" s="236">
        <f t="shared" si="113"/>
        <v>1389273</v>
      </c>
      <c r="AJ53" s="237">
        <f t="shared" si="113"/>
        <v>4890105</v>
      </c>
      <c r="AK53" s="236">
        <f t="shared" si="113"/>
        <v>1200742</v>
      </c>
      <c r="AL53" s="236">
        <f t="shared" si="113"/>
        <v>1382884</v>
      </c>
      <c r="AM53" s="236">
        <f t="shared" si="113"/>
        <v>1559602</v>
      </c>
      <c r="AN53" s="236">
        <f>AN10</f>
        <v>1983553</v>
      </c>
      <c r="AO53" s="237">
        <f t="shared" si="113"/>
        <v>6126781</v>
      </c>
      <c r="AP53" s="236">
        <f t="shared" si="113"/>
        <v>1466343</v>
      </c>
      <c r="AQ53" s="236">
        <f t="shared" si="113"/>
        <v>1385263</v>
      </c>
      <c r="AR53" s="236">
        <f>AR10</f>
        <v>1349952</v>
      </c>
      <c r="AS53" s="236">
        <f t="shared" si="113"/>
        <v>1431121</v>
      </c>
      <c r="AT53" s="237">
        <f t="shared" si="113"/>
        <v>5632679</v>
      </c>
      <c r="AU53" s="236">
        <f t="shared" si="113"/>
        <v>1215370</v>
      </c>
      <c r="AV53" s="236">
        <f>AV10</f>
        <v>1372419</v>
      </c>
      <c r="AW53" s="236">
        <f>AW10</f>
        <v>1394448</v>
      </c>
      <c r="AX53" s="236">
        <f t="shared" si="113"/>
        <v>1389645</v>
      </c>
      <c r="AY53" s="237">
        <f t="shared" ref="AY53:CC53" si="114">AY10</f>
        <v>5371882</v>
      </c>
      <c r="AZ53" s="236">
        <f t="shared" si="114"/>
        <v>1315362</v>
      </c>
      <c r="BA53" s="236">
        <f t="shared" si="114"/>
        <v>1358331</v>
      </c>
      <c r="BB53" s="236">
        <f t="shared" si="114"/>
        <v>1613696</v>
      </c>
      <c r="BC53" s="236">
        <f t="shared" si="114"/>
        <v>1530538</v>
      </c>
      <c r="BD53" s="237">
        <f t="shared" si="114"/>
        <v>5817927</v>
      </c>
      <c r="BE53" s="236">
        <f t="shared" si="114"/>
        <v>1035214</v>
      </c>
      <c r="BF53" s="236">
        <f t="shared" si="114"/>
        <v>1137683</v>
      </c>
      <c r="BG53" s="236">
        <f t="shared" si="114"/>
        <v>1137733</v>
      </c>
      <c r="BH53" s="236">
        <f t="shared" si="114"/>
        <v>1030554</v>
      </c>
      <c r="BI53" s="237">
        <f t="shared" si="114"/>
        <v>4341184</v>
      </c>
      <c r="BJ53" s="236">
        <f t="shared" si="114"/>
        <v>810706</v>
      </c>
      <c r="BK53" s="236">
        <f t="shared" si="114"/>
        <v>641033</v>
      </c>
      <c r="BL53" s="236">
        <f t="shared" si="114"/>
        <v>824807</v>
      </c>
      <c r="BM53" s="236">
        <f t="shared" si="114"/>
        <v>918764</v>
      </c>
      <c r="BN53" s="237">
        <f t="shared" si="114"/>
        <v>3195310</v>
      </c>
      <c r="BO53" s="236">
        <f t="shared" si="114"/>
        <v>692387</v>
      </c>
      <c r="BP53" s="236">
        <f t="shared" si="114"/>
        <v>574756</v>
      </c>
      <c r="BQ53" s="236">
        <f t="shared" si="114"/>
        <v>597827</v>
      </c>
      <c r="BR53" s="236">
        <f>BR10</f>
        <v>808800</v>
      </c>
      <c r="BS53" s="237">
        <f t="shared" si="114"/>
        <v>2673770</v>
      </c>
      <c r="BT53" s="236">
        <f t="shared" si="114"/>
        <v>450622</v>
      </c>
      <c r="BU53" s="236">
        <f t="shared" si="114"/>
        <v>639539</v>
      </c>
      <c r="BV53" s="236">
        <f t="shared" si="114"/>
        <v>724825</v>
      </c>
      <c r="BW53" s="236">
        <f t="shared" si="114"/>
        <v>1077171</v>
      </c>
      <c r="BX53" s="237">
        <f t="shared" si="114"/>
        <v>2892157</v>
      </c>
      <c r="BY53" s="236">
        <f t="shared" si="114"/>
        <v>826236</v>
      </c>
      <c r="BZ53" s="236">
        <f>BZ10</f>
        <v>936622</v>
      </c>
      <c r="CA53" s="236">
        <f t="shared" si="114"/>
        <v>934759</v>
      </c>
      <c r="CB53" s="236">
        <f t="shared" si="114"/>
        <v>1233206</v>
      </c>
      <c r="CC53" s="237">
        <f t="shared" si="114"/>
        <v>3930823</v>
      </c>
      <c r="CD53" s="236">
        <f t="shared" ref="CD53:DG53" si="115">CD10</f>
        <v>764755</v>
      </c>
      <c r="CE53" s="236">
        <f t="shared" si="115"/>
        <v>838808</v>
      </c>
      <c r="CF53" s="236">
        <f t="shared" si="115"/>
        <v>1163503</v>
      </c>
      <c r="CG53" s="236">
        <f t="shared" si="115"/>
        <v>1056630</v>
      </c>
      <c r="CH53" s="237">
        <f t="shared" si="115"/>
        <v>3823696</v>
      </c>
      <c r="CI53" s="236">
        <f t="shared" si="115"/>
        <v>1003732</v>
      </c>
      <c r="CJ53" s="236">
        <f>CJ10</f>
        <v>1182019</v>
      </c>
      <c r="CK53" s="236">
        <f>CK10</f>
        <v>1288339</v>
      </c>
      <c r="CL53" s="236">
        <f>CL10</f>
        <v>1316743</v>
      </c>
      <c r="CM53" s="237">
        <f t="shared" si="115"/>
        <v>4790833</v>
      </c>
      <c r="CN53" s="236">
        <f>CN10</f>
        <v>1231652</v>
      </c>
      <c r="CO53" s="236">
        <f t="shared" si="115"/>
        <v>1250083</v>
      </c>
      <c r="CP53" s="236">
        <f t="shared" si="115"/>
        <v>1559644</v>
      </c>
      <c r="CQ53" s="236">
        <f t="shared" si="115"/>
        <v>1370916</v>
      </c>
      <c r="CR53" s="237">
        <f t="shared" si="115"/>
        <v>5412295</v>
      </c>
      <c r="CS53" s="236">
        <f t="shared" si="115"/>
        <v>1283426</v>
      </c>
      <c r="CT53" s="236">
        <f>CT10</f>
        <v>1633055</v>
      </c>
      <c r="CU53" s="236">
        <f>CU10</f>
        <v>1625987</v>
      </c>
      <c r="CV53" s="236">
        <f>CV10</f>
        <v>1710231</v>
      </c>
      <c r="CW53" s="237">
        <f t="shared" si="115"/>
        <v>6252699</v>
      </c>
      <c r="CX53" s="236">
        <f>CX10</f>
        <v>1572911</v>
      </c>
      <c r="CY53" s="236">
        <f t="shared" si="115"/>
        <v>1856857</v>
      </c>
      <c r="CZ53" s="236">
        <f>CZ10</f>
        <v>2029651</v>
      </c>
      <c r="DA53" s="236">
        <f>DA10</f>
        <v>2506269</v>
      </c>
      <c r="DB53" s="237">
        <f t="shared" si="115"/>
        <v>7965688</v>
      </c>
      <c r="DC53" s="236">
        <f>DC10</f>
        <v>1952744</v>
      </c>
      <c r="DD53" s="236">
        <f t="shared" ref="DD53" si="116">DD10</f>
        <v>2107130</v>
      </c>
      <c r="DE53" s="236">
        <f>DE10</f>
        <v>2128446</v>
      </c>
      <c r="DF53" s="236">
        <f>DF10</f>
        <v>3235174</v>
      </c>
      <c r="DG53" s="237">
        <f t="shared" si="115"/>
        <v>9423494</v>
      </c>
      <c r="DH53" s="236">
        <f>DH10</f>
        <v>2025033</v>
      </c>
      <c r="DI53" s="236">
        <f t="shared" ref="DI53" si="117">DI10</f>
        <v>2480871</v>
      </c>
      <c r="DJ53" s="236">
        <f>DJ10</f>
        <v>2708733.2672731983</v>
      </c>
      <c r="DK53" s="236">
        <f>DK10</f>
        <v>3010033.5230367891</v>
      </c>
      <c r="DL53" s="237">
        <f>DL10</f>
        <v>10224670.790309988</v>
      </c>
      <c r="DM53" s="236">
        <f t="shared" ref="DM53:EF53" si="118">DM10</f>
        <v>2843770.2706364291</v>
      </c>
      <c r="DN53" s="236">
        <f t="shared" si="118"/>
        <v>2967657.9262733203</v>
      </c>
      <c r="DO53" s="236">
        <f t="shared" si="118"/>
        <v>3070691.3012823267</v>
      </c>
      <c r="DP53" s="236">
        <f t="shared" si="118"/>
        <v>3342250.4411360272</v>
      </c>
      <c r="DQ53" s="237">
        <f t="shared" si="118"/>
        <v>12224369.939328102</v>
      </c>
      <c r="DR53" s="236">
        <f t="shared" si="118"/>
        <v>3165342.1646056101</v>
      </c>
      <c r="DS53" s="236">
        <f t="shared" si="118"/>
        <v>3272657.0342581002</v>
      </c>
      <c r="DT53" s="236">
        <f t="shared" si="118"/>
        <v>3366828.0137094525</v>
      </c>
      <c r="DU53" s="236">
        <f t="shared" si="118"/>
        <v>3638725.8124398692</v>
      </c>
      <c r="DV53" s="237">
        <f t="shared" si="118"/>
        <v>13443553.025013033</v>
      </c>
      <c r="DW53" s="236">
        <f t="shared" si="118"/>
        <v>3435480.4488287922</v>
      </c>
      <c r="DX53" s="236">
        <f t="shared" si="118"/>
        <v>3540827.0266638249</v>
      </c>
      <c r="DY53" s="236">
        <f t="shared" si="118"/>
        <v>3630639.424268025</v>
      </c>
      <c r="DZ53" s="236">
        <f t="shared" si="118"/>
        <v>3908676.1545035569</v>
      </c>
      <c r="EA53" s="237">
        <f t="shared" si="118"/>
        <v>14515623.054264199</v>
      </c>
      <c r="EB53" s="236">
        <f t="shared" si="118"/>
        <v>3687266.8517388762</v>
      </c>
      <c r="EC53" s="236">
        <f t="shared" si="118"/>
        <v>3792910.0848370721</v>
      </c>
      <c r="ED53" s="236">
        <f t="shared" si="118"/>
        <v>3880156.9702551677</v>
      </c>
      <c r="EE53" s="236">
        <f t="shared" si="118"/>
        <v>4163532.8298615459</v>
      </c>
      <c r="EF53" s="237">
        <f t="shared" si="118"/>
        <v>15523866.736692661</v>
      </c>
    </row>
    <row r="54" spans="1:138" ht="12.75" customHeight="1">
      <c r="A54" s="104" t="s">
        <v>1</v>
      </c>
      <c r="B54" s="114">
        <f t="shared" ref="B54:AG54" si="119">B12+B14</f>
        <v>-64466.5</v>
      </c>
      <c r="C54" s="114">
        <f t="shared" si="119"/>
        <v>-64466.5</v>
      </c>
      <c r="D54" s="114">
        <f t="shared" si="119"/>
        <v>-69814</v>
      </c>
      <c r="E54" s="114">
        <f t="shared" si="119"/>
        <v>-113127</v>
      </c>
      <c r="F54" s="130">
        <f t="shared" si="119"/>
        <v>-311874</v>
      </c>
      <c r="G54" s="114">
        <f t="shared" si="119"/>
        <v>-87174</v>
      </c>
      <c r="H54" s="114">
        <f t="shared" si="119"/>
        <v>-72047</v>
      </c>
      <c r="I54" s="114">
        <f t="shared" si="119"/>
        <v>-132097</v>
      </c>
      <c r="J54" s="114">
        <f t="shared" si="119"/>
        <v>-78930</v>
      </c>
      <c r="K54" s="130">
        <f t="shared" si="119"/>
        <v>-370248</v>
      </c>
      <c r="L54" s="114">
        <f t="shared" si="119"/>
        <v>-127839</v>
      </c>
      <c r="M54" s="114">
        <f t="shared" si="119"/>
        <v>-146442</v>
      </c>
      <c r="N54" s="114">
        <f t="shared" si="119"/>
        <v>-133680</v>
      </c>
      <c r="O54" s="114">
        <f t="shared" si="119"/>
        <v>-237213</v>
      </c>
      <c r="P54" s="130">
        <f t="shared" si="119"/>
        <v>-645174</v>
      </c>
      <c r="Q54" s="114">
        <f t="shared" si="119"/>
        <v>-175293</v>
      </c>
      <c r="R54" s="114">
        <f t="shared" si="119"/>
        <v>-214924</v>
      </c>
      <c r="S54" s="114">
        <f t="shared" si="119"/>
        <v>-234337</v>
      </c>
      <c r="T54" s="114">
        <f t="shared" si="119"/>
        <v>-597013</v>
      </c>
      <c r="U54" s="130">
        <f t="shared" si="119"/>
        <v>-1221567</v>
      </c>
      <c r="V54" s="114">
        <f t="shared" si="119"/>
        <v>-331341</v>
      </c>
      <c r="W54" s="114">
        <f t="shared" si="119"/>
        <v>-484092</v>
      </c>
      <c r="X54" s="114">
        <f t="shared" si="119"/>
        <v>-436963</v>
      </c>
      <c r="Y54" s="114">
        <f t="shared" si="119"/>
        <v>-496299</v>
      </c>
      <c r="Z54" s="130">
        <f t="shared" si="119"/>
        <v>-1748695</v>
      </c>
      <c r="AA54" s="114">
        <f t="shared" si="119"/>
        <v>-410200</v>
      </c>
      <c r="AB54" s="114">
        <f t="shared" si="119"/>
        <v>-564105</v>
      </c>
      <c r="AC54" s="114">
        <f t="shared" si="119"/>
        <v>-879353</v>
      </c>
      <c r="AD54" s="114">
        <f t="shared" si="119"/>
        <v>-784961</v>
      </c>
      <c r="AE54" s="130">
        <f t="shared" si="119"/>
        <v>-2638619</v>
      </c>
      <c r="AF54" s="114">
        <f t="shared" si="119"/>
        <v>-728281</v>
      </c>
      <c r="AG54" s="114">
        <f t="shared" si="119"/>
        <v>-793472</v>
      </c>
      <c r="AH54" s="114">
        <f t="shared" ref="AH54:AX54" si="120">AH12+AH14</f>
        <v>-736494</v>
      </c>
      <c r="AI54" s="114">
        <f t="shared" si="120"/>
        <v>-999033</v>
      </c>
      <c r="AJ54" s="130">
        <f t="shared" si="120"/>
        <v>-3257280</v>
      </c>
      <c r="AK54" s="114">
        <f t="shared" si="120"/>
        <v>-832942</v>
      </c>
      <c r="AL54" s="114">
        <f t="shared" si="120"/>
        <v>-958024</v>
      </c>
      <c r="AM54" s="114">
        <f t="shared" si="120"/>
        <v>-1052896</v>
      </c>
      <c r="AN54" s="114">
        <f>AN12+AN14</f>
        <v>-1357233</v>
      </c>
      <c r="AO54" s="130">
        <f t="shared" si="120"/>
        <v>-4201095</v>
      </c>
      <c r="AP54" s="114">
        <f t="shared" si="120"/>
        <v>-965668</v>
      </c>
      <c r="AQ54" s="114">
        <f t="shared" si="120"/>
        <v>-938203</v>
      </c>
      <c r="AR54" s="114">
        <f>AR12+AR14</f>
        <v>-878633</v>
      </c>
      <c r="AS54" s="114">
        <f t="shared" si="120"/>
        <v>-853056</v>
      </c>
      <c r="AT54" s="130">
        <f t="shared" si="120"/>
        <v>-3635560</v>
      </c>
      <c r="AU54" s="114">
        <f t="shared" si="120"/>
        <v>-788371</v>
      </c>
      <c r="AV54" s="114">
        <f t="shared" si="120"/>
        <v>-892361</v>
      </c>
      <c r="AW54" s="114">
        <f>AW12+AW14</f>
        <v>-887418</v>
      </c>
      <c r="AX54" s="114">
        <f t="shared" si="120"/>
        <v>-858067</v>
      </c>
      <c r="AY54" s="130">
        <f t="shared" ref="AY54:CC54" si="121">AY12+AY14</f>
        <v>-3426217</v>
      </c>
      <c r="AZ54" s="114">
        <f t="shared" si="121"/>
        <v>-829155</v>
      </c>
      <c r="BA54" s="114">
        <f t="shared" si="121"/>
        <v>-852042</v>
      </c>
      <c r="BB54" s="114">
        <f t="shared" si="121"/>
        <v>-1079728</v>
      </c>
      <c r="BC54" s="114">
        <f t="shared" si="121"/>
        <v>-980528</v>
      </c>
      <c r="BD54" s="130">
        <f t="shared" si="121"/>
        <v>-3741453</v>
      </c>
      <c r="BE54" s="114">
        <f t="shared" si="121"/>
        <v>-630538</v>
      </c>
      <c r="BF54" s="114">
        <f t="shared" si="121"/>
        <v>-697792</v>
      </c>
      <c r="BG54" s="114">
        <f t="shared" si="121"/>
        <v>-700118</v>
      </c>
      <c r="BH54" s="114">
        <f t="shared" si="121"/>
        <v>-638656</v>
      </c>
      <c r="BI54" s="130">
        <f t="shared" si="121"/>
        <v>-2667104</v>
      </c>
      <c r="BJ54" s="114">
        <f t="shared" si="121"/>
        <v>-478088</v>
      </c>
      <c r="BK54" s="114">
        <f t="shared" si="121"/>
        <v>-339056</v>
      </c>
      <c r="BL54" s="114">
        <f t="shared" si="121"/>
        <v>-508230</v>
      </c>
      <c r="BM54" s="114">
        <f t="shared" si="121"/>
        <v>-604661</v>
      </c>
      <c r="BN54" s="130">
        <f t="shared" si="121"/>
        <v>-1930035</v>
      </c>
      <c r="BO54" s="114">
        <f t="shared" si="121"/>
        <v>-432489</v>
      </c>
      <c r="BP54" s="114">
        <f t="shared" si="121"/>
        <v>-373068</v>
      </c>
      <c r="BQ54" s="114">
        <f t="shared" si="121"/>
        <v>-411128</v>
      </c>
      <c r="BR54" s="114">
        <f>BR12+BR14</f>
        <v>-548606</v>
      </c>
      <c r="BS54" s="130">
        <f t="shared" si="121"/>
        <v>-1765291</v>
      </c>
      <c r="BT54" s="114">
        <f t="shared" si="121"/>
        <v>-300234</v>
      </c>
      <c r="BU54" s="114">
        <f t="shared" si="121"/>
        <v>-439262</v>
      </c>
      <c r="BV54" s="114">
        <f t="shared" si="121"/>
        <v>-487167</v>
      </c>
      <c r="BW54" s="114">
        <f t="shared" si="121"/>
        <v>-740850</v>
      </c>
      <c r="BX54" s="130">
        <f t="shared" si="121"/>
        <v>-1967513</v>
      </c>
      <c r="BY54" s="114">
        <f t="shared" si="121"/>
        <v>-553504</v>
      </c>
      <c r="BZ54" s="114">
        <f>BZ12+BZ14</f>
        <v>-625403</v>
      </c>
      <c r="CA54" s="114">
        <f t="shared" si="121"/>
        <v>-625670</v>
      </c>
      <c r="CB54" s="114">
        <f t="shared" si="121"/>
        <v>-829138</v>
      </c>
      <c r="CC54" s="130">
        <f t="shared" si="121"/>
        <v>-2633715</v>
      </c>
      <c r="CD54" s="114">
        <f t="shared" ref="CD54:DG54" si="122">CD12+CD14</f>
        <v>-492257</v>
      </c>
      <c r="CE54" s="114">
        <f t="shared" si="122"/>
        <v>-547111</v>
      </c>
      <c r="CF54" s="114">
        <f t="shared" si="122"/>
        <v>-766665</v>
      </c>
      <c r="CG54" s="114">
        <f t="shared" si="122"/>
        <v>-699927</v>
      </c>
      <c r="CH54" s="130">
        <f t="shared" si="122"/>
        <v>-2505960</v>
      </c>
      <c r="CI54" s="114">
        <f t="shared" si="122"/>
        <v>-648181</v>
      </c>
      <c r="CJ54" s="114">
        <f>CJ12+CJ14</f>
        <v>-739359</v>
      </c>
      <c r="CK54" s="114">
        <f>CK12+CK14</f>
        <v>-829848</v>
      </c>
      <c r="CL54" s="114">
        <f>CL12+CL14</f>
        <v>-861376</v>
      </c>
      <c r="CM54" s="130">
        <f t="shared" si="122"/>
        <v>-3078764</v>
      </c>
      <c r="CN54" s="114">
        <f>CN12+CN14</f>
        <v>-831835</v>
      </c>
      <c r="CO54" s="114">
        <f t="shared" si="122"/>
        <v>-839241</v>
      </c>
      <c r="CP54" s="114">
        <f t="shared" si="122"/>
        <v>-1008469</v>
      </c>
      <c r="CQ54" s="114">
        <f t="shared" si="122"/>
        <v>-916774</v>
      </c>
      <c r="CR54" s="130">
        <f t="shared" si="122"/>
        <v>-3596319</v>
      </c>
      <c r="CS54" s="114">
        <f t="shared" si="122"/>
        <v>-864284</v>
      </c>
      <c r="CT54" s="114">
        <f>CT12+CT14</f>
        <v>-1075586</v>
      </c>
      <c r="CU54" s="114">
        <f>CU12+CU14</f>
        <v>-1050522</v>
      </c>
      <c r="CV54" s="114">
        <f>CV12+CV14</f>
        <v>-1104021</v>
      </c>
      <c r="CW54" s="130">
        <f t="shared" si="122"/>
        <v>-4094413</v>
      </c>
      <c r="CX54" s="114">
        <f>CX12+CX14</f>
        <v>-1052270</v>
      </c>
      <c r="CY54" s="114">
        <f t="shared" si="122"/>
        <v>-1211632</v>
      </c>
      <c r="CZ54" s="114">
        <f>CZ12+CZ14</f>
        <v>-1317632</v>
      </c>
      <c r="DA54" s="114">
        <f>DA12+DA14</f>
        <v>-1670300</v>
      </c>
      <c r="DB54" s="130">
        <f t="shared" si="122"/>
        <v>-5251834</v>
      </c>
      <c r="DC54" s="114">
        <f>DC12+DC14</f>
        <v>-1281910</v>
      </c>
      <c r="DD54" s="114">
        <f t="shared" ref="DD54" si="123">DD12+DD14</f>
        <v>-1371723</v>
      </c>
      <c r="DE54" s="114">
        <f>DE12+DE14</f>
        <v>-1377409</v>
      </c>
      <c r="DF54" s="114">
        <f>DF12+DF14</f>
        <v>-2144253</v>
      </c>
      <c r="DG54" s="130">
        <f t="shared" si="122"/>
        <v>-6175295</v>
      </c>
      <c r="DH54" s="114">
        <f>DH12+DH14</f>
        <v>-1293867</v>
      </c>
      <c r="DI54" s="114">
        <f t="shared" ref="DI54" si="124">DI12+DI14</f>
        <v>-1555197</v>
      </c>
      <c r="DJ54" s="114">
        <f>DJ12+DJ14</f>
        <v>-1763975.674369429</v>
      </c>
      <c r="DK54" s="114">
        <f>DK12+DK14</f>
        <v>-1958624.8906102108</v>
      </c>
      <c r="DL54" s="130">
        <f>DL12+DL14</f>
        <v>-6571664.5649796398</v>
      </c>
      <c r="DM54" s="114">
        <f t="shared" ref="DM54:EF54" si="125">DM12+DM14</f>
        <v>-1859607.4563963702</v>
      </c>
      <c r="DN54" s="114">
        <f t="shared" si="125"/>
        <v>-1942189.1518324518</v>
      </c>
      <c r="DO54" s="114">
        <f t="shared" si="125"/>
        <v>-2010958.6287710909</v>
      </c>
      <c r="DP54" s="114">
        <f t="shared" si="125"/>
        <v>-2190884.6160237142</v>
      </c>
      <c r="DQ54" s="130">
        <f t="shared" si="125"/>
        <v>-8003639.8530236268</v>
      </c>
      <c r="DR54" s="114">
        <f t="shared" si="125"/>
        <v>-2074867.99682118</v>
      </c>
      <c r="DS54" s="114">
        <f t="shared" si="125"/>
        <v>-2146425.3750767447</v>
      </c>
      <c r="DT54" s="114">
        <f t="shared" si="125"/>
        <v>-2209250.0341582955</v>
      </c>
      <c r="DU54" s="114">
        <f t="shared" si="125"/>
        <v>-2389292.0138758724</v>
      </c>
      <c r="DV54" s="130">
        <f t="shared" si="125"/>
        <v>-8819835.4199320916</v>
      </c>
      <c r="DW54" s="114">
        <f t="shared" si="125"/>
        <v>-2255791.1829163195</v>
      </c>
      <c r="DX54" s="114">
        <f t="shared" si="125"/>
        <v>-2325923.3049004888</v>
      </c>
      <c r="DY54" s="114">
        <f t="shared" si="125"/>
        <v>-2385750.9375164746</v>
      </c>
      <c r="DZ54" s="114">
        <f t="shared" si="125"/>
        <v>-2569724.7222736361</v>
      </c>
      <c r="EA54" s="130">
        <f t="shared" si="125"/>
        <v>-9537190.1476069186</v>
      </c>
      <c r="EB54" s="114">
        <f t="shared" si="125"/>
        <v>-2424129.8080053362</v>
      </c>
      <c r="EC54" s="114">
        <f t="shared" si="125"/>
        <v>-2494336.8185433373</v>
      </c>
      <c r="ED54" s="114">
        <f t="shared" si="125"/>
        <v>-2552360.2764850324</v>
      </c>
      <c r="EE54" s="114">
        <f t="shared" si="125"/>
        <v>-2739751.2252356065</v>
      </c>
      <c r="EF54" s="130">
        <f t="shared" si="125"/>
        <v>-10210578.128269311</v>
      </c>
    </row>
    <row r="55" spans="1:138" ht="12.75" customHeight="1">
      <c r="A55" s="104" t="s">
        <v>2</v>
      </c>
      <c r="B55" s="114">
        <f t="shared" ref="B55:AX55" si="126">B53+B54</f>
        <v>45139</v>
      </c>
      <c r="C55" s="114">
        <f t="shared" si="126"/>
        <v>45139</v>
      </c>
      <c r="D55" s="114">
        <f t="shared" si="126"/>
        <v>52896</v>
      </c>
      <c r="E55" s="114">
        <f t="shared" si="126"/>
        <v>69389</v>
      </c>
      <c r="F55" s="130">
        <f t="shared" si="126"/>
        <v>212563</v>
      </c>
      <c r="G55" s="114">
        <f t="shared" si="126"/>
        <v>82965</v>
      </c>
      <c r="H55" s="114">
        <f t="shared" si="126"/>
        <v>70658</v>
      </c>
      <c r="I55" s="114">
        <f t="shared" si="126"/>
        <v>120854</v>
      </c>
      <c r="J55" s="114">
        <f t="shared" si="126"/>
        <v>44123</v>
      </c>
      <c r="K55" s="130">
        <f t="shared" si="126"/>
        <v>318600</v>
      </c>
      <c r="L55" s="114">
        <f t="shared" si="126"/>
        <v>103240</v>
      </c>
      <c r="M55" s="114">
        <f t="shared" si="126"/>
        <v>115560</v>
      </c>
      <c r="N55" s="114">
        <f t="shared" si="126"/>
        <v>99135</v>
      </c>
      <c r="O55" s="114">
        <f t="shared" si="126"/>
        <v>153572</v>
      </c>
      <c r="P55" s="130">
        <f t="shared" si="126"/>
        <v>471507</v>
      </c>
      <c r="Q55" s="114">
        <f t="shared" si="126"/>
        <v>112198</v>
      </c>
      <c r="R55" s="114">
        <f t="shared" si="126"/>
        <v>156372</v>
      </c>
      <c r="S55" s="114">
        <f t="shared" si="126"/>
        <v>180487</v>
      </c>
      <c r="T55" s="114">
        <f t="shared" si="126"/>
        <v>327915</v>
      </c>
      <c r="U55" s="130">
        <f t="shared" si="126"/>
        <v>776972</v>
      </c>
      <c r="V55" s="114">
        <f t="shared" si="126"/>
        <v>219504</v>
      </c>
      <c r="W55" s="114">
        <f t="shared" si="126"/>
        <v>310789</v>
      </c>
      <c r="X55" s="114">
        <f t="shared" si="126"/>
        <v>313754</v>
      </c>
      <c r="Y55" s="114">
        <f t="shared" si="126"/>
        <v>254699</v>
      </c>
      <c r="Z55" s="130">
        <f t="shared" si="126"/>
        <v>1098746</v>
      </c>
      <c r="AA55" s="114">
        <f t="shared" si="126"/>
        <v>261254</v>
      </c>
      <c r="AB55" s="114">
        <f t="shared" si="126"/>
        <v>311495</v>
      </c>
      <c r="AC55" s="114">
        <f>AC53+AC54</f>
        <v>469515</v>
      </c>
      <c r="AD55" s="114">
        <f t="shared" si="126"/>
        <v>406942</v>
      </c>
      <c r="AE55" s="130">
        <f t="shared" si="126"/>
        <v>1449206</v>
      </c>
      <c r="AF55" s="114">
        <f t="shared" si="126"/>
        <v>404167</v>
      </c>
      <c r="AG55" s="114">
        <f t="shared" si="126"/>
        <v>412363</v>
      </c>
      <c r="AH55" s="114">
        <f>AH53+AH54</f>
        <v>426055</v>
      </c>
      <c r="AI55" s="114">
        <f t="shared" si="126"/>
        <v>390240</v>
      </c>
      <c r="AJ55" s="130">
        <f t="shared" si="126"/>
        <v>1632825</v>
      </c>
      <c r="AK55" s="114">
        <f t="shared" si="126"/>
        <v>367800</v>
      </c>
      <c r="AL55" s="114">
        <f>AL53+AL54</f>
        <v>424860</v>
      </c>
      <c r="AM55" s="114">
        <f t="shared" si="126"/>
        <v>506706</v>
      </c>
      <c r="AN55" s="114">
        <f>AN53+AN54</f>
        <v>626320</v>
      </c>
      <c r="AO55" s="130">
        <f t="shared" si="126"/>
        <v>1925686</v>
      </c>
      <c r="AP55" s="114">
        <f t="shared" si="126"/>
        <v>500675</v>
      </c>
      <c r="AQ55" s="114">
        <f t="shared" si="126"/>
        <v>447060</v>
      </c>
      <c r="AR55" s="114">
        <f>AR53+AR54</f>
        <v>471319</v>
      </c>
      <c r="AS55" s="114">
        <f t="shared" si="126"/>
        <v>578065</v>
      </c>
      <c r="AT55" s="130">
        <f t="shared" si="126"/>
        <v>1997119</v>
      </c>
      <c r="AU55" s="114">
        <f t="shared" si="126"/>
        <v>426999</v>
      </c>
      <c r="AV55" s="114">
        <f t="shared" si="126"/>
        <v>480058</v>
      </c>
      <c r="AW55" s="114">
        <f>AW53+AW54</f>
        <v>507030</v>
      </c>
      <c r="AX55" s="114">
        <f t="shared" si="126"/>
        <v>531578</v>
      </c>
      <c r="AY55" s="130">
        <f t="shared" ref="AY55:CC55" si="127">AY53+AY54</f>
        <v>1945665</v>
      </c>
      <c r="AZ55" s="114">
        <f t="shared" si="127"/>
        <v>486207</v>
      </c>
      <c r="BA55" s="114">
        <f t="shared" si="127"/>
        <v>506289</v>
      </c>
      <c r="BB55" s="114">
        <f t="shared" si="127"/>
        <v>533968</v>
      </c>
      <c r="BC55" s="114">
        <f t="shared" si="127"/>
        <v>550010</v>
      </c>
      <c r="BD55" s="130">
        <f t="shared" si="127"/>
        <v>2076474</v>
      </c>
      <c r="BE55" s="114">
        <f t="shared" si="127"/>
        <v>404676</v>
      </c>
      <c r="BF55" s="114">
        <f t="shared" si="127"/>
        <v>439891</v>
      </c>
      <c r="BG55" s="114">
        <f t="shared" si="127"/>
        <v>437615</v>
      </c>
      <c r="BH55" s="114">
        <f t="shared" si="127"/>
        <v>391898</v>
      </c>
      <c r="BI55" s="130">
        <f t="shared" si="127"/>
        <v>1674080</v>
      </c>
      <c r="BJ55" s="114">
        <f t="shared" si="127"/>
        <v>332618</v>
      </c>
      <c r="BK55" s="114">
        <f t="shared" si="127"/>
        <v>301977</v>
      </c>
      <c r="BL55" s="114">
        <f t="shared" si="127"/>
        <v>316577</v>
      </c>
      <c r="BM55" s="114">
        <f t="shared" si="127"/>
        <v>314103</v>
      </c>
      <c r="BN55" s="130">
        <f t="shared" si="127"/>
        <v>1265275</v>
      </c>
      <c r="BO55" s="114">
        <f t="shared" si="127"/>
        <v>259898</v>
      </c>
      <c r="BP55" s="114">
        <f t="shared" si="127"/>
        <v>201688</v>
      </c>
      <c r="BQ55" s="114">
        <f t="shared" si="127"/>
        <v>186699</v>
      </c>
      <c r="BR55" s="114">
        <f>BR53+BR54</f>
        <v>260194</v>
      </c>
      <c r="BS55" s="130">
        <f t="shared" si="127"/>
        <v>908479</v>
      </c>
      <c r="BT55" s="114">
        <f t="shared" si="127"/>
        <v>150388</v>
      </c>
      <c r="BU55" s="114">
        <f t="shared" si="127"/>
        <v>200277</v>
      </c>
      <c r="BV55" s="114">
        <f t="shared" si="127"/>
        <v>237658</v>
      </c>
      <c r="BW55" s="114">
        <f t="shared" si="127"/>
        <v>336321</v>
      </c>
      <c r="BX55" s="130">
        <f t="shared" si="127"/>
        <v>924644</v>
      </c>
      <c r="BY55" s="114">
        <f t="shared" si="127"/>
        <v>272732</v>
      </c>
      <c r="BZ55" s="114">
        <f>BZ53+BZ54</f>
        <v>311219</v>
      </c>
      <c r="CA55" s="114">
        <f t="shared" si="127"/>
        <v>309089</v>
      </c>
      <c r="CB55" s="114">
        <f t="shared" si="127"/>
        <v>404068</v>
      </c>
      <c r="CC55" s="130">
        <f t="shared" si="127"/>
        <v>1297108</v>
      </c>
      <c r="CD55" s="114">
        <f t="shared" ref="CD55:DG55" si="128">CD53+CD54</f>
        <v>272498</v>
      </c>
      <c r="CE55" s="114">
        <f t="shared" si="128"/>
        <v>291697</v>
      </c>
      <c r="CF55" s="114">
        <f t="shared" si="128"/>
        <v>396838</v>
      </c>
      <c r="CG55" s="114">
        <f t="shared" si="128"/>
        <v>356703</v>
      </c>
      <c r="CH55" s="130">
        <f t="shared" si="128"/>
        <v>1317736</v>
      </c>
      <c r="CI55" s="114">
        <f t="shared" si="128"/>
        <v>355551</v>
      </c>
      <c r="CJ55" s="114">
        <f>CJ53+CJ54</f>
        <v>442660</v>
      </c>
      <c r="CK55" s="114">
        <f>CK53+CK54</f>
        <v>458491</v>
      </c>
      <c r="CL55" s="114">
        <f>CL53+CL54</f>
        <v>455367</v>
      </c>
      <c r="CM55" s="130">
        <f t="shared" si="128"/>
        <v>1712069</v>
      </c>
      <c r="CN55" s="114">
        <f>CN53+CN54</f>
        <v>399817</v>
      </c>
      <c r="CO55" s="114">
        <f t="shared" si="128"/>
        <v>410842</v>
      </c>
      <c r="CP55" s="114">
        <f t="shared" si="128"/>
        <v>551175</v>
      </c>
      <c r="CQ55" s="114">
        <f t="shared" si="128"/>
        <v>454142</v>
      </c>
      <c r="CR55" s="130">
        <f t="shared" si="128"/>
        <v>1815976</v>
      </c>
      <c r="CS55" s="114">
        <f t="shared" si="128"/>
        <v>419142</v>
      </c>
      <c r="CT55" s="114">
        <f>CT53+CT54</f>
        <v>557469</v>
      </c>
      <c r="CU55" s="114">
        <f>CU53+CU54</f>
        <v>575465</v>
      </c>
      <c r="CV55" s="114">
        <f>CV53+CV54</f>
        <v>606210</v>
      </c>
      <c r="CW55" s="130">
        <f t="shared" si="128"/>
        <v>2158286</v>
      </c>
      <c r="CX55" s="114">
        <f>CX53+CX54</f>
        <v>520641</v>
      </c>
      <c r="CY55" s="114">
        <f t="shared" si="128"/>
        <v>645225</v>
      </c>
      <c r="CZ55" s="114">
        <f>CZ53+CZ54</f>
        <v>712019</v>
      </c>
      <c r="DA55" s="114">
        <f>DA53+DA54</f>
        <v>835969</v>
      </c>
      <c r="DB55" s="130">
        <f t="shared" si="128"/>
        <v>2713854</v>
      </c>
      <c r="DC55" s="114">
        <f>DC53+DC54</f>
        <v>670834</v>
      </c>
      <c r="DD55" s="114">
        <f t="shared" ref="DD55" si="129">DD53+DD54</f>
        <v>735407</v>
      </c>
      <c r="DE55" s="114">
        <f>DE53+DE54</f>
        <v>751037</v>
      </c>
      <c r="DF55" s="114">
        <f>DF53+DF54</f>
        <v>1090921</v>
      </c>
      <c r="DG55" s="130">
        <f t="shared" si="128"/>
        <v>3248199</v>
      </c>
      <c r="DH55" s="114">
        <f>DH53+DH54</f>
        <v>731166</v>
      </c>
      <c r="DI55" s="114">
        <f t="shared" ref="DI55" si="130">DI53+DI54</f>
        <v>925674</v>
      </c>
      <c r="DJ55" s="114">
        <f>DJ53+DJ54</f>
        <v>944757.59290376934</v>
      </c>
      <c r="DK55" s="114">
        <f>DK53+DK54</f>
        <v>1051408.6324265783</v>
      </c>
      <c r="DL55" s="130">
        <f>DL53+DL54</f>
        <v>3653006.2253303481</v>
      </c>
      <c r="DM55" s="114">
        <f t="shared" ref="DM55:EF55" si="131">DM53+DM54</f>
        <v>984162.81424005888</v>
      </c>
      <c r="DN55" s="114">
        <f t="shared" si="131"/>
        <v>1025468.7744408685</v>
      </c>
      <c r="DO55" s="114">
        <f t="shared" si="131"/>
        <v>1059732.6725112358</v>
      </c>
      <c r="DP55" s="114">
        <f t="shared" si="131"/>
        <v>1151365.825112313</v>
      </c>
      <c r="DQ55" s="130">
        <f t="shared" si="131"/>
        <v>4220730.0863044756</v>
      </c>
      <c r="DR55" s="114">
        <f t="shared" si="131"/>
        <v>1090474.1677844301</v>
      </c>
      <c r="DS55" s="114">
        <f t="shared" si="131"/>
        <v>1126231.6591813555</v>
      </c>
      <c r="DT55" s="114">
        <f t="shared" si="131"/>
        <v>1157577.979551157</v>
      </c>
      <c r="DU55" s="114">
        <f t="shared" si="131"/>
        <v>1249433.7985639968</v>
      </c>
      <c r="DV55" s="130">
        <f t="shared" si="131"/>
        <v>4623717.6050809417</v>
      </c>
      <c r="DW55" s="114">
        <f t="shared" si="131"/>
        <v>1179689.2659124727</v>
      </c>
      <c r="DX55" s="114">
        <f t="shared" si="131"/>
        <v>1214903.7217633361</v>
      </c>
      <c r="DY55" s="114">
        <f t="shared" si="131"/>
        <v>1244888.4867515503</v>
      </c>
      <c r="DZ55" s="114">
        <f t="shared" si="131"/>
        <v>1338951.4322299208</v>
      </c>
      <c r="EA55" s="130">
        <f t="shared" si="131"/>
        <v>4978432.9066572804</v>
      </c>
      <c r="EB55" s="114">
        <f t="shared" si="131"/>
        <v>1263137.04373354</v>
      </c>
      <c r="EC55" s="114">
        <f t="shared" si="131"/>
        <v>1298573.2662937348</v>
      </c>
      <c r="ED55" s="114">
        <f t="shared" si="131"/>
        <v>1327796.6937701353</v>
      </c>
      <c r="EE55" s="114">
        <f t="shared" si="131"/>
        <v>1423781.6046259394</v>
      </c>
      <c r="EF55" s="130">
        <f t="shared" si="131"/>
        <v>5313288.6084233504</v>
      </c>
    </row>
    <row r="56" spans="1:138" ht="12.75" customHeight="1">
      <c r="A56" s="104" t="s">
        <v>46</v>
      </c>
      <c r="B56" s="114">
        <f t="shared" ref="B56:AG56" si="132">B17+B20+B32+B33+B43</f>
        <v>-12989.5</v>
      </c>
      <c r="C56" s="114">
        <f t="shared" si="132"/>
        <v>-12989.5</v>
      </c>
      <c r="D56" s="114">
        <f t="shared" si="132"/>
        <v>-25036</v>
      </c>
      <c r="E56" s="114">
        <f t="shared" si="132"/>
        <v>-21195</v>
      </c>
      <c r="F56" s="130">
        <f t="shared" si="132"/>
        <v>-72210</v>
      </c>
      <c r="G56" s="114">
        <f t="shared" si="132"/>
        <v>-30299</v>
      </c>
      <c r="H56" s="114">
        <f t="shared" si="132"/>
        <v>-37675</v>
      </c>
      <c r="I56" s="114">
        <f t="shared" si="132"/>
        <v>-30357</v>
      </c>
      <c r="J56" s="114">
        <f t="shared" si="132"/>
        <v>-39865</v>
      </c>
      <c r="K56" s="130">
        <f t="shared" si="132"/>
        <v>-138196</v>
      </c>
      <c r="L56" s="114">
        <f t="shared" si="132"/>
        <v>-37097</v>
      </c>
      <c r="M56" s="114">
        <f t="shared" si="132"/>
        <v>-38181</v>
      </c>
      <c r="N56" s="114">
        <f t="shared" si="132"/>
        <v>-54887</v>
      </c>
      <c r="O56" s="114">
        <f t="shared" si="132"/>
        <v>-77097</v>
      </c>
      <c r="P56" s="130">
        <f t="shared" si="132"/>
        <v>-207262</v>
      </c>
      <c r="Q56" s="114">
        <f t="shared" si="132"/>
        <v>-55746</v>
      </c>
      <c r="R56" s="114">
        <f t="shared" si="132"/>
        <v>-63874</v>
      </c>
      <c r="S56" s="114">
        <f t="shared" si="132"/>
        <v>-79407</v>
      </c>
      <c r="T56" s="114">
        <f t="shared" si="132"/>
        <v>-202497</v>
      </c>
      <c r="U56" s="130">
        <f t="shared" si="132"/>
        <v>-401524</v>
      </c>
      <c r="V56" s="114">
        <f t="shared" si="132"/>
        <v>-115010</v>
      </c>
      <c r="W56" s="114">
        <f t="shared" si="132"/>
        <v>-162115</v>
      </c>
      <c r="X56" s="114">
        <f t="shared" si="132"/>
        <v>-155676</v>
      </c>
      <c r="Y56" s="114">
        <f t="shared" si="132"/>
        <v>-158306</v>
      </c>
      <c r="Z56" s="130">
        <f t="shared" si="132"/>
        <v>-591107</v>
      </c>
      <c r="AA56" s="114">
        <f t="shared" si="132"/>
        <v>-101319</v>
      </c>
      <c r="AB56" s="114">
        <f t="shared" si="132"/>
        <v>-104768</v>
      </c>
      <c r="AC56" s="114">
        <f t="shared" si="132"/>
        <v>-185488</v>
      </c>
      <c r="AD56" s="114">
        <f t="shared" si="132"/>
        <v>-173205</v>
      </c>
      <c r="AE56" s="130">
        <f t="shared" si="132"/>
        <v>-564780</v>
      </c>
      <c r="AF56" s="114">
        <f t="shared" si="132"/>
        <v>-173567</v>
      </c>
      <c r="AG56" s="114">
        <f t="shared" si="132"/>
        <v>-180861</v>
      </c>
      <c r="AH56" s="114">
        <f t="shared" ref="AH56:BM56" si="133">AH17+AH20+AH32+AH33+AH43</f>
        <v>-189599</v>
      </c>
      <c r="AI56" s="114">
        <f t="shared" si="133"/>
        <v>-210364</v>
      </c>
      <c r="AJ56" s="130">
        <f t="shared" si="133"/>
        <v>-754391</v>
      </c>
      <c r="AK56" s="114">
        <f t="shared" si="133"/>
        <v>-197021</v>
      </c>
      <c r="AL56" s="114">
        <f t="shared" si="133"/>
        <v>-245273</v>
      </c>
      <c r="AM56" s="114">
        <f>AM17+AM20+AM32+AM33+AM43</f>
        <v>-224014</v>
      </c>
      <c r="AN56" s="114">
        <f t="shared" si="133"/>
        <v>-246774</v>
      </c>
      <c r="AO56" s="130">
        <f t="shared" si="133"/>
        <v>-913082</v>
      </c>
      <c r="AP56" s="114">
        <f t="shared" si="133"/>
        <v>-224434</v>
      </c>
      <c r="AQ56" s="114">
        <f>AQ17+AQ20+AQ32+AQ33+AQ43</f>
        <v>-222924</v>
      </c>
      <c r="AR56" s="114">
        <f>AR17+AR20+AR32+AR33+AR43</f>
        <v>-212734</v>
      </c>
      <c r="AS56" s="114">
        <f>AS17+AS20+AS32+AS33+AS43</f>
        <v>-213238</v>
      </c>
      <c r="AT56" s="130">
        <f t="shared" si="133"/>
        <v>-873330</v>
      </c>
      <c r="AU56" s="114">
        <f>AU17+AU20+AU32+AU33+AU43</f>
        <v>-193103</v>
      </c>
      <c r="AV56" s="114">
        <f t="shared" si="133"/>
        <v>-212182</v>
      </c>
      <c r="AW56" s="114">
        <f>AW17+AW20+AW32+AW33+AW43</f>
        <v>-222578</v>
      </c>
      <c r="AX56" s="114">
        <f t="shared" si="133"/>
        <v>-236044</v>
      </c>
      <c r="AY56" s="130">
        <f t="shared" si="133"/>
        <v>-863907</v>
      </c>
      <c r="AZ56" s="114">
        <f>AZ17+AZ20+AZ32+AZ33+AZ43</f>
        <v>-222807</v>
      </c>
      <c r="BA56" s="114">
        <f t="shared" si="133"/>
        <v>-237694</v>
      </c>
      <c r="BB56" s="114">
        <f t="shared" si="133"/>
        <v>-261756</v>
      </c>
      <c r="BC56" s="114">
        <f t="shared" si="133"/>
        <v>-304883</v>
      </c>
      <c r="BD56" s="130">
        <f t="shared" si="133"/>
        <v>-1027140</v>
      </c>
      <c r="BE56" s="114">
        <f t="shared" si="133"/>
        <v>-236959</v>
      </c>
      <c r="BF56" s="114">
        <f t="shared" si="133"/>
        <v>-196057</v>
      </c>
      <c r="BG56" s="114">
        <f t="shared" si="133"/>
        <v>-232319</v>
      </c>
      <c r="BH56" s="114">
        <f>BH17+BH20+BH32+BH33+BH43</f>
        <v>-238588</v>
      </c>
      <c r="BI56" s="130">
        <f t="shared" si="133"/>
        <v>-903923</v>
      </c>
      <c r="BJ56" s="114">
        <f t="shared" si="133"/>
        <v>-202283</v>
      </c>
      <c r="BK56" s="114">
        <f t="shared" si="133"/>
        <v>-221260</v>
      </c>
      <c r="BL56" s="114">
        <f t="shared" si="133"/>
        <v>-223939</v>
      </c>
      <c r="BM56" s="114">
        <f t="shared" si="133"/>
        <v>-235567</v>
      </c>
      <c r="BN56" s="130">
        <f t="shared" ref="BN56:CC56" si="134">BN17+BN20+BN32+BN33+BN43</f>
        <v>-883049</v>
      </c>
      <c r="BO56" s="114">
        <f t="shared" si="134"/>
        <v>-180039</v>
      </c>
      <c r="BP56" s="114">
        <f t="shared" si="134"/>
        <v>-313128</v>
      </c>
      <c r="BQ56" s="114">
        <f t="shared" si="134"/>
        <v>-155639</v>
      </c>
      <c r="BR56" s="114">
        <f t="shared" si="134"/>
        <v>-196254</v>
      </c>
      <c r="BS56" s="130">
        <f t="shared" si="134"/>
        <v>-845060</v>
      </c>
      <c r="BT56" s="114">
        <f t="shared" si="134"/>
        <v>-160592</v>
      </c>
      <c r="BU56" s="114">
        <f t="shared" si="134"/>
        <v>-194732</v>
      </c>
      <c r="BV56" s="114">
        <f t="shared" si="134"/>
        <v>-305381</v>
      </c>
      <c r="BW56" s="114">
        <f>BW17+BW20+BW32+BW33+BW43</f>
        <v>-229434</v>
      </c>
      <c r="BX56" s="130">
        <f t="shared" si="134"/>
        <v>-890139</v>
      </c>
      <c r="BY56" s="114">
        <f t="shared" si="134"/>
        <v>-170407</v>
      </c>
      <c r="BZ56" s="114">
        <f>BZ17+BZ20+BZ32+BZ33+BZ43</f>
        <v>-200828</v>
      </c>
      <c r="CA56" s="114">
        <f t="shared" si="134"/>
        <v>-190832</v>
      </c>
      <c r="CB56" s="114">
        <f t="shared" si="134"/>
        <v>-167949</v>
      </c>
      <c r="CC56" s="130">
        <f t="shared" si="134"/>
        <v>-730016</v>
      </c>
      <c r="CD56" s="114">
        <f t="shared" ref="CD56:DG56" si="135">CD17+CD20+CD32+CD33+CD43</f>
        <v>-209713</v>
      </c>
      <c r="CE56" s="114">
        <f t="shared" si="135"/>
        <v>-193582</v>
      </c>
      <c r="CF56" s="114">
        <f t="shared" si="135"/>
        <v>-184689</v>
      </c>
      <c r="CG56" s="114">
        <f t="shared" si="135"/>
        <v>-141233</v>
      </c>
      <c r="CH56" s="130">
        <f t="shared" si="135"/>
        <v>-729217</v>
      </c>
      <c r="CI56" s="114">
        <f t="shared" si="135"/>
        <v>-210404</v>
      </c>
      <c r="CJ56" s="114">
        <f>CJ17+CJ20+CJ32+CJ33+CJ43</f>
        <v>-204583</v>
      </c>
      <c r="CK56" s="114">
        <f>CK17+CK20+CK32+CK33+CK43</f>
        <v>-241249</v>
      </c>
      <c r="CL56" s="114">
        <f>CL17+CL20+CL32+CL33+CL43</f>
        <v>-243814</v>
      </c>
      <c r="CM56" s="130">
        <f t="shared" si="135"/>
        <v>-900050</v>
      </c>
      <c r="CN56" s="114">
        <f>CN17+CN20+CN32+CN33+CN43</f>
        <v>-256146</v>
      </c>
      <c r="CO56" s="114">
        <f t="shared" si="135"/>
        <v>-263434</v>
      </c>
      <c r="CP56" s="114">
        <f t="shared" si="135"/>
        <v>-253005</v>
      </c>
      <c r="CQ56" s="114">
        <f t="shared" si="135"/>
        <v>-265173</v>
      </c>
      <c r="CR56" s="130">
        <f t="shared" si="135"/>
        <v>-1037758</v>
      </c>
      <c r="CS56" s="114">
        <f>CS17+CS20+CS32+CS33+CS43</f>
        <v>-264155</v>
      </c>
      <c r="CT56" s="114">
        <f>CT17+CT20+CT32+CT33+CT43</f>
        <v>-241443</v>
      </c>
      <c r="CU56" s="114">
        <f>CU17+CU20+CU32+CU33+CU43</f>
        <v>-317329</v>
      </c>
      <c r="CV56" s="114">
        <f>CV17+CV20+CV32+CV33+CV43</f>
        <v>-357292</v>
      </c>
      <c r="CW56" s="130">
        <f t="shared" si="135"/>
        <v>-1180219</v>
      </c>
      <c r="CX56" s="114">
        <f>CX17+CX20+CX32+CX33+CX43</f>
        <v>-255704</v>
      </c>
      <c r="CY56" s="114">
        <f t="shared" si="135"/>
        <v>-251945</v>
      </c>
      <c r="CZ56" s="114">
        <f>CZ17+CZ20+CZ32+CZ33+CZ43</f>
        <v>-258581</v>
      </c>
      <c r="DA56" s="114">
        <f>DA17+DA20+DA32+DA33+DA43</f>
        <v>-321718</v>
      </c>
      <c r="DB56" s="130">
        <f t="shared" si="135"/>
        <v>-1087948</v>
      </c>
      <c r="DC56" s="114">
        <f>DC17+DC20+DC32+DC33+DC43</f>
        <v>-367935</v>
      </c>
      <c r="DD56" s="114">
        <f t="shared" ref="DD56" si="136">DD17+DD20+DD32+DD33+DD43</f>
        <v>-367145</v>
      </c>
      <c r="DE56" s="114">
        <f>DE17+DE20+DE32+DE33+DE43</f>
        <v>-365005</v>
      </c>
      <c r="DF56" s="114">
        <f>DF17+DF20+DF32+DF33+DF43</f>
        <v>-434809</v>
      </c>
      <c r="DG56" s="130">
        <f t="shared" si="135"/>
        <v>-1534894</v>
      </c>
      <c r="DH56" s="114">
        <f>DH17+DH20+DH32+DH33+DH43</f>
        <v>-420485</v>
      </c>
      <c r="DI56" s="114">
        <f t="shared" ref="DI56" si="137">DI17+DI20+DI32+DI33+DI43</f>
        <v>-455084</v>
      </c>
      <c r="DJ56" s="114">
        <f>DJ17+DJ20+DJ32+DJ33+DJ43</f>
        <v>-415730.4500336104</v>
      </c>
      <c r="DK56" s="114">
        <f>DK17+DK20+DK32+DK33+DK43</f>
        <v>-442377.39306021441</v>
      </c>
      <c r="DL56" s="130">
        <f>DL17+DL20+DL32+DL33+DL43</f>
        <v>-1733676.8430938246</v>
      </c>
      <c r="DM56" s="114">
        <f t="shared" ref="DM56:EF56" si="138">DM17+DM20+DM32+DM33+DM43</f>
        <v>-428206.34883422073</v>
      </c>
      <c r="DN56" s="114">
        <f t="shared" si="138"/>
        <v>-458255.05947272188</v>
      </c>
      <c r="DO56" s="114">
        <f t="shared" si="138"/>
        <v>-480373.30594767968</v>
      </c>
      <c r="DP56" s="114">
        <f t="shared" si="138"/>
        <v>-528775.04395380616</v>
      </c>
      <c r="DQ56" s="130">
        <f t="shared" si="138"/>
        <v>-1895609.7582084285</v>
      </c>
      <c r="DR56" s="114">
        <f t="shared" si="138"/>
        <v>-444223.00201683637</v>
      </c>
      <c r="DS56" s="114">
        <f t="shared" si="138"/>
        <v>-476639.42268744821</v>
      </c>
      <c r="DT56" s="114">
        <f t="shared" si="138"/>
        <v>-500897.70993901626</v>
      </c>
      <c r="DU56" s="114">
        <f t="shared" si="138"/>
        <v>-554545.31452716899</v>
      </c>
      <c r="DV56" s="130">
        <f t="shared" si="138"/>
        <v>-1976305.4491704698</v>
      </c>
      <c r="DW56" s="114">
        <f t="shared" si="138"/>
        <v>-464317.89518562629</v>
      </c>
      <c r="DX56" s="114">
        <f t="shared" si="138"/>
        <v>-498698.22577467159</v>
      </c>
      <c r="DY56" s="114">
        <f t="shared" si="138"/>
        <v>-524209.25410461915</v>
      </c>
      <c r="DZ56" s="114">
        <f t="shared" si="138"/>
        <v>-582730.44431386248</v>
      </c>
      <c r="EA56" s="130">
        <f t="shared" si="138"/>
        <v>-2069955.8193787793</v>
      </c>
      <c r="EB56" s="114">
        <f t="shared" si="138"/>
        <v>-485790.34494570136</v>
      </c>
      <c r="EC56" s="114">
        <f t="shared" si="138"/>
        <v>-521667.48805118102</v>
      </c>
      <c r="ED56" s="114">
        <f t="shared" si="138"/>
        <v>-547995.66613377456</v>
      </c>
      <c r="EE56" s="114">
        <f t="shared" si="138"/>
        <v>-611207.19331430329</v>
      </c>
      <c r="EF56" s="130">
        <f t="shared" si="138"/>
        <v>-2166660.6924449601</v>
      </c>
    </row>
    <row r="57" spans="1:138" ht="12.75" customHeight="1">
      <c r="A57" s="104" t="s">
        <v>3</v>
      </c>
      <c r="B57" s="114">
        <f t="shared" ref="B57:BB57" si="139">B55+B56</f>
        <v>32149.5</v>
      </c>
      <c r="C57" s="114">
        <f t="shared" si="139"/>
        <v>32149.5</v>
      </c>
      <c r="D57" s="114">
        <f t="shared" si="139"/>
        <v>27860</v>
      </c>
      <c r="E57" s="114">
        <f t="shared" si="139"/>
        <v>48194</v>
      </c>
      <c r="F57" s="130">
        <f t="shared" si="139"/>
        <v>140353</v>
      </c>
      <c r="G57" s="114">
        <f t="shared" si="139"/>
        <v>52666</v>
      </c>
      <c r="H57" s="114">
        <f t="shared" si="139"/>
        <v>32983</v>
      </c>
      <c r="I57" s="114">
        <f t="shared" si="139"/>
        <v>90497</v>
      </c>
      <c r="J57" s="114">
        <f>J55+J56</f>
        <v>4258</v>
      </c>
      <c r="K57" s="130">
        <f t="shared" si="139"/>
        <v>180404</v>
      </c>
      <c r="L57" s="114">
        <f>L55+L56</f>
        <v>66143</v>
      </c>
      <c r="M57" s="114">
        <f t="shared" si="139"/>
        <v>77379</v>
      </c>
      <c r="N57" s="114">
        <f t="shared" si="139"/>
        <v>44248</v>
      </c>
      <c r="O57" s="114">
        <f t="shared" si="139"/>
        <v>76475</v>
      </c>
      <c r="P57" s="130">
        <f t="shared" si="139"/>
        <v>264245</v>
      </c>
      <c r="Q57" s="114">
        <f t="shared" si="139"/>
        <v>56452</v>
      </c>
      <c r="R57" s="114">
        <f>R55+R56</f>
        <v>92498</v>
      </c>
      <c r="S57" s="114">
        <f t="shared" si="139"/>
        <v>101080</v>
      </c>
      <c r="T57" s="114">
        <f>T55+T56</f>
        <v>125418</v>
      </c>
      <c r="U57" s="130">
        <f t="shared" si="139"/>
        <v>375448</v>
      </c>
      <c r="V57" s="114">
        <f t="shared" si="139"/>
        <v>104494</v>
      </c>
      <c r="W57" s="114">
        <f>W55+W56</f>
        <v>148674</v>
      </c>
      <c r="X57" s="114">
        <f t="shared" si="139"/>
        <v>158078</v>
      </c>
      <c r="Y57" s="114">
        <f t="shared" si="139"/>
        <v>96393</v>
      </c>
      <c r="Z57" s="130">
        <f t="shared" si="139"/>
        <v>507639</v>
      </c>
      <c r="AA57" s="114">
        <f>AA55+AA56</f>
        <v>159935</v>
      </c>
      <c r="AB57" s="114">
        <f>AB55+AB56</f>
        <v>206727</v>
      </c>
      <c r="AC57" s="114">
        <f>AC55+AC56</f>
        <v>284027</v>
      </c>
      <c r="AD57" s="114">
        <f t="shared" si="139"/>
        <v>233737</v>
      </c>
      <c r="AE57" s="130">
        <f t="shared" si="139"/>
        <v>884426</v>
      </c>
      <c r="AF57" s="114">
        <f>AF55+AF56</f>
        <v>230600</v>
      </c>
      <c r="AG57" s="114">
        <f>AG55+AG56</f>
        <v>231502</v>
      </c>
      <c r="AH57" s="114">
        <f>AH55+AH56</f>
        <v>236456</v>
      </c>
      <c r="AI57" s="114">
        <f t="shared" si="139"/>
        <v>179876</v>
      </c>
      <c r="AJ57" s="130">
        <f t="shared" si="139"/>
        <v>878434</v>
      </c>
      <c r="AK57" s="114">
        <f t="shared" si="139"/>
        <v>170779</v>
      </c>
      <c r="AL57" s="114">
        <f>AL55+AL56</f>
        <v>179587</v>
      </c>
      <c r="AM57" s="114">
        <f t="shared" si="139"/>
        <v>282692</v>
      </c>
      <c r="AN57" s="114">
        <f t="shared" si="139"/>
        <v>379546</v>
      </c>
      <c r="AO57" s="130">
        <f t="shared" si="139"/>
        <v>1012604</v>
      </c>
      <c r="AP57" s="114">
        <f t="shared" si="139"/>
        <v>276241</v>
      </c>
      <c r="AQ57" s="114">
        <f>AQ55+AQ56</f>
        <v>224136</v>
      </c>
      <c r="AR57" s="114">
        <f>AR55+AR56</f>
        <v>258585</v>
      </c>
      <c r="AS57" s="114">
        <f t="shared" si="139"/>
        <v>364827</v>
      </c>
      <c r="AT57" s="130">
        <f t="shared" si="139"/>
        <v>1123789</v>
      </c>
      <c r="AU57" s="114">
        <f t="shared" si="139"/>
        <v>233896</v>
      </c>
      <c r="AV57" s="114">
        <f t="shared" si="139"/>
        <v>267876</v>
      </c>
      <c r="AW57" s="114">
        <f>AW55+AW56</f>
        <v>284452</v>
      </c>
      <c r="AX57" s="114">
        <f t="shared" si="139"/>
        <v>295534</v>
      </c>
      <c r="AY57" s="130">
        <f t="shared" si="139"/>
        <v>1081758</v>
      </c>
      <c r="AZ57" s="114">
        <f>AZ55+AZ56</f>
        <v>263400</v>
      </c>
      <c r="BA57" s="114">
        <f t="shared" si="139"/>
        <v>268595</v>
      </c>
      <c r="BB57" s="114">
        <f t="shared" si="139"/>
        <v>272212</v>
      </c>
      <c r="BC57" s="114">
        <f t="shared" ref="BC57:CC57" si="140">BC55+BC56</f>
        <v>245127</v>
      </c>
      <c r="BD57" s="130">
        <f t="shared" si="140"/>
        <v>1049334</v>
      </c>
      <c r="BE57" s="114">
        <f t="shared" si="140"/>
        <v>167717</v>
      </c>
      <c r="BF57" s="114">
        <f t="shared" si="140"/>
        <v>243834</v>
      </c>
      <c r="BG57" s="114">
        <f t="shared" si="140"/>
        <v>205296</v>
      </c>
      <c r="BH57" s="114">
        <f t="shared" si="140"/>
        <v>153310</v>
      </c>
      <c r="BI57" s="130">
        <f t="shared" si="140"/>
        <v>770157</v>
      </c>
      <c r="BJ57" s="114">
        <f t="shared" si="140"/>
        <v>130335</v>
      </c>
      <c r="BK57" s="114">
        <f t="shared" si="140"/>
        <v>80717</v>
      </c>
      <c r="BL57" s="114">
        <f t="shared" si="140"/>
        <v>92638</v>
      </c>
      <c r="BM57" s="114">
        <f t="shared" si="140"/>
        <v>78536</v>
      </c>
      <c r="BN57" s="130">
        <f t="shared" si="140"/>
        <v>382226</v>
      </c>
      <c r="BO57" s="114">
        <f t="shared" si="140"/>
        <v>79859</v>
      </c>
      <c r="BP57" s="114">
        <f t="shared" si="140"/>
        <v>-111440</v>
      </c>
      <c r="BQ57" s="114">
        <f t="shared" si="140"/>
        <v>31060</v>
      </c>
      <c r="BR57" s="114">
        <f>BR55+BR56</f>
        <v>63940</v>
      </c>
      <c r="BS57" s="130">
        <f t="shared" si="140"/>
        <v>63419</v>
      </c>
      <c r="BT57" s="114">
        <f t="shared" si="140"/>
        <v>-10204</v>
      </c>
      <c r="BU57" s="114">
        <f t="shared" si="140"/>
        <v>5545</v>
      </c>
      <c r="BV57" s="114">
        <f t="shared" si="140"/>
        <v>-67723</v>
      </c>
      <c r="BW57" s="114">
        <f t="shared" si="140"/>
        <v>106887</v>
      </c>
      <c r="BX57" s="130">
        <f t="shared" si="140"/>
        <v>34505</v>
      </c>
      <c r="BY57" s="114">
        <f t="shared" si="140"/>
        <v>102325</v>
      </c>
      <c r="BZ57" s="114">
        <f>BZ55+BZ56</f>
        <v>110391</v>
      </c>
      <c r="CA57" s="114">
        <f t="shared" si="140"/>
        <v>118257</v>
      </c>
      <c r="CB57" s="114">
        <f t="shared" si="140"/>
        <v>236119</v>
      </c>
      <c r="CC57" s="130">
        <f t="shared" si="140"/>
        <v>567092</v>
      </c>
      <c r="CD57" s="114">
        <f t="shared" ref="CD57:DG57" si="141">CD55+CD56</f>
        <v>62785</v>
      </c>
      <c r="CE57" s="114">
        <f t="shared" si="141"/>
        <v>98115</v>
      </c>
      <c r="CF57" s="114">
        <f t="shared" si="141"/>
        <v>212149</v>
      </c>
      <c r="CG57" s="114">
        <f t="shared" si="141"/>
        <v>215470</v>
      </c>
      <c r="CH57" s="130">
        <f t="shared" si="141"/>
        <v>588519</v>
      </c>
      <c r="CI57" s="114">
        <f t="shared" si="141"/>
        <v>145147</v>
      </c>
      <c r="CJ57" s="114">
        <f>CJ55+CJ56</f>
        <v>238077</v>
      </c>
      <c r="CK57" s="114">
        <f>CK55+CK56</f>
        <v>217242</v>
      </c>
      <c r="CL57" s="114">
        <f>CL55+CL56</f>
        <v>211553</v>
      </c>
      <c r="CM57" s="130">
        <f t="shared" si="141"/>
        <v>812019</v>
      </c>
      <c r="CN57" s="114">
        <f>CN55+CN56</f>
        <v>143671</v>
      </c>
      <c r="CO57" s="114">
        <f t="shared" si="141"/>
        <v>147408</v>
      </c>
      <c r="CP57" s="114">
        <f t="shared" si="141"/>
        <v>298170</v>
      </c>
      <c r="CQ57" s="114">
        <f t="shared" si="141"/>
        <v>188969</v>
      </c>
      <c r="CR57" s="130">
        <f t="shared" si="141"/>
        <v>778218</v>
      </c>
      <c r="CS57" s="114">
        <f>CS55+CS56</f>
        <v>154987</v>
      </c>
      <c r="CT57" s="114">
        <f>CT55+CT56</f>
        <v>316026</v>
      </c>
      <c r="CU57" s="114">
        <f>CU55+CU56</f>
        <v>258136</v>
      </c>
      <c r="CV57" s="114">
        <f>CV55+CV56</f>
        <v>248918</v>
      </c>
      <c r="CW57" s="130">
        <f t="shared" si="141"/>
        <v>978067</v>
      </c>
      <c r="CX57" s="114">
        <f>CX55+CX56</f>
        <v>264937</v>
      </c>
      <c r="CY57" s="114">
        <f t="shared" si="141"/>
        <v>393280</v>
      </c>
      <c r="CZ57" s="114">
        <f>CZ55+CZ56</f>
        <v>453438</v>
      </c>
      <c r="DA57" s="114">
        <f>DA55+DA56</f>
        <v>514251</v>
      </c>
      <c r="DB57" s="130">
        <f t="shared" si="141"/>
        <v>1625906</v>
      </c>
      <c r="DC57" s="114">
        <f>DC55+DC56</f>
        <v>302899</v>
      </c>
      <c r="DD57" s="114">
        <f t="shared" ref="DD57" si="142">DD55+DD56</f>
        <v>368262</v>
      </c>
      <c r="DE57" s="114">
        <f>DE55+DE56</f>
        <v>386032</v>
      </c>
      <c r="DF57" s="114">
        <f>DF55+DF56</f>
        <v>656112</v>
      </c>
      <c r="DG57" s="130">
        <f t="shared" si="141"/>
        <v>1713305</v>
      </c>
      <c r="DH57" s="114">
        <f>DH55+DH56</f>
        <v>310681</v>
      </c>
      <c r="DI57" s="114">
        <f t="shared" ref="DI57" si="143">DI55+DI56</f>
        <v>470590</v>
      </c>
      <c r="DJ57" s="114">
        <f>DJ55+DJ56</f>
        <v>529027.14287015889</v>
      </c>
      <c r="DK57" s="114">
        <f>DK55+DK56</f>
        <v>609031.23936636397</v>
      </c>
      <c r="DL57" s="130">
        <f>DL55+DL56</f>
        <v>1919329.3822365236</v>
      </c>
      <c r="DM57" s="114">
        <f t="shared" ref="DM57:EF57" si="144">DM55+DM56</f>
        <v>555956.4654058381</v>
      </c>
      <c r="DN57" s="114">
        <f t="shared" si="144"/>
        <v>567213.71496814664</v>
      </c>
      <c r="DO57" s="114">
        <f t="shared" si="144"/>
        <v>579359.36656355613</v>
      </c>
      <c r="DP57" s="114">
        <f t="shared" si="144"/>
        <v>622590.78115850687</v>
      </c>
      <c r="DQ57" s="130">
        <f t="shared" si="144"/>
        <v>2325120.328096047</v>
      </c>
      <c r="DR57" s="114">
        <f t="shared" si="144"/>
        <v>646251.16576759377</v>
      </c>
      <c r="DS57" s="114">
        <f t="shared" si="144"/>
        <v>649592.23649390729</v>
      </c>
      <c r="DT57" s="114">
        <f t="shared" si="144"/>
        <v>656680.26961214072</v>
      </c>
      <c r="DU57" s="114">
        <f t="shared" si="144"/>
        <v>694888.48403682781</v>
      </c>
      <c r="DV57" s="130">
        <f t="shared" si="144"/>
        <v>2647412.1559104719</v>
      </c>
      <c r="DW57" s="114">
        <f t="shared" si="144"/>
        <v>715371.37072684639</v>
      </c>
      <c r="DX57" s="114">
        <f t="shared" si="144"/>
        <v>716205.49598866445</v>
      </c>
      <c r="DY57" s="114">
        <f t="shared" si="144"/>
        <v>720679.2326469312</v>
      </c>
      <c r="DZ57" s="114">
        <f t="shared" si="144"/>
        <v>756220.98791605828</v>
      </c>
      <c r="EA57" s="130">
        <f t="shared" si="144"/>
        <v>2908477.0872785011</v>
      </c>
      <c r="EB57" s="114">
        <f t="shared" si="144"/>
        <v>777346.69878783869</v>
      </c>
      <c r="EC57" s="114">
        <f t="shared" si="144"/>
        <v>776905.77824255382</v>
      </c>
      <c r="ED57" s="114">
        <f t="shared" si="144"/>
        <v>779801.02763636073</v>
      </c>
      <c r="EE57" s="114">
        <f t="shared" si="144"/>
        <v>812574.4113116361</v>
      </c>
      <c r="EF57" s="130">
        <f t="shared" si="144"/>
        <v>3146627.9159783903</v>
      </c>
    </row>
    <row r="58" spans="1:138" s="68" customFormat="1" ht="12.75" customHeight="1">
      <c r="A58" s="269" t="s">
        <v>4</v>
      </c>
      <c r="B58" s="88">
        <f>B57+B68</f>
        <v>32912.5</v>
      </c>
      <c r="C58" s="88">
        <f t="shared" ref="C58:AX58" si="145">C57+C68</f>
        <v>33393.5</v>
      </c>
      <c r="D58" s="88">
        <f t="shared" si="145"/>
        <v>28883</v>
      </c>
      <c r="E58" s="88">
        <f t="shared" si="145"/>
        <v>48664</v>
      </c>
      <c r="F58" s="86">
        <f t="shared" si="145"/>
        <v>143853</v>
      </c>
      <c r="G58" s="88">
        <f t="shared" si="145"/>
        <v>53772</v>
      </c>
      <c r="H58" s="88">
        <f t="shared" si="145"/>
        <v>33634</v>
      </c>
      <c r="I58" s="88">
        <f t="shared" si="145"/>
        <v>91514</v>
      </c>
      <c r="J58" s="88">
        <f t="shared" si="145"/>
        <v>4571</v>
      </c>
      <c r="K58" s="86">
        <f t="shared" si="145"/>
        <v>183491</v>
      </c>
      <c r="L58" s="88">
        <f t="shared" si="145"/>
        <v>66937</v>
      </c>
      <c r="M58" s="88">
        <f t="shared" si="145"/>
        <v>78612</v>
      </c>
      <c r="N58" s="88">
        <f t="shared" si="145"/>
        <v>45820</v>
      </c>
      <c r="O58" s="88">
        <f t="shared" si="145"/>
        <v>77934</v>
      </c>
      <c r="P58" s="86">
        <f t="shared" si="145"/>
        <v>269303</v>
      </c>
      <c r="Q58" s="88">
        <f t="shared" si="145"/>
        <v>61618</v>
      </c>
      <c r="R58" s="88">
        <f t="shared" si="145"/>
        <v>101720</v>
      </c>
      <c r="S58" s="88">
        <f t="shared" si="145"/>
        <v>102770</v>
      </c>
      <c r="T58" s="88">
        <f t="shared" si="145"/>
        <v>125423</v>
      </c>
      <c r="U58" s="86">
        <f t="shared" si="145"/>
        <v>391531</v>
      </c>
      <c r="V58" s="88">
        <f t="shared" si="145"/>
        <v>106316</v>
      </c>
      <c r="W58" s="88">
        <f t="shared" si="145"/>
        <v>161544</v>
      </c>
      <c r="X58" s="88">
        <f t="shared" si="145"/>
        <v>161941</v>
      </c>
      <c r="Y58" s="88">
        <f t="shared" si="145"/>
        <v>99608</v>
      </c>
      <c r="Z58" s="86">
        <f t="shared" si="145"/>
        <v>529409</v>
      </c>
      <c r="AA58" s="88">
        <f>AA57+AA68</f>
        <v>162922</v>
      </c>
      <c r="AB58" s="88">
        <f t="shared" si="145"/>
        <v>209977</v>
      </c>
      <c r="AC58" s="88">
        <f>AC57+AC68</f>
        <v>287331</v>
      </c>
      <c r="AD58" s="88">
        <f t="shared" si="145"/>
        <v>260589</v>
      </c>
      <c r="AE58" s="86">
        <f t="shared" si="145"/>
        <v>920819</v>
      </c>
      <c r="AF58" s="88">
        <f>AF57+AF68</f>
        <v>248920</v>
      </c>
      <c r="AG58" s="88">
        <f t="shared" si="145"/>
        <v>242418</v>
      </c>
      <c r="AH58" s="88">
        <f>AH57+AH68</f>
        <v>247778</v>
      </c>
      <c r="AI58" s="88">
        <f t="shared" si="145"/>
        <v>198851</v>
      </c>
      <c r="AJ58" s="86">
        <f t="shared" si="145"/>
        <v>937967</v>
      </c>
      <c r="AK58" s="88">
        <f t="shared" si="145"/>
        <v>181188</v>
      </c>
      <c r="AL58" s="88">
        <f>AL57+AL68</f>
        <v>185788</v>
      </c>
      <c r="AM58" s="88">
        <f t="shared" si="145"/>
        <v>291692</v>
      </c>
      <c r="AN58" s="88">
        <f t="shared" si="145"/>
        <v>387053</v>
      </c>
      <c r="AO58" s="86">
        <f t="shared" si="145"/>
        <v>1045721</v>
      </c>
      <c r="AP58" s="88">
        <f t="shared" si="145"/>
        <v>298892</v>
      </c>
      <c r="AQ58" s="88">
        <f>AQ57+AQ68</f>
        <v>256651</v>
      </c>
      <c r="AR58" s="88">
        <f>AR57+AR68</f>
        <v>288667</v>
      </c>
      <c r="AS58" s="88">
        <f t="shared" si="145"/>
        <v>299441</v>
      </c>
      <c r="AT58" s="86">
        <f t="shared" si="145"/>
        <v>1143651</v>
      </c>
      <c r="AU58" s="88">
        <f t="shared" si="145"/>
        <v>260158</v>
      </c>
      <c r="AV58" s="88">
        <f t="shared" si="145"/>
        <v>293080</v>
      </c>
      <c r="AW58" s="88">
        <f>AW57+AW68</f>
        <v>310043</v>
      </c>
      <c r="AX58" s="88">
        <f t="shared" si="145"/>
        <v>314489</v>
      </c>
      <c r="AY58" s="86">
        <f t="shared" ref="AY58:CC58" si="146">AY57+AY68</f>
        <v>1177770</v>
      </c>
      <c r="AZ58" s="88">
        <f t="shared" si="146"/>
        <v>288039</v>
      </c>
      <c r="BA58" s="88">
        <f t="shared" si="146"/>
        <v>291731</v>
      </c>
      <c r="BB58" s="88">
        <f t="shared" si="146"/>
        <v>292129</v>
      </c>
      <c r="BC58" s="88">
        <f t="shared" si="146"/>
        <v>257535</v>
      </c>
      <c r="BD58" s="86">
        <f t="shared" si="146"/>
        <v>1129434</v>
      </c>
      <c r="BE58" s="88">
        <f t="shared" si="146"/>
        <v>186565</v>
      </c>
      <c r="BF58" s="88">
        <f t="shared" si="146"/>
        <v>261137</v>
      </c>
      <c r="BG58" s="88">
        <f t="shared" si="146"/>
        <v>226402</v>
      </c>
      <c r="BH58" s="88">
        <f t="shared" si="146"/>
        <v>163242</v>
      </c>
      <c r="BI58" s="86">
        <f t="shared" si="146"/>
        <v>837346</v>
      </c>
      <c r="BJ58" s="88">
        <f>BJ57+BJ68</f>
        <v>160182</v>
      </c>
      <c r="BK58" s="88">
        <f t="shared" si="146"/>
        <v>98307</v>
      </c>
      <c r="BL58" s="88">
        <f t="shared" si="146"/>
        <v>118245</v>
      </c>
      <c r="BM58" s="88">
        <f t="shared" si="146"/>
        <v>94124</v>
      </c>
      <c r="BN58" s="86">
        <f t="shared" si="146"/>
        <v>470858</v>
      </c>
      <c r="BO58" s="88">
        <f t="shared" si="146"/>
        <v>101201</v>
      </c>
      <c r="BP58" s="88">
        <f t="shared" si="146"/>
        <v>-82779</v>
      </c>
      <c r="BQ58" s="88">
        <f t="shared" si="146"/>
        <v>31821</v>
      </c>
      <c r="BR58" s="88">
        <f>BR57+BR68</f>
        <v>57632</v>
      </c>
      <c r="BS58" s="86">
        <f t="shared" si="146"/>
        <v>107875</v>
      </c>
      <c r="BT58" s="88">
        <f t="shared" si="146"/>
        <v>5663</v>
      </c>
      <c r="BU58" s="88">
        <f t="shared" si="146"/>
        <v>15129</v>
      </c>
      <c r="BV58" s="88">
        <f t="shared" si="146"/>
        <v>-44829</v>
      </c>
      <c r="BW58" s="456">
        <f>BW57+BW68+BW30</f>
        <v>139911</v>
      </c>
      <c r="BX58" s="86">
        <f t="shared" si="146"/>
        <v>95874</v>
      </c>
      <c r="BY58" s="88">
        <f t="shared" si="146"/>
        <v>126684</v>
      </c>
      <c r="BZ58" s="88">
        <f>BZ57+BZ68</f>
        <v>102510</v>
      </c>
      <c r="CA58" s="88">
        <f t="shared" si="146"/>
        <v>149795</v>
      </c>
      <c r="CB58" s="88">
        <f t="shared" si="146"/>
        <v>262781</v>
      </c>
      <c r="CC58" s="86">
        <f t="shared" si="146"/>
        <v>641770</v>
      </c>
      <c r="CD58" s="88">
        <f t="shared" ref="CD58:DG58" si="147">CD57+CD68</f>
        <v>79984</v>
      </c>
      <c r="CE58" s="88">
        <f t="shared" si="147"/>
        <v>111840</v>
      </c>
      <c r="CF58" s="88">
        <f t="shared" si="147"/>
        <v>221112</v>
      </c>
      <c r="CG58" s="88">
        <f t="shared" si="147"/>
        <v>226746</v>
      </c>
      <c r="CH58" s="86">
        <f t="shared" si="147"/>
        <v>639682</v>
      </c>
      <c r="CI58" s="88">
        <f t="shared" si="147"/>
        <v>156079</v>
      </c>
      <c r="CJ58" s="88">
        <f>CJ57+CJ68</f>
        <v>248539</v>
      </c>
      <c r="CK58" s="88">
        <f>CK57+CK68</f>
        <v>228262</v>
      </c>
      <c r="CL58" s="88">
        <f>CL57+CL68</f>
        <v>219311</v>
      </c>
      <c r="CM58" s="86">
        <f t="shared" si="147"/>
        <v>852191</v>
      </c>
      <c r="CN58" s="88">
        <f>CN57+CN68</f>
        <v>152203</v>
      </c>
      <c r="CO58" s="88">
        <f t="shared" si="147"/>
        <v>156659</v>
      </c>
      <c r="CP58" s="88">
        <f t="shared" si="147"/>
        <v>321002</v>
      </c>
      <c r="CQ58" s="88">
        <f t="shared" si="147"/>
        <v>211627</v>
      </c>
      <c r="CR58" s="86">
        <f t="shared" si="147"/>
        <v>841491</v>
      </c>
      <c r="CS58" s="88">
        <f t="shared" si="147"/>
        <v>184271</v>
      </c>
      <c r="CT58" s="88">
        <f>CT57+CT68</f>
        <v>332097</v>
      </c>
      <c r="CU58" s="88">
        <f>CU57+CU68</f>
        <v>300438</v>
      </c>
      <c r="CV58" s="88">
        <f>CV57+CV68</f>
        <v>252210</v>
      </c>
      <c r="CW58" s="86">
        <f t="shared" si="147"/>
        <v>1069016</v>
      </c>
      <c r="CX58" s="88">
        <f>CX57+CX68</f>
        <v>288575</v>
      </c>
      <c r="CY58" s="88">
        <f t="shared" si="147"/>
        <v>409645</v>
      </c>
      <c r="CZ58" s="88">
        <f>CZ57+CZ68</f>
        <v>493437</v>
      </c>
      <c r="DA58" s="88">
        <f>DA57+DA68</f>
        <v>534308</v>
      </c>
      <c r="DB58" s="86">
        <f t="shared" si="147"/>
        <v>1725965</v>
      </c>
      <c r="DC58" s="88">
        <f>DC57+DC68</f>
        <v>333171</v>
      </c>
      <c r="DD58" s="88">
        <f t="shared" ref="DD58" si="148">DD57+DD68</f>
        <v>392064</v>
      </c>
      <c r="DE58" s="88">
        <f>DE57+DE68</f>
        <v>414661</v>
      </c>
      <c r="DF58" s="88">
        <f>DF57+DF68</f>
        <v>705984</v>
      </c>
      <c r="DG58" s="86">
        <f t="shared" si="147"/>
        <v>1845880</v>
      </c>
      <c r="DH58" s="88">
        <f>DH57+DH68</f>
        <v>365264</v>
      </c>
      <c r="DI58" s="88">
        <f t="shared" ref="DI58" si="149">DI57+DI68</f>
        <v>511756</v>
      </c>
      <c r="DJ58" s="88">
        <f>DJ57+DJ68</f>
        <v>571699.90517564712</v>
      </c>
      <c r="DK58" s="88">
        <f>DK57+DK68</f>
        <v>651970.45440780581</v>
      </c>
      <c r="DL58" s="86">
        <f>DL57+DL68</f>
        <v>2100690.3595834537</v>
      </c>
      <c r="DM58" s="88">
        <f t="shared" ref="DM58:EF58" si="150">DM57+DM68</f>
        <v>599163.79693914403</v>
      </c>
      <c r="DN58" s="88">
        <f t="shared" si="150"/>
        <v>610690.83713787503</v>
      </c>
      <c r="DO58" s="88">
        <f t="shared" si="150"/>
        <v>623107.96396778151</v>
      </c>
      <c r="DP58" s="88">
        <f t="shared" si="150"/>
        <v>666612.54891409213</v>
      </c>
      <c r="DQ58" s="86">
        <f t="shared" si="150"/>
        <v>2499575.1469588918</v>
      </c>
      <c r="DR58" s="88">
        <f t="shared" si="150"/>
        <v>690547.80957587087</v>
      </c>
      <c r="DS58" s="88">
        <f t="shared" si="150"/>
        <v>694165.47270676761</v>
      </c>
      <c r="DT58" s="88">
        <f t="shared" si="150"/>
        <v>701531.82529853773</v>
      </c>
      <c r="DU58" s="88">
        <f t="shared" si="150"/>
        <v>740020.09704969614</v>
      </c>
      <c r="DV58" s="86">
        <f t="shared" si="150"/>
        <v>2826265.2046308746</v>
      </c>
      <c r="DW58" s="88">
        <f t="shared" si="150"/>
        <v>760784.78977043729</v>
      </c>
      <c r="DX58" s="88">
        <f t="shared" si="150"/>
        <v>761902.480686303</v>
      </c>
      <c r="DY58" s="88">
        <f t="shared" si="150"/>
        <v>766661.55360919563</v>
      </c>
      <c r="DZ58" s="88">
        <f t="shared" si="150"/>
        <v>802490.42680938565</v>
      </c>
      <c r="EA58" s="86">
        <f t="shared" si="150"/>
        <v>3091839.2508753221</v>
      </c>
      <c r="EB58" s="88">
        <f t="shared" si="150"/>
        <v>823905.04840355867</v>
      </c>
      <c r="EC58" s="88">
        <f t="shared" si="150"/>
        <v>823754.8425663535</v>
      </c>
      <c r="ED58" s="88">
        <f t="shared" si="150"/>
        <v>826942.62191818329</v>
      </c>
      <c r="EE58" s="88">
        <f t="shared" si="150"/>
        <v>860010.36213601578</v>
      </c>
      <c r="EF58" s="86">
        <f t="shared" si="150"/>
        <v>3334612.8750241119</v>
      </c>
    </row>
    <row r="59" spans="1:138" ht="12.75" customHeight="1">
      <c r="A59" s="104" t="s">
        <v>691</v>
      </c>
      <c r="B59" s="114">
        <f t="shared" ref="B59:BH59" si="151">B60+B61</f>
        <v>-322.5</v>
      </c>
      <c r="C59" s="114">
        <f t="shared" si="151"/>
        <v>-322.5</v>
      </c>
      <c r="D59" s="114">
        <f t="shared" si="151"/>
        <v>4723</v>
      </c>
      <c r="E59" s="114">
        <f t="shared" si="151"/>
        <v>2765</v>
      </c>
      <c r="F59" s="130">
        <f t="shared" si="151"/>
        <v>6843</v>
      </c>
      <c r="G59" s="114">
        <f t="shared" si="151"/>
        <v>-1143</v>
      </c>
      <c r="H59" s="114">
        <f t="shared" si="151"/>
        <v>7287</v>
      </c>
      <c r="I59" s="114">
        <f t="shared" si="151"/>
        <v>-8873</v>
      </c>
      <c r="J59" s="114">
        <f t="shared" si="151"/>
        <v>9717</v>
      </c>
      <c r="K59" s="130">
        <f t="shared" si="151"/>
        <v>6988</v>
      </c>
      <c r="L59" s="114">
        <f t="shared" si="151"/>
        <v>17909</v>
      </c>
      <c r="M59" s="114">
        <f t="shared" si="151"/>
        <v>21099</v>
      </c>
      <c r="N59" s="114">
        <f t="shared" si="151"/>
        <v>18095</v>
      </c>
      <c r="O59" s="114">
        <f t="shared" si="151"/>
        <v>23740</v>
      </c>
      <c r="P59" s="130">
        <f t="shared" si="151"/>
        <v>80843</v>
      </c>
      <c r="Q59" s="114">
        <f t="shared" si="151"/>
        <v>485</v>
      </c>
      <c r="R59" s="114">
        <f t="shared" si="151"/>
        <v>16529.000000000007</v>
      </c>
      <c r="S59" s="114">
        <f t="shared" si="151"/>
        <v>11403</v>
      </c>
      <c r="T59" s="114">
        <f t="shared" si="151"/>
        <v>26777</v>
      </c>
      <c r="U59" s="130">
        <f t="shared" si="151"/>
        <v>55194</v>
      </c>
      <c r="V59" s="114">
        <f t="shared" si="151"/>
        <v>22</v>
      </c>
      <c r="W59" s="114">
        <f t="shared" si="151"/>
        <v>8204</v>
      </c>
      <c r="X59" s="114">
        <f t="shared" si="151"/>
        <v>-36205</v>
      </c>
      <c r="Y59" s="114">
        <f>Y60+Y61</f>
        <v>1033</v>
      </c>
      <c r="Z59" s="130">
        <f t="shared" si="151"/>
        <v>-26946</v>
      </c>
      <c r="AA59" s="114">
        <f>AA60+AA61</f>
        <v>-9908</v>
      </c>
      <c r="AB59" s="114">
        <f>AB60+AB61</f>
        <v>-17114</v>
      </c>
      <c r="AC59" s="114">
        <f>AC60+AC61</f>
        <v>-23545</v>
      </c>
      <c r="AD59" s="114">
        <f t="shared" si="151"/>
        <v>-3918</v>
      </c>
      <c r="AE59" s="130">
        <f>AE60+AE61</f>
        <v>-54485</v>
      </c>
      <c r="AF59" s="114">
        <f>AF60+AF61</f>
        <v>-4162</v>
      </c>
      <c r="AG59" s="114">
        <f>AG60+AG61</f>
        <v>1185</v>
      </c>
      <c r="AH59" s="114">
        <f>AH60+AH61</f>
        <v>5007</v>
      </c>
      <c r="AI59" s="114">
        <f>AI60+AI61</f>
        <v>-32993</v>
      </c>
      <c r="AJ59" s="130">
        <f t="shared" si="151"/>
        <v>-30963</v>
      </c>
      <c r="AK59" s="114">
        <f t="shared" si="151"/>
        <v>-35877</v>
      </c>
      <c r="AL59" s="114">
        <f>AL60+AL61</f>
        <v>-35791</v>
      </c>
      <c r="AM59" s="114">
        <f t="shared" si="151"/>
        <v>-53541</v>
      </c>
      <c r="AN59" s="114">
        <f t="shared" si="151"/>
        <v>-17368</v>
      </c>
      <c r="AO59" s="130">
        <f t="shared" si="151"/>
        <v>-142577</v>
      </c>
      <c r="AP59" s="114">
        <f t="shared" si="151"/>
        <v>-33428</v>
      </c>
      <c r="AQ59" s="114">
        <f>AQ60+AQ61</f>
        <v>-32002</v>
      </c>
      <c r="AR59" s="114">
        <f>AR60+AR61</f>
        <v>-40459</v>
      </c>
      <c r="AS59" s="114">
        <f t="shared" si="151"/>
        <v>-61827</v>
      </c>
      <c r="AT59" s="130">
        <f t="shared" si="151"/>
        <v>-167716</v>
      </c>
      <c r="AU59" s="114">
        <f t="shared" si="151"/>
        <v>-20177</v>
      </c>
      <c r="AV59" s="114">
        <f t="shared" si="151"/>
        <v>-23478</v>
      </c>
      <c r="AW59" s="114">
        <f>AW60+AW61</f>
        <v>-44816</v>
      </c>
      <c r="AX59" s="114">
        <f t="shared" si="151"/>
        <v>-70027</v>
      </c>
      <c r="AY59" s="130">
        <f t="shared" si="151"/>
        <v>-158498</v>
      </c>
      <c r="AZ59" s="114">
        <f>AZ60+AZ61</f>
        <v>-39112</v>
      </c>
      <c r="BA59" s="114">
        <f t="shared" si="151"/>
        <v>-49535</v>
      </c>
      <c r="BB59" s="114">
        <f t="shared" si="151"/>
        <v>-49653</v>
      </c>
      <c r="BC59" s="114">
        <f t="shared" si="151"/>
        <v>-53284</v>
      </c>
      <c r="BD59" s="130">
        <f t="shared" si="151"/>
        <v>-191584</v>
      </c>
      <c r="BE59" s="114">
        <f t="shared" si="151"/>
        <v>-37883</v>
      </c>
      <c r="BF59" s="114">
        <f t="shared" si="151"/>
        <v>-50839</v>
      </c>
      <c r="BG59" s="114">
        <f t="shared" si="151"/>
        <v>-37917</v>
      </c>
      <c r="BH59" s="114">
        <f t="shared" si="151"/>
        <v>-26765</v>
      </c>
      <c r="BI59" s="130">
        <f t="shared" ref="BI59:CC59" si="152">BI60+BI61</f>
        <v>-153404</v>
      </c>
      <c r="BJ59" s="114">
        <f t="shared" si="152"/>
        <v>-30100</v>
      </c>
      <c r="BK59" s="114">
        <f t="shared" si="152"/>
        <v>-22116</v>
      </c>
      <c r="BL59" s="114">
        <f t="shared" si="152"/>
        <v>-36960</v>
      </c>
      <c r="BM59" s="114">
        <f t="shared" si="152"/>
        <v>-34433</v>
      </c>
      <c r="BN59" s="130">
        <f t="shared" si="152"/>
        <v>-123609</v>
      </c>
      <c r="BO59" s="114">
        <f t="shared" si="152"/>
        <v>-31914</v>
      </c>
      <c r="BP59" s="114">
        <f t="shared" si="152"/>
        <v>-42891</v>
      </c>
      <c r="BQ59" s="114">
        <f t="shared" si="152"/>
        <v>-27693</v>
      </c>
      <c r="BR59" s="114">
        <f>BR60+BR61</f>
        <v>-33656</v>
      </c>
      <c r="BS59" s="130">
        <f t="shared" si="152"/>
        <v>-136154</v>
      </c>
      <c r="BT59" s="114">
        <f t="shared" si="152"/>
        <v>-22845</v>
      </c>
      <c r="BU59" s="114">
        <f t="shared" si="152"/>
        <v>-24507</v>
      </c>
      <c r="BV59" s="114">
        <f t="shared" si="152"/>
        <v>-33651</v>
      </c>
      <c r="BW59" s="114">
        <f t="shared" si="152"/>
        <v>-6596</v>
      </c>
      <c r="BX59" s="130">
        <f t="shared" si="152"/>
        <v>-87599</v>
      </c>
      <c r="BY59" s="114">
        <f t="shared" si="152"/>
        <v>-21971</v>
      </c>
      <c r="BZ59" s="114">
        <f>BZ60+BZ61</f>
        <v>-387</v>
      </c>
      <c r="CA59" s="114">
        <f t="shared" si="152"/>
        <v>-11107</v>
      </c>
      <c r="CB59" s="114">
        <f t="shared" si="152"/>
        <v>-17336</v>
      </c>
      <c r="CC59" s="130">
        <f t="shared" si="152"/>
        <v>-50801</v>
      </c>
      <c r="CD59" s="114">
        <f t="shared" ref="CD59:DG59" si="153">CD60+CD61</f>
        <v>-8392</v>
      </c>
      <c r="CE59" s="114">
        <f t="shared" si="153"/>
        <v>-10325</v>
      </c>
      <c r="CF59" s="114">
        <f t="shared" si="153"/>
        <v>6214</v>
      </c>
      <c r="CG59" s="114">
        <f t="shared" si="153"/>
        <v>29651</v>
      </c>
      <c r="CH59" s="130">
        <f t="shared" si="153"/>
        <v>17148</v>
      </c>
      <c r="CI59" s="114">
        <f t="shared" si="153"/>
        <v>1876</v>
      </c>
      <c r="CJ59" s="114">
        <f>CJ60+CJ61</f>
        <v>-1083</v>
      </c>
      <c r="CK59" s="114">
        <f>CK60+CK61</f>
        <v>-2736</v>
      </c>
      <c r="CL59" s="114">
        <f>CL60+CL61</f>
        <v>-1309</v>
      </c>
      <c r="CM59" s="130">
        <f t="shared" si="153"/>
        <v>-3252</v>
      </c>
      <c r="CN59" s="114">
        <f>CN60+CN61</f>
        <v>-6934</v>
      </c>
      <c r="CO59" s="114">
        <f t="shared" si="153"/>
        <v>5990</v>
      </c>
      <c r="CP59" s="114">
        <f t="shared" si="153"/>
        <v>-15764</v>
      </c>
      <c r="CQ59" s="114">
        <f t="shared" si="153"/>
        <v>3021</v>
      </c>
      <c r="CR59" s="130">
        <f t="shared" si="153"/>
        <v>-13687</v>
      </c>
      <c r="CS59" s="114">
        <f t="shared" si="153"/>
        <v>20912</v>
      </c>
      <c r="CT59" s="114">
        <f>CT60+CT61</f>
        <v>-1198</v>
      </c>
      <c r="CU59" s="114">
        <f>CU60+CU61</f>
        <v>-1920</v>
      </c>
      <c r="CV59" s="114">
        <f>CV60+CV61</f>
        <v>4291</v>
      </c>
      <c r="CW59" s="130">
        <f t="shared" si="153"/>
        <v>22085</v>
      </c>
      <c r="CX59" s="114">
        <f>CX60+CX61</f>
        <v>-13984</v>
      </c>
      <c r="CY59" s="114">
        <f t="shared" si="153"/>
        <v>9497</v>
      </c>
      <c r="CZ59" s="114">
        <f>CZ60+CZ61</f>
        <v>3356</v>
      </c>
      <c r="DA59" s="114">
        <f>DA60+DA61</f>
        <v>-19173</v>
      </c>
      <c r="DB59" s="130">
        <f t="shared" si="153"/>
        <v>-20304</v>
      </c>
      <c r="DC59" s="114">
        <f>DC60+DC61</f>
        <v>22506</v>
      </c>
      <c r="DD59" s="114">
        <f t="shared" ref="DD59" si="154">DD60+DD61</f>
        <v>20865</v>
      </c>
      <c r="DE59" s="114">
        <f>DE60+DE61</f>
        <v>7880</v>
      </c>
      <c r="DF59" s="114">
        <f>DF60+DF61</f>
        <v>18198</v>
      </c>
      <c r="DG59" s="130">
        <f t="shared" si="153"/>
        <v>69449</v>
      </c>
      <c r="DH59" s="114">
        <f>DH60+DH61</f>
        <v>-27541</v>
      </c>
      <c r="DI59" s="114">
        <f t="shared" ref="DI59" si="155">DI60+DI61</f>
        <v>-3444</v>
      </c>
      <c r="DJ59" s="114">
        <f ca="1">DJ60+DJ61</f>
        <v>4220.5815787357278</v>
      </c>
      <c r="DK59" s="114">
        <f ca="1">DK60+DK61</f>
        <v>1202.878955535125</v>
      </c>
      <c r="DL59" s="130">
        <f ca="1">DL60+DL61</f>
        <v>-25561.539465729147</v>
      </c>
      <c r="DM59" s="114">
        <f t="shared" ref="DM59:EF59" ca="1" si="156">DM60+DM61</f>
        <v>-20624.905041587946</v>
      </c>
      <c r="DN59" s="114">
        <f t="shared" ca="1" si="156"/>
        <v>-24495.692162654537</v>
      </c>
      <c r="DO59" s="114">
        <f t="shared" ca="1" si="156"/>
        <v>-47216.586001810152</v>
      </c>
      <c r="DP59" s="114">
        <f t="shared" ca="1" si="156"/>
        <v>-58218.114163702558</v>
      </c>
      <c r="DQ59" s="130">
        <f t="shared" ca="1" si="156"/>
        <v>-150555.29736975511</v>
      </c>
      <c r="DR59" s="114">
        <f t="shared" ca="1" si="156"/>
        <v>-51656.607673311897</v>
      </c>
      <c r="DS59" s="114">
        <f t="shared" ca="1" si="156"/>
        <v>-96146.327987594443</v>
      </c>
      <c r="DT59" s="114">
        <f t="shared" ca="1" si="156"/>
        <v>-113632.40321220274</v>
      </c>
      <c r="DU59" s="114">
        <f t="shared" ca="1" si="156"/>
        <v>-93390.577288743778</v>
      </c>
      <c r="DV59" s="130">
        <f t="shared" ca="1" si="156"/>
        <v>-354825.91616185266</v>
      </c>
      <c r="DW59" s="114">
        <f t="shared" ca="1" si="156"/>
        <v>-86195.059597254731</v>
      </c>
      <c r="DX59" s="114">
        <f t="shared" ca="1" si="156"/>
        <v>-136333.22713851446</v>
      </c>
      <c r="DY59" s="114">
        <f t="shared" ca="1" si="156"/>
        <v>-157665.21414481563</v>
      </c>
      <c r="DZ59" s="114">
        <f t="shared" ca="1" si="156"/>
        <v>-121315.20914087776</v>
      </c>
      <c r="EA59" s="130">
        <f t="shared" ca="1" si="156"/>
        <v>-501508.71002146264</v>
      </c>
      <c r="EB59" s="114">
        <f t="shared" ca="1" si="156"/>
        <v>-97092.914154155704</v>
      </c>
      <c r="EC59" s="114">
        <f t="shared" ca="1" si="156"/>
        <v>-139856.1494363228</v>
      </c>
      <c r="ED59" s="114">
        <f t="shared" ca="1" si="156"/>
        <v>-158459.46668319407</v>
      </c>
      <c r="EE59" s="114">
        <f t="shared" ca="1" si="156"/>
        <v>-119329.40527990556</v>
      </c>
      <c r="EF59" s="130">
        <f t="shared" ca="1" si="156"/>
        <v>-514737.93555357808</v>
      </c>
    </row>
    <row r="60" spans="1:138" ht="12.75" customHeight="1" outlineLevel="1">
      <c r="A60" s="104" t="s">
        <v>5</v>
      </c>
      <c r="B60" s="114">
        <f t="shared" ref="B60:T60" si="157">B23+B29+B27</f>
        <v>9849</v>
      </c>
      <c r="C60" s="114">
        <f t="shared" si="157"/>
        <v>9849</v>
      </c>
      <c r="D60" s="114">
        <f t="shared" si="157"/>
        <v>14877</v>
      </c>
      <c r="E60" s="114">
        <f t="shared" si="157"/>
        <v>9124</v>
      </c>
      <c r="F60" s="130">
        <f t="shared" si="157"/>
        <v>43699</v>
      </c>
      <c r="G60" s="114">
        <f t="shared" si="157"/>
        <v>11688</v>
      </c>
      <c r="H60" s="114">
        <f t="shared" si="157"/>
        <v>19433</v>
      </c>
      <c r="I60" s="114">
        <f t="shared" si="157"/>
        <v>5656</v>
      </c>
      <c r="J60" s="114">
        <f t="shared" si="157"/>
        <v>21014</v>
      </c>
      <c r="K60" s="130">
        <f t="shared" si="157"/>
        <v>57791</v>
      </c>
      <c r="L60" s="114">
        <f t="shared" si="157"/>
        <v>29751</v>
      </c>
      <c r="M60" s="114">
        <f t="shared" si="157"/>
        <v>31770</v>
      </c>
      <c r="N60" s="114">
        <f t="shared" si="157"/>
        <v>34091</v>
      </c>
      <c r="O60" s="114">
        <f t="shared" si="157"/>
        <v>37681</v>
      </c>
      <c r="P60" s="130">
        <f t="shared" si="157"/>
        <v>133293</v>
      </c>
      <c r="Q60" s="114">
        <f t="shared" si="157"/>
        <v>19763</v>
      </c>
      <c r="R60" s="114">
        <f t="shared" si="157"/>
        <v>47993.000000000007</v>
      </c>
      <c r="S60" s="114">
        <f t="shared" si="157"/>
        <v>44601</v>
      </c>
      <c r="T60" s="114">
        <f t="shared" si="157"/>
        <v>59759</v>
      </c>
      <c r="U60" s="130">
        <f>U23+U29+U27</f>
        <v>172116</v>
      </c>
      <c r="V60" s="114">
        <f t="shared" ref="V60:CC60" si="158">V23+V29+V27</f>
        <v>37046</v>
      </c>
      <c r="W60" s="114">
        <f>W23+W29+W27</f>
        <v>55234</v>
      </c>
      <c r="X60" s="114">
        <f t="shared" si="158"/>
        <v>20683</v>
      </c>
      <c r="Y60" s="114">
        <f>Y23+Y29+Y27</f>
        <v>77777</v>
      </c>
      <c r="Z60" s="130">
        <f t="shared" si="158"/>
        <v>190740</v>
      </c>
      <c r="AA60" s="114">
        <f>AA23+AA29+AA27</f>
        <v>55187</v>
      </c>
      <c r="AB60" s="114">
        <f>AB23+AB29+AB27</f>
        <v>47545</v>
      </c>
      <c r="AC60" s="114">
        <f>AC23+AC29+AC27</f>
        <v>41683</v>
      </c>
      <c r="AD60" s="114">
        <f t="shared" si="158"/>
        <v>66387</v>
      </c>
      <c r="AE60" s="130">
        <f>AE23+AE29+AE27</f>
        <v>210802</v>
      </c>
      <c r="AF60" s="114">
        <f>AF23+AF29+AF27</f>
        <v>57269</v>
      </c>
      <c r="AG60" s="114">
        <f>AG23+AG29+AG27</f>
        <v>79023</v>
      </c>
      <c r="AH60" s="114">
        <f>AH23+AH29+AH27</f>
        <v>82309</v>
      </c>
      <c r="AI60" s="114">
        <f>AI23+AI29+AI27</f>
        <v>69011</v>
      </c>
      <c r="AJ60" s="130">
        <f t="shared" si="158"/>
        <v>287612</v>
      </c>
      <c r="AK60" s="114">
        <f t="shared" si="158"/>
        <v>59606</v>
      </c>
      <c r="AL60" s="114">
        <f>AL23+AL29+AL27</f>
        <v>76135</v>
      </c>
      <c r="AM60" s="114">
        <f t="shared" si="158"/>
        <v>101379</v>
      </c>
      <c r="AN60" s="114">
        <f t="shared" si="158"/>
        <v>126215</v>
      </c>
      <c r="AO60" s="130">
        <f t="shared" si="158"/>
        <v>363335</v>
      </c>
      <c r="AP60" s="114">
        <f t="shared" si="158"/>
        <v>78009</v>
      </c>
      <c r="AQ60" s="114">
        <f>AQ23+AQ29+AQ27</f>
        <v>78349</v>
      </c>
      <c r="AR60" s="114">
        <f t="shared" si="158"/>
        <v>47580</v>
      </c>
      <c r="AS60" s="114">
        <f t="shared" si="158"/>
        <v>45364</v>
      </c>
      <c r="AT60" s="130">
        <f t="shared" si="158"/>
        <v>249302</v>
      </c>
      <c r="AU60" s="114">
        <f t="shared" si="158"/>
        <v>50737</v>
      </c>
      <c r="AV60" s="114">
        <f t="shared" si="158"/>
        <v>48469</v>
      </c>
      <c r="AW60" s="114">
        <f t="shared" si="158"/>
        <v>50340</v>
      </c>
      <c r="AX60" s="114">
        <f t="shared" si="158"/>
        <v>57620</v>
      </c>
      <c r="AY60" s="130">
        <f t="shared" si="158"/>
        <v>207166</v>
      </c>
      <c r="AZ60" s="114">
        <f>AZ23+AZ29+AZ27</f>
        <v>69890</v>
      </c>
      <c r="BA60" s="114">
        <f t="shared" si="158"/>
        <v>72020</v>
      </c>
      <c r="BB60" s="114">
        <f t="shared" si="158"/>
        <v>68287</v>
      </c>
      <c r="BC60" s="114">
        <f t="shared" si="158"/>
        <v>68446</v>
      </c>
      <c r="BD60" s="130">
        <f t="shared" si="158"/>
        <v>278643</v>
      </c>
      <c r="BE60" s="114">
        <f t="shared" si="158"/>
        <v>70199</v>
      </c>
      <c r="BF60" s="114">
        <f t="shared" si="158"/>
        <v>78523</v>
      </c>
      <c r="BG60" s="114">
        <f t="shared" si="158"/>
        <v>92358</v>
      </c>
      <c r="BH60" s="114">
        <f t="shared" si="158"/>
        <v>89805</v>
      </c>
      <c r="BI60" s="130">
        <f t="shared" si="158"/>
        <v>330885</v>
      </c>
      <c r="BJ60" s="114">
        <f t="shared" si="158"/>
        <v>79540</v>
      </c>
      <c r="BK60" s="114">
        <f t="shared" si="158"/>
        <v>82849</v>
      </c>
      <c r="BL60" s="114">
        <f t="shared" si="158"/>
        <v>72404</v>
      </c>
      <c r="BM60" s="114">
        <f t="shared" si="158"/>
        <v>70900</v>
      </c>
      <c r="BN60" s="130">
        <f t="shared" si="158"/>
        <v>305693</v>
      </c>
      <c r="BO60" s="114">
        <f t="shared" si="158"/>
        <v>64967</v>
      </c>
      <c r="BP60" s="114">
        <f t="shared" si="158"/>
        <v>49577</v>
      </c>
      <c r="BQ60" s="114">
        <f t="shared" si="158"/>
        <v>53730</v>
      </c>
      <c r="BR60" s="114">
        <f>BR23+BR29+BR27</f>
        <v>37118</v>
      </c>
      <c r="BS60" s="130">
        <f t="shared" si="158"/>
        <v>205392</v>
      </c>
      <c r="BT60" s="114">
        <f t="shared" si="158"/>
        <v>31953</v>
      </c>
      <c r="BU60" s="114">
        <f t="shared" si="158"/>
        <v>33070</v>
      </c>
      <c r="BV60" s="114">
        <f t="shared" si="158"/>
        <v>49281</v>
      </c>
      <c r="BW60" s="114">
        <f t="shared" si="158"/>
        <v>58702</v>
      </c>
      <c r="BX60" s="130">
        <f t="shared" si="158"/>
        <v>173006</v>
      </c>
      <c r="BY60" s="114">
        <f t="shared" si="158"/>
        <v>40108</v>
      </c>
      <c r="BZ60" s="114">
        <f>BZ23+BZ29+BZ27</f>
        <v>49286</v>
      </c>
      <c r="CA60" s="114">
        <f t="shared" si="158"/>
        <v>47956</v>
      </c>
      <c r="CB60" s="114">
        <f t="shared" si="158"/>
        <v>43172</v>
      </c>
      <c r="CC60" s="130">
        <f t="shared" si="158"/>
        <v>180522</v>
      </c>
      <c r="CD60" s="114">
        <f t="shared" ref="CD60:CW60" si="159">CD23+CD29+CD27</f>
        <v>31141</v>
      </c>
      <c r="CE60" s="114">
        <f t="shared" si="159"/>
        <v>42555</v>
      </c>
      <c r="CF60" s="114">
        <f t="shared" si="159"/>
        <v>55454</v>
      </c>
      <c r="CG60" s="114">
        <f t="shared" si="159"/>
        <v>73281</v>
      </c>
      <c r="CH60" s="130">
        <f t="shared" si="159"/>
        <v>202431</v>
      </c>
      <c r="CI60" s="114">
        <f t="shared" si="159"/>
        <v>53921</v>
      </c>
      <c r="CJ60" s="114">
        <f>CJ23+CJ29+CJ27</f>
        <v>51865</v>
      </c>
      <c r="CK60" s="114">
        <f>CK23+CK29+CK27</f>
        <v>71473</v>
      </c>
      <c r="CL60" s="114">
        <f>CL23+CL29+CL27</f>
        <v>94603</v>
      </c>
      <c r="CM60" s="130">
        <f t="shared" si="159"/>
        <v>271862</v>
      </c>
      <c r="CN60" s="114">
        <f>CN23+CN29+CN27</f>
        <v>95875</v>
      </c>
      <c r="CO60" s="114">
        <f t="shared" si="159"/>
        <v>130109</v>
      </c>
      <c r="CP60" s="114">
        <f t="shared" si="159"/>
        <v>130948</v>
      </c>
      <c r="CQ60" s="114">
        <f t="shared" si="159"/>
        <v>215781</v>
      </c>
      <c r="CR60" s="130">
        <f t="shared" si="159"/>
        <v>572713</v>
      </c>
      <c r="CS60" s="114">
        <f t="shared" si="159"/>
        <v>190820</v>
      </c>
      <c r="CT60" s="114">
        <f>CT23+CT29+CT27</f>
        <v>178032</v>
      </c>
      <c r="CU60" s="114">
        <f>CU23+CU29+CU27</f>
        <v>156108</v>
      </c>
      <c r="CV60" s="114">
        <f>CV23+CV29+CV27</f>
        <v>169765</v>
      </c>
      <c r="CW60" s="130">
        <f t="shared" si="159"/>
        <v>694725</v>
      </c>
      <c r="CX60" s="114">
        <f>CX23+CX29+CX27</f>
        <v>157466</v>
      </c>
      <c r="CY60" s="114">
        <f t="shared" ref="CY60:EF60" si="160">CY23+CY29+CY27</f>
        <v>182301</v>
      </c>
      <c r="CZ60" s="114">
        <f>CZ23+CZ29+CZ27</f>
        <v>169528</v>
      </c>
      <c r="DA60" s="114">
        <f>DA23+DA29+DA27</f>
        <v>174178</v>
      </c>
      <c r="DB60" s="130">
        <f t="shared" si="160"/>
        <v>683473</v>
      </c>
      <c r="DC60" s="114">
        <f>DC23+DC29+DC27</f>
        <v>211618</v>
      </c>
      <c r="DD60" s="114">
        <f t="shared" ref="DD60" si="161">DD23+DD29+DD27</f>
        <v>252543</v>
      </c>
      <c r="DE60" s="114">
        <f>DE23+DE29+DE27</f>
        <v>246895</v>
      </c>
      <c r="DF60" s="114">
        <f>DF23+DF29+DF27</f>
        <v>264922</v>
      </c>
      <c r="DG60" s="130">
        <f t="shared" si="160"/>
        <v>975978</v>
      </c>
      <c r="DH60" s="114">
        <f>DH23+DH29+DH27</f>
        <v>260988</v>
      </c>
      <c r="DI60" s="114">
        <f t="shared" ref="DI60" si="162">DI23+DI29+DI27</f>
        <v>332564</v>
      </c>
      <c r="DJ60" s="114">
        <f t="shared" ca="1" si="160"/>
        <v>292265.94839594292</v>
      </c>
      <c r="DK60" s="114">
        <f t="shared" ca="1" si="160"/>
        <v>286597.36712577095</v>
      </c>
      <c r="DL60" s="130">
        <f t="shared" ca="1" si="160"/>
        <v>1172415.3155217138</v>
      </c>
      <c r="DM60" s="114">
        <f t="shared" ca="1" si="160"/>
        <v>275705.95636967628</v>
      </c>
      <c r="DN60" s="114">
        <f t="shared" ca="1" si="160"/>
        <v>280371.89966229338</v>
      </c>
      <c r="DO60" s="114">
        <f t="shared" ca="1" si="160"/>
        <v>259852.8131006835</v>
      </c>
      <c r="DP60" s="114">
        <f t="shared" ca="1" si="160"/>
        <v>254292.49369372634</v>
      </c>
      <c r="DQ60" s="130">
        <f t="shared" ca="1" si="160"/>
        <v>1070223.1628263795</v>
      </c>
      <c r="DR60" s="114">
        <f t="shared" ca="1" si="160"/>
        <v>247458.57352656045</v>
      </c>
      <c r="DS60" s="114">
        <f t="shared" ca="1" si="160"/>
        <v>212108.55294428326</v>
      </c>
      <c r="DT60" s="114">
        <f t="shared" ca="1" si="160"/>
        <v>197230.31841050027</v>
      </c>
      <c r="DU60" s="114">
        <f t="shared" ca="1" si="160"/>
        <v>223950.37473334241</v>
      </c>
      <c r="DV60" s="130">
        <f t="shared" ca="1" si="160"/>
        <v>880747.81961468654</v>
      </c>
      <c r="DW60" s="114">
        <f t="shared" ca="1" si="160"/>
        <v>234210.20470251614</v>
      </c>
      <c r="DX60" s="114">
        <f t="shared" ca="1" si="160"/>
        <v>192758.93245667225</v>
      </c>
      <c r="DY60" s="114">
        <f t="shared" ca="1" si="160"/>
        <v>173559.37226253696</v>
      </c>
      <c r="DZ60" s="114">
        <f t="shared" ca="1" si="160"/>
        <v>216686.8458347462</v>
      </c>
      <c r="EA60" s="130">
        <f t="shared" ca="1" si="160"/>
        <v>817215.35525647143</v>
      </c>
      <c r="EB60" s="114">
        <f t="shared" ca="1" si="160"/>
        <v>242536.12374585267</v>
      </c>
      <c r="EC60" s="114">
        <f t="shared" ca="1" si="160"/>
        <v>208281.49768170586</v>
      </c>
      <c r="ED60" s="114">
        <f t="shared" ca="1" si="160"/>
        <v>191577.17693560448</v>
      </c>
      <c r="EE60" s="114">
        <f t="shared" ca="1" si="160"/>
        <v>237758.80603903285</v>
      </c>
      <c r="EF60" s="130">
        <f t="shared" ca="1" si="160"/>
        <v>880153.60440219578</v>
      </c>
    </row>
    <row r="61" spans="1:138" ht="12.75" customHeight="1" outlineLevel="1">
      <c r="A61" s="104" t="s">
        <v>6</v>
      </c>
      <c r="B61" s="114">
        <f t="shared" ref="B61:L61" si="163">B25+B13</f>
        <v>-10171.5</v>
      </c>
      <c r="C61" s="114">
        <f t="shared" si="163"/>
        <v>-10171.5</v>
      </c>
      <c r="D61" s="114">
        <f t="shared" si="163"/>
        <v>-10154</v>
      </c>
      <c r="E61" s="114">
        <f t="shared" si="163"/>
        <v>-6359</v>
      </c>
      <c r="F61" s="130">
        <f t="shared" si="163"/>
        <v>-36856</v>
      </c>
      <c r="G61" s="114">
        <f t="shared" si="163"/>
        <v>-12831</v>
      </c>
      <c r="H61" s="114">
        <f t="shared" si="163"/>
        <v>-12146</v>
      </c>
      <c r="I61" s="114">
        <f t="shared" si="163"/>
        <v>-14529</v>
      </c>
      <c r="J61" s="114">
        <f t="shared" si="163"/>
        <v>-11297</v>
      </c>
      <c r="K61" s="130">
        <f t="shared" si="163"/>
        <v>-50803</v>
      </c>
      <c r="L61" s="114">
        <f t="shared" si="163"/>
        <v>-11842</v>
      </c>
      <c r="M61" s="114">
        <f t="shared" ref="M61:BX61" si="164">M25+M13</f>
        <v>-10671</v>
      </c>
      <c r="N61" s="114">
        <f t="shared" si="164"/>
        <v>-15996</v>
      </c>
      <c r="O61" s="114">
        <f t="shared" si="164"/>
        <v>-13941</v>
      </c>
      <c r="P61" s="130">
        <f t="shared" si="164"/>
        <v>-52450</v>
      </c>
      <c r="Q61" s="114">
        <f t="shared" si="164"/>
        <v>-19278</v>
      </c>
      <c r="R61" s="114">
        <f t="shared" si="164"/>
        <v>-31464</v>
      </c>
      <c r="S61" s="114">
        <f t="shared" si="164"/>
        <v>-33198</v>
      </c>
      <c r="T61" s="114">
        <f t="shared" si="164"/>
        <v>-32982</v>
      </c>
      <c r="U61" s="130">
        <f t="shared" si="164"/>
        <v>-116922</v>
      </c>
      <c r="V61" s="114">
        <f t="shared" si="164"/>
        <v>-37024</v>
      </c>
      <c r="W61" s="114">
        <f t="shared" si="164"/>
        <v>-47030</v>
      </c>
      <c r="X61" s="114">
        <f t="shared" si="164"/>
        <v>-56888</v>
      </c>
      <c r="Y61" s="114">
        <f t="shared" si="164"/>
        <v>-76744</v>
      </c>
      <c r="Z61" s="130">
        <f t="shared" si="164"/>
        <v>-217686</v>
      </c>
      <c r="AA61" s="114">
        <f t="shared" si="164"/>
        <v>-65095</v>
      </c>
      <c r="AB61" s="114">
        <f>AB25+AB13</f>
        <v>-64659</v>
      </c>
      <c r="AC61" s="114">
        <f>AC25+AC13</f>
        <v>-65228</v>
      </c>
      <c r="AD61" s="114">
        <f t="shared" si="164"/>
        <v>-70305</v>
      </c>
      <c r="AE61" s="130">
        <f t="shared" si="164"/>
        <v>-265287</v>
      </c>
      <c r="AF61" s="114">
        <f t="shared" si="164"/>
        <v>-61431</v>
      </c>
      <c r="AG61" s="114">
        <f>AG25+AG13</f>
        <v>-77838</v>
      </c>
      <c r="AH61" s="114">
        <f>AH25+AH13</f>
        <v>-77302</v>
      </c>
      <c r="AI61" s="114">
        <f>AI25+AI13</f>
        <v>-102004</v>
      </c>
      <c r="AJ61" s="130">
        <f t="shared" si="164"/>
        <v>-318575</v>
      </c>
      <c r="AK61" s="114">
        <f t="shared" si="164"/>
        <v>-95483</v>
      </c>
      <c r="AL61" s="114">
        <f>AL25+AL13</f>
        <v>-111926</v>
      </c>
      <c r="AM61" s="114">
        <f t="shared" si="164"/>
        <v>-154920</v>
      </c>
      <c r="AN61" s="114">
        <f t="shared" si="164"/>
        <v>-143583</v>
      </c>
      <c r="AO61" s="130">
        <f t="shared" si="164"/>
        <v>-505912</v>
      </c>
      <c r="AP61" s="114">
        <f t="shared" si="164"/>
        <v>-111437</v>
      </c>
      <c r="AQ61" s="114">
        <f>AQ25+AQ13</f>
        <v>-110351</v>
      </c>
      <c r="AR61" s="114">
        <f t="shared" si="164"/>
        <v>-88039</v>
      </c>
      <c r="AS61" s="114">
        <f t="shared" si="164"/>
        <v>-107191</v>
      </c>
      <c r="AT61" s="130">
        <f t="shared" si="164"/>
        <v>-417018</v>
      </c>
      <c r="AU61" s="114">
        <f t="shared" si="164"/>
        <v>-70914</v>
      </c>
      <c r="AV61" s="114">
        <f t="shared" si="164"/>
        <v>-71947</v>
      </c>
      <c r="AW61" s="114">
        <f t="shared" si="164"/>
        <v>-95156</v>
      </c>
      <c r="AX61" s="114">
        <f t="shared" si="164"/>
        <v>-127647</v>
      </c>
      <c r="AY61" s="130">
        <f t="shared" si="164"/>
        <v>-365664</v>
      </c>
      <c r="AZ61" s="114">
        <f>AZ25+AZ13</f>
        <v>-109002</v>
      </c>
      <c r="BA61" s="114">
        <f t="shared" si="164"/>
        <v>-121555</v>
      </c>
      <c r="BB61" s="114">
        <f t="shared" si="164"/>
        <v>-117940</v>
      </c>
      <c r="BC61" s="114">
        <f t="shared" si="164"/>
        <v>-121730</v>
      </c>
      <c r="BD61" s="130">
        <f t="shared" si="164"/>
        <v>-470227</v>
      </c>
      <c r="BE61" s="114">
        <f t="shared" si="164"/>
        <v>-108082</v>
      </c>
      <c r="BF61" s="114">
        <f t="shared" si="164"/>
        <v>-129362</v>
      </c>
      <c r="BG61" s="114">
        <f t="shared" si="164"/>
        <v>-130275</v>
      </c>
      <c r="BH61" s="114">
        <f t="shared" si="164"/>
        <v>-116570</v>
      </c>
      <c r="BI61" s="130">
        <f t="shared" si="164"/>
        <v>-484289</v>
      </c>
      <c r="BJ61" s="114">
        <f t="shared" si="164"/>
        <v>-109640</v>
      </c>
      <c r="BK61" s="114">
        <f t="shared" si="164"/>
        <v>-104965</v>
      </c>
      <c r="BL61" s="114">
        <f t="shared" si="164"/>
        <v>-109364</v>
      </c>
      <c r="BM61" s="114">
        <f t="shared" si="164"/>
        <v>-105333</v>
      </c>
      <c r="BN61" s="130">
        <f t="shared" si="164"/>
        <v>-429302</v>
      </c>
      <c r="BO61" s="114">
        <f t="shared" si="164"/>
        <v>-96881</v>
      </c>
      <c r="BP61" s="114">
        <f t="shared" si="164"/>
        <v>-92468</v>
      </c>
      <c r="BQ61" s="114">
        <f t="shared" si="164"/>
        <v>-81423</v>
      </c>
      <c r="BR61" s="114">
        <f>BR25+BR13</f>
        <v>-70774</v>
      </c>
      <c r="BS61" s="130">
        <f t="shared" si="164"/>
        <v>-341546</v>
      </c>
      <c r="BT61" s="114">
        <f t="shared" si="164"/>
        <v>-54798</v>
      </c>
      <c r="BU61" s="114">
        <f t="shared" si="164"/>
        <v>-57577</v>
      </c>
      <c r="BV61" s="114">
        <f t="shared" si="164"/>
        <v>-82932</v>
      </c>
      <c r="BW61" s="114">
        <f t="shared" si="164"/>
        <v>-65298</v>
      </c>
      <c r="BX61" s="130">
        <f t="shared" si="164"/>
        <v>-260605</v>
      </c>
      <c r="BY61" s="114">
        <f t="shared" ref="BY61:DG61" si="165">BY25+BY13</f>
        <v>-62079</v>
      </c>
      <c r="BZ61" s="114">
        <f t="shared" si="165"/>
        <v>-49673</v>
      </c>
      <c r="CA61" s="114">
        <f t="shared" si="165"/>
        <v>-59063</v>
      </c>
      <c r="CB61" s="114">
        <f t="shared" si="165"/>
        <v>-60508</v>
      </c>
      <c r="CC61" s="130">
        <f t="shared" si="165"/>
        <v>-231323</v>
      </c>
      <c r="CD61" s="114">
        <f t="shared" si="165"/>
        <v>-39533</v>
      </c>
      <c r="CE61" s="114">
        <f>CE25+CE13</f>
        <v>-52880</v>
      </c>
      <c r="CF61" s="114">
        <f t="shared" si="165"/>
        <v>-49240</v>
      </c>
      <c r="CG61" s="114">
        <f>CG25+CG13</f>
        <v>-43630</v>
      </c>
      <c r="CH61" s="130">
        <f t="shared" si="165"/>
        <v>-185283</v>
      </c>
      <c r="CI61" s="114">
        <f t="shared" si="165"/>
        <v>-52045</v>
      </c>
      <c r="CJ61" s="114">
        <f t="shared" si="165"/>
        <v>-52948</v>
      </c>
      <c r="CK61" s="114">
        <f>CK25+CK13</f>
        <v>-74209</v>
      </c>
      <c r="CL61" s="114">
        <f>CL25+CL13</f>
        <v>-95912</v>
      </c>
      <c r="CM61" s="130">
        <f t="shared" si="165"/>
        <v>-275114</v>
      </c>
      <c r="CN61" s="114">
        <f>CN25+CN13</f>
        <v>-102809</v>
      </c>
      <c r="CO61" s="114">
        <f t="shared" si="165"/>
        <v>-124119</v>
      </c>
      <c r="CP61" s="114">
        <f t="shared" si="165"/>
        <v>-146712</v>
      </c>
      <c r="CQ61" s="114">
        <f t="shared" si="165"/>
        <v>-212760</v>
      </c>
      <c r="CR61" s="130">
        <f t="shared" si="165"/>
        <v>-586400</v>
      </c>
      <c r="CS61" s="114">
        <f t="shared" si="165"/>
        <v>-169908</v>
      </c>
      <c r="CT61" s="114">
        <f>CT25+CT13</f>
        <v>-179230</v>
      </c>
      <c r="CU61" s="114">
        <f>CU25+CU13</f>
        <v>-158028</v>
      </c>
      <c r="CV61" s="114">
        <f>CV25+CV13</f>
        <v>-165474</v>
      </c>
      <c r="CW61" s="130">
        <f t="shared" si="165"/>
        <v>-672640</v>
      </c>
      <c r="CX61" s="114">
        <f>CX25+CX13</f>
        <v>-171450</v>
      </c>
      <c r="CY61" s="114">
        <f t="shared" si="165"/>
        <v>-172804</v>
      </c>
      <c r="CZ61" s="114">
        <f>CZ25+CZ13</f>
        <v>-166172</v>
      </c>
      <c r="DA61" s="114">
        <f>DA25+DA13</f>
        <v>-193351</v>
      </c>
      <c r="DB61" s="130">
        <f t="shared" si="165"/>
        <v>-703777</v>
      </c>
      <c r="DC61" s="114">
        <f>DC25+DC13</f>
        <v>-189112</v>
      </c>
      <c r="DD61" s="114">
        <f t="shared" ref="DD61" si="166">DD25+DD13</f>
        <v>-231678</v>
      </c>
      <c r="DE61" s="114">
        <f>DE25+DE13</f>
        <v>-239015</v>
      </c>
      <c r="DF61" s="114">
        <f>DF25+DF13</f>
        <v>-246724</v>
      </c>
      <c r="DG61" s="130">
        <f t="shared" si="165"/>
        <v>-906529</v>
      </c>
      <c r="DH61" s="114">
        <f>DH25+DH13</f>
        <v>-288529</v>
      </c>
      <c r="DI61" s="114">
        <f t="shared" ref="DI61" si="167">DI25+DI13</f>
        <v>-336008</v>
      </c>
      <c r="DJ61" s="114">
        <f>DJ25+DJ13</f>
        <v>-288045.36681720719</v>
      </c>
      <c r="DK61" s="114">
        <f>DK25+DK13</f>
        <v>-285394.48817023583</v>
      </c>
      <c r="DL61" s="130">
        <f>DL25+DL13</f>
        <v>-1197976.854987443</v>
      </c>
      <c r="DM61" s="114">
        <f t="shared" ref="DM61:EF61" si="168">DM25+DM13</f>
        <v>-296330.86141126422</v>
      </c>
      <c r="DN61" s="114">
        <f t="shared" si="168"/>
        <v>-304867.59182494791</v>
      </c>
      <c r="DO61" s="114">
        <f t="shared" si="168"/>
        <v>-307069.39910249365</v>
      </c>
      <c r="DP61" s="114">
        <f t="shared" si="168"/>
        <v>-312510.6078574289</v>
      </c>
      <c r="DQ61" s="130">
        <f t="shared" si="168"/>
        <v>-1220778.4601961346</v>
      </c>
      <c r="DR61" s="114">
        <f t="shared" si="168"/>
        <v>-299115.18119987234</v>
      </c>
      <c r="DS61" s="114">
        <f t="shared" si="168"/>
        <v>-308254.88093187771</v>
      </c>
      <c r="DT61" s="114">
        <f t="shared" si="168"/>
        <v>-310862.72162270301</v>
      </c>
      <c r="DU61" s="114">
        <f t="shared" si="168"/>
        <v>-317340.95202208619</v>
      </c>
      <c r="DV61" s="130">
        <f t="shared" si="168"/>
        <v>-1235573.7357765392</v>
      </c>
      <c r="DW61" s="114">
        <f t="shared" si="168"/>
        <v>-320405.26429977088</v>
      </c>
      <c r="DX61" s="114">
        <f t="shared" si="168"/>
        <v>-329092.15959518671</v>
      </c>
      <c r="DY61" s="114">
        <f t="shared" si="168"/>
        <v>-331224.58640735259</v>
      </c>
      <c r="DZ61" s="114">
        <f t="shared" si="168"/>
        <v>-338002.05497562396</v>
      </c>
      <c r="EA61" s="130">
        <f t="shared" si="168"/>
        <v>-1318724.0652779341</v>
      </c>
      <c r="EB61" s="114">
        <f t="shared" si="168"/>
        <v>-339629.03790000838</v>
      </c>
      <c r="EC61" s="114">
        <f t="shared" si="168"/>
        <v>-348137.64711802866</v>
      </c>
      <c r="ED61" s="114">
        <f t="shared" si="168"/>
        <v>-350036.64361879852</v>
      </c>
      <c r="EE61" s="114">
        <f t="shared" si="168"/>
        <v>-357088.21131893835</v>
      </c>
      <c r="EF61" s="130">
        <f t="shared" si="168"/>
        <v>-1394891.5399557739</v>
      </c>
    </row>
    <row r="62" spans="1:138" ht="12.75" customHeight="1">
      <c r="A62" s="104" t="s">
        <v>7</v>
      </c>
      <c r="B62" s="114">
        <f t="shared" ref="B62:AC62" si="169">B30+B35+B37+B34</f>
        <v>0</v>
      </c>
      <c r="C62" s="114">
        <f t="shared" si="169"/>
        <v>0</v>
      </c>
      <c r="D62" s="114">
        <f t="shared" si="169"/>
        <v>0</v>
      </c>
      <c r="E62" s="114">
        <f t="shared" si="169"/>
        <v>0</v>
      </c>
      <c r="F62" s="130">
        <f t="shared" si="169"/>
        <v>0</v>
      </c>
      <c r="G62" s="114">
        <f t="shared" si="169"/>
        <v>0</v>
      </c>
      <c r="H62" s="114">
        <f t="shared" si="169"/>
        <v>0</v>
      </c>
      <c r="I62" s="114">
        <f t="shared" si="169"/>
        <v>-25726</v>
      </c>
      <c r="J62" s="114">
        <f t="shared" si="169"/>
        <v>0</v>
      </c>
      <c r="K62" s="130">
        <f t="shared" si="169"/>
        <v>-25726</v>
      </c>
      <c r="L62" s="114">
        <f t="shared" si="169"/>
        <v>-277</v>
      </c>
      <c r="M62" s="114">
        <f t="shared" si="169"/>
        <v>-1114</v>
      </c>
      <c r="N62" s="114">
        <f t="shared" si="169"/>
        <v>-19713</v>
      </c>
      <c r="O62" s="114">
        <f t="shared" si="169"/>
        <v>0</v>
      </c>
      <c r="P62" s="130">
        <f t="shared" si="169"/>
        <v>-21104</v>
      </c>
      <c r="Q62" s="114">
        <f t="shared" si="169"/>
        <v>-4046</v>
      </c>
      <c r="R62" s="114">
        <f t="shared" si="169"/>
        <v>112894</v>
      </c>
      <c r="S62" s="114">
        <f t="shared" si="169"/>
        <v>7668</v>
      </c>
      <c r="T62" s="114">
        <f t="shared" si="169"/>
        <v>-12594</v>
      </c>
      <c r="U62" s="130">
        <f t="shared" si="169"/>
        <v>103922</v>
      </c>
      <c r="V62" s="114">
        <f t="shared" si="169"/>
        <v>-11790</v>
      </c>
      <c r="W62" s="114">
        <f t="shared" si="169"/>
        <v>-8688</v>
      </c>
      <c r="X62" s="114">
        <f t="shared" si="169"/>
        <v>-6929</v>
      </c>
      <c r="Y62" s="114">
        <f t="shared" si="169"/>
        <v>-15348</v>
      </c>
      <c r="Z62" s="130">
        <f t="shared" si="169"/>
        <v>-42755</v>
      </c>
      <c r="AA62" s="114">
        <f t="shared" si="169"/>
        <v>-2507</v>
      </c>
      <c r="AB62" s="114">
        <f t="shared" si="169"/>
        <v>11053</v>
      </c>
      <c r="AC62" s="114">
        <f t="shared" si="169"/>
        <v>97546</v>
      </c>
      <c r="AD62" s="114">
        <f t="shared" ref="AD62:CC62" si="170">AD30+AD35+AD37+AD34</f>
        <v>4992</v>
      </c>
      <c r="AE62" s="130">
        <f t="shared" si="170"/>
        <v>111084</v>
      </c>
      <c r="AF62" s="114">
        <f t="shared" si="170"/>
        <v>-15641</v>
      </c>
      <c r="AG62" s="114">
        <f t="shared" si="170"/>
        <v>0</v>
      </c>
      <c r="AH62" s="114">
        <f>AH30+AH35+AH37+AH34</f>
        <v>-10754</v>
      </c>
      <c r="AI62" s="114">
        <f>AI30+AI35+AI37+AI34</f>
        <v>-6735</v>
      </c>
      <c r="AJ62" s="130">
        <f t="shared" si="170"/>
        <v>-33130</v>
      </c>
      <c r="AK62" s="114">
        <f t="shared" si="170"/>
        <v>-2943</v>
      </c>
      <c r="AL62" s="114">
        <f>AL30+AL35+AL37+AL34</f>
        <v>-2802</v>
      </c>
      <c r="AM62" s="114">
        <f t="shared" si="170"/>
        <v>-4216</v>
      </c>
      <c r="AN62" s="114">
        <f t="shared" si="170"/>
        <v>-79668</v>
      </c>
      <c r="AO62" s="130">
        <f t="shared" si="170"/>
        <v>-89629</v>
      </c>
      <c r="AP62" s="114">
        <f t="shared" si="170"/>
        <v>-15892</v>
      </c>
      <c r="AQ62" s="114">
        <f>AQ30+AQ35+AQ37+AQ34</f>
        <v>39335</v>
      </c>
      <c r="AR62" s="114">
        <f>AR30+AR35+AR37+AR34</f>
        <v>-4032</v>
      </c>
      <c r="AS62" s="114">
        <f t="shared" si="170"/>
        <v>12885</v>
      </c>
      <c r="AT62" s="130">
        <f t="shared" si="170"/>
        <v>32296</v>
      </c>
      <c r="AU62" s="114">
        <f t="shared" si="170"/>
        <v>21718</v>
      </c>
      <c r="AV62" s="114">
        <f t="shared" si="170"/>
        <v>13898</v>
      </c>
      <c r="AW62" s="114">
        <f>AW30+AW35+AW37+AW34</f>
        <v>20964</v>
      </c>
      <c r="AX62" s="114">
        <f t="shared" si="170"/>
        <v>44050</v>
      </c>
      <c r="AY62" s="130">
        <f t="shared" si="170"/>
        <v>100630</v>
      </c>
      <c r="AZ62" s="114">
        <f>AZ30+AZ35+AZ37+AZ34</f>
        <v>4308</v>
      </c>
      <c r="BA62" s="114">
        <f t="shared" si="170"/>
        <v>31768</v>
      </c>
      <c r="BB62" s="114">
        <f t="shared" si="170"/>
        <v>37781</v>
      </c>
      <c r="BC62" s="114">
        <f t="shared" si="170"/>
        <v>44800</v>
      </c>
      <c r="BD62" s="130">
        <f t="shared" si="170"/>
        <v>118657</v>
      </c>
      <c r="BE62" s="114">
        <f t="shared" si="170"/>
        <v>11420</v>
      </c>
      <c r="BF62" s="114">
        <f t="shared" si="170"/>
        <v>15982</v>
      </c>
      <c r="BG62" s="114">
        <f t="shared" si="170"/>
        <v>31030</v>
      </c>
      <c r="BH62" s="114">
        <f t="shared" si="170"/>
        <v>15219</v>
      </c>
      <c r="BI62" s="130">
        <f t="shared" si="170"/>
        <v>73651</v>
      </c>
      <c r="BJ62" s="114">
        <f t="shared" si="170"/>
        <v>6882</v>
      </c>
      <c r="BK62" s="114">
        <f t="shared" si="170"/>
        <v>12736</v>
      </c>
      <c r="BL62" s="114">
        <f t="shared" si="170"/>
        <v>5795</v>
      </c>
      <c r="BM62" s="114">
        <f t="shared" si="170"/>
        <v>34313</v>
      </c>
      <c r="BN62" s="130">
        <f t="shared" si="170"/>
        <v>59726</v>
      </c>
      <c r="BO62" s="114">
        <f t="shared" si="170"/>
        <v>1752</v>
      </c>
      <c r="BP62" s="114">
        <f t="shared" si="170"/>
        <v>34350</v>
      </c>
      <c r="BQ62" s="114">
        <f t="shared" si="170"/>
        <v>25084</v>
      </c>
      <c r="BR62" s="114">
        <f>BR30+BR35+BR37+BR34</f>
        <v>66179</v>
      </c>
      <c r="BS62" s="130">
        <f t="shared" si="170"/>
        <v>127365</v>
      </c>
      <c r="BT62" s="114">
        <f t="shared" si="170"/>
        <v>10149</v>
      </c>
      <c r="BU62" s="114">
        <f t="shared" si="170"/>
        <v>14024</v>
      </c>
      <c r="BV62" s="114">
        <f t="shared" si="170"/>
        <v>22686</v>
      </c>
      <c r="BW62" s="114">
        <f t="shared" si="170"/>
        <v>80795</v>
      </c>
      <c r="BX62" s="130">
        <f t="shared" si="170"/>
        <v>127654</v>
      </c>
      <c r="BY62" s="114">
        <f t="shared" si="170"/>
        <v>-842</v>
      </c>
      <c r="BZ62" s="114">
        <f>BZ30+BZ35+BZ37+BZ34</f>
        <v>51491</v>
      </c>
      <c r="CA62" s="114">
        <f t="shared" si="170"/>
        <v>35780</v>
      </c>
      <c r="CB62" s="114">
        <f t="shared" si="170"/>
        <v>17771</v>
      </c>
      <c r="CC62" s="130">
        <f t="shared" si="170"/>
        <v>104200</v>
      </c>
      <c r="CD62" s="114">
        <f t="shared" ref="CD62:DG62" si="171">CD30+CD35+CD37+CD34</f>
        <v>10692</v>
      </c>
      <c r="CE62" s="114">
        <f t="shared" si="171"/>
        <v>21467</v>
      </c>
      <c r="CF62" s="114">
        <f t="shared" si="171"/>
        <v>1217800</v>
      </c>
      <c r="CG62" s="114">
        <f t="shared" si="171"/>
        <v>58753</v>
      </c>
      <c r="CH62" s="130">
        <f t="shared" si="171"/>
        <v>1308712</v>
      </c>
      <c r="CI62" s="114">
        <f t="shared" si="171"/>
        <v>79017</v>
      </c>
      <c r="CJ62" s="114">
        <f>CJ30+CJ35+CJ37+CJ34</f>
        <v>74405</v>
      </c>
      <c r="CK62" s="114">
        <f>CK30+CK35+CK37+CK34</f>
        <v>78321</v>
      </c>
      <c r="CL62" s="114">
        <f>CL30+CL35+CL37+CL34</f>
        <v>65424</v>
      </c>
      <c r="CM62" s="130">
        <f t="shared" si="171"/>
        <v>297167</v>
      </c>
      <c r="CN62" s="114">
        <f>CN30+CN35+CN37+CN34</f>
        <v>60334</v>
      </c>
      <c r="CO62" s="114">
        <f t="shared" si="171"/>
        <v>38724</v>
      </c>
      <c r="CP62" s="114">
        <f t="shared" si="171"/>
        <v>59701</v>
      </c>
      <c r="CQ62" s="114">
        <f t="shared" si="171"/>
        <v>58326</v>
      </c>
      <c r="CR62" s="130">
        <f t="shared" si="171"/>
        <v>217085</v>
      </c>
      <c r="CS62" s="114">
        <f t="shared" si="171"/>
        <v>47138</v>
      </c>
      <c r="CT62" s="114">
        <f>CT30+CT35+CT37+CT34</f>
        <v>33021</v>
      </c>
      <c r="CU62" s="114">
        <f>CU30+CU35+CU37+CU34</f>
        <v>89430</v>
      </c>
      <c r="CV62" s="114">
        <f>CV30+CV35+CV37+CV34</f>
        <v>92470</v>
      </c>
      <c r="CW62" s="130">
        <f t="shared" si="171"/>
        <v>262059</v>
      </c>
      <c r="CX62" s="114">
        <f>CX30+CX35+CX37+CX34</f>
        <v>100891</v>
      </c>
      <c r="CY62" s="114">
        <f t="shared" si="171"/>
        <v>116467</v>
      </c>
      <c r="CZ62" s="114">
        <f>CZ30+CZ35+CZ37+CZ34</f>
        <v>135914</v>
      </c>
      <c r="DA62" s="114">
        <f>DA30+DA35+DA37+DA34</f>
        <v>147608</v>
      </c>
      <c r="DB62" s="130">
        <f t="shared" si="171"/>
        <v>500880</v>
      </c>
      <c r="DC62" s="114">
        <f>DC30+DC35+DC37+DC34</f>
        <v>112558</v>
      </c>
      <c r="DD62" s="114">
        <f t="shared" ref="DD62" si="172">DD30+DD35+DD37+DD34</f>
        <v>139609</v>
      </c>
      <c r="DE62" s="114">
        <f>DE30+DE35+DE37+DE34</f>
        <v>344891</v>
      </c>
      <c r="DF62" s="114">
        <f>DF30+DF35+DF37+DF34</f>
        <v>164048</v>
      </c>
      <c r="DG62" s="130">
        <f t="shared" si="171"/>
        <v>761106</v>
      </c>
      <c r="DH62" s="114">
        <f>DH30+DH35+DH37+DH34</f>
        <v>128141</v>
      </c>
      <c r="DI62" s="114">
        <f t="shared" ref="DI62" si="173">DI30+DI35+DI37+DI34</f>
        <v>106557</v>
      </c>
      <c r="DJ62" s="114">
        <f>DJ30+DJ35+DJ37+DJ34</f>
        <v>152756.77435510326</v>
      </c>
      <c r="DK62" s="114">
        <f>DK30+DK35+DK37+DK34</f>
        <v>167018.49188163708</v>
      </c>
      <c r="DL62" s="130">
        <f>DL30+DL35+DL37+DL34</f>
        <v>554473.2662367404</v>
      </c>
      <c r="DM62" s="114">
        <f t="shared" ref="DM62:EF62" si="174">DM30+DM35+DM37+DM34</f>
        <v>161378.41027654873</v>
      </c>
      <c r="DN62" s="114">
        <f t="shared" si="174"/>
        <v>173048.6787032843</v>
      </c>
      <c r="DO62" s="114">
        <f t="shared" si="174"/>
        <v>180222.14820831997</v>
      </c>
      <c r="DP62" s="114">
        <f t="shared" si="174"/>
        <v>187958.75119546882</v>
      </c>
      <c r="DQ62" s="130">
        <f t="shared" si="174"/>
        <v>702607.98838362191</v>
      </c>
      <c r="DR62" s="114">
        <f t="shared" si="174"/>
        <v>192616.96685710427</v>
      </c>
      <c r="DS62" s="114">
        <f t="shared" si="174"/>
        <v>194891.28074523329</v>
      </c>
      <c r="DT62" s="114">
        <f t="shared" si="174"/>
        <v>203839.02061296973</v>
      </c>
      <c r="DU62" s="114">
        <f t="shared" si="174"/>
        <v>212288.59959044517</v>
      </c>
      <c r="DV62" s="130">
        <f t="shared" si="174"/>
        <v>803635.86780575244</v>
      </c>
      <c r="DW62" s="114">
        <f t="shared" si="174"/>
        <v>211491.82355641481</v>
      </c>
      <c r="DX62" s="114">
        <f t="shared" si="174"/>
        <v>210466.43476664647</v>
      </c>
      <c r="DY62" s="114">
        <f t="shared" si="174"/>
        <v>219455.57802435427</v>
      </c>
      <c r="DZ62" s="114">
        <f t="shared" si="174"/>
        <v>227947.17576196307</v>
      </c>
      <c r="EA62" s="130">
        <f t="shared" si="174"/>
        <v>869361.01210937859</v>
      </c>
      <c r="EB62" s="114">
        <f t="shared" si="174"/>
        <v>226204.02631280886</v>
      </c>
      <c r="EC62" s="114">
        <f t="shared" si="174"/>
        <v>224390.49181357303</v>
      </c>
      <c r="ED62" s="114">
        <f t="shared" si="174"/>
        <v>233396.84704300642</v>
      </c>
      <c r="EE62" s="114">
        <f t="shared" si="174"/>
        <v>241946.54516452478</v>
      </c>
      <c r="EF62" s="130">
        <f t="shared" si="174"/>
        <v>925937.91033391317</v>
      </c>
      <c r="EH62" s="131"/>
    </row>
    <row r="63" spans="1:138" ht="12.75" customHeight="1">
      <c r="A63" s="104" t="s">
        <v>703</v>
      </c>
      <c r="B63" s="114">
        <f t="shared" ref="B63:P63" si="175">B38</f>
        <v>31827</v>
      </c>
      <c r="C63" s="114">
        <f t="shared" si="175"/>
        <v>31827</v>
      </c>
      <c r="D63" s="114">
        <f t="shared" si="175"/>
        <v>32583</v>
      </c>
      <c r="E63" s="114">
        <f t="shared" si="175"/>
        <v>50959</v>
      </c>
      <c r="F63" s="130">
        <f t="shared" si="175"/>
        <v>147196</v>
      </c>
      <c r="G63" s="114">
        <f t="shared" si="175"/>
        <v>51523</v>
      </c>
      <c r="H63" s="114">
        <f t="shared" si="175"/>
        <v>40270</v>
      </c>
      <c r="I63" s="114">
        <f t="shared" si="175"/>
        <v>55898</v>
      </c>
      <c r="J63" s="114">
        <f t="shared" si="175"/>
        <v>13975</v>
      </c>
      <c r="K63" s="130">
        <f t="shared" si="175"/>
        <v>161666</v>
      </c>
      <c r="L63" s="114">
        <f t="shared" si="175"/>
        <v>83775</v>
      </c>
      <c r="M63" s="114">
        <f t="shared" si="175"/>
        <v>98864</v>
      </c>
      <c r="N63" s="114">
        <f t="shared" si="175"/>
        <v>44130</v>
      </c>
      <c r="O63" s="114">
        <f t="shared" si="175"/>
        <v>101818</v>
      </c>
      <c r="P63" s="130">
        <f t="shared" si="175"/>
        <v>328587</v>
      </c>
      <c r="Q63" s="114">
        <f>Q38</f>
        <v>54042</v>
      </c>
      <c r="R63" s="114">
        <f t="shared" ref="R63:CC63" si="176">R38</f>
        <v>223770</v>
      </c>
      <c r="S63" s="114">
        <f t="shared" si="176"/>
        <v>125151</v>
      </c>
      <c r="T63" s="114">
        <f t="shared" si="176"/>
        <v>134601</v>
      </c>
      <c r="U63" s="130">
        <f t="shared" si="176"/>
        <v>537564</v>
      </c>
      <c r="V63" s="114">
        <f>V38</f>
        <v>93476</v>
      </c>
      <c r="W63" s="114">
        <f>W38</f>
        <v>148940</v>
      </c>
      <c r="X63" s="114">
        <f t="shared" si="176"/>
        <v>116514</v>
      </c>
      <c r="Y63" s="114">
        <f>Y38</f>
        <v>83063</v>
      </c>
      <c r="Z63" s="130">
        <f t="shared" si="176"/>
        <v>441993</v>
      </c>
      <c r="AA63" s="114">
        <f>AA38</f>
        <v>150520</v>
      </c>
      <c r="AB63" s="114">
        <f>AB38</f>
        <v>203666</v>
      </c>
      <c r="AC63" s="114">
        <f>AC38</f>
        <v>367828</v>
      </c>
      <c r="AD63" s="114">
        <f t="shared" si="176"/>
        <v>249943</v>
      </c>
      <c r="AE63" s="130">
        <f>AE38</f>
        <v>971957</v>
      </c>
      <c r="AF63" s="114">
        <f>AF38</f>
        <v>215784</v>
      </c>
      <c r="AG63" s="114">
        <f>AG38</f>
        <v>236231</v>
      </c>
      <c r="AH63" s="114">
        <f>AH38</f>
        <v>235747</v>
      </c>
      <c r="AI63" s="114">
        <f>AI38</f>
        <v>140148</v>
      </c>
      <c r="AJ63" s="130">
        <f t="shared" si="176"/>
        <v>827910</v>
      </c>
      <c r="AK63" s="114">
        <f t="shared" si="176"/>
        <v>131959</v>
      </c>
      <c r="AL63" s="114">
        <f>AL38</f>
        <v>140994</v>
      </c>
      <c r="AM63" s="114">
        <f t="shared" si="176"/>
        <v>224935</v>
      </c>
      <c r="AN63" s="114">
        <f t="shared" si="176"/>
        <v>282510</v>
      </c>
      <c r="AO63" s="130">
        <f t="shared" si="176"/>
        <v>780398</v>
      </c>
      <c r="AP63" s="114">
        <f t="shared" si="176"/>
        <v>226921</v>
      </c>
      <c r="AQ63" s="114">
        <f>AQ38</f>
        <v>231469</v>
      </c>
      <c r="AR63" s="114">
        <f t="shared" si="176"/>
        <v>214094</v>
      </c>
      <c r="AS63" s="114">
        <f t="shared" si="176"/>
        <v>315885</v>
      </c>
      <c r="AT63" s="130">
        <f t="shared" si="176"/>
        <v>988369</v>
      </c>
      <c r="AU63" s="114">
        <f t="shared" si="176"/>
        <v>235437</v>
      </c>
      <c r="AV63" s="114">
        <f t="shared" si="176"/>
        <v>258296</v>
      </c>
      <c r="AW63" s="114">
        <f>AW38</f>
        <v>260600</v>
      </c>
      <c r="AX63" s="114">
        <f t="shared" si="176"/>
        <v>269557</v>
      </c>
      <c r="AY63" s="130">
        <f t="shared" si="176"/>
        <v>1023890</v>
      </c>
      <c r="AZ63" s="114">
        <f>AZ38</f>
        <v>228596</v>
      </c>
      <c r="BA63" s="114">
        <f t="shared" si="176"/>
        <v>250828</v>
      </c>
      <c r="BB63" s="114">
        <f t="shared" si="176"/>
        <v>260340</v>
      </c>
      <c r="BC63" s="114">
        <f t="shared" si="176"/>
        <v>236643</v>
      </c>
      <c r="BD63" s="130">
        <f t="shared" si="176"/>
        <v>976407</v>
      </c>
      <c r="BE63" s="114">
        <f t="shared" si="176"/>
        <v>141254</v>
      </c>
      <c r="BF63" s="114">
        <f t="shared" si="176"/>
        <v>208977</v>
      </c>
      <c r="BG63" s="114">
        <f t="shared" si="176"/>
        <v>198409</v>
      </c>
      <c r="BH63" s="114">
        <f t="shared" si="176"/>
        <v>141764</v>
      </c>
      <c r="BI63" s="130">
        <f t="shared" si="176"/>
        <v>690404</v>
      </c>
      <c r="BJ63" s="114">
        <f t="shared" si="176"/>
        <v>107117</v>
      </c>
      <c r="BK63" s="114">
        <f t="shared" si="176"/>
        <v>71337</v>
      </c>
      <c r="BL63" s="114">
        <f t="shared" si="176"/>
        <v>61473</v>
      </c>
      <c r="BM63" s="114">
        <f t="shared" si="176"/>
        <v>78416</v>
      </c>
      <c r="BN63" s="130">
        <f t="shared" si="176"/>
        <v>318343</v>
      </c>
      <c r="BO63" s="114">
        <f t="shared" si="176"/>
        <v>49697</v>
      </c>
      <c r="BP63" s="114">
        <f t="shared" si="176"/>
        <v>-119981</v>
      </c>
      <c r="BQ63" s="114">
        <f t="shared" si="176"/>
        <v>28451</v>
      </c>
      <c r="BR63" s="114">
        <f>BR38</f>
        <v>96463</v>
      </c>
      <c r="BS63" s="130">
        <f t="shared" si="176"/>
        <v>54630</v>
      </c>
      <c r="BT63" s="114">
        <f t="shared" si="176"/>
        <v>-22900</v>
      </c>
      <c r="BU63" s="114">
        <f t="shared" si="176"/>
        <v>-4938</v>
      </c>
      <c r="BV63" s="114">
        <f t="shared" si="176"/>
        <v>-78688</v>
      </c>
      <c r="BW63" s="114">
        <f t="shared" si="176"/>
        <v>181086</v>
      </c>
      <c r="BX63" s="130">
        <f t="shared" si="176"/>
        <v>74560</v>
      </c>
      <c r="BY63" s="114">
        <f t="shared" si="176"/>
        <v>79512</v>
      </c>
      <c r="BZ63" s="114">
        <f>BZ38</f>
        <v>161495</v>
      </c>
      <c r="CA63" s="114">
        <f t="shared" si="176"/>
        <v>142930</v>
      </c>
      <c r="CB63" s="114">
        <f t="shared" si="176"/>
        <v>236554</v>
      </c>
      <c r="CC63" s="130">
        <f t="shared" si="176"/>
        <v>620491</v>
      </c>
      <c r="CD63" s="114">
        <f t="shared" ref="CD63:DG63" si="177">CD38</f>
        <v>65085</v>
      </c>
      <c r="CE63" s="114">
        <f t="shared" si="177"/>
        <v>109257</v>
      </c>
      <c r="CF63" s="114">
        <f t="shared" si="177"/>
        <v>1436163</v>
      </c>
      <c r="CG63" s="114">
        <f t="shared" si="177"/>
        <v>303874</v>
      </c>
      <c r="CH63" s="130">
        <f t="shared" si="177"/>
        <v>1914379</v>
      </c>
      <c r="CI63" s="114">
        <f t="shared" si="177"/>
        <v>226040</v>
      </c>
      <c r="CJ63" s="114">
        <f>CJ38</f>
        <v>311399</v>
      </c>
      <c r="CK63" s="114">
        <f>CK38</f>
        <v>292827</v>
      </c>
      <c r="CL63" s="114">
        <f>CL38</f>
        <v>275668</v>
      </c>
      <c r="CM63" s="130">
        <f t="shared" si="177"/>
        <v>1105934</v>
      </c>
      <c r="CN63" s="114">
        <f>CN38</f>
        <v>197071</v>
      </c>
      <c r="CO63" s="114">
        <f t="shared" si="177"/>
        <v>192122</v>
      </c>
      <c r="CP63" s="114">
        <f t="shared" si="177"/>
        <v>342107</v>
      </c>
      <c r="CQ63" s="114">
        <f t="shared" si="177"/>
        <v>250316</v>
      </c>
      <c r="CR63" s="130">
        <f t="shared" si="177"/>
        <v>981616</v>
      </c>
      <c r="CS63" s="114">
        <f t="shared" si="177"/>
        <v>223037</v>
      </c>
      <c r="CT63" s="114">
        <f>CT38</f>
        <v>347849</v>
      </c>
      <c r="CU63" s="114">
        <f>CU38</f>
        <v>345646</v>
      </c>
      <c r="CV63" s="114">
        <f>CV38</f>
        <v>345679</v>
      </c>
      <c r="CW63" s="130">
        <f t="shared" si="177"/>
        <v>1262211</v>
      </c>
      <c r="CX63" s="114">
        <f>CX38</f>
        <v>351844</v>
      </c>
      <c r="CY63" s="114">
        <f t="shared" si="177"/>
        <v>519244</v>
      </c>
      <c r="CZ63" s="114">
        <f>CZ38</f>
        <v>592708</v>
      </c>
      <c r="DA63" s="114">
        <f>DA38</f>
        <v>642686</v>
      </c>
      <c r="DB63" s="130">
        <f t="shared" si="177"/>
        <v>2106482</v>
      </c>
      <c r="DC63" s="114">
        <f>DC38</f>
        <v>437963</v>
      </c>
      <c r="DD63" s="114">
        <f t="shared" ref="DD63" si="178">DD38</f>
        <v>528736</v>
      </c>
      <c r="DE63" s="114">
        <f>DE38</f>
        <v>738803</v>
      </c>
      <c r="DF63" s="114">
        <f>DF38</f>
        <v>838358</v>
      </c>
      <c r="DG63" s="130">
        <f t="shared" si="177"/>
        <v>2543860</v>
      </c>
      <c r="DH63" s="114">
        <f>DH38</f>
        <v>411281</v>
      </c>
      <c r="DI63" s="114">
        <f t="shared" ref="DI63" si="179">DI38</f>
        <v>573703</v>
      </c>
      <c r="DJ63" s="114">
        <f ca="1">DJ38</f>
        <v>686004.49880399811</v>
      </c>
      <c r="DK63" s="114">
        <f ca="1">DK38</f>
        <v>777252.61020353623</v>
      </c>
      <c r="DL63" s="130">
        <f ca="1">DL38</f>
        <v>2448241.1090075346</v>
      </c>
      <c r="DM63" s="114">
        <f t="shared" ref="DM63:EF63" ca="1" si="180">DM38</f>
        <v>696709.97064079891</v>
      </c>
      <c r="DN63" s="114">
        <f t="shared" ca="1" si="180"/>
        <v>715766.70150877628</v>
      </c>
      <c r="DO63" s="114">
        <f t="shared" ca="1" si="180"/>
        <v>712364.92877006601</v>
      </c>
      <c r="DP63" s="114">
        <f t="shared" ca="1" si="180"/>
        <v>752331.41819027322</v>
      </c>
      <c r="DQ63" s="130">
        <f t="shared" ca="1" si="180"/>
        <v>2877173.019109915</v>
      </c>
      <c r="DR63" s="114">
        <f t="shared" ca="1" si="180"/>
        <v>787211.52495138603</v>
      </c>
      <c r="DS63" s="114">
        <f t="shared" ca="1" si="180"/>
        <v>748337.18925154617</v>
      </c>
      <c r="DT63" s="114">
        <f t="shared" ca="1" si="180"/>
        <v>746886.88701290754</v>
      </c>
      <c r="DU63" s="114">
        <f t="shared" ca="1" si="180"/>
        <v>813786.50633852941</v>
      </c>
      <c r="DV63" s="130">
        <f t="shared" ca="1" si="180"/>
        <v>3096222.1075543687</v>
      </c>
      <c r="DW63" s="114">
        <f t="shared" ca="1" si="180"/>
        <v>840668.13468600623</v>
      </c>
      <c r="DX63" s="114">
        <f t="shared" ca="1" si="180"/>
        <v>790338.70361679641</v>
      </c>
      <c r="DY63" s="114">
        <f t="shared" ca="1" si="180"/>
        <v>782469.59652646969</v>
      </c>
      <c r="DZ63" s="114">
        <f t="shared" ca="1" si="180"/>
        <v>862852.95453714347</v>
      </c>
      <c r="EA63" s="130">
        <f t="shared" ca="1" si="180"/>
        <v>3276329.3893664158</v>
      </c>
      <c r="EB63" s="114">
        <f t="shared" ca="1" si="180"/>
        <v>906457.81094649166</v>
      </c>
      <c r="EC63" s="114">
        <f t="shared" ca="1" si="180"/>
        <v>861440.12061980402</v>
      </c>
      <c r="ED63" s="114">
        <f t="shared" ca="1" si="180"/>
        <v>854738.4079961729</v>
      </c>
      <c r="EE63" s="114">
        <f t="shared" ca="1" si="180"/>
        <v>935191.55119625537</v>
      </c>
      <c r="EF63" s="130">
        <f t="shared" ca="1" si="180"/>
        <v>3557827.890758724</v>
      </c>
    </row>
    <row r="64" spans="1:138" ht="12.75" customHeight="1">
      <c r="A64" s="104" t="s">
        <v>8</v>
      </c>
      <c r="B64" s="114">
        <f t="shared" ref="B64:BC64" si="181">B39+B41</f>
        <v>-4975.5</v>
      </c>
      <c r="C64" s="114">
        <f t="shared" si="181"/>
        <v>-4975.5</v>
      </c>
      <c r="D64" s="114">
        <f t="shared" si="181"/>
        <v>-6903</v>
      </c>
      <c r="E64" s="114">
        <f t="shared" si="181"/>
        <v>-29711</v>
      </c>
      <c r="F64" s="130">
        <f t="shared" si="181"/>
        <v>-46565</v>
      </c>
      <c r="G64" s="114">
        <f t="shared" si="181"/>
        <v>-4759</v>
      </c>
      <c r="H64" s="114">
        <f t="shared" si="181"/>
        <v>-7949</v>
      </c>
      <c r="I64" s="114">
        <f t="shared" si="181"/>
        <v>-11649</v>
      </c>
      <c r="J64" s="114">
        <f t="shared" si="181"/>
        <v>6582</v>
      </c>
      <c r="K64" s="130">
        <f t="shared" si="181"/>
        <v>-17775</v>
      </c>
      <c r="L64" s="114">
        <f t="shared" si="181"/>
        <v>-17318</v>
      </c>
      <c r="M64" s="114">
        <f t="shared" si="181"/>
        <v>-15889</v>
      </c>
      <c r="N64" s="114">
        <f t="shared" si="181"/>
        <v>-5485</v>
      </c>
      <c r="O64" s="114">
        <f t="shared" si="181"/>
        <v>-19316</v>
      </c>
      <c r="P64" s="130">
        <f t="shared" si="181"/>
        <v>-58008</v>
      </c>
      <c r="Q64" s="114">
        <f t="shared" si="181"/>
        <v>-1617</v>
      </c>
      <c r="R64" s="114">
        <f t="shared" si="181"/>
        <v>-10815</v>
      </c>
      <c r="S64" s="114">
        <f t="shared" si="181"/>
        <v>-22994</v>
      </c>
      <c r="T64" s="114">
        <f>T39+T41</f>
        <v>-30101</v>
      </c>
      <c r="U64" s="130">
        <f t="shared" si="181"/>
        <v>-65527</v>
      </c>
      <c r="V64" s="114">
        <f>V39+V41</f>
        <v>-13992</v>
      </c>
      <c r="W64" s="114">
        <f>W39+W41</f>
        <v>-36096</v>
      </c>
      <c r="X64" s="114">
        <f t="shared" si="181"/>
        <v>-36085</v>
      </c>
      <c r="Y64" s="114">
        <f>Y39+Y41</f>
        <v>-26226</v>
      </c>
      <c r="Z64" s="130">
        <f t="shared" si="181"/>
        <v>-112399</v>
      </c>
      <c r="AA64" s="114">
        <f>AA39+AA41</f>
        <v>-28726</v>
      </c>
      <c r="AB64" s="114">
        <f>AB39+AB41</f>
        <v>-21990</v>
      </c>
      <c r="AC64" s="114">
        <f>AC39+AC41</f>
        <v>-48332</v>
      </c>
      <c r="AD64" s="114">
        <f t="shared" si="181"/>
        <v>-15079</v>
      </c>
      <c r="AE64" s="130">
        <f>AE39+AE41</f>
        <v>-114127</v>
      </c>
      <c r="AF64" s="114">
        <f>AF39+AF41</f>
        <v>-24524</v>
      </c>
      <c r="AG64" s="114">
        <f>AG39+AG41</f>
        <v>-35596</v>
      </c>
      <c r="AH64" s="114">
        <f>AH39+AH41</f>
        <v>-34567</v>
      </c>
      <c r="AI64" s="114">
        <f>AI39+AI41</f>
        <v>-34243</v>
      </c>
      <c r="AJ64" s="130">
        <f t="shared" si="181"/>
        <v>-128930</v>
      </c>
      <c r="AK64" s="114">
        <f t="shared" si="181"/>
        <v>-41884</v>
      </c>
      <c r="AL64" s="114">
        <f>AL39+AL41</f>
        <v>-35054</v>
      </c>
      <c r="AM64" s="114">
        <f t="shared" si="181"/>
        <v>-47374</v>
      </c>
      <c r="AN64" s="114">
        <f t="shared" si="181"/>
        <v>-63900</v>
      </c>
      <c r="AO64" s="130">
        <f t="shared" si="181"/>
        <v>-188212</v>
      </c>
      <c r="AP64" s="114">
        <f t="shared" si="181"/>
        <v>-48696</v>
      </c>
      <c r="AQ64" s="114">
        <f>AQ39+AQ41</f>
        <v>-61857</v>
      </c>
      <c r="AR64" s="114">
        <f>AR39+AR41</f>
        <v>-48245</v>
      </c>
      <c r="AS64" s="114">
        <f t="shared" si="181"/>
        <v>6118</v>
      </c>
      <c r="AT64" s="130">
        <f t="shared" si="181"/>
        <v>-152680</v>
      </c>
      <c r="AU64" s="114">
        <f t="shared" si="181"/>
        <v>-26980</v>
      </c>
      <c r="AV64" s="114">
        <f t="shared" si="181"/>
        <v>-33111</v>
      </c>
      <c r="AW64" s="114">
        <f>AW39+AW41</f>
        <v>-32506</v>
      </c>
      <c r="AX64" s="114">
        <f t="shared" si="181"/>
        <v>-43294</v>
      </c>
      <c r="AY64" s="130">
        <f t="shared" si="181"/>
        <v>-135891</v>
      </c>
      <c r="AZ64" s="114">
        <f>AZ39+AZ41</f>
        <v>-41252</v>
      </c>
      <c r="BA64" s="114">
        <f t="shared" si="181"/>
        <v>-42613</v>
      </c>
      <c r="BB64" s="114">
        <f t="shared" si="181"/>
        <v>-30547</v>
      </c>
      <c r="BC64" s="114">
        <f t="shared" si="181"/>
        <v>-30609</v>
      </c>
      <c r="BD64" s="130">
        <f t="shared" ref="BD64:CC64" si="182">BD39+BD41</f>
        <v>-145021</v>
      </c>
      <c r="BE64" s="114">
        <f t="shared" si="182"/>
        <v>-23322</v>
      </c>
      <c r="BF64" s="114">
        <f t="shared" si="182"/>
        <v>-23918</v>
      </c>
      <c r="BG64" s="114">
        <f t="shared" si="182"/>
        <v>-29383</v>
      </c>
      <c r="BH64" s="114">
        <f t="shared" si="182"/>
        <v>-20628</v>
      </c>
      <c r="BI64" s="130">
        <f t="shared" si="182"/>
        <v>-97251</v>
      </c>
      <c r="BJ64" s="114">
        <f t="shared" si="182"/>
        <v>-18250</v>
      </c>
      <c r="BK64" s="114">
        <f t="shared" si="182"/>
        <v>-14834</v>
      </c>
      <c r="BL64" s="114">
        <f t="shared" si="182"/>
        <v>-18498</v>
      </c>
      <c r="BM64" s="114">
        <f t="shared" si="182"/>
        <v>-22141</v>
      </c>
      <c r="BN64" s="130">
        <f t="shared" si="182"/>
        <v>-73723</v>
      </c>
      <c r="BO64" s="114">
        <f t="shared" si="182"/>
        <v>-15451</v>
      </c>
      <c r="BP64" s="114">
        <f t="shared" si="182"/>
        <v>-14339</v>
      </c>
      <c r="BQ64" s="114">
        <f t="shared" si="182"/>
        <v>-14288</v>
      </c>
      <c r="BR64" s="114">
        <f>BR39+BR41</f>
        <v>-21091</v>
      </c>
      <c r="BS64" s="130">
        <f t="shared" si="182"/>
        <v>-65169</v>
      </c>
      <c r="BT64" s="114">
        <f t="shared" si="182"/>
        <v>-11755</v>
      </c>
      <c r="BU64" s="114">
        <f t="shared" si="182"/>
        <v>-14193</v>
      </c>
      <c r="BV64" s="114">
        <f t="shared" si="182"/>
        <v>-15389</v>
      </c>
      <c r="BW64" s="114">
        <f t="shared" si="182"/>
        <v>-27195</v>
      </c>
      <c r="BX64" s="130">
        <f t="shared" si="182"/>
        <v>-68532</v>
      </c>
      <c r="BY64" s="114">
        <f t="shared" si="182"/>
        <v>-18111</v>
      </c>
      <c r="BZ64" s="114">
        <f>BZ39+BZ41</f>
        <v>-19204</v>
      </c>
      <c r="CA64" s="114">
        <f t="shared" si="182"/>
        <v>-21669</v>
      </c>
      <c r="CB64" s="114">
        <f t="shared" si="182"/>
        <v>-27189</v>
      </c>
      <c r="CC64" s="130">
        <f t="shared" si="182"/>
        <v>-86173</v>
      </c>
      <c r="CD64" s="114">
        <f t="shared" ref="CD64:DG64" si="183">CD39+CD41</f>
        <v>-16849</v>
      </c>
      <c r="CE64" s="114">
        <f t="shared" si="183"/>
        <v>-16332</v>
      </c>
      <c r="CF64" s="114">
        <f t="shared" si="183"/>
        <v>-21288</v>
      </c>
      <c r="CG64" s="114">
        <f t="shared" si="183"/>
        <v>-30413</v>
      </c>
      <c r="CH64" s="130">
        <f t="shared" si="183"/>
        <v>-84882</v>
      </c>
      <c r="CI64" s="114">
        <f t="shared" si="183"/>
        <v>-17847</v>
      </c>
      <c r="CJ64" s="114">
        <f>CJ39+CJ41</f>
        <v>-21047</v>
      </c>
      <c r="CK64" s="114">
        <f>CK39+CK41</f>
        <v>-26584</v>
      </c>
      <c r="CL64" s="114">
        <f>CL39+CL41</f>
        <v>-23142</v>
      </c>
      <c r="CM64" s="130">
        <f t="shared" si="183"/>
        <v>-88620</v>
      </c>
      <c r="CN64" s="114">
        <f>CN39+CN41</f>
        <v>-26414</v>
      </c>
      <c r="CO64" s="114">
        <f t="shared" si="183"/>
        <v>-30508</v>
      </c>
      <c r="CP64" s="114">
        <f t="shared" si="183"/>
        <v>-32510</v>
      </c>
      <c r="CQ64" s="114">
        <f t="shared" si="183"/>
        <v>-33593</v>
      </c>
      <c r="CR64" s="130">
        <f t="shared" si="183"/>
        <v>-123025</v>
      </c>
      <c r="CS64" s="114">
        <f t="shared" si="183"/>
        <v>-31977</v>
      </c>
      <c r="CT64" s="114">
        <f>CT39+CT41</f>
        <v>-39824</v>
      </c>
      <c r="CU64" s="114">
        <f>CU39+CU41</f>
        <v>-41008</v>
      </c>
      <c r="CV64" s="114">
        <f>CV39+CV41</f>
        <v>-43702</v>
      </c>
      <c r="CW64" s="130">
        <f t="shared" si="183"/>
        <v>-156511</v>
      </c>
      <c r="CX64" s="114">
        <f>CX39+CX41</f>
        <v>-37041</v>
      </c>
      <c r="CY64" s="114">
        <f t="shared" si="183"/>
        <v>-41301</v>
      </c>
      <c r="CZ64" s="114">
        <f>CZ39+CZ41</f>
        <v>-51696</v>
      </c>
      <c r="DA64" s="114">
        <f>DA39+DA41</f>
        <v>-55392</v>
      </c>
      <c r="DB64" s="130">
        <f t="shared" si="183"/>
        <v>-185430</v>
      </c>
      <c r="DC64" s="114">
        <f>DC39+DC41</f>
        <v>-44150</v>
      </c>
      <c r="DD64" s="114">
        <f t="shared" ref="DD64" si="184">DD39+DD41</f>
        <v>-49733</v>
      </c>
      <c r="DE64" s="114">
        <f>DE39+DE41</f>
        <v>-55840</v>
      </c>
      <c r="DF64" s="114">
        <f>DF39+DF41</f>
        <v>1692</v>
      </c>
      <c r="DG64" s="130">
        <f t="shared" si="183"/>
        <v>-148031</v>
      </c>
      <c r="DH64" s="114">
        <f>DH39+DH41</f>
        <v>-51222</v>
      </c>
      <c r="DI64" s="114">
        <f t="shared" ref="DI64" si="185">DI39+DI41</f>
        <v>-54976</v>
      </c>
      <c r="DJ64" s="114">
        <f>DJ39+DJ41</f>
        <v>-65214.167606162584</v>
      </c>
      <c r="DK64" s="114">
        <f>DK39+DK41</f>
        <v>-64920.304641024406</v>
      </c>
      <c r="DL64" s="130">
        <f>DL39+DL41</f>
        <v>-236332.47224718699</v>
      </c>
      <c r="DM64" s="114">
        <f t="shared" ref="DM64:EF64" si="186">DM39+DM41</f>
        <v>-59987.553237337372</v>
      </c>
      <c r="DN64" s="114">
        <f t="shared" si="186"/>
        <v>-61476.515045658009</v>
      </c>
      <c r="DO64" s="114">
        <f t="shared" si="186"/>
        <v>-62680.176861733569</v>
      </c>
      <c r="DP64" s="114">
        <f t="shared" si="186"/>
        <v>-67412.922052780195</v>
      </c>
      <c r="DQ64" s="130">
        <f t="shared" si="186"/>
        <v>-251557.16719750914</v>
      </c>
      <c r="DR64" s="114">
        <f t="shared" si="186"/>
        <v>-63230.671009547637</v>
      </c>
      <c r="DS64" s="114">
        <f t="shared" si="186"/>
        <v>-64866.511753232757</v>
      </c>
      <c r="DT64" s="114">
        <f t="shared" si="186"/>
        <v>-66315.060409248908</v>
      </c>
      <c r="DU64" s="114">
        <f t="shared" si="186"/>
        <v>-71309.124918855872</v>
      </c>
      <c r="DV64" s="130">
        <f t="shared" si="186"/>
        <v>-265721.36809088517</v>
      </c>
      <c r="DW64" s="114">
        <f t="shared" si="186"/>
        <v>-67053.099983104345</v>
      </c>
      <c r="DX64" s="114">
        <f t="shared" si="186"/>
        <v>-68884.164473006444</v>
      </c>
      <c r="DY64" s="114">
        <f t="shared" si="186"/>
        <v>-70446.7738510981</v>
      </c>
      <c r="DZ64" s="114">
        <f t="shared" si="186"/>
        <v>-75682.623349527799</v>
      </c>
      <c r="EA64" s="130">
        <f t="shared" si="186"/>
        <v>-282066.66165673669</v>
      </c>
      <c r="EB64" s="114">
        <f t="shared" si="186"/>
        <v>-71275.533352700993</v>
      </c>
      <c r="EC64" s="114">
        <f t="shared" si="186"/>
        <v>-73218.883609292869</v>
      </c>
      <c r="ED64" s="114">
        <f t="shared" si="186"/>
        <v>-74822.29082615333</v>
      </c>
      <c r="EE64" s="114">
        <f t="shared" si="186"/>
        <v>-80217.33959938935</v>
      </c>
      <c r="EF64" s="130">
        <f t="shared" si="186"/>
        <v>-299534.04738753656</v>
      </c>
    </row>
    <row r="65" spans="1:136" ht="12.75" customHeight="1">
      <c r="A65" s="104" t="s">
        <v>99</v>
      </c>
      <c r="B65" s="114">
        <f t="shared" ref="B65:AX65" si="187">B45</f>
        <v>-4600.5</v>
      </c>
      <c r="C65" s="114">
        <f t="shared" si="187"/>
        <v>-4600.5</v>
      </c>
      <c r="D65" s="114">
        <f t="shared" si="187"/>
        <v>-3744</v>
      </c>
      <c r="E65" s="114">
        <f t="shared" si="187"/>
        <v>-3153</v>
      </c>
      <c r="F65" s="130">
        <f t="shared" si="187"/>
        <v>-16098</v>
      </c>
      <c r="G65" s="114">
        <f t="shared" si="187"/>
        <v>-6267</v>
      </c>
      <c r="H65" s="114">
        <f t="shared" si="187"/>
        <v>2179</v>
      </c>
      <c r="I65" s="114">
        <f t="shared" si="187"/>
        <v>-13754</v>
      </c>
      <c r="J65" s="114">
        <f t="shared" si="187"/>
        <v>1752</v>
      </c>
      <c r="K65" s="130">
        <f t="shared" si="187"/>
        <v>-16090</v>
      </c>
      <c r="L65" s="114">
        <f t="shared" si="187"/>
        <v>-9044</v>
      </c>
      <c r="M65" s="114">
        <f t="shared" si="187"/>
        <v>-8517</v>
      </c>
      <c r="N65" s="114">
        <f t="shared" si="187"/>
        <v>-6137</v>
      </c>
      <c r="O65" s="114">
        <f t="shared" si="187"/>
        <v>-272</v>
      </c>
      <c r="P65" s="130">
        <f t="shared" si="187"/>
        <v>-23970</v>
      </c>
      <c r="Q65" s="114">
        <f t="shared" si="187"/>
        <v>-7961</v>
      </c>
      <c r="R65" s="114">
        <f t="shared" si="187"/>
        <v>-13649</v>
      </c>
      <c r="S65" s="114">
        <f t="shared" si="187"/>
        <v>-7144</v>
      </c>
      <c r="T65" s="114">
        <f t="shared" si="187"/>
        <v>-25596</v>
      </c>
      <c r="U65" s="130">
        <f t="shared" si="187"/>
        <v>-54350</v>
      </c>
      <c r="V65" s="114">
        <f t="shared" si="187"/>
        <v>-10224</v>
      </c>
      <c r="W65" s="114">
        <f t="shared" si="187"/>
        <v>-18067</v>
      </c>
      <c r="X65" s="114">
        <f t="shared" si="187"/>
        <v>-960</v>
      </c>
      <c r="Y65" s="114">
        <f>Y45</f>
        <v>-18582</v>
      </c>
      <c r="Z65" s="130">
        <f t="shared" si="187"/>
        <v>-47833</v>
      </c>
      <c r="AA65" s="114">
        <f>AA45</f>
        <v>-18337</v>
      </c>
      <c r="AB65" s="114">
        <f>AB45</f>
        <v>-21605</v>
      </c>
      <c r="AC65" s="114">
        <f>AC45</f>
        <v>-45593</v>
      </c>
      <c r="AD65" s="114">
        <f t="shared" si="187"/>
        <v>-12014</v>
      </c>
      <c r="AE65" s="130">
        <f>AE45</f>
        <v>-97549</v>
      </c>
      <c r="AF65" s="114">
        <f>AF45</f>
        <v>-12033</v>
      </c>
      <c r="AG65" s="114">
        <f>AG45</f>
        <v>-29297</v>
      </c>
      <c r="AH65" s="114">
        <f>AH45</f>
        <v>-20108</v>
      </c>
      <c r="AI65" s="114">
        <f>AI45</f>
        <v>-23379</v>
      </c>
      <c r="AJ65" s="130">
        <f t="shared" si="187"/>
        <v>-84817</v>
      </c>
      <c r="AK65" s="114">
        <f t="shared" si="187"/>
        <v>-15894</v>
      </c>
      <c r="AL65" s="114">
        <f>AL45</f>
        <v>-10068</v>
      </c>
      <c r="AM65" s="114">
        <f t="shared" si="187"/>
        <v>-30808</v>
      </c>
      <c r="AN65" s="114">
        <f t="shared" si="187"/>
        <v>-37245</v>
      </c>
      <c r="AO65" s="130">
        <f t="shared" si="187"/>
        <v>-94015</v>
      </c>
      <c r="AP65" s="114">
        <f t="shared" si="187"/>
        <v>-60319</v>
      </c>
      <c r="AQ65" s="114">
        <f>AQ45</f>
        <v>-26867</v>
      </c>
      <c r="AR65" s="114">
        <f>AR45</f>
        <v>-15454</v>
      </c>
      <c r="AS65" s="114">
        <f t="shared" si="187"/>
        <v>-72901</v>
      </c>
      <c r="AT65" s="130">
        <f t="shared" si="187"/>
        <v>-175541</v>
      </c>
      <c r="AU65" s="114">
        <f t="shared" si="187"/>
        <v>-35528</v>
      </c>
      <c r="AV65" s="114">
        <f t="shared" si="187"/>
        <v>-42408</v>
      </c>
      <c r="AW65" s="114">
        <f>AW45</f>
        <v>-53490</v>
      </c>
      <c r="AX65" s="114">
        <f t="shared" si="187"/>
        <v>-43741</v>
      </c>
      <c r="AY65" s="130">
        <f t="shared" ref="AY65:CC65" si="188">AY45</f>
        <v>-175167</v>
      </c>
      <c r="AZ65" s="114">
        <f t="shared" si="188"/>
        <v>-23891</v>
      </c>
      <c r="BA65" s="114">
        <f t="shared" si="188"/>
        <v>-39321</v>
      </c>
      <c r="BB65" s="114">
        <f t="shared" si="188"/>
        <v>-50664</v>
      </c>
      <c r="BC65" s="114">
        <f t="shared" si="188"/>
        <v>-56011</v>
      </c>
      <c r="BD65" s="130">
        <f t="shared" si="188"/>
        <v>-169887</v>
      </c>
      <c r="BE65" s="114">
        <f t="shared" si="188"/>
        <v>-17391</v>
      </c>
      <c r="BF65" s="114">
        <f t="shared" si="188"/>
        <v>-67053</v>
      </c>
      <c r="BG65" s="114">
        <f t="shared" si="188"/>
        <v>-37794</v>
      </c>
      <c r="BH65" s="114">
        <f t="shared" si="188"/>
        <v>-23115</v>
      </c>
      <c r="BI65" s="130">
        <f t="shared" si="188"/>
        <v>-145353</v>
      </c>
      <c r="BJ65" s="114">
        <f t="shared" si="188"/>
        <v>-27595</v>
      </c>
      <c r="BK65" s="114">
        <f t="shared" si="188"/>
        <v>-11800</v>
      </c>
      <c r="BL65" s="114">
        <f t="shared" si="188"/>
        <v>-28531</v>
      </c>
      <c r="BM65" s="114">
        <f t="shared" si="188"/>
        <v>-25342</v>
      </c>
      <c r="BN65" s="130">
        <f t="shared" si="188"/>
        <v>-93268</v>
      </c>
      <c r="BO65" s="114">
        <f t="shared" si="188"/>
        <v>-30221</v>
      </c>
      <c r="BP65" s="114">
        <f t="shared" si="188"/>
        <v>-6708</v>
      </c>
      <c r="BQ65" s="114">
        <f t="shared" si="188"/>
        <v>-20926</v>
      </c>
      <c r="BR65" s="114">
        <f>BR45</f>
        <v>-26610</v>
      </c>
      <c r="BS65" s="130">
        <f t="shared" si="188"/>
        <v>-84465</v>
      </c>
      <c r="BT65" s="114">
        <f t="shared" si="188"/>
        <v>-16629</v>
      </c>
      <c r="BU65" s="114">
        <f t="shared" si="188"/>
        <v>-9306</v>
      </c>
      <c r="BV65" s="114">
        <f t="shared" si="188"/>
        <v>-26676</v>
      </c>
      <c r="BW65" s="114">
        <f t="shared" si="188"/>
        <v>-37780</v>
      </c>
      <c r="BX65" s="130">
        <f t="shared" si="188"/>
        <v>-90391</v>
      </c>
      <c r="BY65" s="114">
        <f t="shared" si="188"/>
        <v>-12991</v>
      </c>
      <c r="BZ65" s="114">
        <f>BZ45</f>
        <v>-28456</v>
      </c>
      <c r="CA65" s="114">
        <f t="shared" si="188"/>
        <v>-16878</v>
      </c>
      <c r="CB65" s="114">
        <f t="shared" si="188"/>
        <v>-60150</v>
      </c>
      <c r="CC65" s="130">
        <f t="shared" si="188"/>
        <v>-118475</v>
      </c>
      <c r="CD65" s="114">
        <f t="shared" ref="CD65:DG65" si="189">CD45</f>
        <v>-20301</v>
      </c>
      <c r="CE65" s="114">
        <f t="shared" si="189"/>
        <v>-25114</v>
      </c>
      <c r="CF65" s="114">
        <f t="shared" si="189"/>
        <v>-11594</v>
      </c>
      <c r="CG65" s="114">
        <f t="shared" si="189"/>
        <v>-12230</v>
      </c>
      <c r="CH65" s="130">
        <f t="shared" si="189"/>
        <v>-69239</v>
      </c>
      <c r="CI65" s="114">
        <f t="shared" si="189"/>
        <v>-15908</v>
      </c>
      <c r="CJ65" s="114">
        <f>CJ45</f>
        <v>-23378</v>
      </c>
      <c r="CK65" s="114">
        <f>CK45</f>
        <v>-28696</v>
      </c>
      <c r="CL65" s="114">
        <f>CL45</f>
        <v>-34977</v>
      </c>
      <c r="CM65" s="130">
        <f t="shared" si="189"/>
        <v>-102959</v>
      </c>
      <c r="CN65" s="114">
        <f>CN45</f>
        <v>-8906</v>
      </c>
      <c r="CO65" s="114">
        <f t="shared" si="189"/>
        <v>-10817</v>
      </c>
      <c r="CP65" s="114">
        <f t="shared" si="189"/>
        <v>-20969</v>
      </c>
      <c r="CQ65" s="114">
        <f t="shared" si="189"/>
        <v>-9019</v>
      </c>
      <c r="CR65" s="130">
        <f t="shared" si="189"/>
        <v>-49711</v>
      </c>
      <c r="CS65" s="114">
        <f t="shared" si="189"/>
        <v>-27484</v>
      </c>
      <c r="CT65" s="114">
        <f>CT45</f>
        <v>-28640</v>
      </c>
      <c r="CU65" s="114">
        <f>CU45</f>
        <v>-53319</v>
      </c>
      <c r="CV65" s="114">
        <f>CV45</f>
        <v>-54167</v>
      </c>
      <c r="CW65" s="130">
        <f t="shared" si="189"/>
        <v>-163610</v>
      </c>
      <c r="CX65" s="114">
        <f>CX45</f>
        <v>-47545</v>
      </c>
      <c r="CY65" s="114">
        <f t="shared" si="189"/>
        <v>-65938</v>
      </c>
      <c r="CZ65" s="114">
        <f>CZ45</f>
        <v>-67911</v>
      </c>
      <c r="DA65" s="114">
        <f>DA45</f>
        <v>-90662</v>
      </c>
      <c r="DB65" s="130">
        <f t="shared" si="189"/>
        <v>-272056</v>
      </c>
      <c r="DC65" s="114">
        <f>DC45</f>
        <v>-66181</v>
      </c>
      <c r="DD65" s="114">
        <f t="shared" ref="DD65" si="190">DD45</f>
        <v>-91196</v>
      </c>
      <c r="DE65" s="114">
        <f>DE45</f>
        <v>-73848</v>
      </c>
      <c r="DF65" s="114">
        <f>DF45</f>
        <v>-157848</v>
      </c>
      <c r="DG65" s="130">
        <f t="shared" si="189"/>
        <v>-389073</v>
      </c>
      <c r="DH65" s="114">
        <f>DH45</f>
        <v>-63283</v>
      </c>
      <c r="DI65" s="114">
        <f t="shared" ref="DI65" si="191">DI45</f>
        <v>-67151</v>
      </c>
      <c r="DJ65" s="114">
        <f>DJ45</f>
        <v>-96260.25</v>
      </c>
      <c r="DK65" s="114">
        <f>DK45</f>
        <v>-95144.265189510217</v>
      </c>
      <c r="DL65" s="130">
        <f>DL45</f>
        <v>-321838.51518951019</v>
      </c>
      <c r="DM65" s="114">
        <f t="shared" ref="DM65:EF65" si="192">DM45</f>
        <v>-99065.432050399962</v>
      </c>
      <c r="DN65" s="114">
        <f t="shared" si="192"/>
        <v>-98640.759862051564</v>
      </c>
      <c r="DO65" s="114">
        <f t="shared" si="192"/>
        <v>-102537.42783356267</v>
      </c>
      <c r="DP65" s="114">
        <f t="shared" si="192"/>
        <v>-107636.19116155068</v>
      </c>
      <c r="DQ65" s="130">
        <f t="shared" si="192"/>
        <v>-407879.81090756488</v>
      </c>
      <c r="DR65" s="114">
        <f t="shared" si="192"/>
        <v>-112507.45225279985</v>
      </c>
      <c r="DS65" s="114">
        <f t="shared" si="192"/>
        <v>-115618.20496213749</v>
      </c>
      <c r="DT65" s="114">
        <f t="shared" si="192"/>
        <v>-118903.96113041727</v>
      </c>
      <c r="DU65" s="114">
        <f t="shared" si="192"/>
        <v>-122642.75752893474</v>
      </c>
      <c r="DV65" s="130">
        <f t="shared" si="192"/>
        <v>-469672.37587428931</v>
      </c>
      <c r="DW65" s="114">
        <f t="shared" si="192"/>
        <v>-127947.20916240133</v>
      </c>
      <c r="DX65" s="114">
        <f t="shared" si="192"/>
        <v>-128997.41956513212</v>
      </c>
      <c r="DY65" s="114">
        <f t="shared" si="192"/>
        <v>-131141.4031239578</v>
      </c>
      <c r="DZ65" s="114">
        <f t="shared" si="192"/>
        <v>-132802.3648283082</v>
      </c>
      <c r="EA65" s="130">
        <f t="shared" si="192"/>
        <v>-520888.39667979942</v>
      </c>
      <c r="EB65" s="114">
        <f t="shared" si="192"/>
        <v>-135014.53187156952</v>
      </c>
      <c r="EC65" s="114">
        <f t="shared" si="192"/>
        <v>-133932.72138301693</v>
      </c>
      <c r="ED65" s="114">
        <f t="shared" si="192"/>
        <v>-134910.45622329522</v>
      </c>
      <c r="EE65" s="114">
        <f t="shared" si="192"/>
        <v>-136891.76008004797</v>
      </c>
      <c r="EF65" s="130">
        <f t="shared" si="192"/>
        <v>-540749.46955792967</v>
      </c>
    </row>
    <row r="66" spans="1:136" s="68" customFormat="1" ht="12.75" customHeight="1">
      <c r="A66" s="120" t="s">
        <v>102</v>
      </c>
      <c r="B66" s="236">
        <f t="shared" ref="B66:BG66" si="193">B47</f>
        <v>22251</v>
      </c>
      <c r="C66" s="236">
        <f t="shared" si="193"/>
        <v>22251</v>
      </c>
      <c r="D66" s="236">
        <f t="shared" si="193"/>
        <v>21936</v>
      </c>
      <c r="E66" s="236">
        <f t="shared" si="193"/>
        <v>18095</v>
      </c>
      <c r="F66" s="237">
        <f t="shared" si="193"/>
        <v>84533</v>
      </c>
      <c r="G66" s="236">
        <f t="shared" si="193"/>
        <v>40497</v>
      </c>
      <c r="H66" s="236">
        <f t="shared" si="193"/>
        <v>34500</v>
      </c>
      <c r="I66" s="236">
        <f t="shared" si="193"/>
        <v>30495</v>
      </c>
      <c r="J66" s="236">
        <f t="shared" si="193"/>
        <v>22309</v>
      </c>
      <c r="K66" s="237">
        <f t="shared" si="193"/>
        <v>127801</v>
      </c>
      <c r="L66" s="236">
        <f t="shared" si="193"/>
        <v>57413</v>
      </c>
      <c r="M66" s="236">
        <f t="shared" si="193"/>
        <v>72958</v>
      </c>
      <c r="N66" s="236">
        <f t="shared" si="193"/>
        <v>31008</v>
      </c>
      <c r="O66" s="236">
        <f t="shared" si="193"/>
        <v>80627</v>
      </c>
      <c r="P66" s="237">
        <f t="shared" si="193"/>
        <v>242006</v>
      </c>
      <c r="Q66" s="236">
        <f t="shared" si="193"/>
        <v>43313</v>
      </c>
      <c r="R66" s="236">
        <f t="shared" si="193"/>
        <v>197457</v>
      </c>
      <c r="S66" s="236">
        <f t="shared" si="193"/>
        <v>90013</v>
      </c>
      <c r="T66" s="236">
        <f>T47</f>
        <v>83904</v>
      </c>
      <c r="U66" s="237">
        <f t="shared" si="193"/>
        <v>414687</v>
      </c>
      <c r="V66" s="236">
        <f>V47</f>
        <v>68510</v>
      </c>
      <c r="W66" s="236">
        <f>W47</f>
        <v>94027</v>
      </c>
      <c r="X66" s="236">
        <f t="shared" si="193"/>
        <v>77899</v>
      </c>
      <c r="Y66" s="236">
        <f>Y47</f>
        <v>37270</v>
      </c>
      <c r="Z66" s="237">
        <f t="shared" si="193"/>
        <v>277706</v>
      </c>
      <c r="AA66" s="236">
        <f>AA47</f>
        <v>100457</v>
      </c>
      <c r="AB66" s="236">
        <f>AB47</f>
        <v>157071</v>
      </c>
      <c r="AC66" s="236">
        <f>AC47</f>
        <v>264103</v>
      </c>
      <c r="AD66" s="236">
        <f t="shared" si="193"/>
        <v>207718</v>
      </c>
      <c r="AE66" s="237">
        <f>AE47</f>
        <v>729349</v>
      </c>
      <c r="AF66" s="236">
        <f>AF47</f>
        <v>174240</v>
      </c>
      <c r="AG66" s="236">
        <f>AG47</f>
        <v>167794</v>
      </c>
      <c r="AH66" s="236">
        <f>AH47</f>
        <v>176034</v>
      </c>
      <c r="AI66" s="236">
        <f>AI47</f>
        <v>82526</v>
      </c>
      <c r="AJ66" s="237">
        <f t="shared" si="193"/>
        <v>600594</v>
      </c>
      <c r="AK66" s="236">
        <f t="shared" si="193"/>
        <v>74181</v>
      </c>
      <c r="AL66" s="236">
        <f>AL47</f>
        <v>95872</v>
      </c>
      <c r="AM66" s="236">
        <f t="shared" si="193"/>
        <v>146753</v>
      </c>
      <c r="AN66" s="236">
        <f t="shared" si="193"/>
        <v>181365</v>
      </c>
      <c r="AO66" s="237">
        <f t="shared" si="193"/>
        <v>498171</v>
      </c>
      <c r="AP66" s="236">
        <f t="shared" si="193"/>
        <v>117906</v>
      </c>
      <c r="AQ66" s="236">
        <f>AQ47</f>
        <v>142745</v>
      </c>
      <c r="AR66" s="236">
        <f>AR47</f>
        <v>150395</v>
      </c>
      <c r="AS66" s="236">
        <f t="shared" si="193"/>
        <v>249102</v>
      </c>
      <c r="AT66" s="237">
        <f t="shared" si="193"/>
        <v>660148</v>
      </c>
      <c r="AU66" s="236">
        <f t="shared" si="193"/>
        <v>172929</v>
      </c>
      <c r="AV66" s="236">
        <f t="shared" si="193"/>
        <v>182777</v>
      </c>
      <c r="AW66" s="236">
        <f t="shared" si="193"/>
        <v>174604</v>
      </c>
      <c r="AX66" s="236">
        <f t="shared" si="193"/>
        <v>182522</v>
      </c>
      <c r="AY66" s="237">
        <f t="shared" si="193"/>
        <v>712832</v>
      </c>
      <c r="AZ66" s="236">
        <f>AZ47</f>
        <v>163453</v>
      </c>
      <c r="BA66" s="236">
        <f t="shared" si="193"/>
        <v>168894</v>
      </c>
      <c r="BB66" s="236">
        <f t="shared" si="193"/>
        <v>179129</v>
      </c>
      <c r="BC66" s="236">
        <f t="shared" si="193"/>
        <v>150023</v>
      </c>
      <c r="BD66" s="237">
        <f t="shared" si="193"/>
        <v>661499</v>
      </c>
      <c r="BE66" s="236">
        <f t="shared" si="193"/>
        <v>100541</v>
      </c>
      <c r="BF66" s="236">
        <f t="shared" si="193"/>
        <v>118006</v>
      </c>
      <c r="BG66" s="236">
        <f t="shared" si="193"/>
        <v>131232</v>
      </c>
      <c r="BH66" s="236">
        <f t="shared" ref="BH66:CC66" si="194">BH47</f>
        <v>98021</v>
      </c>
      <c r="BI66" s="237">
        <f t="shared" si="194"/>
        <v>447800</v>
      </c>
      <c r="BJ66" s="236">
        <f t="shared" si="194"/>
        <v>61272</v>
      </c>
      <c r="BK66" s="236">
        <f t="shared" si="194"/>
        <v>44703</v>
      </c>
      <c r="BL66" s="236">
        <f t="shared" si="194"/>
        <v>14444</v>
      </c>
      <c r="BM66" s="236">
        <f t="shared" si="194"/>
        <v>30933</v>
      </c>
      <c r="BN66" s="237">
        <f t="shared" si="194"/>
        <v>151352</v>
      </c>
      <c r="BO66" s="236">
        <f t="shared" si="194"/>
        <v>4025</v>
      </c>
      <c r="BP66" s="236">
        <f t="shared" si="194"/>
        <v>-141028</v>
      </c>
      <c r="BQ66" s="236">
        <f t="shared" si="194"/>
        <v>-6763</v>
      </c>
      <c r="BR66" s="236">
        <f>BR47</f>
        <v>48762</v>
      </c>
      <c r="BS66" s="237">
        <f t="shared" si="194"/>
        <v>-95004</v>
      </c>
      <c r="BT66" s="236">
        <f t="shared" si="194"/>
        <v>-51284</v>
      </c>
      <c r="BU66" s="236">
        <f t="shared" si="194"/>
        <v>-28437</v>
      </c>
      <c r="BV66" s="236">
        <f t="shared" si="194"/>
        <v>-120753</v>
      </c>
      <c r="BW66" s="236">
        <f t="shared" si="194"/>
        <v>116111</v>
      </c>
      <c r="BX66" s="237">
        <f t="shared" si="194"/>
        <v>-84363</v>
      </c>
      <c r="BY66" s="236">
        <f t="shared" si="194"/>
        <v>48410</v>
      </c>
      <c r="BZ66" s="236">
        <f>BZ47</f>
        <v>113835</v>
      </c>
      <c r="CA66" s="236">
        <f t="shared" si="194"/>
        <v>104383</v>
      </c>
      <c r="CB66" s="236">
        <f t="shared" si="194"/>
        <v>149215</v>
      </c>
      <c r="CC66" s="237">
        <f t="shared" si="194"/>
        <v>415843</v>
      </c>
      <c r="CD66" s="236">
        <f t="shared" ref="CD66:DG66" si="195">CD47</f>
        <v>27935</v>
      </c>
      <c r="CE66" s="236">
        <f t="shared" si="195"/>
        <v>67811</v>
      </c>
      <c r="CF66" s="236">
        <f t="shared" si="195"/>
        <v>1403281</v>
      </c>
      <c r="CG66" s="236">
        <f t="shared" si="195"/>
        <v>261231</v>
      </c>
      <c r="CH66" s="237">
        <f t="shared" si="195"/>
        <v>1760258</v>
      </c>
      <c r="CI66" s="236">
        <f t="shared" si="195"/>
        <v>192285</v>
      </c>
      <c r="CJ66" s="236">
        <f>CJ47</f>
        <v>266974</v>
      </c>
      <c r="CK66" s="236">
        <f>CK47</f>
        <v>237547</v>
      </c>
      <c r="CL66" s="236">
        <f>CL47</f>
        <v>217549</v>
      </c>
      <c r="CM66" s="237">
        <f t="shared" si="195"/>
        <v>914355</v>
      </c>
      <c r="CN66" s="236">
        <f>CN47</f>
        <v>161751</v>
      </c>
      <c r="CO66" s="236">
        <f t="shared" si="195"/>
        <v>150797</v>
      </c>
      <c r="CP66" s="236">
        <f t="shared" si="195"/>
        <v>288628</v>
      </c>
      <c r="CQ66" s="236">
        <f t="shared" si="195"/>
        <v>207704</v>
      </c>
      <c r="CR66" s="237">
        <f t="shared" si="195"/>
        <v>808880</v>
      </c>
      <c r="CS66" s="236">
        <f t="shared" si="195"/>
        <v>163576</v>
      </c>
      <c r="CT66" s="236">
        <f>CT47</f>
        <v>279385</v>
      </c>
      <c r="CU66" s="236">
        <f>CU47</f>
        <v>251319</v>
      </c>
      <c r="CV66" s="236">
        <f>CV47</f>
        <v>247810</v>
      </c>
      <c r="CW66" s="237">
        <f t="shared" si="195"/>
        <v>942090</v>
      </c>
      <c r="CX66" s="236">
        <f>CX47</f>
        <v>267258</v>
      </c>
      <c r="CY66" s="236">
        <f t="shared" si="195"/>
        <v>412005</v>
      </c>
      <c r="CZ66" s="236">
        <f>CZ47</f>
        <v>473101</v>
      </c>
      <c r="DA66" s="236">
        <f>DA47</f>
        <v>496632</v>
      </c>
      <c r="DB66" s="237">
        <f t="shared" si="195"/>
        <v>1648996</v>
      </c>
      <c r="DC66" s="236">
        <f>DC47</f>
        <v>327632</v>
      </c>
      <c r="DD66" s="236">
        <f t="shared" ref="DD66" si="196">DD47</f>
        <v>387807</v>
      </c>
      <c r="DE66" s="236">
        <f>DE47</f>
        <v>609115</v>
      </c>
      <c r="DF66" s="236">
        <f>DF47</f>
        <v>682202</v>
      </c>
      <c r="DG66" s="237">
        <f t="shared" si="195"/>
        <v>2006756</v>
      </c>
      <c r="DH66" s="236">
        <f>DH47</f>
        <v>296776</v>
      </c>
      <c r="DI66" s="236">
        <f t="shared" ref="DI66" si="197">DI47</f>
        <v>451576</v>
      </c>
      <c r="DJ66" s="236">
        <f ca="1">DJ47</f>
        <v>524530.08119783562</v>
      </c>
      <c r="DK66" s="236">
        <f ca="1">DK47</f>
        <v>617188.0403730016</v>
      </c>
      <c r="DL66" s="237">
        <f ca="1">DL47</f>
        <v>1890070.1215708372</v>
      </c>
      <c r="DM66" s="236">
        <f t="shared" ref="DM66:EF66" ca="1" si="198">DM47</f>
        <v>537656.98535306158</v>
      </c>
      <c r="DN66" s="236">
        <f t="shared" ca="1" si="198"/>
        <v>555649.42660106672</v>
      </c>
      <c r="DO66" s="236">
        <f t="shared" ca="1" si="198"/>
        <v>547147.32407476974</v>
      </c>
      <c r="DP66" s="236">
        <f t="shared" ca="1" si="198"/>
        <v>577282.30497594236</v>
      </c>
      <c r="DQ66" s="237">
        <f t="shared" ca="1" si="198"/>
        <v>2217736.0410048403</v>
      </c>
      <c r="DR66" s="236">
        <f t="shared" ca="1" si="198"/>
        <v>611473.40168903861</v>
      </c>
      <c r="DS66" s="236">
        <f t="shared" ca="1" si="198"/>
        <v>567852.47253617586</v>
      </c>
      <c r="DT66" s="236">
        <f t="shared" ca="1" si="198"/>
        <v>561667.86547324131</v>
      </c>
      <c r="DU66" s="236">
        <f t="shared" ca="1" si="198"/>
        <v>619834.6238907387</v>
      </c>
      <c r="DV66" s="237">
        <f t="shared" ca="1" si="198"/>
        <v>2360828.3635891946</v>
      </c>
      <c r="DW66" s="236">
        <f t="shared" ca="1" si="198"/>
        <v>645667.82554050046</v>
      </c>
      <c r="DX66" s="236">
        <f t="shared" ca="1" si="198"/>
        <v>592457.1195786579</v>
      </c>
      <c r="DY66" s="236">
        <f t="shared" ca="1" si="198"/>
        <v>580881.41955141374</v>
      </c>
      <c r="DZ66" s="236">
        <f t="shared" ca="1" si="198"/>
        <v>654367.96635930741</v>
      </c>
      <c r="EA66" s="237">
        <f t="shared" ca="1" si="198"/>
        <v>2473374.3310298794</v>
      </c>
      <c r="EB66" s="236">
        <f t="shared" ca="1" si="198"/>
        <v>700167.74572222121</v>
      </c>
      <c r="EC66" s="236">
        <f t="shared" ca="1" si="198"/>
        <v>654288.5156274942</v>
      </c>
      <c r="ED66" s="236">
        <f t="shared" ca="1" si="198"/>
        <v>645005.66094672435</v>
      </c>
      <c r="EE66" s="236">
        <f t="shared" ca="1" si="198"/>
        <v>718082.45151681802</v>
      </c>
      <c r="EF66" s="237">
        <f t="shared" ca="1" si="198"/>
        <v>2717544.3738132576</v>
      </c>
    </row>
    <row r="67" spans="1:136" s="68" customFormat="1" ht="12.75" customHeight="1" outlineLevel="1">
      <c r="A67" s="120" t="s">
        <v>704</v>
      </c>
      <c r="B67" s="236">
        <f t="shared" ref="B67:AG67" si="199">B66-B34-B30-B37</f>
        <v>22251</v>
      </c>
      <c r="C67" s="236">
        <f t="shared" si="199"/>
        <v>22251</v>
      </c>
      <c r="D67" s="236">
        <f t="shared" si="199"/>
        <v>21936</v>
      </c>
      <c r="E67" s="236">
        <f t="shared" si="199"/>
        <v>18095</v>
      </c>
      <c r="F67" s="237">
        <f t="shared" si="199"/>
        <v>84533</v>
      </c>
      <c r="G67" s="236">
        <f t="shared" si="199"/>
        <v>40497</v>
      </c>
      <c r="H67" s="236">
        <f t="shared" si="199"/>
        <v>34500</v>
      </c>
      <c r="I67" s="236">
        <f t="shared" si="199"/>
        <v>56221</v>
      </c>
      <c r="J67" s="236">
        <f t="shared" si="199"/>
        <v>22309</v>
      </c>
      <c r="K67" s="237">
        <f t="shared" si="199"/>
        <v>153527</v>
      </c>
      <c r="L67" s="236">
        <f t="shared" si="199"/>
        <v>57413</v>
      </c>
      <c r="M67" s="236">
        <f t="shared" si="199"/>
        <v>74072</v>
      </c>
      <c r="N67" s="236">
        <f t="shared" si="199"/>
        <v>50721</v>
      </c>
      <c r="O67" s="236">
        <f t="shared" si="199"/>
        <v>80627</v>
      </c>
      <c r="P67" s="237">
        <f t="shared" si="199"/>
        <v>262833</v>
      </c>
      <c r="Q67" s="236">
        <f t="shared" si="199"/>
        <v>43313</v>
      </c>
      <c r="R67" s="236">
        <f t="shared" si="199"/>
        <v>84563</v>
      </c>
      <c r="S67" s="236">
        <f t="shared" si="199"/>
        <v>90013</v>
      </c>
      <c r="T67" s="236">
        <f t="shared" si="199"/>
        <v>83904</v>
      </c>
      <c r="U67" s="237">
        <f t="shared" si="199"/>
        <v>301793</v>
      </c>
      <c r="V67" s="236">
        <f t="shared" si="199"/>
        <v>68510</v>
      </c>
      <c r="W67" s="236">
        <f t="shared" si="199"/>
        <v>94027</v>
      </c>
      <c r="X67" s="236">
        <f t="shared" si="199"/>
        <v>77899</v>
      </c>
      <c r="Y67" s="236">
        <f t="shared" si="199"/>
        <v>37270</v>
      </c>
      <c r="Z67" s="237">
        <f t="shared" si="199"/>
        <v>277706</v>
      </c>
      <c r="AA67" s="236">
        <f t="shared" si="199"/>
        <v>100457</v>
      </c>
      <c r="AB67" s="236">
        <f t="shared" si="199"/>
        <v>157071</v>
      </c>
      <c r="AC67" s="236">
        <f t="shared" si="199"/>
        <v>183471</v>
      </c>
      <c r="AD67" s="236">
        <f t="shared" si="199"/>
        <v>207718</v>
      </c>
      <c r="AE67" s="237">
        <f t="shared" si="199"/>
        <v>648717</v>
      </c>
      <c r="AF67" s="236">
        <f t="shared" si="199"/>
        <v>174240</v>
      </c>
      <c r="AG67" s="236">
        <f t="shared" si="199"/>
        <v>167794</v>
      </c>
      <c r="AH67" s="236">
        <f t="shared" ref="AH67:BM67" si="200">AH66-AH34-AH30-AH37</f>
        <v>176034</v>
      </c>
      <c r="AI67" s="236">
        <f t="shared" si="200"/>
        <v>82526</v>
      </c>
      <c r="AJ67" s="237">
        <f t="shared" si="200"/>
        <v>600594</v>
      </c>
      <c r="AK67" s="236">
        <f t="shared" si="200"/>
        <v>74181</v>
      </c>
      <c r="AL67" s="236">
        <f t="shared" si="200"/>
        <v>95872</v>
      </c>
      <c r="AM67" s="236">
        <f t="shared" si="200"/>
        <v>146753</v>
      </c>
      <c r="AN67" s="236">
        <f t="shared" si="200"/>
        <v>217585</v>
      </c>
      <c r="AO67" s="237">
        <f t="shared" si="200"/>
        <v>534391</v>
      </c>
      <c r="AP67" s="236">
        <f t="shared" si="200"/>
        <v>135906</v>
      </c>
      <c r="AQ67" s="236">
        <f t="shared" si="200"/>
        <v>142745</v>
      </c>
      <c r="AR67" s="236">
        <f t="shared" si="200"/>
        <v>150395</v>
      </c>
      <c r="AS67" s="236">
        <f t="shared" si="200"/>
        <v>249102</v>
      </c>
      <c r="AT67" s="237">
        <f t="shared" si="200"/>
        <v>678148</v>
      </c>
      <c r="AU67" s="236">
        <f t="shared" si="200"/>
        <v>172929</v>
      </c>
      <c r="AV67" s="236">
        <f t="shared" si="200"/>
        <v>188777</v>
      </c>
      <c r="AW67" s="236">
        <f t="shared" si="200"/>
        <v>174604</v>
      </c>
      <c r="AX67" s="236">
        <f t="shared" si="200"/>
        <v>182522</v>
      </c>
      <c r="AY67" s="237">
        <f t="shared" si="200"/>
        <v>718832</v>
      </c>
      <c r="AZ67" s="236">
        <f>AZ66-AZ34-AZ30-AZ37</f>
        <v>163453</v>
      </c>
      <c r="BA67" s="236">
        <f t="shared" si="200"/>
        <v>168894</v>
      </c>
      <c r="BB67" s="236">
        <f t="shared" si="200"/>
        <v>179129</v>
      </c>
      <c r="BC67" s="236">
        <f t="shared" si="200"/>
        <v>150023</v>
      </c>
      <c r="BD67" s="237">
        <f t="shared" si="200"/>
        <v>661499</v>
      </c>
      <c r="BE67" s="236">
        <f t="shared" si="200"/>
        <v>100541</v>
      </c>
      <c r="BF67" s="236">
        <f t="shared" si="200"/>
        <v>118006</v>
      </c>
      <c r="BG67" s="236">
        <f t="shared" si="200"/>
        <v>131232</v>
      </c>
      <c r="BH67" s="236">
        <f t="shared" si="200"/>
        <v>98021</v>
      </c>
      <c r="BI67" s="237">
        <f t="shared" si="200"/>
        <v>447800</v>
      </c>
      <c r="BJ67" s="236">
        <f t="shared" si="200"/>
        <v>61272</v>
      </c>
      <c r="BK67" s="236">
        <f t="shared" si="200"/>
        <v>44703</v>
      </c>
      <c r="BL67" s="236">
        <f t="shared" si="200"/>
        <v>14444</v>
      </c>
      <c r="BM67" s="236">
        <f t="shared" si="200"/>
        <v>30933</v>
      </c>
      <c r="BN67" s="237">
        <f t="shared" ref="BN67:CC67" si="201">BN66-BN34-BN30-BN37</f>
        <v>151352</v>
      </c>
      <c r="BO67" s="236">
        <f t="shared" si="201"/>
        <v>4025</v>
      </c>
      <c r="BP67" s="236">
        <f t="shared" si="201"/>
        <v>-141028</v>
      </c>
      <c r="BQ67" s="236">
        <f t="shared" si="201"/>
        <v>-6763</v>
      </c>
      <c r="BR67" s="236">
        <f t="shared" si="201"/>
        <v>48762</v>
      </c>
      <c r="BS67" s="237">
        <f t="shared" si="201"/>
        <v>-95004</v>
      </c>
      <c r="BT67" s="236">
        <f t="shared" si="201"/>
        <v>-51284</v>
      </c>
      <c r="BU67" s="236">
        <f t="shared" si="201"/>
        <v>-28437</v>
      </c>
      <c r="BV67" s="236">
        <f t="shared" si="201"/>
        <v>-120753</v>
      </c>
      <c r="BW67" s="236">
        <f>BW66-BW34-BW30-BW37</f>
        <v>96111</v>
      </c>
      <c r="BX67" s="237">
        <f t="shared" si="201"/>
        <v>-104363</v>
      </c>
      <c r="BY67" s="236">
        <f t="shared" si="201"/>
        <v>48410</v>
      </c>
      <c r="BZ67" s="236">
        <f>BZ66-BZ34-BZ30-BZ37</f>
        <v>113835</v>
      </c>
      <c r="CA67" s="236">
        <f t="shared" si="201"/>
        <v>104383</v>
      </c>
      <c r="CB67" s="236">
        <f t="shared" si="201"/>
        <v>149215</v>
      </c>
      <c r="CC67" s="237">
        <f t="shared" si="201"/>
        <v>415843</v>
      </c>
      <c r="CD67" s="236">
        <f t="shared" ref="CD67:DG67" si="202">CD66-CD34-CD30-CD37</f>
        <v>27935</v>
      </c>
      <c r="CE67" s="236">
        <f t="shared" si="202"/>
        <v>67811</v>
      </c>
      <c r="CF67" s="236">
        <f t="shared" si="202"/>
        <v>250281</v>
      </c>
      <c r="CG67" s="236">
        <f t="shared" si="202"/>
        <v>261231</v>
      </c>
      <c r="CH67" s="237">
        <f t="shared" si="202"/>
        <v>607258</v>
      </c>
      <c r="CI67" s="236">
        <f t="shared" si="202"/>
        <v>192285</v>
      </c>
      <c r="CJ67" s="236">
        <f>CJ66-CJ34-CJ30-CJ37</f>
        <v>266974</v>
      </c>
      <c r="CK67" s="236">
        <f>CK66-CK34-CK30-CK37</f>
        <v>237547</v>
      </c>
      <c r="CL67" s="236">
        <f>CL66-CL34-CL30-CL37</f>
        <v>217549</v>
      </c>
      <c r="CM67" s="237">
        <f t="shared" si="202"/>
        <v>914355</v>
      </c>
      <c r="CN67" s="236">
        <f>CN66-CN34-CN30-CN37</f>
        <v>161751</v>
      </c>
      <c r="CO67" s="236">
        <f t="shared" si="202"/>
        <v>150797</v>
      </c>
      <c r="CP67" s="236">
        <f t="shared" si="202"/>
        <v>288628</v>
      </c>
      <c r="CQ67" s="236">
        <f t="shared" si="202"/>
        <v>207704</v>
      </c>
      <c r="CR67" s="237">
        <f t="shared" si="202"/>
        <v>808880</v>
      </c>
      <c r="CS67" s="236">
        <f t="shared" si="202"/>
        <v>163576</v>
      </c>
      <c r="CT67" s="236">
        <f>CT66-CT34-CT30-CT37</f>
        <v>279385</v>
      </c>
      <c r="CU67" s="236">
        <f>CU66-CU34-CU30-CU37</f>
        <v>251319</v>
      </c>
      <c r="CV67" s="236">
        <f>CV66-CV34-CV30-CV37</f>
        <v>247810</v>
      </c>
      <c r="CW67" s="237">
        <f t="shared" si="202"/>
        <v>942090</v>
      </c>
      <c r="CX67" s="236">
        <f>CX66-CX34-CX30-CX37</f>
        <v>267258</v>
      </c>
      <c r="CY67" s="236">
        <f t="shared" si="202"/>
        <v>412005</v>
      </c>
      <c r="CZ67" s="236">
        <f>CZ66-CZ34-CZ30-CZ37</f>
        <v>473101</v>
      </c>
      <c r="DA67" s="236">
        <f>DA66-DA34-DA30-DA37</f>
        <v>496632</v>
      </c>
      <c r="DB67" s="237">
        <f t="shared" si="202"/>
        <v>1648996</v>
      </c>
      <c r="DC67" s="236">
        <f>DC66-DC34-DC30-DC37</f>
        <v>327632</v>
      </c>
      <c r="DD67" s="236">
        <f t="shared" ref="DD67" si="203">DD66-DD34-DD30-DD37</f>
        <v>387807</v>
      </c>
      <c r="DE67" s="236">
        <f>DE66-DE34-DE30-DE37</f>
        <v>396115</v>
      </c>
      <c r="DF67" s="236">
        <f>DF66-DF34-DF30-DF37</f>
        <v>682202</v>
      </c>
      <c r="DG67" s="237">
        <f t="shared" si="202"/>
        <v>1793756</v>
      </c>
      <c r="DH67" s="236">
        <f>DH66-DH34-DH30-DH37</f>
        <v>296776</v>
      </c>
      <c r="DI67" s="236">
        <f t="shared" ref="DI67" si="204">DI66-DI34-DI30-DI37</f>
        <v>451576</v>
      </c>
      <c r="DJ67" s="236">
        <f ca="1">DJ66-DJ34-DJ30-DJ37</f>
        <v>524530.08119783562</v>
      </c>
      <c r="DK67" s="236">
        <f ca="1">DK66-DK34-DK30-DK37</f>
        <v>617188.0403730016</v>
      </c>
      <c r="DL67" s="237">
        <f ca="1">DL66-DL34-DL30-DL37</f>
        <v>1890070.1215708372</v>
      </c>
      <c r="DM67" s="236">
        <f t="shared" ref="DM67:EF67" ca="1" si="205">DM66-DM34-DM30-DM37</f>
        <v>537656.98535306158</v>
      </c>
      <c r="DN67" s="236">
        <f t="shared" ca="1" si="205"/>
        <v>555649.42660106672</v>
      </c>
      <c r="DO67" s="236">
        <f t="shared" ca="1" si="205"/>
        <v>547147.32407476974</v>
      </c>
      <c r="DP67" s="236">
        <f t="shared" ca="1" si="205"/>
        <v>577282.30497594236</v>
      </c>
      <c r="DQ67" s="237">
        <f t="shared" ca="1" si="205"/>
        <v>2217736.0410048403</v>
      </c>
      <c r="DR67" s="236">
        <f t="shared" ca="1" si="205"/>
        <v>611473.40168903861</v>
      </c>
      <c r="DS67" s="236">
        <f t="shared" ca="1" si="205"/>
        <v>567852.47253617586</v>
      </c>
      <c r="DT67" s="236">
        <f t="shared" ca="1" si="205"/>
        <v>561667.86547324131</v>
      </c>
      <c r="DU67" s="236">
        <f t="shared" ca="1" si="205"/>
        <v>619834.6238907387</v>
      </c>
      <c r="DV67" s="237">
        <f t="shared" ca="1" si="205"/>
        <v>2360828.3635891946</v>
      </c>
      <c r="DW67" s="236">
        <f t="shared" ca="1" si="205"/>
        <v>645667.82554050046</v>
      </c>
      <c r="DX67" s="236">
        <f t="shared" ca="1" si="205"/>
        <v>592457.1195786579</v>
      </c>
      <c r="DY67" s="236">
        <f t="shared" ca="1" si="205"/>
        <v>580881.41955141374</v>
      </c>
      <c r="DZ67" s="236">
        <f t="shared" ca="1" si="205"/>
        <v>654367.96635930741</v>
      </c>
      <c r="EA67" s="237">
        <f t="shared" ca="1" si="205"/>
        <v>2473374.3310298794</v>
      </c>
      <c r="EB67" s="236">
        <f t="shared" ca="1" si="205"/>
        <v>700167.74572222121</v>
      </c>
      <c r="EC67" s="236">
        <f t="shared" ca="1" si="205"/>
        <v>654288.5156274942</v>
      </c>
      <c r="ED67" s="236">
        <f t="shared" ca="1" si="205"/>
        <v>645005.66094672435</v>
      </c>
      <c r="EE67" s="236">
        <f t="shared" ca="1" si="205"/>
        <v>718082.45151681802</v>
      </c>
      <c r="EF67" s="237">
        <f t="shared" ca="1" si="205"/>
        <v>2717544.3738132576</v>
      </c>
    </row>
    <row r="68" spans="1:136" s="68" customFormat="1" ht="12.75" customHeight="1">
      <c r="A68" s="300" t="s">
        <v>103</v>
      </c>
      <c r="B68" s="261">
        <f>-B33</f>
        <v>763</v>
      </c>
      <c r="C68" s="261">
        <f>-C33</f>
        <v>1244</v>
      </c>
      <c r="D68" s="261">
        <f>-D33</f>
        <v>1023</v>
      </c>
      <c r="E68" s="261">
        <f>-E33</f>
        <v>470</v>
      </c>
      <c r="F68" s="241">
        <f>SUM(B68:E68)</f>
        <v>3500</v>
      </c>
      <c r="G68" s="261">
        <f>-G33</f>
        <v>1106</v>
      </c>
      <c r="H68" s="261">
        <f>-H33</f>
        <v>651</v>
      </c>
      <c r="I68" s="261">
        <f>-I33</f>
        <v>1017</v>
      </c>
      <c r="J68" s="261">
        <f>-J33</f>
        <v>313</v>
      </c>
      <c r="K68" s="241">
        <f>SUM(G68:J68)</f>
        <v>3087</v>
      </c>
      <c r="L68" s="261">
        <f>-L33</f>
        <v>794</v>
      </c>
      <c r="M68" s="261">
        <f>-M33</f>
        <v>1233</v>
      </c>
      <c r="N68" s="261">
        <f>-N33</f>
        <v>1572</v>
      </c>
      <c r="O68" s="261">
        <f>-O33</f>
        <v>1459</v>
      </c>
      <c r="P68" s="241">
        <f>SUM(L68:O68)</f>
        <v>5058</v>
      </c>
      <c r="Q68" s="261">
        <f>-Q33</f>
        <v>5166</v>
      </c>
      <c r="R68" s="261">
        <f>-R33</f>
        <v>9222</v>
      </c>
      <c r="S68" s="261">
        <f>-S33</f>
        <v>1690</v>
      </c>
      <c r="T68" s="261">
        <f>-T33</f>
        <v>5</v>
      </c>
      <c r="U68" s="241">
        <f>SUM(Q68:T68)</f>
        <v>16083</v>
      </c>
      <c r="V68" s="261">
        <f>-V33</f>
        <v>1822</v>
      </c>
      <c r="W68" s="261">
        <f>-W33</f>
        <v>12870</v>
      </c>
      <c r="X68" s="261">
        <f>-X33</f>
        <v>3863</v>
      </c>
      <c r="Y68" s="261">
        <f>-Y33</f>
        <v>3215</v>
      </c>
      <c r="Z68" s="241">
        <f>SUM(V68:Y68)</f>
        <v>21770</v>
      </c>
      <c r="AA68" s="261">
        <f>1195+1792</f>
        <v>2987</v>
      </c>
      <c r="AB68" s="261">
        <f>1367+1883</f>
        <v>3250</v>
      </c>
      <c r="AC68" s="261">
        <f>2820+484</f>
        <v>3304</v>
      </c>
      <c r="AD68" s="261">
        <f>1148+25704</f>
        <v>26852</v>
      </c>
      <c r="AE68" s="241">
        <f>SUM(AA68:AD68)</f>
        <v>36393</v>
      </c>
      <c r="AF68" s="261">
        <f>1220+17100</f>
        <v>18320</v>
      </c>
      <c r="AG68" s="261">
        <f>2622+8294</f>
        <v>10916</v>
      </c>
      <c r="AH68" s="261">
        <f>2885+8437</f>
        <v>11322</v>
      </c>
      <c r="AI68" s="261">
        <f>2158+16817</f>
        <v>18975</v>
      </c>
      <c r="AJ68" s="241">
        <f>SUM(AF68:AI68)</f>
        <v>59533</v>
      </c>
      <c r="AK68" s="261">
        <f>3377+7032</f>
        <v>10409</v>
      </c>
      <c r="AL68" s="261">
        <f>6508+10102-AK68</f>
        <v>6201</v>
      </c>
      <c r="AM68" s="306">
        <v>9000</v>
      </c>
      <c r="AN68" s="261">
        <f>13336+19781-AK68-AL68-AM68</f>
        <v>7507</v>
      </c>
      <c r="AO68" s="237">
        <f>SUM(AK68:AN68)</f>
        <v>33117</v>
      </c>
      <c r="AP68" s="261">
        <f>20169+2482</f>
        <v>22651</v>
      </c>
      <c r="AQ68" s="261">
        <f>51646+3520-AP68</f>
        <v>32515</v>
      </c>
      <c r="AR68" s="261">
        <f>85248-AP68-AQ68</f>
        <v>30082</v>
      </c>
      <c r="AS68" s="306">
        <f>12412+7450-AR68-AQ68-AP68</f>
        <v>-65386</v>
      </c>
      <c r="AT68" s="237">
        <f>SUM(AP68:AS68)</f>
        <v>19862</v>
      </c>
      <c r="AU68" s="261">
        <f>25332+930</f>
        <v>26262</v>
      </c>
      <c r="AV68" s="261">
        <f>49387+2079-AU68</f>
        <v>25204</v>
      </c>
      <c r="AW68" s="261">
        <f>77057-AU68-AV68</f>
        <v>25591</v>
      </c>
      <c r="AX68" s="261">
        <f>96012-AV68-AW68-AU68</f>
        <v>18955</v>
      </c>
      <c r="AY68" s="237">
        <f>SUM(AU68:AX68)</f>
        <v>96012</v>
      </c>
      <c r="AZ68" s="261">
        <f>23249+1390</f>
        <v>24639</v>
      </c>
      <c r="BA68" s="261">
        <f>44196+3579-AZ68</f>
        <v>23136</v>
      </c>
      <c r="BB68" s="261">
        <f>64043+3649-BA68-AZ68</f>
        <v>19917</v>
      </c>
      <c r="BC68" s="261">
        <f>84350-4250-BA68-BB68-AZ68</f>
        <v>12408</v>
      </c>
      <c r="BD68" s="237">
        <f>SUM(AZ68:BC68)</f>
        <v>80100</v>
      </c>
      <c r="BE68" s="261">
        <f>16871+1977</f>
        <v>18848</v>
      </c>
      <c r="BF68" s="261">
        <f>33239+2912-BE68</f>
        <v>17303</v>
      </c>
      <c r="BG68" s="261">
        <f>53231+4026-BF68-BE68</f>
        <v>21106</v>
      </c>
      <c r="BH68" s="261">
        <f>75953-8764-BF68-BG68-BE68</f>
        <v>9932</v>
      </c>
      <c r="BI68" s="237">
        <f>SUM(BE68:BH68)</f>
        <v>67189</v>
      </c>
      <c r="BJ68" s="261">
        <f>27748+2099</f>
        <v>29847</v>
      </c>
      <c r="BK68" s="261">
        <f>44261+3176-BJ68</f>
        <v>17590</v>
      </c>
      <c r="BL68" s="261">
        <f>69344+3700-BK68-BJ68</f>
        <v>25607</v>
      </c>
      <c r="BM68" s="261">
        <f>97438-8806-BK68-BL68-BJ68</f>
        <v>15588</v>
      </c>
      <c r="BN68" s="237">
        <f>SUM(BJ68:BM68)</f>
        <v>88632</v>
      </c>
      <c r="BO68" s="261">
        <f>21302+40</f>
        <v>21342</v>
      </c>
      <c r="BP68" s="261">
        <f>39063+10940-BO68</f>
        <v>28661</v>
      </c>
      <c r="BQ68" s="261">
        <f>39755+11009-BP68-BO68</f>
        <v>761</v>
      </c>
      <c r="BR68" s="261">
        <f>55495-11039-BP68-BQ68-BO68</f>
        <v>-6308</v>
      </c>
      <c r="BS68" s="237">
        <f>SUM(BO68:BR68)</f>
        <v>44456</v>
      </c>
      <c r="BT68" s="261">
        <f>15816+51</f>
        <v>15867</v>
      </c>
      <c r="BU68" s="261">
        <f>25358+93-BT68</f>
        <v>9584</v>
      </c>
      <c r="BV68" s="261">
        <f>48170+175-BU68-BT68</f>
        <v>22894</v>
      </c>
      <c r="BW68" s="261">
        <f>61369-BU68-BV68-BT68</f>
        <v>13024</v>
      </c>
      <c r="BX68" s="237">
        <f>SUM(BT68:BW68)</f>
        <v>61369</v>
      </c>
      <c r="BY68" s="261">
        <f>24163+196</f>
        <v>24359</v>
      </c>
      <c r="BZ68" s="306">
        <f>15966+512-BY68</f>
        <v>-7881</v>
      </c>
      <c r="CA68" s="261">
        <f>47230+786-BZ68-BY68</f>
        <v>31538</v>
      </c>
      <c r="CB68" s="261">
        <f>74678-BZ68-CA68-BY68</f>
        <v>26662</v>
      </c>
      <c r="CC68" s="237">
        <f>SUM(BY68:CB68)</f>
        <v>74678</v>
      </c>
      <c r="CD68" s="261">
        <f>17141+58</f>
        <v>17199</v>
      </c>
      <c r="CE68" s="261">
        <f>30729+195-CD68</f>
        <v>13725</v>
      </c>
      <c r="CF68" s="261">
        <f>39572+315-CE68-CD68</f>
        <v>8963</v>
      </c>
      <c r="CG68" s="261">
        <f>51163-CE68-CF68-CD68</f>
        <v>11276</v>
      </c>
      <c r="CH68" s="237">
        <f>SUM(CD68:CG68)</f>
        <v>51163</v>
      </c>
      <c r="CI68" s="261">
        <f>10896+36</f>
        <v>10932</v>
      </c>
      <c r="CJ68" s="261">
        <f>21318+76-CI68</f>
        <v>10462</v>
      </c>
      <c r="CK68" s="261">
        <f>32295+119-CJ68-CI68</f>
        <v>11020</v>
      </c>
      <c r="CL68" s="261">
        <f>40023+149-CJ68-CK68-CI68</f>
        <v>7758</v>
      </c>
      <c r="CM68" s="237">
        <f>SUM(CI68:CL68)</f>
        <v>40172</v>
      </c>
      <c r="CN68" s="261">
        <f>8497+35</f>
        <v>8532</v>
      </c>
      <c r="CO68" s="261">
        <f>17723+60-CN68</f>
        <v>9251</v>
      </c>
      <c r="CP68" s="261">
        <f>32285+8330-CO68-CN68</f>
        <v>22832</v>
      </c>
      <c r="CQ68" s="261">
        <f>43474+19799-CO68-CP68-CN68</f>
        <v>22658</v>
      </c>
      <c r="CR68" s="237">
        <f>SUM(CN68:CQ68)</f>
        <v>63273</v>
      </c>
      <c r="CS68" s="261">
        <f>18751+10533</f>
        <v>29284</v>
      </c>
      <c r="CT68" s="261">
        <f>30059+15296-CS68</f>
        <v>16071</v>
      </c>
      <c r="CU68" s="261">
        <f>46327+41330-CT68-CS68</f>
        <v>42302</v>
      </c>
      <c r="CV68" s="261">
        <f>67088+23861-CT68-CU68-CS68</f>
        <v>3292</v>
      </c>
      <c r="CW68" s="237">
        <f>SUM(CS68:CV68)</f>
        <v>90949</v>
      </c>
      <c r="CX68" s="261">
        <f>19888+3750</f>
        <v>23638</v>
      </c>
      <c r="CY68" s="261">
        <f>31427+8576-CX68</f>
        <v>16365</v>
      </c>
      <c r="CZ68" s="261">
        <f>45054+34948-CY68-CX68</f>
        <v>39999</v>
      </c>
      <c r="DA68" s="261">
        <f>50815+49244-CY68-CZ68-CX68</f>
        <v>20057</v>
      </c>
      <c r="DB68" s="237">
        <f>SUM(CX68:DA68)</f>
        <v>100059</v>
      </c>
      <c r="DC68" s="261">
        <f>21373+8899</f>
        <v>30272</v>
      </c>
      <c r="DD68" s="261">
        <f>35128+18946-DC68</f>
        <v>23802</v>
      </c>
      <c r="DE68" s="261">
        <f>47429+35274-DD68-DC68</f>
        <v>28629</v>
      </c>
      <c r="DF68" s="261">
        <f>79338+53237-DD68-DE68-DC68</f>
        <v>49872</v>
      </c>
      <c r="DG68" s="237">
        <f>SUM(DC68:DF68)</f>
        <v>132575</v>
      </c>
      <c r="DH68" s="261">
        <f>38968+15615</f>
        <v>54583</v>
      </c>
      <c r="DI68" s="261">
        <f>68157+27592-DH68</f>
        <v>41166</v>
      </c>
      <c r="DJ68" s="236">
        <f>'Balance Sheet'!DJ92</f>
        <v>42672.762305488272</v>
      </c>
      <c r="DK68" s="236">
        <f>'Balance Sheet'!DK92</f>
        <v>42939.215041441901</v>
      </c>
      <c r="DL68" s="237">
        <f>SUM(DH68:DK68)</f>
        <v>181360.97734693019</v>
      </c>
      <c r="DM68" s="236">
        <f>'Balance Sheet'!DM92</f>
        <v>43207.331533305885</v>
      </c>
      <c r="DN68" s="236">
        <f>'Balance Sheet'!DN92</f>
        <v>43477.122169728405</v>
      </c>
      <c r="DO68" s="236">
        <f>'Balance Sheet'!DO92</f>
        <v>43748.597404225344</v>
      </c>
      <c r="DP68" s="236">
        <f>'Balance Sheet'!DP92</f>
        <v>44021.767755585286</v>
      </c>
      <c r="DQ68" s="237">
        <f>SUM(DM68:DP68)</f>
        <v>174454.81886284493</v>
      </c>
      <c r="DR68" s="236">
        <f>'Balance Sheet'!DR92</f>
        <v>44296.643808277149</v>
      </c>
      <c r="DS68" s="236">
        <f>'Balance Sheet'!DS92</f>
        <v>44573.236212860276</v>
      </c>
      <c r="DT68" s="236">
        <f>'Balance Sheet'!DT92</f>
        <v>44851.555686397056</v>
      </c>
      <c r="DU68" s="236">
        <f>'Balance Sheet'!DU92</f>
        <v>45131.613012868285</v>
      </c>
      <c r="DV68" s="237">
        <f>SUM(DR68:DU68)</f>
        <v>178853.04872040276</v>
      </c>
      <c r="DW68" s="236">
        <f>'Balance Sheet'!DW92</f>
        <v>45413.419043590897</v>
      </c>
      <c r="DX68" s="236">
        <f>'Balance Sheet'!DX92</f>
        <v>45696.984697638487</v>
      </c>
      <c r="DY68" s="236">
        <f>'Balance Sheet'!DY92</f>
        <v>45982.320962264392</v>
      </c>
      <c r="DZ68" s="236">
        <f>'Balance Sheet'!DZ92</f>
        <v>46269.438893327351</v>
      </c>
      <c r="EA68" s="237">
        <f>SUM(DW68:DZ68)</f>
        <v>183362.1635968211</v>
      </c>
      <c r="EB68" s="236">
        <f>'Balance Sheet'!EB92</f>
        <v>46558.349615719948</v>
      </c>
      <c r="EC68" s="236">
        <f>'Balance Sheet'!EC92</f>
        <v>46849.064323799641</v>
      </c>
      <c r="ED68" s="236">
        <f>'Balance Sheet'!ED92</f>
        <v>47141.594281822501</v>
      </c>
      <c r="EE68" s="236">
        <f>'Balance Sheet'!EE92</f>
        <v>47435.950824379681</v>
      </c>
      <c r="EF68" s="237">
        <f>SUM(EB68:EE68)</f>
        <v>187984.95904572177</v>
      </c>
    </row>
    <row r="69" spans="1:136" s="96" customFormat="1" ht="12.75" customHeight="1">
      <c r="A69" s="96" t="s">
        <v>73</v>
      </c>
      <c r="F69" s="97"/>
      <c r="K69" s="97"/>
      <c r="P69" s="243"/>
      <c r="U69" s="243"/>
      <c r="Z69" s="243"/>
      <c r="AE69" s="517">
        <f>AE15/AE10</f>
        <v>0.34474420994049404</v>
      </c>
      <c r="AI69" s="242"/>
      <c r="AJ69" s="517">
        <f>AJ15/AJ10</f>
        <v>0.31423251647970751</v>
      </c>
      <c r="AK69" s="242"/>
      <c r="AM69" s="242"/>
      <c r="AN69" s="242"/>
      <c r="AO69" s="517">
        <f>AO15/AO10</f>
        <v>0.28293650450375163</v>
      </c>
      <c r="AP69" s="242"/>
      <c r="AQ69" s="242"/>
      <c r="AR69" s="242"/>
      <c r="AS69" s="242"/>
      <c r="AT69" s="517">
        <f>AT15/AT10</f>
        <v>0.32290354199129756</v>
      </c>
      <c r="AU69" s="242"/>
      <c r="AV69" s="242"/>
      <c r="AW69" s="242"/>
      <c r="AX69" s="242"/>
      <c r="AY69" s="517">
        <f>AY15/AY10</f>
        <v>0.3274995616061559</v>
      </c>
      <c r="AZ69" s="242"/>
      <c r="BA69" s="242"/>
      <c r="BB69" s="242"/>
      <c r="BC69" s="242"/>
      <c r="BD69" s="517">
        <f>BD15/BD10</f>
        <v>0.32120478651588441</v>
      </c>
      <c r="BE69" s="242"/>
      <c r="BF69" s="242"/>
      <c r="BG69" s="242"/>
      <c r="BH69" s="242"/>
      <c r="BI69" s="517">
        <f>BI15/BI10</f>
        <v>0.34623710950745235</v>
      </c>
      <c r="BJ69" s="242"/>
      <c r="BK69" s="242"/>
      <c r="BL69" s="242"/>
      <c r="BM69" s="242"/>
      <c r="BN69" s="517">
        <f>BN15/BN10</f>
        <v>0.33252579561920442</v>
      </c>
      <c r="BO69" s="242"/>
      <c r="BP69" s="242"/>
      <c r="BQ69" s="242"/>
      <c r="BR69" s="242"/>
      <c r="BS69" s="517">
        <f>BS15/BS10</f>
        <v>0.27471061460035828</v>
      </c>
      <c r="BT69" s="242"/>
      <c r="BU69" s="242"/>
      <c r="BV69" s="242"/>
      <c r="BW69" s="242"/>
      <c r="BX69" s="517">
        <f>BX15/BX10</f>
        <v>0.28177135611932547</v>
      </c>
      <c r="BY69" s="242"/>
      <c r="BZ69" s="242"/>
      <c r="CA69" s="242"/>
      <c r="CB69" s="242"/>
      <c r="CC69" s="517">
        <f>CC15/CC10</f>
        <v>0.30927721751907933</v>
      </c>
      <c r="CD69" s="242"/>
      <c r="CE69" s="242"/>
      <c r="CF69" s="242"/>
      <c r="CG69" s="242"/>
      <c r="CH69" s="517">
        <f>CH15/CH10</f>
        <v>0.3270089986233215</v>
      </c>
      <c r="CI69" s="242"/>
      <c r="CJ69" s="242"/>
      <c r="CK69" s="242"/>
      <c r="CL69" s="242"/>
      <c r="CM69" s="517">
        <f>CM15/CM10</f>
        <v>0.34770988677751863</v>
      </c>
      <c r="CN69" s="242"/>
      <c r="CO69" s="242"/>
      <c r="CP69" s="242"/>
      <c r="CQ69" s="242"/>
      <c r="CR69" s="517">
        <f>CR15/CR10</f>
        <v>0.32037462850786957</v>
      </c>
      <c r="CS69" s="242"/>
      <c r="CT69" s="242"/>
      <c r="CU69" s="242"/>
      <c r="CV69" s="242"/>
      <c r="CW69" s="517">
        <f>CW15/CW10</f>
        <v>0.32683469970328016</v>
      </c>
      <c r="CX69" s="242"/>
      <c r="CY69" s="242"/>
      <c r="CZ69" s="242"/>
      <c r="DA69" s="242"/>
      <c r="DB69" s="517">
        <f>DB15/DB10</f>
        <v>0.32387221292121909</v>
      </c>
      <c r="DC69" s="242"/>
      <c r="DD69" s="242"/>
      <c r="DE69" s="242"/>
      <c r="DF69" s="242"/>
      <c r="DG69" s="517">
        <f>DG15/DG10</f>
        <v>0.32577820922897599</v>
      </c>
      <c r="DH69" s="242"/>
      <c r="DI69" s="242"/>
      <c r="DJ69" s="242"/>
      <c r="DK69" s="242"/>
      <c r="DL69" s="517">
        <f>DL15/DL10</f>
        <v>0.33436801833590168</v>
      </c>
      <c r="DM69" s="242"/>
      <c r="DN69" s="242"/>
      <c r="DO69" s="242"/>
      <c r="DP69" s="242"/>
      <c r="DQ69" s="517">
        <f>DQ15/DQ10</f>
        <v>0.32812727246317741</v>
      </c>
      <c r="DR69" s="242"/>
      <c r="DS69" s="242"/>
      <c r="DT69" s="242"/>
      <c r="DU69" s="242"/>
      <c r="DV69" s="517">
        <f>DV15/DV10</f>
        <v>0.33120746533374035</v>
      </c>
      <c r="DW69" s="242"/>
      <c r="DX69" s="242"/>
      <c r="DY69" s="242"/>
      <c r="DZ69" s="242"/>
      <c r="EA69" s="517">
        <f>EA15/EA10</f>
        <v>0.32912357879749843</v>
      </c>
      <c r="EB69" s="242"/>
      <c r="EC69" s="242"/>
      <c r="ED69" s="242"/>
      <c r="EE69" s="242"/>
      <c r="EF69" s="517">
        <f>EF15/EF10</f>
        <v>0.32784265898646092</v>
      </c>
    </row>
    <row r="70" spans="1:136" s="68" customFormat="1" ht="12.75" customHeight="1">
      <c r="A70" s="120" t="s">
        <v>13</v>
      </c>
      <c r="B70" s="128">
        <f t="shared" ref="B70:AB70" si="206">B55/B$53</f>
        <v>0.41183152305313148</v>
      </c>
      <c r="C70" s="128">
        <f t="shared" si="206"/>
        <v>0.41183152305313148</v>
      </c>
      <c r="D70" s="128">
        <f t="shared" si="206"/>
        <v>0.43106511286773697</v>
      </c>
      <c r="E70" s="128">
        <f t="shared" si="206"/>
        <v>0.38018036774858094</v>
      </c>
      <c r="F70" s="270">
        <f t="shared" si="206"/>
        <v>0.4053165585189451</v>
      </c>
      <c r="G70" s="128">
        <f t="shared" si="206"/>
        <v>0.48763070195545993</v>
      </c>
      <c r="H70" s="128">
        <f t="shared" si="206"/>
        <v>0.49513331698258645</v>
      </c>
      <c r="I70" s="128">
        <f t="shared" si="206"/>
        <v>0.47777632822167138</v>
      </c>
      <c r="J70" s="128">
        <f t="shared" si="206"/>
        <v>0.35856907186334341</v>
      </c>
      <c r="K70" s="270">
        <f t="shared" si="206"/>
        <v>0.46251132325273497</v>
      </c>
      <c r="L70" s="128">
        <f t="shared" si="206"/>
        <v>0.44677361421851403</v>
      </c>
      <c r="M70" s="128">
        <f t="shared" si="206"/>
        <v>0.44106533537911924</v>
      </c>
      <c r="N70" s="128">
        <f t="shared" si="206"/>
        <v>0.42581019264222664</v>
      </c>
      <c r="O70" s="128">
        <f t="shared" si="206"/>
        <v>0.39298335401819418</v>
      </c>
      <c r="P70" s="270">
        <f t="shared" si="206"/>
        <v>0.42223965483428122</v>
      </c>
      <c r="Q70" s="128">
        <f t="shared" si="206"/>
        <v>0.3902661300701587</v>
      </c>
      <c r="R70" s="128">
        <f t="shared" si="206"/>
        <v>0.42115185727829008</v>
      </c>
      <c r="S70" s="128">
        <f t="shared" si="206"/>
        <v>0.43509295508456597</v>
      </c>
      <c r="T70" s="128">
        <f t="shared" si="206"/>
        <v>0.35453029857459173</v>
      </c>
      <c r="U70" s="270">
        <f t="shared" si="206"/>
        <v>0.38876999648243044</v>
      </c>
      <c r="V70" s="128">
        <f t="shared" si="206"/>
        <v>0.39848596247583257</v>
      </c>
      <c r="W70" s="128">
        <f t="shared" si="206"/>
        <v>0.39098808500895105</v>
      </c>
      <c r="X70" s="128">
        <f t="shared" si="206"/>
        <v>0.41793911687093804</v>
      </c>
      <c r="Y70" s="128">
        <f t="shared" si="206"/>
        <v>0.33914737456025185</v>
      </c>
      <c r="Z70" s="270">
        <f t="shared" si="206"/>
        <v>0.38587138416564204</v>
      </c>
      <c r="AA70" s="128">
        <f t="shared" si="206"/>
        <v>0.38908696649360941</v>
      </c>
      <c r="AB70" s="128">
        <f t="shared" si="206"/>
        <v>0.3557503426222019</v>
      </c>
      <c r="AC70" s="128">
        <f t="shared" ref="AC70:AH70" si="207">AC55/AC$53</f>
        <v>0.34808076105297181</v>
      </c>
      <c r="AD70" s="128">
        <f t="shared" si="207"/>
        <v>0.3414220788101045</v>
      </c>
      <c r="AE70" s="270">
        <f t="shared" si="207"/>
        <v>0.35451762245203744</v>
      </c>
      <c r="AF70" s="128">
        <f t="shared" si="207"/>
        <v>0.35689674051258868</v>
      </c>
      <c r="AG70" s="128">
        <f t="shared" si="207"/>
        <v>0.34197298967105783</v>
      </c>
      <c r="AH70" s="128">
        <f t="shared" si="207"/>
        <v>0.36648347725558234</v>
      </c>
      <c r="AI70" s="128">
        <f t="shared" ref="AI70:AV70" si="208">AI55/AI$53</f>
        <v>0.28089511564681674</v>
      </c>
      <c r="AJ70" s="270">
        <f t="shared" si="208"/>
        <v>0.33390387322971593</v>
      </c>
      <c r="AK70" s="128">
        <f t="shared" si="208"/>
        <v>0.30631059794693616</v>
      </c>
      <c r="AL70" s="128">
        <f t="shared" si="208"/>
        <v>0.3072275042592148</v>
      </c>
      <c r="AM70" s="128">
        <f t="shared" si="208"/>
        <v>0.32489442819385972</v>
      </c>
      <c r="AN70" s="128">
        <f>AN55/AN$53</f>
        <v>0.31575662460241799</v>
      </c>
      <c r="AO70" s="270">
        <f t="shared" si="208"/>
        <v>0.31430632170466022</v>
      </c>
      <c r="AP70" s="128">
        <f>AP55/AP$53</f>
        <v>0.34144466881214014</v>
      </c>
      <c r="AQ70" s="128">
        <f>AQ55/AQ$53</f>
        <v>0.3227257206754241</v>
      </c>
      <c r="AR70" s="128">
        <f>AR55/AR$53</f>
        <v>0.34913759896648178</v>
      </c>
      <c r="AS70" s="128">
        <f>AS55/AS$53</f>
        <v>0.40392461573829186</v>
      </c>
      <c r="AT70" s="270">
        <f t="shared" si="208"/>
        <v>0.35455934911256259</v>
      </c>
      <c r="AU70" s="128">
        <f t="shared" si="208"/>
        <v>0.35133251602392684</v>
      </c>
      <c r="AV70" s="128">
        <f t="shared" si="208"/>
        <v>0.34978967793363397</v>
      </c>
      <c r="AW70" s="128">
        <f t="shared" ref="AW70:CG70" si="209">AW55/AW$53</f>
        <v>0.36360624419124987</v>
      </c>
      <c r="AX70" s="128">
        <f t="shared" si="209"/>
        <v>0.38252791180481344</v>
      </c>
      <c r="AY70" s="270">
        <f t="shared" si="209"/>
        <v>0.36219429242861256</v>
      </c>
      <c r="AZ70" s="128">
        <f t="shared" si="209"/>
        <v>0.36963740780104642</v>
      </c>
      <c r="BA70" s="128">
        <f t="shared" si="209"/>
        <v>0.37272873842973475</v>
      </c>
      <c r="BB70" s="128">
        <f t="shared" si="209"/>
        <v>0.33089751725232014</v>
      </c>
      <c r="BC70" s="128">
        <f t="shared" si="209"/>
        <v>0.3593572978913297</v>
      </c>
      <c r="BD70" s="270">
        <f t="shared" si="209"/>
        <v>0.35690960027514956</v>
      </c>
      <c r="BE70" s="128">
        <f t="shared" si="209"/>
        <v>0.39091047841315901</v>
      </c>
      <c r="BF70" s="128">
        <f t="shared" si="209"/>
        <v>0.38665515789547705</v>
      </c>
      <c r="BG70" s="128">
        <f t="shared" si="209"/>
        <v>0.38463769619058252</v>
      </c>
      <c r="BH70" s="128">
        <f t="shared" si="209"/>
        <v>0.3802789567552986</v>
      </c>
      <c r="BI70" s="270">
        <f t="shared" si="209"/>
        <v>0.38562751544279167</v>
      </c>
      <c r="BJ70" s="128">
        <f t="shared" si="209"/>
        <v>0.41028190244058882</v>
      </c>
      <c r="BK70" s="128">
        <f t="shared" si="209"/>
        <v>0.47107871201638607</v>
      </c>
      <c r="BL70" s="128">
        <f t="shared" si="209"/>
        <v>0.38381948746797734</v>
      </c>
      <c r="BM70" s="128">
        <f t="shared" si="209"/>
        <v>0.34187560679347473</v>
      </c>
      <c r="BN70" s="270">
        <f t="shared" si="209"/>
        <v>0.39597879391983876</v>
      </c>
      <c r="BO70" s="128">
        <f t="shared" si="209"/>
        <v>0.37536522205067396</v>
      </c>
      <c r="BP70" s="128">
        <f t="shared" si="209"/>
        <v>0.35091064730076765</v>
      </c>
      <c r="BQ70" s="128">
        <f t="shared" si="209"/>
        <v>0.31229603212969637</v>
      </c>
      <c r="BR70" s="128">
        <f t="shared" si="209"/>
        <v>0.32170375865479722</v>
      </c>
      <c r="BS70" s="270">
        <f t="shared" si="209"/>
        <v>0.33977455054099642</v>
      </c>
      <c r="BT70" s="128">
        <f t="shared" si="209"/>
        <v>0.33373426064417627</v>
      </c>
      <c r="BU70" s="128">
        <f t="shared" si="209"/>
        <v>0.31315838439876226</v>
      </c>
      <c r="BV70" s="128">
        <f t="shared" si="209"/>
        <v>0.32788328217155865</v>
      </c>
      <c r="BW70" s="128">
        <f t="shared" si="209"/>
        <v>0.31222619249868405</v>
      </c>
      <c r="BX70" s="270">
        <f t="shared" si="209"/>
        <v>0.3197074017765979</v>
      </c>
      <c r="BY70" s="128">
        <f t="shared" si="209"/>
        <v>0.33008970802530996</v>
      </c>
      <c r="BZ70" s="128">
        <f t="shared" si="209"/>
        <v>0.33227812287133979</v>
      </c>
      <c r="CA70" s="128">
        <f t="shared" si="209"/>
        <v>0.33066169996758521</v>
      </c>
      <c r="CB70" s="128">
        <f t="shared" si="209"/>
        <v>0.32765653102563563</v>
      </c>
      <c r="CC70" s="270">
        <f t="shared" si="209"/>
        <v>0.32998382272618226</v>
      </c>
      <c r="CD70" s="128">
        <f t="shared" si="209"/>
        <v>0.35632065171198618</v>
      </c>
      <c r="CE70" s="128">
        <f t="shared" si="209"/>
        <v>0.34775180971092312</v>
      </c>
      <c r="CF70" s="128">
        <f t="shared" si="209"/>
        <v>0.34107174626967013</v>
      </c>
      <c r="CG70" s="128">
        <f t="shared" si="209"/>
        <v>0.33758553135913233</v>
      </c>
      <c r="CH70" s="270">
        <f t="shared" ref="CH70:DG70" si="210">CH55/CH$53</f>
        <v>0.3446236311673313</v>
      </c>
      <c r="CI70" s="128">
        <f>CI55/CI$53</f>
        <v>0.35422901730740874</v>
      </c>
      <c r="CJ70" s="128">
        <f>CJ55/CJ$53</f>
        <v>0.37449482622529756</v>
      </c>
      <c r="CK70" s="128">
        <f>CK55/CK$53</f>
        <v>0.35587760674791341</v>
      </c>
      <c r="CL70" s="128">
        <f>CL55/CL$53</f>
        <v>0.3458283051438284</v>
      </c>
      <c r="CM70" s="270">
        <f t="shared" si="210"/>
        <v>0.35736353156121287</v>
      </c>
      <c r="CN70" s="128">
        <f>CN55/CN$53</f>
        <v>0.32461847989529508</v>
      </c>
      <c r="CO70" s="128">
        <f>CO55/CO$53</f>
        <v>0.32865177752197255</v>
      </c>
      <c r="CP70" s="128">
        <f>CP55/CP$53</f>
        <v>0.35339795491791715</v>
      </c>
      <c r="CQ70" s="128">
        <f>CQ55/CQ$53</f>
        <v>0.33126902012960679</v>
      </c>
      <c r="CR70" s="270">
        <f t="shared" si="210"/>
        <v>0.33552790452109504</v>
      </c>
      <c r="CS70" s="128">
        <f>CS55/CS$53</f>
        <v>0.32658057418191622</v>
      </c>
      <c r="CT70" s="128">
        <f>CT55/CT$53</f>
        <v>0.34136572252618558</v>
      </c>
      <c r="CU70" s="128">
        <f>CU55/CU$53</f>
        <v>0.35391734374260064</v>
      </c>
      <c r="CV70" s="128">
        <f>CV55/CV$53</f>
        <v>0.35446088861680086</v>
      </c>
      <c r="CW70" s="270">
        <f t="shared" si="210"/>
        <v>0.34517669889434949</v>
      </c>
      <c r="CX70" s="128">
        <f>CX55/CX$53</f>
        <v>0.3310047421627797</v>
      </c>
      <c r="CY70" s="128">
        <f>CY55/CY$53</f>
        <v>0.34748233170351839</v>
      </c>
      <c r="CZ70" s="128">
        <f>CZ55/CZ$53</f>
        <v>0.35080858728914477</v>
      </c>
      <c r="DA70" s="128">
        <f>DA55/DA$53</f>
        <v>0.33355118704337006</v>
      </c>
      <c r="DB70" s="270">
        <f t="shared" si="210"/>
        <v>0.34069298220065863</v>
      </c>
      <c r="DC70" s="128">
        <f>DC55/DC$53</f>
        <v>0.34353402186871396</v>
      </c>
      <c r="DD70" s="128">
        <f>DD55/DD$53</f>
        <v>0.34900884140987981</v>
      </c>
      <c r="DE70" s="128">
        <f>DE55/DE$53</f>
        <v>0.35285696700785457</v>
      </c>
      <c r="DF70" s="128">
        <f>DF55/DF$53</f>
        <v>0.33720628318600482</v>
      </c>
      <c r="DG70" s="270">
        <f t="shared" si="210"/>
        <v>0.34469157618182811</v>
      </c>
      <c r="DH70" s="128">
        <f>DH55/DH$53</f>
        <v>0.36106374562784904</v>
      </c>
      <c r="DI70" s="128">
        <f>DI55/DI$53</f>
        <v>0.37312460019082005</v>
      </c>
      <c r="DJ70" s="128">
        <f>DJ55/DJ$53</f>
        <v>0.34878206884313451</v>
      </c>
      <c r="DK70" s="128">
        <f>DK55/DK$53</f>
        <v>0.34930130325120895</v>
      </c>
      <c r="DL70" s="270">
        <f>DL55/DL$53</f>
        <v>0.35727372550638353</v>
      </c>
      <c r="DM70" s="128">
        <f t="shared" ref="DM70:EF70" si="211">DM55/DM$53</f>
        <v>0.34607676449891489</v>
      </c>
      <c r="DN70" s="128">
        <f t="shared" si="211"/>
        <v>0.34554817297579032</v>
      </c>
      <c r="DO70" s="128">
        <f t="shared" si="211"/>
        <v>0.34511208341544763</v>
      </c>
      <c r="DP70" s="128">
        <f t="shared" si="211"/>
        <v>0.34448819601949549</v>
      </c>
      <c r="DQ70" s="270">
        <f t="shared" si="211"/>
        <v>0.34527178965073624</v>
      </c>
      <c r="DR70" s="128">
        <f t="shared" si="211"/>
        <v>0.34450435721545419</v>
      </c>
      <c r="DS70" s="128">
        <f t="shared" si="211"/>
        <v>0.34413372601894665</v>
      </c>
      <c r="DT70" s="128">
        <f t="shared" si="211"/>
        <v>0.34381856597295518</v>
      </c>
      <c r="DU70" s="128">
        <f t="shared" si="211"/>
        <v>0.34337124118901829</v>
      </c>
      <c r="DV70" s="270">
        <f t="shared" si="211"/>
        <v>0.34393568400244096</v>
      </c>
      <c r="DW70" s="128">
        <f t="shared" si="211"/>
        <v>0.34338407203413046</v>
      </c>
      <c r="DX70" s="128">
        <f t="shared" si="211"/>
        <v>0.34311298253617917</v>
      </c>
      <c r="DY70" s="128">
        <f t="shared" si="211"/>
        <v>0.34288408769827999</v>
      </c>
      <c r="DZ70" s="128">
        <f t="shared" si="211"/>
        <v>0.34255880490052565</v>
      </c>
      <c r="EA70" s="270">
        <f t="shared" si="211"/>
        <v>0.342970666022826</v>
      </c>
      <c r="EB70" s="128">
        <f t="shared" si="211"/>
        <v>0.34256729836026323</v>
      </c>
      <c r="EC70" s="128">
        <f t="shared" si="211"/>
        <v>0.34236858698154882</v>
      </c>
      <c r="ED70" s="128">
        <f t="shared" si="211"/>
        <v>0.34220179852229443</v>
      </c>
      <c r="EE70" s="128">
        <f t="shared" si="211"/>
        <v>0.34196478394846375</v>
      </c>
      <c r="EF70" s="270">
        <f t="shared" si="211"/>
        <v>0.3422657961798079</v>
      </c>
    </row>
    <row r="71" spans="1:136" ht="12.75" customHeight="1" outlineLevel="1">
      <c r="A71" s="104" t="s">
        <v>104</v>
      </c>
      <c r="B71" s="271">
        <f t="shared" ref="B71:AK71" si="212">(1+B12/B5)</f>
        <v>0.4200416449765747</v>
      </c>
      <c r="C71" s="271">
        <f t="shared" si="212"/>
        <v>0.4200416449765747</v>
      </c>
      <c r="D71" s="271">
        <f t="shared" si="212"/>
        <v>0.43740725455934393</v>
      </c>
      <c r="E71" s="271">
        <f t="shared" si="212"/>
        <v>0.38146436209449308</v>
      </c>
      <c r="F71" s="272">
        <f t="shared" si="212"/>
        <v>0.40973923065840656</v>
      </c>
      <c r="G71" s="271">
        <f t="shared" si="212"/>
        <v>0.49788383127876201</v>
      </c>
      <c r="H71" s="271">
        <f t="shared" si="212"/>
        <v>0.50670391061452513</v>
      </c>
      <c r="I71" s="271">
        <f t="shared" si="212"/>
        <v>0.48148163215491635</v>
      </c>
      <c r="J71" s="271">
        <f t="shared" si="212"/>
        <v>0.31404546924576293</v>
      </c>
      <c r="K71" s="272">
        <f t="shared" si="212"/>
        <v>0.46242176011251945</v>
      </c>
      <c r="L71" s="271">
        <f t="shared" si="212"/>
        <v>0.45547637503963923</v>
      </c>
      <c r="M71" s="271">
        <f t="shared" si="212"/>
        <v>0.43104269226077341</v>
      </c>
      <c r="N71" s="271">
        <f t="shared" si="212"/>
        <v>0.41378674521626491</v>
      </c>
      <c r="O71" s="271">
        <f t="shared" si="212"/>
        <v>0.39129201937534797</v>
      </c>
      <c r="P71" s="272">
        <f t="shared" si="212"/>
        <v>0.41859367321072916</v>
      </c>
      <c r="Q71" s="271">
        <f t="shared" si="212"/>
        <v>0.41752586104057665</v>
      </c>
      <c r="R71" s="271">
        <f t="shared" si="212"/>
        <v>0.43650946165959381</v>
      </c>
      <c r="S71" s="271">
        <f t="shared" si="212"/>
        <v>0.44933003430511231</v>
      </c>
      <c r="T71" s="271">
        <f t="shared" si="212"/>
        <v>0.37566197541196344</v>
      </c>
      <c r="U71" s="272">
        <f t="shared" si="212"/>
        <v>0.40811791215692073</v>
      </c>
      <c r="V71" s="271">
        <f t="shared" si="212"/>
        <v>0.42437862766635137</v>
      </c>
      <c r="W71" s="271">
        <f t="shared" si="212"/>
        <v>0.41841637908294926</v>
      </c>
      <c r="X71" s="271">
        <f t="shared" si="212"/>
        <v>0.43818021092985937</v>
      </c>
      <c r="Y71" s="271">
        <f t="shared" si="212"/>
        <v>0.37428877774424896</v>
      </c>
      <c r="Z71" s="272">
        <f t="shared" si="212"/>
        <v>0.41300188138344807</v>
      </c>
      <c r="AA71" s="271">
        <f t="shared" si="212"/>
        <v>0.41438799725313735</v>
      </c>
      <c r="AB71" s="271">
        <f t="shared" si="212"/>
        <v>0.38042598724191634</v>
      </c>
      <c r="AC71" s="271">
        <f t="shared" si="212"/>
        <v>0.3709041763181764</v>
      </c>
      <c r="AD71" s="271">
        <f t="shared" si="212"/>
        <v>0.3610585452395032</v>
      </c>
      <c r="AE71" s="272">
        <f t="shared" si="212"/>
        <v>0.37725042673309928</v>
      </c>
      <c r="AF71" s="271">
        <f t="shared" si="212"/>
        <v>0.37883928409601886</v>
      </c>
      <c r="AG71" s="271">
        <f t="shared" si="212"/>
        <v>0.35928190893444423</v>
      </c>
      <c r="AH71" s="271">
        <f t="shared" si="212"/>
        <v>0.38995334965659578</v>
      </c>
      <c r="AI71" s="271">
        <f t="shared" si="212"/>
        <v>0.30720559257755642</v>
      </c>
      <c r="AJ71" s="272">
        <f t="shared" si="212"/>
        <v>0.35634728256359283</v>
      </c>
      <c r="AK71" s="271">
        <f t="shared" si="212"/>
        <v>0.33569670522952122</v>
      </c>
      <c r="AL71" s="271">
        <f t="shared" ref="AL71:BQ71" si="213">(1+AL12/AL5)</f>
        <v>0.33557129658145979</v>
      </c>
      <c r="AM71" s="271">
        <f t="shared" si="213"/>
        <v>0.3485117543490398</v>
      </c>
      <c r="AN71" s="271">
        <f t="shared" si="213"/>
        <v>0.33795817121909089</v>
      </c>
      <c r="AO71" s="272">
        <f t="shared" si="213"/>
        <v>0.33965031721089944</v>
      </c>
      <c r="AP71" s="271">
        <f t="shared" si="213"/>
        <v>0.36662845316344039</v>
      </c>
      <c r="AQ71" s="271">
        <f t="shared" si="213"/>
        <v>0.34888930371476568</v>
      </c>
      <c r="AR71" s="271">
        <f t="shared" si="213"/>
        <v>0.37646139396155531</v>
      </c>
      <c r="AS71" s="271">
        <f t="shared" si="213"/>
        <v>0.40294063079777365</v>
      </c>
      <c r="AT71" s="272">
        <f t="shared" si="213"/>
        <v>0.37354149456066299</v>
      </c>
      <c r="AU71" s="271">
        <f t="shared" si="213"/>
        <v>0.37097259129414373</v>
      </c>
      <c r="AV71" s="271">
        <f t="shared" si="213"/>
        <v>0.36814884050243812</v>
      </c>
      <c r="AW71" s="271">
        <f t="shared" si="213"/>
        <v>0.38310538574784292</v>
      </c>
      <c r="AX71" s="271">
        <f t="shared" si="213"/>
        <v>0.40423534616737189</v>
      </c>
      <c r="AY71" s="272">
        <f t="shared" si="213"/>
        <v>0.3820122884594348</v>
      </c>
      <c r="AZ71" s="271">
        <f t="shared" si="213"/>
        <v>0.38747775973928722</v>
      </c>
      <c r="BA71" s="271">
        <f t="shared" si="213"/>
        <v>0.39045817256816961</v>
      </c>
      <c r="BB71" s="271">
        <f t="shared" si="213"/>
        <v>0.33726073701490367</v>
      </c>
      <c r="BC71" s="271">
        <f t="shared" si="213"/>
        <v>0.37683419929140716</v>
      </c>
      <c r="BD71" s="111">
        <f t="shared" si="213"/>
        <v>0.37163299348478163</v>
      </c>
      <c r="BE71" s="271">
        <f t="shared" si="213"/>
        <v>0.41237897812711977</v>
      </c>
      <c r="BF71" s="271">
        <f t="shared" si="213"/>
        <v>0.40312212325126096</v>
      </c>
      <c r="BG71" s="271">
        <f t="shared" si="213"/>
        <v>0.40469979497019892</v>
      </c>
      <c r="BH71" s="271">
        <f t="shared" si="213"/>
        <v>0.39936409183768096</v>
      </c>
      <c r="BI71" s="111">
        <f t="shared" si="213"/>
        <v>0.40485529605535464</v>
      </c>
      <c r="BJ71" s="271">
        <f t="shared" si="213"/>
        <v>0.43007108522302673</v>
      </c>
      <c r="BK71" s="271">
        <f t="shared" si="213"/>
        <v>0.50138895443033993</v>
      </c>
      <c r="BL71" s="271">
        <f t="shared" si="213"/>
        <v>0.40288349356052344</v>
      </c>
      <c r="BM71" s="271">
        <f t="shared" si="213"/>
        <v>0.36344662424491292</v>
      </c>
      <c r="BN71" s="111">
        <f t="shared" si="213"/>
        <v>0.41763449495378491</v>
      </c>
      <c r="BO71" s="271">
        <f t="shared" si="213"/>
        <v>0.38837227711372257</v>
      </c>
      <c r="BP71" s="271">
        <f t="shared" si="213"/>
        <v>0.36832725924483101</v>
      </c>
      <c r="BQ71" s="271">
        <f t="shared" si="213"/>
        <v>0.33053978182702215</v>
      </c>
      <c r="BR71" s="271">
        <f t="shared" ref="BR71:CX71" si="214">(1+BR12/BR5)</f>
        <v>0.34033352801831251</v>
      </c>
      <c r="BS71" s="111">
        <f t="shared" si="214"/>
        <v>0.35646087874166277</v>
      </c>
      <c r="BT71" s="271">
        <f t="shared" si="214"/>
        <v>0.35256102306148929</v>
      </c>
      <c r="BU71" s="271">
        <f t="shared" si="214"/>
        <v>0.33267411668287905</v>
      </c>
      <c r="BV71" s="271">
        <f t="shared" si="214"/>
        <v>0.3476583096021979</v>
      </c>
      <c r="BW71" s="271">
        <f t="shared" si="214"/>
        <v>0.33383511934108645</v>
      </c>
      <c r="BX71" s="111">
        <f t="shared" si="214"/>
        <v>0.3399471969673632</v>
      </c>
      <c r="BY71" s="271">
        <f t="shared" si="214"/>
        <v>0.34938753444081394</v>
      </c>
      <c r="BZ71" s="271">
        <f t="shared" si="214"/>
        <v>0.34895601164428425</v>
      </c>
      <c r="CA71" s="271">
        <f t="shared" si="214"/>
        <v>0.3444165443042897</v>
      </c>
      <c r="CB71" s="271">
        <f t="shared" si="214"/>
        <v>0.3445246927182315</v>
      </c>
      <c r="CC71" s="111">
        <f t="shared" si="214"/>
        <v>0.34657918993277304</v>
      </c>
      <c r="CD71" s="271">
        <f t="shared" si="214"/>
        <v>0.36905021939886651</v>
      </c>
      <c r="CE71" s="271">
        <f t="shared" si="214"/>
        <v>0.37048852945446309</v>
      </c>
      <c r="CF71" s="271">
        <f t="shared" si="214"/>
        <v>0.35480899941861799</v>
      </c>
      <c r="CG71" s="271">
        <f t="shared" si="214"/>
        <v>0.34802665299846236</v>
      </c>
      <c r="CH71" s="111">
        <f t="shared" si="214"/>
        <v>0.35924928316518556</v>
      </c>
      <c r="CI71" s="271">
        <f t="shared" si="214"/>
        <v>0.36952880971634239</v>
      </c>
      <c r="CJ71" s="271">
        <f t="shared" si="214"/>
        <v>0.39117184799856708</v>
      </c>
      <c r="CK71" s="271">
        <f t="shared" si="214"/>
        <v>0.37693505732503718</v>
      </c>
      <c r="CL71" s="271">
        <f t="shared" si="214"/>
        <v>0.35291124307374455</v>
      </c>
      <c r="CM71" s="111">
        <f t="shared" si="214"/>
        <v>0.37235855959184483</v>
      </c>
      <c r="CN71" s="271">
        <f t="shared" si="214"/>
        <v>0.34229233191387032</v>
      </c>
      <c r="CO71" s="271">
        <f t="shared" si="214"/>
        <v>0.34944212728235147</v>
      </c>
      <c r="CP71" s="271">
        <f t="shared" si="214"/>
        <v>0.37164260393475834</v>
      </c>
      <c r="CQ71" s="271">
        <f t="shared" si="214"/>
        <v>0.35127654820044529</v>
      </c>
      <c r="CR71" s="111">
        <f t="shared" si="214"/>
        <v>0.35467464678358818</v>
      </c>
      <c r="CS71" s="271">
        <f t="shared" si="214"/>
        <v>0.3434788356331786</v>
      </c>
      <c r="CT71" s="271">
        <f t="shared" si="214"/>
        <v>0.35542219541616404</v>
      </c>
      <c r="CU71" s="271">
        <f t="shared" si="214"/>
        <v>0.36636339139465246</v>
      </c>
      <c r="CV71" s="271">
        <f t="shared" si="214"/>
        <v>0.36688167824421314</v>
      </c>
      <c r="CW71" s="111">
        <f t="shared" si="214"/>
        <v>0.35895180095958912</v>
      </c>
      <c r="CX71" s="271">
        <f t="shared" si="214"/>
        <v>0.34745300410077629</v>
      </c>
      <c r="CY71" s="271">
        <f t="shared" ref="CY71:DA71" si="215">(1+CY12/CY5)</f>
        <v>0.36179374632432293</v>
      </c>
      <c r="CZ71" s="271">
        <f t="shared" si="215"/>
        <v>0.36504788811101974</v>
      </c>
      <c r="DA71" s="271">
        <f t="shared" si="215"/>
        <v>0.34736243518720555</v>
      </c>
      <c r="DB71" s="111">
        <f>(1+DB12/DB5)</f>
        <v>0.35525055478252632</v>
      </c>
      <c r="DC71" s="271">
        <f t="shared" ref="DC71:DF71" si="216">(1+DC12/DC5)</f>
        <v>0.35615231645923362</v>
      </c>
      <c r="DD71" s="271">
        <f t="shared" si="216"/>
        <v>0.36141686141662799</v>
      </c>
      <c r="DE71" s="271">
        <f t="shared" si="216"/>
        <v>0.36567287346299848</v>
      </c>
      <c r="DF71" s="271">
        <f t="shared" si="216"/>
        <v>0.34875370270122319</v>
      </c>
      <c r="DG71" s="111">
        <f>(1+DG12/DG5)</f>
        <v>0.35694041339494087</v>
      </c>
      <c r="DH71" s="271">
        <f t="shared" ref="DH71:DI71" si="217">(1+DH12/DH5)</f>
        <v>0.37258308801830164</v>
      </c>
      <c r="DI71" s="271">
        <f t="shared" si="217"/>
        <v>0.38195220521739548</v>
      </c>
      <c r="DJ71" s="162">
        <f>('Balance Sheet'!DJ118*Forecasts!DJ38+'Balance Sheet'!DI110*Forecasts!DJ40)/Forecasts!DJ36</f>
        <v>0.36078488507024681</v>
      </c>
      <c r="DK71" s="162">
        <f>('Balance Sheet'!DK118*Forecasts!DK38+'Balance Sheet'!DJ110*Forecasts!DK40)/Forecasts!DK36</f>
        <v>0.36067552625885391</v>
      </c>
      <c r="DL71" s="111">
        <f>(1+DL12/DL5)</f>
        <v>0.36821139118659785</v>
      </c>
      <c r="DM71" s="162">
        <f>('Balance Sheet'!DM118*Forecasts!DM38+'Balance Sheet'!DL110*Forecasts!DM40)/Forecasts!DM36</f>
        <v>0.35577515147531064</v>
      </c>
      <c r="DN71" s="162">
        <f>('Balance Sheet'!DN118*Forecasts!DN38+'Balance Sheet'!DM110*Forecasts!DN40)/Forecasts!DN36</f>
        <v>0.3552523786876729</v>
      </c>
      <c r="DO71" s="162">
        <f>('Balance Sheet'!DO118*Forecasts!DO38+'Balance Sheet'!DN110*Forecasts!DO40)/Forecasts!DO36</f>
        <v>0.35482108960121039</v>
      </c>
      <c r="DP71" s="162">
        <f>('Balance Sheet'!DP118*Forecasts!DP38+'Balance Sheet'!DO110*Forecasts!DP40)/Forecasts!DP36</f>
        <v>0.35420406995771297</v>
      </c>
      <c r="DQ71" s="111">
        <f>(1+DQ12/DQ5)</f>
        <v>0.35497903779026097</v>
      </c>
      <c r="DR71" s="162">
        <f>('Balance Sheet'!DR118*Forecasts!DR38+'Balance Sheet'!DQ110*Forecasts!DR40)/Forecasts!DR36</f>
        <v>0.35422005325122657</v>
      </c>
      <c r="DS71" s="162">
        <f>('Balance Sheet'!DS118*Forecasts!DS38+'Balance Sheet'!DR110*Forecasts!DS40)/Forecasts!DS36</f>
        <v>0.35385350196293014</v>
      </c>
      <c r="DT71" s="162">
        <f>('Balance Sheet'!DT118*Forecasts!DT38+'Balance Sheet'!DS110*Forecasts!DT40)/Forecasts!DT36</f>
        <v>0.35354181119872485</v>
      </c>
      <c r="DU71" s="162">
        <f>('Balance Sheet'!DU118*Forecasts!DU38+'Balance Sheet'!DT110*Forecasts!DU40)/Forecasts!DU36</f>
        <v>0.35309941056600957</v>
      </c>
      <c r="DV71" s="111">
        <f>(1+DV12/DV5)</f>
        <v>0.35365763999294197</v>
      </c>
      <c r="DW71" s="162">
        <f>('Balance Sheet'!DW118*Forecasts!DW38+'Balance Sheet'!DV110*Forecasts!DW40)/Forecasts!DW36</f>
        <v>0.35311210016917882</v>
      </c>
      <c r="DX71" s="162">
        <f>('Balance Sheet'!DX118*Forecasts!DX38+'Balance Sheet'!DW110*Forecasts!DX40)/Forecasts!DX36</f>
        <v>0.35284399482442086</v>
      </c>
      <c r="DY71" s="162">
        <f>('Balance Sheet'!DY118*Forecasts!DY38+'Balance Sheet'!DX110*Forecasts!DY40)/Forecasts!DY36</f>
        <v>0.35261761966089739</v>
      </c>
      <c r="DZ71" s="162">
        <f>('Balance Sheet'!DZ118*Forecasts!DZ38+'Balance Sheet'!DY110*Forecasts!DZ40)/Forecasts!DZ36</f>
        <v>0.35229591757618067</v>
      </c>
      <c r="EA71" s="111">
        <f>(1+EA12/EA5)</f>
        <v>0.35270324493124683</v>
      </c>
      <c r="EB71" s="162">
        <f>('Balance Sheet'!EB118*Forecasts!EB38+'Balance Sheet'!EA110*Forecasts!EB40)/Forecasts!EB36</f>
        <v>0.35230431753991348</v>
      </c>
      <c r="EC71" s="162">
        <f>('Balance Sheet'!EC118*Forecasts!EC38+'Balance Sheet'!EB110*Forecasts!EC40)/Forecasts!EC36</f>
        <v>0.35210779357605604</v>
      </c>
      <c r="ED71" s="162">
        <f>('Balance Sheet'!ED118*Forecasts!ED38+'Balance Sheet'!EC110*Forecasts!ED40)/Forecasts!ED36</f>
        <v>0.35194284112416108</v>
      </c>
      <c r="EE71" s="162">
        <f>('Balance Sheet'!EE118*Forecasts!EE38+'Balance Sheet'!ED110*Forecasts!EE40)/Forecasts!EE36</f>
        <v>0.35170843560675896</v>
      </c>
      <c r="EF71" s="111">
        <f>(1+EF12/EF5)</f>
        <v>0.35200613429546068</v>
      </c>
    </row>
    <row r="72" spans="1:136" ht="12.75" customHeight="1" outlineLevel="1">
      <c r="A72" s="104" t="s">
        <v>105</v>
      </c>
      <c r="B72" s="271">
        <f t="shared" ref="B72:AK72" si="218">(1+B14/B6)</f>
        <v>0.70531467885672061</v>
      </c>
      <c r="C72" s="271">
        <f t="shared" si="218"/>
        <v>0.70531467885672061</v>
      </c>
      <c r="D72" s="271">
        <f t="shared" si="218"/>
        <v>0.58666858623668294</v>
      </c>
      <c r="E72" s="271">
        <f t="shared" si="218"/>
        <v>1.4384192351963168</v>
      </c>
      <c r="F72" s="272">
        <f t="shared" si="218"/>
        <v>0.7994834901309722</v>
      </c>
      <c r="G72" s="271">
        <f t="shared" si="218"/>
        <v>0.71446601941747567</v>
      </c>
      <c r="H72" s="271">
        <f t="shared" si="218"/>
        <v>0.87361897062786309</v>
      </c>
      <c r="I72" s="271">
        <f t="shared" si="218"/>
        <v>0.74320659693397539</v>
      </c>
      <c r="J72" s="271">
        <f t="shared" si="218"/>
        <v>0.96887909666758465</v>
      </c>
      <c r="K72" s="272">
        <f t="shared" si="218"/>
        <v>0.82526931477436793</v>
      </c>
      <c r="L72" s="271">
        <f t="shared" si="218"/>
        <v>0.70791666666666675</v>
      </c>
      <c r="M72" s="271">
        <f t="shared" si="218"/>
        <v>0.91246584377650053</v>
      </c>
      <c r="N72" s="271">
        <f t="shared" si="218"/>
        <v>0.68809580838323359</v>
      </c>
      <c r="O72" s="271">
        <f t="shared" si="218"/>
        <v>0.81857086547665969</v>
      </c>
      <c r="P72" s="272">
        <f t="shared" si="218"/>
        <v>0.78727444115270673</v>
      </c>
      <c r="Q72" s="271">
        <f t="shared" si="218"/>
        <v>0.25025571087623588</v>
      </c>
      <c r="R72" s="271">
        <f t="shared" si="218"/>
        <v>0.6990022172949002</v>
      </c>
      <c r="S72" s="271">
        <f t="shared" si="218"/>
        <v>0.70148918655990422</v>
      </c>
      <c r="T72" s="271">
        <f t="shared" si="218"/>
        <v>0.55577446833169142</v>
      </c>
      <c r="U72" s="272">
        <f t="shared" si="218"/>
        <v>0.59575681068534436</v>
      </c>
      <c r="V72" s="271">
        <f t="shared" si="218"/>
        <v>0.2302835622507754</v>
      </c>
      <c r="W72" s="271">
        <f t="shared" si="218"/>
        <v>0.24302949061662193</v>
      </c>
      <c r="X72" s="271">
        <f t="shared" si="218"/>
        <v>0.1780233271945979</v>
      </c>
      <c r="Y72" s="271">
        <f t="shared" si="218"/>
        <v>0.24820743705185921</v>
      </c>
      <c r="Z72" s="272">
        <f t="shared" si="218"/>
        <v>0.22712752887214349</v>
      </c>
      <c r="AA72" s="271">
        <f t="shared" si="218"/>
        <v>0.31619830934429971</v>
      </c>
      <c r="AB72" s="271">
        <f t="shared" si="218"/>
        <v>0.32708049113233284</v>
      </c>
      <c r="AC72" s="271">
        <f t="shared" si="218"/>
        <v>0.33233465658003147</v>
      </c>
      <c r="AD72" s="271">
        <f t="shared" si="218"/>
        <v>0.34697475872308836</v>
      </c>
      <c r="AE72" s="272">
        <f t="shared" si="218"/>
        <v>0.33162175780406455</v>
      </c>
      <c r="AF72" s="271">
        <f t="shared" si="218"/>
        <v>0.25577156743620899</v>
      </c>
      <c r="AG72" s="271">
        <f t="shared" si="218"/>
        <v>0.20561268739933092</v>
      </c>
      <c r="AH72" s="271">
        <f t="shared" si="218"/>
        <v>0.26270240089335561</v>
      </c>
      <c r="AI72" s="271">
        <f t="shared" si="218"/>
        <v>0.37928730512249442</v>
      </c>
      <c r="AJ72" s="272">
        <f t="shared" si="218"/>
        <v>0.29728325801257083</v>
      </c>
      <c r="AK72" s="271">
        <f t="shared" si="218"/>
        <v>0.1925775160228651</v>
      </c>
      <c r="AL72" s="271">
        <f t="shared" ref="AL72:CE72" si="219">(1+AL14/AL6)</f>
        <v>0.23883850375617921</v>
      </c>
      <c r="AM72" s="271">
        <f t="shared" si="219"/>
        <v>0.41369120906180745</v>
      </c>
      <c r="AN72" s="271">
        <f t="shared" si="219"/>
        <v>0.79645795164708844</v>
      </c>
      <c r="AO72" s="272">
        <f t="shared" si="219"/>
        <v>0.42337867067492763</v>
      </c>
      <c r="AP72" s="271">
        <f t="shared" si="219"/>
        <v>0.29221844603304814</v>
      </c>
      <c r="AQ72" s="271">
        <f t="shared" si="219"/>
        <v>0.2964642987323316</v>
      </c>
      <c r="AR72" s="271">
        <f t="shared" si="219"/>
        <v>0.37699791521890202</v>
      </c>
      <c r="AS72" s="271">
        <f t="shared" si="219"/>
        <v>0.46698205546492655</v>
      </c>
      <c r="AT72" s="272">
        <f t="shared" si="219"/>
        <v>0.3691947878382893</v>
      </c>
      <c r="AU72" s="271">
        <f t="shared" si="219"/>
        <v>0.28303219351421338</v>
      </c>
      <c r="AV72" s="271">
        <f t="shared" si="219"/>
        <v>0.30156625914469481</v>
      </c>
      <c r="AW72" s="271">
        <f t="shared" si="219"/>
        <v>0.28326323838654177</v>
      </c>
      <c r="AX72" s="271">
        <f t="shared" si="219"/>
        <v>0.3074737251848968</v>
      </c>
      <c r="AY72" s="272">
        <f t="shared" si="219"/>
        <v>0.29506263992759496</v>
      </c>
      <c r="AZ72" s="271">
        <f t="shared" si="219"/>
        <v>0.28547696632803021</v>
      </c>
      <c r="BA72" s="271">
        <f t="shared" si="219"/>
        <v>0.36755126658624848</v>
      </c>
      <c r="BB72" s="271">
        <f t="shared" si="219"/>
        <v>0.31134526558891451</v>
      </c>
      <c r="BC72" s="271">
        <f t="shared" si="219"/>
        <v>0.1808303886925795</v>
      </c>
      <c r="BD72" s="272">
        <f t="shared" si="219"/>
        <v>0.29657262765213332</v>
      </c>
      <c r="BE72" s="271">
        <f t="shared" si="219"/>
        <v>0.20093089867525959</v>
      </c>
      <c r="BF72" s="271">
        <f t="shared" si="219"/>
        <v>0.18934911242603547</v>
      </c>
      <c r="BG72" s="271">
        <f t="shared" si="219"/>
        <v>0.18463316002310803</v>
      </c>
      <c r="BH72" s="271">
        <f t="shared" si="219"/>
        <v>0.20306365945654681</v>
      </c>
      <c r="BI72" s="272">
        <f t="shared" si="219"/>
        <v>0.19605995332974335</v>
      </c>
      <c r="BJ72" s="271">
        <f t="shared" si="219"/>
        <v>0.18218341960905504</v>
      </c>
      <c r="BK72" s="271">
        <f t="shared" si="219"/>
        <v>0.16575963718820863</v>
      </c>
      <c r="BL72" s="271">
        <f t="shared" si="219"/>
        <v>0.13142926297954738</v>
      </c>
      <c r="BM72" s="271">
        <f t="shared" si="219"/>
        <v>0.13106351821343587</v>
      </c>
      <c r="BN72" s="272">
        <f t="shared" si="219"/>
        <v>0.16085377101018272</v>
      </c>
      <c r="BO72" s="271">
        <f t="shared" si="219"/>
        <v>0.57249957403305496</v>
      </c>
      <c r="BP72" s="271">
        <f t="shared" si="219"/>
        <v>0.42286595817620842</v>
      </c>
      <c r="BQ72" s="271">
        <f t="shared" si="219"/>
        <v>0.37486874343717191</v>
      </c>
      <c r="BR72" s="271">
        <f t="shared" si="219"/>
        <v>0.37560876623376627</v>
      </c>
      <c r="BS72" s="272">
        <f t="shared" si="219"/>
        <v>0.48528591966669599</v>
      </c>
      <c r="BT72" s="271">
        <f t="shared" si="219"/>
        <v>0.41955835962145105</v>
      </c>
      <c r="BU72" s="271">
        <f t="shared" si="219"/>
        <v>0.23085061362674564</v>
      </c>
      <c r="BV72" s="271">
        <f t="shared" si="219"/>
        <v>0.13612334801762116</v>
      </c>
      <c r="BW72" s="271">
        <f t="shared" si="219"/>
        <v>0.24302840761011202</v>
      </c>
      <c r="BX72" s="272">
        <f t="shared" si="219"/>
        <v>0.24053833954824055</v>
      </c>
      <c r="BY72" s="271">
        <f t="shared" si="219"/>
        <v>-6.6546356868937506E-2</v>
      </c>
      <c r="BZ72" s="271">
        <f t="shared" si="219"/>
        <v>0.18908725169725926</v>
      </c>
      <c r="CA72" s="271">
        <f t="shared" si="219"/>
        <v>0.77069311607037427</v>
      </c>
      <c r="CB72" s="271">
        <f t="shared" si="219"/>
        <v>0.3724607711957183</v>
      </c>
      <c r="CC72" s="272">
        <f t="shared" si="219"/>
        <v>0.40023904382470121</v>
      </c>
      <c r="CD72" s="271">
        <f t="shared" si="219"/>
        <v>0.64402647161267845</v>
      </c>
      <c r="CE72" s="271">
        <f t="shared" si="219"/>
        <v>-2.0176544766708604E-2</v>
      </c>
      <c r="CF72" s="271">
        <f t="shared" ref="CF72:CK72" si="220">(1+CF14/CF6)</f>
        <v>0.50769317796130786</v>
      </c>
      <c r="CG72" s="271">
        <f t="shared" si="220"/>
        <v>0.67046265886048828</v>
      </c>
      <c r="CH72" s="272">
        <f t="shared" si="220"/>
        <v>0.49366640718986621</v>
      </c>
      <c r="CI72" s="271">
        <f t="shared" si="220"/>
        <v>0.4335068622811169</v>
      </c>
      <c r="CJ72" s="271">
        <f t="shared" si="220"/>
        <v>0.38029135224567212</v>
      </c>
      <c r="CK72" s="271">
        <f t="shared" si="220"/>
        <v>0.12363944207046684</v>
      </c>
      <c r="CL72" s="271">
        <f t="shared" ref="CL72:CX72" si="221">(1+CL14/CL6)</f>
        <v>0.66251632158179441</v>
      </c>
      <c r="CM72" s="272">
        <f t="shared" si="221"/>
        <v>0.44069363144227802</v>
      </c>
      <c r="CN72" s="271">
        <f t="shared" si="221"/>
        <v>0.1556281407035176</v>
      </c>
      <c r="CO72" s="271">
        <f t="shared" si="221"/>
        <v>0.219216386483846</v>
      </c>
      <c r="CP72" s="271">
        <f t="shared" si="221"/>
        <v>0.2714861827317202</v>
      </c>
      <c r="CQ72" s="271">
        <f t="shared" si="221"/>
        <v>0.3310563786800077</v>
      </c>
      <c r="CR72" s="272">
        <f t="shared" si="221"/>
        <v>0.24546077934468258</v>
      </c>
      <c r="CS72" s="271">
        <f t="shared" si="221"/>
        <v>0.37836004932182488</v>
      </c>
      <c r="CT72" s="271">
        <f t="shared" si="221"/>
        <v>0.66360078277886503</v>
      </c>
      <c r="CU72" s="271">
        <f t="shared" si="221"/>
        <v>0.80881535038932151</v>
      </c>
      <c r="CV72" s="271">
        <f t="shared" si="221"/>
        <v>0.75885986777934322</v>
      </c>
      <c r="CW72" s="272">
        <f t="shared" si="221"/>
        <v>0.67690910995495646</v>
      </c>
      <c r="CX72" s="271">
        <f t="shared" si="221"/>
        <v>0.41407238673753477</v>
      </c>
      <c r="CY72" s="271">
        <f t="shared" ref="CY72:DA72" si="222">(1+CY14/CY6)</f>
        <v>0.65390323538141881</v>
      </c>
      <c r="CZ72" s="271">
        <f t="shared" si="222"/>
        <v>0.65673232542533455</v>
      </c>
      <c r="DA72" s="271">
        <f t="shared" si="222"/>
        <v>0.7279967250939674</v>
      </c>
      <c r="DB72" s="272">
        <f>(1+DB14/DB6)</f>
        <v>0.62590274434280213</v>
      </c>
      <c r="DC72" s="271">
        <f t="shared" ref="DC72:DF72" si="223">(1+DC14/DC6)</f>
        <v>0.63907367222795353</v>
      </c>
      <c r="DD72" s="271">
        <f t="shared" si="223"/>
        <v>0.84349779199025432</v>
      </c>
      <c r="DE72" s="271">
        <f t="shared" si="223"/>
        <v>0.81203644840008482</v>
      </c>
      <c r="DF72" s="271">
        <f t="shared" si="223"/>
        <v>0.90104346624283049</v>
      </c>
      <c r="DG72" s="272">
        <f>(1+DG14/DG6)</f>
        <v>0.79896089935951986</v>
      </c>
      <c r="DH72" s="271">
        <f t="shared" ref="DH72:DI72" si="224">(1+DH14/DH6)</f>
        <v>0.75628583325325904</v>
      </c>
      <c r="DI72" s="271">
        <f t="shared" si="224"/>
        <v>0.83659983310403929</v>
      </c>
      <c r="DJ72" s="162">
        <v>0.75</v>
      </c>
      <c r="DK72" s="162">
        <v>0.75</v>
      </c>
      <c r="DL72" s="272">
        <f>(1+DL14/DL6)</f>
        <v>0.77781304153872599</v>
      </c>
      <c r="DM72" s="162">
        <v>0.75</v>
      </c>
      <c r="DN72" s="162">
        <f>DM72</f>
        <v>0.75</v>
      </c>
      <c r="DO72" s="162">
        <f>DN72</f>
        <v>0.75</v>
      </c>
      <c r="DP72" s="162">
        <f>DO72</f>
        <v>0.75</v>
      </c>
      <c r="DQ72" s="272">
        <f>(1+DQ14/DQ6)</f>
        <v>0.75</v>
      </c>
      <c r="DR72" s="162">
        <f>DP72</f>
        <v>0.75</v>
      </c>
      <c r="DS72" s="162">
        <f>DR72</f>
        <v>0.75</v>
      </c>
      <c r="DT72" s="162">
        <f>DS72</f>
        <v>0.75</v>
      </c>
      <c r="DU72" s="162">
        <f>DT72</f>
        <v>0.75</v>
      </c>
      <c r="DV72" s="272">
        <f>(1+DV14/DV6)</f>
        <v>0.75</v>
      </c>
      <c r="DW72" s="162">
        <f>DU72</f>
        <v>0.75</v>
      </c>
      <c r="DX72" s="162">
        <f>DW72</f>
        <v>0.75</v>
      </c>
      <c r="DY72" s="162">
        <f>DX72</f>
        <v>0.75</v>
      </c>
      <c r="DZ72" s="162">
        <f>DY72</f>
        <v>0.75</v>
      </c>
      <c r="EA72" s="272">
        <f>(1+EA14/EA6)</f>
        <v>0.75</v>
      </c>
      <c r="EB72" s="162">
        <f>DZ72</f>
        <v>0.75</v>
      </c>
      <c r="EC72" s="162">
        <f>EB72</f>
        <v>0.75</v>
      </c>
      <c r="ED72" s="162">
        <f>EC72</f>
        <v>0.75</v>
      </c>
      <c r="EE72" s="162">
        <f>ED72</f>
        <v>0.75</v>
      </c>
      <c r="EF72" s="272">
        <f>(1+EF14/EF6)</f>
        <v>0.75</v>
      </c>
    </row>
    <row r="73" spans="1:136" s="68" customFormat="1" ht="12.75" customHeight="1">
      <c r="A73" s="120" t="s">
        <v>12</v>
      </c>
      <c r="B73" s="128">
        <f t="shared" ref="B73:AJ73" si="225">B58/B$53</f>
        <v>0.30028146397762884</v>
      </c>
      <c r="C73" s="128">
        <f t="shared" si="225"/>
        <v>0.30466992988490543</v>
      </c>
      <c r="D73" s="128">
        <f t="shared" si="225"/>
        <v>0.23537608996821774</v>
      </c>
      <c r="E73" s="128">
        <f t="shared" si="225"/>
        <v>0.266628679129501</v>
      </c>
      <c r="F73" s="270">
        <f t="shared" si="225"/>
        <v>0.27429986823965508</v>
      </c>
      <c r="G73" s="128">
        <f t="shared" si="225"/>
        <v>0.31604746707104192</v>
      </c>
      <c r="H73" s="128">
        <f t="shared" si="225"/>
        <v>0.235689008794366</v>
      </c>
      <c r="I73" s="128">
        <f t="shared" si="225"/>
        <v>0.36178548414515066</v>
      </c>
      <c r="J73" s="128">
        <f t="shared" si="225"/>
        <v>3.7146595369474941E-2</v>
      </c>
      <c r="K73" s="270">
        <f t="shared" si="225"/>
        <v>0.26637371379462521</v>
      </c>
      <c r="L73" s="128">
        <f t="shared" si="225"/>
        <v>0.28967149762635291</v>
      </c>
      <c r="M73" s="128">
        <f t="shared" si="225"/>
        <v>0.30004351111823574</v>
      </c>
      <c r="N73" s="128">
        <f t="shared" si="225"/>
        <v>0.19680862487382686</v>
      </c>
      <c r="O73" s="128">
        <f t="shared" si="225"/>
        <v>0.19942935373670945</v>
      </c>
      <c r="P73" s="270">
        <f t="shared" si="225"/>
        <v>0.24116377013668183</v>
      </c>
      <c r="Q73" s="128">
        <f t="shared" si="225"/>
        <v>0.21433018772761583</v>
      </c>
      <c r="R73" s="128">
        <f t="shared" si="225"/>
        <v>0.27395932086529345</v>
      </c>
      <c r="S73" s="128">
        <f t="shared" si="225"/>
        <v>0.24774362139124062</v>
      </c>
      <c r="T73" s="128">
        <f t="shared" si="225"/>
        <v>0.13560298747578189</v>
      </c>
      <c r="U73" s="270">
        <f t="shared" si="225"/>
        <v>0.1959086112405112</v>
      </c>
      <c r="V73" s="128">
        <f t="shared" si="225"/>
        <v>0.19300529186976373</v>
      </c>
      <c r="W73" s="128">
        <f t="shared" si="225"/>
        <v>0.2032304206541608</v>
      </c>
      <c r="X73" s="128">
        <f t="shared" si="225"/>
        <v>0.21571510968847116</v>
      </c>
      <c r="Y73" s="128">
        <f t="shared" si="225"/>
        <v>0.1326341747914109</v>
      </c>
      <c r="Z73" s="270">
        <f t="shared" si="225"/>
        <v>0.18592448447570994</v>
      </c>
      <c r="AA73" s="128">
        <f t="shared" si="225"/>
        <v>0.2426405978667191</v>
      </c>
      <c r="AB73" s="128">
        <f t="shared" si="225"/>
        <v>0.23980927364093194</v>
      </c>
      <c r="AC73" s="128">
        <f t="shared" si="225"/>
        <v>0.21301639597054717</v>
      </c>
      <c r="AD73" s="128">
        <f t="shared" si="225"/>
        <v>0.21863272430726327</v>
      </c>
      <c r="AE73" s="270">
        <f t="shared" si="225"/>
        <v>0.22525890907756571</v>
      </c>
      <c r="AF73" s="128">
        <f t="shared" si="225"/>
        <v>0.21980700217581733</v>
      </c>
      <c r="AG73" s="128">
        <f t="shared" si="225"/>
        <v>0.20103745537324758</v>
      </c>
      <c r="AH73" s="128">
        <f t="shared" si="225"/>
        <v>0.21313338190476272</v>
      </c>
      <c r="AI73" s="128">
        <f t="shared" si="225"/>
        <v>0.14313313510015671</v>
      </c>
      <c r="AJ73" s="270">
        <f t="shared" si="225"/>
        <v>0.19180917383164575</v>
      </c>
      <c r="AK73" s="128">
        <f>AK58/AK$53</f>
        <v>0.15089669554325574</v>
      </c>
      <c r="AL73" s="128">
        <f>AL58/AL$53</f>
        <v>0.13434821720404605</v>
      </c>
      <c r="AM73" s="128">
        <f>AM58/AM$53</f>
        <v>0.18702976785102865</v>
      </c>
      <c r="AN73" s="128">
        <f>AN58/AN$53</f>
        <v>0.19513116110333326</v>
      </c>
      <c r="AO73" s="270">
        <f t="shared" ref="AO73:AY73" si="226">AO58/AO$53</f>
        <v>0.1706803295237744</v>
      </c>
      <c r="AP73" s="128">
        <f>AP58/AP$53</f>
        <v>0.20383498267458569</v>
      </c>
      <c r="AQ73" s="128">
        <f>AQ58/AQ$53</f>
        <v>0.1852723995371276</v>
      </c>
      <c r="AR73" s="128">
        <f t="shared" si="226"/>
        <v>0.21383501043000047</v>
      </c>
      <c r="AS73" s="128">
        <f t="shared" si="226"/>
        <v>0.20923527779971085</v>
      </c>
      <c r="AT73" s="270">
        <f t="shared" si="226"/>
        <v>0.20303855412318011</v>
      </c>
      <c r="AU73" s="128">
        <f t="shared" si="226"/>
        <v>0.21405662473156323</v>
      </c>
      <c r="AV73" s="128">
        <f t="shared" si="226"/>
        <v>0.21354994356679702</v>
      </c>
      <c r="AW73" s="128">
        <f t="shared" si="226"/>
        <v>0.22234102670017097</v>
      </c>
      <c r="AX73" s="128">
        <f>AX58/AX$53</f>
        <v>0.22630887744711778</v>
      </c>
      <c r="AY73" s="270">
        <f t="shared" si="226"/>
        <v>0.21924718376166863</v>
      </c>
      <c r="AZ73" s="128">
        <f>AZ58/AZ$53</f>
        <v>0.21898078247661101</v>
      </c>
      <c r="BA73" s="128">
        <f>BA58/BA$53</f>
        <v>0.21477165727646649</v>
      </c>
      <c r="BB73" s="128">
        <f>BB58/BB$53</f>
        <v>0.18103099964305544</v>
      </c>
      <c r="BC73" s="128">
        <f>BC58/BC$53</f>
        <v>0.16826436194331668</v>
      </c>
      <c r="BD73" s="270">
        <f t="shared" ref="BD73:CG73" si="227">BD58/BD$53</f>
        <v>0.19412997103607521</v>
      </c>
      <c r="BE73" s="128">
        <f>BE58/BE$53</f>
        <v>0.18021877602118982</v>
      </c>
      <c r="BF73" s="128">
        <f>BF58/BF$53</f>
        <v>0.22953406177291916</v>
      </c>
      <c r="BG73" s="128">
        <f>BG58/BG$53</f>
        <v>0.19899396431324398</v>
      </c>
      <c r="BH73" s="128">
        <f>BH58/BH$53</f>
        <v>0.15840217979843851</v>
      </c>
      <c r="BI73" s="270">
        <f t="shared" si="227"/>
        <v>0.1928842454040188</v>
      </c>
      <c r="BJ73" s="128">
        <f t="shared" si="227"/>
        <v>0.19758334093987215</v>
      </c>
      <c r="BK73" s="128">
        <f t="shared" si="227"/>
        <v>0.15335715945980941</v>
      </c>
      <c r="BL73" s="128">
        <f t="shared" si="227"/>
        <v>0.14336081046838836</v>
      </c>
      <c r="BM73" s="128">
        <f t="shared" si="227"/>
        <v>0.10244633006952819</v>
      </c>
      <c r="BN73" s="270">
        <f t="shared" si="227"/>
        <v>0.14735909817826753</v>
      </c>
      <c r="BO73" s="128">
        <f>BO58/BO$53</f>
        <v>0.14616247849829647</v>
      </c>
      <c r="BP73" s="128">
        <f>BP58/BP$53</f>
        <v>-0.14402459478456944</v>
      </c>
      <c r="BQ73" s="128">
        <f>BQ58/BQ$53</f>
        <v>5.3227773252128123E-2</v>
      </c>
      <c r="BR73" s="128">
        <f>BR58/BR$53</f>
        <v>7.1256181998021764E-2</v>
      </c>
      <c r="BS73" s="270">
        <f t="shared" si="227"/>
        <v>4.0345654263455717E-2</v>
      </c>
      <c r="BT73" s="128">
        <f t="shared" si="227"/>
        <v>1.2567073955554767E-2</v>
      </c>
      <c r="BU73" s="128">
        <f t="shared" si="227"/>
        <v>2.3656102286178014E-2</v>
      </c>
      <c r="BV73" s="128">
        <f t="shared" si="227"/>
        <v>-6.1848032283654673E-2</v>
      </c>
      <c r="BW73" s="128">
        <f t="shared" si="227"/>
        <v>0.12988745519513614</v>
      </c>
      <c r="BX73" s="270">
        <f t="shared" si="227"/>
        <v>3.3149652664084282E-2</v>
      </c>
      <c r="BY73" s="128">
        <f>BY58/BY$53</f>
        <v>0.15332665243344518</v>
      </c>
      <c r="BZ73" s="128">
        <f>BZ58/BZ$53</f>
        <v>0.10944650029574364</v>
      </c>
      <c r="CA73" s="128">
        <f>CA58/CA$53</f>
        <v>0.16024986119416876</v>
      </c>
      <c r="CB73" s="128">
        <f>CB58/CB$53</f>
        <v>0.21308767553839342</v>
      </c>
      <c r="CC73" s="270">
        <f t="shared" si="227"/>
        <v>0.16326606412957287</v>
      </c>
      <c r="CD73" s="128">
        <f t="shared" si="227"/>
        <v>0.10458774378722598</v>
      </c>
      <c r="CE73" s="128">
        <f t="shared" si="227"/>
        <v>0.13333206168753756</v>
      </c>
      <c r="CF73" s="128">
        <f t="shared" si="227"/>
        <v>0.19003990535477777</v>
      </c>
      <c r="CG73" s="128">
        <f t="shared" si="227"/>
        <v>0.2145935663382641</v>
      </c>
      <c r="CH73" s="270">
        <f t="shared" ref="CH73:DG73" si="228">CH58/CH$53</f>
        <v>0.16729415727610145</v>
      </c>
      <c r="CI73" s="128">
        <f t="shared" si="228"/>
        <v>0.15549867893023236</v>
      </c>
      <c r="CJ73" s="128">
        <f t="shared" si="228"/>
        <v>0.21026650163829855</v>
      </c>
      <c r="CK73" s="128">
        <f>CK58/CK$53</f>
        <v>0.17717541733969086</v>
      </c>
      <c r="CL73" s="128">
        <f>CL58/CL$53</f>
        <v>0.16655566044398945</v>
      </c>
      <c r="CM73" s="270">
        <f t="shared" si="228"/>
        <v>0.17787950446195891</v>
      </c>
      <c r="CN73" s="128">
        <f>CN58/CN$53</f>
        <v>0.12357630239710568</v>
      </c>
      <c r="CO73" s="128">
        <f>CO58/CO$53</f>
        <v>0.12531887882644593</v>
      </c>
      <c r="CP73" s="128">
        <f>CP58/CP$53</f>
        <v>0.20581748142524833</v>
      </c>
      <c r="CQ73" s="128">
        <f>CQ58/CQ$53</f>
        <v>0.15436904959895428</v>
      </c>
      <c r="CR73" s="270">
        <f t="shared" si="228"/>
        <v>0.15547766705251653</v>
      </c>
      <c r="CS73" s="128">
        <f t="shared" si="228"/>
        <v>0.14357742479893659</v>
      </c>
      <c r="CT73" s="128">
        <f t="shared" si="228"/>
        <v>0.20335934797052152</v>
      </c>
      <c r="CU73" s="128">
        <f t="shared" si="228"/>
        <v>0.18477269498464624</v>
      </c>
      <c r="CV73" s="128">
        <f t="shared" si="228"/>
        <v>0.14747130650771739</v>
      </c>
      <c r="CW73" s="270">
        <f t="shared" si="228"/>
        <v>0.17096872886412731</v>
      </c>
      <c r="CX73" s="128">
        <f>CX58/CX$53</f>
        <v>0.18346556162427499</v>
      </c>
      <c r="CY73" s="128">
        <f t="shared" ref="CY73:DA73" si="229">CY58/CY$53</f>
        <v>0.22061203420618819</v>
      </c>
      <c r="CZ73" s="128">
        <f t="shared" si="229"/>
        <v>0.24311421027555968</v>
      </c>
      <c r="DA73" s="128">
        <f t="shared" si="229"/>
        <v>0.21318860824596242</v>
      </c>
      <c r="DB73" s="270">
        <f t="shared" si="228"/>
        <v>0.21667494383410446</v>
      </c>
      <c r="DC73" s="128">
        <f>DC58/DC$53</f>
        <v>0.17061683456715268</v>
      </c>
      <c r="DD73" s="128">
        <f t="shared" ref="DD73:DF73" si="230">DD58/DD$53</f>
        <v>0.18606540650078543</v>
      </c>
      <c r="DE73" s="128">
        <f t="shared" si="230"/>
        <v>0.19481866112647445</v>
      </c>
      <c r="DF73" s="128">
        <f t="shared" si="230"/>
        <v>0.21822133832677934</v>
      </c>
      <c r="DG73" s="270">
        <f t="shared" si="228"/>
        <v>0.19588063620563667</v>
      </c>
      <c r="DH73" s="128">
        <f>DH58/DH$53</f>
        <v>0.18037434451685477</v>
      </c>
      <c r="DI73" s="128">
        <f t="shared" ref="DI73" si="231">DI58/DI$53</f>
        <v>0.2062807780009521</v>
      </c>
      <c r="DJ73" s="128">
        <f>DJ58/DJ$53</f>
        <v>0.21105802925777203</v>
      </c>
      <c r="DK73" s="128">
        <f>DK58/DK$53</f>
        <v>0.21659906755790551</v>
      </c>
      <c r="DL73" s="270">
        <f>DL58/DL$53</f>
        <v>0.20545310481529605</v>
      </c>
      <c r="DM73" s="128">
        <f t="shared" ref="DM73:EF73" si="232">DM58/DM$53</f>
        <v>0.21069345970940634</v>
      </c>
      <c r="DN73" s="128">
        <f t="shared" si="232"/>
        <v>0.20578208550631674</v>
      </c>
      <c r="DO73" s="128">
        <f t="shared" si="232"/>
        <v>0.20292106982801247</v>
      </c>
      <c r="DP73" s="128">
        <f t="shared" si="232"/>
        <v>0.19945020896983148</v>
      </c>
      <c r="DQ73" s="270">
        <f t="shared" si="232"/>
        <v>0.20447476306466211</v>
      </c>
      <c r="DR73" s="128">
        <f t="shared" si="232"/>
        <v>0.21815897734452686</v>
      </c>
      <c r="DS73" s="128">
        <f t="shared" si="232"/>
        <v>0.21211066892749808</v>
      </c>
      <c r="DT73" s="128">
        <f t="shared" si="232"/>
        <v>0.20836580378978573</v>
      </c>
      <c r="DU73" s="128">
        <f t="shared" si="232"/>
        <v>0.20337341563900127</v>
      </c>
      <c r="DV73" s="270">
        <f t="shared" si="232"/>
        <v>0.2102320122792192</v>
      </c>
      <c r="DW73" s="128">
        <f t="shared" si="232"/>
        <v>0.2214493143251042</v>
      </c>
      <c r="DX73" s="128">
        <f t="shared" si="232"/>
        <v>0.21517641922321443</v>
      </c>
      <c r="DY73" s="128">
        <f t="shared" si="232"/>
        <v>0.21116433333606591</v>
      </c>
      <c r="DZ73" s="128">
        <f t="shared" si="232"/>
        <v>0.205310032115288</v>
      </c>
      <c r="EA73" s="270">
        <f t="shared" si="232"/>
        <v>0.21300079502733052</v>
      </c>
      <c r="EB73" s="128">
        <f t="shared" si="232"/>
        <v>0.22344600527488639</v>
      </c>
      <c r="EC73" s="128">
        <f t="shared" si="232"/>
        <v>0.21718280268743534</v>
      </c>
      <c r="ED73" s="128">
        <f t="shared" si="232"/>
        <v>0.21312091965800078</v>
      </c>
      <c r="EE73" s="128">
        <f t="shared" si="232"/>
        <v>0.20655784336990915</v>
      </c>
      <c r="EF73" s="270">
        <f t="shared" si="232"/>
        <v>0.21480555918084018</v>
      </c>
    </row>
    <row r="74" spans="1:136" ht="12.75" customHeight="1">
      <c r="A74" s="104" t="s">
        <v>154</v>
      </c>
      <c r="B74" s="122">
        <f t="shared" ref="B74:AW74" si="233">B57/B53</f>
        <v>0.29332013448230243</v>
      </c>
      <c r="C74" s="122">
        <f t="shared" si="233"/>
        <v>0.29332013448230243</v>
      </c>
      <c r="D74" s="122">
        <f t="shared" si="233"/>
        <v>0.22703936109526526</v>
      </c>
      <c r="E74" s="122">
        <f t="shared" si="233"/>
        <v>0.26405356242740363</v>
      </c>
      <c r="F74" s="111">
        <f t="shared" si="233"/>
        <v>0.26762604469173606</v>
      </c>
      <c r="G74" s="122">
        <f t="shared" si="233"/>
        <v>0.30954689988773887</v>
      </c>
      <c r="H74" s="122">
        <f t="shared" si="233"/>
        <v>0.23112715041519219</v>
      </c>
      <c r="I74" s="122">
        <f t="shared" si="233"/>
        <v>0.35776494261734487</v>
      </c>
      <c r="J74" s="122">
        <f t="shared" si="233"/>
        <v>3.4602975953450951E-2</v>
      </c>
      <c r="K74" s="111">
        <f t="shared" si="233"/>
        <v>0.26189231876988828</v>
      </c>
      <c r="L74" s="122">
        <f t="shared" si="233"/>
        <v>0.28623544328995709</v>
      </c>
      <c r="M74" s="122">
        <f t="shared" si="233"/>
        <v>0.29533744017221242</v>
      </c>
      <c r="N74" s="122">
        <f t="shared" si="233"/>
        <v>0.19005648261495178</v>
      </c>
      <c r="O74" s="122">
        <f t="shared" si="233"/>
        <v>0.19569584298271428</v>
      </c>
      <c r="P74" s="111">
        <f t="shared" si="233"/>
        <v>0.23663427603765086</v>
      </c>
      <c r="Q74" s="122">
        <f t="shared" si="233"/>
        <v>0.19636092955953405</v>
      </c>
      <c r="R74" s="122">
        <f t="shared" si="233"/>
        <v>0.24912199431181592</v>
      </c>
      <c r="S74" s="122">
        <f t="shared" si="233"/>
        <v>0.2436696044587584</v>
      </c>
      <c r="T74" s="122">
        <f t="shared" si="233"/>
        <v>0.13559758164959868</v>
      </c>
      <c r="U74" s="111">
        <f t="shared" si="233"/>
        <v>0.18786123263043653</v>
      </c>
      <c r="V74" s="122">
        <f t="shared" si="233"/>
        <v>0.18969764634334521</v>
      </c>
      <c r="W74" s="122">
        <f t="shared" si="233"/>
        <v>0.18703931783499669</v>
      </c>
      <c r="X74" s="122">
        <f t="shared" si="233"/>
        <v>0.21056936235625409</v>
      </c>
      <c r="Y74" s="122">
        <f t="shared" si="233"/>
        <v>0.12835320466898714</v>
      </c>
      <c r="Z74" s="111">
        <f t="shared" si="233"/>
        <v>0.17827902316501026</v>
      </c>
      <c r="AA74" s="122">
        <f t="shared" si="233"/>
        <v>0.23819204293965038</v>
      </c>
      <c r="AB74" s="122">
        <f t="shared" si="233"/>
        <v>0.2360975331201462</v>
      </c>
      <c r="AC74" s="122">
        <f t="shared" ref="AC74:AH74" si="234">AC57/AC53</f>
        <v>0.21056693464445742</v>
      </c>
      <c r="AD74" s="122">
        <f t="shared" si="234"/>
        <v>0.19610404537953172</v>
      </c>
      <c r="AE74" s="111">
        <f t="shared" si="234"/>
        <v>0.21635613070520388</v>
      </c>
      <c r="AF74" s="122">
        <f t="shared" si="234"/>
        <v>0.20362965893356694</v>
      </c>
      <c r="AG74" s="122">
        <f t="shared" si="234"/>
        <v>0.19198480720828306</v>
      </c>
      <c r="AH74" s="122">
        <f t="shared" si="234"/>
        <v>0.20339443756779285</v>
      </c>
      <c r="AI74" s="122">
        <f>AI57/AI53</f>
        <v>0.12947491241822162</v>
      </c>
      <c r="AJ74" s="111">
        <f t="shared" si="233"/>
        <v>0.17963499761252572</v>
      </c>
      <c r="AK74" s="122">
        <f t="shared" si="233"/>
        <v>0.14222788908858022</v>
      </c>
      <c r="AL74" s="122">
        <f t="shared" si="233"/>
        <v>0.12986411007720097</v>
      </c>
      <c r="AM74" s="122">
        <f t="shared" si="233"/>
        <v>0.18125906481268939</v>
      </c>
      <c r="AN74" s="122">
        <f>AN57/AN53</f>
        <v>0.19134653825735939</v>
      </c>
      <c r="AO74" s="111">
        <f t="shared" si="233"/>
        <v>0.16527504410554253</v>
      </c>
      <c r="AP74" s="122">
        <f>AP57/AP53</f>
        <v>0.18838771010602567</v>
      </c>
      <c r="AQ74" s="122">
        <f>AQ57/AQ53</f>
        <v>0.16180032239365377</v>
      </c>
      <c r="AR74" s="122">
        <f t="shared" si="233"/>
        <v>0.19155125515573887</v>
      </c>
      <c r="AS74" s="122">
        <f t="shared" si="233"/>
        <v>0.25492393724919138</v>
      </c>
      <c r="AT74" s="111">
        <f t="shared" si="233"/>
        <v>0.19951234572394413</v>
      </c>
      <c r="AU74" s="122">
        <f t="shared" si="233"/>
        <v>0.19244839020216065</v>
      </c>
      <c r="AV74" s="122">
        <f t="shared" si="233"/>
        <v>0.19518528962364992</v>
      </c>
      <c r="AW74" s="122">
        <f t="shared" si="233"/>
        <v>0.20398896194049546</v>
      </c>
      <c r="AX74" s="122">
        <f>AX57/AX53</f>
        <v>0.21266870315800079</v>
      </c>
      <c r="AY74" s="111">
        <f t="shared" ref="AY74:BX74" si="235">AY57/AY53</f>
        <v>0.20137411804652447</v>
      </c>
      <c r="AZ74" s="122">
        <f t="shared" si="235"/>
        <v>0.20024905691361009</v>
      </c>
      <c r="BA74" s="122">
        <f t="shared" si="235"/>
        <v>0.19773898998108708</v>
      </c>
      <c r="BB74" s="122">
        <f t="shared" si="235"/>
        <v>0.16868852621559452</v>
      </c>
      <c r="BC74" s="122">
        <f>BC57/BC53</f>
        <v>0.1601574087020381</v>
      </c>
      <c r="BD74" s="111">
        <f t="shared" si="235"/>
        <v>0.18036218054987627</v>
      </c>
      <c r="BE74" s="122">
        <f>BE57/BE53</f>
        <v>0.16201191251277514</v>
      </c>
      <c r="BF74" s="122">
        <f>BF57/BF53</f>
        <v>0.21432508000910622</v>
      </c>
      <c r="BG74" s="122">
        <f>BG57/BG53</f>
        <v>0.18044303892037938</v>
      </c>
      <c r="BH74" s="122">
        <f>BH57/BH53</f>
        <v>0.14876464503558282</v>
      </c>
      <c r="BI74" s="111">
        <f t="shared" si="235"/>
        <v>0.17740713132638469</v>
      </c>
      <c r="BJ74" s="122">
        <f t="shared" si="235"/>
        <v>0.16076728185063388</v>
      </c>
      <c r="BK74" s="122">
        <f t="shared" si="235"/>
        <v>0.12591707447198505</v>
      </c>
      <c r="BL74" s="122">
        <f t="shared" si="235"/>
        <v>0.11231475969529842</v>
      </c>
      <c r="BM74" s="122">
        <f t="shared" si="235"/>
        <v>8.5480057990953068E-2</v>
      </c>
      <c r="BN74" s="111">
        <f t="shared" si="235"/>
        <v>0.11962094444670471</v>
      </c>
      <c r="BO74" s="122">
        <f>BO57/BO53</f>
        <v>0.11533867620275944</v>
      </c>
      <c r="BP74" s="122">
        <f>BP57/BP53</f>
        <v>-0.19389097286500706</v>
      </c>
      <c r="BQ74" s="122">
        <f>BQ57/BQ53</f>
        <v>5.195482974171458E-2</v>
      </c>
      <c r="BR74" s="122">
        <f>BR57/BR53</f>
        <v>7.9055390702274977E-2</v>
      </c>
      <c r="BS74" s="111">
        <f t="shared" si="235"/>
        <v>2.3718943663815512E-2</v>
      </c>
      <c r="BT74" s="122">
        <f t="shared" si="235"/>
        <v>-2.264425616148346E-2</v>
      </c>
      <c r="BU74" s="122">
        <f t="shared" si="235"/>
        <v>8.6703078311095964E-3</v>
      </c>
      <c r="BV74" s="122">
        <f t="shared" si="235"/>
        <v>-9.3433587417652536E-2</v>
      </c>
      <c r="BW74" s="122">
        <f t="shared" si="235"/>
        <v>9.9229370267116368E-2</v>
      </c>
      <c r="BX74" s="111">
        <f t="shared" si="235"/>
        <v>1.1930541806686151E-2</v>
      </c>
      <c r="BY74" s="122">
        <f t="shared" ref="BY74:DB74" si="236">BY57/BY53</f>
        <v>0.12384476106100437</v>
      </c>
      <c r="BZ74" s="122">
        <f t="shared" si="236"/>
        <v>0.11786078054967745</v>
      </c>
      <c r="CA74" s="122">
        <f t="shared" si="236"/>
        <v>0.12651068350237868</v>
      </c>
      <c r="CB74" s="122">
        <f t="shared" si="236"/>
        <v>0.19146760557441336</v>
      </c>
      <c r="CC74" s="111">
        <f t="shared" si="236"/>
        <v>0.14426800697970882</v>
      </c>
      <c r="CD74" s="122">
        <f t="shared" si="236"/>
        <v>8.2098188308674019E-2</v>
      </c>
      <c r="CE74" s="122">
        <f t="shared" si="236"/>
        <v>0.11696955679964903</v>
      </c>
      <c r="CF74" s="122">
        <f t="shared" si="236"/>
        <v>0.18233644434092564</v>
      </c>
      <c r="CG74" s="122">
        <f t="shared" si="236"/>
        <v>0.20392190265277343</v>
      </c>
      <c r="CH74" s="111">
        <f t="shared" si="236"/>
        <v>0.1539136479469079</v>
      </c>
      <c r="CI74" s="122">
        <f t="shared" si="236"/>
        <v>0.14460732546137814</v>
      </c>
      <c r="CJ74" s="122">
        <f t="shared" si="236"/>
        <v>0.20141554408177872</v>
      </c>
      <c r="CK74" s="122">
        <f t="shared" si="236"/>
        <v>0.16862176802844592</v>
      </c>
      <c r="CL74" s="122">
        <f t="shared" si="236"/>
        <v>0.16066385012109424</v>
      </c>
      <c r="CM74" s="111">
        <f t="shared" si="236"/>
        <v>0.16949432384723073</v>
      </c>
      <c r="CN74" s="122">
        <f t="shared" si="236"/>
        <v>0.11664902098969514</v>
      </c>
      <c r="CO74" s="122">
        <f t="shared" si="236"/>
        <v>0.11791857020693826</v>
      </c>
      <c r="CP74" s="122">
        <f t="shared" si="236"/>
        <v>0.19117824324012403</v>
      </c>
      <c r="CQ74" s="122">
        <f t="shared" si="236"/>
        <v>0.13784141406183895</v>
      </c>
      <c r="CR74" s="111">
        <f t="shared" si="236"/>
        <v>0.14378706260468063</v>
      </c>
      <c r="CS74" s="122">
        <f t="shared" si="236"/>
        <v>0.1207603710693098</v>
      </c>
      <c r="CT74" s="122">
        <f t="shared" si="236"/>
        <v>0.19351828321765036</v>
      </c>
      <c r="CU74" s="122">
        <f t="shared" si="236"/>
        <v>0.15875649682316034</v>
      </c>
      <c r="CV74" s="122">
        <f t="shared" si="236"/>
        <v>0.14554642033736964</v>
      </c>
      <c r="CW74" s="111">
        <f t="shared" si="236"/>
        <v>0.15642317021817298</v>
      </c>
      <c r="CX74" s="122">
        <f t="shared" si="236"/>
        <v>0.16843737503266237</v>
      </c>
      <c r="CY74" s="122">
        <f t="shared" ref="CY74:DA74" si="237">CY57/CY53</f>
        <v>0.21179875456214453</v>
      </c>
      <c r="CZ74" s="122">
        <f t="shared" si="237"/>
        <v>0.22340688128156022</v>
      </c>
      <c r="DA74" s="122">
        <f t="shared" si="237"/>
        <v>0.20518587589759918</v>
      </c>
      <c r="DB74" s="111">
        <f t="shared" si="236"/>
        <v>0.20411369363198759</v>
      </c>
      <c r="DC74" s="122">
        <f t="shared" ref="DC74:DF74" si="238">DC57/DC53</f>
        <v>0.15511454650481579</v>
      </c>
      <c r="DD74" s="122">
        <f t="shared" si="238"/>
        <v>0.17476947316966679</v>
      </c>
      <c r="DE74" s="122">
        <f t="shared" si="238"/>
        <v>0.18136800275882028</v>
      </c>
      <c r="DF74" s="122">
        <f t="shared" si="238"/>
        <v>0.20280578417111414</v>
      </c>
      <c r="DG74" s="111">
        <f t="shared" ref="DG74:EF74" si="239">DG57/DG53</f>
        <v>0.18181207522390316</v>
      </c>
      <c r="DH74" s="122">
        <f t="shared" si="239"/>
        <v>0.1534202158680871</v>
      </c>
      <c r="DI74" s="122">
        <f t="shared" si="239"/>
        <v>0.18968741220321411</v>
      </c>
      <c r="DJ74" s="122">
        <f t="shared" si="239"/>
        <v>0.19530425873298143</v>
      </c>
      <c r="DK74" s="122">
        <f t="shared" si="239"/>
        <v>0.202333706487069</v>
      </c>
      <c r="DL74" s="111">
        <f t="shared" si="239"/>
        <v>0.18771551882682513</v>
      </c>
      <c r="DM74" s="122">
        <f t="shared" si="239"/>
        <v>0.19549978109920121</v>
      </c>
      <c r="DN74" s="122">
        <f t="shared" si="239"/>
        <v>0.1911317709317103</v>
      </c>
      <c r="DO74" s="122">
        <f t="shared" si="239"/>
        <v>0.1886739205343157</v>
      </c>
      <c r="DP74" s="122">
        <f t="shared" si="239"/>
        <v>0.18627891360136645</v>
      </c>
      <c r="DQ74" s="111">
        <f t="shared" si="239"/>
        <v>0.19020369472096035</v>
      </c>
      <c r="DR74" s="122">
        <f t="shared" si="239"/>
        <v>0.20416471021486371</v>
      </c>
      <c r="DS74" s="122">
        <f t="shared" si="239"/>
        <v>0.19849077666678494</v>
      </c>
      <c r="DT74" s="122">
        <f t="shared" si="239"/>
        <v>0.19504419796264957</v>
      </c>
      <c r="DU74" s="122">
        <f t="shared" si="239"/>
        <v>0.19097027911836131</v>
      </c>
      <c r="DV74" s="111">
        <f t="shared" si="239"/>
        <v>0.19692801084539965</v>
      </c>
      <c r="DW74" s="122">
        <f t="shared" si="239"/>
        <v>0.20823037167064287</v>
      </c>
      <c r="DX74" s="122">
        <f t="shared" si="239"/>
        <v>0.20227068156545192</v>
      </c>
      <c r="DY74" s="122">
        <f t="shared" si="239"/>
        <v>0.19849925823802447</v>
      </c>
      <c r="DZ74" s="122">
        <f t="shared" si="239"/>
        <v>0.19347240805425753</v>
      </c>
      <c r="EA74" s="111">
        <f t="shared" si="239"/>
        <v>0.20036873900663113</v>
      </c>
      <c r="EB74" s="122">
        <f t="shared" si="239"/>
        <v>0.21081921380907112</v>
      </c>
      <c r="EC74" s="122">
        <f t="shared" si="239"/>
        <v>0.20483105606652591</v>
      </c>
      <c r="ED74" s="122">
        <f t="shared" si="239"/>
        <v>0.20097151574387964</v>
      </c>
      <c r="EE74" s="122">
        <f t="shared" si="239"/>
        <v>0.19516464611104253</v>
      </c>
      <c r="EF74" s="111">
        <f t="shared" si="239"/>
        <v>0.20269614325797639</v>
      </c>
    </row>
    <row r="75" spans="1:136" s="157" customFormat="1" ht="12.75" customHeight="1">
      <c r="A75" s="273" t="s">
        <v>125</v>
      </c>
      <c r="B75" s="172">
        <f t="shared" ref="B75:AJ75" si="240">B66/B$53</f>
        <v>0.20300988545282855</v>
      </c>
      <c r="C75" s="172">
        <f t="shared" si="240"/>
        <v>0.20300988545282855</v>
      </c>
      <c r="D75" s="172">
        <f t="shared" si="240"/>
        <v>0.17876293700594897</v>
      </c>
      <c r="E75" s="172">
        <f t="shared" si="240"/>
        <v>9.9141993030747985E-2</v>
      </c>
      <c r="F75" s="171">
        <f t="shared" si="240"/>
        <v>0.16118809313606783</v>
      </c>
      <c r="G75" s="172">
        <f t="shared" si="240"/>
        <v>0.2380230282298591</v>
      </c>
      <c r="H75" s="172">
        <f t="shared" si="240"/>
        <v>0.24175747170736836</v>
      </c>
      <c r="I75" s="172">
        <f t="shared" si="240"/>
        <v>0.12055694581163941</v>
      </c>
      <c r="J75" s="172">
        <f t="shared" si="240"/>
        <v>0.18129586438363957</v>
      </c>
      <c r="K75" s="171">
        <f t="shared" si="240"/>
        <v>0.18552859266485494</v>
      </c>
      <c r="L75" s="172">
        <f t="shared" si="240"/>
        <v>0.24845615568701612</v>
      </c>
      <c r="M75" s="172">
        <f t="shared" si="240"/>
        <v>0.27846352317921236</v>
      </c>
      <c r="N75" s="172">
        <f t="shared" si="240"/>
        <v>0.13318729463307777</v>
      </c>
      <c r="O75" s="172">
        <f t="shared" si="240"/>
        <v>0.20632061107770258</v>
      </c>
      <c r="P75" s="171">
        <f t="shared" si="240"/>
        <v>0.21671900927838836</v>
      </c>
      <c r="Q75" s="172">
        <f t="shared" si="240"/>
        <v>0.15065862931361329</v>
      </c>
      <c r="R75" s="172">
        <f t="shared" si="240"/>
        <v>0.53180481341032493</v>
      </c>
      <c r="S75" s="172">
        <f t="shared" si="240"/>
        <v>0.21699082020326693</v>
      </c>
      <c r="T75" s="172">
        <f t="shared" si="240"/>
        <v>9.0714088015499586E-2</v>
      </c>
      <c r="U75" s="171">
        <f t="shared" si="240"/>
        <v>0.20749507515239882</v>
      </c>
      <c r="V75" s="172">
        <f t="shared" si="240"/>
        <v>0.12437255489293722</v>
      </c>
      <c r="W75" s="172">
        <f t="shared" si="240"/>
        <v>0.11829066237587765</v>
      </c>
      <c r="X75" s="172">
        <f t="shared" si="240"/>
        <v>0.10376613291027112</v>
      </c>
      <c r="Y75" s="172">
        <f t="shared" si="240"/>
        <v>4.9627295944862704E-2</v>
      </c>
      <c r="Z75" s="171">
        <f t="shared" si="240"/>
        <v>9.7528271876397093E-2</v>
      </c>
      <c r="AA75" s="172">
        <f t="shared" si="240"/>
        <v>0.14961114238652237</v>
      </c>
      <c r="AB75" s="172">
        <f t="shared" si="240"/>
        <v>0.17938670625856556</v>
      </c>
      <c r="AC75" s="172">
        <f t="shared" si="240"/>
        <v>0.19579603044923596</v>
      </c>
      <c r="AD75" s="172">
        <f t="shared" si="240"/>
        <v>0.1742742488272955</v>
      </c>
      <c r="AE75" s="171">
        <f t="shared" si="240"/>
        <v>0.17841981983083913</v>
      </c>
      <c r="AF75" s="172">
        <f t="shared" si="240"/>
        <v>0.15386136935205855</v>
      </c>
      <c r="AG75" s="172">
        <f t="shared" si="240"/>
        <v>0.13915170815244207</v>
      </c>
      <c r="AH75" s="172">
        <f t="shared" si="240"/>
        <v>0.15142071430967641</v>
      </c>
      <c r="AI75" s="172">
        <f t="shared" si="240"/>
        <v>5.9402291702206837E-2</v>
      </c>
      <c r="AJ75" s="171">
        <f t="shared" si="240"/>
        <v>0.1228182216946262</v>
      </c>
      <c r="AK75" s="172">
        <f>AK66/AK$53</f>
        <v>6.1779299799623898E-2</v>
      </c>
      <c r="AL75" s="172">
        <f>AL66/AL$53</f>
        <v>6.93275791751152E-2</v>
      </c>
      <c r="AM75" s="172">
        <f>AM66/AM$53</f>
        <v>9.4096442553933637E-2</v>
      </c>
      <c r="AN75" s="172">
        <f>AN66/AN$53</f>
        <v>9.1434410877854033E-2</v>
      </c>
      <c r="AO75" s="171">
        <f t="shared" ref="AO75:AW75" si="241">AO66/AO$53</f>
        <v>8.131039774393764E-2</v>
      </c>
      <c r="AP75" s="172">
        <f>AP66/AP$53</f>
        <v>8.0408199173044773E-2</v>
      </c>
      <c r="AQ75" s="172">
        <f>AQ66/AQ$53</f>
        <v>0.10304541448086031</v>
      </c>
      <c r="AR75" s="172">
        <f t="shared" si="241"/>
        <v>0.11140766486512113</v>
      </c>
      <c r="AS75" s="172">
        <f t="shared" si="241"/>
        <v>0.1740607537727418</v>
      </c>
      <c r="AT75" s="171">
        <f t="shared" si="241"/>
        <v>0.11719964869292214</v>
      </c>
      <c r="AU75" s="172">
        <f t="shared" si="241"/>
        <v>0.14228506545331873</v>
      </c>
      <c r="AV75" s="172">
        <f t="shared" si="241"/>
        <v>0.13317871582949523</v>
      </c>
      <c r="AW75" s="172">
        <f t="shared" si="241"/>
        <v>0.12521370463437861</v>
      </c>
      <c r="AX75" s="172">
        <f>AX66/AX$53</f>
        <v>0.13134433614340352</v>
      </c>
      <c r="AY75" s="171">
        <f t="shared" ref="AY75:CG75" si="242">AY66/AY$53</f>
        <v>0.1326968835130779</v>
      </c>
      <c r="AZ75" s="172">
        <f t="shared" si="242"/>
        <v>0.12426465109984931</v>
      </c>
      <c r="BA75" s="172">
        <f t="shared" si="242"/>
        <v>0.12433935469337003</v>
      </c>
      <c r="BB75" s="172">
        <f t="shared" si="242"/>
        <v>0.11100541861664155</v>
      </c>
      <c r="BC75" s="172">
        <f>BC66/BC$53</f>
        <v>9.8019781279523932E-2</v>
      </c>
      <c r="BD75" s="171">
        <f t="shared" si="242"/>
        <v>0.1137001203349578</v>
      </c>
      <c r="BE75" s="172">
        <f>BE66/BE$53</f>
        <v>9.7120981748701235E-2</v>
      </c>
      <c r="BF75" s="172">
        <f>BF66/BF$53</f>
        <v>0.10372485129864822</v>
      </c>
      <c r="BG75" s="172">
        <f>BG66/BG$53</f>
        <v>0.11534516446301549</v>
      </c>
      <c r="BH75" s="172">
        <f>BH66/BH$53</f>
        <v>9.5114860550732913E-2</v>
      </c>
      <c r="BI75" s="171">
        <f t="shared" si="242"/>
        <v>0.10315158260972122</v>
      </c>
      <c r="BJ75" s="172">
        <f t="shared" si="242"/>
        <v>7.5578569789788164E-2</v>
      </c>
      <c r="BK75" s="172">
        <f t="shared" si="242"/>
        <v>6.9735879432104117E-2</v>
      </c>
      <c r="BL75" s="172">
        <f t="shared" si="242"/>
        <v>1.7511975528820681E-2</v>
      </c>
      <c r="BM75" s="172">
        <f t="shared" si="242"/>
        <v>3.366805839149118E-2</v>
      </c>
      <c r="BN75" s="171">
        <f t="shared" si="242"/>
        <v>4.7366922145269164E-2</v>
      </c>
      <c r="BO75" s="172">
        <f>BO66/BO$53</f>
        <v>5.813222951904065E-3</v>
      </c>
      <c r="BP75" s="172">
        <f>BP66/BP$53</f>
        <v>-0.24537020927141256</v>
      </c>
      <c r="BQ75" s="172">
        <f>BQ66/BQ$53</f>
        <v>-1.1312637267972173E-2</v>
      </c>
      <c r="BR75" s="172">
        <f>BR66/BR$53</f>
        <v>6.0289317507418401E-2</v>
      </c>
      <c r="BS75" s="171">
        <f t="shared" si="242"/>
        <v>-3.5531852029157332E-2</v>
      </c>
      <c r="BT75" s="172">
        <f t="shared" si="242"/>
        <v>-0.11380713768968226</v>
      </c>
      <c r="BU75" s="172">
        <f t="shared" si="242"/>
        <v>-4.446484108084104E-2</v>
      </c>
      <c r="BV75" s="172">
        <f t="shared" si="242"/>
        <v>-0.16659607491463457</v>
      </c>
      <c r="BW75" s="172">
        <f t="shared" si="242"/>
        <v>0.10779254175985058</v>
      </c>
      <c r="BX75" s="171">
        <f t="shared" si="242"/>
        <v>-2.9169578276697979E-2</v>
      </c>
      <c r="BY75" s="172">
        <f>BY66/BY$53</f>
        <v>5.8591007896049069E-2</v>
      </c>
      <c r="BZ75" s="172">
        <f>BZ66/BZ$53</f>
        <v>0.12153782422364626</v>
      </c>
      <c r="CA75" s="172">
        <f>CA66/CA$53</f>
        <v>0.11166835515892332</v>
      </c>
      <c r="CB75" s="172">
        <f>CB66/CB$53</f>
        <v>0.12099762732260466</v>
      </c>
      <c r="CC75" s="171">
        <f t="shared" si="242"/>
        <v>0.10579031414032125</v>
      </c>
      <c r="CD75" s="172">
        <f t="shared" si="242"/>
        <v>3.6528038391380246E-2</v>
      </c>
      <c r="CE75" s="172">
        <f t="shared" si="242"/>
        <v>8.0842099741537998E-2</v>
      </c>
      <c r="CF75" s="172">
        <f t="shared" si="242"/>
        <v>1.2060828377752357</v>
      </c>
      <c r="CG75" s="172">
        <f t="shared" si="242"/>
        <v>0.24723034553249482</v>
      </c>
      <c r="CH75" s="171">
        <f t="shared" ref="CH75:DG75" si="243">CH66/CH$53</f>
        <v>0.46035511191266254</v>
      </c>
      <c r="CI75" s="172">
        <f t="shared" si="243"/>
        <v>0.19157006053408679</v>
      </c>
      <c r="CJ75" s="172">
        <f t="shared" si="243"/>
        <v>0.22586269763853203</v>
      </c>
      <c r="CK75" s="172">
        <f>CK66/CK$53</f>
        <v>0.18438237141000932</v>
      </c>
      <c r="CL75" s="172">
        <f>CL66/CL$53</f>
        <v>0.16521751017472658</v>
      </c>
      <c r="CM75" s="171">
        <f t="shared" si="243"/>
        <v>0.19085511851488041</v>
      </c>
      <c r="CN75" s="172">
        <f>CN66/CN$53</f>
        <v>0.13132849213901329</v>
      </c>
      <c r="CO75" s="172">
        <f>CO66/CO$53</f>
        <v>0.12062959019521104</v>
      </c>
      <c r="CP75" s="172">
        <f>CP66/CP$53</f>
        <v>0.1850601804001426</v>
      </c>
      <c r="CQ75" s="172">
        <f>CQ66/CQ$53</f>
        <v>0.15150745924622661</v>
      </c>
      <c r="CR75" s="171">
        <f t="shared" si="243"/>
        <v>0.14945231181966245</v>
      </c>
      <c r="CS75" s="172">
        <f t="shared" si="243"/>
        <v>0.12745261510986999</v>
      </c>
      <c r="CT75" s="172">
        <f t="shared" si="243"/>
        <v>0.17108119444844172</v>
      </c>
      <c r="CU75" s="172">
        <f t="shared" si="243"/>
        <v>0.15456396637857497</v>
      </c>
      <c r="CV75" s="172">
        <f t="shared" si="243"/>
        <v>0.14489855463969487</v>
      </c>
      <c r="CW75" s="171">
        <f t="shared" si="243"/>
        <v>0.1506693349543933</v>
      </c>
      <c r="CX75" s="172">
        <f>CX66/CX$53</f>
        <v>0.16991298299776655</v>
      </c>
      <c r="CY75" s="172">
        <f t="shared" ref="CY75:DA75" si="244">CY66/CY$53</f>
        <v>0.22188299906777958</v>
      </c>
      <c r="CZ75" s="172">
        <f t="shared" si="244"/>
        <v>0.2330947537285967</v>
      </c>
      <c r="DA75" s="172">
        <f t="shared" si="244"/>
        <v>0.19815590425449145</v>
      </c>
      <c r="DB75" s="171">
        <f t="shared" si="243"/>
        <v>0.20701237608101145</v>
      </c>
      <c r="DC75" s="172">
        <f>DC66/DC$53</f>
        <v>0.16778031324126461</v>
      </c>
      <c r="DD75" s="172">
        <f t="shared" ref="DD75:DF75" si="245">DD66/DD$53</f>
        <v>0.18404512298719111</v>
      </c>
      <c r="DE75" s="172">
        <f t="shared" si="245"/>
        <v>0.28617827278681252</v>
      </c>
      <c r="DF75" s="172">
        <f t="shared" si="245"/>
        <v>0.21087026540149001</v>
      </c>
      <c r="DG75" s="171">
        <f t="shared" si="243"/>
        <v>0.21295243568892813</v>
      </c>
      <c r="DH75" s="172">
        <f>DH66/DH$53</f>
        <v>0.14655366110083146</v>
      </c>
      <c r="DI75" s="172">
        <f t="shared" ref="DI75" si="246">DI66/DI$53</f>
        <v>0.18202316847591027</v>
      </c>
      <c r="DJ75" s="172">
        <f ca="1">DJ66/DJ$53</f>
        <v>0.19364405035194349</v>
      </c>
      <c r="DK75" s="172">
        <f ca="1">DK66/DK$53</f>
        <v>0.20504357697329811</v>
      </c>
      <c r="DL75" s="171">
        <f ca="1">DL66/DL$53</f>
        <v>0.18485388530671065</v>
      </c>
      <c r="DM75" s="172">
        <f t="shared" ref="DM75:EF75" ca="1" si="247">DM66/DM$53</f>
        <v>0.1890648449717196</v>
      </c>
      <c r="DN75" s="172">
        <f t="shared" ca="1" si="247"/>
        <v>0.18723499823944723</v>
      </c>
      <c r="DO75" s="172">
        <f t="shared" ca="1" si="247"/>
        <v>0.17818376072068201</v>
      </c>
      <c r="DP75" s="172">
        <f t="shared" ca="1" si="247"/>
        <v>0.17272263558434142</v>
      </c>
      <c r="DQ75" s="171">
        <f t="shared" ca="1" si="247"/>
        <v>0.18141925121800884</v>
      </c>
      <c r="DR75" s="172">
        <f t="shared" ca="1" si="247"/>
        <v>0.19317766291633306</v>
      </c>
      <c r="DS75" s="172">
        <f t="shared" ca="1" si="247"/>
        <v>0.17351420163857958</v>
      </c>
      <c r="DT75" s="172">
        <f t="shared" ca="1" si="247"/>
        <v>0.16682404422981365</v>
      </c>
      <c r="DU75" s="172">
        <f t="shared" ca="1" si="247"/>
        <v>0.1703438664632777</v>
      </c>
      <c r="DV75" s="171">
        <f t="shared" ca="1" si="247"/>
        <v>0.17561044756521171</v>
      </c>
      <c r="DW75" s="172">
        <f t="shared" ca="1" si="247"/>
        <v>0.18794105661716645</v>
      </c>
      <c r="DX75" s="172">
        <f t="shared" ca="1" si="247"/>
        <v>0.16732167799139069</v>
      </c>
      <c r="DY75" s="172">
        <f t="shared" ca="1" si="247"/>
        <v>0.15999424665216527</v>
      </c>
      <c r="DZ75" s="172">
        <f t="shared" ca="1" si="247"/>
        <v>0.16741421916096783</v>
      </c>
      <c r="EA75" s="171">
        <f t="shared" ca="1" si="247"/>
        <v>0.17039394876703454</v>
      </c>
      <c r="EB75" s="172">
        <f t="shared" ca="1" si="247"/>
        <v>0.18988800482179083</v>
      </c>
      <c r="EC75" s="172">
        <f t="shared" ca="1" si="247"/>
        <v>0.17250303882582013</v>
      </c>
      <c r="ED75" s="172">
        <f t="shared" ca="1" si="247"/>
        <v>0.16623184729155618</v>
      </c>
      <c r="EE75" s="172">
        <f t="shared" ca="1" si="247"/>
        <v>0.1724695062728008</v>
      </c>
      <c r="EF75" s="171">
        <f t="shared" ca="1" si="247"/>
        <v>0.17505589425023799</v>
      </c>
    </row>
    <row r="76" spans="1:136" ht="12.75" customHeight="1">
      <c r="AR76" s="79">
        <f>AR78*16</f>
        <v>6579296</v>
      </c>
      <c r="AT76" s="91">
        <f>(AY80/U80)^(1/6)-1</f>
        <v>0.12745962721815518</v>
      </c>
      <c r="AU76" s="131"/>
      <c r="AZ76" s="122">
        <f>26187/AZ78</f>
        <v>6.486233441986268E-2</v>
      </c>
      <c r="BD76" s="378">
        <f>13.7/BD79</f>
        <v>8.1215545299388197</v>
      </c>
      <c r="BI76" s="378">
        <f>10.36/BI79</f>
        <v>8.763354643613221</v>
      </c>
      <c r="BN76" s="378">
        <f>10.36/BN79</f>
        <v>26.111800504783549</v>
      </c>
      <c r="BP76" s="79">
        <f>13.14*BP78</f>
        <v>5026851.54</v>
      </c>
      <c r="BU76" s="131"/>
      <c r="BW76" s="79"/>
      <c r="BZ76" s="79"/>
      <c r="CA76" s="79"/>
      <c r="CB76" s="131"/>
      <c r="CE76" s="79"/>
      <c r="CG76" s="131"/>
      <c r="CH76" s="67"/>
      <c r="CJ76" s="355">
        <f>CK76/14.7</f>
        <v>7.0768793962459414E-2</v>
      </c>
      <c r="CK76" s="265">
        <f>CL76*4</f>
        <v>1.0403012712481534</v>
      </c>
      <c r="CL76" s="265">
        <f>100000/CL78</f>
        <v>0.26007531781203835</v>
      </c>
      <c r="CM76" s="67"/>
      <c r="CO76" s="355"/>
      <c r="CP76" s="547"/>
      <c r="CQ76" s="265">
        <f>100000/CQ78</f>
        <v>0.22295003020972909</v>
      </c>
      <c r="CR76" s="67"/>
      <c r="CT76" s="355"/>
      <c r="CW76" s="67"/>
      <c r="CY76" s="79"/>
      <c r="DB76" s="91">
        <f>DB66/AVERAGE('Balance Sheet'!CX43:DA43)</f>
        <v>0.19367697749489204</v>
      </c>
      <c r="DC76" s="335"/>
      <c r="DE76" s="265"/>
      <c r="DG76" s="91">
        <f>DG66/AVERAGE('Balance Sheet'!DC43:DF43)</f>
        <v>0.20169720643545591</v>
      </c>
      <c r="DL76" s="91">
        <f ca="1">DL66/AVERAGE('Balance Sheet'!DH43:DK43)</f>
        <v>0.16693164505242986</v>
      </c>
      <c r="DQ76" s="67"/>
      <c r="DV76" s="67"/>
      <c r="EA76" s="67"/>
      <c r="EF76" s="67"/>
    </row>
    <row r="77" spans="1:136" s="70" customFormat="1" ht="12.75" customHeight="1" thickBot="1">
      <c r="A77" s="69" t="s">
        <v>714</v>
      </c>
      <c r="B77" s="93" t="str">
        <f>Macro!B$3</f>
        <v>1Q04</v>
      </c>
      <c r="C77" s="93" t="str">
        <f>Macro!C$3</f>
        <v>2Q04</v>
      </c>
      <c r="D77" s="93" t="str">
        <f>Macro!D$3</f>
        <v>3Q04</v>
      </c>
      <c r="E77" s="93" t="str">
        <f>Macro!E$3</f>
        <v>4Q04</v>
      </c>
      <c r="F77" s="92" t="str">
        <f>Macro!F$3</f>
        <v>2004</v>
      </c>
      <c r="G77" s="93" t="str">
        <f>Macro!G$3</f>
        <v>1Q05</v>
      </c>
      <c r="H77" s="93" t="str">
        <f>Macro!H$3</f>
        <v>2Q05</v>
      </c>
      <c r="I77" s="93" t="str">
        <f>Macro!I$3</f>
        <v>3Q05</v>
      </c>
      <c r="J77" s="93" t="str">
        <f>Macro!J$3</f>
        <v>4Q05</v>
      </c>
      <c r="K77" s="92" t="str">
        <f>Macro!K$3</f>
        <v>2005</v>
      </c>
      <c r="L77" s="93" t="str">
        <f>Macro!L$3</f>
        <v>1Q06</v>
      </c>
      <c r="M77" s="93" t="str">
        <f>Macro!M$3</f>
        <v>2Q06</v>
      </c>
      <c r="N77" s="93" t="str">
        <f>Macro!N$3</f>
        <v>3Q06</v>
      </c>
      <c r="O77" s="94" t="str">
        <f>Macro!O$3</f>
        <v>4Q06</v>
      </c>
      <c r="P77" s="92" t="str">
        <f>Macro!P$3</f>
        <v>2006</v>
      </c>
      <c r="Q77" s="93" t="str">
        <f>Macro!Q$3</f>
        <v>1Q07</v>
      </c>
      <c r="R77" s="93" t="str">
        <f>Macro!R$3</f>
        <v>2Q07</v>
      </c>
      <c r="S77" s="93" t="str">
        <f>Macro!S$3</f>
        <v>3Q07</v>
      </c>
      <c r="T77" s="94" t="str">
        <f>Macro!T$3</f>
        <v>4Q07</v>
      </c>
      <c r="U77" s="92" t="str">
        <f>Macro!U$3</f>
        <v>2007</v>
      </c>
      <c r="V77" s="93" t="str">
        <f>Macro!V$3</f>
        <v>1Q08</v>
      </c>
      <c r="W77" s="93" t="str">
        <f>Macro!W$3</f>
        <v>2Q08</v>
      </c>
      <c r="X77" s="93" t="str">
        <f>Macro!X$3</f>
        <v>3Q08</v>
      </c>
      <c r="Y77" s="94" t="str">
        <f>Macro!Y$3</f>
        <v>4Q08</v>
      </c>
      <c r="Z77" s="92" t="str">
        <f>Macro!Z$3</f>
        <v>2008</v>
      </c>
      <c r="AA77" s="93" t="str">
        <f>Macro!AA$3</f>
        <v>1Q09</v>
      </c>
      <c r="AB77" s="93" t="str">
        <f>Macro!AB$3</f>
        <v>2Q09</v>
      </c>
      <c r="AC77" s="93" t="str">
        <f>Macro!AC$3</f>
        <v>3Q09</v>
      </c>
      <c r="AD77" s="94" t="str">
        <f>Macro!AD$3</f>
        <v>4Q09</v>
      </c>
      <c r="AE77" s="92" t="str">
        <f>Macro!AE$3</f>
        <v>2009</v>
      </c>
      <c r="AF77" s="93" t="str">
        <f>Macro!AF$3</f>
        <v>1Q10</v>
      </c>
      <c r="AG77" s="93" t="str">
        <f>Macro!AG$3</f>
        <v>2Q10</v>
      </c>
      <c r="AH77" s="93" t="str">
        <f>Macro!AH$3</f>
        <v>3Q10</v>
      </c>
      <c r="AI77" s="94" t="str">
        <f>Macro!AI$3</f>
        <v>4Q10</v>
      </c>
      <c r="AJ77" s="92" t="str">
        <f>Macro!AJ$3</f>
        <v>2010</v>
      </c>
      <c r="AK77" s="93" t="str">
        <f>Macro!AK$3</f>
        <v>1Q11</v>
      </c>
      <c r="AL77" s="93" t="str">
        <f>Macro!AL$3</f>
        <v>2Q11</v>
      </c>
      <c r="AM77" s="93" t="str">
        <f>Macro!AM$3</f>
        <v>3Q11</v>
      </c>
      <c r="AN77" s="94" t="str">
        <f>Macro!AN$3</f>
        <v>4Q11</v>
      </c>
      <c r="AO77" s="92" t="str">
        <f>Macro!AO$3</f>
        <v>2011</v>
      </c>
      <c r="AP77" s="310" t="str">
        <f>Macro!AP$3</f>
        <v>1Q12</v>
      </c>
      <c r="AQ77" s="310" t="str">
        <f>Macro!AQ$3</f>
        <v>2Q12</v>
      </c>
      <c r="AR77" s="310" t="str">
        <f>Macro!AR$3</f>
        <v>3Q12</v>
      </c>
      <c r="AS77" s="310" t="str">
        <f>Macro!AS$3</f>
        <v>4Q12</v>
      </c>
      <c r="AT77" s="311" t="str">
        <f>Macro!AT$3</f>
        <v>2012</v>
      </c>
      <c r="AU77" s="310" t="str">
        <f>Macro!AU$3</f>
        <v>1Q13</v>
      </c>
      <c r="AV77" s="310" t="str">
        <f>Macro!AV$3</f>
        <v>2Q13</v>
      </c>
      <c r="AW77" s="310" t="str">
        <f>Macro!AW$3</f>
        <v>3Q13</v>
      </c>
      <c r="AX77" s="310" t="str">
        <f>Macro!AX$3</f>
        <v>4Q13</v>
      </c>
      <c r="AY77" s="311" t="str">
        <f>Macro!AY$3</f>
        <v>2013</v>
      </c>
      <c r="AZ77" s="310" t="str">
        <f>Macro!AZ$3</f>
        <v>1Q14</v>
      </c>
      <c r="BA77" s="310" t="str">
        <f>Macro!BA$3</f>
        <v>2Q14</v>
      </c>
      <c r="BB77" s="310" t="str">
        <f>Macro!BB$3</f>
        <v>3Q14</v>
      </c>
      <c r="BC77" s="310" t="str">
        <f>Macro!BC$3</f>
        <v>4Q14</v>
      </c>
      <c r="BD77" s="311" t="str">
        <f>Macro!BD$3</f>
        <v>2014</v>
      </c>
      <c r="BE77" s="310" t="str">
        <f>Macro!BE$3</f>
        <v>1Q15</v>
      </c>
      <c r="BF77" s="310" t="str">
        <f>Macro!BF$3</f>
        <v>2Q15</v>
      </c>
      <c r="BG77" s="310" t="str">
        <f>Macro!BG$3</f>
        <v>3Q15</v>
      </c>
      <c r="BH77" s="310" t="str">
        <f>Macro!BH$3</f>
        <v>4Q15</v>
      </c>
      <c r="BI77" s="311" t="str">
        <f>Macro!BI$3</f>
        <v>2015</v>
      </c>
      <c r="BJ77" s="310" t="str">
        <f>Macro!BJ$3</f>
        <v>1Q16</v>
      </c>
      <c r="BK77" s="310" t="str">
        <f>Macro!BK$3</f>
        <v>2Q16</v>
      </c>
      <c r="BL77" s="310" t="str">
        <f>Macro!BL$3</f>
        <v>3Q16</v>
      </c>
      <c r="BM77" s="310" t="str">
        <f>Macro!BM$3</f>
        <v>4Q16</v>
      </c>
      <c r="BN77" s="311" t="str">
        <f>Macro!BN$3</f>
        <v>2016</v>
      </c>
      <c r="BO77" s="310" t="str">
        <f>Macro!BO$3</f>
        <v>1Q17</v>
      </c>
      <c r="BP77" s="310" t="str">
        <f>Macro!BP$3</f>
        <v>2Q17</v>
      </c>
      <c r="BQ77" s="310" t="str">
        <f>Macro!BQ$3</f>
        <v>3Q17</v>
      </c>
      <c r="BR77" s="310" t="str">
        <f>Macro!BR$3</f>
        <v>4Q17</v>
      </c>
      <c r="BS77" s="311" t="str">
        <f>Macro!BS$3</f>
        <v>2017</v>
      </c>
      <c r="BT77" s="310" t="str">
        <f>Macro!BT$3</f>
        <v>1Q18</v>
      </c>
      <c r="BU77" s="310" t="str">
        <f>Macro!BU$3</f>
        <v>2Q18</v>
      </c>
      <c r="BV77" s="310" t="str">
        <f>Macro!BV$3</f>
        <v>3Q18</v>
      </c>
      <c r="BW77" s="310" t="str">
        <f>Macro!BW$3</f>
        <v>4Q18</v>
      </c>
      <c r="BX77" s="311" t="str">
        <f>Macro!BX$3</f>
        <v>2018</v>
      </c>
      <c r="BY77" s="310" t="str">
        <f>Macro!BY$3</f>
        <v>1Q19</v>
      </c>
      <c r="BZ77" s="310" t="str">
        <f>Macro!BZ$3</f>
        <v>2Q19</v>
      </c>
      <c r="CA77" s="310" t="str">
        <f>Macro!CA$3</f>
        <v>3Q19</v>
      </c>
      <c r="CB77" s="310" t="str">
        <f>Macro!CB$3</f>
        <v>4Q19</v>
      </c>
      <c r="CC77" s="311" t="str">
        <f>Macro!CC$3</f>
        <v>2019</v>
      </c>
      <c r="CD77" s="310" t="str">
        <f>Macro!CD$3</f>
        <v>1Q20</v>
      </c>
      <c r="CE77" s="310" t="str">
        <f>Macro!CE$3</f>
        <v>2Q20</v>
      </c>
      <c r="CF77" s="310" t="str">
        <f>Macro!CF$3</f>
        <v>3Q20</v>
      </c>
      <c r="CG77" s="310" t="str">
        <f>Macro!CG$3</f>
        <v>4Q20</v>
      </c>
      <c r="CH77" s="311" t="str">
        <f>Macro!CH$3</f>
        <v>2020</v>
      </c>
      <c r="CI77" s="310" t="str">
        <f>Macro!CI$3</f>
        <v>1Q21</v>
      </c>
      <c r="CJ77" s="310" t="str">
        <f>Macro!CJ$3</f>
        <v>2Q21</v>
      </c>
      <c r="CK77" s="310" t="str">
        <f>Macro!CK$3</f>
        <v>3Q21</v>
      </c>
      <c r="CL77" s="310" t="str">
        <f>Macro!CL$3</f>
        <v>4Q21</v>
      </c>
      <c r="CM77" s="311" t="str">
        <f>Macro!CM$3</f>
        <v>2021</v>
      </c>
      <c r="CN77" s="310" t="str">
        <f>Macro!CN$3</f>
        <v>1Q22</v>
      </c>
      <c r="CO77" s="310" t="str">
        <f>Macro!CO$3</f>
        <v>2Q22</v>
      </c>
      <c r="CP77" s="310" t="str">
        <f>Macro!CP$3</f>
        <v>3Q22</v>
      </c>
      <c r="CQ77" s="310" t="str">
        <f>Macro!CQ$3</f>
        <v>4Q22</v>
      </c>
      <c r="CR77" s="311" t="str">
        <f>Macro!CR$3</f>
        <v>2022</v>
      </c>
      <c r="CS77" s="310" t="str">
        <f>Macro!CS$3</f>
        <v>1Q23</v>
      </c>
      <c r="CT77" s="310" t="str">
        <f>Macro!CT$3</f>
        <v>2Q23</v>
      </c>
      <c r="CU77" s="310" t="str">
        <f>Macro!CU$3</f>
        <v>3Q23</v>
      </c>
      <c r="CV77" s="310" t="str">
        <f>Macro!CV$3</f>
        <v>4Q23</v>
      </c>
      <c r="CW77" s="311" t="str">
        <f>Macro!CW$3</f>
        <v>2023</v>
      </c>
      <c r="CX77" s="310" t="str">
        <f>Macro!CX$3</f>
        <v>1Q24</v>
      </c>
      <c r="CY77" s="310" t="str">
        <f>Macro!CY$3</f>
        <v>2Q24</v>
      </c>
      <c r="CZ77" s="310" t="str">
        <f>Macro!CZ$3</f>
        <v>3Q24</v>
      </c>
      <c r="DA77" s="310" t="str">
        <f>Macro!DA$3</f>
        <v>4Q24</v>
      </c>
      <c r="DB77" s="311" t="str">
        <f>Macro!DB$3</f>
        <v>2024</v>
      </c>
      <c r="DC77" s="310" t="str">
        <f>Macro!DC$3</f>
        <v>1Q25</v>
      </c>
      <c r="DD77" s="310" t="str">
        <f>Macro!DD$3</f>
        <v>2Q25</v>
      </c>
      <c r="DE77" s="310" t="str">
        <f>Macro!DE$3</f>
        <v>3Q25</v>
      </c>
      <c r="DF77" s="310" t="str">
        <f>Macro!DF$3</f>
        <v>4Q25</v>
      </c>
      <c r="DG77" s="311" t="str">
        <f>Macro!DG$3</f>
        <v>2025</v>
      </c>
      <c r="DH77" s="310" t="str">
        <f>Macro!DH$3</f>
        <v>1Q26</v>
      </c>
      <c r="DI77" s="310" t="str">
        <f>Macro!DI$3</f>
        <v>2Q26</v>
      </c>
      <c r="DJ77" s="310" t="str">
        <f>Macro!DJ$3</f>
        <v>3Q26E</v>
      </c>
      <c r="DK77" s="310" t="str">
        <f>Macro!DK$3</f>
        <v>4Q26E</v>
      </c>
      <c r="DL77" s="311" t="str">
        <f>Macro!DL$3</f>
        <v>2026E</v>
      </c>
      <c r="DM77" s="310" t="str">
        <f>Macro!DM$3</f>
        <v>1Q27E</v>
      </c>
      <c r="DN77" s="310" t="str">
        <f>Macro!DN$3</f>
        <v>2Q27E</v>
      </c>
      <c r="DO77" s="310" t="str">
        <f>Macro!DO$3</f>
        <v>3Q27E</v>
      </c>
      <c r="DP77" s="310" t="str">
        <f>Macro!DP$3</f>
        <v>4Q27E</v>
      </c>
      <c r="DQ77" s="311" t="str">
        <f>Macro!DQ$3</f>
        <v>2027E</v>
      </c>
      <c r="DR77" s="310" t="str">
        <f>Macro!DR$3</f>
        <v>1Q28E</v>
      </c>
      <c r="DS77" s="310" t="str">
        <f>Macro!DS$3</f>
        <v>2Q28E</v>
      </c>
      <c r="DT77" s="310" t="str">
        <f>Macro!DT$3</f>
        <v>3Q28E</v>
      </c>
      <c r="DU77" s="310" t="str">
        <f>Macro!DU$3</f>
        <v>4Q28E</v>
      </c>
      <c r="DV77" s="311" t="str">
        <f>Macro!DV$3</f>
        <v>2028E</v>
      </c>
      <c r="DW77" s="310" t="str">
        <f>Macro!DW$3</f>
        <v>1Q29E</v>
      </c>
      <c r="DX77" s="310" t="str">
        <f>Macro!DX$3</f>
        <v>2Q29E</v>
      </c>
      <c r="DY77" s="310" t="str">
        <f>Macro!DY$3</f>
        <v>3Q29E</v>
      </c>
      <c r="DZ77" s="310" t="str">
        <f>Macro!DZ$3</f>
        <v>4Q29E</v>
      </c>
      <c r="EA77" s="311" t="str">
        <f>Macro!EA$3</f>
        <v>2029E</v>
      </c>
      <c r="EB77" s="310" t="str">
        <f>Macro!EB$3</f>
        <v>1Q30E</v>
      </c>
      <c r="EC77" s="310" t="str">
        <f>Macro!EC$3</f>
        <v>2Q30E</v>
      </c>
      <c r="ED77" s="310" t="str">
        <f>Macro!ED$3</f>
        <v>3Q30E</v>
      </c>
      <c r="EE77" s="310" t="str">
        <f>Macro!EE$3</f>
        <v>4Q30E</v>
      </c>
      <c r="EF77" s="311" t="str">
        <f>Macro!EF$3</f>
        <v>2030E</v>
      </c>
    </row>
    <row r="78" spans="1:136" ht="12.75" customHeight="1">
      <c r="A78" s="78" t="s">
        <v>701</v>
      </c>
      <c r="B78" s="260">
        <v>159562</v>
      </c>
      <c r="C78" s="260">
        <v>159562</v>
      </c>
      <c r="D78" s="260">
        <v>159562</v>
      </c>
      <c r="E78" s="260">
        <v>159562</v>
      </c>
      <c r="F78" s="241">
        <f>E78</f>
        <v>159562</v>
      </c>
      <c r="G78" s="260">
        <v>159562</v>
      </c>
      <c r="H78" s="260">
        <v>229224</v>
      </c>
      <c r="I78" s="260">
        <v>297424</v>
      </c>
      <c r="J78" s="260">
        <v>297424</v>
      </c>
      <c r="K78" s="241">
        <f>J78</f>
        <v>297424</v>
      </c>
      <c r="L78" s="261">
        <v>297424</v>
      </c>
      <c r="M78" s="261">
        <v>297424</v>
      </c>
      <c r="N78" s="261">
        <v>354458</v>
      </c>
      <c r="O78" s="261">
        <f>N78</f>
        <v>354458</v>
      </c>
      <c r="P78" s="241">
        <f>O78</f>
        <v>354458</v>
      </c>
      <c r="Q78" s="261">
        <f>354464.552-6</f>
        <v>354458.55200000003</v>
      </c>
      <c r="R78" s="261">
        <f>355647-6</f>
        <v>355641</v>
      </c>
      <c r="S78" s="261">
        <f>355647-6</f>
        <v>355641</v>
      </c>
      <c r="T78" s="261">
        <f>355647-6</f>
        <v>355641</v>
      </c>
      <c r="U78" s="241">
        <f>T78</f>
        <v>355641</v>
      </c>
      <c r="V78" s="261">
        <f>355647-6</f>
        <v>355641</v>
      </c>
      <c r="W78" s="261">
        <f>355647-6</f>
        <v>355641</v>
      </c>
      <c r="X78" s="261">
        <f>355708-6</f>
        <v>355702</v>
      </c>
      <c r="Y78" s="261">
        <f>355757-6</f>
        <v>355751</v>
      </c>
      <c r="Z78" s="241">
        <f>Y78</f>
        <v>355751</v>
      </c>
      <c r="AA78" s="261">
        <f>355757-6</f>
        <v>355751</v>
      </c>
      <c r="AB78" s="261">
        <f>368552.704-6</f>
        <v>368546.70400000003</v>
      </c>
      <c r="AC78" s="261">
        <f>368615.226-6</f>
        <v>368609.22600000002</v>
      </c>
      <c r="AD78" s="261">
        <f>422393.466-6</f>
        <v>422387.46600000001</v>
      </c>
      <c r="AE78" s="241">
        <f>AD78</f>
        <v>422387.46600000001</v>
      </c>
      <c r="AF78" s="261">
        <v>422401</v>
      </c>
      <c r="AG78" s="261">
        <v>422911.35600000003</v>
      </c>
      <c r="AH78" s="261">
        <v>422944</v>
      </c>
      <c r="AI78" s="261">
        <v>423003.88699999999</v>
      </c>
      <c r="AJ78" s="241">
        <f>AI78</f>
        <v>423003.88699999999</v>
      </c>
      <c r="AK78" s="261">
        <v>423003.88699999999</v>
      </c>
      <c r="AL78" s="261">
        <v>423003.88699999999</v>
      </c>
      <c r="AM78" s="261">
        <f>423003.887-9527</f>
        <v>413476.88699999999</v>
      </c>
      <c r="AN78" s="261">
        <f>423003.887-12336</f>
        <v>410667.88699999999</v>
      </c>
      <c r="AO78" s="241">
        <f>AN78</f>
        <v>410667.88699999999</v>
      </c>
      <c r="AP78" s="261">
        <f>423003.887-12336</f>
        <v>410667.88699999999</v>
      </c>
      <c r="AQ78" s="261">
        <f>416659-5453</f>
        <v>411206</v>
      </c>
      <c r="AR78" s="261">
        <f>416659-5453</f>
        <v>411206</v>
      </c>
      <c r="AS78" s="261">
        <f>416659-4552</f>
        <v>412107</v>
      </c>
      <c r="AT78" s="241">
        <f>AS78</f>
        <v>412107</v>
      </c>
      <c r="AU78" s="261">
        <f>416659-4541</f>
        <v>412118</v>
      </c>
      <c r="AV78" s="261">
        <f>416659-2243</f>
        <v>414416</v>
      </c>
      <c r="AW78" s="261">
        <v>414455</v>
      </c>
      <c r="AX78" s="261">
        <f>416658.829-9398.459</f>
        <v>407260.37000000005</v>
      </c>
      <c r="AY78" s="241">
        <f>AX78</f>
        <v>407260.37000000005</v>
      </c>
      <c r="AZ78" s="261">
        <f>416859-13127</f>
        <v>403732</v>
      </c>
      <c r="BA78" s="261">
        <f>399743-5722</f>
        <v>394021</v>
      </c>
      <c r="BB78" s="261">
        <f>399743-11848</f>
        <v>387895</v>
      </c>
      <c r="BC78" s="261">
        <f>399743-16807</f>
        <v>382936</v>
      </c>
      <c r="BD78" s="241">
        <f>BC78</f>
        <v>382936</v>
      </c>
      <c r="BE78" s="261">
        <f>399743-21166</f>
        <v>378577</v>
      </c>
      <c r="BF78" s="261">
        <f>399743-21049</f>
        <v>378694</v>
      </c>
      <c r="BG78" s="261">
        <f>399743-20948</f>
        <v>378795</v>
      </c>
      <c r="BH78" s="261">
        <f>399742.799-20662</f>
        <v>379080.799</v>
      </c>
      <c r="BI78" s="241">
        <f>BH78</f>
        <v>379080.799</v>
      </c>
      <c r="BJ78" s="261">
        <f>399743-18789</f>
        <v>380954</v>
      </c>
      <c r="BK78" s="261">
        <f>399743-18565</f>
        <v>381178</v>
      </c>
      <c r="BL78" s="261">
        <f>399743-18127</f>
        <v>381616</v>
      </c>
      <c r="BM78" s="261">
        <f>399743-17594</f>
        <v>382149</v>
      </c>
      <c r="BN78" s="241">
        <f>BM78</f>
        <v>382149</v>
      </c>
      <c r="BO78" s="261">
        <f>399743-17594</f>
        <v>382149</v>
      </c>
      <c r="BP78" s="261">
        <f>399743-17182</f>
        <v>382561</v>
      </c>
      <c r="BQ78" s="261">
        <f>399743-17084</f>
        <v>382659</v>
      </c>
      <c r="BR78" s="261">
        <f>399743-17035</f>
        <v>382708</v>
      </c>
      <c r="BS78" s="241">
        <f>BR78</f>
        <v>382708</v>
      </c>
      <c r="BT78" s="261">
        <f>399743-16846</f>
        <v>382897</v>
      </c>
      <c r="BU78" s="261">
        <f>399743-15586</f>
        <v>384157</v>
      </c>
      <c r="BV78" s="261">
        <f>399743-15586</f>
        <v>384157</v>
      </c>
      <c r="BW78" s="261">
        <f>399815-15586</f>
        <v>384229</v>
      </c>
      <c r="BX78" s="241">
        <f>BW78</f>
        <v>384229</v>
      </c>
      <c r="BY78" s="261">
        <f>399743-15383</f>
        <v>384360</v>
      </c>
      <c r="BZ78" s="261">
        <f>399743-15330</f>
        <v>384413</v>
      </c>
      <c r="CA78" s="261">
        <f>399743-15316</f>
        <v>384427</v>
      </c>
      <c r="CB78" s="261">
        <f>399743-15316</f>
        <v>384427</v>
      </c>
      <c r="CC78" s="241">
        <f>CB78</f>
        <v>384427</v>
      </c>
      <c r="CD78" s="261">
        <f>399743-15316</f>
        <v>384427</v>
      </c>
      <c r="CE78" s="261">
        <f>399743-15316</f>
        <v>384427</v>
      </c>
      <c r="CF78" s="261">
        <f>399743-15239</f>
        <v>384504</v>
      </c>
      <c r="CG78" s="261">
        <f>399743-15239</f>
        <v>384504</v>
      </c>
      <c r="CH78" s="241">
        <f>CG78</f>
        <v>384504</v>
      </c>
      <c r="CI78" s="261">
        <f>399743-15239</f>
        <v>384504</v>
      </c>
      <c r="CJ78" s="261">
        <f>399743-15239</f>
        <v>384504</v>
      </c>
      <c r="CK78" s="261">
        <f>399743-15239</f>
        <v>384504</v>
      </c>
      <c r="CL78" s="261">
        <f>399743-15239</f>
        <v>384504</v>
      </c>
      <c r="CM78" s="241">
        <f>CL78</f>
        <v>384504</v>
      </c>
      <c r="CN78" s="261">
        <f>399743-15239+72800</f>
        <v>457304</v>
      </c>
      <c r="CO78" s="261">
        <f>399743-16918+72800</f>
        <v>455625</v>
      </c>
      <c r="CP78" s="261">
        <f>399743-20772+72800</f>
        <v>451771</v>
      </c>
      <c r="CQ78" s="261">
        <f>399743-24012+72800</f>
        <v>448531</v>
      </c>
      <c r="CR78" s="241">
        <f>CQ78</f>
        <v>448531</v>
      </c>
      <c r="CS78" s="261">
        <f>399743-24822+72800</f>
        <v>447721</v>
      </c>
      <c r="CT78" s="261">
        <f>399743-24822+72800</f>
        <v>447721</v>
      </c>
      <c r="CU78" s="261">
        <f>399743-24822+72800</f>
        <v>447721</v>
      </c>
      <c r="CV78" s="261">
        <f>399743-24822+72800</f>
        <v>447721</v>
      </c>
      <c r="CW78" s="241">
        <f>CV78</f>
        <v>447721</v>
      </c>
      <c r="CX78" s="261">
        <f>399743-24822+72800</f>
        <v>447721</v>
      </c>
      <c r="CY78" s="261">
        <f>399743-24822+72800</f>
        <v>447721</v>
      </c>
      <c r="CZ78" s="261">
        <f>399743-24822+72800</f>
        <v>447721</v>
      </c>
      <c r="DA78" s="261">
        <f>399743-17468+72800</f>
        <v>455075</v>
      </c>
      <c r="DB78" s="241">
        <f>DA78</f>
        <v>455075</v>
      </c>
      <c r="DC78" s="261">
        <f>384000-17689+72800</f>
        <v>439111</v>
      </c>
      <c r="DD78" s="261">
        <f>384000-17689+72800</f>
        <v>439111</v>
      </c>
      <c r="DE78" s="261">
        <f>384000-17689+72800</f>
        <v>439111</v>
      </c>
      <c r="DF78" s="261">
        <f>384000-17689+72800</f>
        <v>439111</v>
      </c>
      <c r="DG78" s="241">
        <f>DF78</f>
        <v>439111</v>
      </c>
      <c r="DH78" s="261">
        <f>384000-17689+72800-3354</f>
        <v>435757</v>
      </c>
      <c r="DI78" s="261">
        <f>384000+69446-17689</f>
        <v>435757</v>
      </c>
      <c r="DJ78" s="261">
        <f>DI78+('Balance Sheet'!DJ44+'Balance Sheet'!DJ45-'Balance Sheet'!DI44-'Balance Sheet'!DI45)/DCF!$B$13</f>
        <v>435757</v>
      </c>
      <c r="DK78" s="261">
        <f>DJ78+('Balance Sheet'!DK44+'Balance Sheet'!DK45-'Balance Sheet'!DJ44-'Balance Sheet'!DJ45)/DCF!$B$13</f>
        <v>435757</v>
      </c>
      <c r="DL78" s="241">
        <f>DK78</f>
        <v>435757</v>
      </c>
      <c r="DM78" s="261">
        <f>DL78+('Balance Sheet'!DM44+'Balance Sheet'!DM45-'Balance Sheet'!DL44-'Balance Sheet'!DL45)/DCF!$B$13</f>
        <v>435757</v>
      </c>
      <c r="DN78" s="261">
        <f>DM78+('Balance Sheet'!DN44+'Balance Sheet'!DN45-'Balance Sheet'!DM44-'Balance Sheet'!DM45)/DCF!$B$13</f>
        <v>435757</v>
      </c>
      <c r="DO78" s="261">
        <f>DN78+('Balance Sheet'!DO44+'Balance Sheet'!DO45-'Balance Sheet'!DN44-'Balance Sheet'!DN45)/DCF!$B$13</f>
        <v>435757</v>
      </c>
      <c r="DP78" s="261">
        <f>DO78+('Balance Sheet'!DP44+'Balance Sheet'!DP45-'Balance Sheet'!DO44-'Balance Sheet'!DO45)/DCF!$B$13</f>
        <v>435757</v>
      </c>
      <c r="DQ78" s="241">
        <f>DP78</f>
        <v>435757</v>
      </c>
      <c r="DR78" s="261">
        <f>DQ78+('Balance Sheet'!DR44+'Balance Sheet'!DR45-'Balance Sheet'!DQ44-'Balance Sheet'!DQ45)/DCF!$B$13</f>
        <v>435757</v>
      </c>
      <c r="DS78" s="261">
        <f>DR78+('Balance Sheet'!DS44+'Balance Sheet'!DS45-'Balance Sheet'!DR44-'Balance Sheet'!DR45)/DCF!$B$13</f>
        <v>435757</v>
      </c>
      <c r="DT78" s="261">
        <f>DS78+('Balance Sheet'!DT44+'Balance Sheet'!DT45-'Balance Sheet'!DS44-'Balance Sheet'!DS45)/DCF!$B$13</f>
        <v>435757</v>
      </c>
      <c r="DU78" s="261">
        <f>DT78+('Balance Sheet'!DU44+'Balance Sheet'!DU45-'Balance Sheet'!DT44-'Balance Sheet'!DT45)/DCF!$B$13</f>
        <v>435757</v>
      </c>
      <c r="DV78" s="241">
        <f>DU78</f>
        <v>435757</v>
      </c>
      <c r="DW78" s="261">
        <f>DV78+('Balance Sheet'!DW44+'Balance Sheet'!DW45-'Balance Sheet'!DV44-'Balance Sheet'!DV45)/DCF!$B$13</f>
        <v>435757</v>
      </c>
      <c r="DX78" s="261">
        <f>DW78+('Balance Sheet'!DX44+'Balance Sheet'!DX45-'Balance Sheet'!DW44-'Balance Sheet'!DW45)/DCF!$B$13</f>
        <v>435757</v>
      </c>
      <c r="DY78" s="261">
        <f>DX78+('Balance Sheet'!DY44+'Balance Sheet'!DY45-'Balance Sheet'!DX44-'Balance Sheet'!DX45)/DCF!$B$13</f>
        <v>435757</v>
      </c>
      <c r="DZ78" s="261">
        <f>DY78+('Balance Sheet'!DZ44+'Balance Sheet'!DZ45-'Balance Sheet'!DY44-'Balance Sheet'!DY45)/DCF!$B$13</f>
        <v>435757</v>
      </c>
      <c r="EA78" s="241">
        <f>DZ78</f>
        <v>435757</v>
      </c>
      <c r="EB78" s="261">
        <f>EA78+('Balance Sheet'!EB44+'Balance Sheet'!EB45-'Balance Sheet'!EA44-'Balance Sheet'!EA45)/DCF!$B$13</f>
        <v>435757</v>
      </c>
      <c r="EC78" s="261">
        <f>EB78+('Balance Sheet'!EC44+'Balance Sheet'!EC45-'Balance Sheet'!EB44-'Balance Sheet'!EB45)/DCF!$B$13</f>
        <v>435757</v>
      </c>
      <c r="ED78" s="261">
        <f>EC78+('Balance Sheet'!ED44+'Balance Sheet'!ED45-'Balance Sheet'!EC44-'Balance Sheet'!EC45)/DCF!$B$13</f>
        <v>435757</v>
      </c>
      <c r="EE78" s="261">
        <f>ED78+('Balance Sheet'!EE44+'Balance Sheet'!EE45-'Balance Sheet'!ED44-'Balance Sheet'!ED45)/DCF!$B$13</f>
        <v>435757</v>
      </c>
      <c r="EF78" s="241">
        <f>EE78</f>
        <v>435757</v>
      </c>
    </row>
    <row r="79" spans="1:136" s="68" customFormat="1" ht="12.75" customHeight="1">
      <c r="A79" s="78" t="s">
        <v>67</v>
      </c>
      <c r="B79" s="267" t="e">
        <f>B66/AVERAGE(#REF!,B78)</f>
        <v>#REF!</v>
      </c>
      <c r="C79" s="267">
        <f>C66/AVERAGE(B78,C78)</f>
        <v>0.13945049573206653</v>
      </c>
      <c r="D79" s="267">
        <f>D66/AVERAGE(C78,D78)</f>
        <v>0.13747634148481469</v>
      </c>
      <c r="E79" s="267">
        <f>E66/AVERAGE(D78,E78)</f>
        <v>0.11340419398102305</v>
      </c>
      <c r="F79" s="268">
        <f>F66/AVERAGE(B78:E78)</f>
        <v>0.52978152692997083</v>
      </c>
      <c r="G79" s="267">
        <f>G66/AVERAGE(E78,G78)</f>
        <v>0.25380103032050239</v>
      </c>
      <c r="H79" s="267">
        <f>H66/AVERAGE(G78,H78)</f>
        <v>0.1774755263821228</v>
      </c>
      <c r="I79" s="267">
        <f>I66/AVERAGE(H78,I78)</f>
        <v>0.11580790205222463</v>
      </c>
      <c r="J79" s="267">
        <f>J66/AVERAGE(I78,J78)</f>
        <v>7.5007396847598037E-2</v>
      </c>
      <c r="K79" s="268">
        <f>K66/AVERAGE(G78:J78)</f>
        <v>0.51970956676975377</v>
      </c>
      <c r="L79" s="267">
        <f>L66/AVERAGE(J78,L78)</f>
        <v>0.19303418688471677</v>
      </c>
      <c r="M79" s="267">
        <f>M66/AVERAGE(L78,M78)</f>
        <v>0.24529963957178977</v>
      </c>
      <c r="N79" s="267">
        <f>N66/AVERAGE(M78,N78)</f>
        <v>9.5133781880769833E-2</v>
      </c>
      <c r="O79" s="267">
        <f>O66/AVERAGE(N78,O78)</f>
        <v>0.22746559535967589</v>
      </c>
      <c r="P79" s="268">
        <f>P66/AVERAGE(L78:O78)</f>
        <v>0.74248406920270849</v>
      </c>
      <c r="Q79" s="267">
        <f>Q66/AVERAGE(O78,Q78)</f>
        <v>0.12219491808395525</v>
      </c>
      <c r="R79" s="267">
        <f>R66/AVERAGE(Q78,R78)</f>
        <v>0.55613892289851774</v>
      </c>
      <c r="S79" s="267">
        <f>S66/AVERAGE(R78,S78)</f>
        <v>0.2531007392286041</v>
      </c>
      <c r="T79" s="267">
        <f>T66/AVERAGE(S78,T78)</f>
        <v>0.23592330468084388</v>
      </c>
      <c r="U79" s="268">
        <f>U66/AVERAGE(Q78:T78)</f>
        <v>1.1669969950475338</v>
      </c>
      <c r="V79" s="267">
        <f>V66/AVERAGE(U78,V78)</f>
        <v>0.19263808166100085</v>
      </c>
      <c r="W79" s="267">
        <f>W66/AVERAGE(V78,W78)</f>
        <v>0.26438740190248033</v>
      </c>
      <c r="X79" s="267">
        <f>X66/AVERAGE(W78,X78)</f>
        <v>0.21901951660450725</v>
      </c>
      <c r="Y79" s="267">
        <f>Y66/AVERAGE(X78,Y78)</f>
        <v>0.10477150282590698</v>
      </c>
      <c r="Z79" s="268">
        <f>Z66/AVERAGE(V78:Y78)</f>
        <v>0.78076662203432123</v>
      </c>
      <c r="AA79" s="267">
        <f>AA66/AVERAGE(Y78,AA78)</f>
        <v>0.28238009169334732</v>
      </c>
      <c r="AB79" s="267">
        <f>AB66/AVERAGE(AA78,AB78)</f>
        <v>0.43371944749392716</v>
      </c>
      <c r="AC79" s="267">
        <f>AC66/AVERAGE(AB78,AC78)</f>
        <v>0.71654581955272334</v>
      </c>
      <c r="AD79" s="267">
        <f>AD66/AVERAGE(AC78,AD78)</f>
        <v>0.52520573625862899</v>
      </c>
      <c r="AE79" s="268">
        <f>AE66/AVERAGE(AA78:AD78)</f>
        <v>1.9252998016103002</v>
      </c>
      <c r="AF79" s="267">
        <f>AF66/AVERAGE(AD78,AF78)</f>
        <v>0.41250563191282963</v>
      </c>
      <c r="AG79" s="267">
        <f>AG66/AVERAGE(AF78,AG78)</f>
        <v>0.39699881069761622</v>
      </c>
      <c r="AH79" s="267">
        <f>AH66/AVERAGE(AG78,AH78)</f>
        <v>0.41622719239481887</v>
      </c>
      <c r="AI79" s="267">
        <f>AI66/AVERAGE(AH78,AI78)</f>
        <v>0.1951089452866025</v>
      </c>
      <c r="AJ79" s="268">
        <f>AJ66/AVERAGE(AF78:AI78)</f>
        <v>1.4204650111910657</v>
      </c>
      <c r="AK79" s="267">
        <f>AK66/AVERAGE(AI78,AK78)</f>
        <v>0.17536718285522515</v>
      </c>
      <c r="AL79" s="267">
        <f>AL66/AVERAGE(AK78,AL78)</f>
        <v>0.22664567146164311</v>
      </c>
      <c r="AM79" s="267">
        <f>AM66/AVERAGE(AL78,AM78)</f>
        <v>0.35088194388075677</v>
      </c>
      <c r="AN79" s="267">
        <f>AN66/AVERAGE(AM78,AN78)</f>
        <v>0.44012898151314372</v>
      </c>
      <c r="AO79" s="268">
        <f>AO66/AVERAGE(AK78:AN78)</f>
        <v>1.1931149656875535</v>
      </c>
      <c r="AP79" s="267">
        <f>AP66/AVERAGE(AN78,AP78)</f>
        <v>0.28710791306650185</v>
      </c>
      <c r="AQ79" s="267">
        <f>AQ66/AVERAGE(AP78,AQ78)</f>
        <v>0.34736472896358123</v>
      </c>
      <c r="AR79" s="267">
        <f>AR66/AVERAGE(AQ78,AR78)</f>
        <v>0.36574125863922219</v>
      </c>
      <c r="AS79" s="267">
        <f>AS66/AVERAGE(AR78,AS78)</f>
        <v>0.60512101715872335</v>
      </c>
      <c r="AT79" s="268">
        <f>AT66/AVERAGE(AP78:AS78)</f>
        <v>1.605040753038776</v>
      </c>
      <c r="AU79" s="267">
        <f>AU66/AVERAGE(AS78,AU78)</f>
        <v>0.41961600291182627</v>
      </c>
      <c r="AV79" s="267">
        <f>AV66/AVERAGE(AU78,AV78)</f>
        <v>0.44227339710163166</v>
      </c>
      <c r="AW79" s="267">
        <f>AW66/AVERAGE(AV78,AW78)</f>
        <v>0.42130560726578681</v>
      </c>
      <c r="AX79" s="267">
        <f>AX66/AVERAGE(AW78,AX78)</f>
        <v>0.44424628445248621</v>
      </c>
      <c r="AY79" s="268">
        <f>AY66/AVERAGE(AU78:AX78)</f>
        <v>1.7299129924739483</v>
      </c>
      <c r="AZ79" s="267">
        <f>AZ66/AVERAGE(AX78,AZ78)</f>
        <v>0.40309380469263845</v>
      </c>
      <c r="BA79" s="267">
        <f>BA66/AVERAGE(AZ78,BA78)</f>
        <v>0.42342429298291578</v>
      </c>
      <c r="BB79" s="267">
        <f>BB66/AVERAGE(BA78,BB78)</f>
        <v>0.45817965101110603</v>
      </c>
      <c r="BC79" s="267">
        <f>BC66/AVERAGE(BB78,BC78)</f>
        <v>0.38925004313526573</v>
      </c>
      <c r="BD79" s="268">
        <f>BD66/AVERAGE(AZ78:BC78)</f>
        <v>1.6868691762761829</v>
      </c>
      <c r="BE79" s="267">
        <f>BE66/AVERAGE(BC78,BE78)</f>
        <v>0.26405589924269185</v>
      </c>
      <c r="BF79" s="267">
        <f>BF66/AVERAGE(BE78,BF78)</f>
        <v>0.31166121507359978</v>
      </c>
      <c r="BG79" s="267">
        <f>BG66/AVERAGE(BF78,BG78)</f>
        <v>0.34649216028219554</v>
      </c>
      <c r="BH79" s="267">
        <f>BH66/AVERAGE(BG78,BH78)</f>
        <v>0.25867299135118577</v>
      </c>
      <c r="BI79" s="268">
        <f>BI66/AVERAGE(BE78:BH78)</f>
        <v>1.1821956797732045</v>
      </c>
      <c r="BJ79" s="267">
        <f>BJ66/AVERAGE(BH78,BJ78)</f>
        <v>0.16123472262222036</v>
      </c>
      <c r="BK79" s="267">
        <f>BK66/AVERAGE(BJ78,BK78)</f>
        <v>0.11731038717702445</v>
      </c>
      <c r="BL79" s="267">
        <f>BL66/AVERAGE(BK78,BL78)</f>
        <v>3.7871299459618195E-2</v>
      </c>
      <c r="BM79" s="267">
        <f>BM66/AVERAGE(BL78,BM78)</f>
        <v>8.1001355128868177E-2</v>
      </c>
      <c r="BN79" s="268">
        <f>BN66/AVERAGE(BJ78:BM78)</f>
        <v>0.39675548218523271</v>
      </c>
      <c r="BO79" s="267">
        <f>BO66/AVERAGE(BM78,BO78)</f>
        <v>1.0532540972238578E-2</v>
      </c>
      <c r="BP79" s="267">
        <f>BP66/AVERAGE(BO78,BP78)</f>
        <v>-0.36884047547436283</v>
      </c>
      <c r="BQ79" s="267">
        <f>BQ66/AVERAGE(BP78,BQ78)</f>
        <v>-1.7675962468309766E-2</v>
      </c>
      <c r="BR79" s="267">
        <f>BR66/AVERAGE(BQ78,BR78)</f>
        <v>0.12742122406636294</v>
      </c>
      <c r="BS79" s="268">
        <f>BS66/AVERAGE(BO78:BR78)</f>
        <v>-0.24836397122497755</v>
      </c>
      <c r="BT79" s="267">
        <f>BT66/AVERAGE(BR78,BT78)</f>
        <v>-0.13396986696795346</v>
      </c>
      <c r="BU79" s="267">
        <f>BU66/AVERAGE(BT78,BU78)</f>
        <v>-7.4146018402876462E-2</v>
      </c>
      <c r="BV79" s="267">
        <f>BV66/AVERAGE(BU78,BV78)</f>
        <v>-0.31433242137980044</v>
      </c>
      <c r="BW79" s="267">
        <f>BW66/AVERAGE(BV78,BW78)</f>
        <v>0.30222049855150929</v>
      </c>
      <c r="BX79" s="268">
        <f>BX66/AVERAGE(BT78:BW78)</f>
        <v>-0.21977543896212159</v>
      </c>
      <c r="BY79" s="267">
        <f>BY66/AVERAGE(BW78,BY78)</f>
        <v>0.12597109768680009</v>
      </c>
      <c r="BZ79" s="267">
        <f>BZ66/AVERAGE(BY78,BZ78)</f>
        <v>0.29614723722087016</v>
      </c>
      <c r="CA79" s="267">
        <f>CA66/AVERAGE(BZ78,CA78)</f>
        <v>0.27153373913948287</v>
      </c>
      <c r="CB79" s="267">
        <f>CB66/AVERAGE(CA78,CB78)</f>
        <v>0.38814911543674091</v>
      </c>
      <c r="CC79" s="268">
        <f>CC66/AVERAGE(BY78:CB78)</f>
        <v>1.0817786108074325</v>
      </c>
      <c r="CD79" s="267">
        <f>CD66/AVERAGE(CB78,CD78)</f>
        <v>7.2666592096809021E-2</v>
      </c>
      <c r="CE79" s="267">
        <f>CE66/AVERAGE(CD78,CE78)</f>
        <v>0.17639499827015273</v>
      </c>
      <c r="CF79" s="267">
        <f>CF66/AVERAGE(CE78,CF78)</f>
        <v>3.6499529866789087</v>
      </c>
      <c r="CG79" s="267">
        <f>CG66/AVERAGE(CF78,CG78)</f>
        <v>0.67939735347356589</v>
      </c>
      <c r="CH79" s="268">
        <f>CH66/AVERAGE(CD78:CG78)</f>
        <v>4.5784550239228228</v>
      </c>
      <c r="CI79" s="267">
        <f>CI66/AVERAGE(CG78,CI78)</f>
        <v>0.50008582485487796</v>
      </c>
      <c r="CJ79" s="267">
        <f>CJ66/AVERAGE(CH78,CJ78)</f>
        <v>0.69433347897551134</v>
      </c>
      <c r="CK79" s="267">
        <f>CK66/AVERAGE(CI78,CK78)</f>
        <v>0.61780111520296277</v>
      </c>
      <c r="CL79" s="267">
        <f>CL66/AVERAGE(CK78,CL78)</f>
        <v>0.56579125314691137</v>
      </c>
      <c r="CM79" s="268">
        <f>CM66/AVERAGE(CI78:CL78)</f>
        <v>2.3780116721802633</v>
      </c>
      <c r="CN79" s="267">
        <f>CN66/AVERAGE(CL78,CN78)</f>
        <v>0.38429428088115103</v>
      </c>
      <c r="CO79" s="267">
        <f>CO66/AVERAGE(CM78,CO78)</f>
        <v>0.35898534629800899</v>
      </c>
      <c r="CP79" s="267">
        <f>CP66/AVERAGE(CN78,CP78)</f>
        <v>0.63499271237246657</v>
      </c>
      <c r="CQ79" s="267">
        <f>CQ66/AVERAGE(CP78,CQ78)</f>
        <v>0.46140961588444768</v>
      </c>
      <c r="CR79" s="268">
        <f>CR66/AVERAGE(CN78:CQ78)</f>
        <v>1.7843948178693172</v>
      </c>
      <c r="CS79" s="267">
        <f>CS66/AVERAGE(CQ78,CS78)</f>
        <v>0.36502233746758722</v>
      </c>
      <c r="CT79" s="267">
        <f>CT66/AVERAGE(CR78,CT78)</f>
        <v>0.62345188629983528</v>
      </c>
      <c r="CU79" s="267">
        <f>CU66/AVERAGE(CT78,CU78)</f>
        <v>0.5613294886771002</v>
      </c>
      <c r="CV79" s="267">
        <f>CV66/AVERAGE(CU78,CV78)</f>
        <v>0.55349201846685769</v>
      </c>
      <c r="CW79" s="268">
        <f>CW66/AVERAGE(CS78:CV78)</f>
        <v>2.1041898861121098</v>
      </c>
      <c r="CX79" s="267">
        <f>CX66/AVERAGE(CV78,CX78)</f>
        <v>0.59692978439697941</v>
      </c>
      <c r="CY79" s="267">
        <f>CY66/AVERAGE(CX78,CY78)</f>
        <v>0.92022710571985677</v>
      </c>
      <c r="CZ79" s="267">
        <f>CZ66/AVERAGE(CY78,CZ78)</f>
        <v>1.0566870886109876</v>
      </c>
      <c r="DA79" s="267">
        <f>DA66/AVERAGE(CZ78,DA78)</f>
        <v>1.1002086850185424</v>
      </c>
      <c r="DB79" s="268">
        <f>1300000/AVERAGE(CX78:DA78)</f>
        <v>2.8917195610369708</v>
      </c>
      <c r="DC79" s="267">
        <f>DC66/AVERAGE(DA78,DC78)</f>
        <v>0.73280503161534627</v>
      </c>
      <c r="DD79" s="267">
        <f>DD66/AVERAGE(DC78,DD78)</f>
        <v>0.88316393804755522</v>
      </c>
      <c r="DE79" s="267">
        <f>DE66/AVERAGE(DD78,DE78)</f>
        <v>1.3871549562639058</v>
      </c>
      <c r="DF79" s="267">
        <f>DF66/AVERAGE(DE78,DF78)</f>
        <v>1.5535980651816967</v>
      </c>
      <c r="DG79" s="268">
        <f>DG66/AVERAGE(DC78:DF78)</f>
        <v>4.5700426543630197</v>
      </c>
      <c r="DH79" s="267">
        <f>DH66/AVERAGE(DG78,DH78)</f>
        <v>0.67844749150729022</v>
      </c>
      <c r="DI79" s="267">
        <f>DI66/AVERAGE(DH78,DI78)</f>
        <v>1.0363023428195073</v>
      </c>
      <c r="DJ79" s="267">
        <f ca="1">DJ66/AVERAGE(DI78,DJ78)</f>
        <v>1.2037215264421126</v>
      </c>
      <c r="DK79" s="267">
        <f ca="1">DK66/AVERAGE(DJ78,DK78)</f>
        <v>1.4163582922890547</v>
      </c>
      <c r="DL79" s="268">
        <f ca="1">DL66/AVERAGE(DH78:DK78)</f>
        <v>4.3374406413915034</v>
      </c>
      <c r="DM79" s="267">
        <f ca="1">DM66/AVERAGE(DK78,DM78)</f>
        <v>1.2338458942783743</v>
      </c>
      <c r="DN79" s="267">
        <f ca="1">DN66/AVERAGE(DM78,DN78)</f>
        <v>1.2751359739512313</v>
      </c>
      <c r="DO79" s="267">
        <f ca="1">DO66/AVERAGE(DN78,DO78)</f>
        <v>1.255624864488166</v>
      </c>
      <c r="DP79" s="267">
        <f ca="1">DP66/AVERAGE(DO78,DP78)</f>
        <v>1.3247803362331354</v>
      </c>
      <c r="DQ79" s="268">
        <f ca="1">DQ66/AVERAGE(DM78:DP78)</f>
        <v>5.0893870689509066</v>
      </c>
      <c r="DR79" s="267">
        <f ca="1">DR66/AVERAGE(DP78,DR78)</f>
        <v>1.4032440137256283</v>
      </c>
      <c r="DS79" s="267">
        <f ca="1">DS66/AVERAGE(DR78,DS78)</f>
        <v>1.3031402192877586</v>
      </c>
      <c r="DT79" s="267">
        <f ca="1">DT66/AVERAGE(DS78,DT78)</f>
        <v>1.288947430501957</v>
      </c>
      <c r="DU79" s="267">
        <f ca="1">DU66/AVERAGE(DT78,DU78)</f>
        <v>1.4224318229901958</v>
      </c>
      <c r="DV79" s="268">
        <f ca="1">DV66/AVERAGE(DR78:DU78)</f>
        <v>5.4177634865055397</v>
      </c>
      <c r="DW79" s="267">
        <f ca="1">DW66/AVERAGE(DU78,DW78)</f>
        <v>1.4817153265248761</v>
      </c>
      <c r="DX79" s="267">
        <f ca="1">DX66/AVERAGE(DW78,DX78)</f>
        <v>1.3596043656869721</v>
      </c>
      <c r="DY79" s="267">
        <f ca="1">DY66/AVERAGE(DX78,DY78)</f>
        <v>1.333039789496012</v>
      </c>
      <c r="DZ79" s="267">
        <f ca="1">DZ66/AVERAGE(DY78,DZ78)</f>
        <v>1.5016809055489813</v>
      </c>
      <c r="EA79" s="268">
        <f ca="1">EA66/AVERAGE(DW78:DZ78)</f>
        <v>5.6760403872568412</v>
      </c>
      <c r="EB79" s="267">
        <f ca="1">EB66/AVERAGE(DZ78,EB78)</f>
        <v>1.6067848496345927</v>
      </c>
      <c r="EC79" s="267">
        <f ca="1">EC66/AVERAGE(EB78,EC78)</f>
        <v>1.5014985774812435</v>
      </c>
      <c r="ED79" s="267">
        <f ca="1">ED66/AVERAGE(EC78,ED78)</f>
        <v>1.4801957534743546</v>
      </c>
      <c r="EE79" s="267">
        <f ca="1">EE66/AVERAGE(ED78,EE78)</f>
        <v>1.6478965375583594</v>
      </c>
      <c r="EF79" s="268">
        <f ca="1">EF66/AVERAGE(EB78:EE78)</f>
        <v>6.2363757181485493</v>
      </c>
    </row>
    <row r="80" spans="1:136" s="68" customFormat="1" ht="12.75" customHeight="1">
      <c r="A80" s="78" t="s">
        <v>160</v>
      </c>
      <c r="B80" s="267" t="e">
        <f>B67/AVERAGE(#REF!,B78)</f>
        <v>#REF!</v>
      </c>
      <c r="C80" s="267">
        <f>C67/AVERAGE(B78,C78)</f>
        <v>0.13945049573206653</v>
      </c>
      <c r="D80" s="267">
        <f>D67/AVERAGE(C78,D78)</f>
        <v>0.13747634148481469</v>
      </c>
      <c r="E80" s="267">
        <f>E67/AVERAGE(D78,E78)</f>
        <v>0.11340419398102305</v>
      </c>
      <c r="F80" s="268">
        <f>F67/AVERAGE(B78:E78)</f>
        <v>0.52978152692997083</v>
      </c>
      <c r="G80" s="267">
        <f>G67/AVERAGE(E78,G78)</f>
        <v>0.25380103032050239</v>
      </c>
      <c r="H80" s="267">
        <f>H67/AVERAGE(G78,H78)</f>
        <v>0.1774755263821228</v>
      </c>
      <c r="I80" s="267">
        <f>I67/AVERAGE(H78,I78)</f>
        <v>0.21350503562151571</v>
      </c>
      <c r="J80" s="267">
        <f>J67/AVERAGE(I78,J78)</f>
        <v>7.5007396847598037E-2</v>
      </c>
      <c r="K80" s="268">
        <f>K67/AVERAGE(G78:J78)</f>
        <v>0.6243257146458947</v>
      </c>
      <c r="L80" s="267">
        <f>L67/AVERAGE(J78,L78)</f>
        <v>0.19303418688471677</v>
      </c>
      <c r="M80" s="267">
        <f>M67/AVERAGE(L78,M78)</f>
        <v>0.24904513421916186</v>
      </c>
      <c r="N80" s="267">
        <f>N67/AVERAGE(M78,N78)</f>
        <v>0.1556140528500557</v>
      </c>
      <c r="O80" s="267">
        <f>O67/AVERAGE(N78,O78)</f>
        <v>0.22746559535967589</v>
      </c>
      <c r="P80" s="268">
        <f>P67/AVERAGE(L78:O78)</f>
        <v>0.80638213664436198</v>
      </c>
      <c r="Q80" s="267">
        <f>Q67/AVERAGE(O78,Q78)</f>
        <v>0.12219491808395525</v>
      </c>
      <c r="R80" s="267">
        <f>R67/AVERAGE(Q78,R78)</f>
        <v>0.23817223870041251</v>
      </c>
      <c r="S80" s="267">
        <f>S67/AVERAGE(R78,S78)</f>
        <v>0.2531007392286041</v>
      </c>
      <c r="T80" s="267">
        <f>T67/AVERAGE(S78,T78)</f>
        <v>0.23592330468084388</v>
      </c>
      <c r="U80" s="268">
        <f>U67/AVERAGE(Q78:T78)</f>
        <v>0.84929482748767227</v>
      </c>
      <c r="V80" s="267">
        <f>V67/AVERAGE(U78,V78)</f>
        <v>0.19263808166100085</v>
      </c>
      <c r="W80" s="267">
        <f>W67/AVERAGE(V78,W78)</f>
        <v>0.26438740190248033</v>
      </c>
      <c r="X80" s="267">
        <f>X67/AVERAGE(W78,X78)</f>
        <v>0.21901951660450725</v>
      </c>
      <c r="Y80" s="267">
        <f>Y67/AVERAGE(X78,Y78)</f>
        <v>0.10477150282590698</v>
      </c>
      <c r="Z80" s="268">
        <f>Z67/AVERAGE(V78:Y78)</f>
        <v>0.78076662203432123</v>
      </c>
      <c r="AA80" s="267">
        <f>AA67/AVERAGE(Y78,AA78)</f>
        <v>0.28238009169334732</v>
      </c>
      <c r="AB80" s="267">
        <f>AB67/AVERAGE(AA78,AB78)</f>
        <v>0.43371944749392716</v>
      </c>
      <c r="AC80" s="267">
        <f>AC67/AVERAGE(AB78,AC78)</f>
        <v>0.49778070699370208</v>
      </c>
      <c r="AD80" s="267">
        <f>AD67/AVERAGE(AC78,AD78)</f>
        <v>0.52520573625862899</v>
      </c>
      <c r="AE80" s="268">
        <f>AE67/AVERAGE(AA78:AD78)</f>
        <v>1.7124513935046584</v>
      </c>
      <c r="AF80" s="267">
        <f>AF67/AVERAGE(AD78,AF78)</f>
        <v>0.41250563191282963</v>
      </c>
      <c r="AG80" s="267">
        <f>AG67/AVERAGE(AF78,AG78)</f>
        <v>0.39699881069761622</v>
      </c>
      <c r="AH80" s="267">
        <f>AH67/AVERAGE(AG78,AH78)</f>
        <v>0.41622719239481887</v>
      </c>
      <c r="AI80" s="267">
        <f>AI67/AVERAGE(AH78,AI78)</f>
        <v>0.1951089452866025</v>
      </c>
      <c r="AJ80" s="268">
        <f>AJ67/AVERAGE(AF78:AI78)</f>
        <v>1.4204650111910657</v>
      </c>
      <c r="AK80" s="267">
        <f>AK67/AVERAGE(AI78,AK78)</f>
        <v>0.17536718285522515</v>
      </c>
      <c r="AL80" s="267">
        <f>AL67/AVERAGE(AK78,AL78)</f>
        <v>0.22664567146164311</v>
      </c>
      <c r="AM80" s="267">
        <f>AM67/AVERAGE(AL78,AM78)</f>
        <v>0.35088194388075677</v>
      </c>
      <c r="AN80" s="267">
        <f>AN67/AVERAGE(AM78,AN78)</f>
        <v>0.5280261596368504</v>
      </c>
      <c r="AO80" s="268">
        <f>AO67/AVERAGE(AK78:AN78)</f>
        <v>1.2798615327442533</v>
      </c>
      <c r="AP80" s="267">
        <f>AP67/AVERAGE(AN78,AP78)</f>
        <v>0.3309389516497549</v>
      </c>
      <c r="AQ80" s="267">
        <f>AQ67/AVERAGE(AP78,AQ78)</f>
        <v>0.34736472896358123</v>
      </c>
      <c r="AR80" s="267">
        <f>AR67/AVERAGE(AQ78,AR78)</f>
        <v>0.36574125863922219</v>
      </c>
      <c r="AS80" s="267">
        <f>AS67/AVERAGE(AR78,AS78)</f>
        <v>0.60512101715872335</v>
      </c>
      <c r="AT80" s="268">
        <f>AT67/AVERAGE(AP78:AS78)</f>
        <v>1.6488047780069619</v>
      </c>
      <c r="AU80" s="267">
        <f>AU67/AVERAGE(AS78,AU78)</f>
        <v>0.41961600291182627</v>
      </c>
      <c r="AV80" s="267">
        <f>AV67/AVERAGE(AU78,AV78)</f>
        <v>0.45679185611239226</v>
      </c>
      <c r="AW80" s="267">
        <f>AW67/AVERAGE(AV78,AW78)</f>
        <v>0.42130560726578681</v>
      </c>
      <c r="AX80" s="267">
        <f>AX67/AVERAGE(AW78,AX78)</f>
        <v>0.44424628445248621</v>
      </c>
      <c r="AY80" s="268">
        <f>AY67/AVERAGE(AU78:AX78)</f>
        <v>1.7444738959615071</v>
      </c>
      <c r="AZ80" s="267">
        <f>AZ67/AVERAGE(AX78,AZ78)</f>
        <v>0.40309380469263845</v>
      </c>
      <c r="BA80" s="267">
        <f>BA67/AVERAGE(AZ78,BA78)</f>
        <v>0.42342429298291578</v>
      </c>
      <c r="BB80" s="267">
        <f>BB67/AVERAGE(BA78,BB78)</f>
        <v>0.45817965101110603</v>
      </c>
      <c r="BC80" s="267">
        <f>BC67/AVERAGE(BB78,BC78)</f>
        <v>0.38925004313526573</v>
      </c>
      <c r="BD80" s="268">
        <f>BD67/AVERAGE(AZ78:BC78)</f>
        <v>1.6868691762761829</v>
      </c>
      <c r="BE80" s="267">
        <f>BE67/AVERAGE(BC78,BE78)</f>
        <v>0.26405589924269185</v>
      </c>
      <c r="BF80" s="267">
        <f>BF67/AVERAGE(BE78,BF78)</f>
        <v>0.31166121507359978</v>
      </c>
      <c r="BG80" s="267">
        <f>BG67/AVERAGE(BF78,BG78)</f>
        <v>0.34649216028219554</v>
      </c>
      <c r="BH80" s="267">
        <f>BH67/AVERAGE(BG78,BH78)</f>
        <v>0.25867299135118577</v>
      </c>
      <c r="BI80" s="268">
        <f>BI67/AVERAGE(BE78:BH78)</f>
        <v>1.1821956797732045</v>
      </c>
      <c r="BJ80" s="267">
        <f>BJ67/AVERAGE(BH78,BJ78)</f>
        <v>0.16123472262222036</v>
      </c>
      <c r="BK80" s="267">
        <f>BK67/AVERAGE(BJ78,BK78)</f>
        <v>0.11731038717702445</v>
      </c>
      <c r="BL80" s="267">
        <f>BL67/AVERAGE(BK78,BL78)</f>
        <v>3.7871299459618195E-2</v>
      </c>
      <c r="BM80" s="267">
        <f>BM67/AVERAGE(BL78,BM78)</f>
        <v>8.1001355128868177E-2</v>
      </c>
      <c r="BN80" s="268">
        <f>BN67/AVERAGE(BJ78:BM78)</f>
        <v>0.39675548218523271</v>
      </c>
      <c r="BO80" s="267">
        <f>BO67/AVERAGE(BM78,BO78)</f>
        <v>1.0532540972238578E-2</v>
      </c>
      <c r="BP80" s="267">
        <f>BP67/AVERAGE(BO78,BP78)</f>
        <v>-0.36884047547436283</v>
      </c>
      <c r="BQ80" s="267">
        <f>BQ67/AVERAGE(BP78,BQ78)</f>
        <v>-1.7675962468309766E-2</v>
      </c>
      <c r="BR80" s="267">
        <f>BR67/AVERAGE(BQ78,BR78)</f>
        <v>0.12742122406636294</v>
      </c>
      <c r="BS80" s="268">
        <f>BS67/AVERAGE(BO78:BR78)</f>
        <v>-0.24836397122497755</v>
      </c>
      <c r="BT80" s="267">
        <f>BT67/AVERAGE(BR78,BT78)</f>
        <v>-0.13396986696795346</v>
      </c>
      <c r="BU80" s="267">
        <f>BU67/AVERAGE(BT78,BU78)</f>
        <v>-7.4146018402876462E-2</v>
      </c>
      <c r="BV80" s="267">
        <f>BV67/AVERAGE(BU78,BV78)</f>
        <v>-0.31433242137980044</v>
      </c>
      <c r="BW80" s="267">
        <f>BW67/AVERAGE(BV78,BW78)</f>
        <v>0.25016332936831226</v>
      </c>
      <c r="BX80" s="268">
        <f>BX67/AVERAGE(BT78:BW78)</f>
        <v>-0.27187776793622676</v>
      </c>
      <c r="BY80" s="267">
        <f>BY67/AVERAGE(BW78,BY78)</f>
        <v>0.12597109768680009</v>
      </c>
      <c r="BZ80" s="267">
        <f>BZ67/AVERAGE(BY78,BZ78)</f>
        <v>0.29614723722087016</v>
      </c>
      <c r="CA80" s="267">
        <f>CA67/AVERAGE(BZ78,CA78)</f>
        <v>0.27153373913948287</v>
      </c>
      <c r="CB80" s="267">
        <f>CB67/AVERAGE(CA78,CB78)</f>
        <v>0.38814911543674091</v>
      </c>
      <c r="CC80" s="268">
        <f>CC67/AVERAGE(BY78:CB78)</f>
        <v>1.0817786108074325</v>
      </c>
      <c r="CD80" s="267">
        <f>CD67/AVERAGE(CB78,CD78)</f>
        <v>7.2666592096809021E-2</v>
      </c>
      <c r="CE80" s="267">
        <f>CE67/AVERAGE(CD78,CE78)</f>
        <v>0.17639499827015273</v>
      </c>
      <c r="CF80" s="267">
        <f>CF67/AVERAGE(CE78,CF78)</f>
        <v>0.65098428857725854</v>
      </c>
      <c r="CG80" s="267">
        <f>CG67/AVERAGE(CF78,CG78)</f>
        <v>0.67939735347356589</v>
      </c>
      <c r="CH80" s="268">
        <f>CH67/AVERAGE(CD78:CG78)</f>
        <v>1.5794863258211724</v>
      </c>
      <c r="CI80" s="267">
        <f>CI67/AVERAGE(CG78,CI78)</f>
        <v>0.50008582485487796</v>
      </c>
      <c r="CJ80" s="267">
        <f>CJ67/AVERAGE(CH78,CJ78)</f>
        <v>0.69433347897551134</v>
      </c>
      <c r="CK80" s="267">
        <f>CK67/AVERAGE(CI78,CK78)</f>
        <v>0.61780111520296277</v>
      </c>
      <c r="CL80" s="267">
        <f>CL67/AVERAGE(CK78,CL78)</f>
        <v>0.56579125314691137</v>
      </c>
      <c r="CM80" s="268">
        <f>CM67/AVERAGE(CI78:CL78)</f>
        <v>2.3780116721802633</v>
      </c>
      <c r="CN80" s="267">
        <f>CN67/AVERAGE(CL78,CN78)</f>
        <v>0.38429428088115103</v>
      </c>
      <c r="CO80" s="267">
        <f>CO67/AVERAGE(CM78,CO78)</f>
        <v>0.35898534629800899</v>
      </c>
      <c r="CP80" s="267">
        <f>CP67/AVERAGE(CN78,CP78)</f>
        <v>0.63499271237246657</v>
      </c>
      <c r="CQ80" s="267">
        <f>CQ67/AVERAGE(CP78,CQ78)</f>
        <v>0.46140961588444768</v>
      </c>
      <c r="CR80" s="268">
        <f>CR67/AVERAGE(CN78:CQ78)</f>
        <v>1.7843948178693172</v>
      </c>
      <c r="CS80" s="267">
        <f>CS67/AVERAGE(CQ78,CS78)</f>
        <v>0.36502233746758722</v>
      </c>
      <c r="CT80" s="267">
        <f>CT67/AVERAGE(CR78,CT78)</f>
        <v>0.62345188629983528</v>
      </c>
      <c r="CU80" s="267">
        <f>CU67/AVERAGE(CT78,CU78)</f>
        <v>0.5613294886771002</v>
      </c>
      <c r="CV80" s="267">
        <f>CV67/AVERAGE(CU78,CV78)</f>
        <v>0.55349201846685769</v>
      </c>
      <c r="CW80" s="268">
        <f>CW67/AVERAGE(CS78:CV78)</f>
        <v>2.1041898861121098</v>
      </c>
      <c r="CX80" s="267">
        <f>CX67/AVERAGE(CV78,CX78)</f>
        <v>0.59692978439697941</v>
      </c>
      <c r="CY80" s="267">
        <f>CY67/AVERAGE(CX78,CY78)</f>
        <v>0.92022710571985677</v>
      </c>
      <c r="CZ80" s="267">
        <f>CZ67/AVERAGE(CY78,CZ78)</f>
        <v>1.0566870886109876</v>
      </c>
      <c r="DA80" s="267">
        <f>DA67/AVERAGE(CZ78,DA78)</f>
        <v>1.1002086850185424</v>
      </c>
      <c r="DB80" s="268">
        <f>DB67/AVERAGE(CX78:DA78)</f>
        <v>3.6680261455936312</v>
      </c>
      <c r="DC80" s="267">
        <f>DC67/AVERAGE(DA78,DC78)</f>
        <v>0.73280503161534627</v>
      </c>
      <c r="DD80" s="267">
        <f>DD67/AVERAGE(DC78,DD78)</f>
        <v>0.88316393804755522</v>
      </c>
      <c r="DE80" s="267">
        <f>DE67/AVERAGE(DD78,DE78)</f>
        <v>0.90208398332084594</v>
      </c>
      <c r="DF80" s="267">
        <f>DF67/AVERAGE(DE78,DF78)</f>
        <v>1.5535980651816967</v>
      </c>
      <c r="DG80" s="268">
        <f>DG67/AVERAGE(DC78:DF78)</f>
        <v>4.0849716814199599</v>
      </c>
      <c r="DH80" s="267">
        <f>DH67/AVERAGE(DG78,DH78)</f>
        <v>0.67844749150729022</v>
      </c>
      <c r="DI80" s="267">
        <f>DI67/AVERAGE(DH78,DI78)</f>
        <v>1.0363023428195073</v>
      </c>
      <c r="DJ80" s="267">
        <f ca="1">DJ67/AVERAGE(DI78,DJ78)</f>
        <v>1.2037215264421126</v>
      </c>
      <c r="DK80" s="267">
        <f ca="1">DK67/AVERAGE(DJ78,DK78)</f>
        <v>1.4163582922890547</v>
      </c>
      <c r="DL80" s="268">
        <f ca="1">DL67/AVERAGE(DH78:DK78)</f>
        <v>4.3374406413915034</v>
      </c>
      <c r="DM80" s="267">
        <f ca="1">DM67/AVERAGE(DK78,DM78)</f>
        <v>1.2338458942783743</v>
      </c>
      <c r="DN80" s="267">
        <f ca="1">DN67/AVERAGE(DM78,DN78)</f>
        <v>1.2751359739512313</v>
      </c>
      <c r="DO80" s="267">
        <f ca="1">DO67/AVERAGE(DN78,DO78)</f>
        <v>1.255624864488166</v>
      </c>
      <c r="DP80" s="267">
        <f ca="1">DP67/AVERAGE(DO78,DP78)</f>
        <v>1.3247803362331354</v>
      </c>
      <c r="DQ80" s="268">
        <f ca="1">DQ67/AVERAGE(DM78:DP78)</f>
        <v>5.0893870689509066</v>
      </c>
      <c r="DR80" s="267">
        <f ca="1">DR67/AVERAGE(DP78,DR78)</f>
        <v>1.4032440137256283</v>
      </c>
      <c r="DS80" s="267">
        <f ca="1">DS67/AVERAGE(DR78,DS78)</f>
        <v>1.3031402192877586</v>
      </c>
      <c r="DT80" s="267">
        <f ca="1">DT67/AVERAGE(DS78,DT78)</f>
        <v>1.288947430501957</v>
      </c>
      <c r="DU80" s="267">
        <f ca="1">DU67/AVERAGE(DT78,DU78)</f>
        <v>1.4224318229901958</v>
      </c>
      <c r="DV80" s="268">
        <f ca="1">DV67/AVERAGE(DR78:DU78)</f>
        <v>5.4177634865055397</v>
      </c>
      <c r="DW80" s="267">
        <f ca="1">DW67/AVERAGE(DU78,DW78)</f>
        <v>1.4817153265248761</v>
      </c>
      <c r="DX80" s="267">
        <f ca="1">DX67/AVERAGE(DW78,DX78)</f>
        <v>1.3596043656869721</v>
      </c>
      <c r="DY80" s="267">
        <f ca="1">DY67/AVERAGE(DX78,DY78)</f>
        <v>1.333039789496012</v>
      </c>
      <c r="DZ80" s="267">
        <f ca="1">DZ67/AVERAGE(DY78,DZ78)</f>
        <v>1.5016809055489813</v>
      </c>
      <c r="EA80" s="268">
        <f ca="1">EA67/AVERAGE(DW78:DZ78)</f>
        <v>5.6760403872568412</v>
      </c>
      <c r="EB80" s="267">
        <f ca="1">EB67/AVERAGE(DZ78,EB78)</f>
        <v>1.6067848496345927</v>
      </c>
      <c r="EC80" s="267">
        <f ca="1">EC67/AVERAGE(EB78,EC78)</f>
        <v>1.5014985774812435</v>
      </c>
      <c r="ED80" s="267">
        <f ca="1">ED67/AVERAGE(EC78,ED78)</f>
        <v>1.4801957534743546</v>
      </c>
      <c r="EE80" s="267">
        <f ca="1">EE67/AVERAGE(ED78,EE78)</f>
        <v>1.6478965375583594</v>
      </c>
      <c r="EF80" s="268">
        <f ca="1">EF67/AVERAGE(EB78:EE78)</f>
        <v>6.2363757181485493</v>
      </c>
    </row>
    <row r="81" spans="1:136" s="68" customFormat="1" ht="12.75" customHeight="1">
      <c r="A81" s="78" t="s">
        <v>97</v>
      </c>
      <c r="B81" s="267" t="e">
        <f>B49/AVERAGE(#REF!,B78)</f>
        <v>#REF!</v>
      </c>
      <c r="C81" s="267">
        <f>C49/AVERAGE(B78,C78)</f>
        <v>0</v>
      </c>
      <c r="D81" s="267">
        <f>D49/AVERAGE(C78,D78)</f>
        <v>0</v>
      </c>
      <c r="E81" s="267">
        <f>E49/AVERAGE(D78,E78)</f>
        <v>0</v>
      </c>
      <c r="F81" s="268">
        <f>F49/AVERAGE(B78:E78)</f>
        <v>0</v>
      </c>
      <c r="G81" s="267">
        <f>G49/AVERAGE(E78,G78)</f>
        <v>0</v>
      </c>
      <c r="H81" s="267">
        <f>H49/AVERAGE(G78,H78)</f>
        <v>0</v>
      </c>
      <c r="I81" s="267">
        <f>I49/AVERAGE(H78,I78)</f>
        <v>0</v>
      </c>
      <c r="J81" s="267">
        <f>J49/AVERAGE(I78,J78)</f>
        <v>0</v>
      </c>
      <c r="K81" s="268">
        <f>K49/AVERAGE(G78:J78)</f>
        <v>0</v>
      </c>
      <c r="L81" s="267">
        <f>L49/AVERAGE(J78,L78)</f>
        <v>0</v>
      </c>
      <c r="M81" s="267">
        <f>M49/AVERAGE(L78,M78)</f>
        <v>9.0276999999999996E-2</v>
      </c>
      <c r="N81" s="267">
        <f>N49/AVERAGE(M78,N78)</f>
        <v>0</v>
      </c>
      <c r="O81" s="267">
        <f>O49/AVERAGE(N78,O78)</f>
        <v>8.5152000000000005E-2</v>
      </c>
      <c r="P81" s="268">
        <f>P49/AVERAGE(L78:O78)</f>
        <v>0.17498060711601179</v>
      </c>
      <c r="Q81" s="267">
        <f>Q49/AVERAGE(O78,Q78)</f>
        <v>0</v>
      </c>
      <c r="R81" s="267">
        <f>R49/AVERAGE(Q78,R78)</f>
        <v>0.16899038967426358</v>
      </c>
      <c r="S81" s="267">
        <f>S49/AVERAGE(R78,S78)</f>
        <v>0</v>
      </c>
      <c r="T81" s="267">
        <f>T49/AVERAGE(S78,T78)</f>
        <v>4.0979527107392007E-2</v>
      </c>
      <c r="U81" s="268">
        <f>U49/AVERAGE(Q78:T78)</f>
        <v>0.20986342448322418</v>
      </c>
      <c r="V81" s="267">
        <f>V49/AVERAGE(U78,V78)</f>
        <v>0</v>
      </c>
      <c r="W81" s="267">
        <f>W49/AVERAGE(V78,W78)</f>
        <v>0</v>
      </c>
      <c r="X81" s="267">
        <f>X49/AVERAGE(W78,X78)</f>
        <v>0</v>
      </c>
      <c r="Y81" s="267">
        <f>Y49/AVERAGE(X78,Y78)</f>
        <v>0.18540929618681767</v>
      </c>
      <c r="Z81" s="268">
        <f>Z49/AVERAGE(V78:Y78)</f>
        <v>0.185431580723044</v>
      </c>
      <c r="AA81" s="267">
        <f>AA49/AVERAGE(Y78,AA78)</f>
        <v>0</v>
      </c>
      <c r="AB81" s="267">
        <f>AB49/AVERAGE(AA78,AB78)</f>
        <v>0</v>
      </c>
      <c r="AC81" s="267">
        <f>AC49/AVERAGE(AB78,AC78)</f>
        <v>0</v>
      </c>
      <c r="AD81" s="267">
        <f>AD49/AVERAGE(AC78,AD78)</f>
        <v>0.50227473077675022</v>
      </c>
      <c r="AE81" s="268">
        <f>AE49/AVERAGE(AA78:AD78)</f>
        <v>0.52438344861350628</v>
      </c>
      <c r="AF81" s="267">
        <f>AF49/AVERAGE(AD78,AF78)</f>
        <v>0</v>
      </c>
      <c r="AG81" s="267">
        <f>AG49/AVERAGE(AF78,AG78)</f>
        <v>0</v>
      </c>
      <c r="AH81" s="267">
        <f>AH49/AVERAGE(AG78,AH78)</f>
        <v>0</v>
      </c>
      <c r="AI81" s="267">
        <f>AI49/AVERAGE(AH78,AI78)</f>
        <v>0.33703967393442996</v>
      </c>
      <c r="AJ81" s="268">
        <f>AJ49/AVERAGE(AF78:AI78)</f>
        <v>0.33716632455600148</v>
      </c>
      <c r="AK81" s="267">
        <f>AK49/AVERAGE(AI78,AK78)</f>
        <v>0</v>
      </c>
      <c r="AL81" s="267">
        <f>AL49/AVERAGE(AK78,AL78)</f>
        <v>0</v>
      </c>
      <c r="AM81" s="267">
        <f>AM49/AVERAGE(AL78,AM78)</f>
        <v>0</v>
      </c>
      <c r="AN81" s="267">
        <f>AN49/AVERAGE(AM78,AN78)</f>
        <v>0.28712188375776804</v>
      </c>
      <c r="AO81" s="268">
        <f>AO49/AVERAGE(AK78:AN78)</f>
        <v>0.28336333741892422</v>
      </c>
      <c r="AP81" s="267">
        <f>AP49/AVERAGE(AN78,AP78)</f>
        <v>0</v>
      </c>
      <c r="AQ81" s="267">
        <f>AQ49/AVERAGE(AP78,AQ78)</f>
        <v>0</v>
      </c>
      <c r="AR81" s="267">
        <f>AR49/AVERAGE(AQ78,AR78)</f>
        <v>0</v>
      </c>
      <c r="AS81" s="267">
        <f>AS49/AVERAGE(AR78,AS78)</f>
        <v>0.3809438208797869</v>
      </c>
      <c r="AT81" s="268">
        <f>AT49/AVERAGE(AP78:AS78)</f>
        <v>0.38127704819227626</v>
      </c>
      <c r="AU81" s="267">
        <f>AU49/AVERAGE(AS78,AU78)</f>
        <v>0.12132609420971216</v>
      </c>
      <c r="AV81" s="267">
        <f>AV49/AVERAGE(AU78,AV78)</f>
        <v>0</v>
      </c>
      <c r="AW81" s="267">
        <f>AW49/AVERAGE(AV78,AW78)</f>
        <v>0</v>
      </c>
      <c r="AX81" s="267">
        <f>AX49/AVERAGE(AW78,AX78)</f>
        <v>0.41577900629995512</v>
      </c>
      <c r="AY81" s="268">
        <f>AY49/AVERAGE(AU78:AX78)</f>
        <v>0.53590434559061895</v>
      </c>
      <c r="AZ81" s="267">
        <f>AZ49/AVERAGE(AX78,AZ78)</f>
        <v>0</v>
      </c>
      <c r="BA81" s="267">
        <f>BA49/AVERAGE(AZ78,BA78)</f>
        <v>0</v>
      </c>
      <c r="BB81" s="267">
        <f>BB49/AVERAGE(BA78,BB78)</f>
        <v>0</v>
      </c>
      <c r="BC81" s="267">
        <f>BC49/AVERAGE(BB78,BC78)</f>
        <v>0.40762761227817773</v>
      </c>
      <c r="BD81" s="268">
        <f>BD49/AVERAGE(AZ78:BC78)</f>
        <v>0.40063139748971044</v>
      </c>
      <c r="BE81" s="267">
        <f>BE49/AVERAGE(BC78,BE78)</f>
        <v>0</v>
      </c>
      <c r="BF81" s="267">
        <f>BF49/AVERAGE(BE78,BF78)</f>
        <v>0</v>
      </c>
      <c r="BG81" s="267">
        <f>BG49/AVERAGE(BF78,BG78)</f>
        <v>0</v>
      </c>
      <c r="BH81" s="267">
        <f>BH49/AVERAGE(BG78,BH78)</f>
        <v>0.28066076299132492</v>
      </c>
      <c r="BI81" s="268">
        <f>BI49/AVERAGE(BE78:BH78)</f>
        <v>0.28077279395024479</v>
      </c>
      <c r="BJ81" s="267">
        <f>BJ49/AVERAGE(BH78,BJ78)</f>
        <v>0</v>
      </c>
      <c r="BK81" s="267">
        <f>BK49/AVERAGE(BJ78,BK78)</f>
        <v>0</v>
      </c>
      <c r="BL81" s="267">
        <f>BL49/AVERAGE(BK78,BL78)</f>
        <v>0</v>
      </c>
      <c r="BM81" s="267">
        <f>BM49/AVERAGE(BL78,BM78)</f>
        <v>9.4128642676739566E-2</v>
      </c>
      <c r="BN81" s="268">
        <f>BN49/AVERAGE(BJ78:BM78)</f>
        <v>9.4229378226708613E-2</v>
      </c>
      <c r="BO81" s="267">
        <f>BO49/AVERAGE(BM78,BO78)</f>
        <v>0</v>
      </c>
      <c r="BP81" s="267">
        <f>BP49/AVERAGE(BO78,BP78)</f>
        <v>0</v>
      </c>
      <c r="BQ81" s="267">
        <f>BQ49/AVERAGE(BP78,BQ78)</f>
        <v>0</v>
      </c>
      <c r="BR81" s="267">
        <f>BR49/AVERAGE(BQ78,BR78)</f>
        <v>0</v>
      </c>
      <c r="BS81" s="268">
        <f>BS49/AVERAGE(BO78:BR78)</f>
        <v>0</v>
      </c>
      <c r="BT81" s="267">
        <f>BT49/AVERAGE(BR78,BT78)</f>
        <v>0</v>
      </c>
      <c r="BU81" s="267">
        <f>BU49/AVERAGE(BT78,BU78)</f>
        <v>0.52147567185621868</v>
      </c>
      <c r="BV81" s="267">
        <f>BV49/AVERAGE(BU78,BV78)</f>
        <v>0</v>
      </c>
      <c r="BW81" s="267">
        <f>BW49/AVERAGE(BV78,BW78)</f>
        <v>0.59865744560676537</v>
      </c>
      <c r="BX81" s="268">
        <f>BX49/AVERAGE(BT78:BW78)</f>
        <v>1.1202000729432606</v>
      </c>
      <c r="BY81" s="267">
        <f>BY49/AVERAGE(BW78,BY78)</f>
        <v>0</v>
      </c>
      <c r="BZ81" s="267">
        <f>BZ49/AVERAGE(BY78,BZ78)</f>
        <v>0</v>
      </c>
      <c r="CA81" s="267">
        <f>CA49/AVERAGE(BZ78,CA78)</f>
        <v>0.7803964413922273</v>
      </c>
      <c r="CB81" s="267">
        <f>CB49/AVERAGE(CA78,CB78)</f>
        <v>1.0405096416224666</v>
      </c>
      <c r="CC81" s="268">
        <f>CC49/AVERAGE(BY78:CB78)</f>
        <v>1.8209877948293052</v>
      </c>
      <c r="CD81" s="267">
        <f>CD49/AVERAGE(CB78,CD78)</f>
        <v>0</v>
      </c>
      <c r="CE81" s="267">
        <f>CE49/AVERAGE(CD78,CE78)</f>
        <v>0</v>
      </c>
      <c r="CF81" s="267">
        <f>CF49/AVERAGE(CE78,CF78)</f>
        <v>0.2568821287215628</v>
      </c>
      <c r="CG81" s="267">
        <f>CG49/AVERAGE(CF78,CG78)</f>
        <v>1.5604519068722302</v>
      </c>
      <c r="CH81" s="268">
        <f>CH49/AVERAGE(CD78:CG78)</f>
        <v>1.8174902977250234</v>
      </c>
      <c r="CI81" s="267">
        <f>CI49/AVERAGE(CG78,CI78)</f>
        <v>0</v>
      </c>
      <c r="CJ81" s="267">
        <f>CJ49/AVERAGE(CH78,CJ78)</f>
        <v>1.0872734184819925</v>
      </c>
      <c r="CK81" s="267">
        <f>CK49/AVERAGE(CI78,CK78)</f>
        <v>0</v>
      </c>
      <c r="CL81" s="267">
        <f>CL49/AVERAGE(CK78,CL78)</f>
        <v>0</v>
      </c>
      <c r="CM81" s="268">
        <f>CM49/AVERAGE(CI78:CL78)</f>
        <v>1.0872734184819925</v>
      </c>
      <c r="CN81" s="267">
        <f>CN49/AVERAGE(CL78,CN78)</f>
        <v>0</v>
      </c>
      <c r="CO81" s="267">
        <f>CO49/AVERAGE(CM78,CO78)</f>
        <v>0.51696743726261085</v>
      </c>
      <c r="CP81" s="267">
        <f>CP49/AVERAGE(CN78,CP78)</f>
        <v>0</v>
      </c>
      <c r="CQ81" s="267">
        <f>CQ49/AVERAGE(CP78,CQ78)</f>
        <v>0</v>
      </c>
      <c r="CR81" s="268">
        <f>CR49/AVERAGE(CN78:CQ78)</f>
        <v>0.47905571446770989</v>
      </c>
      <c r="CS81" s="267">
        <f>CS49/AVERAGE(CQ78,CS78)</f>
        <v>0</v>
      </c>
      <c r="CT81" s="267">
        <f>CT49/AVERAGE(CR78,CT78)</f>
        <v>0.42869400170934069</v>
      </c>
      <c r="CU81" s="267">
        <f>CU49/AVERAGE(CT78,CU78)</f>
        <v>0</v>
      </c>
      <c r="CV81" s="267">
        <f>CV49/AVERAGE(CU78,CV78)</f>
        <v>0.27919172877751991</v>
      </c>
      <c r="CW81" s="268">
        <f>CW49/AVERAGE(CS78:CV78)</f>
        <v>0.70827351902189095</v>
      </c>
      <c r="CX81" s="267">
        <f>CX49/AVERAGE(CV78,CX78)</f>
        <v>0</v>
      </c>
      <c r="CY81" s="267">
        <f>CY49/AVERAGE(CX78,CY78)</f>
        <v>0</v>
      </c>
      <c r="CZ81" s="267">
        <f>CZ49/AVERAGE(CY78,CZ78)</f>
        <v>0</v>
      </c>
      <c r="DA81" s="267">
        <f>DA49/AVERAGE(CZ78,DA78)</f>
        <v>0.27691748745009948</v>
      </c>
      <c r="DB81" s="268">
        <f>DB49/AVERAGE(CX78:DA78)</f>
        <v>0.27804995779201641</v>
      </c>
      <c r="DC81" s="267">
        <f>DC49/AVERAGE(DA78,DC78)</f>
        <v>0</v>
      </c>
      <c r="DD81" s="267">
        <f>DD49/AVERAGE(DC78,DD78)</f>
        <v>0.89188514976850963</v>
      </c>
      <c r="DE81" s="267">
        <f>DE49/AVERAGE(DD78,DE78)</f>
        <v>0</v>
      </c>
      <c r="DF81" s="267">
        <f>DF49/AVERAGE(DE78,DF78)</f>
        <v>2.277328511469765</v>
      </c>
      <c r="DG81" s="268">
        <f>DG49/AVERAGE(DC78:DF78)</f>
        <v>3.1692136612382749</v>
      </c>
      <c r="DH81" s="267">
        <f>DH49/AVERAGE(DG78,DH78)</f>
        <v>0</v>
      </c>
      <c r="DI81" s="267">
        <f>DI49/AVERAGE(DH78,DI78)</f>
        <v>0</v>
      </c>
      <c r="DJ81" s="267">
        <f>DJ49/AVERAGE(DI78,DJ78)</f>
        <v>0</v>
      </c>
      <c r="DK81" s="267">
        <f>DK49/AVERAGE(DJ78,DK78)</f>
        <v>1.1513045114593685</v>
      </c>
      <c r="DL81" s="268">
        <f>DL49/AVERAGE(DH78:DK78)</f>
        <v>1.1513045114593685</v>
      </c>
      <c r="DM81" s="267">
        <f>DM49/AVERAGE(DK78,DM78)</f>
        <v>0</v>
      </c>
      <c r="DN81" s="267">
        <f>DN49/AVERAGE(DM78,DN78)</f>
        <v>0</v>
      </c>
      <c r="DO81" s="267">
        <f ca="1">DO49/AVERAGE(DN78,DO78)</f>
        <v>2.1687203206957517</v>
      </c>
      <c r="DP81" s="267">
        <f>DP49/AVERAGE(DO78,DP78)</f>
        <v>0</v>
      </c>
      <c r="DQ81" s="268">
        <f ca="1">DQ49/AVERAGE(DM78:DP78)</f>
        <v>2.1687203206957517</v>
      </c>
      <c r="DR81" s="267">
        <f ca="1">DR49/AVERAGE(DP78,DR78)</f>
        <v>4.0715096551607255</v>
      </c>
      <c r="DS81" s="267">
        <f>DS49/AVERAGE(DR78,DS78)</f>
        <v>0</v>
      </c>
      <c r="DT81" s="267">
        <f>DT49/AVERAGE(DS78,DT78)</f>
        <v>0</v>
      </c>
      <c r="DU81" s="267">
        <f>DU49/AVERAGE(DT78,DU78)</f>
        <v>0</v>
      </c>
      <c r="DV81" s="268">
        <f ca="1">DV49/AVERAGE(DR78:DU78)</f>
        <v>4.0715096551607255</v>
      </c>
      <c r="DW81" s="267">
        <f ca="1">DW49/AVERAGE(DU78,DW78)</f>
        <v>4.3342107892044321</v>
      </c>
      <c r="DX81" s="267">
        <f>DX49/AVERAGE(DW78,DX78)</f>
        <v>0</v>
      </c>
      <c r="DY81" s="267">
        <f>DY49/AVERAGE(DX78,DY78)</f>
        <v>0</v>
      </c>
      <c r="DZ81" s="267">
        <f>DZ49/AVERAGE(DY78,DZ78)</f>
        <v>0</v>
      </c>
      <c r="EA81" s="268">
        <f ca="1">EA49/AVERAGE(DW78:DZ78)</f>
        <v>4.3342107892044321</v>
      </c>
      <c r="EB81" s="267">
        <f ca="1">EB49/AVERAGE(DZ78,EB78)</f>
        <v>4.5408323098054728</v>
      </c>
      <c r="EC81" s="267">
        <f>EC49/AVERAGE(EB78,EC78)</f>
        <v>0</v>
      </c>
      <c r="ED81" s="267">
        <f>ED49/AVERAGE(EC78,ED78)</f>
        <v>0</v>
      </c>
      <c r="EE81" s="267">
        <f>EE49/AVERAGE(ED78,EE78)</f>
        <v>0</v>
      </c>
      <c r="EF81" s="268">
        <f ca="1">EF49/AVERAGE(EB78:EE78)</f>
        <v>4.5408323098054728</v>
      </c>
    </row>
    <row r="82" spans="1:136" s="68" customFormat="1" ht="12.75" customHeight="1">
      <c r="A82" s="78"/>
      <c r="B82" s="267"/>
      <c r="C82" s="267"/>
      <c r="D82" s="267"/>
      <c r="E82" s="267"/>
      <c r="F82" s="268"/>
      <c r="G82" s="267"/>
      <c r="H82" s="267"/>
      <c r="I82" s="267"/>
      <c r="J82" s="267"/>
      <c r="K82" s="268"/>
      <c r="L82" s="267"/>
      <c r="M82" s="267"/>
      <c r="N82" s="267"/>
      <c r="O82" s="267"/>
      <c r="P82" s="268"/>
      <c r="Q82" s="267"/>
      <c r="R82" s="267"/>
      <c r="S82" s="267"/>
      <c r="T82" s="267"/>
      <c r="U82" s="268"/>
      <c r="V82" s="267"/>
      <c r="W82" s="267"/>
      <c r="X82" s="267"/>
      <c r="Y82" s="267"/>
      <c r="Z82" s="268"/>
      <c r="AA82" s="267"/>
      <c r="AB82" s="267"/>
      <c r="AC82" s="267"/>
      <c r="AD82" s="267"/>
      <c r="AE82" s="268"/>
      <c r="AF82" s="267"/>
      <c r="AG82" s="267"/>
      <c r="AH82" s="267"/>
      <c r="AI82" s="267"/>
      <c r="AJ82" s="268"/>
      <c r="AK82" s="267"/>
      <c r="AL82" s="267"/>
      <c r="AM82" s="267"/>
      <c r="AN82" s="267"/>
      <c r="AO82" s="268"/>
      <c r="AP82" s="267"/>
      <c r="AQ82" s="267">
        <f>SUM(AP80,AP80:AR80)/'Balance Sheet'!AR57*4/3</f>
        <v>0.15128377475274687</v>
      </c>
      <c r="AR82" s="267">
        <f>AR80/'Income Statement'!$AR$79-1</f>
        <v>0</v>
      </c>
      <c r="AS82" s="267"/>
      <c r="AT82" s="268"/>
      <c r="AU82" s="267"/>
      <c r="AV82" s="267"/>
      <c r="AW82" s="351">
        <f>AW80*4/AVERAGE('Balance Sheet'!AV57:AW57)</f>
        <v>0.12778369302343937</v>
      </c>
      <c r="AX82" s="267"/>
      <c r="AY82" s="268"/>
      <c r="AZ82" s="267"/>
      <c r="BA82" s="267"/>
      <c r="BB82" s="267"/>
      <c r="BC82" s="267"/>
      <c r="BD82" s="268"/>
      <c r="BE82" s="267"/>
      <c r="BF82" s="267"/>
      <c r="BG82" s="267"/>
      <c r="BH82" s="267"/>
      <c r="BI82" s="268"/>
      <c r="BJ82" s="267"/>
      <c r="BK82" s="267"/>
      <c r="BL82" s="267"/>
      <c r="BM82" s="267"/>
      <c r="BN82" s="268"/>
      <c r="BO82" s="267"/>
      <c r="BP82" s="267"/>
      <c r="BQ82" s="267"/>
      <c r="BR82" s="267"/>
      <c r="BS82" s="407"/>
      <c r="BT82" s="267"/>
      <c r="BU82" s="351"/>
      <c r="BV82" s="240"/>
      <c r="BW82" s="267"/>
      <c r="BX82" s="408"/>
      <c r="BY82" s="414"/>
      <c r="BZ82" s="351"/>
      <c r="CA82" s="240"/>
      <c r="CB82" s="409"/>
      <c r="CC82" s="408"/>
      <c r="CD82" s="414"/>
      <c r="CE82" s="351"/>
      <c r="CF82" s="240"/>
      <c r="CG82" s="409"/>
      <c r="CH82" s="408"/>
      <c r="CI82" s="267"/>
      <c r="CJ82" s="414"/>
      <c r="CK82" s="267"/>
      <c r="CL82" s="267"/>
      <c r="CM82" s="408"/>
      <c r="CN82" s="267"/>
      <c r="CO82" s="414"/>
      <c r="CP82" s="267"/>
      <c r="CQ82" s="240"/>
      <c r="CR82" s="549"/>
      <c r="CS82" s="267"/>
      <c r="CT82" s="414"/>
      <c r="CU82" s="267"/>
      <c r="CV82" s="267"/>
      <c r="CW82" s="549"/>
      <c r="CX82" s="267"/>
      <c r="CY82" s="414"/>
      <c r="CZ82" s="267"/>
      <c r="DA82" s="267"/>
      <c r="DB82" s="567">
        <f>20.65/DB79</f>
        <v>7.1410797499999994</v>
      </c>
      <c r="DC82" s="569"/>
      <c r="DD82" s="414"/>
      <c r="DE82" s="267"/>
      <c r="DF82" s="267"/>
      <c r="DG82" s="567">
        <f>30.5/DG79</f>
        <v>6.673898321470074</v>
      </c>
      <c r="DH82" s="267"/>
      <c r="DI82" s="267"/>
      <c r="DJ82" s="267"/>
      <c r="DK82" s="267"/>
      <c r="DL82" s="567">
        <f ca="1">30.5/DL79</f>
        <v>7.0317965181917117</v>
      </c>
      <c r="DM82" s="267"/>
      <c r="DN82" s="267"/>
      <c r="DO82" s="267"/>
      <c r="DP82" s="267"/>
      <c r="DQ82" s="268"/>
      <c r="DR82" s="267"/>
      <c r="DS82" s="267"/>
      <c r="DT82" s="267"/>
      <c r="DU82" s="267"/>
      <c r="DV82" s="268"/>
      <c r="DW82" s="267"/>
      <c r="DX82" s="267"/>
      <c r="DY82" s="267"/>
      <c r="DZ82" s="267"/>
      <c r="EA82" s="268"/>
      <c r="EB82" s="267"/>
      <c r="EC82" s="267"/>
      <c r="ED82" s="267"/>
      <c r="EE82" s="267"/>
      <c r="EF82" s="268"/>
    </row>
    <row r="83" spans="1:136" s="70" customFormat="1" ht="12.75" customHeight="1" thickBot="1">
      <c r="A83" s="69" t="s">
        <v>705</v>
      </c>
      <c r="B83" s="93" t="str">
        <f>Macro!B$3</f>
        <v>1Q04</v>
      </c>
      <c r="C83" s="93" t="str">
        <f>Macro!C$3</f>
        <v>2Q04</v>
      </c>
      <c r="D83" s="93" t="str">
        <f>Macro!D$3</f>
        <v>3Q04</v>
      </c>
      <c r="E83" s="93" t="str">
        <f>Macro!E$3</f>
        <v>4Q04</v>
      </c>
      <c r="F83" s="92" t="str">
        <f>Macro!F$3</f>
        <v>2004</v>
      </c>
      <c r="G83" s="93" t="str">
        <f>Macro!G$3</f>
        <v>1Q05</v>
      </c>
      <c r="H83" s="93" t="str">
        <f>Macro!H$3</f>
        <v>2Q05</v>
      </c>
      <c r="I83" s="93" t="str">
        <f>Macro!I$3</f>
        <v>3Q05</v>
      </c>
      <c r="J83" s="93" t="str">
        <f>Macro!J$3</f>
        <v>4Q05</v>
      </c>
      <c r="K83" s="92" t="str">
        <f>Macro!K$3</f>
        <v>2005</v>
      </c>
      <c r="L83" s="93" t="str">
        <f>Macro!L$3</f>
        <v>1Q06</v>
      </c>
      <c r="M83" s="93" t="str">
        <f>Macro!M$3</f>
        <v>2Q06</v>
      </c>
      <c r="N83" s="93" t="str">
        <f>Macro!N$3</f>
        <v>3Q06</v>
      </c>
      <c r="O83" s="94" t="str">
        <f>Macro!O$3</f>
        <v>4Q06</v>
      </c>
      <c r="P83" s="92" t="str">
        <f>Macro!P$3</f>
        <v>2006</v>
      </c>
      <c r="Q83" s="93" t="str">
        <f>Macro!Q$3</f>
        <v>1Q07</v>
      </c>
      <c r="R83" s="93" t="str">
        <f>Macro!R$3</f>
        <v>2Q07</v>
      </c>
      <c r="S83" s="93" t="str">
        <f>Macro!S$3</f>
        <v>3Q07</v>
      </c>
      <c r="T83" s="94" t="str">
        <f>Macro!T$3</f>
        <v>4Q07</v>
      </c>
      <c r="U83" s="92" t="str">
        <f>Macro!U$3</f>
        <v>2007</v>
      </c>
      <c r="V83" s="93" t="str">
        <f>Macro!V$3</f>
        <v>1Q08</v>
      </c>
      <c r="W83" s="93" t="str">
        <f>Macro!W$3</f>
        <v>2Q08</v>
      </c>
      <c r="X83" s="93" t="str">
        <f>Macro!X$3</f>
        <v>3Q08</v>
      </c>
      <c r="Y83" s="94" t="str">
        <f>Macro!Y$3</f>
        <v>4Q08</v>
      </c>
      <c r="Z83" s="92" t="str">
        <f>Macro!Z$3</f>
        <v>2008</v>
      </c>
      <c r="AA83" s="93" t="str">
        <f>Macro!AA$3</f>
        <v>1Q09</v>
      </c>
      <c r="AB83" s="93" t="str">
        <f>Macro!AB$3</f>
        <v>2Q09</v>
      </c>
      <c r="AC83" s="93" t="str">
        <f>Macro!AC$3</f>
        <v>3Q09</v>
      </c>
      <c r="AD83" s="94" t="str">
        <f>Macro!AD$3</f>
        <v>4Q09</v>
      </c>
      <c r="AE83" s="92" t="str">
        <f>Macro!AE$3</f>
        <v>2009</v>
      </c>
      <c r="AF83" s="93" t="str">
        <f>Macro!AF$3</f>
        <v>1Q10</v>
      </c>
      <c r="AG83" s="93" t="str">
        <f>Macro!AG$3</f>
        <v>2Q10</v>
      </c>
      <c r="AH83" s="93" t="str">
        <f>Macro!AH$3</f>
        <v>3Q10</v>
      </c>
      <c r="AI83" s="94" t="str">
        <f>Macro!AI$3</f>
        <v>4Q10</v>
      </c>
      <c r="AJ83" s="92" t="str">
        <f>Macro!AJ$3</f>
        <v>2010</v>
      </c>
      <c r="AK83" s="93" t="str">
        <f>Macro!AK$3</f>
        <v>1Q11</v>
      </c>
      <c r="AL83" s="93" t="str">
        <f>Macro!AL$3</f>
        <v>2Q11</v>
      </c>
      <c r="AM83" s="93" t="str">
        <f>Macro!AM$3</f>
        <v>3Q11</v>
      </c>
      <c r="AN83" s="94" t="str">
        <f>Macro!AN$3</f>
        <v>4Q11</v>
      </c>
      <c r="AO83" s="92" t="str">
        <f>Macro!AO$3</f>
        <v>2011</v>
      </c>
      <c r="AP83" s="310" t="str">
        <f>Macro!AP$3</f>
        <v>1Q12</v>
      </c>
      <c r="AQ83" s="310" t="str">
        <f>Macro!AQ$3</f>
        <v>2Q12</v>
      </c>
      <c r="AR83" s="310" t="str">
        <f>Macro!AR$3</f>
        <v>3Q12</v>
      </c>
      <c r="AS83" s="310" t="str">
        <f>Macro!AS$3</f>
        <v>4Q12</v>
      </c>
      <c r="AT83" s="311" t="str">
        <f>Macro!AT$3</f>
        <v>2012</v>
      </c>
      <c r="AU83" s="310" t="str">
        <f>Macro!AU$3</f>
        <v>1Q13</v>
      </c>
      <c r="AV83" s="310" t="str">
        <f>Macro!AV$3</f>
        <v>2Q13</v>
      </c>
      <c r="AW83" s="310" t="str">
        <f>Macro!AW$3</f>
        <v>3Q13</v>
      </c>
      <c r="AX83" s="310" t="str">
        <f>Macro!AX$3</f>
        <v>4Q13</v>
      </c>
      <c r="AY83" s="311" t="str">
        <f>Macro!AY$3</f>
        <v>2013</v>
      </c>
      <c r="AZ83" s="310" t="str">
        <f>Macro!AZ$3</f>
        <v>1Q14</v>
      </c>
      <c r="BA83" s="310" t="str">
        <f>Macro!BA$3</f>
        <v>2Q14</v>
      </c>
      <c r="BB83" s="310" t="str">
        <f>Macro!BB$3</f>
        <v>3Q14</v>
      </c>
      <c r="BC83" s="310" t="str">
        <f>Macro!BC$3</f>
        <v>4Q14</v>
      </c>
      <c r="BD83" s="311" t="str">
        <f>Macro!BD$3</f>
        <v>2014</v>
      </c>
      <c r="BE83" s="310" t="str">
        <f>Macro!BE$3</f>
        <v>1Q15</v>
      </c>
      <c r="BF83" s="310" t="str">
        <f>Macro!BF$3</f>
        <v>2Q15</v>
      </c>
      <c r="BG83" s="310" t="str">
        <f>Macro!BG$3</f>
        <v>3Q15</v>
      </c>
      <c r="BH83" s="310" t="str">
        <f>Macro!BH$3</f>
        <v>4Q15</v>
      </c>
      <c r="BI83" s="311" t="str">
        <f>Macro!BI$3</f>
        <v>2015</v>
      </c>
      <c r="BJ83" s="310" t="str">
        <f>Macro!BJ$3</f>
        <v>1Q16</v>
      </c>
      <c r="BK83" s="310" t="str">
        <f>Macro!BK$3</f>
        <v>2Q16</v>
      </c>
      <c r="BL83" s="310" t="str">
        <f>Macro!BL$3</f>
        <v>3Q16</v>
      </c>
      <c r="BM83" s="310" t="str">
        <f>Macro!BM$3</f>
        <v>4Q16</v>
      </c>
      <c r="BN83" s="311" t="str">
        <f>Macro!BN$3</f>
        <v>2016</v>
      </c>
      <c r="BO83" s="310" t="str">
        <f>Macro!BO$3</f>
        <v>1Q17</v>
      </c>
      <c r="BP83" s="310" t="str">
        <f>Macro!BP$3</f>
        <v>2Q17</v>
      </c>
      <c r="BQ83" s="310" t="str">
        <f>Macro!BQ$3</f>
        <v>3Q17</v>
      </c>
      <c r="BR83" s="310" t="str">
        <f>Macro!BR$3</f>
        <v>4Q17</v>
      </c>
      <c r="BS83" s="311" t="str">
        <f>Macro!BS$3</f>
        <v>2017</v>
      </c>
      <c r="BT83" s="310" t="str">
        <f>Macro!BT$3</f>
        <v>1Q18</v>
      </c>
      <c r="BU83" s="310" t="str">
        <f>Macro!BU$3</f>
        <v>2Q18</v>
      </c>
      <c r="BV83" s="310" t="str">
        <f>Macro!BV$3</f>
        <v>3Q18</v>
      </c>
      <c r="BW83" s="310" t="str">
        <f>Macro!BW$3</f>
        <v>4Q18</v>
      </c>
      <c r="BX83" s="311" t="str">
        <f>Macro!BX$3</f>
        <v>2018</v>
      </c>
      <c r="BY83" s="310" t="str">
        <f>Macro!BY$3</f>
        <v>1Q19</v>
      </c>
      <c r="BZ83" s="310" t="str">
        <f>Macro!BZ$3</f>
        <v>2Q19</v>
      </c>
      <c r="CA83" s="310" t="str">
        <f>Macro!CA$3</f>
        <v>3Q19</v>
      </c>
      <c r="CB83" s="310" t="str">
        <f>Macro!CB$3</f>
        <v>4Q19</v>
      </c>
      <c r="CC83" s="311" t="str">
        <f>Macro!CC$3</f>
        <v>2019</v>
      </c>
      <c r="CD83" s="310" t="str">
        <f>Macro!CD$3</f>
        <v>1Q20</v>
      </c>
      <c r="CE83" s="310" t="str">
        <f>Macro!CE$3</f>
        <v>2Q20</v>
      </c>
      <c r="CF83" s="310" t="str">
        <f>Macro!CF$3</f>
        <v>3Q20</v>
      </c>
      <c r="CG83" s="310" t="str">
        <f>Macro!CG$3</f>
        <v>4Q20</v>
      </c>
      <c r="CH83" s="311" t="str">
        <f>Macro!CH$3</f>
        <v>2020</v>
      </c>
      <c r="CI83" s="310" t="str">
        <f>Macro!CI$3</f>
        <v>1Q21</v>
      </c>
      <c r="CJ83" s="310" t="str">
        <f>Macro!CJ$3</f>
        <v>2Q21</v>
      </c>
      <c r="CK83" s="310" t="str">
        <f>Macro!CK$3</f>
        <v>3Q21</v>
      </c>
      <c r="CL83" s="310" t="str">
        <f>Macro!CL$3</f>
        <v>4Q21</v>
      </c>
      <c r="CM83" s="311" t="str">
        <f>Macro!CM$3</f>
        <v>2021</v>
      </c>
      <c r="CN83" s="310" t="str">
        <f>Macro!CN$3</f>
        <v>1Q22</v>
      </c>
      <c r="CO83" s="310" t="str">
        <f>Macro!CO$3</f>
        <v>2Q22</v>
      </c>
      <c r="CP83" s="310" t="str">
        <f>Macro!CP$3</f>
        <v>3Q22</v>
      </c>
      <c r="CQ83" s="310" t="str">
        <f>Macro!CQ$3</f>
        <v>4Q22</v>
      </c>
      <c r="CR83" s="311" t="str">
        <f>Macro!CR$3</f>
        <v>2022</v>
      </c>
      <c r="CS83" s="310" t="str">
        <f>Macro!CS$3</f>
        <v>1Q23</v>
      </c>
      <c r="CT83" s="310" t="str">
        <f>Macro!CT$3</f>
        <v>2Q23</v>
      </c>
      <c r="CU83" s="310" t="str">
        <f>Macro!CU$3</f>
        <v>3Q23</v>
      </c>
      <c r="CV83" s="310" t="str">
        <f>Macro!CV$3</f>
        <v>4Q23</v>
      </c>
      <c r="CW83" s="311" t="str">
        <f>Macro!CW$3</f>
        <v>2023</v>
      </c>
      <c r="CX83" s="310" t="str">
        <f>Macro!CX$3</f>
        <v>1Q24</v>
      </c>
      <c r="CY83" s="310" t="str">
        <f>Macro!CY$3</f>
        <v>2Q24</v>
      </c>
      <c r="CZ83" s="310" t="str">
        <f>Macro!CZ$3</f>
        <v>3Q24</v>
      </c>
      <c r="DA83" s="310" t="str">
        <f>Macro!DA$3</f>
        <v>4Q24</v>
      </c>
      <c r="DB83" s="311" t="str">
        <f>Macro!DB$3</f>
        <v>2024</v>
      </c>
      <c r="DC83" s="310" t="str">
        <f>Macro!DC$3</f>
        <v>1Q25</v>
      </c>
      <c r="DD83" s="310" t="str">
        <f>Macro!DD$3</f>
        <v>2Q25</v>
      </c>
      <c r="DE83" s="310" t="str">
        <f>Macro!DE$3</f>
        <v>3Q25</v>
      </c>
      <c r="DF83" s="310" t="str">
        <f>Macro!DF$3</f>
        <v>4Q25</v>
      </c>
      <c r="DG83" s="311" t="str">
        <f>Macro!DG$3</f>
        <v>2025</v>
      </c>
      <c r="DH83" s="310" t="str">
        <f>Macro!DH$3</f>
        <v>1Q26</v>
      </c>
      <c r="DI83" s="310" t="str">
        <f>Macro!DI$3</f>
        <v>2Q26</v>
      </c>
      <c r="DJ83" s="310" t="str">
        <f>Macro!DJ$3</f>
        <v>3Q26E</v>
      </c>
      <c r="DK83" s="310" t="str">
        <f>Macro!DK$3</f>
        <v>4Q26E</v>
      </c>
      <c r="DL83" s="311" t="str">
        <f>Macro!DL$3</f>
        <v>2026E</v>
      </c>
      <c r="DM83" s="310" t="str">
        <f>Macro!DM$3</f>
        <v>1Q27E</v>
      </c>
      <c r="DN83" s="310" t="str">
        <f>Macro!DN$3</f>
        <v>2Q27E</v>
      </c>
      <c r="DO83" s="310" t="str">
        <f>Macro!DO$3</f>
        <v>3Q27E</v>
      </c>
      <c r="DP83" s="310" t="str">
        <f>Macro!DP$3</f>
        <v>4Q27E</v>
      </c>
      <c r="DQ83" s="311" t="str">
        <f>Macro!DQ$3</f>
        <v>2027E</v>
      </c>
      <c r="DR83" s="310" t="str">
        <f>Macro!DR$3</f>
        <v>1Q28E</v>
      </c>
      <c r="DS83" s="310" t="str">
        <f>Macro!DS$3</f>
        <v>2Q28E</v>
      </c>
      <c r="DT83" s="310" t="str">
        <f>Macro!DT$3</f>
        <v>3Q28E</v>
      </c>
      <c r="DU83" s="310" t="str">
        <f>Macro!DU$3</f>
        <v>4Q28E</v>
      </c>
      <c r="DV83" s="311" t="str">
        <f>Macro!DV$3</f>
        <v>2028E</v>
      </c>
      <c r="DW83" s="310" t="str">
        <f>Macro!DW$3</f>
        <v>1Q29E</v>
      </c>
      <c r="DX83" s="310" t="str">
        <f>Macro!DX$3</f>
        <v>2Q29E</v>
      </c>
      <c r="DY83" s="310" t="str">
        <f>Macro!DY$3</f>
        <v>3Q29E</v>
      </c>
      <c r="DZ83" s="310" t="str">
        <f>Macro!DZ$3</f>
        <v>4Q29E</v>
      </c>
      <c r="EA83" s="311" t="str">
        <f>Macro!EA$3</f>
        <v>2029E</v>
      </c>
      <c r="EB83" s="310" t="str">
        <f>Macro!EB$3</f>
        <v>1Q30E</v>
      </c>
      <c r="EC83" s="310" t="str">
        <f>Macro!EC$3</f>
        <v>2Q30E</v>
      </c>
      <c r="ED83" s="310" t="str">
        <f>Macro!ED$3</f>
        <v>3Q30E</v>
      </c>
      <c r="EE83" s="310" t="str">
        <f>Macro!EE$3</f>
        <v>4Q30E</v>
      </c>
      <c r="EF83" s="311" t="str">
        <f>Macro!EF$3</f>
        <v>2030E</v>
      </c>
    </row>
    <row r="84" spans="1:136" ht="12.75" customHeight="1">
      <c r="A84" s="78" t="s">
        <v>134</v>
      </c>
      <c r="B84" s="260"/>
      <c r="C84" s="260"/>
      <c r="D84" s="260"/>
      <c r="E84" s="260"/>
      <c r="F84" s="241"/>
      <c r="G84" s="260"/>
      <c r="H84" s="260"/>
      <c r="I84" s="260"/>
      <c r="J84" s="260"/>
      <c r="K84" s="241">
        <f>SUM(G84:J84)</f>
        <v>0</v>
      </c>
      <c r="L84" s="238">
        <f>'Balance Sheet'!L13*Macro!L17/4</f>
        <v>7344.5266346385051</v>
      </c>
      <c r="M84" s="238">
        <f>'Balance Sheet'!M13*Macro!M17/4</f>
        <v>7637.5268039095572</v>
      </c>
      <c r="N84" s="238">
        <f>'Balance Sheet'!N13*Macro!N17/4</f>
        <v>8021.2023385891762</v>
      </c>
      <c r="O84" s="238">
        <f>'Balance Sheet'!O13*Macro!O17/4</f>
        <v>9862.5974828104627</v>
      </c>
      <c r="P84" s="241">
        <f>SUM(L84:O84)</f>
        <v>32865.853259947704</v>
      </c>
      <c r="Q84" s="238">
        <f>'Balance Sheet'!Q13*Macro!Q17/4</f>
        <v>8770.8247257080566</v>
      </c>
      <c r="R84" s="238">
        <f>'Balance Sheet'!R13*Macro!R17/4</f>
        <v>9106.5875863189904</v>
      </c>
      <c r="S84" s="238">
        <f>'Balance Sheet'!S13*Macro!S17/4</f>
        <v>11550.734659293723</v>
      </c>
      <c r="T84" s="238">
        <f>'Balance Sheet'!T13*Macro!T17/4</f>
        <v>15551.053641058388</v>
      </c>
      <c r="U84" s="241">
        <f>SUM(Q84:T84)</f>
        <v>44979.200612379158</v>
      </c>
      <c r="V84" s="238">
        <v>0</v>
      </c>
      <c r="W84" s="238">
        <v>0</v>
      </c>
      <c r="X84" s="238">
        <v>12279</v>
      </c>
      <c r="Y84" s="238">
        <f>32481</f>
        <v>32481</v>
      </c>
      <c r="Z84" s="241">
        <f>SUM(V84:Y84)</f>
        <v>44760</v>
      </c>
      <c r="AA84" s="238">
        <v>11460</v>
      </c>
      <c r="AB84" s="238">
        <v>12753</v>
      </c>
      <c r="AC84" s="238">
        <v>14898</v>
      </c>
      <c r="AD84" s="238">
        <v>11266</v>
      </c>
      <c r="AE84" s="241">
        <f>SUM(AA84:AD84)</f>
        <v>50377</v>
      </c>
      <c r="AF84" s="238">
        <v>8096</v>
      </c>
      <c r="AG84" s="238">
        <v>10284</v>
      </c>
      <c r="AH84" s="238">
        <f>16997+86989-AF84-AG84</f>
        <v>85606</v>
      </c>
      <c r="AI84" s="238">
        <v>104647</v>
      </c>
      <c r="AJ84" s="241">
        <f>SUM(AF84:AI84)</f>
        <v>208633</v>
      </c>
      <c r="AK84" s="238">
        <v>63000</v>
      </c>
      <c r="AL84" s="238">
        <v>68000</v>
      </c>
      <c r="AM84" s="238">
        <f>170236-AK84-AL84+47296</f>
        <v>86532</v>
      </c>
      <c r="AN84" s="238">
        <f>335173-AK84-AL84-AM84</f>
        <v>117641</v>
      </c>
      <c r="AO84" s="241">
        <f>SUM(AK84:AN84)</f>
        <v>335173</v>
      </c>
      <c r="AP84" s="238">
        <f>129059-AQ84</f>
        <v>69442</v>
      </c>
      <c r="AQ84" s="238">
        <v>59617</v>
      </c>
      <c r="AR84" s="238">
        <v>71175</v>
      </c>
      <c r="AS84" s="238">
        <f>267453-AP84-AQ84-AR84</f>
        <v>67219</v>
      </c>
      <c r="AT84" s="241">
        <f>SUM(AP84:AS84)</f>
        <v>267453</v>
      </c>
      <c r="AU84" s="238">
        <f>100196-AV84</f>
        <v>51736</v>
      </c>
      <c r="AV84" s="238">
        <v>48460</v>
      </c>
      <c r="AW84" s="238">
        <v>54533</v>
      </c>
      <c r="AX84" s="342">
        <f>200016-SUM(AU84:AW84)</f>
        <v>45287</v>
      </c>
      <c r="AY84" s="241">
        <f>SUM(AU84:AX84)</f>
        <v>200016</v>
      </c>
      <c r="AZ84" s="238">
        <v>48730</v>
      </c>
      <c r="BA84" s="238">
        <v>49819</v>
      </c>
      <c r="BB84" s="238">
        <v>44249</v>
      </c>
      <c r="BC84" s="238">
        <f>188497-SUM(AZ84:BB84)</f>
        <v>45699</v>
      </c>
      <c r="BD84" s="241">
        <f>SUM(AZ84:BC84)</f>
        <v>188497</v>
      </c>
      <c r="BE84" s="238">
        <v>47765</v>
      </c>
      <c r="BF84" s="238">
        <v>49474</v>
      </c>
      <c r="BG84" s="238">
        <v>48156</v>
      </c>
      <c r="BH84" s="238">
        <f>195059-SUM(BE84:BG84)</f>
        <v>49664</v>
      </c>
      <c r="BI84" s="241">
        <f>SUM(BE84:BH84)</f>
        <v>195059</v>
      </c>
      <c r="BJ84" s="238">
        <v>58289</v>
      </c>
      <c r="BK84" s="238">
        <v>61648</v>
      </c>
      <c r="BL84" s="238">
        <v>60476</v>
      </c>
      <c r="BM84" s="238">
        <f>232947-SUM(BJ84:BL84)</f>
        <v>52534</v>
      </c>
      <c r="BN84" s="241">
        <f>SUM(BJ84:BM84)</f>
        <v>232947</v>
      </c>
      <c r="BO84" s="238">
        <v>50242</v>
      </c>
      <c r="BP84" s="238">
        <v>49444</v>
      </c>
      <c r="BQ84" s="238">
        <v>41912</v>
      </c>
      <c r="BR84" s="238">
        <f>173966-SUM(BO84:BQ84)</f>
        <v>32368</v>
      </c>
      <c r="BS84" s="241">
        <f>SUM(BO84:BR84)</f>
        <v>173966</v>
      </c>
      <c r="BT84" s="238">
        <v>22538</v>
      </c>
      <c r="BU84" s="238">
        <v>17595</v>
      </c>
      <c r="BV84" s="238">
        <v>3348</v>
      </c>
      <c r="BW84" s="238">
        <f>49467-SUM(BT84:BV84)</f>
        <v>5986</v>
      </c>
      <c r="BX84" s="241">
        <f>SUM(BT84:BW84)</f>
        <v>49467</v>
      </c>
      <c r="BY84" s="238">
        <v>5455</v>
      </c>
      <c r="BZ84" s="238">
        <v>3624</v>
      </c>
      <c r="CA84" s="238">
        <v>2786</v>
      </c>
      <c r="CB84" s="238">
        <f>13161-SUM(BY84:CA84)</f>
        <v>1296</v>
      </c>
      <c r="CC84" s="241">
        <f>SUM(BY84:CB84)</f>
        <v>13161</v>
      </c>
      <c r="CD84" s="238">
        <v>939</v>
      </c>
      <c r="CE84" s="238">
        <v>2072</v>
      </c>
      <c r="CF84" s="238">
        <v>3783</v>
      </c>
      <c r="CG84" s="238">
        <f>9479-SUM(CD84:CF84)</f>
        <v>2685</v>
      </c>
      <c r="CH84" s="241">
        <f>SUM(CD84:CG84)</f>
        <v>9479</v>
      </c>
      <c r="CI84" s="238">
        <v>2666</v>
      </c>
      <c r="CJ84" s="238">
        <v>2840</v>
      </c>
      <c r="CK84" s="238">
        <v>5477</v>
      </c>
      <c r="CL84" s="238">
        <f>19439-SUM(CI84:CK84)</f>
        <v>8456</v>
      </c>
      <c r="CM84" s="241">
        <f>SUM(CI84:CL84)</f>
        <v>19439</v>
      </c>
      <c r="CN84" s="238">
        <v>13289</v>
      </c>
      <c r="CO84" s="238">
        <v>16218</v>
      </c>
      <c r="CP84" s="238">
        <v>20236</v>
      </c>
      <c r="CQ84" s="238">
        <f>72116-SUM(CN84:CP84)</f>
        <v>22373</v>
      </c>
      <c r="CR84" s="241">
        <f>SUM(CN84:CQ84)</f>
        <v>72116</v>
      </c>
      <c r="CS84" s="238">
        <v>26123</v>
      </c>
      <c r="CT84" s="238">
        <v>31816</v>
      </c>
      <c r="CU84" s="238">
        <v>31929</v>
      </c>
      <c r="CV84" s="238">
        <f>117769-SUM(CS84:CU84)</f>
        <v>27901</v>
      </c>
      <c r="CW84" s="241">
        <f>SUM(CS84:CV84)</f>
        <v>117769</v>
      </c>
      <c r="CX84" s="238">
        <v>13914</v>
      </c>
      <c r="CY84" s="238">
        <v>35072</v>
      </c>
      <c r="CZ84" s="238">
        <v>33742</v>
      </c>
      <c r="DA84" s="238">
        <f>117769-SUM(CX84:CZ84)</f>
        <v>35041</v>
      </c>
      <c r="DB84" s="241">
        <f>SUM(CX84:DA84)</f>
        <v>117769</v>
      </c>
      <c r="DC84" s="238">
        <v>41655</v>
      </c>
      <c r="DD84" s="238">
        <v>49081</v>
      </c>
      <c r="DE84" s="238">
        <v>53894</v>
      </c>
      <c r="DF84" s="238">
        <f>208994-SUM(DC84:DE84)</f>
        <v>64364</v>
      </c>
      <c r="DG84" s="241">
        <f>SUM(DC84:DF84)</f>
        <v>208994</v>
      </c>
      <c r="DH84" s="238">
        <v>68227</v>
      </c>
      <c r="DI84" s="238">
        <v>58060</v>
      </c>
      <c r="DJ84" s="238">
        <f>-DJ85*DJ88</f>
        <v>53556.261319916121</v>
      </c>
      <c r="DK84" s="238">
        <f>-DK85*DK88</f>
        <v>51696.340585849022</v>
      </c>
      <c r="DL84" s="241">
        <f>SUM(DH84:DK84)</f>
        <v>231539.60190576513</v>
      </c>
      <c r="DM84" s="238">
        <f>-DM85*DM88</f>
        <v>54653.171046644071</v>
      </c>
      <c r="DN84" s="238">
        <f>-DN85*DN88</f>
        <v>56121.57368939634</v>
      </c>
      <c r="DO84" s="238">
        <f>-DO85*DO88</f>
        <v>56121.57368939634</v>
      </c>
      <c r="DP84" s="238">
        <f>-DP85*DP88</f>
        <v>56121.57368939634</v>
      </c>
      <c r="DQ84" s="241">
        <f>SUM(DM84:DP84)</f>
        <v>223017.89211483311</v>
      </c>
      <c r="DR84" s="238">
        <f>-DR85*DR88</f>
        <v>57589.976332148595</v>
      </c>
      <c r="DS84" s="238">
        <f>-DS85*DS88</f>
        <v>59058.378974900872</v>
      </c>
      <c r="DT84" s="238">
        <f>-DT85*DT88</f>
        <v>59058.378974900872</v>
      </c>
      <c r="DU84" s="238">
        <f>-DU85*DU88</f>
        <v>59058.378974900872</v>
      </c>
      <c r="DV84" s="241">
        <f>SUM(DR84:DU84)</f>
        <v>234765.11325685121</v>
      </c>
      <c r="DW84" s="238">
        <f>-DW85*DW88</f>
        <v>60526.781617653141</v>
      </c>
      <c r="DX84" s="238">
        <f>-DX85*DX88</f>
        <v>61995.184260405411</v>
      </c>
      <c r="DY84" s="238">
        <f>-DY85*DY88</f>
        <v>61995.184260405411</v>
      </c>
      <c r="DZ84" s="238">
        <f>-DZ85*DZ88</f>
        <v>61995.184260405411</v>
      </c>
      <c r="EA84" s="241">
        <f>SUM(DW84:DZ84)</f>
        <v>246512.33439886937</v>
      </c>
      <c r="EB84" s="238">
        <f>-EB85*EB88</f>
        <v>63463.58690315768</v>
      </c>
      <c r="EC84" s="238">
        <f>-EC85*EC88</f>
        <v>64931.98954590995</v>
      </c>
      <c r="ED84" s="238">
        <f>-ED85*ED88</f>
        <v>64931.98954590995</v>
      </c>
      <c r="EE84" s="238">
        <f>-EE85*EE88</f>
        <v>64931.98954590995</v>
      </c>
      <c r="EF84" s="241">
        <f>SUM(EB84:EE84)</f>
        <v>258259.55554088752</v>
      </c>
    </row>
    <row r="85" spans="1:136" ht="12.75" customHeight="1">
      <c r="A85" s="66" t="s">
        <v>157</v>
      </c>
      <c r="K85" s="130">
        <f>SUM(G85:J85)</f>
        <v>0</v>
      </c>
      <c r="L85" s="114">
        <f>L25-L84</f>
        <v>-19186.526634638503</v>
      </c>
      <c r="M85" s="114">
        <f>M25-M84</f>
        <v>-18308.526803909557</v>
      </c>
      <c r="N85" s="114">
        <f>N25-N84</f>
        <v>-24017.202338589177</v>
      </c>
      <c r="O85" s="114">
        <f>O25-O84</f>
        <v>-23803.597482810463</v>
      </c>
      <c r="P85" s="130">
        <f>SUM(L85:O85)</f>
        <v>-85315.853259947704</v>
      </c>
      <c r="Q85" s="114">
        <f>Q25-Q84</f>
        <v>-28048.824725708058</v>
      </c>
      <c r="R85" s="114">
        <f>R25-R84</f>
        <v>-40570.587586318987</v>
      </c>
      <c r="S85" s="114">
        <f>S25-S84</f>
        <v>-44748.734659293725</v>
      </c>
      <c r="T85" s="114">
        <f>T25-T84</f>
        <v>-48533.053641058388</v>
      </c>
      <c r="U85" s="130">
        <f>SUM(Q85:T85)</f>
        <v>-161901.20061237915</v>
      </c>
      <c r="V85" s="114">
        <f>V25-V84</f>
        <v>-37024</v>
      </c>
      <c r="W85" s="114">
        <f>W25-W84</f>
        <v>-47030</v>
      </c>
      <c r="X85" s="114">
        <f>X25-X84</f>
        <v>-61084</v>
      </c>
      <c r="Y85" s="114">
        <f>Y25-Y84</f>
        <v>-101142</v>
      </c>
      <c r="Z85" s="130">
        <f>SUM(V85:Y85)</f>
        <v>-246280</v>
      </c>
      <c r="AA85" s="114">
        <f>AA25-AA84</f>
        <v>-67386</v>
      </c>
      <c r="AB85" s="114">
        <f>AB25-AB84</f>
        <v>-65785</v>
      </c>
      <c r="AC85" s="114">
        <f>AC25-AC84</f>
        <v>-69183</v>
      </c>
      <c r="AD85" s="114">
        <f>AD25-AD84</f>
        <v>-73358</v>
      </c>
      <c r="AE85" s="130">
        <f>SUM(AA85:AD85)</f>
        <v>-275712</v>
      </c>
      <c r="AF85" s="114">
        <f>AF25-AF84</f>
        <v>-59977</v>
      </c>
      <c r="AG85" s="114">
        <f>AG25-AG84</f>
        <v>-68800</v>
      </c>
      <c r="AH85" s="114">
        <f>AH25-AH84</f>
        <v>-145817</v>
      </c>
      <c r="AI85" s="114">
        <f>AI25-AI84</f>
        <v>-156419</v>
      </c>
      <c r="AJ85" s="130">
        <f>SUM(AF85:AI85)</f>
        <v>-431013</v>
      </c>
      <c r="AK85" s="114">
        <f>AK25-AK84</f>
        <v>-119396</v>
      </c>
      <c r="AL85" s="114">
        <f>AL25-AL84</f>
        <v>-137562</v>
      </c>
      <c r="AM85" s="114">
        <f>AM25-AM84</f>
        <v>-180707</v>
      </c>
      <c r="AN85" s="114">
        <f>AN25-AN84</f>
        <v>-211224</v>
      </c>
      <c r="AO85" s="130">
        <f>SUM(AK85:AN85)</f>
        <v>-648889</v>
      </c>
      <c r="AP85" s="114">
        <f>AP25-AP84</f>
        <v>-140079</v>
      </c>
      <c r="AQ85" s="114">
        <f>AQ25-AQ84</f>
        <v>-134479</v>
      </c>
      <c r="AR85" s="114">
        <f>AR25-AR84</f>
        <v>-116181</v>
      </c>
      <c r="AS85" s="114">
        <f>AS25-AS84</f>
        <v>-115425</v>
      </c>
      <c r="AT85" s="130">
        <f>SUM(AP85:AS85)</f>
        <v>-506164</v>
      </c>
      <c r="AU85" s="114">
        <f>AU25-AU84</f>
        <v>-92671</v>
      </c>
      <c r="AV85" s="114">
        <f>AV25-AV84</f>
        <v>-88123</v>
      </c>
      <c r="AW85" s="114">
        <f>AW25-AW84</f>
        <v>-99909</v>
      </c>
      <c r="AX85" s="114">
        <f>AX25-AX84</f>
        <v>-98601</v>
      </c>
      <c r="AY85" s="130">
        <f>SUM(AU85:AX85)</f>
        <v>-379304</v>
      </c>
      <c r="AZ85" s="114">
        <f>AZ25-AZ84</f>
        <v>-109180</v>
      </c>
      <c r="BA85" s="114">
        <f>BA25-BA84</f>
        <v>-118637</v>
      </c>
      <c r="BB85" s="114">
        <f>BB25-BB84</f>
        <v>-110952</v>
      </c>
      <c r="BC85" s="114">
        <f>BC25-BC84</f>
        <v>-112227</v>
      </c>
      <c r="BD85" s="130">
        <f>SUM(AZ85:BC85)</f>
        <v>-450996</v>
      </c>
      <c r="BE85" s="114">
        <f>BE25-BE84</f>
        <v>-111782</v>
      </c>
      <c r="BF85" s="114">
        <f>BF25-BF84</f>
        <v>-138001</v>
      </c>
      <c r="BG85" s="114">
        <f>BG25-BG84</f>
        <v>-135330</v>
      </c>
      <c r="BH85" s="114">
        <f>BH25-BH84</f>
        <v>-123234</v>
      </c>
      <c r="BI85" s="130">
        <f>SUM(BE85:BH85)</f>
        <v>-508347</v>
      </c>
      <c r="BJ85" s="114">
        <f>BJ25-BJ84</f>
        <v>-117572</v>
      </c>
      <c r="BK85" s="114">
        <f>BK25-BK84</f>
        <v>-118566</v>
      </c>
      <c r="BL85" s="114">
        <f>BL25-BL84</f>
        <v>-114684</v>
      </c>
      <c r="BM85" s="114">
        <f>BM25-BM84</f>
        <v>-108675</v>
      </c>
      <c r="BN85" s="130">
        <f>SUM(BJ85:BM85)</f>
        <v>-459497</v>
      </c>
      <c r="BO85" s="114">
        <f>BO25-BO84</f>
        <v>-102242</v>
      </c>
      <c r="BP85" s="114">
        <f>BP25-BP84</f>
        <v>-93813</v>
      </c>
      <c r="BQ85" s="114">
        <f>BQ25-BQ84</f>
        <v>-83968</v>
      </c>
      <c r="BR85" s="114">
        <f>BR25-BR84</f>
        <v>-61523</v>
      </c>
      <c r="BS85" s="130">
        <f>SUM(BO85:BR85)</f>
        <v>-341546</v>
      </c>
      <c r="BT85" s="114">
        <f>BT25-BT84</f>
        <v>-51731</v>
      </c>
      <c r="BU85" s="114">
        <f>BU25-BU84</f>
        <v>-46192</v>
      </c>
      <c r="BV85" s="114">
        <f>BV25-BV84</f>
        <v>-53398</v>
      </c>
      <c r="BW85" s="114">
        <f>BW25-BW84</f>
        <v>-49034</v>
      </c>
      <c r="BX85" s="130">
        <f>SUM(BT85:BW85)</f>
        <v>-200355</v>
      </c>
      <c r="BY85" s="114">
        <f>BY25-BY84</f>
        <v>-43691</v>
      </c>
      <c r="BZ85" s="114">
        <f>BZ25-BZ84</f>
        <v>-35038</v>
      </c>
      <c r="CA85" s="114">
        <f>CA25-CA84</f>
        <v>-41687</v>
      </c>
      <c r="CB85" s="114">
        <f>CB25-CB84</f>
        <v>-42674</v>
      </c>
      <c r="CC85" s="130">
        <f>SUM(BY85:CB85)</f>
        <v>-163090</v>
      </c>
      <c r="CD85" s="114">
        <f>CD25-CD84</f>
        <v>-28829</v>
      </c>
      <c r="CE85" s="114">
        <f>CE25-CE84</f>
        <v>-38126</v>
      </c>
      <c r="CF85" s="114">
        <f>CF25-CF84</f>
        <v>-34766</v>
      </c>
      <c r="CG85" s="114">
        <f>CG25-CG84</f>
        <v>-25688</v>
      </c>
      <c r="CH85" s="130">
        <f>SUM(CD85:CG85)</f>
        <v>-127409</v>
      </c>
      <c r="CI85" s="114">
        <f>CI25-CI84</f>
        <v>-45700</v>
      </c>
      <c r="CJ85" s="114">
        <f>CJ25-CJ84</f>
        <v>-45412</v>
      </c>
      <c r="CK85" s="114">
        <f>CK25-CK84</f>
        <v>-68091</v>
      </c>
      <c r="CL85" s="114">
        <f>CL25-CL84</f>
        <v>-89101</v>
      </c>
      <c r="CM85" s="130">
        <f>SUM(CI85:CL85)</f>
        <v>-248304</v>
      </c>
      <c r="CN85" s="114">
        <f>CN25-CN84</f>
        <v>-99831</v>
      </c>
      <c r="CO85" s="114">
        <f>CO25-CO84</f>
        <v>-120826</v>
      </c>
      <c r="CP85" s="114">
        <f>CP25-CP84</f>
        <v>-144157</v>
      </c>
      <c r="CQ85" s="114">
        <f>CQ25-CQ84</f>
        <v>-211688</v>
      </c>
      <c r="CR85" s="130">
        <f>SUM(CN85:CQ85)</f>
        <v>-576502</v>
      </c>
      <c r="CS85" s="114">
        <f>CS25-CS84</f>
        <v>-171356</v>
      </c>
      <c r="CT85" s="114">
        <f>CT25-CT84</f>
        <v>-180665</v>
      </c>
      <c r="CU85" s="114">
        <f>CU25-CU84</f>
        <v>-159956</v>
      </c>
      <c r="CV85" s="114">
        <f>CV25-CV84</f>
        <v>-163745</v>
      </c>
      <c r="CW85" s="130">
        <f>SUM(CS85:CV85)</f>
        <v>-675722</v>
      </c>
      <c r="CX85" s="114">
        <f>CX25-CX84</f>
        <v>-158245</v>
      </c>
      <c r="CY85" s="114">
        <f>CY25-CY84</f>
        <v>-172678</v>
      </c>
      <c r="CZ85" s="114">
        <f>CZ25-CZ84</f>
        <v>-164060</v>
      </c>
      <c r="DA85" s="114">
        <f>DA25-DA84</f>
        <v>-192574</v>
      </c>
      <c r="DB85" s="130">
        <f>SUM(CX85:DA85)</f>
        <v>-687557</v>
      </c>
      <c r="DC85" s="114">
        <f>DC25-DC84</f>
        <v>-194272</v>
      </c>
      <c r="DD85" s="114">
        <f>DD25-DD84</f>
        <v>-235188</v>
      </c>
      <c r="DE85" s="114">
        <f>DE25-DE84</f>
        <v>-244286</v>
      </c>
      <c r="DF85" s="114">
        <f>DF25-DF84</f>
        <v>-263547</v>
      </c>
      <c r="DG85" s="130">
        <f>SUM(DC85:DF85)</f>
        <v>-937293</v>
      </c>
      <c r="DH85" s="114">
        <f>DH25-DH84</f>
        <v>-291516</v>
      </c>
      <c r="DI85" s="114">
        <f>DI25-DI84</f>
        <v>-321313</v>
      </c>
      <c r="DJ85" s="114">
        <f>-((1+DJ86)^(1/4)-1)*AVERAGE('Balance Sheet'!DI50:DJ50)</f>
        <v>-296388.61511343799</v>
      </c>
      <c r="DK85" s="114">
        <f>-((1+DK86)^(1/4)-1)*AVERAGE('Balance Sheet'!DJ50:DK50)</f>
        <v>-286095.52674235112</v>
      </c>
      <c r="DL85" s="130">
        <f>SUM(DH85:DK85)</f>
        <v>-1195313.1418557891</v>
      </c>
      <c r="DM85" s="114">
        <f>-((1+DM86)^(1/4)-1)*AVERAGE('Balance Sheet'!DL50:DM50)</f>
        <v>-302459.08281967527</v>
      </c>
      <c r="DN85" s="114">
        <f>-((1+DN86)^(1/4)-1)*AVERAGE('Balance Sheet'!DM50:DN50)</f>
        <v>-310585.4496531348</v>
      </c>
      <c r="DO85" s="114">
        <f>-((1+DO86)^(1/4)-1)*AVERAGE('Balance Sheet'!DN50:DO50)</f>
        <v>-310585.4496531348</v>
      </c>
      <c r="DP85" s="114">
        <f>-((1+DP86)^(1/4)-1)*AVERAGE('Balance Sheet'!DO50:DP50)</f>
        <v>-310585.4496531348</v>
      </c>
      <c r="DQ85" s="130">
        <f>SUM(DM85:DP85)</f>
        <v>-1234215.4317790796</v>
      </c>
      <c r="DR85" s="114">
        <f>-((1+DR86)^(1/4)-1)*AVERAGE('Balance Sheet'!DQ50:DR50)</f>
        <v>-318711.81648659427</v>
      </c>
      <c r="DS85" s="114">
        <f>-((1+DS86)^(1/4)-1)*AVERAGE('Balance Sheet'!DR50:DS50)</f>
        <v>-326838.18332005379</v>
      </c>
      <c r="DT85" s="114">
        <f>-((1+DT86)^(1/4)-1)*AVERAGE('Balance Sheet'!DS50:DT50)</f>
        <v>-326838.18332005379</v>
      </c>
      <c r="DU85" s="114">
        <f>-((1+DU86)^(1/4)-1)*AVERAGE('Balance Sheet'!DT50:DU50)</f>
        <v>-326838.18332005379</v>
      </c>
      <c r="DV85" s="130">
        <f>SUM(DR85:DU85)</f>
        <v>-1299226.3664467558</v>
      </c>
      <c r="DW85" s="114">
        <f>-((1+DW86)^(1/4)-1)*AVERAGE('Balance Sheet'!DV50:DW50)</f>
        <v>-334964.55015351332</v>
      </c>
      <c r="DX85" s="114">
        <f>-((1+DX86)^(1/4)-1)*AVERAGE('Balance Sheet'!DW50:DX50)</f>
        <v>-343090.91698697285</v>
      </c>
      <c r="DY85" s="114">
        <f>-((1+DY86)^(1/4)-1)*AVERAGE('Balance Sheet'!DX50:DY50)</f>
        <v>-343090.91698697285</v>
      </c>
      <c r="DZ85" s="114">
        <f>-((1+DZ86)^(1/4)-1)*AVERAGE('Balance Sheet'!DY50:DZ50)</f>
        <v>-343090.91698697285</v>
      </c>
      <c r="EA85" s="130">
        <f>SUM(DW85:DZ85)</f>
        <v>-1364237.3011144318</v>
      </c>
      <c r="EB85" s="114">
        <f>-((1+EB86)^(1/4)-1)*AVERAGE('Balance Sheet'!EA50:EB50)</f>
        <v>-351217.28382043238</v>
      </c>
      <c r="EC85" s="114">
        <f>-((1+EC86)^(1/4)-1)*AVERAGE('Balance Sheet'!EB50:EC50)</f>
        <v>-359343.65065389191</v>
      </c>
      <c r="ED85" s="114">
        <f>-((1+ED86)^(1/4)-1)*AVERAGE('Balance Sheet'!EC50:ED50)</f>
        <v>-359343.65065389191</v>
      </c>
      <c r="EE85" s="114">
        <f>-((1+EE86)^(1/4)-1)*AVERAGE('Balance Sheet'!ED50:EE50)</f>
        <v>-359343.65065389191</v>
      </c>
      <c r="EF85" s="130">
        <f>SUM(EB85:EE85)</f>
        <v>-1429248.2357821083</v>
      </c>
    </row>
    <row r="86" spans="1:136" ht="12.75" customHeight="1">
      <c r="A86" s="66" t="s">
        <v>158</v>
      </c>
      <c r="K86" s="272">
        <f>(1-K85/AVERAGE('Balance Sheet'!G50:J50))-1</f>
        <v>0</v>
      </c>
      <c r="L86" s="122">
        <f>(1-L85/AVERAGE('Balance Sheet'!K50:L50))^4-1</f>
        <v>0.39114908510546909</v>
      </c>
      <c r="M86" s="122">
        <f>(1-M85/AVERAGE('Balance Sheet'!L50:M50))^4-1</f>
        <v>0.33505315546139092</v>
      </c>
      <c r="N86" s="122">
        <f>(1-N85/AVERAGE('Balance Sheet'!M50:N50))^4-1</f>
        <v>0.53395001574474432</v>
      </c>
      <c r="O86" s="122">
        <f>(1-O85/AVERAGE('Balance Sheet'!N50:O50))^4-1</f>
        <v>0.75072457277254556</v>
      </c>
      <c r="P86" s="272">
        <f>(1-P85/AVERAGE('Balance Sheet'!L50:O50))-1</f>
        <v>0.42363605480895328</v>
      </c>
      <c r="Q86" s="122">
        <f>(1-Q85/AVERAGE('Balance Sheet'!P50:Q50))^4-1</f>
        <v>0.64884373305523213</v>
      </c>
      <c r="R86" s="122">
        <f>(1-R85/AVERAGE('Balance Sheet'!Q50:R50))^4-1</f>
        <v>0.3768002657274403</v>
      </c>
      <c r="S86" s="122">
        <f>(1-S85/AVERAGE('Balance Sheet'!R50:S50))^4-1</f>
        <v>0.27136033919059344</v>
      </c>
      <c r="T86" s="122">
        <f>(1-T85/AVERAGE('Balance Sheet'!S50:T50))^4-1</f>
        <v>0.25780301359153635</v>
      </c>
      <c r="U86" s="272">
        <f>(1-U85/AVERAGE('Balance Sheet'!Q50:T50))-1</f>
        <v>0.24720684388733183</v>
      </c>
      <c r="V86" s="122">
        <f>(1-V85/AVERAGE('Balance Sheet'!U50:V50))^4-1</f>
        <v>0.12972909574388725</v>
      </c>
      <c r="W86" s="122">
        <f>(1-W85/AVERAGE('Balance Sheet'!V50:W50))^4-1</f>
        <v>0.12339260512137451</v>
      </c>
      <c r="X86" s="122">
        <f>(1-X85/AVERAGE('Balance Sheet'!W50:X50))^4-1</f>
        <v>0.14685236281129876</v>
      </c>
      <c r="Y86" s="122">
        <f>(1-Y85/AVERAGE('Balance Sheet'!X50:Y50))^4-1</f>
        <v>0.21712431410222832</v>
      </c>
      <c r="Z86" s="272">
        <f>(1-Z85/AVERAGE('Balance Sheet'!V50:Y50))-1</f>
        <v>0.13673835603052353</v>
      </c>
      <c r="AA86" s="122">
        <f>(1-AA85/AVERAGE('Balance Sheet'!Z50:AA50))^4-1</f>
        <v>0.12397914565265045</v>
      </c>
      <c r="AB86" s="122">
        <f>(1-AB85/AVERAGE('Balance Sheet'!AA50:AB50))^4-1</f>
        <v>0.11284729945853256</v>
      </c>
      <c r="AC86" s="122">
        <f>(1-AC85/AVERAGE('Balance Sheet'!AB50:AC50))^4-1</f>
        <v>0.10353949776909688</v>
      </c>
      <c r="AD86" s="122">
        <f>(1-AD85/AVERAGE('Balance Sheet'!AC50:AD50))^4-1</f>
        <v>0.10550265766099498</v>
      </c>
      <c r="AE86" s="272">
        <f>(1-AE85/AVERAGE('Balance Sheet'!AA50:AD50))-1</f>
        <v>0.10370341812389428</v>
      </c>
      <c r="AF86" s="122">
        <f>(1-AF85/AVERAGE('Balance Sheet'!AE50:AF50))^4-1</f>
        <v>9.0431320358150824E-2</v>
      </c>
      <c r="AG86" s="122">
        <f>(1-AG85/AVERAGE('Balance Sheet'!AF50:AG50))^4-1</f>
        <v>0.10100922803202339</v>
      </c>
      <c r="AH86" s="122">
        <f>(1-AH85/AVERAGE('Balance Sheet'!AG50:AH50))^4-1</f>
        <v>0.20809052101394032</v>
      </c>
      <c r="AI86" s="122">
        <f>(1-AI85/AVERAGE('Balance Sheet'!AH50:AI50))^4-1</f>
        <v>0.20113117523450952</v>
      </c>
      <c r="AJ86" s="272">
        <f>(1-AJ85/AVERAGE('Balance Sheet'!AF50:AI50))-1</f>
        <v>0.13989167485449139</v>
      </c>
      <c r="AK86" s="122">
        <f>(1-AK85/AVERAGE('Balance Sheet'!AJ50:AK50))^4-1</f>
        <v>0.13611320129180249</v>
      </c>
      <c r="AL86" s="122">
        <f>(1-AL85/AVERAGE('Balance Sheet'!AK50:AL50))^4-1</f>
        <v>0.14237778863684825</v>
      </c>
      <c r="AM86" s="122">
        <f>(1-AM85/AVERAGE('Balance Sheet'!AL50:AM50))^4-1</f>
        <v>0.16841655350300866</v>
      </c>
      <c r="AN86" s="122">
        <f>(1-AN85/AVERAGE('Balance Sheet'!AM50:AN50))^4-1</f>
        <v>0.18905082059209088</v>
      </c>
      <c r="AO86" s="272">
        <f>(1-AO85/AVERAGE('Balance Sheet'!AK50:AN50))-1</f>
        <v>0.14680935100241399</v>
      </c>
      <c r="AP86" s="122">
        <f>(1-AP85/AVERAGE('Balance Sheet'!AO50:AP50))^4-1</f>
        <v>0.12202804855059735</v>
      </c>
      <c r="AQ86" s="122">
        <f>(1-AQ85/AVERAGE('Balance Sheet'!AP50:AQ50))^4-1</f>
        <v>0.11843365971686137</v>
      </c>
      <c r="AR86" s="122">
        <f>(1-AR85/AVERAGE('Balance Sheet'!AQ50:AR50))^4-1</f>
        <v>0.10515278804602701</v>
      </c>
      <c r="AS86" s="122">
        <f>(1-AS85/AVERAGE('Balance Sheet'!AR50:AS50))^4-1</f>
        <v>0.10833667968664562</v>
      </c>
      <c r="AT86" s="272">
        <f>(1-AT85/AVERAGE('Balance Sheet'!AP50:AS50))-1</f>
        <v>0.11039471699063808</v>
      </c>
      <c r="AU86" s="122">
        <f>(1-AU85/AVERAGE('Balance Sheet'!AT50:AU50))^4-1</f>
        <v>9.0592920843654667E-2</v>
      </c>
      <c r="AV86" s="122">
        <f>(1-AV85/AVERAGE('Balance Sheet'!AU50:AV50))^4-1</f>
        <v>8.9409480161046995E-2</v>
      </c>
      <c r="AW86" s="122">
        <f>(1-AW85/AVERAGE('Balance Sheet'!AV50:AW50))^4-1</f>
        <v>0.10152325946689444</v>
      </c>
      <c r="AX86" s="122">
        <f>(1-AX85/AVERAGE('Balance Sheet'!AW50:AX50))^4-1</f>
        <v>9.576798934763664E-2</v>
      </c>
      <c r="AY86" s="272">
        <f>(1-AY85/AVERAGE('Balance Sheet'!AU50:AX50))-1</f>
        <v>9.1007288664013641E-2</v>
      </c>
      <c r="AZ86" s="122">
        <f>(1-AZ85/AVERAGE('Balance Sheet'!AY50:AZ50))^4-1</f>
        <v>9.9075002361978859E-2</v>
      </c>
      <c r="BA86" s="122">
        <f>(1-BA85/AVERAGE('Balance Sheet'!AZ50:BA50))^4-1</f>
        <v>0.10740077309258078</v>
      </c>
      <c r="BB86" s="122">
        <f>(1-BB85/AVERAGE('Balance Sheet'!BA50:BB50))^4-1</f>
        <v>0.10461471045630022</v>
      </c>
      <c r="BC86" s="122">
        <f>(1-BC85/AVERAGE('Balance Sheet'!BB50:BC50))^4-1</f>
        <v>0.11120309011773277</v>
      </c>
      <c r="BD86" s="272">
        <f>(1-BD85/AVERAGE('Balance Sheet'!AZ50:BC50))-1</f>
        <v>0.10256755475188783</v>
      </c>
      <c r="BE86" s="122">
        <f>(1-BE85/AVERAGE('Balance Sheet'!BD50:BE50))^4-1</f>
        <v>0.11690984297886886</v>
      </c>
      <c r="BF86" s="122">
        <f>(1-BF85/AVERAGE('Balance Sheet'!BE50:BF50))^4-1</f>
        <v>0.14478040741186082</v>
      </c>
      <c r="BG86" s="122">
        <f>(1-BG85/AVERAGE('Balance Sheet'!BF50:BG50))^4-1</f>
        <v>0.1382355863376763</v>
      </c>
      <c r="BH86" s="122">
        <f>(1-BH85/AVERAGE('Balance Sheet'!BG50:BH50))^4-1</f>
        <v>0.12859960253021496</v>
      </c>
      <c r="BI86" s="272">
        <f>(1-BI85/AVERAGE('Balance Sheet'!BE50:BH50))-1</f>
        <v>0.12665658465831764</v>
      </c>
      <c r="BJ86" s="122">
        <f>(1-BJ85/AVERAGE('Balance Sheet'!BI50:BJ50))^4-1</f>
        <v>0.1279066262363453</v>
      </c>
      <c r="BK86" s="122">
        <f>(1-BK85/AVERAGE('Balance Sheet'!BJ50:BK50))^4-1</f>
        <v>0.13321960622354023</v>
      </c>
      <c r="BL86" s="122">
        <f>(1-BL85/AVERAGE('Balance Sheet'!BK50:BL50))^4-1</f>
        <v>0.1329451389109122</v>
      </c>
      <c r="BM86" s="122">
        <f>(1-BM85/AVERAGE('Balance Sheet'!BL50:BM50))^4-1</f>
        <v>0.12854288596702257</v>
      </c>
      <c r="BN86" s="272">
        <f>(1-BN85/AVERAGE('Balance Sheet'!BJ50:BM50))-1</f>
        <v>0.12634146747191211</v>
      </c>
      <c r="BO86" s="122">
        <f>(1-BO85/AVERAGE('Balance Sheet'!BN50:BO50))^4-1</f>
        <v>0.11995652389837108</v>
      </c>
      <c r="BP86" s="122">
        <f>(1-BP85/AVERAGE('Balance Sheet'!BO50:BP50))^4-1</f>
        <v>0.1103206238663621</v>
      </c>
      <c r="BQ86" s="122">
        <f>(1-BQ85/AVERAGE('Balance Sheet'!BP50:BQ50))^4-1</f>
        <v>0.10594309053642559</v>
      </c>
      <c r="BR86" s="122">
        <f>(1-BR85/AVERAGE('Balance Sheet'!BQ50:BR50))^4-1</f>
        <v>8.8181138442811946E-2</v>
      </c>
      <c r="BS86" s="272">
        <f>(1-BS85/AVERAGE('Balance Sheet'!BO50:BR50))-1</f>
        <v>0.10639175707320336</v>
      </c>
      <c r="BT86" s="122">
        <f>(1-BT85/AVERAGE('Balance Sheet'!BS50:BT50))^4-1</f>
        <v>8.9153819026317249E-2</v>
      </c>
      <c r="BU86" s="122">
        <f>(1-BU85/AVERAGE('Balance Sheet'!BT50:BU50))^4-1</f>
        <v>8.3463032379375246E-2</v>
      </c>
      <c r="BV86" s="122">
        <f>(1-BV85/AVERAGE('Balance Sheet'!BU50:BV50))^4-1</f>
        <v>8.2538070838338973E-2</v>
      </c>
      <c r="BW86" s="122">
        <f>(1-BW85/AVERAGE('Balance Sheet'!BV50:BW50))^4-1</f>
        <v>7.5502138636966754E-2</v>
      </c>
      <c r="BX86" s="272">
        <f>(1-BX85/AVERAGE('Balance Sheet'!BT50:BW50))-1</f>
        <v>8.0917325538108598E-2</v>
      </c>
      <c r="BY86" s="122">
        <f>(1-BY85/AVERAGE('Balance Sheet'!BX50:BY50))^4-1</f>
        <v>7.869662033450564E-2</v>
      </c>
      <c r="BZ86" s="122">
        <f>(1-BZ85/AVERAGE('Balance Sheet'!BY50:BZ50))^4-1</f>
        <v>6.7789523046596356E-2</v>
      </c>
      <c r="CA86" s="122">
        <f>(1-CA85/AVERAGE('Balance Sheet'!BZ50:CA50))^4-1</f>
        <v>7.5030566563722312E-2</v>
      </c>
      <c r="CB86" s="122">
        <f>(1-CB85/AVERAGE('Balance Sheet'!CA50:CB50))^4-1</f>
        <v>6.8447538271087627E-2</v>
      </c>
      <c r="CC86" s="272">
        <f>(1-CC85/AVERAGE('Balance Sheet'!BY50:CB50))-1</f>
        <v>6.9752509891745529E-2</v>
      </c>
      <c r="CD86" s="122">
        <f>(1-CD85/AVERAGE('Balance Sheet'!CC50:CD50))^4-1</f>
        <v>4.4991227040847681E-2</v>
      </c>
      <c r="CE86" s="122">
        <f>(1-CE85/AVERAGE('Balance Sheet'!CD50:CE50))^4-1</f>
        <v>5.5594468983046985E-2</v>
      </c>
      <c r="CF86" s="122">
        <f>(1-CF85/AVERAGE('Balance Sheet'!CE50:CF50))^4-1</f>
        <v>5.1306901783288561E-2</v>
      </c>
      <c r="CG86" s="122">
        <f>(1-CG85/AVERAGE('Balance Sheet'!CF50:CG50))^4-1</f>
        <v>3.9233528577719445E-2</v>
      </c>
      <c r="CH86" s="272">
        <f>(1-CH85/AVERAGE('Balance Sheet'!CD50:CG50))-1</f>
        <v>4.6696454627877193E-2</v>
      </c>
      <c r="CI86" s="122">
        <f>(1-CI85/AVERAGE('Balance Sheet'!CH50:CI50))^4-1</f>
        <v>6.671056352255178E-2</v>
      </c>
      <c r="CJ86" s="122">
        <f>(1-CJ85/AVERAGE('Balance Sheet'!CI50:CJ50))^4-1</f>
        <v>5.9323331684874914E-2</v>
      </c>
      <c r="CK86" s="122">
        <f>(1-CK85/AVERAGE('Balance Sheet'!CJ50:CK50))^4-1</f>
        <v>8.1176448765054365E-2</v>
      </c>
      <c r="CL86" s="122">
        <f>(1-CL85/AVERAGE('Balance Sheet'!CK50:CL50))^4-1</f>
        <v>0.10244384590548727</v>
      </c>
      <c r="CM86" s="272">
        <f>(1-CM85/AVERAGE('Balance Sheet'!CI50:CL50))-1</f>
        <v>7.3688868233783733E-2</v>
      </c>
      <c r="CN86" s="122">
        <f>(1-CN85/AVERAGE('Balance Sheet'!CM50:CN50))^4-1</f>
        <v>0.11057125133787982</v>
      </c>
      <c r="CO86" s="122">
        <f>(1-CO85/AVERAGE('Balance Sheet'!CN50:CO50))^4-1</f>
        <v>0.12785426807645517</v>
      </c>
      <c r="CP86" s="122">
        <f>(1-CP85/AVERAGE('Balance Sheet'!CO50:CP50))^4-1</f>
        <v>0.13950260830239358</v>
      </c>
      <c r="CQ86" s="122">
        <f>(1-CQ85/AVERAGE('Balance Sheet'!CP50:CQ50))^4-1</f>
        <v>0.18780831254913899</v>
      </c>
      <c r="CR86" s="272">
        <f>(1-CR85/AVERAGE('Balance Sheet'!CN50:CQ50))-1</f>
        <v>0.13144795289049394</v>
      </c>
      <c r="CS86" s="122">
        <f>(1-CS85/AVERAGE('Balance Sheet'!CR50:CS50))^4-1</f>
        <v>0.1446016482785315</v>
      </c>
      <c r="CT86" s="122">
        <f>(1-CT85/AVERAGE('Balance Sheet'!CS50:CT50))^4-1</f>
        <v>0.1535394782151891</v>
      </c>
      <c r="CU86" s="122">
        <f>(1-CU85/AVERAGE('Balance Sheet'!CT50:CU50))^4-1</f>
        <v>0.13287811069569866</v>
      </c>
      <c r="CV86" s="122">
        <f>(1-CV85/AVERAGE('Balance Sheet'!CU50:CV50))^4-1</f>
        <v>0.13381436996474427</v>
      </c>
      <c r="CW86" s="272">
        <f>(1-CW85/AVERAGE('Balance Sheet'!CS50:CV50))-1</f>
        <v>0.13376008345628998</v>
      </c>
      <c r="CX86" s="122">
        <f>(1-CX85/AVERAGE('Balance Sheet'!CW50:CX50))^4-1</f>
        <v>0.12963982637800031</v>
      </c>
      <c r="CY86" s="122">
        <f>(1-CY85/AVERAGE('Balance Sheet'!CX50:CY50))^4-1</f>
        <v>0.14006711670973804</v>
      </c>
      <c r="CZ86" s="122">
        <f>(1-CZ85/AVERAGE('Balance Sheet'!CY50:CZ50))^4-1</f>
        <v>0.1259435823234254</v>
      </c>
      <c r="DA86" s="122">
        <f>(1-DA85/AVERAGE('Balance Sheet'!CZ50:DA50))^4-1</f>
        <v>0.13890736147855187</v>
      </c>
      <c r="DB86" s="272">
        <f>(1-DB85/AVERAGE('Balance Sheet'!CX50:DA50))-1</f>
        <v>0.12490058737466025</v>
      </c>
      <c r="DC86" s="122">
        <f>(1-DC85/AVERAGE('Balance Sheet'!DB50:DC50))^4-1</f>
        <v>0.13247984494266785</v>
      </c>
      <c r="DD86" s="122">
        <f>(1-DD85/AVERAGE('Balance Sheet'!DC50:DD50))^4-1</f>
        <v>0.14906430366194501</v>
      </c>
      <c r="DE86" s="122">
        <f>(1-DE85/AVERAGE('Balance Sheet'!DD50:DE50))^4-1</f>
        <v>0.13837435047382218</v>
      </c>
      <c r="DF86" s="122">
        <f>(1-DF85/AVERAGE('Balance Sheet'!DE50:DF50))^4-1</f>
        <v>0.13345007738589865</v>
      </c>
      <c r="DG86" s="272">
        <f>(1-DG85/AVERAGE('Balance Sheet'!DC50:DF50))-1</f>
        <v>0.12549007584387373</v>
      </c>
      <c r="DH86" s="122">
        <f>(1-DH85/AVERAGE('Balance Sheet'!DG50:DH50))^4-1</f>
        <v>0.13785055428299398</v>
      </c>
      <c r="DI86" s="122">
        <f>(1-DI85/AVERAGE('Balance Sheet'!DH50:DI50))^4-1</f>
        <v>0.15082128742035628</v>
      </c>
      <c r="DJ86" s="122">
        <f>DJ87*Macro!DJ17</f>
        <v>0.13750000000000001</v>
      </c>
      <c r="DK86" s="122">
        <f>DK87*Macro!DK17</f>
        <v>0.13250000000000001</v>
      </c>
      <c r="DL86" s="272">
        <f>(1-DL85/AVERAGE('Balance Sheet'!DH50:DK50))-1</f>
        <v>0.13248558585096415</v>
      </c>
      <c r="DM86" s="122">
        <f>DM87*Macro!DM17</f>
        <v>0.13650000000000001</v>
      </c>
      <c r="DN86" s="122">
        <f>DN87*Macro!DN17</f>
        <v>0.13650000000000001</v>
      </c>
      <c r="DO86" s="122">
        <f>DO87*Macro!DO17</f>
        <v>0.13650000000000001</v>
      </c>
      <c r="DP86" s="122">
        <f>DP87*Macro!DP17</f>
        <v>0.13650000000000001</v>
      </c>
      <c r="DQ86" s="272">
        <f>(1-DQ85/AVERAGE('Balance Sheet'!DM50:DP50))-1</f>
        <v>0.12917137440088955</v>
      </c>
      <c r="DR86" s="122">
        <f>DR87*Macro!DR17</f>
        <v>0.13650000000000001</v>
      </c>
      <c r="DS86" s="122">
        <f>DS87*Macro!DS17</f>
        <v>0.13650000000000001</v>
      </c>
      <c r="DT86" s="122">
        <f>DT87*Macro!DT17</f>
        <v>0.13650000000000001</v>
      </c>
      <c r="DU86" s="122">
        <f>DU87*Macro!DU17</f>
        <v>0.13650000000000001</v>
      </c>
      <c r="DV86" s="272">
        <f>(1-DV85/AVERAGE('Balance Sheet'!DR50:DU50))-1</f>
        <v>0.12921366709605286</v>
      </c>
      <c r="DW86" s="122">
        <f>DW87*Macro!DW17</f>
        <v>0.13650000000000001</v>
      </c>
      <c r="DX86" s="122">
        <f>DX87*Macro!DX17</f>
        <v>0.13650000000000001</v>
      </c>
      <c r="DY86" s="122">
        <f>DY87*Macro!DY17</f>
        <v>0.13650000000000001</v>
      </c>
      <c r="DZ86" s="122">
        <f>DZ87*Macro!DZ17</f>
        <v>0.13650000000000001</v>
      </c>
      <c r="EA86" s="272">
        <f>(1-EA85/AVERAGE('Balance Sheet'!DW50:DZ50))-1</f>
        <v>0.12925195285383317</v>
      </c>
      <c r="EB86" s="122">
        <f>EB87*Macro!EB17</f>
        <v>0.13650000000000001</v>
      </c>
      <c r="EC86" s="122">
        <f>EC87*Macro!EC17</f>
        <v>0.13650000000000001</v>
      </c>
      <c r="ED86" s="122">
        <f>ED87*Macro!ED17</f>
        <v>0.13650000000000001</v>
      </c>
      <c r="EE86" s="122">
        <f>EE87*Macro!EE17</f>
        <v>0.13650000000000001</v>
      </c>
      <c r="EF86" s="272">
        <f>(1-EF85/AVERAGE('Balance Sheet'!EB50:EE50))-1</f>
        <v>0.12928677536286348</v>
      </c>
    </row>
    <row r="87" spans="1:136" s="131" customFormat="1" ht="12.75" customHeight="1">
      <c r="A87" s="131" t="s">
        <v>159</v>
      </c>
      <c r="F87" s="91"/>
      <c r="K87" s="91"/>
      <c r="P87" s="91"/>
      <c r="U87" s="91">
        <f>U86/Macro!U17</f>
        <v>2.0923358270784433</v>
      </c>
      <c r="V87" s="131">
        <f>V86/Macro!V17</f>
        <v>1.2085393120755066</v>
      </c>
      <c r="W87" s="131">
        <f>W86/Macro!W17</f>
        <v>1.0786807735117547</v>
      </c>
      <c r="X87" s="131">
        <f>X86/Macro!X17</f>
        <v>1.092374141539153</v>
      </c>
      <c r="Y87" s="131">
        <f>Y86/Macro!Y17</f>
        <v>1.5577766169196057</v>
      </c>
      <c r="Z87" s="91">
        <f>Z86/Macro!Z17</f>
        <v>1.1044374673858108</v>
      </c>
      <c r="AA87" s="131">
        <f>AA86/Macro!AA17</f>
        <v>1.0281125554772379</v>
      </c>
      <c r="AB87" s="131">
        <f>AB86/Macro!AB17</f>
        <v>1.1445838310263132</v>
      </c>
      <c r="AC87" s="131">
        <f>AC86/Macro!AC17</f>
        <v>1.1516706376236094</v>
      </c>
      <c r="AD87" s="131">
        <f>AD86/Macro!AD17</f>
        <v>1.2265571489256768</v>
      </c>
      <c r="AE87" s="91">
        <f>AE86/Macro!AE17</f>
        <v>1.0507567006800147</v>
      </c>
      <c r="AF87" s="131">
        <f>AF86/Macro!AF17</f>
        <v>1.0335008040931524</v>
      </c>
      <c r="AG87" s="131">
        <f>AG86/Macro!AG17</f>
        <v>1.0359920823797271</v>
      </c>
      <c r="AH87" s="131">
        <f>AH86/Macro!AH17</f>
        <v>1.9357257768738634</v>
      </c>
      <c r="AI87" s="131">
        <f>AI86/Macro!AI17</f>
        <v>1.8709876766000886</v>
      </c>
      <c r="AJ87" s="91">
        <f>AJ86/Macro!AJ17</f>
        <v>1.3989167485449139</v>
      </c>
      <c r="AK87" s="131">
        <f>AK86/Macro!AK17</f>
        <v>1.200998834927669</v>
      </c>
      <c r="AL87" s="131">
        <f>AL86/Macro!AL17</f>
        <v>1.1852867264833289</v>
      </c>
      <c r="AM87" s="131">
        <f>AM86/Macro!AM17</f>
        <v>1.3713844005882321</v>
      </c>
      <c r="AN87" s="131">
        <f>AN86/Macro!AN17</f>
        <v>1.6561055712245156</v>
      </c>
      <c r="AO87" s="91">
        <f>AO86/Macro!AO17</f>
        <v>1.253887695394283</v>
      </c>
      <c r="AP87" s="131">
        <f>AP86/Macro!AP17</f>
        <v>1.1905175468350961</v>
      </c>
      <c r="AQ87" s="131">
        <f>AQ86/Macro!AQ17</f>
        <v>1.3665422275022467</v>
      </c>
      <c r="AR87" s="131">
        <f>AR86/Macro!AR17</f>
        <v>1.3715581049481782</v>
      </c>
      <c r="AS87" s="131">
        <f>AS86/Macro!AS17</f>
        <v>1.4942990301606294</v>
      </c>
      <c r="AT87" s="91">
        <f>AT86/Macro!AT17</f>
        <v>1.3052106525258698</v>
      </c>
      <c r="AU87" s="131">
        <f>AU86/Macro!AU17</f>
        <v>1.2495575288779954</v>
      </c>
      <c r="AV87" s="131">
        <f>AV86/Macro!AV17</f>
        <v>1.1413976190771957</v>
      </c>
      <c r="AW87" s="131">
        <f>AW86/Macro!AW17</f>
        <v>1.1493199184931446</v>
      </c>
      <c r="AX87" s="131">
        <f>AX86/Macro!AX17</f>
        <v>0.97391175607766067</v>
      </c>
      <c r="AY87" s="91">
        <f>AY86/Macro!AY17</f>
        <v>1.0782854107110622</v>
      </c>
      <c r="AZ87" s="131">
        <f>AZ86/Macro!AZ17</f>
        <v>0.92882814714355189</v>
      </c>
      <c r="BA87" s="131">
        <f>BA86/Macro!BA17</f>
        <v>0.97637066447800713</v>
      </c>
      <c r="BB87" s="131">
        <f>BB86/Macro!BB17</f>
        <v>0.95104282233000204</v>
      </c>
      <c r="BC87" s="131">
        <f>BC86/Macro!BC17</f>
        <v>1.0109371828884797</v>
      </c>
      <c r="BD87" s="91">
        <f>BD86/Macro!BD17</f>
        <v>0.93066968394907668</v>
      </c>
      <c r="BE87" s="131">
        <f>BE86/Macro!BE17</f>
        <v>0.95436606513362332</v>
      </c>
      <c r="BF87" s="131">
        <f>BF86/Macro!BF17</f>
        <v>1.0926823200895155</v>
      </c>
      <c r="BG87" s="131">
        <f>BG86/Macro!BG17</f>
        <v>0.98739704526911631</v>
      </c>
      <c r="BH87" s="131">
        <f>BH86/Macro!BH17</f>
        <v>0.90245335108922786</v>
      </c>
      <c r="BI87" s="91">
        <f>BI86/Macro!BI17</f>
        <v>0.93244111404896424</v>
      </c>
      <c r="BJ87" s="131">
        <f>BJ86/Macro!BJ17</f>
        <v>0.89759035955330047</v>
      </c>
      <c r="BK87" s="131">
        <f>BK86/Macro!BK17</f>
        <v>0.9348744296388789</v>
      </c>
      <c r="BL87" s="131">
        <f>BL86/Macro!BL17</f>
        <v>0.93294834323447162</v>
      </c>
      <c r="BM87" s="131">
        <f>BM86/Macro!BM17</f>
        <v>0.91816347119301822</v>
      </c>
      <c r="BN87" s="91">
        <f>BN86/Macro!BN17</f>
        <v>0.90243905337080066</v>
      </c>
      <c r="BO87" s="131">
        <f>BO86/Macro!BO17</f>
        <v>0.92274249152593135</v>
      </c>
      <c r="BP87" s="131">
        <f>BP86/Macro!BP17</f>
        <v>0.98062776770099624</v>
      </c>
      <c r="BQ87" s="131">
        <f>BQ86/Macro!BQ17</f>
        <v>1.1151904266992168</v>
      </c>
      <c r="BR87" s="131">
        <f>BR86/Macro!BR17</f>
        <v>1.1197604881626912</v>
      </c>
      <c r="BS87" s="91">
        <f>BS86/Macro!BS17</f>
        <v>1.112593538020427</v>
      </c>
      <c r="BT87" s="131">
        <f>BT86/Macro!BT17</f>
        <v>1.2889708774889237</v>
      </c>
      <c r="BU87" s="131">
        <f>BU86/Macro!BU17</f>
        <v>1.2364893685833369</v>
      </c>
      <c r="BV87" s="131">
        <f>BV86/Macro!BV17</f>
        <v>1.2537428481773008</v>
      </c>
      <c r="BW87" s="131">
        <f>BW86/Macro!BW17</f>
        <v>1.1615713636456424</v>
      </c>
      <c r="BX87" s="91">
        <f>BX86/Macro!BX17</f>
        <v>1.2213935930280542</v>
      </c>
      <c r="BY87" s="131">
        <f>BY86/Macro!BY17</f>
        <v>1.2591459253520902</v>
      </c>
      <c r="BZ87" s="131">
        <f>BZ86/Macro!BZ17</f>
        <v>1.1789482268973279</v>
      </c>
      <c r="CA87" s="131">
        <f>CA86/Macro!CA17</f>
        <v>1.4291536488328058</v>
      </c>
      <c r="CB87" s="131">
        <f>CB86/Macro!CB17</f>
        <v>1.441000805707108</v>
      </c>
      <c r="CC87" s="91">
        <f>CC86/Macro!CC17</f>
        <v>1.3286192360332485</v>
      </c>
      <c r="CD87" s="131">
        <f>CD86/Macro!CD17</f>
        <v>1.0906964131114592</v>
      </c>
      <c r="CE87" s="131">
        <f>CE86/Macro!CE17</f>
        <v>1.6472435254236142</v>
      </c>
      <c r="CF87" s="131">
        <f>CF86/Macro!CF17</f>
        <v>1.9545486393633738</v>
      </c>
      <c r="CG87" s="131">
        <f>CG86/Macro!CG17</f>
        <v>1.7437123812319755</v>
      </c>
      <c r="CH87" s="91">
        <f>CH86/Macro!CH17</f>
        <v>1.660318386768967</v>
      </c>
      <c r="CI87" s="131">
        <f>CI86/Macro!CI17</f>
        <v>2.0928804242369186</v>
      </c>
      <c r="CJ87" s="131">
        <f>CJ86/Macro!CJ17</f>
        <v>1.1718188974790107</v>
      </c>
      <c r="CK87" s="131">
        <f>CK86/Macro!CK17</f>
        <v>1.170110973189973</v>
      </c>
      <c r="CL87" s="131">
        <f>CL86/Macro!CL17</f>
        <v>1.1624833577927633</v>
      </c>
      <c r="CM87" s="91">
        <f>CM86/Macro!CM17</f>
        <v>1.0621818844509368</v>
      </c>
      <c r="CN87" s="131">
        <f>CN86/Macro!CN17</f>
        <v>1.0285697798872542</v>
      </c>
      <c r="CO87" s="131">
        <f>CO86/Macro!CO17</f>
        <v>1.0228341446116413</v>
      </c>
      <c r="CP87" s="131">
        <f>CP86/Macro!CP17</f>
        <v>1.0333526540918043</v>
      </c>
      <c r="CQ87" s="131">
        <f>CQ86/Macro!CQ17</f>
        <v>1.3658786367210107</v>
      </c>
      <c r="CR87" s="91">
        <f>CR86/Macro!CR17</f>
        <v>1.0015082124990013</v>
      </c>
      <c r="CS87" s="131">
        <f>CS86/Macro!CS17</f>
        <v>1.0711233205817148</v>
      </c>
      <c r="CT87" s="131">
        <f>CT86/Macro!CT17</f>
        <v>1.1810729093476084</v>
      </c>
      <c r="CU87" s="131">
        <f>CU86/Macro!CU17</f>
        <v>1.0630248855655893</v>
      </c>
      <c r="CV87" s="131">
        <f>CV86/Macro!CV17</f>
        <v>1.1151197497062024</v>
      </c>
      <c r="CW87" s="91">
        <f>CW86/Macro!CW17</f>
        <v>1.0700806676503198</v>
      </c>
      <c r="CX87" s="131">
        <f>CX86/Macro!CX17</f>
        <v>1.1334629628677624</v>
      </c>
      <c r="CY87" s="131">
        <f>CY86/Macro!CY17</f>
        <v>1.2954184204368835</v>
      </c>
      <c r="CZ87" s="131">
        <f>CZ86/Macro!CZ17</f>
        <v>1.1853513630440038</v>
      </c>
      <c r="DA87" s="131">
        <f>DA86/Macro!DA17</f>
        <v>1.2078900998134947</v>
      </c>
      <c r="DB87" s="91">
        <f>DB86/Macro!DB17</f>
        <v>1.1195570857112405</v>
      </c>
      <c r="DC87" s="131">
        <f>DC86/Macro!DC17</f>
        <v>0.9998478863597573</v>
      </c>
      <c r="DD87" s="131">
        <f>DD86/Macro!DD17</f>
        <v>1.0192431019620172</v>
      </c>
      <c r="DE87" s="131">
        <f>DE86/Macro!DE17</f>
        <v>0.92249566982548126</v>
      </c>
      <c r="DF87" s="131">
        <f>DF86/Macro!DF17</f>
        <v>0.88966718257265764</v>
      </c>
      <c r="DG87" s="91">
        <f>DG86/Macro!DG17</f>
        <v>0.84719038544387326</v>
      </c>
      <c r="DH87" s="131">
        <f>DH86/Macro!DH17</f>
        <v>0.93458002903724713</v>
      </c>
      <c r="DI87" s="131">
        <f>DI86/Macro!DI17</f>
        <v>1.0583949994410966</v>
      </c>
      <c r="DJ87" s="274">
        <v>1</v>
      </c>
      <c r="DK87" s="274">
        <v>1</v>
      </c>
      <c r="DL87" s="91">
        <f>DL86/Macro!DL17</f>
        <v>0.9635315334615574</v>
      </c>
      <c r="DM87" s="274">
        <v>1.05</v>
      </c>
      <c r="DN87" s="274">
        <f t="shared" ref="DN87:DP88" si="248">DM87</f>
        <v>1.05</v>
      </c>
      <c r="DO87" s="274">
        <f t="shared" si="248"/>
        <v>1.05</v>
      </c>
      <c r="DP87" s="274">
        <f t="shared" si="248"/>
        <v>1.05</v>
      </c>
      <c r="DQ87" s="91">
        <f>DQ86/Macro!DQ17</f>
        <v>0.99362595692991962</v>
      </c>
      <c r="DR87" s="274">
        <f>DP87</f>
        <v>1.05</v>
      </c>
      <c r="DS87" s="274">
        <f t="shared" ref="DS87:DU88" si="249">DR87</f>
        <v>1.05</v>
      </c>
      <c r="DT87" s="274">
        <f t="shared" si="249"/>
        <v>1.05</v>
      </c>
      <c r="DU87" s="274">
        <f t="shared" si="249"/>
        <v>1.05</v>
      </c>
      <c r="DV87" s="91">
        <f>DV86/Macro!DV17</f>
        <v>0.99395128535425281</v>
      </c>
      <c r="DW87" s="274">
        <f>DU87</f>
        <v>1.05</v>
      </c>
      <c r="DX87" s="274">
        <f t="shared" ref="DX87:DZ88" si="250">DW87</f>
        <v>1.05</v>
      </c>
      <c r="DY87" s="274">
        <f t="shared" si="250"/>
        <v>1.05</v>
      </c>
      <c r="DZ87" s="274">
        <f t="shared" si="250"/>
        <v>1.05</v>
      </c>
      <c r="EA87" s="91">
        <f>EA86/Macro!EA17</f>
        <v>0.99424579118333212</v>
      </c>
      <c r="EB87" s="274">
        <f>DZ87</f>
        <v>1.05</v>
      </c>
      <c r="EC87" s="274">
        <f t="shared" ref="EC87:EE88" si="251">EB87</f>
        <v>1.05</v>
      </c>
      <c r="ED87" s="274">
        <f t="shared" si="251"/>
        <v>1.05</v>
      </c>
      <c r="EE87" s="274">
        <f t="shared" si="251"/>
        <v>1.05</v>
      </c>
      <c r="EF87" s="91">
        <f>EF86/Macro!EF17</f>
        <v>0.99451365663741131</v>
      </c>
    </row>
    <row r="88" spans="1:136" s="131" customFormat="1" ht="12.75" customHeight="1">
      <c r="A88" s="131" t="s">
        <v>661</v>
      </c>
      <c r="F88" s="91"/>
      <c r="K88" s="91"/>
      <c r="P88" s="91"/>
      <c r="U88" s="91">
        <f>U84/-U85</f>
        <v>0.27781882062794289</v>
      </c>
      <c r="Z88" s="91">
        <f t="shared" ref="Z88:AF88" si="252">Z84/-Z85</f>
        <v>0.18174435601754102</v>
      </c>
      <c r="AA88" s="131">
        <f t="shared" si="252"/>
        <v>0.17006499866441099</v>
      </c>
      <c r="AB88" s="131">
        <f t="shared" si="252"/>
        <v>0.193858782397203</v>
      </c>
      <c r="AC88" s="131">
        <f t="shared" si="252"/>
        <v>0.21534191925762108</v>
      </c>
      <c r="AD88" s="131">
        <f t="shared" si="252"/>
        <v>0.15357561547479484</v>
      </c>
      <c r="AE88" s="91">
        <f t="shared" si="252"/>
        <v>0.18271602251624883</v>
      </c>
      <c r="AF88" s="131">
        <f t="shared" si="252"/>
        <v>0.13498507761308501</v>
      </c>
      <c r="AG88" s="131">
        <f t="shared" ref="AG88:BO88" si="253">AG84/-AG85</f>
        <v>0.14947674418604651</v>
      </c>
      <c r="AH88" s="131">
        <f t="shared" si="253"/>
        <v>0.58707832420088191</v>
      </c>
      <c r="AI88" s="131">
        <f t="shared" si="253"/>
        <v>0.66901719100620771</v>
      </c>
      <c r="AJ88" s="91">
        <f t="shared" si="253"/>
        <v>0.48405268518582967</v>
      </c>
      <c r="AK88" s="131">
        <f t="shared" si="253"/>
        <v>0.52765586786827035</v>
      </c>
      <c r="AL88" s="131">
        <f t="shared" si="253"/>
        <v>0.49432256000930491</v>
      </c>
      <c r="AM88" s="131">
        <f t="shared" si="253"/>
        <v>0.47885250709712407</v>
      </c>
      <c r="AN88" s="131">
        <f t="shared" si="253"/>
        <v>0.55694902094458965</v>
      </c>
      <c r="AO88" s="91">
        <f t="shared" si="253"/>
        <v>0.51653364442917049</v>
      </c>
      <c r="AP88" s="131">
        <f t="shared" si="253"/>
        <v>0.4957345497897615</v>
      </c>
      <c r="AQ88" s="131">
        <f t="shared" si="253"/>
        <v>0.44331828761367947</v>
      </c>
      <c r="AR88" s="131">
        <f t="shared" si="253"/>
        <v>0.61262168512923798</v>
      </c>
      <c r="AS88" s="131">
        <f t="shared" si="253"/>
        <v>0.58236084037253633</v>
      </c>
      <c r="AT88" s="91">
        <f t="shared" si="253"/>
        <v>0.52839198362586037</v>
      </c>
      <c r="AU88" s="131">
        <f t="shared" si="253"/>
        <v>0.55827605183930251</v>
      </c>
      <c r="AV88" s="131">
        <f t="shared" si="253"/>
        <v>0.54991318951919477</v>
      </c>
      <c r="AW88" s="131">
        <f t="shared" si="253"/>
        <v>0.54582670229909214</v>
      </c>
      <c r="AX88" s="131">
        <f t="shared" si="253"/>
        <v>0.45929554466993233</v>
      </c>
      <c r="AY88" s="91">
        <f t="shared" si="253"/>
        <v>0.52732372977875264</v>
      </c>
      <c r="AZ88" s="131">
        <f t="shared" si="253"/>
        <v>0.44632716614764611</v>
      </c>
      <c r="BA88" s="131">
        <f t="shared" si="253"/>
        <v>0.41992801571179311</v>
      </c>
      <c r="BB88" s="131">
        <f t="shared" si="253"/>
        <v>0.39881209892566155</v>
      </c>
      <c r="BC88" s="131">
        <f t="shared" si="253"/>
        <v>0.4072014755807426</v>
      </c>
      <c r="BD88" s="91">
        <f t="shared" si="253"/>
        <v>0.41795714374406867</v>
      </c>
      <c r="BE88" s="131">
        <f t="shared" si="253"/>
        <v>0.42730493281565907</v>
      </c>
      <c r="BF88" s="131">
        <f t="shared" si="253"/>
        <v>0.35850464851703973</v>
      </c>
      <c r="BG88" s="131">
        <f t="shared" si="253"/>
        <v>0.35584127687874084</v>
      </c>
      <c r="BH88" s="131">
        <f t="shared" si="253"/>
        <v>0.40300566402129284</v>
      </c>
      <c r="BI88" s="91">
        <f t="shared" si="253"/>
        <v>0.38371230675109719</v>
      </c>
      <c r="BJ88" s="131">
        <f t="shared" si="253"/>
        <v>0.49577280304834487</v>
      </c>
      <c r="BK88" s="131">
        <f t="shared" si="253"/>
        <v>0.51994669635477286</v>
      </c>
      <c r="BL88" s="131">
        <f t="shared" si="253"/>
        <v>0.52732726448327583</v>
      </c>
      <c r="BM88" s="131">
        <f t="shared" si="253"/>
        <v>0.48340464688290774</v>
      </c>
      <c r="BN88" s="91">
        <f t="shared" si="253"/>
        <v>0.50696087243224652</v>
      </c>
      <c r="BO88" s="131">
        <f t="shared" si="253"/>
        <v>0.49140275033743469</v>
      </c>
      <c r="BP88" s="131">
        <f t="shared" ref="BP88:BU88" si="254">BP84/-BP85</f>
        <v>0.52704849008133203</v>
      </c>
      <c r="BQ88" s="131">
        <f t="shared" si="254"/>
        <v>0.49914253048780488</v>
      </c>
      <c r="BR88" s="131">
        <f t="shared" si="254"/>
        <v>0.52611218568665374</v>
      </c>
      <c r="BS88" s="91">
        <f t="shared" si="254"/>
        <v>0.50934866752941044</v>
      </c>
      <c r="BT88" s="131">
        <f t="shared" si="254"/>
        <v>0.43567686686899537</v>
      </c>
      <c r="BU88" s="131">
        <f t="shared" si="254"/>
        <v>0.38091011430550747</v>
      </c>
      <c r="BV88" s="131">
        <f t="shared" ref="BV88:CX88" si="255">BV84/-BV85</f>
        <v>6.2698977489793625E-2</v>
      </c>
      <c r="BW88" s="131">
        <f t="shared" si="255"/>
        <v>0.12207855773544887</v>
      </c>
      <c r="BX88" s="91">
        <f t="shared" si="255"/>
        <v>0.24689675825409899</v>
      </c>
      <c r="BY88" s="131">
        <f t="shared" si="255"/>
        <v>0.12485408894280287</v>
      </c>
      <c r="BZ88" s="131">
        <f t="shared" si="255"/>
        <v>0.1034305611050859</v>
      </c>
      <c r="CA88" s="131">
        <f t="shared" si="255"/>
        <v>6.6831386283493652E-2</v>
      </c>
      <c r="CB88" s="131">
        <f t="shared" si="255"/>
        <v>3.0369780194029153E-2</v>
      </c>
      <c r="CC88" s="91">
        <f t="shared" si="255"/>
        <v>8.0697774235084924E-2</v>
      </c>
      <c r="CD88" s="131">
        <f t="shared" si="255"/>
        <v>3.2571369107495925E-2</v>
      </c>
      <c r="CE88" s="131">
        <f t="shared" si="255"/>
        <v>5.4346115511724281E-2</v>
      </c>
      <c r="CF88" s="131">
        <f t="shared" si="255"/>
        <v>0.10881320830696657</v>
      </c>
      <c r="CG88" s="131">
        <f t="shared" si="255"/>
        <v>0.10452351292432265</v>
      </c>
      <c r="CH88" s="91">
        <f t="shared" si="255"/>
        <v>7.4398197929502627E-2</v>
      </c>
      <c r="CI88" s="131">
        <f t="shared" si="255"/>
        <v>5.833698030634573E-2</v>
      </c>
      <c r="CJ88" s="131">
        <f t="shared" si="255"/>
        <v>6.25385360697613E-2</v>
      </c>
      <c r="CK88" s="131">
        <f t="shared" si="255"/>
        <v>8.0436474717657247E-2</v>
      </c>
      <c r="CL88" s="131">
        <f t="shared" si="255"/>
        <v>9.4903536436179173E-2</v>
      </c>
      <c r="CM88" s="91">
        <f t="shared" si="255"/>
        <v>7.828709968425801E-2</v>
      </c>
      <c r="CN88" s="131">
        <f t="shared" si="255"/>
        <v>0.1331149642896495</v>
      </c>
      <c r="CO88" s="131">
        <f t="shared" si="255"/>
        <v>0.13422607716882129</v>
      </c>
      <c r="CP88" s="131">
        <f t="shared" si="255"/>
        <v>0.14037473032873882</v>
      </c>
      <c r="CQ88" s="131">
        <f t="shared" si="255"/>
        <v>0.10568856052303389</v>
      </c>
      <c r="CR88" s="91">
        <f t="shared" si="255"/>
        <v>0.12509236741589794</v>
      </c>
      <c r="CS88" s="131">
        <f t="shared" si="255"/>
        <v>0.15244870328439039</v>
      </c>
      <c r="CT88" s="131">
        <f t="shared" si="255"/>
        <v>0.1761049456175795</v>
      </c>
      <c r="CU88" s="131">
        <f t="shared" si="255"/>
        <v>0.19961114306434269</v>
      </c>
      <c r="CV88" s="131">
        <f t="shared" si="255"/>
        <v>0.1703929890989038</v>
      </c>
      <c r="CW88" s="91">
        <f t="shared" si="255"/>
        <v>0.17428617094012033</v>
      </c>
      <c r="CX88" s="131">
        <f t="shared" si="255"/>
        <v>8.7926948718758891E-2</v>
      </c>
      <c r="CY88" s="131">
        <f t="shared" ref="CY88:DA88" si="256">CY84/-CY85</f>
        <v>0.20310635981422068</v>
      </c>
      <c r="CZ88" s="131">
        <f t="shared" si="256"/>
        <v>0.20566865780811899</v>
      </c>
      <c r="DA88" s="131">
        <f t="shared" si="256"/>
        <v>0.1819612201024022</v>
      </c>
      <c r="DB88" s="91">
        <f>DB84/-DB85</f>
        <v>0.17128616245634906</v>
      </c>
      <c r="DC88" s="131">
        <f t="shared" ref="DC88:DF88" si="257">DC84/-DC85</f>
        <v>0.21441587053203756</v>
      </c>
      <c r="DD88" s="131">
        <f t="shared" si="257"/>
        <v>0.20868836845417282</v>
      </c>
      <c r="DE88" s="131">
        <f t="shared" si="257"/>
        <v>0.22061845541701119</v>
      </c>
      <c r="DF88" s="131">
        <f t="shared" si="257"/>
        <v>0.24422209321297531</v>
      </c>
      <c r="DG88" s="91">
        <f>DG84/-DG85</f>
        <v>0.22297616647089011</v>
      </c>
      <c r="DH88" s="131">
        <f t="shared" ref="DH88:DI88" si="258">DH84/-DH85</f>
        <v>0.234042042289274</v>
      </c>
      <c r="DI88" s="131">
        <f t="shared" si="258"/>
        <v>0.18069608139104237</v>
      </c>
      <c r="DJ88" s="274">
        <f t="shared" ref="DJ88:DK88" si="259">DI88</f>
        <v>0.18069608139104237</v>
      </c>
      <c r="DK88" s="274">
        <f t="shared" si="259"/>
        <v>0.18069608139104237</v>
      </c>
      <c r="DL88" s="91">
        <f>DL84/-DL85</f>
        <v>0.19370622960464337</v>
      </c>
      <c r="DM88" s="274">
        <f>DK88</f>
        <v>0.18069608139104237</v>
      </c>
      <c r="DN88" s="274">
        <f t="shared" si="248"/>
        <v>0.18069608139104237</v>
      </c>
      <c r="DO88" s="274">
        <f t="shared" si="248"/>
        <v>0.18069608139104237</v>
      </c>
      <c r="DP88" s="274">
        <f t="shared" si="248"/>
        <v>0.18069608139104237</v>
      </c>
      <c r="DQ88" s="91">
        <f>DQ84/-DQ85</f>
        <v>0.1806960813910424</v>
      </c>
      <c r="DR88" s="274">
        <f>DP88</f>
        <v>0.18069608139104237</v>
      </c>
      <c r="DS88" s="274">
        <f t="shared" si="249"/>
        <v>0.18069608139104237</v>
      </c>
      <c r="DT88" s="274">
        <f t="shared" si="249"/>
        <v>0.18069608139104237</v>
      </c>
      <c r="DU88" s="274">
        <f t="shared" si="249"/>
        <v>0.18069608139104237</v>
      </c>
      <c r="DV88" s="91">
        <f>DV84/-DV85</f>
        <v>0.18069608139104235</v>
      </c>
      <c r="DW88" s="274">
        <f>DU88</f>
        <v>0.18069608139104237</v>
      </c>
      <c r="DX88" s="274">
        <f t="shared" si="250"/>
        <v>0.18069608139104237</v>
      </c>
      <c r="DY88" s="274">
        <f t="shared" si="250"/>
        <v>0.18069608139104237</v>
      </c>
      <c r="DZ88" s="274">
        <f t="shared" si="250"/>
        <v>0.18069608139104237</v>
      </c>
      <c r="EA88" s="91">
        <f>EA84/-EA85</f>
        <v>0.18069608139104237</v>
      </c>
      <c r="EB88" s="274">
        <f>DZ88</f>
        <v>0.18069608139104237</v>
      </c>
      <c r="EC88" s="274">
        <f t="shared" si="251"/>
        <v>0.18069608139104237</v>
      </c>
      <c r="ED88" s="274">
        <f t="shared" si="251"/>
        <v>0.18069608139104237</v>
      </c>
      <c r="EE88" s="274">
        <f t="shared" si="251"/>
        <v>0.18069608139104237</v>
      </c>
      <c r="EF88" s="91">
        <f>EF84/-EF85</f>
        <v>0.18069608139104235</v>
      </c>
    </row>
    <row r="89" spans="1:136" ht="12.75" customHeight="1">
      <c r="P89" s="111"/>
      <c r="U89" s="111"/>
      <c r="Z89" s="111"/>
      <c r="AE89" s="111"/>
      <c r="AJ89" s="111"/>
      <c r="AO89" s="111"/>
      <c r="AP89" s="122"/>
      <c r="AQ89" s="122"/>
      <c r="AR89" s="122"/>
      <c r="AS89" s="122"/>
      <c r="AT89" s="111"/>
      <c r="AU89" s="122"/>
      <c r="AV89" s="122"/>
      <c r="AW89" s="122"/>
      <c r="AX89" s="122"/>
      <c r="AY89" s="111"/>
      <c r="BD89" s="111"/>
      <c r="BI89" s="111"/>
      <c r="BN89" s="111"/>
      <c r="BS89" s="111"/>
      <c r="BX89" s="111"/>
      <c r="CC89" s="111"/>
      <c r="CH89" s="111"/>
      <c r="CM89" s="111"/>
      <c r="CR89" s="111"/>
      <c r="CW89" s="111"/>
      <c r="DB89" s="111"/>
      <c r="DG89" s="111"/>
      <c r="DL89" s="111"/>
      <c r="DQ89" s="111"/>
      <c r="DV89" s="111"/>
      <c r="EA89" s="111"/>
      <c r="EF89" s="111"/>
    </row>
    <row r="90" spans="1:136" ht="12.75" customHeight="1">
      <c r="P90" s="89"/>
      <c r="U90" s="89"/>
      <c r="Z90" s="89"/>
      <c r="AE90" s="89"/>
      <c r="AJ90" s="89"/>
      <c r="AO90" s="89"/>
      <c r="AQ90" s="114">
        <f>AQ84+AP84</f>
        <v>129059</v>
      </c>
      <c r="AT90" s="89"/>
      <c r="AX90" s="131">
        <f>-AY13/('Balance Sheet'!AT133+AY84)</f>
        <v>0.51492337318240966</v>
      </c>
      <c r="AY90" s="89"/>
      <c r="BD90" s="89"/>
      <c r="BI90" s="89"/>
      <c r="BN90" s="89"/>
      <c r="BS90" s="89"/>
      <c r="BX90" s="89"/>
      <c r="CC90" s="89"/>
      <c r="CH90" s="89"/>
      <c r="CM90" s="89"/>
      <c r="CR90" s="89"/>
      <c r="CW90" s="89"/>
      <c r="DB90" s="89"/>
      <c r="DG90" s="89"/>
      <c r="DL90" s="89"/>
      <c r="DQ90" s="89"/>
      <c r="DV90" s="89"/>
      <c r="EA90" s="89"/>
      <c r="EF90" s="89"/>
    </row>
    <row r="91" spans="1:136" ht="12.75" customHeight="1">
      <c r="A91" s="66" t="s">
        <v>777</v>
      </c>
      <c r="P91" s="89"/>
      <c r="U91" s="89">
        <f>U15+U17+'Balance Sheet'!U63+U20</f>
        <v>-224284</v>
      </c>
      <c r="V91" s="114">
        <f>V15+V17+'Balance Sheet'!V63+V20</f>
        <v>-76380</v>
      </c>
      <c r="W91" s="114">
        <f>W15+W17+'Balance Sheet'!W63+W20</f>
        <v>-214214</v>
      </c>
      <c r="X91" s="114">
        <f>X15+X17+'Balance Sheet'!X63+X20</f>
        <v>-98297</v>
      </c>
      <c r="Y91" s="114">
        <f>Y15+Y17+'Balance Sheet'!Y63+Y20</f>
        <v>-311695</v>
      </c>
      <c r="Z91" s="89">
        <f>Z15+Z17+'Balance Sheet'!Z63+Z20</f>
        <v>-700586</v>
      </c>
      <c r="AA91" s="114">
        <f>AA15+AA17+'Balance Sheet'!AA63+AA20</f>
        <v>-20941</v>
      </c>
      <c r="AB91" s="114">
        <f>AB15+AB17+'Balance Sheet'!AB63+AB20</f>
        <v>-203496</v>
      </c>
      <c r="AC91" s="114">
        <f>AC15+AC17+'Balance Sheet'!AC63+AC20</f>
        <v>-338572</v>
      </c>
      <c r="AD91" s="114">
        <f>AD15+AD17+'Balance Sheet'!AD63+AD20</f>
        <v>-395514</v>
      </c>
      <c r="AE91" s="89">
        <f>AE15+AE17+'Balance Sheet'!AE63+AE20</f>
        <v>-958523</v>
      </c>
      <c r="AF91" s="114">
        <f>AF15+AF17+'Balance Sheet'!AF63+AF20</f>
        <v>-433391</v>
      </c>
      <c r="AG91" s="114">
        <f>AG15+AG17+'Balance Sheet'!AG63+AG20</f>
        <v>-81936</v>
      </c>
      <c r="AH91" s="114">
        <f>AH15+AH17+'Balance Sheet'!AH63+AH20</f>
        <v>-64473</v>
      </c>
      <c r="AI91" s="114">
        <f>AI15+AI17+'Balance Sheet'!AI63+AI20</f>
        <v>-20841</v>
      </c>
      <c r="AJ91" s="89">
        <f>AJ15+AJ17+'Balance Sheet'!AJ63+AJ20</f>
        <v>-600641</v>
      </c>
      <c r="AK91" s="114">
        <f>AK15+AK17+'Balance Sheet'!AK63+AK20</f>
        <v>4546</v>
      </c>
      <c r="AL91" s="114">
        <f>AL15+AL17+'Balance Sheet'!AL63+AL20</f>
        <v>65936</v>
      </c>
      <c r="AM91" s="114">
        <f>AM15+AM17+'Balance Sheet'!AM63+AM20</f>
        <v>200419</v>
      </c>
      <c r="AN91" s="114">
        <f>AN15+AN17+'Balance Sheet'!AN63+AN20</f>
        <v>156662</v>
      </c>
      <c r="AO91" s="89">
        <f>AO15+AO17+'Balance Sheet'!AO63+AO20</f>
        <v>427563</v>
      </c>
      <c r="AP91" s="114">
        <f>AP15+AP17+'Balance Sheet'!AP63+AP20</f>
        <v>85948</v>
      </c>
      <c r="AQ91" s="114">
        <f>AQ15+AQ17+'Balance Sheet'!AQ63+AQ20</f>
        <v>266779</v>
      </c>
      <c r="AR91" s="114">
        <f>AR15+AR17+'Balance Sheet'!AR63+AR20</f>
        <v>297863</v>
      </c>
      <c r="AS91" s="114">
        <f>AS15+AS17+'Balance Sheet'!AS63+AS20</f>
        <v>840458</v>
      </c>
      <c r="AT91" s="89">
        <f>AT15+AT17+'Balance Sheet'!AT63+AT20</f>
        <v>1491048</v>
      </c>
      <c r="AU91" s="114">
        <f>AU15+AU17+'Balance Sheet'!AU63+AU20</f>
        <v>411453</v>
      </c>
      <c r="AV91" s="114">
        <f>AV15+AV17+'Balance Sheet'!AV63+AV20</f>
        <v>212874</v>
      </c>
      <c r="AW91" s="114">
        <f>AW15+AW17+'Balance Sheet'!AW63+AW20</f>
        <v>173247</v>
      </c>
      <c r="AX91" s="114">
        <f>AX15+AX17+'Balance Sheet'!AX63+AX20</f>
        <v>427138</v>
      </c>
      <c r="AY91" s="89">
        <f>AY15+AY17+'Balance Sheet'!AY63+AY20</f>
        <v>1224712</v>
      </c>
      <c r="AZ91" s="114">
        <f>AZ15+AZ17+'Balance Sheet'!AZ63+AZ20</f>
        <v>469249</v>
      </c>
      <c r="BA91" s="114">
        <f>BA15+BA17+'Balance Sheet'!BA63+BA20</f>
        <v>262500</v>
      </c>
      <c r="BB91" s="114">
        <f>BB15+BB17+'Balance Sheet'!BB63+BB20</f>
        <v>530790</v>
      </c>
      <c r="BC91" s="114">
        <f>BC15+BC17+'Balance Sheet'!BC63+BC20</f>
        <v>386238</v>
      </c>
      <c r="BD91" s="89">
        <f>BD15+BD17+'Balance Sheet'!BD63+BD20</f>
        <v>1648777</v>
      </c>
      <c r="BE91" s="114">
        <f>BE15+BE17+'Balance Sheet'!BE63+BE20</f>
        <v>585265</v>
      </c>
      <c r="BF91" s="114">
        <f>BF15+BF17+'Balance Sheet'!BF63+BF20</f>
        <v>539482</v>
      </c>
      <c r="BG91" s="114">
        <f>BG15+BG17+'Balance Sheet'!BG63+BG20</f>
        <v>294853</v>
      </c>
      <c r="BH91" s="114">
        <f>BH15+BH17+'Balance Sheet'!BH63+BH20</f>
        <v>316831</v>
      </c>
      <c r="BI91" s="89">
        <f>BI15+BI17+'Balance Sheet'!BI63+BI20</f>
        <v>1736431</v>
      </c>
      <c r="BJ91" s="114">
        <f>BJ15+BJ17+'Balance Sheet'!BJ63+BJ20</f>
        <v>4401</v>
      </c>
      <c r="BK91" s="114">
        <f>BK15+BK17+'Balance Sheet'!BK63+BK20</f>
        <v>404774</v>
      </c>
      <c r="BL91" s="114">
        <f>BL15+BL17+'Balance Sheet'!BL63+BL20</f>
        <v>70984</v>
      </c>
      <c r="BM91" s="114">
        <f>BM15+BM17+'Balance Sheet'!BM63+BM20</f>
        <v>266627</v>
      </c>
      <c r="BN91" s="89">
        <f>BN15+BN17+'Balance Sheet'!BN63+BN20</f>
        <v>746786</v>
      </c>
      <c r="BO91" s="114">
        <f>BO15+BO17+'Balance Sheet'!BO63+BO20</f>
        <v>167434</v>
      </c>
      <c r="BP91" s="114">
        <f>BP15+BP17+'Balance Sheet'!BP63+BP20</f>
        <v>312836</v>
      </c>
      <c r="BQ91" s="114">
        <f>BQ15+BQ17+'Balance Sheet'!BQ63+BQ20</f>
        <v>215485</v>
      </c>
      <c r="BR91" s="114">
        <f>BR15+BR17+'Balance Sheet'!BR63+BR20</f>
        <v>77337</v>
      </c>
      <c r="BS91" s="89">
        <f>BS15+BS17+'Balance Sheet'!BS63+BS20</f>
        <v>773092</v>
      </c>
      <c r="BT91" s="114">
        <f>BT15+BT17+'Balance Sheet'!BT63+BT20</f>
        <v>365318</v>
      </c>
      <c r="BU91" s="114">
        <f>BU15+BU17+'Balance Sheet'!BU63+BU20</f>
        <v>141877</v>
      </c>
      <c r="BV91" s="114">
        <f>BV15+BV17+'Balance Sheet'!BV63+BV20</f>
        <v>48835</v>
      </c>
      <c r="BW91" s="114">
        <f>BW15+BW17+'Balance Sheet'!BW63+BW20</f>
        <v>335891</v>
      </c>
      <c r="BX91" s="89">
        <f>BX15+BX17+'Balance Sheet'!BX63+BX20</f>
        <v>891921</v>
      </c>
      <c r="BY91" s="114">
        <f>BY15+BY17+'Balance Sheet'!BY63+BY20</f>
        <v>85655</v>
      </c>
      <c r="BZ91" s="114">
        <f>BZ15+BZ17+'Balance Sheet'!BZ63+BZ20</f>
        <v>109136</v>
      </c>
      <c r="CA91" s="114">
        <f>CA15+CA17+'Balance Sheet'!CA63+CA20</f>
        <v>121629</v>
      </c>
      <c r="CB91" s="114">
        <f>CB15+CB17+'Balance Sheet'!CB63+CB20</f>
        <v>77954</v>
      </c>
      <c r="CC91" s="89">
        <f>CC15+CC17+'Balance Sheet'!CC63+CC20</f>
        <v>394374</v>
      </c>
      <c r="CD91" s="114">
        <f>CD15+CD17+'Balance Sheet'!CD63+CD20</f>
        <v>96627</v>
      </c>
      <c r="CE91" s="114">
        <f>CE15+CE17+'Balance Sheet'!CE63+CE20</f>
        <v>-18049</v>
      </c>
      <c r="CF91" s="114">
        <f>CF15+CF17+'Balance Sheet'!CF63+CF20</f>
        <v>340629</v>
      </c>
      <c r="CG91" s="114">
        <f>CG15+CG17+'Balance Sheet'!CG63+CG20</f>
        <v>171264</v>
      </c>
      <c r="CH91" s="89">
        <f>CH15+CH17+'Balance Sheet'!CH63+CH20</f>
        <v>590471</v>
      </c>
      <c r="CI91" s="114">
        <f>CI15+CI17+'Balance Sheet'!CI63+CI20</f>
        <v>101630</v>
      </c>
      <c r="CJ91" s="114">
        <f>CJ15+CJ17+'Balance Sheet'!CJ63+CJ20</f>
        <v>210271</v>
      </c>
      <c r="CK91" s="114">
        <f>CK15+CK17+'Balance Sheet'!CK63+CK20</f>
        <v>140841</v>
      </c>
      <c r="CL91" s="114">
        <f>CL15+CL17+'Balance Sheet'!CL63+CL20</f>
        <v>133712</v>
      </c>
      <c r="CM91" s="89">
        <f>CM15+CM17+'Balance Sheet'!CM63+CM20</f>
        <v>586454</v>
      </c>
      <c r="CN91" s="114">
        <f>CN15+CN17+'Balance Sheet'!CN63+CN20</f>
        <v>89241</v>
      </c>
      <c r="CO91" s="114">
        <f>CO15+CO17+'Balance Sheet'!CO63+CO20</f>
        <v>51998</v>
      </c>
      <c r="CP91" s="114">
        <f>CP15+CP17+'Balance Sheet'!CP63+CP20</f>
        <v>36219</v>
      </c>
      <c r="CQ91" s="114">
        <f>CQ15+CQ17+'Balance Sheet'!CQ63+CQ20</f>
        <v>154840</v>
      </c>
      <c r="CR91" s="89">
        <f>CR15+CR17+'Balance Sheet'!CR63+CR20</f>
        <v>332298</v>
      </c>
      <c r="CS91" s="114">
        <f>CS15+CS17+'Balance Sheet'!CS63+CS20</f>
        <v>210892</v>
      </c>
      <c r="CT91" s="114">
        <f>CT15+CT17+'Balance Sheet'!CT63+CT20</f>
        <v>-25121</v>
      </c>
      <c r="CU91" s="114">
        <f>CU15+CU17+'Balance Sheet'!CU63+CU20</f>
        <v>43554</v>
      </c>
      <c r="CV91" s="114">
        <f>CV15+CV17+'Balance Sheet'!CV63+CV20</f>
        <v>-10574</v>
      </c>
      <c r="CW91" s="89">
        <f>CW15+CW17+'Balance Sheet'!CW63+CW20</f>
        <v>218751</v>
      </c>
      <c r="CX91" s="114">
        <f>CX15+CX17+'Balance Sheet'!CX63+CX20</f>
        <v>76083</v>
      </c>
      <c r="CY91" s="114">
        <f>CY15+CY17+'Balance Sheet'!CY63+CY20</f>
        <v>10632</v>
      </c>
      <c r="CZ91" s="114">
        <f>CZ15+CZ17+'Balance Sheet'!CZ63+CZ20</f>
        <v>99298</v>
      </c>
      <c r="DA91" s="114">
        <f>DA15+DA17+'Balance Sheet'!DA63+DA20</f>
        <v>50204</v>
      </c>
      <c r="DB91" s="89">
        <f>DB15+DB17+'Balance Sheet'!DB63+DB20</f>
        <v>236217</v>
      </c>
      <c r="DC91" s="114">
        <f>DC15+DC17+'Balance Sheet'!DC63+DC20</f>
        <v>221642</v>
      </c>
      <c r="DD91" s="114">
        <f>DD15+DD17+'Balance Sheet'!DD63+DD20</f>
        <v>-36281</v>
      </c>
      <c r="DE91" s="114">
        <f>DE15+DE17+'Balance Sheet'!DE63+DE20</f>
        <v>282072</v>
      </c>
      <c r="DF91" s="114">
        <f>DF15+DF17+'Balance Sheet'!DF63+DF20</f>
        <v>-65701</v>
      </c>
      <c r="DG91" s="89">
        <f>DG15+DG17+'Balance Sheet'!DG63+DG20</f>
        <v>401732</v>
      </c>
      <c r="DH91" s="114">
        <f>DH15+DH17+'Balance Sheet'!DH63+DH20</f>
        <v>112833</v>
      </c>
      <c r="DI91" s="114">
        <f>DI15+DI17+'Balance Sheet'!DI63+DI20</f>
        <v>252932</v>
      </c>
      <c r="DJ91" s="114">
        <f>DJ15+DJ17+'Balance Sheet'!DJ63+DJ20</f>
        <v>284575.42103102419</v>
      </c>
      <c r="DK91" s="114">
        <f>DK15+DK17+'Balance Sheet'!DK63+DK20</f>
        <v>360722.15656118782</v>
      </c>
      <c r="DL91" s="89">
        <f>DL15+DL17+'Balance Sheet'!DL63+DL20</f>
        <v>1011062.5775922115</v>
      </c>
      <c r="DM91" s="114">
        <f>DM15+DM17+'Balance Sheet'!DM63+DM20</f>
        <v>469002.0388424719</v>
      </c>
      <c r="DN91" s="114">
        <f>DN15+DN17+'Balance Sheet'!DN63+DN20</f>
        <v>-3081.6657562321925</v>
      </c>
      <c r="DO91" s="114">
        <f>DO15+DO17+'Balance Sheet'!DO63+DO20</f>
        <v>-11910.387123175766</v>
      </c>
      <c r="DP91" s="114">
        <f>DP15+DP17+'Balance Sheet'!DP63+DP20</f>
        <v>174420.98642703434</v>
      </c>
      <c r="DQ91" s="89">
        <f>DQ15+DQ17+'Balance Sheet'!DQ63+DQ20</f>
        <v>628430.97239009803</v>
      </c>
      <c r="DR91" s="114">
        <f>DR15+DR17+'Balance Sheet'!DR63+DR20</f>
        <v>98000.921350501958</v>
      </c>
      <c r="DS91" s="114">
        <f>DS15+DS17+'Balance Sheet'!DS63+DS20</f>
        <v>232759.38410182321</v>
      </c>
      <c r="DT91" s="114">
        <f>DT15+DT17+'Balance Sheet'!DT63+DT20</f>
        <v>320143.40288416797</v>
      </c>
      <c r="DU91" s="114">
        <f>DU15+DU17+'Balance Sheet'!DU63+DU20</f>
        <v>236562.34967526497</v>
      </c>
      <c r="DV91" s="89">
        <f>DV15+DV17+'Balance Sheet'!DV63+DV20</f>
        <v>887466.05801175791</v>
      </c>
      <c r="DW91" s="114">
        <f>DW15+DW17+'Balance Sheet'!DW63+DW20</f>
        <v>477680.39429096656</v>
      </c>
      <c r="DX91" s="114">
        <f>DX15+DX17+'Balance Sheet'!DX63+DX20</f>
        <v>475244.16634488688</v>
      </c>
      <c r="DY91" s="114">
        <f>DY15+DY17+'Balance Sheet'!DY63+DY20</f>
        <v>695407.35815659235</v>
      </c>
      <c r="DZ91" s="114">
        <f>DZ15+DZ17+'Balance Sheet'!DZ63+DZ20</f>
        <v>751301.86582064582</v>
      </c>
      <c r="EA91" s="89">
        <f>EA15+EA17+'Balance Sheet'!EA63+EA20</f>
        <v>2399633.7846130915</v>
      </c>
      <c r="EB91" s="114">
        <f>EB15+EB17+'Balance Sheet'!EB63+EB20</f>
        <v>830488.42268048762</v>
      </c>
      <c r="EC91" s="114">
        <f>EC15+EC17+'Balance Sheet'!EC63+EC20</f>
        <v>689944.60780720483</v>
      </c>
      <c r="ED91" s="114">
        <f>ED15+ED17+'Balance Sheet'!ED63+ED20</f>
        <v>700338.48294565501</v>
      </c>
      <c r="EE91" s="114">
        <f>EE15+EE17+'Balance Sheet'!EE63+EE20</f>
        <v>816015.98374235677</v>
      </c>
      <c r="EF91" s="89">
        <f>EF15+EF17+'Balance Sheet'!EF63+EF20</f>
        <v>3036787.4971757047</v>
      </c>
    </row>
    <row r="92" spans="1:136" ht="12.75" customHeight="1">
      <c r="AO92" s="111">
        <f>AO91/(AVERAGE('Balance Sheet'!AK51:AN51)+AVERAGE('Balance Sheet'!AK52:AN52))</f>
        <v>6.631961413721181E-2</v>
      </c>
      <c r="AT92" s="111">
        <f>AT91/(AVERAGE('Balance Sheet'!AP51:AS51)+AVERAGE('Balance Sheet'!AP52:AS52))</f>
        <v>0.212731423132756</v>
      </c>
      <c r="AY92" s="111">
        <f>AY91/(AVERAGE('Balance Sheet'!AU51:AX51)+AVERAGE('Balance Sheet'!AU52:AX52))</f>
        <v>0.15651381075158322</v>
      </c>
      <c r="BD92" s="111">
        <f>BD91/(AVERAGE('Balance Sheet'!AZ51:BC51)+AVERAGE('Balance Sheet'!AZ52:BC52))</f>
        <v>0.20089269831120088</v>
      </c>
      <c r="BI92" s="111">
        <f>BI91/(AVERAGE('Balance Sheet'!BE51:BH51)+AVERAGE('Balance Sheet'!BE52:BH52))</f>
        <v>0.19656693776303652</v>
      </c>
      <c r="BN92" s="111">
        <f>BN91/(AVERAGE('Balance Sheet'!BJ51:BM51)+AVERAGE('Balance Sheet'!BJ52:BM52))</f>
        <v>8.7043985952646272E-2</v>
      </c>
      <c r="BS92" s="111">
        <f>BS91/(AVERAGE('Balance Sheet'!BO51:BR51)+AVERAGE('Balance Sheet'!BO52:BR52))</f>
        <v>9.5545301003563551E-2</v>
      </c>
      <c r="BX92" s="111">
        <f>BX91/(AVERAGE('Balance Sheet'!BT51:BW51)+AVERAGE('Balance Sheet'!BT52:BW52))</f>
        <v>0.12162137976881641</v>
      </c>
      <c r="CC92" s="111">
        <f>CC91/(AVERAGE('Balance Sheet'!BY51:CB51)+AVERAGE('Balance Sheet'!BY52:CB52))</f>
        <v>5.6076357031729952E-2</v>
      </c>
    </row>
    <row r="93" spans="1:136" ht="12.75" customHeight="1" thickBot="1">
      <c r="A93" s="69"/>
      <c r="B93" s="93" t="str">
        <f>Macro!B$3</f>
        <v>1Q04</v>
      </c>
      <c r="C93" s="93" t="str">
        <f>Macro!C$3</f>
        <v>2Q04</v>
      </c>
      <c r="D93" s="93" t="str">
        <f>Macro!D$3</f>
        <v>3Q04</v>
      </c>
      <c r="E93" s="93" t="str">
        <f>Macro!E$3</f>
        <v>4Q04</v>
      </c>
      <c r="F93" s="92" t="str">
        <f>Macro!F$3</f>
        <v>2004</v>
      </c>
      <c r="G93" s="93" t="str">
        <f>Macro!G$3</f>
        <v>1Q05</v>
      </c>
      <c r="H93" s="93" t="str">
        <f>Macro!H$3</f>
        <v>2Q05</v>
      </c>
      <c r="I93" s="93" t="str">
        <f>Macro!I$3</f>
        <v>3Q05</v>
      </c>
      <c r="J93" s="93" t="str">
        <f>Macro!J$3</f>
        <v>4Q05</v>
      </c>
      <c r="K93" s="92" t="str">
        <f>Macro!K$3</f>
        <v>2005</v>
      </c>
      <c r="L93" s="93" t="str">
        <f>Macro!L$3</f>
        <v>1Q06</v>
      </c>
      <c r="M93" s="93" t="str">
        <f>Macro!M$3</f>
        <v>2Q06</v>
      </c>
      <c r="N93" s="93" t="str">
        <f>Macro!N$3</f>
        <v>3Q06</v>
      </c>
      <c r="O93" s="94" t="str">
        <f>Macro!O$3</f>
        <v>4Q06</v>
      </c>
      <c r="P93" s="92" t="str">
        <f>Macro!P$3</f>
        <v>2006</v>
      </c>
      <c r="Q93" s="93" t="str">
        <f>Macro!Q$3</f>
        <v>1Q07</v>
      </c>
      <c r="R93" s="93" t="str">
        <f>Macro!R$3</f>
        <v>2Q07</v>
      </c>
      <c r="S93" s="93" t="str">
        <f>Macro!S$3</f>
        <v>3Q07</v>
      </c>
      <c r="T93" s="94" t="str">
        <f>Macro!T$3</f>
        <v>4Q07</v>
      </c>
      <c r="U93" s="92" t="str">
        <f>Macro!U$3</f>
        <v>2007</v>
      </c>
      <c r="V93" s="93" t="str">
        <f>Macro!V$3</f>
        <v>1Q08</v>
      </c>
      <c r="W93" s="93" t="str">
        <f>Macro!W$3</f>
        <v>2Q08</v>
      </c>
      <c r="X93" s="93" t="str">
        <f>Macro!X$3</f>
        <v>3Q08</v>
      </c>
      <c r="Y93" s="94" t="str">
        <f>Macro!Y$3</f>
        <v>4Q08</v>
      </c>
      <c r="Z93" s="92" t="str">
        <f>Macro!Z$3</f>
        <v>2008</v>
      </c>
      <c r="AA93" s="93" t="str">
        <f>Macro!AA$3</f>
        <v>1Q09</v>
      </c>
      <c r="AB93" s="93" t="str">
        <f>Macro!AB$3</f>
        <v>2Q09</v>
      </c>
      <c r="AC93" s="93" t="str">
        <f>Macro!AC$3</f>
        <v>3Q09</v>
      </c>
      <c r="AD93" s="94" t="str">
        <f>Macro!AD$3</f>
        <v>4Q09</v>
      </c>
      <c r="AE93" s="92" t="str">
        <f>Macro!AE$3</f>
        <v>2009</v>
      </c>
      <c r="AF93" s="93" t="str">
        <f>Macro!AF$3</f>
        <v>1Q10</v>
      </c>
      <c r="AG93" s="93" t="str">
        <f>Macro!AG$3</f>
        <v>2Q10</v>
      </c>
      <c r="AH93" s="93" t="str">
        <f>Macro!AH$3</f>
        <v>3Q10</v>
      </c>
      <c r="AI93" s="94" t="str">
        <f>Macro!AI$3</f>
        <v>4Q10</v>
      </c>
      <c r="AJ93" s="92" t="str">
        <f>Macro!AJ$3</f>
        <v>2010</v>
      </c>
      <c r="AK93" s="93" t="str">
        <f>Macro!AK$3</f>
        <v>1Q11</v>
      </c>
      <c r="AL93" s="93" t="str">
        <f>Macro!AL$3</f>
        <v>2Q11</v>
      </c>
      <c r="AM93" s="93" t="str">
        <f>Macro!AM$3</f>
        <v>3Q11</v>
      </c>
      <c r="AN93" s="94" t="str">
        <f>Macro!AN$3</f>
        <v>4Q11</v>
      </c>
      <c r="AO93" s="92" t="str">
        <f>Macro!AO$3</f>
        <v>2011</v>
      </c>
      <c r="AP93" s="310" t="str">
        <f>Macro!AP$3</f>
        <v>1Q12</v>
      </c>
      <c r="AQ93" s="310" t="str">
        <f>Macro!AQ$3</f>
        <v>2Q12</v>
      </c>
      <c r="AR93" s="310" t="str">
        <f>Macro!AR$3</f>
        <v>3Q12</v>
      </c>
      <c r="AS93" s="310" t="str">
        <f>Macro!AS$3</f>
        <v>4Q12</v>
      </c>
      <c r="AT93" s="311" t="str">
        <f>Macro!AT$3</f>
        <v>2012</v>
      </c>
      <c r="AU93" s="310" t="str">
        <f>Macro!AU$3</f>
        <v>1Q13</v>
      </c>
      <c r="AV93" s="310" t="str">
        <f>Macro!AV$3</f>
        <v>2Q13</v>
      </c>
      <c r="AW93" s="310" t="str">
        <f>Macro!AW$3</f>
        <v>3Q13</v>
      </c>
      <c r="AX93" s="310" t="str">
        <f>Macro!AX$3</f>
        <v>4Q13</v>
      </c>
      <c r="AY93" s="311" t="str">
        <f>Macro!AY$3</f>
        <v>2013</v>
      </c>
      <c r="AZ93" s="310" t="str">
        <f>Macro!AZ$3</f>
        <v>1Q14</v>
      </c>
      <c r="BA93" s="310" t="str">
        <f>Macro!BA$3</f>
        <v>2Q14</v>
      </c>
      <c r="BB93" s="310" t="str">
        <f>Macro!BB$3</f>
        <v>3Q14</v>
      </c>
      <c r="BC93" s="310" t="str">
        <f>Macro!BC$3</f>
        <v>4Q14</v>
      </c>
      <c r="BD93" s="311" t="str">
        <f>Macro!BD$3</f>
        <v>2014</v>
      </c>
      <c r="BE93" s="310" t="str">
        <f>Macro!BE$3</f>
        <v>1Q15</v>
      </c>
      <c r="BF93" s="310" t="str">
        <f>Macro!BF$3</f>
        <v>2Q15</v>
      </c>
      <c r="BG93" s="310" t="str">
        <f>Macro!BG$3</f>
        <v>3Q15</v>
      </c>
      <c r="BH93" s="310" t="str">
        <f>Macro!BH$3</f>
        <v>4Q15</v>
      </c>
      <c r="BI93" s="311" t="str">
        <f>Macro!BI$3</f>
        <v>2015</v>
      </c>
      <c r="BJ93" s="310" t="str">
        <f>Macro!BJ$3</f>
        <v>1Q16</v>
      </c>
      <c r="BK93" s="310" t="str">
        <f>Macro!BK$3</f>
        <v>2Q16</v>
      </c>
      <c r="BL93" s="310" t="str">
        <f>Macro!BL$3</f>
        <v>3Q16</v>
      </c>
      <c r="BM93" s="310" t="str">
        <f>Macro!BM$3</f>
        <v>4Q16</v>
      </c>
      <c r="BN93" s="311" t="str">
        <f>Macro!BN$3</f>
        <v>2016</v>
      </c>
      <c r="BO93" s="310" t="str">
        <f>Macro!BO$3</f>
        <v>1Q17</v>
      </c>
      <c r="BP93" s="310" t="str">
        <f>Macro!BP$3</f>
        <v>2Q17</v>
      </c>
      <c r="BQ93" s="310" t="str">
        <f>Macro!BQ$3</f>
        <v>3Q17</v>
      </c>
      <c r="BR93" s="310" t="str">
        <f>Macro!BR$3</f>
        <v>4Q17</v>
      </c>
      <c r="BS93" s="311" t="str">
        <f>Macro!BS$3</f>
        <v>2017</v>
      </c>
      <c r="BT93" s="310" t="str">
        <f>Macro!BT$3</f>
        <v>1Q18</v>
      </c>
      <c r="BU93" s="310" t="str">
        <f>Macro!BU$3</f>
        <v>2Q18</v>
      </c>
      <c r="BV93" s="310" t="str">
        <f>Macro!BV$3</f>
        <v>3Q18</v>
      </c>
      <c r="BW93" s="310" t="str">
        <f>Macro!BW$3</f>
        <v>4Q18</v>
      </c>
      <c r="BX93" s="311" t="str">
        <f>Macro!BX$3</f>
        <v>2018</v>
      </c>
      <c r="BY93" s="310" t="str">
        <f>Macro!BY$3</f>
        <v>1Q19</v>
      </c>
      <c r="BZ93" s="310" t="str">
        <f>Macro!BZ$3</f>
        <v>2Q19</v>
      </c>
      <c r="CA93" s="310" t="str">
        <f>Macro!CA$3</f>
        <v>3Q19</v>
      </c>
      <c r="CB93" s="310" t="str">
        <f>Macro!CB$3</f>
        <v>4Q19</v>
      </c>
      <c r="CC93" s="311" t="str">
        <f>Macro!CC$3</f>
        <v>2019</v>
      </c>
      <c r="CD93" s="310" t="str">
        <f>Macro!CD$3</f>
        <v>1Q20</v>
      </c>
      <c r="CE93" s="310" t="str">
        <f>Macro!CE$3</f>
        <v>2Q20</v>
      </c>
      <c r="CF93" s="310" t="str">
        <f>Macro!CF$3</f>
        <v>3Q20</v>
      </c>
      <c r="CG93" s="310" t="str">
        <f>Macro!CG$3</f>
        <v>4Q20</v>
      </c>
      <c r="CH93" s="311" t="str">
        <f>Macro!CH$3</f>
        <v>2020</v>
      </c>
      <c r="CI93" s="310" t="str">
        <f>Macro!CI$3</f>
        <v>1Q21</v>
      </c>
      <c r="CJ93" s="310" t="str">
        <f>Macro!CJ$3</f>
        <v>2Q21</v>
      </c>
      <c r="CK93" s="310" t="str">
        <f>Macro!CK$3</f>
        <v>3Q21</v>
      </c>
      <c r="CL93" s="310" t="str">
        <f>Macro!CL$3</f>
        <v>4Q21</v>
      </c>
      <c r="CM93" s="311" t="str">
        <f>Macro!CM$3</f>
        <v>2021</v>
      </c>
      <c r="CN93" s="310" t="str">
        <f>Macro!CN$3</f>
        <v>1Q22</v>
      </c>
      <c r="CO93" s="310" t="str">
        <f>Macro!CO$3</f>
        <v>2Q22</v>
      </c>
      <c r="CP93" s="310" t="str">
        <f>Macro!CP$3</f>
        <v>3Q22</v>
      </c>
      <c r="CQ93" s="310" t="str">
        <f>Macro!CQ$3</f>
        <v>4Q22</v>
      </c>
      <c r="CR93" s="311" t="str">
        <f>Macro!CR$3</f>
        <v>2022</v>
      </c>
      <c r="CS93" s="310" t="str">
        <f>Macro!CS$3</f>
        <v>1Q23</v>
      </c>
      <c r="CT93" s="310" t="str">
        <f>Macro!CT$3</f>
        <v>2Q23</v>
      </c>
      <c r="CU93" s="310" t="str">
        <f>Macro!CU$3</f>
        <v>3Q23</v>
      </c>
      <c r="CV93" s="310" t="str">
        <f>Macro!CV$3</f>
        <v>4Q23</v>
      </c>
      <c r="CW93" s="311" t="str">
        <f>Macro!CW$3</f>
        <v>2023</v>
      </c>
      <c r="CX93" s="310" t="str">
        <f>Macro!CX$3</f>
        <v>1Q24</v>
      </c>
      <c r="CY93" s="310" t="str">
        <f>Macro!CY$3</f>
        <v>2Q24</v>
      </c>
      <c r="CZ93" s="310" t="str">
        <f>Macro!CZ$3</f>
        <v>3Q24</v>
      </c>
      <c r="DA93" s="310" t="str">
        <f>Macro!DA$3</f>
        <v>4Q24</v>
      </c>
      <c r="DB93" s="311" t="str">
        <f>Macro!DB$3</f>
        <v>2024</v>
      </c>
      <c r="DC93" s="310" t="str">
        <f>Macro!DC$3</f>
        <v>1Q25</v>
      </c>
      <c r="DD93" s="310" t="str">
        <f>Macro!DD$3</f>
        <v>2Q25</v>
      </c>
      <c r="DE93" s="310" t="str">
        <f>Macro!DE$3</f>
        <v>3Q25</v>
      </c>
      <c r="DF93" s="310" t="str">
        <f>Macro!DF$3</f>
        <v>4Q25</v>
      </c>
      <c r="DG93" s="311" t="str">
        <f>Macro!DG$3</f>
        <v>2025</v>
      </c>
      <c r="DH93" s="310" t="str">
        <f>Macro!DH$3</f>
        <v>1Q26</v>
      </c>
      <c r="DI93" s="310" t="str">
        <f>Macro!DI$3</f>
        <v>2Q26</v>
      </c>
      <c r="DJ93" s="310" t="str">
        <f>Macro!DJ$3</f>
        <v>3Q26E</v>
      </c>
      <c r="DK93" s="310" t="str">
        <f>Macro!DK$3</f>
        <v>4Q26E</v>
      </c>
      <c r="DL93" s="311" t="str">
        <f>Macro!DL$3</f>
        <v>2026E</v>
      </c>
      <c r="DM93" s="310" t="str">
        <f>Macro!DM$3</f>
        <v>1Q27E</v>
      </c>
      <c r="DN93" s="310" t="str">
        <f>Macro!DN$3</f>
        <v>2Q27E</v>
      </c>
      <c r="DO93" s="310" t="str">
        <f>Macro!DO$3</f>
        <v>3Q27E</v>
      </c>
      <c r="DP93" s="310" t="str">
        <f>Macro!DP$3</f>
        <v>4Q27E</v>
      </c>
      <c r="DQ93" s="311" t="str">
        <f>Macro!DQ$3</f>
        <v>2027E</v>
      </c>
      <c r="DR93" s="310" t="str">
        <f>Macro!DR$3</f>
        <v>1Q28E</v>
      </c>
      <c r="DS93" s="310" t="str">
        <f>Macro!DS$3</f>
        <v>2Q28E</v>
      </c>
      <c r="DT93" s="310" t="str">
        <f>Macro!DT$3</f>
        <v>3Q28E</v>
      </c>
      <c r="DU93" s="310" t="str">
        <f>Macro!DU$3</f>
        <v>4Q28E</v>
      </c>
      <c r="DV93" s="311" t="str">
        <f>Macro!DV$3</f>
        <v>2028E</v>
      </c>
      <c r="DW93" s="310" t="str">
        <f>Macro!DW$3</f>
        <v>1Q29E</v>
      </c>
      <c r="DX93" s="310" t="str">
        <f>Macro!DX$3</f>
        <v>2Q29E</v>
      </c>
      <c r="DY93" s="310" t="str">
        <f>Macro!DY$3</f>
        <v>3Q29E</v>
      </c>
      <c r="DZ93" s="310" t="str">
        <f>Macro!DZ$3</f>
        <v>4Q29E</v>
      </c>
      <c r="EA93" s="311" t="str">
        <f>Macro!EA$3</f>
        <v>2029E</v>
      </c>
      <c r="EB93" s="310" t="str">
        <f>Macro!EB$3</f>
        <v>1Q30E</v>
      </c>
      <c r="EC93" s="310" t="str">
        <f>Macro!EC$3</f>
        <v>2Q30E</v>
      </c>
      <c r="ED93" s="310" t="str">
        <f>Macro!ED$3</f>
        <v>3Q30E</v>
      </c>
      <c r="EE93" s="310" t="str">
        <f>Macro!EE$3</f>
        <v>4Q30E</v>
      </c>
      <c r="EF93" s="311" t="str">
        <f>Macro!EF$3</f>
        <v>2030E</v>
      </c>
    </row>
    <row r="94" spans="1:136" ht="12.75" customHeight="1">
      <c r="A94" s="78" t="s">
        <v>995</v>
      </c>
      <c r="B94" s="267"/>
      <c r="C94" s="267"/>
      <c r="D94" s="267"/>
      <c r="E94" s="267"/>
      <c r="F94" s="268"/>
      <c r="G94" s="267"/>
      <c r="H94" s="267"/>
      <c r="I94" s="267"/>
      <c r="J94" s="267"/>
      <c r="K94" s="268"/>
      <c r="L94" s="267"/>
      <c r="M94" s="267"/>
      <c r="N94" s="267"/>
      <c r="O94" s="267"/>
      <c r="P94" s="268"/>
      <c r="Q94" s="267"/>
      <c r="R94" s="267"/>
      <c r="S94" s="267"/>
      <c r="T94" s="267"/>
      <c r="U94" s="268"/>
      <c r="V94" s="267"/>
      <c r="W94" s="267"/>
      <c r="X94" s="267"/>
      <c r="Y94" s="267"/>
      <c r="Z94" s="268"/>
      <c r="AA94" s="267"/>
      <c r="AB94" s="267"/>
      <c r="AC94" s="267"/>
      <c r="AD94" s="267"/>
      <c r="AE94" s="268"/>
      <c r="AF94" s="267"/>
      <c r="AG94" s="267"/>
      <c r="AH94" s="267"/>
      <c r="AI94" s="267"/>
      <c r="AJ94" s="268"/>
      <c r="AK94" s="267"/>
      <c r="AL94" s="267"/>
      <c r="AM94" s="267"/>
      <c r="AN94" s="267"/>
      <c r="AO94" s="268"/>
      <c r="AP94" s="267"/>
      <c r="AQ94" s="267"/>
      <c r="AR94" s="267"/>
      <c r="AS94" s="267"/>
      <c r="AT94" s="268"/>
      <c r="AU94" s="267"/>
      <c r="AV94" s="267"/>
      <c r="AW94" s="267"/>
      <c r="AX94" s="267"/>
      <c r="AY94" s="268"/>
      <c r="AZ94" s="267"/>
      <c r="BA94" s="267"/>
      <c r="BB94" s="267"/>
      <c r="BC94" s="267"/>
      <c r="BD94" s="268"/>
      <c r="BE94" s="267"/>
      <c r="BF94" s="267"/>
      <c r="BG94" s="267"/>
      <c r="BH94" s="267"/>
      <c r="BI94" s="268"/>
      <c r="BJ94" s="267"/>
      <c r="BK94" s="267"/>
      <c r="BL94" s="267"/>
      <c r="BM94" s="267"/>
      <c r="BN94" s="268"/>
      <c r="BO94" s="267"/>
      <c r="BP94" s="267"/>
      <c r="BQ94" s="267"/>
      <c r="BR94" s="267"/>
      <c r="BS94" s="268"/>
      <c r="BT94" s="267"/>
      <c r="BU94" s="267"/>
      <c r="BV94" s="267"/>
      <c r="BW94" s="267"/>
      <c r="BX94" s="268"/>
      <c r="BY94" s="267"/>
      <c r="BZ94" s="267"/>
      <c r="CA94" s="267"/>
      <c r="CB94" s="267"/>
      <c r="CC94" s="268"/>
      <c r="CD94" s="267"/>
      <c r="CE94" s="267"/>
      <c r="CF94" s="267"/>
      <c r="CG94" s="267"/>
      <c r="CH94" s="268">
        <f t="shared" ref="CH94:EE94" si="260">CH35/CH78</f>
        <v>0.40496847887148119</v>
      </c>
      <c r="CI94" s="267">
        <f t="shared" si="260"/>
        <v>0.20550371387553837</v>
      </c>
      <c r="CJ94" s="267">
        <f t="shared" si="260"/>
        <v>0.19350904021804716</v>
      </c>
      <c r="CK94" s="267">
        <f t="shared" si="260"/>
        <v>0.20369358966356657</v>
      </c>
      <c r="CL94" s="267">
        <f t="shared" si="260"/>
        <v>0.17015167592534797</v>
      </c>
      <c r="CM94" s="268">
        <f t="shared" si="260"/>
        <v>0.77285801968250001</v>
      </c>
      <c r="CN94" s="267">
        <f t="shared" si="260"/>
        <v>0.13193411822332629</v>
      </c>
      <c r="CO94" s="267">
        <f t="shared" si="260"/>
        <v>8.4990946502057615E-2</v>
      </c>
      <c r="CP94" s="267">
        <f t="shared" si="260"/>
        <v>0.13214880990590366</v>
      </c>
      <c r="CQ94" s="267">
        <f t="shared" si="260"/>
        <v>0.13003783462012658</v>
      </c>
      <c r="CR94" s="268">
        <f t="shared" si="260"/>
        <v>0.48399107308079042</v>
      </c>
      <c r="CS94" s="267">
        <f t="shared" si="260"/>
        <v>0.10528431768891787</v>
      </c>
      <c r="CT94" s="267">
        <f t="shared" si="260"/>
        <v>7.3753520607699879E-2</v>
      </c>
      <c r="CU94" s="267">
        <f t="shared" si="260"/>
        <v>0.19974493043658886</v>
      </c>
      <c r="CV94" s="267">
        <f t="shared" si="260"/>
        <v>0.20653487328045814</v>
      </c>
      <c r="CW94" s="268">
        <f t="shared" si="260"/>
        <v>0.58531764201366476</v>
      </c>
      <c r="CX94" s="267">
        <f>CX35/CX78</f>
        <v>0.22534346166474212</v>
      </c>
      <c r="CY94" s="267">
        <f t="shared" si="260"/>
        <v>0.26013298460425133</v>
      </c>
      <c r="CZ94" s="267">
        <f t="shared" ref="CZ94" si="261">CZ35/CZ78</f>
        <v>0.30356851700054277</v>
      </c>
      <c r="DA94" s="267">
        <f t="shared" si="260"/>
        <v>0.32435972092512222</v>
      </c>
      <c r="DB94" s="268">
        <f t="shared" si="260"/>
        <v>1.1006537383947701</v>
      </c>
      <c r="DC94" s="267">
        <f>DC35/DC78</f>
        <v>0.25633154259401381</v>
      </c>
      <c r="DD94" s="267">
        <f t="shared" ref="DD94:DE94" si="262">DD35/DD78</f>
        <v>0.31793555615778241</v>
      </c>
      <c r="DE94" s="267">
        <f t="shared" si="262"/>
        <v>0.3003591347062588</v>
      </c>
      <c r="DF94" s="267">
        <f t="shared" si="260"/>
        <v>0.37359118764959204</v>
      </c>
      <c r="DG94" s="268">
        <f t="shared" si="260"/>
        <v>1.2482174211076471</v>
      </c>
      <c r="DH94" s="267">
        <f>DH35/DH78</f>
        <v>0.29406527032267982</v>
      </c>
      <c r="DI94" s="267">
        <f t="shared" si="260"/>
        <v>0.24453307692131165</v>
      </c>
      <c r="DJ94" s="267">
        <f t="shared" si="260"/>
        <v>0.35055495231310857</v>
      </c>
      <c r="DK94" s="267">
        <f t="shared" si="260"/>
        <v>0.38328355455365509</v>
      </c>
      <c r="DL94" s="268">
        <f t="shared" si="260"/>
        <v>1.2724368541107554</v>
      </c>
      <c r="DM94" s="267">
        <f t="shared" si="260"/>
        <v>0.37034037382428447</v>
      </c>
      <c r="DN94" s="267">
        <f t="shared" si="260"/>
        <v>0.39712197096841656</v>
      </c>
      <c r="DO94" s="267">
        <f t="shared" si="260"/>
        <v>0.41358405764754202</v>
      </c>
      <c r="DP94" s="267">
        <f t="shared" si="260"/>
        <v>0.43133845513776903</v>
      </c>
      <c r="DQ94" s="268">
        <f t="shared" si="260"/>
        <v>1.6123848575780122</v>
      </c>
      <c r="DR94" s="267">
        <f t="shared" si="260"/>
        <v>0.44202839393768606</v>
      </c>
      <c r="DS94" s="267">
        <f t="shared" si="260"/>
        <v>0.44724761907492777</v>
      </c>
      <c r="DT94" s="267">
        <f t="shared" si="260"/>
        <v>0.46778140250866823</v>
      </c>
      <c r="DU94" s="267">
        <f t="shared" si="260"/>
        <v>0.48717197793826644</v>
      </c>
      <c r="DV94" s="268">
        <f t="shared" si="260"/>
        <v>1.8442293934595484</v>
      </c>
      <c r="DW94" s="267">
        <f t="shared" si="260"/>
        <v>0.48534349088233764</v>
      </c>
      <c r="DX94" s="267">
        <f t="shared" si="260"/>
        <v>0.4829903702445319</v>
      </c>
      <c r="DY94" s="267">
        <f t="shared" si="260"/>
        <v>0.50361916853740563</v>
      </c>
      <c r="DZ94" s="267">
        <f t="shared" si="260"/>
        <v>0.52310617101265855</v>
      </c>
      <c r="EA94" s="268">
        <f t="shared" si="260"/>
        <v>1.9950592006769337</v>
      </c>
      <c r="EB94" s="267">
        <f t="shared" si="260"/>
        <v>0.51910589230421733</v>
      </c>
      <c r="EC94" s="267">
        <f t="shared" si="260"/>
        <v>0.51494408997118357</v>
      </c>
      <c r="ED94" s="267">
        <f t="shared" si="260"/>
        <v>0.53561238727778648</v>
      </c>
      <c r="EE94" s="267">
        <f t="shared" si="260"/>
        <v>0.55523272182552386</v>
      </c>
      <c r="EF94" s="268">
        <f>EF35/EF78</f>
        <v>2.1248950913787112</v>
      </c>
    </row>
    <row r="95" spans="1:136" ht="12.75" customHeight="1">
      <c r="A95" s="78" t="s">
        <v>996</v>
      </c>
      <c r="B95" s="557"/>
      <c r="C95" s="557"/>
      <c r="D95" s="557"/>
      <c r="E95" s="557"/>
      <c r="F95" s="268"/>
      <c r="G95" s="557"/>
      <c r="H95" s="557"/>
      <c r="I95" s="557"/>
      <c r="J95" s="557"/>
      <c r="K95" s="268"/>
      <c r="L95" s="557"/>
      <c r="M95" s="557"/>
      <c r="N95" s="557"/>
      <c r="O95" s="557"/>
      <c r="P95" s="268"/>
      <c r="Q95" s="557"/>
      <c r="R95" s="557"/>
      <c r="S95" s="557"/>
      <c r="T95" s="557"/>
      <c r="U95" s="268"/>
      <c r="V95" s="557"/>
      <c r="W95" s="557"/>
      <c r="X95" s="557"/>
      <c r="Y95" s="557"/>
      <c r="Z95" s="268"/>
      <c r="AA95" s="557"/>
      <c r="AB95" s="557"/>
      <c r="AC95" s="557"/>
      <c r="AD95" s="557"/>
      <c r="AE95" s="268"/>
      <c r="AF95" s="557"/>
      <c r="AG95" s="557"/>
      <c r="AH95" s="557"/>
      <c r="AI95" s="557"/>
      <c r="AJ95" s="268"/>
      <c r="AK95" s="557"/>
      <c r="AL95" s="557"/>
      <c r="AM95" s="557"/>
      <c r="AN95" s="557"/>
      <c r="AO95" s="268"/>
      <c r="AP95" s="557"/>
      <c r="AQ95" s="557"/>
      <c r="AR95" s="557">
        <f>200/7200</f>
        <v>2.7777777777777776E-2</v>
      </c>
      <c r="AS95" s="557"/>
      <c r="AT95" s="268"/>
      <c r="AU95" s="557"/>
      <c r="AV95" s="557"/>
      <c r="AW95" s="557"/>
      <c r="AX95" s="557"/>
      <c r="AY95" s="268"/>
      <c r="AZ95" s="557"/>
      <c r="BA95" s="557"/>
      <c r="BB95" s="557"/>
      <c r="BC95" s="557"/>
      <c r="BD95" s="268"/>
      <c r="BE95" s="557"/>
      <c r="BF95" s="557"/>
      <c r="BG95" s="557"/>
      <c r="BH95" s="557"/>
      <c r="BI95" s="268"/>
      <c r="BJ95" s="557"/>
      <c r="BK95" s="557"/>
      <c r="BL95" s="557"/>
      <c r="BM95" s="557"/>
      <c r="BN95" s="268"/>
      <c r="BO95" s="557"/>
      <c r="BP95" s="557"/>
      <c r="BQ95" s="557"/>
      <c r="BR95" s="557"/>
      <c r="BS95" s="268"/>
      <c r="BT95" s="557"/>
      <c r="BU95" s="557"/>
      <c r="BV95" s="557"/>
      <c r="BW95" s="557"/>
      <c r="BX95" s="268"/>
      <c r="BY95" s="557"/>
      <c r="BZ95" s="557"/>
      <c r="CA95" s="557"/>
      <c r="CB95" s="557"/>
      <c r="CC95" s="268"/>
      <c r="CD95" s="557"/>
      <c r="CE95" s="557"/>
      <c r="CF95" s="557"/>
      <c r="CG95" s="557"/>
      <c r="CH95" s="268">
        <f t="shared" ref="CH95:EE95" si="263">CH79-CH94</f>
        <v>4.1734865450513414</v>
      </c>
      <c r="CI95" s="557">
        <f t="shared" si="263"/>
        <v>0.29458211097933962</v>
      </c>
      <c r="CJ95" s="557">
        <f t="shared" si="263"/>
        <v>0.50082443875746419</v>
      </c>
      <c r="CK95" s="557">
        <f t="shared" si="263"/>
        <v>0.41410752553939623</v>
      </c>
      <c r="CL95" s="557">
        <f t="shared" si="263"/>
        <v>0.3956395772215634</v>
      </c>
      <c r="CM95" s="268">
        <f t="shared" si="263"/>
        <v>1.6051536524977634</v>
      </c>
      <c r="CN95" s="557">
        <f t="shared" si="263"/>
        <v>0.25236016265782474</v>
      </c>
      <c r="CO95" s="557">
        <f t="shared" si="263"/>
        <v>0.27399439979595136</v>
      </c>
      <c r="CP95" s="557">
        <f t="shared" si="263"/>
        <v>0.50284390246656296</v>
      </c>
      <c r="CQ95" s="557">
        <f t="shared" si="263"/>
        <v>0.3313717812643211</v>
      </c>
      <c r="CR95" s="268">
        <f t="shared" si="263"/>
        <v>1.3004037447885268</v>
      </c>
      <c r="CS95" s="557">
        <f t="shared" si="263"/>
        <v>0.25973801977866934</v>
      </c>
      <c r="CT95" s="557">
        <f t="shared" si="263"/>
        <v>0.54969836569213537</v>
      </c>
      <c r="CU95" s="557">
        <f t="shared" si="263"/>
        <v>0.36158455824051133</v>
      </c>
      <c r="CV95" s="557">
        <f t="shared" si="263"/>
        <v>0.34695714518639953</v>
      </c>
      <c r="CW95" s="268">
        <f t="shared" si="263"/>
        <v>1.518872244098445</v>
      </c>
      <c r="CX95" s="557">
        <f>CX79-CX94</f>
        <v>0.3715863227322373</v>
      </c>
      <c r="CY95" s="557">
        <f t="shared" si="263"/>
        <v>0.6600941211156055</v>
      </c>
      <c r="CZ95" s="557">
        <f t="shared" ref="CZ95" si="264">CZ79-CZ94</f>
        <v>0.75311857161044482</v>
      </c>
      <c r="DA95" s="557">
        <f t="shared" si="263"/>
        <v>0.77584896409342019</v>
      </c>
      <c r="DB95" s="268">
        <f t="shared" si="263"/>
        <v>1.7910658226422007</v>
      </c>
      <c r="DC95" s="557">
        <f>DC79-DC94</f>
        <v>0.47647348902133246</v>
      </c>
      <c r="DD95" s="557">
        <f t="shared" ref="DD95:DE95" si="265">DD79-DD94</f>
        <v>0.56522838188977276</v>
      </c>
      <c r="DE95" s="557">
        <f t="shared" si="265"/>
        <v>1.086795821557647</v>
      </c>
      <c r="DF95" s="557">
        <f t="shared" si="263"/>
        <v>1.1800068775321046</v>
      </c>
      <c r="DG95" s="268">
        <f t="shared" si="263"/>
        <v>3.3218252332553728</v>
      </c>
      <c r="DH95" s="557">
        <f>DH79-DH94</f>
        <v>0.38438222118461041</v>
      </c>
      <c r="DI95" s="557">
        <f t="shared" si="263"/>
        <v>0.79176926589819563</v>
      </c>
      <c r="DJ95" s="557">
        <f t="shared" ca="1" si="263"/>
        <v>0.85316657412900399</v>
      </c>
      <c r="DK95" s="557">
        <f t="shared" ca="1" si="263"/>
        <v>1.0330747377353997</v>
      </c>
      <c r="DL95" s="268">
        <f t="shared" ca="1" si="263"/>
        <v>3.0650037872807481</v>
      </c>
      <c r="DM95" s="557">
        <f t="shared" ca="1" si="263"/>
        <v>0.86350552045408979</v>
      </c>
      <c r="DN95" s="557">
        <f t="shared" ca="1" si="263"/>
        <v>0.87801400298281473</v>
      </c>
      <c r="DO95" s="557">
        <f t="shared" ca="1" si="263"/>
        <v>0.84204080684062399</v>
      </c>
      <c r="DP95" s="557">
        <f t="shared" ca="1" si="263"/>
        <v>0.89344188109536637</v>
      </c>
      <c r="DQ95" s="268">
        <f t="shared" ca="1" si="263"/>
        <v>3.4770022113728944</v>
      </c>
      <c r="DR95" s="557">
        <f t="shared" ca="1" si="263"/>
        <v>0.96121561978794223</v>
      </c>
      <c r="DS95" s="557">
        <f t="shared" ca="1" si="263"/>
        <v>0.85589260021283087</v>
      </c>
      <c r="DT95" s="557">
        <f t="shared" ca="1" si="263"/>
        <v>0.82116602799328886</v>
      </c>
      <c r="DU95" s="557">
        <f t="shared" ca="1" si="263"/>
        <v>0.93525984505192938</v>
      </c>
      <c r="DV95" s="268">
        <f t="shared" ca="1" si="263"/>
        <v>3.5735340930459913</v>
      </c>
      <c r="DW95" s="557">
        <f t="shared" ca="1" si="263"/>
        <v>0.99637183564253851</v>
      </c>
      <c r="DX95" s="557">
        <f t="shared" ca="1" si="263"/>
        <v>0.87661399544244012</v>
      </c>
      <c r="DY95" s="557">
        <f t="shared" ca="1" si="263"/>
        <v>0.82942062095860636</v>
      </c>
      <c r="DZ95" s="557">
        <f t="shared" ca="1" si="263"/>
        <v>0.97857473453632271</v>
      </c>
      <c r="EA95" s="268">
        <f t="shared" ca="1" si="263"/>
        <v>3.6809811865799076</v>
      </c>
      <c r="EB95" s="557">
        <f t="shared" ca="1" si="263"/>
        <v>1.0876789573303753</v>
      </c>
      <c r="EC95" s="557">
        <f t="shared" ca="1" si="263"/>
        <v>0.98655448751005992</v>
      </c>
      <c r="ED95" s="557">
        <f t="shared" ca="1" si="263"/>
        <v>0.94458336619656813</v>
      </c>
      <c r="EE95" s="557">
        <f t="shared" ca="1" si="263"/>
        <v>1.0926638157328354</v>
      </c>
      <c r="EF95" s="268">
        <f ca="1">EF79-EF94</f>
        <v>4.1114806267698381</v>
      </c>
    </row>
    <row r="96" spans="1:136" ht="12.75" customHeight="1">
      <c r="A96" s="554" t="s">
        <v>997</v>
      </c>
      <c r="B96" s="555"/>
      <c r="C96" s="555"/>
      <c r="D96" s="555"/>
      <c r="E96" s="555"/>
      <c r="F96" s="556"/>
      <c r="G96" s="555"/>
      <c r="H96" s="555"/>
      <c r="I96" s="555"/>
      <c r="J96" s="555"/>
      <c r="K96" s="556"/>
      <c r="L96" s="555"/>
      <c r="M96" s="555"/>
      <c r="N96" s="555"/>
      <c r="O96" s="555"/>
      <c r="P96" s="556"/>
      <c r="Q96" s="555"/>
      <c r="R96" s="555"/>
      <c r="S96" s="555"/>
      <c r="T96" s="555"/>
      <c r="U96" s="556"/>
      <c r="V96" s="555"/>
      <c r="W96" s="555"/>
      <c r="X96" s="555"/>
      <c r="Y96" s="555"/>
      <c r="Z96" s="556"/>
      <c r="AA96" s="555"/>
      <c r="AB96" s="555"/>
      <c r="AC96" s="555"/>
      <c r="AD96" s="555"/>
      <c r="AE96" s="556"/>
      <c r="AF96" s="555"/>
      <c r="AG96" s="555"/>
      <c r="AH96" s="555"/>
      <c r="AI96" s="555"/>
      <c r="AJ96" s="556"/>
      <c r="AK96" s="555"/>
      <c r="AL96" s="555"/>
      <c r="AM96" s="555"/>
      <c r="AN96" s="555"/>
      <c r="AO96" s="556"/>
      <c r="AP96" s="555"/>
      <c r="AQ96" s="555"/>
      <c r="AR96" s="555"/>
      <c r="AS96" s="555"/>
      <c r="AT96" s="556"/>
      <c r="AU96" s="555"/>
      <c r="AV96" s="555"/>
      <c r="AW96" s="555"/>
      <c r="AX96" s="555"/>
      <c r="AY96" s="556"/>
      <c r="AZ96" s="555"/>
      <c r="BA96" s="555"/>
      <c r="BB96" s="555"/>
      <c r="BC96" s="555"/>
      <c r="BD96" s="556"/>
      <c r="BE96" s="555"/>
      <c r="BF96" s="555"/>
      <c r="BG96" s="555"/>
      <c r="BH96" s="555"/>
      <c r="BI96" s="556"/>
      <c r="BJ96" s="555"/>
      <c r="BK96" s="555"/>
      <c r="BL96" s="555"/>
      <c r="BM96" s="555"/>
      <c r="BN96" s="556"/>
      <c r="BO96" s="555"/>
      <c r="BP96" s="555"/>
      <c r="BQ96" s="555"/>
      <c r="BR96" s="555"/>
      <c r="BS96" s="556"/>
      <c r="BT96" s="555"/>
      <c r="BU96" s="555"/>
      <c r="BV96" s="555"/>
      <c r="BW96" s="555"/>
      <c r="BX96" s="556"/>
      <c r="BY96" s="555"/>
      <c r="BZ96" s="555"/>
      <c r="CA96" s="555"/>
      <c r="CB96" s="555"/>
      <c r="CC96" s="556"/>
      <c r="CD96" s="555"/>
      <c r="CE96" s="555"/>
      <c r="CF96" s="555"/>
      <c r="CG96" s="555"/>
      <c r="CH96" s="564">
        <f>DCF!$B$13/CH95</f>
        <v>7.4278423244847538</v>
      </c>
      <c r="CI96" s="555"/>
      <c r="CJ96" s="555"/>
      <c r="CK96" s="555"/>
      <c r="CL96" s="555"/>
      <c r="CM96" s="564">
        <f>DCF!$B$13/CM95</f>
        <v>19.31279286052224</v>
      </c>
      <c r="CN96" s="555"/>
      <c r="CO96" s="555"/>
      <c r="CP96" s="555"/>
      <c r="CQ96" s="555"/>
      <c r="CR96" s="564">
        <f>DCF!$B$13/CR95</f>
        <v>23.838750176039561</v>
      </c>
      <c r="CS96" s="555"/>
      <c r="CT96" s="555"/>
      <c r="CU96" s="555"/>
      <c r="CV96" s="555"/>
      <c r="CW96" s="564">
        <f>DCF!$B$13/CW95</f>
        <v>20.409879843713011</v>
      </c>
      <c r="CX96" s="555"/>
      <c r="CY96" s="555"/>
      <c r="CZ96" s="555"/>
      <c r="DA96" s="555"/>
      <c r="DB96" s="564">
        <f>DCF!$B$13/DB95</f>
        <v>17.308129945927082</v>
      </c>
      <c r="DC96" s="555"/>
      <c r="DD96" s="555"/>
      <c r="DE96" s="555"/>
      <c r="DF96" s="555"/>
      <c r="DG96" s="564">
        <f>DCF!$B$13/DG95</f>
        <v>9.3322188324820896</v>
      </c>
      <c r="DH96" s="555"/>
      <c r="DI96" s="555"/>
      <c r="DJ96" s="555"/>
      <c r="DK96" s="555"/>
      <c r="DL96" s="564">
        <f ca="1">DCF!$B$13/DL95</f>
        <v>10.11417999829064</v>
      </c>
      <c r="DM96" s="555"/>
      <c r="DN96" s="555"/>
      <c r="DO96" s="555"/>
      <c r="DP96" s="555"/>
      <c r="DQ96" s="564">
        <f ca="1">DCF!$B$13/DQ95</f>
        <v>8.9157262824286931</v>
      </c>
      <c r="DR96" s="555"/>
      <c r="DS96" s="555"/>
      <c r="DT96" s="555"/>
      <c r="DU96" s="555"/>
      <c r="DV96" s="564">
        <f ca="1">DCF!$B$13/DV95</f>
        <v>8.674885755343773</v>
      </c>
      <c r="DW96" s="555"/>
      <c r="DX96" s="555"/>
      <c r="DY96" s="555"/>
      <c r="DZ96" s="555"/>
      <c r="EA96" s="564">
        <f ca="1">DCF!$B$13/EA95</f>
        <v>8.4216676012959688</v>
      </c>
      <c r="EB96" s="555"/>
      <c r="EC96" s="555"/>
      <c r="ED96" s="555"/>
      <c r="EE96" s="555"/>
      <c r="EF96" s="564">
        <f ca="1">DCF!$B$13/EF95</f>
        <v>7.5398628411767508</v>
      </c>
    </row>
    <row r="97" spans="1:136" s="190" customFormat="1" ht="12.75" customHeight="1">
      <c r="A97" s="558" t="s">
        <v>864</v>
      </c>
      <c r="B97" s="559"/>
      <c r="C97" s="559"/>
      <c r="D97" s="559"/>
      <c r="E97" s="559"/>
      <c r="F97" s="560"/>
      <c r="G97" s="559"/>
      <c r="H97" s="559"/>
      <c r="I97" s="559"/>
      <c r="J97" s="559"/>
      <c r="K97" s="560"/>
      <c r="L97" s="559"/>
      <c r="M97" s="559"/>
      <c r="N97" s="559"/>
      <c r="O97" s="559"/>
      <c r="P97" s="560"/>
      <c r="Q97" s="559"/>
      <c r="R97" s="559"/>
      <c r="S97" s="559"/>
      <c r="T97" s="559"/>
      <c r="U97" s="560"/>
      <c r="V97" s="559"/>
      <c r="W97" s="559"/>
      <c r="X97" s="559"/>
      <c r="Y97" s="559"/>
      <c r="Z97" s="560"/>
      <c r="AA97" s="559"/>
      <c r="AB97" s="559"/>
      <c r="AC97" s="559"/>
      <c r="AD97" s="559"/>
      <c r="AE97" s="560"/>
      <c r="AF97" s="559"/>
      <c r="AG97" s="559"/>
      <c r="AH97" s="559"/>
      <c r="AI97" s="559"/>
      <c r="AJ97" s="560"/>
      <c r="AK97" s="559"/>
      <c r="AL97" s="559"/>
      <c r="AM97" s="559"/>
      <c r="AN97" s="559"/>
      <c r="AO97" s="560"/>
      <c r="AP97" s="559"/>
      <c r="AQ97" s="559"/>
      <c r="AR97" s="559"/>
      <c r="AS97" s="559"/>
      <c r="AT97" s="560"/>
      <c r="AU97" s="559"/>
      <c r="AV97" s="559"/>
      <c r="AW97" s="559"/>
      <c r="AX97" s="559"/>
      <c r="AY97" s="560"/>
      <c r="AZ97" s="559"/>
      <c r="BA97" s="559"/>
      <c r="BB97" s="559"/>
      <c r="BC97" s="559"/>
      <c r="BD97" s="560"/>
      <c r="BE97" s="559"/>
      <c r="BF97" s="559"/>
      <c r="BG97" s="559"/>
      <c r="BH97" s="559"/>
      <c r="BI97" s="560"/>
      <c r="BJ97" s="559"/>
      <c r="BK97" s="559"/>
      <c r="BL97" s="559"/>
      <c r="BM97" s="559"/>
      <c r="BN97" s="560"/>
      <c r="BO97" s="559"/>
      <c r="BP97" s="559"/>
      <c r="BQ97" s="559"/>
      <c r="BR97" s="559"/>
      <c r="BS97" s="560"/>
      <c r="BT97" s="559"/>
      <c r="BU97" s="559"/>
      <c r="BV97" s="559"/>
      <c r="BW97" s="559"/>
      <c r="BX97" s="560"/>
      <c r="BY97" s="559"/>
      <c r="BZ97" s="559"/>
      <c r="CA97" s="559"/>
      <c r="CB97" s="559"/>
      <c r="CC97" s="560"/>
      <c r="CD97" s="559"/>
      <c r="CE97" s="559"/>
      <c r="CF97" s="559"/>
      <c r="CG97" s="559"/>
      <c r="CH97" s="560">
        <f>CH80/AVERAGE('Balance Sheet'!CD57:CG57)</f>
        <v>0.11343307738447708</v>
      </c>
      <c r="CI97" s="559"/>
      <c r="CJ97" s="559"/>
      <c r="CK97" s="559"/>
      <c r="CL97" s="559"/>
      <c r="CM97" s="560">
        <f>CM80/AVERAGE('Balance Sheet'!CI57:CL57)</f>
        <v>0.1520432819219722</v>
      </c>
      <c r="CN97" s="559"/>
      <c r="CO97" s="559"/>
      <c r="CP97" s="559"/>
      <c r="CQ97" s="559"/>
      <c r="CR97" s="560">
        <f>CR80/AVERAGE('Balance Sheet'!CN57:CQ57)</f>
        <v>0.12395194308170339</v>
      </c>
      <c r="CS97" s="559"/>
      <c r="CT97" s="559"/>
      <c r="CU97" s="559"/>
      <c r="CV97" s="559"/>
      <c r="CW97" s="560">
        <f>CW80/AVERAGE('Balance Sheet'!CS57:CV57)</f>
        <v>0.12471835143915463</v>
      </c>
      <c r="CX97" s="559"/>
      <c r="CY97" s="559"/>
      <c r="CZ97" s="559"/>
      <c r="DA97" s="559"/>
      <c r="DB97" s="560">
        <f>DB80/AVERAGE('Balance Sheet'!CX57:DA57)</f>
        <v>0.19370245397362118</v>
      </c>
      <c r="DC97" s="559"/>
      <c r="DD97" s="559"/>
      <c r="DE97" s="559"/>
      <c r="DF97" s="559"/>
      <c r="DG97" s="560">
        <f>DG80/AVERAGE('Balance Sheet'!DC57:DF57)</f>
        <v>0.1802887716428094</v>
      </c>
      <c r="DH97" s="559"/>
      <c r="DI97" s="559"/>
      <c r="DJ97" s="559"/>
      <c r="DK97" s="559"/>
      <c r="DL97" s="560">
        <f ca="1">DL80/AVERAGE('Balance Sheet'!DH57:DK57)</f>
        <v>0.16693164505242986</v>
      </c>
      <c r="DM97" s="559"/>
      <c r="DN97" s="559"/>
      <c r="DO97" s="559"/>
      <c r="DP97" s="559"/>
      <c r="DQ97" s="560">
        <f ca="1">DQ80/AVERAGE('Balance Sheet'!DM57:DP57)</f>
        <v>0.17451720821040001</v>
      </c>
      <c r="DR97" s="559"/>
      <c r="DS97" s="559"/>
      <c r="DT97" s="559"/>
      <c r="DU97" s="559"/>
      <c r="DV97" s="560">
        <f ca="1">DV80/AVERAGE('Balance Sheet'!DR57:DU57)</f>
        <v>0.18473221897008366</v>
      </c>
      <c r="DW97" s="559"/>
      <c r="DX97" s="559"/>
      <c r="DY97" s="559"/>
      <c r="DZ97" s="559"/>
      <c r="EA97" s="560">
        <f ca="1">EA80/AVERAGE('Balance Sheet'!DW57:DZ57)</f>
        <v>0.18564992891089543</v>
      </c>
      <c r="EB97" s="559"/>
      <c r="EC97" s="559"/>
      <c r="ED97" s="559"/>
      <c r="EE97" s="559"/>
      <c r="EF97" s="560">
        <f ca="1">EF80/AVERAGE('Balance Sheet'!EB57:EE57)</f>
        <v>0.19457833747621212</v>
      </c>
    </row>
    <row r="98" spans="1:136" s="190" customFormat="1" ht="12.75" customHeight="1">
      <c r="A98" s="561" t="s">
        <v>998</v>
      </c>
      <c r="B98" s="562"/>
      <c r="C98" s="562"/>
      <c r="D98" s="562"/>
      <c r="E98" s="562"/>
      <c r="F98" s="563"/>
      <c r="G98" s="562"/>
      <c r="H98" s="562"/>
      <c r="I98" s="562"/>
      <c r="J98" s="562"/>
      <c r="K98" s="563"/>
      <c r="L98" s="562"/>
      <c r="M98" s="562"/>
      <c r="N98" s="562"/>
      <c r="O98" s="562"/>
      <c r="P98" s="563"/>
      <c r="Q98" s="562"/>
      <c r="R98" s="562"/>
      <c r="S98" s="562"/>
      <c r="T98" s="562"/>
      <c r="U98" s="563"/>
      <c r="V98" s="562"/>
      <c r="W98" s="562"/>
      <c r="X98" s="562"/>
      <c r="Y98" s="562"/>
      <c r="Z98" s="563"/>
      <c r="AA98" s="562"/>
      <c r="AB98" s="562"/>
      <c r="AC98" s="562"/>
      <c r="AD98" s="562"/>
      <c r="AE98" s="563"/>
      <c r="AF98" s="562"/>
      <c r="AG98" s="562"/>
      <c r="AH98" s="562"/>
      <c r="AI98" s="562"/>
      <c r="AJ98" s="563"/>
      <c r="AK98" s="562"/>
      <c r="AL98" s="562"/>
      <c r="AM98" s="562"/>
      <c r="AN98" s="562"/>
      <c r="AO98" s="563"/>
      <c r="AP98" s="562"/>
      <c r="AQ98" s="562"/>
      <c r="AR98" s="562"/>
      <c r="AS98" s="562"/>
      <c r="AT98" s="563"/>
      <c r="AU98" s="562"/>
      <c r="AV98" s="562"/>
      <c r="AW98" s="562"/>
      <c r="AX98" s="562"/>
      <c r="AY98" s="563"/>
      <c r="AZ98" s="562"/>
      <c r="BA98" s="562"/>
      <c r="BB98" s="562"/>
      <c r="BC98" s="562"/>
      <c r="BD98" s="563"/>
      <c r="BE98" s="562"/>
      <c r="BF98" s="562"/>
      <c r="BG98" s="562"/>
      <c r="BH98" s="562"/>
      <c r="BI98" s="563"/>
      <c r="BJ98" s="562"/>
      <c r="BK98" s="562"/>
      <c r="BL98" s="562"/>
      <c r="BM98" s="562"/>
      <c r="BN98" s="563"/>
      <c r="BO98" s="562"/>
      <c r="BP98" s="562"/>
      <c r="BQ98" s="562"/>
      <c r="BR98" s="562"/>
      <c r="BS98" s="563"/>
      <c r="BT98" s="562"/>
      <c r="BU98" s="562"/>
      <c r="BV98" s="562"/>
      <c r="BW98" s="562"/>
      <c r="BX98" s="563"/>
      <c r="BY98" s="562"/>
      <c r="BZ98" s="562"/>
      <c r="CA98" s="562"/>
      <c r="CB98" s="562"/>
      <c r="CC98" s="563"/>
      <c r="CD98" s="562"/>
      <c r="CE98" s="562"/>
      <c r="CF98" s="562"/>
      <c r="CG98" s="562"/>
      <c r="CH98" s="563">
        <f>CH95/((AVERAGE('Balance Sheet'!CD184:CG184)+AVERAGE('Balance Sheet'!CD132:CG132)+AVERAGE('Balance Sheet'!CD133:CG133)+AVERAGE('Balance Sheet'!CD134:CG134))/CH78)</f>
        <v>0.32054653524703935</v>
      </c>
      <c r="CI98" s="562"/>
      <c r="CJ98" s="562"/>
      <c r="CK98" s="562"/>
      <c r="CL98" s="562"/>
      <c r="CM98" s="563">
        <f>CM95/((AVERAGE('Balance Sheet'!CI184:CL184)+AVERAGE('Balance Sheet'!CI132:CL132)+AVERAGE('Balance Sheet'!CI133:CL133)+AVERAGE('Balance Sheet'!CI134:CL134))/CM78)</f>
        <v>0.11420524980722688</v>
      </c>
      <c r="CN98" s="562"/>
      <c r="CO98" s="562"/>
      <c r="CP98" s="562"/>
      <c r="CQ98" s="562"/>
      <c r="CR98" s="563">
        <f>CR95/((AVERAGE('Balance Sheet'!CN184:CQ184)+AVERAGE('Balance Sheet'!CN132:CQ132)+AVERAGE('Balance Sheet'!CN133:CQ133)+AVERAGE('Balance Sheet'!CN134:CQ134))/CR78)</f>
        <v>9.9132518878660494E-2</v>
      </c>
      <c r="CS98" s="562"/>
      <c r="CT98" s="562"/>
      <c r="CU98" s="562"/>
      <c r="CV98" s="562"/>
      <c r="CW98" s="563">
        <f>CW95/((AVERAGE('Balance Sheet'!CS184:CV184)+AVERAGE('Balance Sheet'!CS132:CV132)+AVERAGE('Balance Sheet'!CS133:CV133)+AVERAGE('Balance Sheet'!CS134:CV134))/CW78)</f>
        <v>9.9201725335437724E-2</v>
      </c>
      <c r="CX98" s="562"/>
      <c r="CY98" s="562"/>
      <c r="CZ98" s="562"/>
      <c r="DA98" s="562"/>
      <c r="DB98" s="563">
        <f>DB95/((AVERAGE('Balance Sheet'!CX184:DA184)+AVERAGE('Balance Sheet'!CX132:DA132)+AVERAGE('Balance Sheet'!CX133:DA133)+AVERAGE('Balance Sheet'!CX134:DA134))/DB78)</f>
        <v>0.10684938606632262</v>
      </c>
      <c r="DC98" s="562"/>
      <c r="DD98" s="562"/>
      <c r="DE98" s="562"/>
      <c r="DF98" s="562"/>
      <c r="DG98" s="563">
        <f>DG95/((AVERAGE('Balance Sheet'!DC184:DF184)+AVERAGE('Balance Sheet'!DC132:DF132)+AVERAGE('Balance Sheet'!DC133:DF133)+AVERAGE('Balance Sheet'!DC134:DF134))/DG78)</f>
        <v>0.16494744571064618</v>
      </c>
      <c r="DH98" s="562"/>
      <c r="DI98" s="562"/>
      <c r="DJ98" s="562"/>
      <c r="DK98" s="562"/>
      <c r="DL98" s="563">
        <f ca="1">DL95/((AVERAGE('Balance Sheet'!DH184:DK184)+AVERAGE('Balance Sheet'!DH132:DK132)+AVERAGE('Balance Sheet'!DH133:DK133)+AVERAGE('Balance Sheet'!DH134:DK134))/DL78)</f>
        <v>0.13353401741521548</v>
      </c>
      <c r="DM98" s="562"/>
      <c r="DN98" s="562"/>
      <c r="DO98" s="562"/>
      <c r="DP98" s="562"/>
      <c r="DQ98" s="563">
        <f ca="1">DQ95/((AVERAGE('Balance Sheet'!DM184:DP184)+AVERAGE('Balance Sheet'!DM132:DP132)+AVERAGE('Balance Sheet'!DM133:DP133)+AVERAGE('Balance Sheet'!DM134:DP134))/DQ78)</f>
        <v>0.13638457854552052</v>
      </c>
      <c r="DR98" s="562"/>
      <c r="DS98" s="562"/>
      <c r="DT98" s="562"/>
      <c r="DU98" s="562"/>
      <c r="DV98" s="563">
        <f ca="1">DV95/((AVERAGE('Balance Sheet'!DR184:DU184)+AVERAGE('Balance Sheet'!DR132:DU132)+AVERAGE('Balance Sheet'!DR133:DU133)+AVERAGE('Balance Sheet'!DR134:DU134))/DV78)</f>
        <v>0.14344484341057623</v>
      </c>
      <c r="DW98" s="562"/>
      <c r="DX98" s="562"/>
      <c r="DY98" s="562"/>
      <c r="DZ98" s="562"/>
      <c r="EA98" s="563">
        <f ca="1">EA95/((AVERAGE('Balance Sheet'!DW184:DZ184)+AVERAGE('Balance Sheet'!DW132:DZ132)+AVERAGE('Balance Sheet'!DW133:DZ133)+AVERAGE('Balance Sheet'!DW134:DZ134))/EA78)</f>
        <v>0.1429572044741132</v>
      </c>
      <c r="EB98" s="562"/>
      <c r="EC98" s="562"/>
      <c r="ED98" s="562"/>
      <c r="EE98" s="562"/>
      <c r="EF98" s="563">
        <f ca="1">EF95/((AVERAGE('Balance Sheet'!EB184:EE184)+AVERAGE('Balance Sheet'!EB132:EE132)+AVERAGE('Balance Sheet'!EB133:EE133)+AVERAGE('Balance Sheet'!EB134:EE134))/EF78)</f>
        <v>0.15341586990031825</v>
      </c>
    </row>
    <row r="99" spans="1:136" ht="12.75" customHeight="1">
      <c r="AL99" s="114"/>
      <c r="AM99" s="114"/>
      <c r="AN99" s="307" t="s">
        <v>766</v>
      </c>
      <c r="AP99" s="114"/>
      <c r="AQ99" s="114"/>
      <c r="AR99" s="114"/>
      <c r="AS99" s="114"/>
      <c r="AU99" s="114"/>
      <c r="AV99" s="114"/>
      <c r="AW99" s="114"/>
      <c r="AX99" s="114"/>
      <c r="AZ99" s="114"/>
      <c r="BA99" s="114"/>
      <c r="BB99" s="114"/>
      <c r="BC99" s="114"/>
      <c r="BE99" s="114"/>
      <c r="BF99" s="114"/>
      <c r="BG99" s="114"/>
      <c r="BH99" s="114"/>
      <c r="BJ99" s="114"/>
      <c r="BK99" s="114"/>
      <c r="BL99" s="114"/>
      <c r="BM99" s="114"/>
      <c r="BO99" s="66" t="s">
        <v>900</v>
      </c>
      <c r="BP99" s="114">
        <v>143302.70245316115</v>
      </c>
      <c r="BQ99" s="114">
        <v>513041.80105444905</v>
      </c>
      <c r="BR99" s="114"/>
      <c r="BT99" s="114"/>
      <c r="BU99" s="114"/>
      <c r="BV99" s="114"/>
      <c r="BW99" s="114"/>
      <c r="BY99" s="114"/>
      <c r="BZ99" s="114"/>
      <c r="CA99" s="114"/>
      <c r="CB99" s="114"/>
      <c r="CD99" s="66" t="s">
        <v>974</v>
      </c>
      <c r="CE99" s="114">
        <v>47932.493000000002</v>
      </c>
      <c r="CF99" s="79">
        <v>100000</v>
      </c>
      <c r="CG99" s="66">
        <v>127951.60400000001</v>
      </c>
    </row>
    <row r="100" spans="1:136" ht="12.75" customHeight="1">
      <c r="AM100" s="66" t="s">
        <v>775</v>
      </c>
      <c r="AN100" s="307" t="s">
        <v>767</v>
      </c>
      <c r="BO100" s="66" t="s">
        <v>901</v>
      </c>
      <c r="BP100" s="114">
        <f>$BS$47</f>
        <v>-95004</v>
      </c>
      <c r="BQ100" s="114">
        <f>-'Balance Sheet'!$BS$49</f>
        <v>521686</v>
      </c>
      <c r="CD100" s="66" t="s">
        <v>975</v>
      </c>
      <c r="CE100" s="79">
        <f>82399+6678+5517</f>
        <v>94594</v>
      </c>
      <c r="CF100" s="79">
        <v>72639</v>
      </c>
      <c r="CG100" s="79">
        <v>124092</v>
      </c>
      <c r="CH100" s="265"/>
      <c r="CY100" s="309" t="s">
        <v>1002</v>
      </c>
      <c r="CZ100" s="309">
        <v>2050</v>
      </c>
      <c r="DG100" s="309">
        <v>7900</v>
      </c>
    </row>
    <row r="101" spans="1:136" ht="12.75" customHeight="1">
      <c r="AM101" s="66" t="s">
        <v>776</v>
      </c>
      <c r="AN101" s="307" t="s">
        <v>770</v>
      </c>
      <c r="AV101" s="66" t="s">
        <v>850</v>
      </c>
      <c r="AW101" s="355">
        <v>1</v>
      </c>
      <c r="CD101" s="66" t="s">
        <v>974</v>
      </c>
      <c r="CE101" s="114">
        <v>47932.493000000002</v>
      </c>
      <c r="CF101" s="79">
        <v>70213</v>
      </c>
      <c r="CG101" s="66">
        <v>96966.093999999997</v>
      </c>
      <c r="CH101" s="79"/>
      <c r="CW101" s="546"/>
      <c r="CY101" s="309" t="s">
        <v>1001</v>
      </c>
      <c r="CZ101" s="570">
        <v>0.33</v>
      </c>
      <c r="DB101" s="546"/>
      <c r="DG101" s="570">
        <v>0.33500000000000002</v>
      </c>
    </row>
    <row r="102" spans="1:136" ht="12.75" customHeight="1">
      <c r="AN102" s="307" t="s">
        <v>768</v>
      </c>
      <c r="AV102" s="66" t="s">
        <v>851</v>
      </c>
      <c r="AW102" s="355">
        <v>0</v>
      </c>
      <c r="CD102" s="66" t="s">
        <v>976</v>
      </c>
      <c r="CE102" s="104">
        <v>9.5</v>
      </c>
      <c r="CF102" s="104">
        <v>9.35</v>
      </c>
      <c r="CG102" s="104">
        <v>9.4</v>
      </c>
      <c r="CH102" s="265"/>
      <c r="CY102" s="309" t="s">
        <v>1000</v>
      </c>
      <c r="CZ102" s="309">
        <v>450</v>
      </c>
      <c r="DG102" s="309">
        <v>1600</v>
      </c>
    </row>
    <row r="103" spans="1:136" ht="12.75" customHeight="1">
      <c r="AN103" s="307" t="s">
        <v>771</v>
      </c>
      <c r="AP103" s="66" t="s">
        <v>772</v>
      </c>
      <c r="AQ103" s="309" t="s">
        <v>773</v>
      </c>
      <c r="AV103" s="66" t="s">
        <v>852</v>
      </c>
      <c r="AW103" s="355">
        <v>1</v>
      </c>
      <c r="CY103" s="309" t="s">
        <v>999</v>
      </c>
      <c r="CZ103" s="309">
        <v>100</v>
      </c>
      <c r="DG103" s="309">
        <v>400</v>
      </c>
    </row>
    <row r="104" spans="1:136" ht="12.75" customHeight="1">
      <c r="AV104" s="66" t="s">
        <v>853</v>
      </c>
      <c r="AW104" s="355">
        <v>1</v>
      </c>
      <c r="CE104" s="114">
        <f>CE100</f>
        <v>94594</v>
      </c>
      <c r="CF104" s="114">
        <f>CF100</f>
        <v>72639</v>
      </c>
      <c r="CG104" s="114">
        <f>CG100</f>
        <v>124092</v>
      </c>
    </row>
    <row r="105" spans="1:136" ht="12.75" customHeight="1">
      <c r="AN105" s="309" t="s">
        <v>769</v>
      </c>
      <c r="AQ105" s="309" t="s">
        <v>774</v>
      </c>
      <c r="CE105" s="79">
        <f>CE101*CE102</f>
        <v>455358.68350000004</v>
      </c>
      <c r="CF105" s="79">
        <f>CF101*CF102</f>
        <v>656491.54999999993</v>
      </c>
      <c r="CG105" s="79">
        <f>CG101*CG102</f>
        <v>911481.28359999997</v>
      </c>
    </row>
    <row r="107" spans="1:136" ht="12.75" customHeight="1">
      <c r="CE107" s="114">
        <f>CE105-CE104</f>
        <v>360764.68350000004</v>
      </c>
      <c r="CF107" s="114">
        <f>(CF105-CF104)*0.75</f>
        <v>437889.41249999998</v>
      </c>
      <c r="CG107" s="114">
        <f>CH101*CG102*0.75*0.9</f>
        <v>0</v>
      </c>
    </row>
    <row r="109" spans="1:136" ht="12.75" customHeight="1">
      <c r="AL109" s="122">
        <f>AM109/AM$129</f>
        <v>9.5917363502213471E-2</v>
      </c>
      <c r="AM109" s="66">
        <v>195</v>
      </c>
    </row>
    <row r="111" spans="1:136" ht="12.75" customHeight="1">
      <c r="AM111" s="66">
        <v>14</v>
      </c>
      <c r="AN111" s="265"/>
    </row>
    <row r="112" spans="1:136" ht="12.75" customHeight="1">
      <c r="AM112" s="66">
        <v>5</v>
      </c>
      <c r="AN112" s="265"/>
    </row>
    <row r="113" spans="38:53" ht="12.75" customHeight="1">
      <c r="AL113" s="122">
        <f>AM113/AM$129</f>
        <v>3.0988686669945892E-2</v>
      </c>
      <c r="AM113" s="66">
        <v>63</v>
      </c>
    </row>
    <row r="114" spans="38:53" ht="12.75" customHeight="1">
      <c r="AL114" s="122">
        <f>AM114/AM$129</f>
        <v>3.0496802754549926E-2</v>
      </c>
      <c r="AM114" s="66">
        <v>62</v>
      </c>
    </row>
    <row r="115" spans="38:53" ht="12.75" customHeight="1">
      <c r="AM115" s="66">
        <v>5</v>
      </c>
    </row>
    <row r="116" spans="38:53" ht="12.75" customHeight="1">
      <c r="AM116" s="66">
        <v>7</v>
      </c>
    </row>
    <row r="117" spans="38:53" ht="12.75" customHeight="1">
      <c r="AM117" s="66">
        <v>1</v>
      </c>
    </row>
    <row r="118" spans="38:53" ht="12.75" customHeight="1">
      <c r="AM118" s="66">
        <v>7</v>
      </c>
    </row>
    <row r="119" spans="38:53" ht="12.75" customHeight="1">
      <c r="AM119" s="66">
        <v>19</v>
      </c>
    </row>
    <row r="120" spans="38:53" ht="12.75" customHeight="1">
      <c r="AM120" s="66">
        <v>4</v>
      </c>
    </row>
    <row r="121" spans="38:53" ht="12.75" customHeight="1">
      <c r="AM121" s="66">
        <v>3</v>
      </c>
    </row>
    <row r="122" spans="38:53" ht="12.75" customHeight="1">
      <c r="AM122" s="66">
        <v>0</v>
      </c>
    </row>
    <row r="123" spans="38:53" ht="12.75" customHeight="1">
      <c r="AM123" s="66">
        <v>0</v>
      </c>
    </row>
    <row r="124" spans="38:53" ht="12.75" customHeight="1">
      <c r="AM124" s="66">
        <v>2</v>
      </c>
      <c r="BA124" s="356">
        <v>1582</v>
      </c>
    </row>
    <row r="125" spans="38:53" ht="12.75" customHeight="1">
      <c r="AM125" s="66">
        <v>11</v>
      </c>
      <c r="BA125" s="66">
        <v>167</v>
      </c>
    </row>
    <row r="126" spans="38:53" ht="12.75" customHeight="1">
      <c r="AM126" s="66">
        <v>3</v>
      </c>
      <c r="BA126" s="66">
        <v>48</v>
      </c>
    </row>
    <row r="127" spans="38:53" ht="12.75" customHeight="1">
      <c r="AM127" s="66">
        <v>128</v>
      </c>
      <c r="BA127" s="356">
        <v>2790</v>
      </c>
    </row>
    <row r="128" spans="38:53" ht="12.75" customHeight="1">
      <c r="BA128" s="66">
        <v>18</v>
      </c>
    </row>
    <row r="129" spans="38:53" ht="12.75" customHeight="1">
      <c r="AL129" s="122">
        <f>AM129/AM$129</f>
        <v>1</v>
      </c>
      <c r="AM129" s="66">
        <v>2033</v>
      </c>
      <c r="BA129" s="66">
        <v>-73</v>
      </c>
    </row>
    <row r="130" spans="38:53" ht="12.75" customHeight="1">
      <c r="BA130" s="356">
        <v>1075</v>
      </c>
    </row>
    <row r="131" spans="38:53" ht="12.75" customHeight="1">
      <c r="BA131" s="66">
        <v>-443</v>
      </c>
    </row>
    <row r="132" spans="38:53" ht="12.75" customHeight="1">
      <c r="BA132" s="66">
        <v>349</v>
      </c>
    </row>
    <row r="133" spans="38:53" ht="12.75" customHeight="1">
      <c r="BA133" s="66">
        <v>3</v>
      </c>
    </row>
    <row r="134" spans="38:53" ht="12.75" customHeight="1">
      <c r="BA134" s="66">
        <v>655</v>
      </c>
    </row>
    <row r="135" spans="38:53" ht="12.75" customHeight="1">
      <c r="BA135" s="66">
        <v>54</v>
      </c>
    </row>
    <row r="136" spans="38:53" ht="12.75" customHeight="1">
      <c r="BA136" s="356">
        <v>3452</v>
      </c>
    </row>
    <row r="137" spans="38:53" ht="12.75" customHeight="1">
      <c r="BA137" s="66">
        <v>-15</v>
      </c>
    </row>
    <row r="138" spans="38:53" ht="12.75" customHeight="1">
      <c r="BA138" s="66" t="s">
        <v>854</v>
      </c>
    </row>
    <row r="139" spans="38:53" ht="12.75" customHeight="1">
      <c r="BA139" s="356">
        <v>1602</v>
      </c>
    </row>
    <row r="140" spans="38:53" ht="12.75" customHeight="1">
      <c r="BA140" s="356">
        <v>20821</v>
      </c>
    </row>
    <row r="141" spans="38:53" ht="12.75" customHeight="1">
      <c r="BA141" s="66">
        <v>116</v>
      </c>
    </row>
    <row r="142" spans="38:53" ht="12.75" customHeight="1">
      <c r="BA142" s="66">
        <v>992</v>
      </c>
    </row>
    <row r="143" spans="38:53" ht="12.75" customHeight="1">
      <c r="BA143" s="66">
        <v>-1</v>
      </c>
    </row>
    <row r="144" spans="38:53" ht="12.75" customHeight="1">
      <c r="BA144" s="66" t="s">
        <v>854</v>
      </c>
    </row>
    <row r="145" spans="53:53" ht="12.75" customHeight="1">
      <c r="BA145" s="66">
        <v>-174</v>
      </c>
    </row>
    <row r="146" spans="53:53" ht="12.75" customHeight="1">
      <c r="BA146" s="356">
        <v>-5987</v>
      </c>
    </row>
    <row r="147" spans="53:53" ht="12.75" customHeight="1">
      <c r="BA147" s="66">
        <v>48</v>
      </c>
    </row>
    <row r="148" spans="53:53" ht="12.75" customHeight="1">
      <c r="BA148" s="66">
        <v>-1</v>
      </c>
    </row>
    <row r="149" spans="53:53" ht="12.75" customHeight="1">
      <c r="BA149" s="66">
        <v>524</v>
      </c>
    </row>
    <row r="150" spans="53:53" ht="12.75" customHeight="1">
      <c r="BA150" s="66">
        <v>255</v>
      </c>
    </row>
    <row r="151" spans="53:53" ht="12.75" customHeight="1">
      <c r="BA151" s="66">
        <v>185</v>
      </c>
    </row>
    <row r="152" spans="53:53" ht="12.75" customHeight="1">
      <c r="BA152" s="356">
        <v>3082</v>
      </c>
    </row>
    <row r="153" spans="53:53" ht="12.75" customHeight="1">
      <c r="BA153" s="356">
        <v>2702</v>
      </c>
    </row>
    <row r="154" spans="53:53" ht="12.75" customHeight="1">
      <c r="BA154" s="356">
        <v>2412</v>
      </c>
    </row>
    <row r="155" spans="53:53" ht="12.75" customHeight="1">
      <c r="BA155" s="66">
        <v>-2</v>
      </c>
    </row>
    <row r="156" spans="53:53" ht="12.75" customHeight="1">
      <c r="BA156" s="66">
        <v>-1</v>
      </c>
    </row>
    <row r="157" spans="53:53" ht="12.75" customHeight="1">
      <c r="BA157" s="66">
        <v>965</v>
      </c>
    </row>
    <row r="158" spans="53:53" ht="12.75" customHeight="1">
      <c r="BA158" s="66">
        <v>-818</v>
      </c>
    </row>
    <row r="159" spans="53:53" ht="12.75" customHeight="1">
      <c r="BA159" s="66">
        <v>-644</v>
      </c>
    </row>
    <row r="160" spans="53:53" ht="12.75" customHeight="1">
      <c r="BA160" s="66">
        <v>41</v>
      </c>
    </row>
    <row r="161" spans="53:53" ht="12.75" customHeight="1">
      <c r="BA161" s="356">
        <v>4608</v>
      </c>
    </row>
    <row r="162" spans="53:53" ht="12.75" customHeight="1">
      <c r="BA162" s="66">
        <v>-52</v>
      </c>
    </row>
    <row r="163" spans="53:53" ht="12.75" customHeight="1">
      <c r="BA163" s="66">
        <v>-625</v>
      </c>
    </row>
    <row r="164" spans="53:53" ht="12.75" customHeight="1">
      <c r="BA164" s="66">
        <v>-1</v>
      </c>
    </row>
    <row r="165" spans="53:53" ht="12.75" customHeight="1">
      <c r="BA165" s="66">
        <v>-2</v>
      </c>
    </row>
    <row r="166" spans="53:53" ht="12.75" customHeight="1">
      <c r="BA166" s="356">
        <v>-2379</v>
      </c>
    </row>
    <row r="167" spans="53:53" ht="12.75" customHeight="1">
      <c r="BA167" s="66" t="s">
        <v>854</v>
      </c>
    </row>
    <row r="168" spans="53:53" ht="12.75" customHeight="1">
      <c r="BA168" s="66" t="s">
        <v>854</v>
      </c>
    </row>
    <row r="169" spans="53:53" ht="12.75" customHeight="1">
      <c r="BA169" s="66">
        <v>-27</v>
      </c>
    </row>
    <row r="170" spans="53:53" ht="12.75" customHeight="1">
      <c r="BA170" s="66">
        <v>54</v>
      </c>
    </row>
    <row r="171" spans="53:53" ht="12.75" customHeight="1">
      <c r="BA171" s="356">
        <v>-4135</v>
      </c>
    </row>
    <row r="172" spans="53:53" ht="12.75" customHeight="1">
      <c r="BA172" s="356">
        <v>-1777</v>
      </c>
    </row>
    <row r="173" spans="53:53" ht="12.75" customHeight="1">
      <c r="BA173" s="66">
        <v>81</v>
      </c>
    </row>
    <row r="174" spans="53:53" ht="12.75" customHeight="1">
      <c r="BA174" s="356">
        <v>4468</v>
      </c>
    </row>
    <row r="175" spans="53:53" ht="12.75" customHeight="1">
      <c r="BA175" s="66" t="s">
        <v>854</v>
      </c>
    </row>
    <row r="176" spans="53:53" ht="12.75" customHeight="1">
      <c r="BA176" s="66">
        <v>109</v>
      </c>
    </row>
    <row r="177" spans="53:53" ht="12.75" customHeight="1">
      <c r="BA177" s="356">
        <v>4230</v>
      </c>
    </row>
    <row r="178" spans="53:53" ht="12.75" customHeight="1">
      <c r="BA178" s="356">
        <v>2343</v>
      </c>
    </row>
    <row r="179" spans="53:53" ht="12.75" customHeight="1">
      <c r="BA179" s="66">
        <v>-14</v>
      </c>
    </row>
    <row r="180" spans="53:53" ht="12.75" customHeight="1">
      <c r="BA180" s="66">
        <v>-61</v>
      </c>
    </row>
    <row r="181" spans="53:53" ht="12.75" customHeight="1">
      <c r="BA181" s="66">
        <v>679</v>
      </c>
    </row>
    <row r="182" spans="53:53" ht="12.75" customHeight="1">
      <c r="BA182" s="356">
        <v>-1050</v>
      </c>
    </row>
    <row r="183" spans="53:53" ht="12.75" customHeight="1">
      <c r="BA183" s="356">
        <v>3605</v>
      </c>
    </row>
    <row r="184" spans="53:53" ht="12.75" customHeight="1">
      <c r="BA184" s="356">
        <v>1015</v>
      </c>
    </row>
    <row r="185" spans="53:53" ht="12.75" customHeight="1">
      <c r="BA185" s="356">
        <v>1979</v>
      </c>
    </row>
    <row r="186" spans="53:53" ht="12.75" customHeight="1">
      <c r="BA186" s="356">
        <v>-1036</v>
      </c>
    </row>
    <row r="187" spans="53:53" ht="12.75" customHeight="1">
      <c r="BA187" s="66">
        <v>299</v>
      </c>
    </row>
    <row r="188" spans="53:53" ht="12.75" customHeight="1">
      <c r="BA188" s="66">
        <v>-25</v>
      </c>
    </row>
    <row r="189" spans="53:53" ht="12.75" customHeight="1">
      <c r="BA189" s="356">
        <v>1182</v>
      </c>
    </row>
  </sheetData>
  <phoneticPr fontId="4" type="noConversion"/>
  <pageMargins left="0.21" right="0.21" top="0.28000000000000003" bottom="0.25" header="0.24" footer="0.23"/>
  <pageSetup scale="62" orientation="landscape" r:id="rId1"/>
  <headerFooter alignWithMargins="0"/>
  <ignoredErrors>
    <ignoredError sqref="A48:CC48 CU49 A3:CF4 A1:CC2 A7:CF23 A5:BS6 BX5:CF6 A84:BO84 BQ84:BX84 BZ84:CC84 CH49 A24:CC24 CY49 A49:CF77 CM76:CN76 A25:CF47 A85:CF92 CH36:CI38 CH50:CV50 CH3:CI4 CH46:CI47 CH77:CI77 CI97:CL98 CH84:CH88 CH107:CW1048576 CI99:CW99 CE48:CF48 CH31:CI31 CH10:CI11 CH5:CH9 CW9 CW40 CW42 CL16:CM16 CH12:CH22 CH24:CH30 CH32:CH35 CM32:CM33 CL34:CM34 CH39:CH44 CH69:CK69 CH68 CH70:CH76 CH79:CI81 CH78 CM84:CM88 CM17:CM30 CM70:CM75 CP49 CL36:CM38 CL3:CM3 CM39:CM47 CL31:CM31 CL11:CM11 CK52:CP52 CK77:CN77 A79:CF81 A78:P78 U78 Z78 AE78:CF78 CH51:CI67 CL51 CM53:CM68 CM78:CM81 CH89:CJ91 CL89:CO90 CY50 CK83:CN83 CU82:CV82 CW32 CM4:CM10 CM12:CM15 CM69:CO69 CP51:CQ51 CW87 CR34 CR46:CR47 CR3:CR12 CO53:CO67 CL91:CM91 CO91 CW19 CP77 CP83:CR83 CR14:CR32 DG22 CQ90:CR91 CW72 CR52:CR81 CR84:CR89 CR36:CR44 CW71 CW21 CW33 CW43:CW44 CW41 CW46:CW47 CW23:CW24 CW3:CW8 CW10:CW12 CW14:CW18 CW22 CW36:CW39 CW73:CW75 CW70 CW78 CU79:CW81 CW83:CW86 CT69:CW69 CW52:CW68 CU77:CW77 CT89:CU91 DB9 DB42 DB40 DB19 DB72 DL4:EF8 DL36:EF41 DL46:EF46 A99:CF1048576 B97:T98 B95:CF95 B94:Y94 AU94:CF94 EG1:XFD4 CH92:CW92 EG94:XFD95 CN97:CQ98 CS97:CV98 CY97:CY98 DE98:DF98 EG97:XFD1048576 CD97:CF98 CW20 CI103:CW106 CI102:CV102 CI101:CV101 CI100:CV100 DL47 DG19 DL14:EF18 EF13 DB32 CU76:CW76 DD76 DB71 DE51 CS51:CV51 EG65:XFD92 EG60 EI60:XFD60 EG61 EI61:XFD61 EG62 EI62:XFD62 CW89:CW91 CW34 DB34 CW26:CW31 CW25 DB25 CW88 DB88 DB87 DB33 CY107:DG1048576 CY99:DB99 DB21 DB43:DB44 DB41 DB46:DB47 DB24 CY3:CY4 CY10:CY11 CY15:CY16 DB22 CY36:CY38 DB73:DB75 DB70 DB78 CY80:CY81 CY83 CY69 CY52:CY67 CY77 CY92 CY104:DG106 CY89:CY91 CY31 DB20 CY79 DG79 CH83:CI83 A83:CF83 A82:BM82 EG57:EG59 EI57:XFD59 EG63:EG64 EI63:XFD64 EH30:XFD30 FP23:XFD23 DL25:EF31 CY7 DB5:DB6 DB8 DG9 DB12 DB14 DB17:DB18 DB27:DB30 DG72 DB68 DB39 DG88 DG87 DB84:DB86 DF76 DG20 DC102:DF102 DC100:DF100 DC101:DF101 DA102 DA100 DA101 DA103:DF103 DB50:DG50 DB3:DB4 DB10:DB11 DB15:DB16 DB36:DB38 DB31 DB7 DA97:DA98 DB80:DB81 DB83 DB69:DD69 DB52:DB67 DB77 DA92:DC92 DA89:DB91 DG25 DB26 DG26 DG71 DG42 DG40 DG32 DG34 DG33 DG21 DG43:DG44 DG41 DG46:DG47 DG5:DG6 DG8 DG12 DG14 DG17:DG18 DG27:DG30 DG39 DG3:DG4 DG10:DG11 DG15:DG16 DG36:DG38 DG31 DG7 DG68 DE52 DG73:DG75 DG70 DG78 DG80:DG81 DE77 DG84:DG86 DG83 DF89:DG91 DE97:DF97 DD99:DG99 DL33:EF34 EF32 DF92:DG92 DL10:EF12 DL9 DN9:EF9 DL20:EF22 DL19 DQ19:EF19 DF69:DG69 DG53:DG67 EH24:EI29 EM24:XFD29 DG52 DG77 DL43:EF44 DL42 DN42:EF42 EH12:XFD12 EH10:EI10 EG48:XFD56 EH47:XFD47 EJ17:XFD17 EH21:XFD21 EH20:XFD20 EH22:XFD22 EH32:XFD34 EH31:XFD31 EH39:XFD46 EH38:XFD38 EH36:XFD37 EH35:XFD35 EJ15:XFD15 EG9:EI9 EG6:EI6 EK6:XFD6 EG7:EI7 EK7:XFD7 EG8:EI8 EK8:XFD8 EG5:EI5 EK5:XFD5 EH11:EI11 EK11:XFD11 EK10:XFD10 EK9:XFD9 EJ13:XFD14 EJ16:XFD16 EJ18:XFD19" formula="1"/>
    <ignoredError sqref="CD24:CF24" formula="1" formulaRange="1"/>
    <ignoredError sqref="CO24:CQ24 CT24:CU24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R236"/>
  <sheetViews>
    <sheetView zoomScaleNormal="100" workbookViewId="0">
      <pane xSplit="1" ySplit="3" topLeftCell="DA175" activePane="bottomRight" state="frozen"/>
      <selection activeCell="Q13" sqref="Q13"/>
      <selection pane="topRight" activeCell="Q13" sqref="Q13"/>
      <selection pane="bottomLeft" activeCell="Q13" sqref="Q13"/>
      <selection pane="bottomRight" activeCell="DF177" sqref="DF177"/>
    </sheetView>
  </sheetViews>
  <sheetFormatPr defaultColWidth="10.7109375" defaultRowHeight="12.75" outlineLevelRow="1" outlineLevelCol="1"/>
  <cols>
    <col min="1" max="1" width="30.7109375" style="66" customWidth="1"/>
    <col min="2" max="5" width="10.7109375" style="66" hidden="1" customWidth="1" outlineLevel="1" collapsed="1"/>
    <col min="6" max="6" width="10.7109375" style="67" hidden="1" customWidth="1" collapsed="1"/>
    <col min="7" max="10" width="10.7109375" style="66" hidden="1" customWidth="1" outlineLevel="1" collapsed="1"/>
    <col min="11" max="11" width="10.7109375" style="67" hidden="1" customWidth="1" collapsed="1"/>
    <col min="12" max="13" width="10.7109375" style="66" hidden="1" customWidth="1" outlineLevel="1" collapsed="1"/>
    <col min="14" max="15" width="10.7109375" style="66" hidden="1" customWidth="1" outlineLevel="1"/>
    <col min="16" max="16" width="10.7109375" style="67" hidden="1" customWidth="1" collapsed="1"/>
    <col min="17" max="19" width="10.7109375" style="66" hidden="1" customWidth="1" outlineLevel="1" collapsed="1"/>
    <col min="20" max="20" width="10.7109375" style="66" hidden="1" customWidth="1" outlineLevel="1"/>
    <col min="21" max="21" width="10.7109375" style="67" hidden="1" customWidth="1" collapsed="1"/>
    <col min="22" max="23" width="10.7109375" style="66" hidden="1" customWidth="1" outlineLevel="1" collapsed="1"/>
    <col min="24" max="25" width="10.7109375" style="66" hidden="1" customWidth="1" outlineLevel="1"/>
    <col min="26" max="26" width="10.7109375" style="67" hidden="1" customWidth="1" collapsed="1"/>
    <col min="27" max="28" width="10.7109375" style="66" hidden="1" customWidth="1" outlineLevel="1" collapsed="1"/>
    <col min="29" max="30" width="10.7109375" style="66" hidden="1" customWidth="1" outlineLevel="1"/>
    <col min="31" max="31" width="10.7109375" style="67" customWidth="1" collapsed="1"/>
    <col min="32" max="33" width="10.7109375" style="66" hidden="1" customWidth="1" outlineLevel="1" collapsed="1"/>
    <col min="34" max="35" width="10.7109375" style="66" hidden="1" customWidth="1" outlineLevel="1"/>
    <col min="36" max="36" width="10.7109375" style="67" customWidth="1" collapsed="1"/>
    <col min="37" max="38" width="10.7109375" style="66" hidden="1" customWidth="1" outlineLevel="1" collapsed="1"/>
    <col min="39" max="40" width="10.7109375" style="66" hidden="1" customWidth="1" outlineLevel="1"/>
    <col min="41" max="41" width="10.7109375" style="67" customWidth="1" collapsed="1"/>
    <col min="42" max="43" width="10.7109375" style="66" hidden="1" customWidth="1" outlineLevel="1" collapsed="1"/>
    <col min="44" max="45" width="10.7109375" style="66" hidden="1" customWidth="1" outlineLevel="1"/>
    <col min="46" max="46" width="10.7109375" style="67" customWidth="1" collapsed="1"/>
    <col min="47" max="48" width="10.7109375" style="66" hidden="1" customWidth="1" outlineLevel="1" collapsed="1"/>
    <col min="49" max="50" width="10.7109375" style="66" hidden="1" customWidth="1" outlineLevel="1"/>
    <col min="51" max="51" width="10.7109375" style="67" customWidth="1" collapsed="1"/>
    <col min="52" max="53" width="10.7109375" style="66" hidden="1" customWidth="1" outlineLevel="1" collapsed="1"/>
    <col min="54" max="55" width="10.7109375" style="66" hidden="1" customWidth="1" outlineLevel="1"/>
    <col min="56" max="56" width="10.7109375" style="67" customWidth="1" collapsed="1"/>
    <col min="57" max="58" width="10.7109375" style="66" hidden="1" customWidth="1" outlineLevel="1" collapsed="1"/>
    <col min="59" max="60" width="10.7109375" style="66" hidden="1" customWidth="1" outlineLevel="1"/>
    <col min="61" max="61" width="10.7109375" style="67" customWidth="1" collapsed="1"/>
    <col min="62" max="63" width="10.7109375" style="66" hidden="1" customWidth="1" outlineLevel="1" collapsed="1"/>
    <col min="64" max="65" width="10.7109375" style="66" hidden="1" customWidth="1" outlineLevel="1"/>
    <col min="66" max="66" width="10.7109375" style="67" customWidth="1" collapsed="1"/>
    <col min="67" max="68" width="10.7109375" style="66" hidden="1" customWidth="1" outlineLevel="1" collapsed="1"/>
    <col min="69" max="70" width="10.7109375" style="66" hidden="1" customWidth="1" outlineLevel="1"/>
    <col min="71" max="71" width="10.7109375" style="67" customWidth="1" collapsed="1"/>
    <col min="72" max="73" width="10.7109375" style="66" hidden="1" customWidth="1" outlineLevel="1" collapsed="1"/>
    <col min="74" max="75" width="10.7109375" style="66" hidden="1" customWidth="1" outlineLevel="1"/>
    <col min="76" max="76" width="10.7109375" style="67" customWidth="1" collapsed="1"/>
    <col min="77" max="78" width="10.7109375" style="66" hidden="1" customWidth="1" outlineLevel="1" collapsed="1"/>
    <col min="79" max="80" width="10.7109375" style="66" hidden="1" customWidth="1" outlineLevel="1"/>
    <col min="81" max="81" width="10.7109375" style="67" customWidth="1" collapsed="1"/>
    <col min="82" max="82" width="10.7109375" style="66" hidden="1" customWidth="1" outlineLevel="1"/>
    <col min="83" max="83" width="10.7109375" style="66" hidden="1" customWidth="1" outlineLevel="1" collapsed="1"/>
    <col min="84" max="85" width="10.7109375" style="66" hidden="1" customWidth="1" outlineLevel="1"/>
    <col min="86" max="86" width="10.7109375" style="66" collapsed="1"/>
    <col min="87" max="90" width="10.7109375" style="66" hidden="1" customWidth="1" outlineLevel="1"/>
    <col min="91" max="91" width="10.7109375" style="66" collapsed="1"/>
    <col min="92" max="95" width="10.7109375" style="66" hidden="1" customWidth="1" outlineLevel="1"/>
    <col min="96" max="96" width="10.7109375" style="66" collapsed="1"/>
    <col min="97" max="100" width="10.7109375" style="66" hidden="1" customWidth="1" outlineLevel="1"/>
    <col min="101" max="101" width="10.7109375" style="66" collapsed="1"/>
    <col min="102" max="105" width="10.7109375" style="66" customWidth="1" outlineLevel="1"/>
    <col min="106" max="106" width="10.7109375" style="66"/>
    <col min="107" max="110" width="10.7109375" style="66" customWidth="1" outlineLevel="1"/>
    <col min="111" max="111" width="10.7109375" style="66"/>
    <col min="112" max="115" width="10.7109375" style="66" customWidth="1" outlineLevel="1"/>
    <col min="116" max="116" width="10.7109375" style="66"/>
    <col min="117" max="120" width="10.7109375" style="66" customWidth="1" outlineLevel="1"/>
    <col min="121" max="121" width="10.7109375" style="66"/>
    <col min="122" max="122" width="0" style="66" hidden="1" customWidth="1" outlineLevel="1"/>
    <col min="123" max="123" width="10.7109375" style="66" hidden="1" customWidth="1" outlineLevel="1"/>
    <col min="124" max="125" width="0" style="66" hidden="1" customWidth="1" outlineLevel="1"/>
    <col min="126" max="126" width="10.7109375" style="66" collapsed="1"/>
    <col min="127" max="127" width="0" style="66" hidden="1" customWidth="1" outlineLevel="1"/>
    <col min="128" max="128" width="10.7109375" style="66" hidden="1" customWidth="1" outlineLevel="1"/>
    <col min="129" max="130" width="0" style="66" hidden="1" customWidth="1" outlineLevel="1"/>
    <col min="131" max="131" width="10.7109375" style="66" collapsed="1"/>
    <col min="132" max="132" width="0" style="66" hidden="1" customWidth="1" outlineLevel="1"/>
    <col min="133" max="133" width="10.7109375" style="66" hidden="1" customWidth="1" outlineLevel="1"/>
    <col min="134" max="135" width="0" style="66" hidden="1" customWidth="1" outlineLevel="1"/>
    <col min="136" max="136" width="10.7109375" style="66" collapsed="1"/>
    <col min="137" max="16384" width="10.7109375" style="66"/>
  </cols>
  <sheetData>
    <row r="1" spans="1:200" ht="30" customHeight="1">
      <c r="G1" s="114"/>
      <c r="N1" s="149"/>
      <c r="Y1" s="114"/>
      <c r="AA1" s="114"/>
      <c r="CL1" s="114"/>
      <c r="CT1" s="405"/>
      <c r="CZ1" s="114"/>
      <c r="DD1" s="114"/>
      <c r="DE1" s="114"/>
      <c r="DF1" s="114"/>
      <c r="DI1" s="114"/>
    </row>
    <row r="2" spans="1:200">
      <c r="A2" s="68" t="str">
        <f ca="1">DCF!$A$2</f>
        <v>Cyrela - TP: R$35</v>
      </c>
      <c r="G2" s="66">
        <f>G42-F42</f>
        <v>3843.5</v>
      </c>
      <c r="H2" s="66">
        <f>H42-G42</f>
        <v>3843.5</v>
      </c>
      <c r="I2" s="66">
        <f>I42-H42</f>
        <v>11721</v>
      </c>
      <c r="J2" s="114">
        <f>J42-I42</f>
        <v>-13344</v>
      </c>
      <c r="L2" s="90"/>
      <c r="M2" s="90"/>
      <c r="N2" s="90"/>
      <c r="O2" s="90"/>
      <c r="P2" s="130"/>
      <c r="Q2" s="90"/>
      <c r="R2" s="90"/>
      <c r="S2" s="90"/>
      <c r="T2" s="90"/>
      <c r="U2" s="130"/>
      <c r="V2" s="149"/>
      <c r="W2" s="149"/>
      <c r="X2" s="149"/>
      <c r="Y2" s="149"/>
      <c r="Z2" s="130"/>
      <c r="AA2" s="149"/>
      <c r="AB2" s="90"/>
      <c r="AC2" s="90"/>
      <c r="AD2" s="90"/>
      <c r="AE2" s="184"/>
      <c r="AF2" s="90"/>
      <c r="AG2" s="90"/>
      <c r="AH2" s="90"/>
      <c r="AI2" s="149"/>
      <c r="AJ2" s="184"/>
      <c r="AK2" s="90"/>
      <c r="AL2" s="149"/>
      <c r="AM2" s="90"/>
      <c r="AN2" s="149"/>
      <c r="AO2" s="184"/>
      <c r="AP2" s="333"/>
      <c r="AQ2" s="198"/>
      <c r="AR2" s="198"/>
      <c r="AS2" s="220"/>
      <c r="AT2" s="184"/>
      <c r="AU2" s="220">
        <f>(AT9+Forecasts!AU52*75%-AU9)/AT9</f>
        <v>0.47062211861019437</v>
      </c>
      <c r="AV2" s="220">
        <f>(AU9+Forecasts!AV52*75%-AV9)/AU9</f>
        <v>0.5420539309211263</v>
      </c>
      <c r="AW2" s="220">
        <f>(AV9+Forecasts!AW52*75%-AW9)/AV9</f>
        <v>0.69242139432432659</v>
      </c>
      <c r="AX2" s="220">
        <f>(AW9+Forecasts!AX52*75%-AX9)/AW9</f>
        <v>0.79709328771627908</v>
      </c>
      <c r="AY2" s="184"/>
      <c r="AZ2" s="198"/>
      <c r="BA2" s="90"/>
      <c r="BB2" s="149"/>
      <c r="BC2" s="90"/>
      <c r="BD2" s="142"/>
      <c r="BE2" s="223"/>
      <c r="BF2" s="149"/>
      <c r="BG2" s="149"/>
      <c r="BH2" s="149"/>
      <c r="BI2" s="130"/>
      <c r="BJ2" s="149"/>
      <c r="BK2" s="149"/>
      <c r="BL2" s="149"/>
      <c r="BM2" s="149"/>
      <c r="BN2" s="130"/>
      <c r="BO2" s="149"/>
      <c r="BP2" s="149"/>
      <c r="BQ2" s="149"/>
      <c r="BR2" s="149"/>
      <c r="BS2" s="130"/>
      <c r="BT2" s="90"/>
      <c r="BU2" s="90"/>
      <c r="BV2" s="90"/>
      <c r="BW2" s="149"/>
      <c r="BX2" s="130"/>
      <c r="BY2" s="90"/>
      <c r="BZ2" s="149"/>
      <c r="CA2" s="90"/>
      <c r="CB2" s="90"/>
      <c r="CC2" s="130"/>
      <c r="CE2" s="149"/>
      <c r="CG2" s="90"/>
      <c r="CH2" s="114"/>
      <c r="CK2" s="114"/>
      <c r="CL2" s="114"/>
      <c r="CM2" s="114"/>
      <c r="CR2" s="114"/>
      <c r="CT2" s="114"/>
      <c r="CW2" s="114"/>
      <c r="CY2" s="114"/>
      <c r="CZ2" s="513"/>
    </row>
    <row r="3" spans="1:200" s="70" customFormat="1" ht="12.75" customHeight="1" thickBot="1">
      <c r="A3" s="69"/>
      <c r="B3" s="93" t="str">
        <f>Macro!B$3</f>
        <v>1Q04</v>
      </c>
      <c r="C3" s="93" t="str">
        <f>Macro!C$3</f>
        <v>2Q04</v>
      </c>
      <c r="D3" s="93" t="str">
        <f>Macro!D$3</f>
        <v>3Q04</v>
      </c>
      <c r="E3" s="93" t="str">
        <f>Macro!E$3</f>
        <v>4Q04</v>
      </c>
      <c r="F3" s="92" t="str">
        <f>Macro!F$3</f>
        <v>2004</v>
      </c>
      <c r="G3" s="93" t="str">
        <f>Macro!G$3</f>
        <v>1Q05</v>
      </c>
      <c r="H3" s="93" t="str">
        <f>Macro!H$3</f>
        <v>2Q05</v>
      </c>
      <c r="I3" s="93" t="str">
        <f>Macro!I$3</f>
        <v>3Q05</v>
      </c>
      <c r="J3" s="93" t="str">
        <f>Macro!J$3</f>
        <v>4Q05</v>
      </c>
      <c r="K3" s="92" t="str">
        <f>Macro!K$3</f>
        <v>2005</v>
      </c>
      <c r="L3" s="93" t="str">
        <f>Macro!L$3</f>
        <v>1Q06</v>
      </c>
      <c r="M3" s="93" t="str">
        <f>Macro!M$3</f>
        <v>2Q06</v>
      </c>
      <c r="N3" s="93" t="str">
        <f>Macro!N$3</f>
        <v>3Q06</v>
      </c>
      <c r="O3" s="94" t="str">
        <f>Macro!O$3</f>
        <v>4Q06</v>
      </c>
      <c r="P3" s="92" t="str">
        <f>Macro!P$3</f>
        <v>2006</v>
      </c>
      <c r="Q3" s="93" t="str">
        <f>Macro!Q$3</f>
        <v>1Q07</v>
      </c>
      <c r="R3" s="93" t="str">
        <f>Macro!R$3</f>
        <v>2Q07</v>
      </c>
      <c r="S3" s="93" t="str">
        <f>Macro!S$3</f>
        <v>3Q07</v>
      </c>
      <c r="T3" s="94" t="str">
        <f>Macro!T$3</f>
        <v>4Q07</v>
      </c>
      <c r="U3" s="92" t="str">
        <f>Macro!U$3</f>
        <v>2007</v>
      </c>
      <c r="V3" s="93" t="str">
        <f>Macro!V$3</f>
        <v>1Q08</v>
      </c>
      <c r="W3" s="93" t="str">
        <f>Macro!W$3</f>
        <v>2Q08</v>
      </c>
      <c r="X3" s="93" t="str">
        <f>Macro!X$3</f>
        <v>3Q08</v>
      </c>
      <c r="Y3" s="94" t="str">
        <f>Macro!Y$3</f>
        <v>4Q08</v>
      </c>
      <c r="Z3" s="92" t="str">
        <f>Macro!Z$3</f>
        <v>2008</v>
      </c>
      <c r="AA3" s="93" t="str">
        <f>Macro!AA$3</f>
        <v>1Q09</v>
      </c>
      <c r="AB3" s="93" t="str">
        <f>Macro!AB$3</f>
        <v>2Q09</v>
      </c>
      <c r="AC3" s="93" t="str">
        <f>Macro!AC$3</f>
        <v>3Q09</v>
      </c>
      <c r="AD3" s="94" t="str">
        <f>Macro!AD$3</f>
        <v>4Q09</v>
      </c>
      <c r="AE3" s="92" t="str">
        <f>Macro!AE$3</f>
        <v>2009</v>
      </c>
      <c r="AF3" s="93" t="str">
        <f>Macro!AF$3</f>
        <v>1Q10</v>
      </c>
      <c r="AG3" s="93" t="str">
        <f>Macro!AG$3</f>
        <v>2Q10</v>
      </c>
      <c r="AH3" s="93" t="str">
        <f>Macro!AH$3</f>
        <v>3Q10</v>
      </c>
      <c r="AI3" s="94" t="str">
        <f>Macro!AI$3</f>
        <v>4Q10</v>
      </c>
      <c r="AJ3" s="92" t="str">
        <f>Macro!AJ$3</f>
        <v>2010</v>
      </c>
      <c r="AK3" s="93" t="str">
        <f>Macro!AK$3</f>
        <v>1Q11</v>
      </c>
      <c r="AL3" s="93" t="str">
        <f>Macro!AL$3</f>
        <v>2Q11</v>
      </c>
      <c r="AM3" s="93" t="str">
        <f>Macro!AM$3</f>
        <v>3Q11</v>
      </c>
      <c r="AN3" s="94" t="str">
        <f>Macro!AN$3</f>
        <v>4Q11</v>
      </c>
      <c r="AO3" s="92" t="str">
        <f>Macro!AO$3</f>
        <v>2011</v>
      </c>
      <c r="AP3" s="310" t="str">
        <f>Macro!AP$3</f>
        <v>1Q12</v>
      </c>
      <c r="AQ3" s="310" t="str">
        <f>Macro!AQ$3</f>
        <v>2Q12</v>
      </c>
      <c r="AR3" s="310" t="str">
        <f>Macro!AR$3</f>
        <v>3Q12</v>
      </c>
      <c r="AS3" s="310" t="str">
        <f>Macro!AS$3</f>
        <v>4Q12</v>
      </c>
      <c r="AT3" s="311" t="str">
        <f>Macro!AT$3</f>
        <v>2012</v>
      </c>
      <c r="AU3" s="310" t="str">
        <f>Macro!AU$3</f>
        <v>1Q13</v>
      </c>
      <c r="AV3" s="310" t="str">
        <f>Macro!AV$3</f>
        <v>2Q13</v>
      </c>
      <c r="AW3" s="310" t="str">
        <f>Macro!AW$3</f>
        <v>3Q13</v>
      </c>
      <c r="AX3" s="310" t="str">
        <f>Macro!AX$3</f>
        <v>4Q13</v>
      </c>
      <c r="AY3" s="311" t="str">
        <f>Macro!AY$3</f>
        <v>2013</v>
      </c>
      <c r="AZ3" s="310" t="str">
        <f>Macro!AZ$3</f>
        <v>1Q14</v>
      </c>
      <c r="BA3" s="310" t="str">
        <f>Macro!BA$3</f>
        <v>2Q14</v>
      </c>
      <c r="BB3" s="310" t="str">
        <f>Macro!BB$3</f>
        <v>3Q14</v>
      </c>
      <c r="BC3" s="310" t="str">
        <f>Macro!BC$3</f>
        <v>4Q14</v>
      </c>
      <c r="BD3" s="311" t="str">
        <f>Macro!BD$3</f>
        <v>2014</v>
      </c>
      <c r="BE3" s="310" t="str">
        <f>Macro!BE$3</f>
        <v>1Q15</v>
      </c>
      <c r="BF3" s="310" t="str">
        <f>Macro!BF$3</f>
        <v>2Q15</v>
      </c>
      <c r="BG3" s="310" t="str">
        <f>Macro!BG$3</f>
        <v>3Q15</v>
      </c>
      <c r="BH3" s="310" t="str">
        <f>Macro!BH$3</f>
        <v>4Q15</v>
      </c>
      <c r="BI3" s="311" t="str">
        <f>Macro!BI$3</f>
        <v>2015</v>
      </c>
      <c r="BJ3" s="310" t="str">
        <f>Macro!BJ$3</f>
        <v>1Q16</v>
      </c>
      <c r="BK3" s="310" t="str">
        <f>Macro!BK$3</f>
        <v>2Q16</v>
      </c>
      <c r="BL3" s="310" t="str">
        <f>Macro!BL$3</f>
        <v>3Q16</v>
      </c>
      <c r="BM3" s="310" t="str">
        <f>Macro!BM$3</f>
        <v>4Q16</v>
      </c>
      <c r="BN3" s="311" t="str">
        <f>Macro!BN$3</f>
        <v>2016</v>
      </c>
      <c r="BO3" s="310" t="str">
        <f>Macro!BO$3</f>
        <v>1Q17</v>
      </c>
      <c r="BP3" s="310" t="str">
        <f>Macro!BP$3</f>
        <v>2Q17</v>
      </c>
      <c r="BQ3" s="310" t="str">
        <f>Macro!BQ$3</f>
        <v>3Q17</v>
      </c>
      <c r="BR3" s="310" t="str">
        <f>Macro!BR$3</f>
        <v>4Q17</v>
      </c>
      <c r="BS3" s="311" t="str">
        <f>Macro!BS$3</f>
        <v>2017</v>
      </c>
      <c r="BT3" s="310" t="str">
        <f>Macro!BT$3</f>
        <v>1Q18</v>
      </c>
      <c r="BU3" s="310" t="str">
        <f>Macro!BU$3</f>
        <v>2Q18</v>
      </c>
      <c r="BV3" s="310" t="str">
        <f>Macro!BV$3</f>
        <v>3Q18</v>
      </c>
      <c r="BW3" s="310" t="str">
        <f>Macro!BW$3</f>
        <v>4Q18</v>
      </c>
      <c r="BX3" s="311" t="str">
        <f>Macro!BX$3</f>
        <v>2018</v>
      </c>
      <c r="BY3" s="310" t="str">
        <f>Macro!BY$3</f>
        <v>1Q19</v>
      </c>
      <c r="BZ3" s="310" t="str">
        <f>Macro!BZ$3</f>
        <v>2Q19</v>
      </c>
      <c r="CA3" s="310" t="str">
        <f>Macro!CA$3</f>
        <v>3Q19</v>
      </c>
      <c r="CB3" s="310" t="str">
        <f>Macro!CB$3</f>
        <v>4Q19</v>
      </c>
      <c r="CC3" s="311" t="str">
        <f>Macro!CC$3</f>
        <v>2019</v>
      </c>
      <c r="CD3" s="310" t="str">
        <f>Macro!CD$3</f>
        <v>1Q20</v>
      </c>
      <c r="CE3" s="310" t="str">
        <f>Macro!CE$3</f>
        <v>2Q20</v>
      </c>
      <c r="CF3" s="310" t="str">
        <f>Macro!CF$3</f>
        <v>3Q20</v>
      </c>
      <c r="CG3" s="310" t="str">
        <f>Macro!CG$3</f>
        <v>4Q20</v>
      </c>
      <c r="CH3" s="311" t="str">
        <f>Macro!CH$3</f>
        <v>2020</v>
      </c>
      <c r="CI3" s="310" t="str">
        <f>Macro!CI$3</f>
        <v>1Q21</v>
      </c>
      <c r="CJ3" s="310" t="str">
        <f>Macro!CJ$3</f>
        <v>2Q21</v>
      </c>
      <c r="CK3" s="310" t="str">
        <f>Macro!CK$3</f>
        <v>3Q21</v>
      </c>
      <c r="CL3" s="310" t="str">
        <f>Macro!CL$3</f>
        <v>4Q21</v>
      </c>
      <c r="CM3" s="311" t="str">
        <f>Macro!CM$3</f>
        <v>2021</v>
      </c>
      <c r="CN3" s="310" t="str">
        <f>Macro!CN$3</f>
        <v>1Q22</v>
      </c>
      <c r="CO3" s="310" t="str">
        <f>Macro!CO$3</f>
        <v>2Q22</v>
      </c>
      <c r="CP3" s="310" t="str">
        <f>Macro!CP$3</f>
        <v>3Q22</v>
      </c>
      <c r="CQ3" s="310" t="str">
        <f>Macro!CQ$3</f>
        <v>4Q22</v>
      </c>
      <c r="CR3" s="311" t="str">
        <f>Macro!CR$3</f>
        <v>2022</v>
      </c>
      <c r="CS3" s="310" t="str">
        <f>Macro!CS$3</f>
        <v>1Q23</v>
      </c>
      <c r="CT3" s="310" t="str">
        <f>Macro!CT$3</f>
        <v>2Q23</v>
      </c>
      <c r="CU3" s="310" t="str">
        <f>Macro!CU$3</f>
        <v>3Q23</v>
      </c>
      <c r="CV3" s="310" t="str">
        <f>Macro!CV$3</f>
        <v>4Q23</v>
      </c>
      <c r="CW3" s="311" t="str">
        <f>Macro!CW$3</f>
        <v>2023</v>
      </c>
      <c r="CX3" s="310" t="str">
        <f>Macro!CX$3</f>
        <v>1Q24</v>
      </c>
      <c r="CY3" s="310" t="str">
        <f>Macro!CY$3</f>
        <v>2Q24</v>
      </c>
      <c r="CZ3" s="310" t="str">
        <f>Macro!CZ$3</f>
        <v>3Q24</v>
      </c>
      <c r="DA3" s="310" t="str">
        <f>Macro!DA$3</f>
        <v>4Q24</v>
      </c>
      <c r="DB3" s="311" t="str">
        <f>Macro!DB$3</f>
        <v>2024</v>
      </c>
      <c r="DC3" s="310" t="str">
        <f>Macro!DC$3</f>
        <v>1Q25</v>
      </c>
      <c r="DD3" s="310" t="str">
        <f>Macro!DD$3</f>
        <v>2Q25</v>
      </c>
      <c r="DE3" s="310" t="str">
        <f>Macro!DE$3</f>
        <v>3Q25</v>
      </c>
      <c r="DF3" s="310" t="str">
        <f>Macro!DF$3</f>
        <v>4Q25</v>
      </c>
      <c r="DG3" s="311" t="str">
        <f>Macro!DG$3</f>
        <v>2025</v>
      </c>
      <c r="DH3" s="310" t="str">
        <f>Macro!DH$3</f>
        <v>1Q26</v>
      </c>
      <c r="DI3" s="310" t="str">
        <f>Macro!DI$3</f>
        <v>2Q26</v>
      </c>
      <c r="DJ3" s="310" t="str">
        <f>Macro!DJ$3</f>
        <v>3Q26E</v>
      </c>
      <c r="DK3" s="310" t="str">
        <f>Macro!DK$3</f>
        <v>4Q26E</v>
      </c>
      <c r="DL3" s="311" t="str">
        <f>Macro!DL$3</f>
        <v>2026E</v>
      </c>
      <c r="DM3" s="310" t="str">
        <f>Macro!DM$3</f>
        <v>1Q27E</v>
      </c>
      <c r="DN3" s="310" t="str">
        <f>Macro!DN$3</f>
        <v>2Q27E</v>
      </c>
      <c r="DO3" s="310" t="str">
        <f>Macro!DO$3</f>
        <v>3Q27E</v>
      </c>
      <c r="DP3" s="310" t="str">
        <f>Macro!DP$3</f>
        <v>4Q27E</v>
      </c>
      <c r="DQ3" s="311" t="str">
        <f>Macro!DQ$3</f>
        <v>2027E</v>
      </c>
      <c r="DR3" s="310" t="str">
        <f>Macro!DR$3</f>
        <v>1Q28E</v>
      </c>
      <c r="DS3" s="310" t="str">
        <f>Macro!DS$3</f>
        <v>2Q28E</v>
      </c>
      <c r="DT3" s="310" t="str">
        <f>Macro!DT$3</f>
        <v>3Q28E</v>
      </c>
      <c r="DU3" s="310" t="str">
        <f>Macro!DU$3</f>
        <v>4Q28E</v>
      </c>
      <c r="DV3" s="311" t="str">
        <f>Macro!DV$3</f>
        <v>2028E</v>
      </c>
      <c r="DW3" s="310" t="str">
        <f>Macro!DW$3</f>
        <v>1Q29E</v>
      </c>
      <c r="DX3" s="310" t="str">
        <f>Macro!DX$3</f>
        <v>2Q29E</v>
      </c>
      <c r="DY3" s="310" t="str">
        <f>Macro!DY$3</f>
        <v>3Q29E</v>
      </c>
      <c r="DZ3" s="310" t="str">
        <f>Macro!DZ$3</f>
        <v>4Q29E</v>
      </c>
      <c r="EA3" s="311" t="str">
        <f>Macro!EA$3</f>
        <v>2029E</v>
      </c>
      <c r="EB3" s="310" t="str">
        <f>Macro!EB$3</f>
        <v>1Q30E</v>
      </c>
      <c r="EC3" s="310" t="str">
        <f>Macro!EC$3</f>
        <v>2Q30E</v>
      </c>
      <c r="ED3" s="310" t="str">
        <f>Macro!ED$3</f>
        <v>3Q30E</v>
      </c>
      <c r="EE3" s="310" t="str">
        <f>Macro!EE$3</f>
        <v>4Q30E</v>
      </c>
      <c r="EF3" s="311" t="str">
        <f>Macro!EF$3</f>
        <v>2030E</v>
      </c>
    </row>
    <row r="4" spans="1:200">
      <c r="A4" s="191" t="s">
        <v>16</v>
      </c>
      <c r="B4" s="192">
        <f t="shared" ref="B4:K4" si="0">B5+B19</f>
        <v>682708</v>
      </c>
      <c r="C4" s="192">
        <f t="shared" si="0"/>
        <v>616845</v>
      </c>
      <c r="D4" s="192">
        <f t="shared" si="0"/>
        <v>642426</v>
      </c>
      <c r="E4" s="192">
        <f t="shared" si="0"/>
        <v>1312288</v>
      </c>
      <c r="F4" s="193">
        <f>F5+F19</f>
        <v>1312288</v>
      </c>
      <c r="G4" s="192">
        <f t="shared" si="0"/>
        <v>1368446</v>
      </c>
      <c r="H4" s="192">
        <f t="shared" si="0"/>
        <v>1372681</v>
      </c>
      <c r="I4" s="192">
        <f t="shared" si="0"/>
        <v>1751937</v>
      </c>
      <c r="J4" s="192">
        <f t="shared" si="0"/>
        <v>1775189</v>
      </c>
      <c r="K4" s="193">
        <f t="shared" si="0"/>
        <v>1775189</v>
      </c>
      <c r="L4" s="192">
        <f>L5+L19</f>
        <v>1883871</v>
      </c>
      <c r="M4" s="192">
        <f>M5+M19</f>
        <v>2069342</v>
      </c>
      <c r="N4" s="192">
        <f>N5+N19</f>
        <v>2773257</v>
      </c>
      <c r="O4" s="192">
        <f>O5+O19</f>
        <v>3042485</v>
      </c>
      <c r="P4" s="193">
        <f>P5+P19</f>
        <v>3042485</v>
      </c>
      <c r="Q4" s="192">
        <f t="shared" ref="Q4:AQ4" si="1">Q5+Q19</f>
        <v>3326140</v>
      </c>
      <c r="R4" s="192">
        <f t="shared" si="1"/>
        <v>3738148</v>
      </c>
      <c r="S4" s="192">
        <f t="shared" si="1"/>
        <v>4032376</v>
      </c>
      <c r="T4" s="192">
        <f t="shared" si="1"/>
        <v>4723567</v>
      </c>
      <c r="U4" s="193">
        <f t="shared" si="1"/>
        <v>4723567</v>
      </c>
      <c r="V4" s="192">
        <f t="shared" si="1"/>
        <v>5136328</v>
      </c>
      <c r="W4" s="192">
        <f t="shared" si="1"/>
        <v>5601631</v>
      </c>
      <c r="X4" s="192">
        <f t="shared" si="1"/>
        <v>6140677</v>
      </c>
      <c r="Y4" s="192">
        <f t="shared" si="1"/>
        <v>7557503</v>
      </c>
      <c r="Z4" s="193">
        <f t="shared" si="1"/>
        <v>7557503</v>
      </c>
      <c r="AA4" s="192">
        <f t="shared" si="1"/>
        <v>7766726</v>
      </c>
      <c r="AB4" s="192">
        <f t="shared" si="1"/>
        <v>7896224</v>
      </c>
      <c r="AC4" s="192">
        <f t="shared" si="1"/>
        <v>8863939</v>
      </c>
      <c r="AD4" s="192">
        <f t="shared" si="1"/>
        <v>10550690</v>
      </c>
      <c r="AE4" s="193">
        <f t="shared" si="1"/>
        <v>10550690</v>
      </c>
      <c r="AF4" s="192">
        <f t="shared" si="1"/>
        <v>10879642</v>
      </c>
      <c r="AG4" s="192">
        <f t="shared" si="1"/>
        <v>11232125</v>
      </c>
      <c r="AH4" s="192">
        <f t="shared" si="1"/>
        <v>11602592</v>
      </c>
      <c r="AI4" s="192">
        <f>AI5+AI19</f>
        <v>12042561</v>
      </c>
      <c r="AJ4" s="193">
        <f t="shared" si="1"/>
        <v>12042561</v>
      </c>
      <c r="AK4" s="192">
        <f t="shared" si="1"/>
        <v>12489039</v>
      </c>
      <c r="AL4" s="192">
        <f t="shared" si="1"/>
        <v>12931957</v>
      </c>
      <c r="AM4" s="192">
        <f t="shared" si="1"/>
        <v>13496668</v>
      </c>
      <c r="AN4" s="192">
        <f t="shared" si="1"/>
        <v>13644677</v>
      </c>
      <c r="AO4" s="193">
        <f t="shared" si="1"/>
        <v>13644677</v>
      </c>
      <c r="AP4" s="192">
        <f t="shared" si="1"/>
        <v>13531460</v>
      </c>
      <c r="AQ4" s="192">
        <f t="shared" si="1"/>
        <v>13603554</v>
      </c>
      <c r="AR4" s="192">
        <f t="shared" ref="AR4:BW4" si="2">AR5+AR19</f>
        <v>13616873</v>
      </c>
      <c r="AS4" s="192">
        <f t="shared" si="2"/>
        <v>13607903</v>
      </c>
      <c r="AT4" s="193">
        <f t="shared" si="2"/>
        <v>13607903</v>
      </c>
      <c r="AU4" s="192">
        <f t="shared" si="2"/>
        <v>13898293</v>
      </c>
      <c r="AV4" s="192">
        <f t="shared" si="2"/>
        <v>13620424</v>
      </c>
      <c r="AW4" s="192">
        <f t="shared" si="2"/>
        <v>14039473</v>
      </c>
      <c r="AX4" s="192">
        <f t="shared" si="2"/>
        <v>14387099</v>
      </c>
      <c r="AY4" s="193">
        <f t="shared" si="2"/>
        <v>14387099</v>
      </c>
      <c r="AZ4" s="192">
        <f t="shared" si="2"/>
        <v>14416449</v>
      </c>
      <c r="BA4" s="192">
        <f t="shared" si="2"/>
        <v>13896935</v>
      </c>
      <c r="BB4" s="192">
        <f t="shared" si="2"/>
        <v>13965433</v>
      </c>
      <c r="BC4" s="192">
        <f t="shared" si="2"/>
        <v>13420612</v>
      </c>
      <c r="BD4" s="193">
        <f t="shared" si="2"/>
        <v>13420612</v>
      </c>
      <c r="BE4" s="192">
        <f t="shared" si="2"/>
        <v>13326248</v>
      </c>
      <c r="BF4" s="192">
        <f t="shared" si="2"/>
        <v>13314373</v>
      </c>
      <c r="BG4" s="192">
        <f t="shared" si="2"/>
        <v>13416693</v>
      </c>
      <c r="BH4" s="192">
        <f t="shared" si="2"/>
        <v>12729588</v>
      </c>
      <c r="BI4" s="193">
        <f t="shared" si="2"/>
        <v>12729588</v>
      </c>
      <c r="BJ4" s="192">
        <f t="shared" si="2"/>
        <v>12666844</v>
      </c>
      <c r="BK4" s="192">
        <f t="shared" si="2"/>
        <v>12243534</v>
      </c>
      <c r="BL4" s="192">
        <f t="shared" si="2"/>
        <v>12079418</v>
      </c>
      <c r="BM4" s="192">
        <f t="shared" si="2"/>
        <v>11879699</v>
      </c>
      <c r="BN4" s="193">
        <f t="shared" si="2"/>
        <v>11879699</v>
      </c>
      <c r="BO4" s="192">
        <f t="shared" si="2"/>
        <v>11940930</v>
      </c>
      <c r="BP4" s="192">
        <f t="shared" si="2"/>
        <v>11340173</v>
      </c>
      <c r="BQ4" s="192">
        <f t="shared" si="2"/>
        <v>10931386</v>
      </c>
      <c r="BR4" s="192">
        <f t="shared" si="2"/>
        <v>10401541</v>
      </c>
      <c r="BS4" s="193">
        <f t="shared" si="2"/>
        <v>10401541</v>
      </c>
      <c r="BT4" s="192">
        <f t="shared" si="2"/>
        <v>9652269</v>
      </c>
      <c r="BU4" s="192">
        <f t="shared" si="2"/>
        <v>10010071</v>
      </c>
      <c r="BV4" s="192">
        <f t="shared" si="2"/>
        <v>10499600</v>
      </c>
      <c r="BW4" s="192">
        <f t="shared" si="2"/>
        <v>9829268</v>
      </c>
      <c r="BX4" s="193">
        <f t="shared" ref="BX4:CC4" si="3">BX5+BX19</f>
        <v>9829268</v>
      </c>
      <c r="BY4" s="192">
        <f t="shared" si="3"/>
        <v>9742527</v>
      </c>
      <c r="BZ4" s="192">
        <f t="shared" si="3"/>
        <v>9772333</v>
      </c>
      <c r="CA4" s="192">
        <f t="shared" si="3"/>
        <v>9971372</v>
      </c>
      <c r="CB4" s="192">
        <f t="shared" si="3"/>
        <v>9987778</v>
      </c>
      <c r="CC4" s="193">
        <f t="shared" si="3"/>
        <v>9987778</v>
      </c>
      <c r="CD4" s="192">
        <f t="shared" ref="CD4:DG4" si="4">CD5+CD19</f>
        <v>10290824</v>
      </c>
      <c r="CE4" s="192">
        <f t="shared" si="4"/>
        <v>10908726</v>
      </c>
      <c r="CF4" s="192">
        <f t="shared" si="4"/>
        <v>11391783</v>
      </c>
      <c r="CG4" s="192">
        <f t="shared" si="4"/>
        <v>11433926</v>
      </c>
      <c r="CH4" s="193">
        <f t="shared" si="4"/>
        <v>11433926</v>
      </c>
      <c r="CI4" s="192">
        <f t="shared" si="4"/>
        <v>11657074</v>
      </c>
      <c r="CJ4" s="192">
        <f t="shared" si="4"/>
        <v>12376658</v>
      </c>
      <c r="CK4" s="192">
        <f>CK5+CK19</f>
        <v>13162967</v>
      </c>
      <c r="CL4" s="192">
        <f t="shared" si="4"/>
        <v>13841170</v>
      </c>
      <c r="CM4" s="193">
        <f t="shared" si="4"/>
        <v>13841170</v>
      </c>
      <c r="CN4" s="192">
        <f>CN5+CN19</f>
        <v>14217086</v>
      </c>
      <c r="CO4" s="192">
        <f t="shared" si="4"/>
        <v>14743262</v>
      </c>
      <c r="CP4" s="192">
        <f>CP5+CP19</f>
        <v>15685516</v>
      </c>
      <c r="CQ4" s="192">
        <f>CQ5+CQ19</f>
        <v>16560139</v>
      </c>
      <c r="CR4" s="193">
        <f t="shared" si="4"/>
        <v>16560139</v>
      </c>
      <c r="CS4" s="192">
        <f t="shared" si="4"/>
        <v>16321140</v>
      </c>
      <c r="CT4" s="192">
        <f t="shared" si="4"/>
        <v>16825149</v>
      </c>
      <c r="CU4" s="192">
        <f t="shared" si="4"/>
        <v>17023249</v>
      </c>
      <c r="CV4" s="192">
        <f t="shared" si="4"/>
        <v>17371200</v>
      </c>
      <c r="CW4" s="193">
        <f t="shared" si="4"/>
        <v>17371200</v>
      </c>
      <c r="CX4" s="192">
        <f>CX5+CX19</f>
        <v>17462659</v>
      </c>
      <c r="CY4" s="192">
        <f t="shared" si="4"/>
        <v>18260036</v>
      </c>
      <c r="CZ4" s="192">
        <f>CZ5+CZ19</f>
        <v>19574005</v>
      </c>
      <c r="DA4" s="192">
        <f t="shared" ref="DA4" si="5">DA5+DA19</f>
        <v>21240962</v>
      </c>
      <c r="DB4" s="193">
        <f t="shared" si="4"/>
        <v>21240962</v>
      </c>
      <c r="DC4" s="192">
        <f>DC5+DC19</f>
        <v>21847715</v>
      </c>
      <c r="DD4" s="192">
        <f t="shared" ref="DD4" si="6">DD5+DD19</f>
        <v>23414787</v>
      </c>
      <c r="DE4" s="192">
        <f t="shared" si="4"/>
        <v>24950414</v>
      </c>
      <c r="DF4" s="192">
        <f t="shared" si="4"/>
        <v>26109817</v>
      </c>
      <c r="DG4" s="193">
        <f t="shared" si="4"/>
        <v>26109817</v>
      </c>
      <c r="DH4" s="192">
        <f>DH5+DH19</f>
        <v>26714090</v>
      </c>
      <c r="DI4" s="192">
        <f>DI5+DI19</f>
        <v>27740895</v>
      </c>
      <c r="DJ4" s="192">
        <f ca="1">DJ5+DJ19</f>
        <v>28058501.650462043</v>
      </c>
      <c r="DK4" s="192">
        <f ca="1">DK5+DK19</f>
        <v>28438596.689375088</v>
      </c>
      <c r="DL4" s="193">
        <f ca="1">DL5+DL19</f>
        <v>28438596.689375088</v>
      </c>
      <c r="DM4" s="192">
        <f t="shared" ref="DM4:EF4" ca="1" si="7">DM5+DM19</f>
        <v>28712882.198740065</v>
      </c>
      <c r="DN4" s="192">
        <f t="shared" ca="1" si="7"/>
        <v>29328033.709849887</v>
      </c>
      <c r="DO4" s="192">
        <f t="shared" ca="1" si="7"/>
        <v>29076006.029656693</v>
      </c>
      <c r="DP4" s="192">
        <f t="shared" ca="1" si="7"/>
        <v>30796377.478193868</v>
      </c>
      <c r="DQ4" s="193">
        <f t="shared" ca="1" si="7"/>
        <v>30796377.478193868</v>
      </c>
      <c r="DR4" s="192">
        <f t="shared" ca="1" si="7"/>
        <v>30091811.911876276</v>
      </c>
      <c r="DS4" s="192">
        <f t="shared" ca="1" si="7"/>
        <v>29757850.614185877</v>
      </c>
      <c r="DT4" s="192">
        <f t="shared" ca="1" si="7"/>
        <v>30448030.445775844</v>
      </c>
      <c r="DU4" s="192">
        <f t="shared" ca="1" si="7"/>
        <v>33049355.625963099</v>
      </c>
      <c r="DV4" s="193">
        <f t="shared" ca="1" si="7"/>
        <v>33049355.625963099</v>
      </c>
      <c r="DW4" s="192">
        <f t="shared" ca="1" si="7"/>
        <v>32233811.170790732</v>
      </c>
      <c r="DX4" s="192">
        <f t="shared" ca="1" si="7"/>
        <v>31080797.977641255</v>
      </c>
      <c r="DY4" s="192">
        <f t="shared" ca="1" si="7"/>
        <v>31766531.579591483</v>
      </c>
      <c r="DZ4" s="192">
        <f t="shared" ca="1" si="7"/>
        <v>34482403.193864428</v>
      </c>
      <c r="EA4" s="193">
        <f t="shared" ca="1" si="7"/>
        <v>34482403.193864428</v>
      </c>
      <c r="EB4" s="192">
        <f t="shared" ca="1" si="7"/>
        <v>33600255.417639755</v>
      </c>
      <c r="EC4" s="192">
        <f t="shared" ca="1" si="7"/>
        <v>32380261.063939735</v>
      </c>
      <c r="ED4" s="192">
        <f t="shared" ca="1" si="7"/>
        <v>33139231.85569872</v>
      </c>
      <c r="EE4" s="192">
        <f t="shared" ca="1" si="7"/>
        <v>36014719.097502828</v>
      </c>
      <c r="EF4" s="193">
        <f t="shared" ca="1" si="7"/>
        <v>36014719.097502828</v>
      </c>
    </row>
    <row r="5" spans="1:200">
      <c r="A5" s="191" t="s">
        <v>15</v>
      </c>
      <c r="B5" s="192">
        <f t="shared" ref="B5:K5" si="8">SUM(B6:B8)+B11+SUM(B15:B18)</f>
        <v>604263</v>
      </c>
      <c r="C5" s="192">
        <f t="shared" si="8"/>
        <v>538915</v>
      </c>
      <c r="D5" s="192">
        <f t="shared" si="8"/>
        <v>566849</v>
      </c>
      <c r="E5" s="192">
        <f t="shared" si="8"/>
        <v>1223450</v>
      </c>
      <c r="F5" s="193">
        <f>SUM(F6:F8)+F11+SUM(F15:F18)</f>
        <v>1223450</v>
      </c>
      <c r="G5" s="192">
        <f t="shared" si="8"/>
        <v>1268303.5</v>
      </c>
      <c r="H5" s="192">
        <f t="shared" si="8"/>
        <v>1261234</v>
      </c>
      <c r="I5" s="192">
        <f t="shared" si="8"/>
        <v>1641574</v>
      </c>
      <c r="J5" s="192">
        <f t="shared" si="8"/>
        <v>1663257</v>
      </c>
      <c r="K5" s="193">
        <f t="shared" si="8"/>
        <v>1663257</v>
      </c>
      <c r="L5" s="192">
        <f>SUM(L6:L8)+L11+SUM(L15:L18)</f>
        <v>1769084</v>
      </c>
      <c r="M5" s="192">
        <f>SUM(M6:M8)+M11+SUM(M15:M18)</f>
        <v>1884687</v>
      </c>
      <c r="N5" s="192">
        <f>SUM(N6:N8)+N11+SUM(N15:N18)</f>
        <v>2589709</v>
      </c>
      <c r="O5" s="192">
        <f>SUM(O6:O8)+O11+SUM(O15:O18)</f>
        <v>2830252</v>
      </c>
      <c r="P5" s="193">
        <f>SUM(P6:P8)+P11+SUM(P15:P18)</f>
        <v>2830252</v>
      </c>
      <c r="Q5" s="192">
        <f t="shared" ref="Q5:AG5" si="9">SUM(Q6:Q8)+Q11+SUM(Q15:Q18)</f>
        <v>2812162</v>
      </c>
      <c r="R5" s="192">
        <f t="shared" si="9"/>
        <v>3541456</v>
      </c>
      <c r="S5" s="192">
        <f t="shared" si="9"/>
        <v>3825251</v>
      </c>
      <c r="T5" s="192">
        <f t="shared" si="9"/>
        <v>4491576</v>
      </c>
      <c r="U5" s="193">
        <f t="shared" si="9"/>
        <v>4491576</v>
      </c>
      <c r="V5" s="192">
        <f t="shared" si="9"/>
        <v>4885265</v>
      </c>
      <c r="W5" s="192">
        <f t="shared" si="9"/>
        <v>5346507</v>
      </c>
      <c r="X5" s="192">
        <f t="shared" si="9"/>
        <v>5877050</v>
      </c>
      <c r="Y5" s="192">
        <f t="shared" si="9"/>
        <v>7152169</v>
      </c>
      <c r="Z5" s="193">
        <f t="shared" si="9"/>
        <v>7152169</v>
      </c>
      <c r="AA5" s="192">
        <f t="shared" si="9"/>
        <v>7351491</v>
      </c>
      <c r="AB5" s="192">
        <f t="shared" si="9"/>
        <v>7451318</v>
      </c>
      <c r="AC5" s="192">
        <f t="shared" si="9"/>
        <v>8599583</v>
      </c>
      <c r="AD5" s="192">
        <f t="shared" si="9"/>
        <v>10297163</v>
      </c>
      <c r="AE5" s="193">
        <f t="shared" si="9"/>
        <v>10297163</v>
      </c>
      <c r="AF5" s="192">
        <f t="shared" si="9"/>
        <v>10623268</v>
      </c>
      <c r="AG5" s="192">
        <f t="shared" si="9"/>
        <v>10966253</v>
      </c>
      <c r="AH5" s="192">
        <f>SUM(AH6:AH8)+AH11+SUM(AH15:AH18)</f>
        <v>11332206</v>
      </c>
      <c r="AI5" s="192">
        <f>SUM(AI6:AI8)+AI11+SUM(AI15:AI18)</f>
        <v>11776969</v>
      </c>
      <c r="AJ5" s="193">
        <f t="shared" ref="AJ5:CC5" si="10">SUM(AJ6:AJ8)+AJ11+SUM(AJ15:AJ18)</f>
        <v>11776969</v>
      </c>
      <c r="AK5" s="192">
        <f t="shared" si="10"/>
        <v>12233824</v>
      </c>
      <c r="AL5" s="192">
        <f t="shared" si="10"/>
        <v>12677762</v>
      </c>
      <c r="AM5" s="192">
        <f t="shared" si="10"/>
        <v>13219327</v>
      </c>
      <c r="AN5" s="192">
        <f t="shared" si="10"/>
        <v>13352048</v>
      </c>
      <c r="AO5" s="193">
        <f t="shared" si="10"/>
        <v>13352048</v>
      </c>
      <c r="AP5" s="192">
        <f t="shared" si="10"/>
        <v>13246566</v>
      </c>
      <c r="AQ5" s="192">
        <f t="shared" si="10"/>
        <v>13322657</v>
      </c>
      <c r="AR5" s="192">
        <f t="shared" si="10"/>
        <v>13348444</v>
      </c>
      <c r="AS5" s="192">
        <f t="shared" si="10"/>
        <v>12690276</v>
      </c>
      <c r="AT5" s="193">
        <f t="shared" si="10"/>
        <v>12690276</v>
      </c>
      <c r="AU5" s="192">
        <f t="shared" si="10"/>
        <v>12600630</v>
      </c>
      <c r="AV5" s="192">
        <f t="shared" si="10"/>
        <v>12704590</v>
      </c>
      <c r="AW5" s="192">
        <f t="shared" si="10"/>
        <v>13110606</v>
      </c>
      <c r="AX5" s="192">
        <f t="shared" si="10"/>
        <v>13431826</v>
      </c>
      <c r="AY5" s="193">
        <f t="shared" si="10"/>
        <v>13431826</v>
      </c>
      <c r="AZ5" s="192">
        <f t="shared" si="10"/>
        <v>13445175</v>
      </c>
      <c r="BA5" s="192">
        <f t="shared" si="10"/>
        <v>12923156</v>
      </c>
      <c r="BB5" s="192">
        <f t="shared" si="10"/>
        <v>12974276</v>
      </c>
      <c r="BC5" s="192">
        <f t="shared" si="10"/>
        <v>12453788</v>
      </c>
      <c r="BD5" s="193">
        <f t="shared" si="10"/>
        <v>12453788</v>
      </c>
      <c r="BE5" s="192">
        <f t="shared" si="10"/>
        <v>12407360</v>
      </c>
      <c r="BF5" s="192">
        <f t="shared" si="10"/>
        <v>12290921</v>
      </c>
      <c r="BG5" s="192">
        <f t="shared" si="10"/>
        <v>12419986</v>
      </c>
      <c r="BH5" s="192">
        <f t="shared" si="10"/>
        <v>11758986</v>
      </c>
      <c r="BI5" s="193">
        <f t="shared" si="10"/>
        <v>11758986</v>
      </c>
      <c r="BJ5" s="192">
        <f t="shared" si="10"/>
        <v>11756853</v>
      </c>
      <c r="BK5" s="192">
        <f t="shared" si="10"/>
        <v>11346761</v>
      </c>
      <c r="BL5" s="192">
        <f t="shared" si="10"/>
        <v>11147694</v>
      </c>
      <c r="BM5" s="192">
        <f t="shared" si="10"/>
        <v>10824601</v>
      </c>
      <c r="BN5" s="193">
        <f t="shared" si="10"/>
        <v>10824601</v>
      </c>
      <c r="BO5" s="192">
        <f t="shared" si="10"/>
        <v>10897858</v>
      </c>
      <c r="BP5" s="192">
        <f t="shared" si="10"/>
        <v>10316073</v>
      </c>
      <c r="BQ5" s="192">
        <f t="shared" si="10"/>
        <v>10012134</v>
      </c>
      <c r="BR5" s="192">
        <f t="shared" si="10"/>
        <v>9463751</v>
      </c>
      <c r="BS5" s="193">
        <f t="shared" si="10"/>
        <v>9463751</v>
      </c>
      <c r="BT5" s="192">
        <f t="shared" si="10"/>
        <v>8633923</v>
      </c>
      <c r="BU5" s="192">
        <f t="shared" si="10"/>
        <v>9031755</v>
      </c>
      <c r="BV5" s="192">
        <f t="shared" si="10"/>
        <v>9540501</v>
      </c>
      <c r="BW5" s="192">
        <f t="shared" si="10"/>
        <v>8856897</v>
      </c>
      <c r="BX5" s="193">
        <f t="shared" si="10"/>
        <v>8856897</v>
      </c>
      <c r="BY5" s="192">
        <f t="shared" si="10"/>
        <v>8858496</v>
      </c>
      <c r="BZ5" s="192">
        <f t="shared" si="10"/>
        <v>8888302</v>
      </c>
      <c r="CA5" s="192">
        <f t="shared" si="10"/>
        <v>9023928</v>
      </c>
      <c r="CB5" s="192">
        <f t="shared" si="10"/>
        <v>9052677</v>
      </c>
      <c r="CC5" s="193">
        <f t="shared" si="10"/>
        <v>9052677</v>
      </c>
      <c r="CD5" s="192">
        <f t="shared" ref="CD5:DG5" si="11">SUM(CD6:CD8)+CD11+SUM(CD15:CD18)</f>
        <v>9387142</v>
      </c>
      <c r="CE5" s="192">
        <f>SUM(CE6:CE8)+CE11+SUM(CE15:CE18)</f>
        <v>10014495</v>
      </c>
      <c r="CF5" s="192">
        <f t="shared" si="11"/>
        <v>9220526</v>
      </c>
      <c r="CG5" s="192">
        <f>SUM(CG6:CG8)+CG11+SUM(CG15:CG18)</f>
        <v>9273504</v>
      </c>
      <c r="CH5" s="193">
        <f t="shared" si="11"/>
        <v>9273504</v>
      </c>
      <c r="CI5" s="192">
        <f t="shared" si="11"/>
        <v>9422040</v>
      </c>
      <c r="CJ5" s="192">
        <f t="shared" si="11"/>
        <v>10160484</v>
      </c>
      <c r="CK5" s="192">
        <f>SUM(CK6:CK8)+CK11+SUM(CK15:CK18)</f>
        <v>10888655</v>
      </c>
      <c r="CL5" s="192">
        <f t="shared" si="11"/>
        <v>11611061</v>
      </c>
      <c r="CM5" s="193">
        <f t="shared" si="11"/>
        <v>11611061</v>
      </c>
      <c r="CN5" s="192">
        <f>SUM(CN6:CN8)+CN11+SUM(CN15:CN18)</f>
        <v>11864716</v>
      </c>
      <c r="CO5" s="192">
        <f t="shared" si="11"/>
        <v>12254509</v>
      </c>
      <c r="CP5" s="192">
        <f>SUM(CP6:CP8)+CP11+SUM(CP15:CP18)</f>
        <v>13050251</v>
      </c>
      <c r="CQ5" s="192">
        <f>SUM(CQ6:CQ8)+CQ11+SUM(CQ15:CQ18)</f>
        <v>13970087</v>
      </c>
      <c r="CR5" s="193">
        <f t="shared" si="11"/>
        <v>13970087</v>
      </c>
      <c r="CS5" s="192">
        <f>SUM(CS6:CS8)+CS11+SUM(CS15:CS18)</f>
        <v>13682280</v>
      </c>
      <c r="CT5" s="192">
        <f>SUM(CT6:CT8)+CT11+SUM(CT15:CT18)</f>
        <v>14161583</v>
      </c>
      <c r="CU5" s="192">
        <f>SUM(CU6:CU8)+CU11+SUM(CU15:CU18)</f>
        <v>14317987</v>
      </c>
      <c r="CV5" s="192">
        <f>SUM(CV6:CV8)+CV11+SUM(CV15:CV18)</f>
        <v>14597876</v>
      </c>
      <c r="CW5" s="193">
        <f t="shared" si="11"/>
        <v>14597876</v>
      </c>
      <c r="CX5" s="192">
        <f>SUM(CX6:CX8)+CX11+SUM(CX15:CX18)</f>
        <v>14577735</v>
      </c>
      <c r="CY5" s="192">
        <f t="shared" si="11"/>
        <v>15191293</v>
      </c>
      <c r="CZ5" s="192">
        <f>SUM(CZ6:CZ8)+CZ11+SUM(CZ15:CZ18)</f>
        <v>16376360</v>
      </c>
      <c r="DA5" s="192">
        <f>SUM(DA6:DA8)+DA11+SUM(DA15:DA18)</f>
        <v>17806771</v>
      </c>
      <c r="DB5" s="193">
        <f t="shared" si="11"/>
        <v>17806771</v>
      </c>
      <c r="DC5" s="192">
        <f>SUM(DC6:DC8)+DC11+SUM(DC15:DC18)</f>
        <v>18476438</v>
      </c>
      <c r="DD5" s="192">
        <f>SUM(DD6:DD8)+DD11+SUM(DD15:DD18)</f>
        <v>19991033</v>
      </c>
      <c r="DE5" s="192">
        <f t="shared" si="11"/>
        <v>21444563</v>
      </c>
      <c r="DF5" s="192">
        <f>SUM(DF6:DF8)+DF11+SUM(DF15:DF18)</f>
        <v>22204723</v>
      </c>
      <c r="DG5" s="193">
        <f t="shared" si="11"/>
        <v>22204723</v>
      </c>
      <c r="DH5" s="192">
        <f>SUM(DH6:DH8)+DH11+SUM(DH15:DH18)</f>
        <v>22866641</v>
      </c>
      <c r="DI5" s="192">
        <f>SUM(DI6:DI8)+DI11+SUM(DI15:DI18)</f>
        <v>23767858</v>
      </c>
      <c r="DJ5" s="192">
        <f ca="1">SUM(DJ6:DJ8)+DJ11+SUM(DJ15:DJ18)</f>
        <v>24119335.377864115</v>
      </c>
      <c r="DK5" s="192">
        <f ca="1">SUM(DK6:DK8)+DK11+SUM(DK15:DK18)</f>
        <v>24361133.348833151</v>
      </c>
      <c r="DL5" s="193">
        <f ca="1">SUM(DL6:DL8)+DL11+SUM(DL15:DL18)</f>
        <v>24361133.348833151</v>
      </c>
      <c r="DM5" s="192">
        <f t="shared" ref="DM5:EF5" ca="1" si="12">SUM(DM6:DM8)+DM11+SUM(DM15:DM18)</f>
        <v>24645611.001304105</v>
      </c>
      <c r="DN5" s="192">
        <f t="shared" ca="1" si="12"/>
        <v>25123248.886238512</v>
      </c>
      <c r="DO5" s="192">
        <f t="shared" ca="1" si="12"/>
        <v>24692599.660779361</v>
      </c>
      <c r="DP5" s="192">
        <f t="shared" ca="1" si="12"/>
        <v>26242096.977504265</v>
      </c>
      <c r="DQ5" s="193">
        <f t="shared" ca="1" si="12"/>
        <v>26242096.977504265</v>
      </c>
      <c r="DR5" s="192">
        <f t="shared" ca="1" si="12"/>
        <v>25426793.939554565</v>
      </c>
      <c r="DS5" s="192">
        <f t="shared" ca="1" si="12"/>
        <v>24976086.889669407</v>
      </c>
      <c r="DT5" s="192">
        <f t="shared" ca="1" si="12"/>
        <v>25534010.802784279</v>
      </c>
      <c r="DU5" s="192">
        <f t="shared" ca="1" si="12"/>
        <v>27949546.881563656</v>
      </c>
      <c r="DV5" s="193">
        <f t="shared" ca="1" si="12"/>
        <v>27949546.881563656</v>
      </c>
      <c r="DW5" s="192">
        <f t="shared" ca="1" si="12"/>
        <v>27093570.875428632</v>
      </c>
      <c r="DX5" s="192">
        <f t="shared" ca="1" si="12"/>
        <v>25862718.838937346</v>
      </c>
      <c r="DY5" s="192">
        <f t="shared" ca="1" si="12"/>
        <v>26487091.999378875</v>
      </c>
      <c r="DZ5" s="192">
        <f t="shared" ca="1" si="12"/>
        <v>29122737.40179858</v>
      </c>
      <c r="EA5" s="193">
        <f t="shared" ca="1" si="12"/>
        <v>29122737.40179858</v>
      </c>
      <c r="EB5" s="192">
        <f t="shared" ca="1" si="12"/>
        <v>28272903.910594635</v>
      </c>
      <c r="EC5" s="192">
        <f t="shared" ca="1" si="12"/>
        <v>27014811.243272658</v>
      </c>
      <c r="ED5" s="192">
        <f t="shared" ca="1" si="12"/>
        <v>27701358.196245909</v>
      </c>
      <c r="EE5" s="192">
        <f t="shared" ca="1" si="12"/>
        <v>30498861.649320167</v>
      </c>
      <c r="EF5" s="193">
        <f t="shared" ca="1" si="12"/>
        <v>30498861.649320167</v>
      </c>
    </row>
    <row r="6" spans="1:200">
      <c r="A6" s="71" t="s">
        <v>68</v>
      </c>
      <c r="B6" s="160">
        <v>129993</v>
      </c>
      <c r="C6" s="160">
        <v>137040</v>
      </c>
      <c r="D6" s="160">
        <v>125100</v>
      </c>
      <c r="E6" s="160">
        <v>167841</v>
      </c>
      <c r="F6" s="89">
        <f t="shared" ref="F6:F18" si="13">E6</f>
        <v>167841</v>
      </c>
      <c r="G6" s="160">
        <v>202800.5</v>
      </c>
      <c r="H6" s="160">
        <v>237760</v>
      </c>
      <c r="I6" s="160">
        <v>555257</v>
      </c>
      <c r="J6" s="160">
        <v>520044</v>
      </c>
      <c r="K6" s="89">
        <f t="shared" ref="K6:K18" si="14">J6</f>
        <v>520044</v>
      </c>
      <c r="L6" s="160">
        <v>429222</v>
      </c>
      <c r="M6" s="160">
        <v>299584</v>
      </c>
      <c r="N6" s="160">
        <v>828885</v>
      </c>
      <c r="O6" s="160">
        <v>560639</v>
      </c>
      <c r="P6" s="89">
        <f t="shared" ref="P6:P18" si="15">O6</f>
        <v>560639</v>
      </c>
      <c r="Q6" s="160">
        <v>339470</v>
      </c>
      <c r="R6" s="160">
        <v>640186</v>
      </c>
      <c r="S6" s="160">
        <v>800740</v>
      </c>
      <c r="T6" s="160">
        <f>87256+121497+62+474044</f>
        <v>682859</v>
      </c>
      <c r="U6" s="89">
        <f t="shared" ref="U6:U18" si="16">T6</f>
        <v>682859</v>
      </c>
      <c r="V6" s="160">
        <f>895478+169315</f>
        <v>1064793</v>
      </c>
      <c r="W6" s="160">
        <f>77225+633739+302+257782</f>
        <v>969048</v>
      </c>
      <c r="X6" s="160">
        <f>107528+623215+87404+62</f>
        <v>818209</v>
      </c>
      <c r="Y6" s="160">
        <f>91385+732397+220+39631</f>
        <v>863633</v>
      </c>
      <c r="Z6" s="89">
        <f>Y6</f>
        <v>863633</v>
      </c>
      <c r="AA6" s="160">
        <f>651805+73937</f>
        <v>725742</v>
      </c>
      <c r="AB6" s="160">
        <f>71763+332905+237+93456</f>
        <v>498361</v>
      </c>
      <c r="AC6" s="160">
        <f>254+609378+227792+27667</f>
        <v>865091</v>
      </c>
      <c r="AD6" s="160">
        <f>213186+1348497+282+103791</f>
        <v>1665756</v>
      </c>
      <c r="AE6" s="89">
        <f>AD6</f>
        <v>1665756</v>
      </c>
      <c r="AF6" s="160">
        <f>236742+943929+337+105107</f>
        <v>1286115</v>
      </c>
      <c r="AG6" s="160">
        <f>197379+510697+319+288722</f>
        <v>997117</v>
      </c>
      <c r="AH6" s="160">
        <f>297199+429602+347+259061</f>
        <v>986209</v>
      </c>
      <c r="AI6" s="160">
        <f>242556+597105+304770+10164</f>
        <v>1154595</v>
      </c>
      <c r="AJ6" s="89">
        <f>AI6</f>
        <v>1154595</v>
      </c>
      <c r="AK6" s="160">
        <f>293439+908801+11367</f>
        <v>1213607</v>
      </c>
      <c r="AL6" s="160">
        <f>255330+524132+788880</f>
        <v>1568342</v>
      </c>
      <c r="AM6" s="160">
        <f>290792+574384+911342</f>
        <v>1776518</v>
      </c>
      <c r="AN6" s="160">
        <f>265494+592619+969551</f>
        <v>1827664</v>
      </c>
      <c r="AO6" s="89">
        <f>AN6</f>
        <v>1827664</v>
      </c>
      <c r="AP6" s="160">
        <f>478267+1334917+43564</f>
        <v>1856748</v>
      </c>
      <c r="AQ6" s="160">
        <f>264923+1311188+57478</f>
        <v>1633589</v>
      </c>
      <c r="AR6" s="160">
        <f>360513+1219310+71689</f>
        <v>1651512</v>
      </c>
      <c r="AS6" s="160">
        <f>1157419+554910</f>
        <v>1712329</v>
      </c>
      <c r="AT6" s="89">
        <f>AS6</f>
        <v>1712329</v>
      </c>
      <c r="AU6" s="160">
        <f>1042867+597801</f>
        <v>1640668</v>
      </c>
      <c r="AV6" s="160">
        <f>968984+555057</f>
        <v>1524041</v>
      </c>
      <c r="AW6" s="160">
        <f>1384733+196648</f>
        <v>1581381</v>
      </c>
      <c r="AX6" s="160">
        <f>1330136+397284</f>
        <v>1727420</v>
      </c>
      <c r="AY6" s="89">
        <f>AX6</f>
        <v>1727420</v>
      </c>
      <c r="AZ6" s="160">
        <f>1658232+530621</f>
        <v>2188853</v>
      </c>
      <c r="BA6" s="160">
        <f>879923+878666</f>
        <v>1758589</v>
      </c>
      <c r="BB6" s="160">
        <f>925530+857400</f>
        <v>1782930</v>
      </c>
      <c r="BC6" s="160">
        <f>919160+835104</f>
        <v>1754264</v>
      </c>
      <c r="BD6" s="89">
        <f>BC6</f>
        <v>1754264</v>
      </c>
      <c r="BE6" s="160">
        <f>908265+1113477</f>
        <v>2021742</v>
      </c>
      <c r="BF6" s="160">
        <f>865387+1375726</f>
        <v>2241113</v>
      </c>
      <c r="BG6" s="160">
        <f>840887+1683269</f>
        <v>2524156</v>
      </c>
      <c r="BH6" s="160">
        <f>828512+1405073</f>
        <v>2233585</v>
      </c>
      <c r="BI6" s="89">
        <f>BH6</f>
        <v>2233585</v>
      </c>
      <c r="BJ6" s="160">
        <f>781748+1359089</f>
        <v>2140837</v>
      </c>
      <c r="BK6" s="160">
        <f>588949+1291434</f>
        <v>1880383</v>
      </c>
      <c r="BL6" s="160">
        <f>508248+1073826</f>
        <v>1582074</v>
      </c>
      <c r="BM6" s="160">
        <f>513757+1184534</f>
        <v>1698291</v>
      </c>
      <c r="BN6" s="89">
        <f>BM6</f>
        <v>1698291</v>
      </c>
      <c r="BO6" s="160">
        <f>458946+1518001</f>
        <v>1976947</v>
      </c>
      <c r="BP6" s="160">
        <f>268768+1363137</f>
        <v>1631905</v>
      </c>
      <c r="BQ6" s="160">
        <f>251948+1362090</f>
        <v>1614038</v>
      </c>
      <c r="BR6" s="160">
        <f>195630+119633+1047498</f>
        <v>1362761</v>
      </c>
      <c r="BS6" s="89">
        <f>BR6</f>
        <v>1362761</v>
      </c>
      <c r="BT6" s="160">
        <f>98521+103067+913952</f>
        <v>1115540</v>
      </c>
      <c r="BU6" s="160">
        <f>160640+127607+1238877</f>
        <v>1527124</v>
      </c>
      <c r="BV6" s="160">
        <f>129272+120830+1889726</f>
        <v>2139828</v>
      </c>
      <c r="BW6" s="160">
        <f>173830+143866+1230961</f>
        <v>1548657</v>
      </c>
      <c r="BX6" s="89">
        <f>BW6</f>
        <v>1548657</v>
      </c>
      <c r="BY6" s="160">
        <f>129100+145887+1161208</f>
        <v>1436195</v>
      </c>
      <c r="BZ6" s="160">
        <f>140592+254054+1133470</f>
        <v>1528116</v>
      </c>
      <c r="CA6" s="160">
        <f>87371+270958+1403084</f>
        <v>1761413</v>
      </c>
      <c r="CB6" s="160">
        <f>212437+298112+1152619</f>
        <v>1663168</v>
      </c>
      <c r="CC6" s="89">
        <f>CB6</f>
        <v>1663168</v>
      </c>
      <c r="CD6" s="160">
        <f>235565+383395+1053410</f>
        <v>1672370</v>
      </c>
      <c r="CE6" s="160">
        <f>274804+1318179+400961</f>
        <v>1993944</v>
      </c>
      <c r="CF6" s="160">
        <f>191225+511575+1693397</f>
        <v>2396197</v>
      </c>
      <c r="CG6" s="160">
        <f>200083+559437+1641818</f>
        <v>2401338</v>
      </c>
      <c r="CH6" s="89">
        <f>CG6</f>
        <v>2401338</v>
      </c>
      <c r="CI6" s="160">
        <f>183084+558828+1702058</f>
        <v>2443970</v>
      </c>
      <c r="CJ6" s="160">
        <f>292013+712719+1776216</f>
        <v>2780948</v>
      </c>
      <c r="CK6" s="160">
        <f>255175+784099+1955222</f>
        <v>2994496</v>
      </c>
      <c r="CL6" s="160">
        <f>205944+793961+2298888</f>
        <v>3298793</v>
      </c>
      <c r="CM6" s="89">
        <f>CL6</f>
        <v>3298793</v>
      </c>
      <c r="CN6" s="160">
        <f>247999+1080589+1912846</f>
        <v>3241434</v>
      </c>
      <c r="CO6" s="160">
        <f>262973+1166120+2134817</f>
        <v>3563910</v>
      </c>
      <c r="CP6" s="160">
        <f>236436+1351257+2392616</f>
        <v>3980309</v>
      </c>
      <c r="CQ6" s="160">
        <f>129013+1759011+2727728</f>
        <v>4615752</v>
      </c>
      <c r="CR6" s="89">
        <f>CQ6</f>
        <v>4615752</v>
      </c>
      <c r="CS6" s="160">
        <f>237859+1624356+2556506</f>
        <v>4418721</v>
      </c>
      <c r="CT6" s="160">
        <f>231861+1762565+2651825</f>
        <v>4646251</v>
      </c>
      <c r="CU6" s="160">
        <f>256623+1901768+2395406</f>
        <v>4553797</v>
      </c>
      <c r="CV6" s="160">
        <f>241792+1898849+2461965</f>
        <v>4602606</v>
      </c>
      <c r="CW6" s="89">
        <f>CV6</f>
        <v>4602606</v>
      </c>
      <c r="CX6" s="160">
        <f>156059+1944515+2377409</f>
        <v>4477983</v>
      </c>
      <c r="CY6" s="160">
        <f>175184+2036318+2623713</f>
        <v>4835215</v>
      </c>
      <c r="CZ6" s="160">
        <f>542674+2064873+2499176</f>
        <v>5106723</v>
      </c>
      <c r="DA6" s="160">
        <f>531729+2256462+2520865</f>
        <v>5309056</v>
      </c>
      <c r="DB6" s="89">
        <f>DA6</f>
        <v>5309056</v>
      </c>
      <c r="DC6" s="160">
        <f>145454+2866950+2490300</f>
        <v>5502704</v>
      </c>
      <c r="DD6" s="160">
        <f>178909+2814256+3088183</f>
        <v>6081348</v>
      </c>
      <c r="DE6" s="160">
        <f>172898+2873725+4024868</f>
        <v>7071491</v>
      </c>
      <c r="DF6" s="160">
        <f>726554+3025840+3255010</f>
        <v>7007404</v>
      </c>
      <c r="DG6" s="89">
        <f>DF6</f>
        <v>7007404</v>
      </c>
      <c r="DH6" s="160">
        <f>194663+3675057+3342326</f>
        <v>7212046</v>
      </c>
      <c r="DI6" s="160">
        <f>230669+3636686+3844939</f>
        <v>7712294</v>
      </c>
      <c r="DJ6" s="84">
        <f ca="1">'Cash Flow'!DJ15</f>
        <v>8224946.6574087553</v>
      </c>
      <c r="DK6" s="84">
        <f ca="1">'Cash Flow'!DK15</f>
        <v>7837137.5986922449</v>
      </c>
      <c r="DL6" s="89">
        <f ca="1">DK6</f>
        <v>7837137.5986922449</v>
      </c>
      <c r="DM6" s="84">
        <f ca="1">'Cash Flow'!DM15</f>
        <v>8197131.7209733557</v>
      </c>
      <c r="DN6" s="84">
        <f ca="1">'Cash Flow'!DN15</f>
        <v>8075449.0065243747</v>
      </c>
      <c r="DO6" s="84">
        <f ca="1">'Cash Flow'!DO15</f>
        <v>6865173.1365756132</v>
      </c>
      <c r="DP6" s="84">
        <f ca="1">'Cash Flow'!DP15</f>
        <v>7668809.7857785029</v>
      </c>
      <c r="DQ6" s="89">
        <f ca="1">DP6</f>
        <v>7668809.7857785029</v>
      </c>
      <c r="DR6" s="84">
        <f ca="1">'Cash Flow'!DR15</f>
        <v>6380956.9387444919</v>
      </c>
      <c r="DS6" s="84">
        <f ca="1">'Cash Flow'!DS15</f>
        <v>5430022.5457976414</v>
      </c>
      <c r="DT6" s="84">
        <f ca="1">'Cash Flow'!DT15</f>
        <v>5417594.0500148116</v>
      </c>
      <c r="DU6" s="84">
        <f ca="1">'Cash Flow'!DU15</f>
        <v>7023331.1036767773</v>
      </c>
      <c r="DV6" s="89">
        <f ca="1">DU6</f>
        <v>7023331.1036767773</v>
      </c>
      <c r="DW6" s="84">
        <f ca="1">'Cash Flow'!DW15</f>
        <v>6004873.2333696503</v>
      </c>
      <c r="DX6" s="84">
        <f ca="1">'Cash Flow'!DX15</f>
        <v>4444194.3766004015</v>
      </c>
      <c r="DY6" s="84">
        <f ca="1">'Cash Flow'!DY15</f>
        <v>4811267.8767383806</v>
      </c>
      <c r="DZ6" s="84">
        <f ca="1">'Cash Flow'!DZ15</f>
        <v>7104522.4639519267</v>
      </c>
      <c r="EA6" s="89">
        <f ca="1">DZ6</f>
        <v>7104522.4639519267</v>
      </c>
      <c r="EB6" s="84">
        <f ca="1">'Cash Flow'!EB15</f>
        <v>6414010.7028983226</v>
      </c>
      <c r="EC6" s="84">
        <f ca="1">'Cash Flow'!EC15</f>
        <v>5001552.4183269609</v>
      </c>
      <c r="ED6" s="84">
        <f ca="1">'Cash Flow'!ED15</f>
        <v>5380808.3110957127</v>
      </c>
      <c r="EE6" s="84">
        <f ca="1">'Cash Flow'!EE15</f>
        <v>7845504.4056437807</v>
      </c>
      <c r="EF6" s="89">
        <f ca="1">EE6</f>
        <v>7845504.4056437807</v>
      </c>
      <c r="EG6" s="180"/>
      <c r="EH6" s="180"/>
      <c r="EI6" s="180"/>
      <c r="EJ6" s="180"/>
      <c r="EK6" s="180"/>
      <c r="EL6" s="180"/>
      <c r="EM6" s="180"/>
      <c r="EN6" s="180"/>
      <c r="EO6" s="180"/>
      <c r="EP6" s="180"/>
      <c r="EQ6" s="180"/>
      <c r="ER6" s="180"/>
      <c r="ES6" s="180"/>
      <c r="ET6" s="180"/>
      <c r="EU6" s="180"/>
      <c r="EV6" s="180"/>
      <c r="EW6" s="180"/>
      <c r="EX6" s="180"/>
      <c r="EY6" s="180"/>
      <c r="EZ6" s="180"/>
      <c r="FA6" s="180"/>
      <c r="FB6" s="180"/>
      <c r="FC6" s="180"/>
      <c r="FD6" s="180"/>
      <c r="FE6" s="180"/>
      <c r="FF6" s="180"/>
      <c r="FG6" s="180"/>
      <c r="FH6" s="180"/>
      <c r="FI6" s="180"/>
      <c r="FJ6" s="180"/>
      <c r="FK6" s="180"/>
      <c r="FL6" s="180"/>
      <c r="FM6" s="180"/>
      <c r="FN6" s="180"/>
      <c r="FO6" s="180"/>
      <c r="FP6" s="180"/>
      <c r="FQ6" s="180"/>
      <c r="FR6" s="180"/>
      <c r="FS6" s="180"/>
      <c r="FT6" s="180"/>
      <c r="FU6" s="180"/>
      <c r="FV6" s="180"/>
      <c r="FW6" s="180"/>
      <c r="FX6" s="180"/>
      <c r="FY6" s="180"/>
      <c r="FZ6" s="180"/>
      <c r="GA6" s="180"/>
      <c r="GB6" s="180"/>
      <c r="GC6" s="180"/>
      <c r="GD6" s="180"/>
      <c r="GE6" s="180"/>
      <c r="GF6" s="180"/>
      <c r="GG6" s="180"/>
      <c r="GH6" s="180"/>
      <c r="GI6" s="180"/>
      <c r="GJ6" s="180"/>
      <c r="GK6" s="180"/>
      <c r="GL6" s="180"/>
      <c r="GM6" s="180"/>
      <c r="GN6" s="180"/>
      <c r="GO6" s="180"/>
      <c r="GP6" s="180"/>
      <c r="GQ6" s="180"/>
      <c r="GR6" s="180"/>
    </row>
    <row r="7" spans="1:200">
      <c r="A7" s="71" t="s">
        <v>79</v>
      </c>
      <c r="B7" s="160">
        <v>0</v>
      </c>
      <c r="C7" s="160">
        <v>0</v>
      </c>
      <c r="D7" s="160">
        <v>0</v>
      </c>
      <c r="E7" s="160">
        <v>0</v>
      </c>
      <c r="F7" s="89">
        <f>E7</f>
        <v>0</v>
      </c>
      <c r="G7" s="160">
        <v>0</v>
      </c>
      <c r="H7" s="160">
        <v>2482</v>
      </c>
      <c r="I7" s="160">
        <v>12370</v>
      </c>
      <c r="J7" s="160">
        <v>19207</v>
      </c>
      <c r="K7" s="89">
        <f>J7</f>
        <v>19207</v>
      </c>
      <c r="L7" s="160">
        <v>40031</v>
      </c>
      <c r="M7" s="160">
        <v>32731</v>
      </c>
      <c r="N7" s="160">
        <v>56339</v>
      </c>
      <c r="O7" s="160">
        <v>117846</v>
      </c>
      <c r="P7" s="89">
        <f>O7</f>
        <v>117846</v>
      </c>
      <c r="Q7" s="160">
        <v>155677</v>
      </c>
      <c r="R7" s="160">
        <v>378984</v>
      </c>
      <c r="S7" s="160">
        <v>169547</v>
      </c>
      <c r="T7" s="160">
        <v>275617</v>
      </c>
      <c r="U7" s="89">
        <f>T7</f>
        <v>275617</v>
      </c>
      <c r="V7" s="160">
        <v>206674</v>
      </c>
      <c r="W7" s="160">
        <v>264596</v>
      </c>
      <c r="X7" s="160">
        <v>225657</v>
      </c>
      <c r="Y7" s="160">
        <v>312763</v>
      </c>
      <c r="Z7" s="89">
        <f>Y7</f>
        <v>312763</v>
      </c>
      <c r="AA7" s="160">
        <v>364209</v>
      </c>
      <c r="AB7" s="160">
        <f>429700-40000</f>
        <v>389700</v>
      </c>
      <c r="AC7" s="160">
        <f>93334+379106</f>
        <v>472440</v>
      </c>
      <c r="AD7" s="160">
        <v>362767</v>
      </c>
      <c r="AE7" s="89">
        <f>AD7</f>
        <v>362767</v>
      </c>
      <c r="AF7" s="160">
        <v>411760</v>
      </c>
      <c r="AG7" s="160">
        <v>452713</v>
      </c>
      <c r="AH7" s="160">
        <v>437295</v>
      </c>
      <c r="AI7" s="160">
        <v>366862</v>
      </c>
      <c r="AJ7" s="89">
        <f>AI7</f>
        <v>366862</v>
      </c>
      <c r="AK7" s="160">
        <v>423866</v>
      </c>
      <c r="AL7" s="160">
        <v>403378</v>
      </c>
      <c r="AM7" s="160">
        <v>379621</v>
      </c>
      <c r="AN7" s="160">
        <v>481933</v>
      </c>
      <c r="AO7" s="89">
        <f>AN7</f>
        <v>481933</v>
      </c>
      <c r="AP7" s="160">
        <v>440078</v>
      </c>
      <c r="AQ7" s="160">
        <v>518402</v>
      </c>
      <c r="AR7" s="160">
        <v>513781</v>
      </c>
      <c r="AS7" s="160">
        <v>349967</v>
      </c>
      <c r="AT7" s="89">
        <f>AS7</f>
        <v>349967</v>
      </c>
      <c r="AU7" s="160">
        <v>444786</v>
      </c>
      <c r="AV7" s="160">
        <v>367929</v>
      </c>
      <c r="AW7" s="160">
        <f>AV7</f>
        <v>367929</v>
      </c>
      <c r="AX7" s="160">
        <v>227174</v>
      </c>
      <c r="AY7" s="89">
        <f>AX7</f>
        <v>227174</v>
      </c>
      <c r="AZ7" s="160">
        <v>198590</v>
      </c>
      <c r="BA7" s="160">
        <v>179240</v>
      </c>
      <c r="BB7" s="160">
        <v>163447</v>
      </c>
      <c r="BC7" s="160">
        <v>190441</v>
      </c>
      <c r="BD7" s="89">
        <f>BC7</f>
        <v>190441</v>
      </c>
      <c r="BE7" s="160">
        <v>201691</v>
      </c>
      <c r="BF7" s="160">
        <v>209036</v>
      </c>
      <c r="BG7" s="160">
        <v>201112</v>
      </c>
      <c r="BH7" s="160">
        <v>216893</v>
      </c>
      <c r="BI7" s="89">
        <f>BH7</f>
        <v>216893</v>
      </c>
      <c r="BJ7" s="160">
        <v>296251</v>
      </c>
      <c r="BK7" s="160">
        <v>291823</v>
      </c>
      <c r="BL7" s="160">
        <v>307731</v>
      </c>
      <c r="BM7" s="160">
        <v>340973</v>
      </c>
      <c r="BN7" s="89">
        <f>BM7</f>
        <v>340973</v>
      </c>
      <c r="BO7" s="160">
        <v>322866</v>
      </c>
      <c r="BP7" s="160">
        <v>301131</v>
      </c>
      <c r="BQ7" s="160">
        <v>285106</v>
      </c>
      <c r="BR7" s="160">
        <v>349914</v>
      </c>
      <c r="BS7" s="89">
        <f>BR7</f>
        <v>349914</v>
      </c>
      <c r="BT7" s="160">
        <v>365272</v>
      </c>
      <c r="BU7" s="160">
        <v>338828</v>
      </c>
      <c r="BV7" s="160">
        <v>247826</v>
      </c>
      <c r="BW7" s="160">
        <v>289000</v>
      </c>
      <c r="BX7" s="89">
        <f>BW7</f>
        <v>289000</v>
      </c>
      <c r="BY7" s="160">
        <v>332881</v>
      </c>
      <c r="BZ7" s="160">
        <v>333343</v>
      </c>
      <c r="CA7" s="160">
        <v>347004</v>
      </c>
      <c r="CB7" s="160">
        <v>368995</v>
      </c>
      <c r="CC7" s="89">
        <f>CB7</f>
        <v>368995</v>
      </c>
      <c r="CD7" s="160">
        <v>420949</v>
      </c>
      <c r="CE7" s="160">
        <v>465761</v>
      </c>
      <c r="CF7" s="160">
        <v>494467</v>
      </c>
      <c r="CG7" s="160">
        <v>383831</v>
      </c>
      <c r="CH7" s="89">
        <f>CG7</f>
        <v>383831</v>
      </c>
      <c r="CI7" s="160">
        <v>384021</v>
      </c>
      <c r="CJ7" s="160">
        <v>412597</v>
      </c>
      <c r="CK7" s="160">
        <v>427135</v>
      </c>
      <c r="CL7" s="160">
        <v>554070</v>
      </c>
      <c r="CM7" s="89">
        <f>CL7</f>
        <v>554070</v>
      </c>
      <c r="CN7" s="160">
        <v>513646</v>
      </c>
      <c r="CO7" s="160">
        <v>597994</v>
      </c>
      <c r="CP7" s="160">
        <v>423118</v>
      </c>
      <c r="CQ7" s="160">
        <v>534936</v>
      </c>
      <c r="CR7" s="89">
        <f>CQ7</f>
        <v>534936</v>
      </c>
      <c r="CS7" s="160">
        <v>489060</v>
      </c>
      <c r="CT7" s="160">
        <v>492168</v>
      </c>
      <c r="CU7" s="160">
        <v>534748</v>
      </c>
      <c r="CV7" s="160">
        <v>436490</v>
      </c>
      <c r="CW7" s="89">
        <f>CV7</f>
        <v>436490</v>
      </c>
      <c r="CX7" s="160">
        <v>293621</v>
      </c>
      <c r="CY7" s="160">
        <v>301661</v>
      </c>
      <c r="CZ7" s="160">
        <v>240092</v>
      </c>
      <c r="DA7" s="160">
        <v>230216</v>
      </c>
      <c r="DB7" s="89">
        <f>DA7</f>
        <v>230216</v>
      </c>
      <c r="DC7" s="160">
        <v>228433</v>
      </c>
      <c r="DD7" s="160">
        <v>204448</v>
      </c>
      <c r="DE7" s="160">
        <v>230337</v>
      </c>
      <c r="DF7" s="160">
        <v>186280</v>
      </c>
      <c r="DG7" s="89">
        <f>DF7</f>
        <v>186280</v>
      </c>
      <c r="DH7" s="160">
        <v>232350</v>
      </c>
      <c r="DI7" s="160">
        <v>259018</v>
      </c>
      <c r="DJ7" s="160">
        <f>DI7</f>
        <v>259018</v>
      </c>
      <c r="DK7" s="160">
        <f>DJ7</f>
        <v>259018</v>
      </c>
      <c r="DL7" s="89">
        <f>DK7</f>
        <v>259018</v>
      </c>
      <c r="DM7" s="160">
        <f>DL7</f>
        <v>259018</v>
      </c>
      <c r="DN7" s="160">
        <f>DM7</f>
        <v>259018</v>
      </c>
      <c r="DO7" s="160">
        <f>DN7</f>
        <v>259018</v>
      </c>
      <c r="DP7" s="160">
        <f>DO7</f>
        <v>259018</v>
      </c>
      <c r="DQ7" s="89">
        <f>DP7</f>
        <v>259018</v>
      </c>
      <c r="DR7" s="160">
        <f>DQ7</f>
        <v>259018</v>
      </c>
      <c r="DS7" s="160">
        <f>DR7</f>
        <v>259018</v>
      </c>
      <c r="DT7" s="160">
        <f>DS7</f>
        <v>259018</v>
      </c>
      <c r="DU7" s="160">
        <f>DT7</f>
        <v>259018</v>
      </c>
      <c r="DV7" s="89">
        <f>DU7</f>
        <v>259018</v>
      </c>
      <c r="DW7" s="160">
        <f>DV7</f>
        <v>259018</v>
      </c>
      <c r="DX7" s="160">
        <f>DW7</f>
        <v>259018</v>
      </c>
      <c r="DY7" s="160">
        <f>DX7</f>
        <v>259018</v>
      </c>
      <c r="DZ7" s="160">
        <f>DY7</f>
        <v>259018</v>
      </c>
      <c r="EA7" s="89">
        <f>DZ7</f>
        <v>259018</v>
      </c>
      <c r="EB7" s="160">
        <f>EA7</f>
        <v>259018</v>
      </c>
      <c r="EC7" s="160">
        <f>EB7</f>
        <v>259018</v>
      </c>
      <c r="ED7" s="160">
        <f>EC7</f>
        <v>259018</v>
      </c>
      <c r="EE7" s="160">
        <f>ED7</f>
        <v>259018</v>
      </c>
      <c r="EF7" s="89">
        <f>EE7</f>
        <v>259018</v>
      </c>
    </row>
    <row r="8" spans="1:200">
      <c r="A8" s="71" t="s">
        <v>18</v>
      </c>
      <c r="B8" s="160">
        <f>91082+148753</f>
        <v>239835</v>
      </c>
      <c r="C8" s="160">
        <f>72118+98532</f>
        <v>170650</v>
      </c>
      <c r="D8" s="160">
        <f>73702+105814</f>
        <v>179516</v>
      </c>
      <c r="E8" s="160">
        <f>192533+240543</f>
        <v>433076</v>
      </c>
      <c r="F8" s="89">
        <f t="shared" si="13"/>
        <v>433076</v>
      </c>
      <c r="G8" s="160">
        <f>203789+223429</f>
        <v>427218</v>
      </c>
      <c r="H8" s="160">
        <f>215045+206315</f>
        <v>421360</v>
      </c>
      <c r="I8" s="160">
        <f>210882+273724</f>
        <v>484606</v>
      </c>
      <c r="J8" s="160">
        <f>190229+270991</f>
        <v>461220</v>
      </c>
      <c r="K8" s="89">
        <f t="shared" si="14"/>
        <v>461220</v>
      </c>
      <c r="L8" s="160">
        <f>200668+336357</f>
        <v>537025</v>
      </c>
      <c r="M8" s="160">
        <f>230856+414923</f>
        <v>645779</v>
      </c>
      <c r="N8" s="160">
        <f>441454+244383</f>
        <v>685837</v>
      </c>
      <c r="O8" s="160">
        <f>566306+298967</f>
        <v>865273</v>
      </c>
      <c r="P8" s="89">
        <f t="shared" si="15"/>
        <v>865273</v>
      </c>
      <c r="Q8" s="160">
        <f>530840+407416</f>
        <v>938256</v>
      </c>
      <c r="R8" s="160">
        <f>518934+497265</f>
        <v>1016199</v>
      </c>
      <c r="S8" s="160">
        <f>605472+561471</f>
        <v>1166943</v>
      </c>
      <c r="T8" s="160">
        <f>T9+T10</f>
        <v>1466592</v>
      </c>
      <c r="U8" s="89">
        <f t="shared" si="16"/>
        <v>1466592</v>
      </c>
      <c r="V8" s="79">
        <f>V9+V10</f>
        <v>1647762</v>
      </c>
      <c r="W8" s="79">
        <f>W9+W10</f>
        <v>2010282</v>
      </c>
      <c r="X8" s="79">
        <f>X9+X10</f>
        <v>2259078</v>
      </c>
      <c r="Y8" s="79">
        <f t="shared" ref="Y8:CC8" si="17">Y9+Y10</f>
        <v>2661032</v>
      </c>
      <c r="Z8" s="89">
        <f t="shared" si="17"/>
        <v>2661032</v>
      </c>
      <c r="AA8" s="79">
        <f>AA9+AA10</f>
        <v>2838677</v>
      </c>
      <c r="AB8" s="79">
        <f>AB9+AB10</f>
        <v>3241387</v>
      </c>
      <c r="AC8" s="79">
        <f>AC9+AC10</f>
        <v>3879132</v>
      </c>
      <c r="AD8" s="79">
        <f t="shared" si="17"/>
        <v>4548956</v>
      </c>
      <c r="AE8" s="89">
        <f>AE9+AE10</f>
        <v>4548956</v>
      </c>
      <c r="AF8" s="79">
        <f>AF9+AF10</f>
        <v>5226703</v>
      </c>
      <c r="AG8" s="79">
        <f>AG9+AG10</f>
        <v>5535211</v>
      </c>
      <c r="AH8" s="79">
        <f>AH9+AH10</f>
        <v>5835349</v>
      </c>
      <c r="AI8" s="79">
        <f>AI9+AI10</f>
        <v>6005084</v>
      </c>
      <c r="AJ8" s="89">
        <f t="shared" si="17"/>
        <v>6005084</v>
      </c>
      <c r="AK8" s="79">
        <f>AK9+AK10</f>
        <v>6134788</v>
      </c>
      <c r="AL8" s="84">
        <f>AL9+AL10</f>
        <v>6208435</v>
      </c>
      <c r="AM8" s="84">
        <f t="shared" si="17"/>
        <v>6235639</v>
      </c>
      <c r="AN8" s="84">
        <f t="shared" si="17"/>
        <v>6409068</v>
      </c>
      <c r="AO8" s="89">
        <f t="shared" si="17"/>
        <v>6409068</v>
      </c>
      <c r="AP8" s="79">
        <f>AP9+AP10</f>
        <v>6566617</v>
      </c>
      <c r="AQ8" s="84">
        <f>AQ9+AQ10</f>
        <v>6502734</v>
      </c>
      <c r="AR8" s="84">
        <f>AR9+AR10</f>
        <v>6433064</v>
      </c>
      <c r="AS8" s="84">
        <f>AS9+AS10</f>
        <v>5900650</v>
      </c>
      <c r="AT8" s="89">
        <f t="shared" si="17"/>
        <v>5900650</v>
      </c>
      <c r="AU8" s="84">
        <f t="shared" si="17"/>
        <v>5708739</v>
      </c>
      <c r="AV8" s="84">
        <f t="shared" si="17"/>
        <v>5746013</v>
      </c>
      <c r="AW8" s="84">
        <f>AW9+AW10</f>
        <v>5818501</v>
      </c>
      <c r="AX8" s="84">
        <f t="shared" si="17"/>
        <v>5622358</v>
      </c>
      <c r="AY8" s="89">
        <f t="shared" si="17"/>
        <v>5622358</v>
      </c>
      <c r="AZ8" s="84">
        <f t="shared" si="17"/>
        <v>5382715</v>
      </c>
      <c r="BA8" s="84">
        <f t="shared" si="17"/>
        <v>5352790</v>
      </c>
      <c r="BB8" s="84">
        <f>BB9+BB10</f>
        <v>5075277</v>
      </c>
      <c r="BC8" s="84">
        <f t="shared" si="17"/>
        <v>4929986</v>
      </c>
      <c r="BD8" s="89">
        <f t="shared" si="17"/>
        <v>4929986</v>
      </c>
      <c r="BE8" s="84">
        <f>BE9+BE10</f>
        <v>4496726</v>
      </c>
      <c r="BF8" s="84">
        <f>BF9+BF10</f>
        <v>4157027</v>
      </c>
      <c r="BG8" s="84">
        <f>BG9+BG10</f>
        <v>4025882</v>
      </c>
      <c r="BH8" s="84">
        <f>BH9+BH10</f>
        <v>3846292</v>
      </c>
      <c r="BI8" s="89">
        <f t="shared" si="17"/>
        <v>3846292</v>
      </c>
      <c r="BJ8" s="84">
        <f t="shared" si="17"/>
        <v>3933676</v>
      </c>
      <c r="BK8" s="84">
        <f t="shared" si="17"/>
        <v>3580176</v>
      </c>
      <c r="BL8" s="84">
        <f t="shared" si="17"/>
        <v>3566502</v>
      </c>
      <c r="BM8" s="84">
        <f t="shared" si="17"/>
        <v>3379792</v>
      </c>
      <c r="BN8" s="89">
        <f t="shared" si="17"/>
        <v>3379792</v>
      </c>
      <c r="BO8" s="84">
        <f>BO9+BO10</f>
        <v>3261831</v>
      </c>
      <c r="BP8" s="84">
        <f t="shared" si="17"/>
        <v>2939202</v>
      </c>
      <c r="BQ8" s="84">
        <f>BQ9+BQ10</f>
        <v>2699093</v>
      </c>
      <c r="BR8" s="84">
        <f t="shared" si="17"/>
        <v>2667234</v>
      </c>
      <c r="BS8" s="89">
        <f t="shared" si="17"/>
        <v>2667234</v>
      </c>
      <c r="BT8" s="84">
        <f>BT9+BT10</f>
        <v>2270779</v>
      </c>
      <c r="BU8" s="84">
        <f t="shared" si="17"/>
        <v>2141537</v>
      </c>
      <c r="BV8" s="84">
        <f>BV9+BV10</f>
        <v>2125099</v>
      </c>
      <c r="BW8" s="84">
        <f t="shared" si="17"/>
        <v>1948816</v>
      </c>
      <c r="BX8" s="89">
        <f t="shared" si="17"/>
        <v>1948816</v>
      </c>
      <c r="BY8" s="84">
        <f t="shared" si="17"/>
        <v>1969463</v>
      </c>
      <c r="BZ8" s="84">
        <f>BZ9+BZ10</f>
        <v>1951187</v>
      </c>
      <c r="CA8" s="84">
        <f t="shared" si="17"/>
        <v>1949967</v>
      </c>
      <c r="CB8" s="84">
        <f t="shared" si="17"/>
        <v>2069474</v>
      </c>
      <c r="CC8" s="89">
        <f t="shared" si="17"/>
        <v>2069474</v>
      </c>
      <c r="CD8" s="84">
        <f>CD9+CD10</f>
        <v>2064344</v>
      </c>
      <c r="CE8" s="84">
        <f>CE9+CE10</f>
        <v>2184470</v>
      </c>
      <c r="CF8" s="84">
        <f t="shared" ref="CF8:DG8" si="18">CF9+CF10</f>
        <v>2066837</v>
      </c>
      <c r="CG8" s="84">
        <f t="shared" si="18"/>
        <v>2063554</v>
      </c>
      <c r="CH8" s="89">
        <f t="shared" si="18"/>
        <v>2063554</v>
      </c>
      <c r="CI8" s="84">
        <f>CI9+CI10</f>
        <v>2129231</v>
      </c>
      <c r="CJ8" s="84">
        <f>CJ9+CJ10</f>
        <v>2161399</v>
      </c>
      <c r="CK8" s="84">
        <f>CK9+CK10</f>
        <v>2261540</v>
      </c>
      <c r="CL8" s="84">
        <f>CL9+CL10</f>
        <v>2333644</v>
      </c>
      <c r="CM8" s="89">
        <f t="shared" si="18"/>
        <v>2333644</v>
      </c>
      <c r="CN8" s="84">
        <f t="shared" si="18"/>
        <v>2402290</v>
      </c>
      <c r="CO8" s="84">
        <f t="shared" si="18"/>
        <v>2499984</v>
      </c>
      <c r="CP8" s="84">
        <f t="shared" si="18"/>
        <v>2711354</v>
      </c>
      <c r="CQ8" s="84">
        <f t="shared" si="18"/>
        <v>2709008</v>
      </c>
      <c r="CR8" s="89">
        <f t="shared" si="18"/>
        <v>2709008</v>
      </c>
      <c r="CS8" s="84">
        <f>CS9+CS10</f>
        <v>2666053</v>
      </c>
      <c r="CT8" s="84">
        <f>CT9+CT10</f>
        <v>2960288</v>
      </c>
      <c r="CU8" s="84">
        <f>CU9+CU10</f>
        <v>3198894</v>
      </c>
      <c r="CV8" s="84">
        <f>CV9+CV10</f>
        <v>3454712</v>
      </c>
      <c r="CW8" s="89">
        <f t="shared" si="18"/>
        <v>3454712</v>
      </c>
      <c r="CX8" s="84">
        <f t="shared" si="18"/>
        <v>3635115</v>
      </c>
      <c r="CY8" s="84">
        <f>CY9+CY10</f>
        <v>3993057</v>
      </c>
      <c r="CZ8" s="84">
        <f>CZ9+CZ10</f>
        <v>4314766</v>
      </c>
      <c r="DA8" s="84">
        <f>DA9+DA10</f>
        <v>4776699</v>
      </c>
      <c r="DB8" s="89">
        <f t="shared" si="18"/>
        <v>4776699</v>
      </c>
      <c r="DC8" s="84">
        <f t="shared" ref="DC8" si="19">DC9+DC10</f>
        <v>4892181</v>
      </c>
      <c r="DD8" s="84">
        <f>DD9+DD10</f>
        <v>5289499</v>
      </c>
      <c r="DE8" s="84">
        <f>DE9+DE10</f>
        <v>5369048</v>
      </c>
      <c r="DF8" s="84">
        <f>DF9+DF10</f>
        <v>6114370</v>
      </c>
      <c r="DG8" s="89">
        <f t="shared" si="18"/>
        <v>6114370</v>
      </c>
      <c r="DH8" s="84">
        <f>DH9+DH10</f>
        <v>6311433</v>
      </c>
      <c r="DI8" s="84">
        <f>DI9+DI10</f>
        <v>6524467</v>
      </c>
      <c r="DJ8" s="84">
        <f>DJ9+DJ10</f>
        <v>6793845.5243459679</v>
      </c>
      <c r="DK8" s="84">
        <f>DK9+DK10</f>
        <v>7064591.2846721997</v>
      </c>
      <c r="DL8" s="89">
        <f>DL9+DL10</f>
        <v>7064591.2846721997</v>
      </c>
      <c r="DM8" s="84">
        <f t="shared" ref="DM8:EF8" si="20">DM9+DM10</f>
        <v>7189359.4370237608</v>
      </c>
      <c r="DN8" s="84">
        <f t="shared" si="20"/>
        <v>7797738.566803718</v>
      </c>
      <c r="DO8" s="84">
        <f t="shared" si="20"/>
        <v>8426724.4403611775</v>
      </c>
      <c r="DP8" s="84">
        <f t="shared" si="20"/>
        <v>8911561.0425937902</v>
      </c>
      <c r="DQ8" s="89">
        <f t="shared" si="20"/>
        <v>8911561.0425937902</v>
      </c>
      <c r="DR8" s="84">
        <f t="shared" si="20"/>
        <v>9514123.2010355871</v>
      </c>
      <c r="DS8" s="84">
        <f t="shared" si="20"/>
        <v>9984690.4644227475</v>
      </c>
      <c r="DT8" s="84">
        <f t="shared" si="20"/>
        <v>10374060.508206636</v>
      </c>
      <c r="DU8" s="84">
        <f t="shared" si="20"/>
        <v>10883145.509010106</v>
      </c>
      <c r="DV8" s="89">
        <f t="shared" si="20"/>
        <v>10883145.509010106</v>
      </c>
      <c r="DW8" s="84">
        <f t="shared" si="20"/>
        <v>11172388.195964018</v>
      </c>
      <c r="DX8" s="84">
        <f t="shared" si="20"/>
        <v>11464753.657783177</v>
      </c>
      <c r="DY8" s="84">
        <f t="shared" si="20"/>
        <v>11540944.754752226</v>
      </c>
      <c r="DZ8" s="84">
        <f t="shared" si="20"/>
        <v>11594509.720063563</v>
      </c>
      <c r="EA8" s="89">
        <f t="shared" si="20"/>
        <v>11594509.720063563</v>
      </c>
      <c r="EB8" s="84">
        <f t="shared" si="20"/>
        <v>11591975.625807997</v>
      </c>
      <c r="EC8" s="84">
        <f t="shared" si="20"/>
        <v>11729586.782027084</v>
      </c>
      <c r="ED8" s="84">
        <f t="shared" si="20"/>
        <v>11859416.115794403</v>
      </c>
      <c r="EE8" s="84">
        <f t="shared" si="20"/>
        <v>11903882.071007378</v>
      </c>
      <c r="EF8" s="89">
        <f t="shared" si="20"/>
        <v>11903882.071007378</v>
      </c>
    </row>
    <row r="9" spans="1:200" outlineLevel="1" collapsed="1">
      <c r="A9" s="195" t="s">
        <v>131</v>
      </c>
      <c r="B9" s="197"/>
      <c r="C9" s="197"/>
      <c r="D9" s="197"/>
      <c r="E9" s="197"/>
      <c r="F9" s="196">
        <f t="shared" si="13"/>
        <v>0</v>
      </c>
      <c r="G9" s="197"/>
      <c r="H9" s="197"/>
      <c r="I9" s="197"/>
      <c r="J9" s="197"/>
      <c r="K9" s="196">
        <f t="shared" si="14"/>
        <v>0</v>
      </c>
      <c r="L9" s="197"/>
      <c r="M9" s="197"/>
      <c r="N9" s="197"/>
      <c r="O9" s="197"/>
      <c r="P9" s="196">
        <f t="shared" si="15"/>
        <v>0</v>
      </c>
      <c r="Q9" s="197"/>
      <c r="R9" s="197"/>
      <c r="S9" s="197"/>
      <c r="T9" s="197">
        <v>537685</v>
      </c>
      <c r="U9" s="196">
        <f t="shared" si="16"/>
        <v>537685</v>
      </c>
      <c r="V9" s="197">
        <v>569933</v>
      </c>
      <c r="W9" s="197">
        <v>556043</v>
      </c>
      <c r="X9" s="197">
        <v>489197</v>
      </c>
      <c r="Y9" s="197">
        <v>572963</v>
      </c>
      <c r="Z9" s="196">
        <f t="shared" ref="Z9:Z18" si="21">Y9</f>
        <v>572963</v>
      </c>
      <c r="AA9" s="305">
        <v>831092</v>
      </c>
      <c r="AB9" s="305">
        <v>885556</v>
      </c>
      <c r="AC9" s="305">
        <v>765348</v>
      </c>
      <c r="AD9" s="197">
        <v>1317621</v>
      </c>
      <c r="AE9" s="196">
        <f t="shared" ref="AE9:AE18" si="22">AD9</f>
        <v>1317621</v>
      </c>
      <c r="AF9" s="197">
        <v>1439667</v>
      </c>
      <c r="AG9" s="197">
        <v>1428778</v>
      </c>
      <c r="AH9" s="197">
        <v>1426802</v>
      </c>
      <c r="AI9" s="197">
        <v>1846372</v>
      </c>
      <c r="AJ9" s="196">
        <f t="shared" ref="AJ9:AJ14" si="23">AI9</f>
        <v>1846372</v>
      </c>
      <c r="AK9" s="197">
        <v>1741147</v>
      </c>
      <c r="AL9" s="197">
        <v>1551166</v>
      </c>
      <c r="AM9" s="197">
        <v>1604872</v>
      </c>
      <c r="AN9" s="197">
        <v>1663146</v>
      </c>
      <c r="AO9" s="196">
        <f t="shared" ref="AO9:AO14" si="24">AN9</f>
        <v>1663146</v>
      </c>
      <c r="AP9" s="197">
        <v>1748878</v>
      </c>
      <c r="AQ9" s="197">
        <v>1931387</v>
      </c>
      <c r="AR9" s="197">
        <v>2075907</v>
      </c>
      <c r="AS9" s="197">
        <v>1911404</v>
      </c>
      <c r="AT9" s="196">
        <f t="shared" ref="AT9:AT14" si="25">AS9</f>
        <v>1911404</v>
      </c>
      <c r="AU9" s="197">
        <v>1786248</v>
      </c>
      <c r="AV9" s="197">
        <v>1932176</v>
      </c>
      <c r="AW9" s="197">
        <v>1745546</v>
      </c>
      <c r="AX9" s="197">
        <v>1654683</v>
      </c>
      <c r="AY9" s="196">
        <f t="shared" ref="AY9:AY14" si="26">AX9</f>
        <v>1654683</v>
      </c>
      <c r="AZ9" s="197">
        <v>1300719</v>
      </c>
      <c r="BA9" s="197">
        <v>1652546</v>
      </c>
      <c r="BB9" s="305">
        <v>1405542</v>
      </c>
      <c r="BC9" s="197">
        <v>1636784</v>
      </c>
      <c r="BD9" s="196">
        <f t="shared" ref="BD9:BD18" si="27">BC9</f>
        <v>1636784</v>
      </c>
      <c r="BE9" s="197">
        <v>1381832</v>
      </c>
      <c r="BF9" s="197">
        <v>1515432</v>
      </c>
      <c r="BG9" s="305">
        <v>1341530</v>
      </c>
      <c r="BH9" s="305">
        <v>1157511</v>
      </c>
      <c r="BI9" s="196">
        <f t="shared" ref="BI9:BI18" si="28">BH9</f>
        <v>1157511</v>
      </c>
      <c r="BJ9" s="197">
        <v>1377289</v>
      </c>
      <c r="BK9" s="197">
        <v>1139154</v>
      </c>
      <c r="BL9" s="197">
        <v>1098911</v>
      </c>
      <c r="BM9" s="305">
        <v>1286697</v>
      </c>
      <c r="BN9" s="196">
        <f t="shared" ref="BN9:BN18" si="29">BM9</f>
        <v>1286697</v>
      </c>
      <c r="BO9" s="197">
        <v>1319140</v>
      </c>
      <c r="BP9" s="197">
        <v>946290</v>
      </c>
      <c r="BQ9" s="197">
        <v>947733</v>
      </c>
      <c r="BR9" s="305">
        <v>1399075</v>
      </c>
      <c r="BS9" s="196">
        <f t="shared" ref="BS9:BS18" si="30">BR9</f>
        <v>1399075</v>
      </c>
      <c r="BT9" s="197">
        <v>1377969</v>
      </c>
      <c r="BU9" s="197">
        <v>1150196</v>
      </c>
      <c r="BV9" s="197">
        <v>1159383</v>
      </c>
      <c r="BW9" s="197">
        <v>1056548</v>
      </c>
      <c r="BX9" s="196">
        <f t="shared" ref="BX9:BX18" si="31">BW9</f>
        <v>1056548</v>
      </c>
      <c r="BY9" s="197">
        <v>1061417</v>
      </c>
      <c r="BZ9" s="197">
        <v>916544</v>
      </c>
      <c r="CA9" s="197">
        <v>932038</v>
      </c>
      <c r="CB9" s="197">
        <v>1102434</v>
      </c>
      <c r="CC9" s="196">
        <f t="shared" ref="CC9:CC18" si="32">CB9</f>
        <v>1102434</v>
      </c>
      <c r="CD9" s="197">
        <v>933180</v>
      </c>
      <c r="CE9" s="197">
        <v>933180</v>
      </c>
      <c r="CF9" s="197">
        <v>845884</v>
      </c>
      <c r="CG9" s="197">
        <v>829785</v>
      </c>
      <c r="CH9" s="196">
        <f t="shared" ref="CH9:CH14" si="33">CG9</f>
        <v>829785</v>
      </c>
      <c r="CI9" s="197">
        <v>705213</v>
      </c>
      <c r="CJ9" s="197">
        <v>815309</v>
      </c>
      <c r="CK9" s="197">
        <v>824961</v>
      </c>
      <c r="CL9" s="197">
        <v>906394</v>
      </c>
      <c r="CM9" s="196">
        <f t="shared" ref="CM9:CM14" si="34">CL9</f>
        <v>906394</v>
      </c>
      <c r="CN9" s="197">
        <v>899144</v>
      </c>
      <c r="CO9" s="197">
        <v>765406</v>
      </c>
      <c r="CP9" s="197">
        <v>843303</v>
      </c>
      <c r="CQ9" s="197">
        <v>831133</v>
      </c>
      <c r="CR9" s="196">
        <f t="shared" ref="CR9:CR14" si="35">CQ9</f>
        <v>831133</v>
      </c>
      <c r="CS9" s="197">
        <v>811131</v>
      </c>
      <c r="CT9" s="197">
        <v>790261</v>
      </c>
      <c r="CU9" s="197">
        <v>917701</v>
      </c>
      <c r="CV9" s="197">
        <v>1146874</v>
      </c>
      <c r="CW9" s="196">
        <f t="shared" ref="CW9:CW14" si="36">CV9</f>
        <v>1146874</v>
      </c>
      <c r="CX9" s="197">
        <v>941999</v>
      </c>
      <c r="CY9" s="197">
        <v>966961</v>
      </c>
      <c r="CZ9" s="197">
        <v>931511</v>
      </c>
      <c r="DA9" s="197">
        <v>1190631</v>
      </c>
      <c r="DB9" s="196">
        <f t="shared" ref="DB9:DB14" si="37">DA9</f>
        <v>1190631</v>
      </c>
      <c r="DC9" s="197">
        <v>978133</v>
      </c>
      <c r="DD9" s="197">
        <v>1018027</v>
      </c>
      <c r="DE9" s="197">
        <v>1146549</v>
      </c>
      <c r="DF9" s="197">
        <v>1505006</v>
      </c>
      <c r="DG9" s="196">
        <f t="shared" ref="DG9:DG14" si="38">DF9</f>
        <v>1505006</v>
      </c>
      <c r="DH9" s="197">
        <v>1349794</v>
      </c>
      <c r="DI9" s="197">
        <v>1563246</v>
      </c>
      <c r="DJ9" s="197">
        <f>DI9+Forecasts!DJ52*70%-(DI9+Forecasts!DJ52*60%)*35%</f>
        <v>2213106.3386919633</v>
      </c>
      <c r="DK9" s="197">
        <f>DJ9+Forecasts!DK52*70%-(DJ9+Forecasts!DK52*60%)*35%</f>
        <v>2582543.8149472736</v>
      </c>
      <c r="DL9" s="196">
        <f t="shared" ref="DL9:DL14" si="39">DK9</f>
        <v>2582543.8149472736</v>
      </c>
      <c r="DM9" s="197">
        <f>DL9+Forecasts!DM52*70%-(DL9+Forecasts!DM52*60%)*35%</f>
        <v>2802252.125140938</v>
      </c>
      <c r="DN9" s="197">
        <f>DM9+Forecasts!DN52*70%-(DM9+Forecasts!DN52*60%)*35%</f>
        <v>3217250.1472232747</v>
      </c>
      <c r="DO9" s="197">
        <f>DN9+Forecasts!DO52*70%-(DN9+Forecasts!DO52*60%)*35%</f>
        <v>3702444.4730236838</v>
      </c>
      <c r="DP9" s="197">
        <f>DO9+Forecasts!DP52*70%-(DO9+Forecasts!DP52*60%)*35%</f>
        <v>4055304.4913538592</v>
      </c>
      <c r="DQ9" s="196">
        <f t="shared" ref="DQ9:DQ14" si="40">DP9</f>
        <v>4055304.4913538592</v>
      </c>
      <c r="DR9" s="197">
        <f>DQ9+Forecasts!DR52*70%-(DQ9+Forecasts!DR52*60%)*35%</f>
        <v>4530118.9110955708</v>
      </c>
      <c r="DS9" s="197">
        <f>DR9+Forecasts!DS52*70%-(DR9+Forecasts!DS52*60%)*35%</f>
        <v>4879522.1452832967</v>
      </c>
      <c r="DT9" s="197">
        <f>DS9+Forecasts!DT52*70%-(DS9+Forecasts!DT52*60%)*35%</f>
        <v>5151248.8375550387</v>
      </c>
      <c r="DU9" s="197">
        <f>DT9+Forecasts!DU52*70%-(DT9+Forecasts!DU52*60%)*35%</f>
        <v>5542555.9511282165</v>
      </c>
      <c r="DV9" s="196">
        <f t="shared" ref="DV9:DV14" si="41">DU9</f>
        <v>5542555.9511282165</v>
      </c>
      <c r="DW9" s="197">
        <f>DV9+Forecasts!DW52*70%-(DV9+Forecasts!DW52*60%)*35%</f>
        <v>5724483.4292811379</v>
      </c>
      <c r="DX9" s="197">
        <f>DW9+Forecasts!DX52*70%-(DW9+Forecasts!DX52*60%)*35%</f>
        <v>5910315.6064459682</v>
      </c>
      <c r="DY9" s="197">
        <f>DX9+Forecasts!DY52*70%-(DX9+Forecasts!DY52*60%)*35%</f>
        <v>5881704.9101794194</v>
      </c>
      <c r="DZ9" s="197">
        <f>DY9+Forecasts!DZ52*70%-(DY9+Forecasts!DZ52*60%)*35%</f>
        <v>5828029.3286435399</v>
      </c>
      <c r="EA9" s="196">
        <f t="shared" ref="EA9:EA14" si="42">DZ9</f>
        <v>5828029.3286435399</v>
      </c>
      <c r="EB9" s="197">
        <f>EA9+Forecasts!EB52*70%-(EA9+Forecasts!EB52*60%)*35%</f>
        <v>5725470.4989853371</v>
      </c>
      <c r="EC9" s="197">
        <f>EB9+Forecasts!EC52*70%-(EB9+Forecasts!EC52*60%)*35%</f>
        <v>5762939.0704506673</v>
      </c>
      <c r="ED9" s="197">
        <f>EC9+Forecasts!ED52*70%-(EC9+Forecasts!ED52*60%)*35%</f>
        <v>5793644.9955381639</v>
      </c>
      <c r="EE9" s="197">
        <f>ED9+Forecasts!EE52*70%-(ED9+Forecasts!EE52*60%)*35%</f>
        <v>5736866.5180746783</v>
      </c>
      <c r="EF9" s="196">
        <f t="shared" ref="EF9:EF14" si="43">EE9</f>
        <v>5736866.5180746783</v>
      </c>
    </row>
    <row r="10" spans="1:200" outlineLevel="1">
      <c r="A10" s="195" t="s">
        <v>130</v>
      </c>
      <c r="B10" s="197">
        <f t="shared" ref="B10:J10" si="44">+B8</f>
        <v>239835</v>
      </c>
      <c r="C10" s="197">
        <f t="shared" si="44"/>
        <v>170650</v>
      </c>
      <c r="D10" s="197">
        <f t="shared" si="44"/>
        <v>179516</v>
      </c>
      <c r="E10" s="197">
        <f t="shared" si="44"/>
        <v>433076</v>
      </c>
      <c r="F10" s="196">
        <f>E10</f>
        <v>433076</v>
      </c>
      <c r="G10" s="197">
        <f t="shared" si="44"/>
        <v>427218</v>
      </c>
      <c r="H10" s="197">
        <f t="shared" si="44"/>
        <v>421360</v>
      </c>
      <c r="I10" s="197">
        <f t="shared" si="44"/>
        <v>484606</v>
      </c>
      <c r="J10" s="197">
        <f t="shared" si="44"/>
        <v>461220</v>
      </c>
      <c r="K10" s="196">
        <f>J10</f>
        <v>461220</v>
      </c>
      <c r="L10" s="197">
        <f>+L8</f>
        <v>537025</v>
      </c>
      <c r="M10" s="197">
        <f>+M8</f>
        <v>645779</v>
      </c>
      <c r="N10" s="197">
        <f>+N8</f>
        <v>685837</v>
      </c>
      <c r="O10" s="197">
        <f>+O8</f>
        <v>865273</v>
      </c>
      <c r="P10" s="196">
        <f t="shared" si="15"/>
        <v>865273</v>
      </c>
      <c r="Q10" s="197">
        <f>+Q8</f>
        <v>938256</v>
      </c>
      <c r="R10" s="197">
        <f>+R8</f>
        <v>1016199</v>
      </c>
      <c r="S10" s="197">
        <f>+S8</f>
        <v>1166943</v>
      </c>
      <c r="T10" s="197">
        <f>1466592-T9</f>
        <v>928907</v>
      </c>
      <c r="U10" s="196">
        <f t="shared" si="16"/>
        <v>928907</v>
      </c>
      <c r="V10" s="197">
        <f>1647762-V9</f>
        <v>1077829</v>
      </c>
      <c r="W10" s="197">
        <f>843413+1166869-W9</f>
        <v>1454239</v>
      </c>
      <c r="X10" s="197">
        <f>1374761+884317-X9</f>
        <v>1769881</v>
      </c>
      <c r="Y10" s="197">
        <f>1714066+946966-Y9</f>
        <v>2088069</v>
      </c>
      <c r="Z10" s="196">
        <f t="shared" si="21"/>
        <v>2088069</v>
      </c>
      <c r="AA10" s="197">
        <f>2838677-AA9</f>
        <v>2007585</v>
      </c>
      <c r="AB10" s="197">
        <f>1908685+1332702-AB9</f>
        <v>2355831</v>
      </c>
      <c r="AC10" s="197">
        <f>3879132-AC9</f>
        <v>3113784</v>
      </c>
      <c r="AD10" s="197">
        <f>2812154+1736802-AD9</f>
        <v>3231335</v>
      </c>
      <c r="AE10" s="196">
        <f t="shared" si="22"/>
        <v>3231335</v>
      </c>
      <c r="AF10" s="197">
        <f>3391335+1835368-AF9</f>
        <v>3787036</v>
      </c>
      <c r="AG10" s="197">
        <f>3616142+1919069-AG9</f>
        <v>4106433</v>
      </c>
      <c r="AH10" s="197">
        <f>3721807+2113542-AH9</f>
        <v>4408547</v>
      </c>
      <c r="AI10" s="197">
        <f>6005084-AI9</f>
        <v>4158712</v>
      </c>
      <c r="AJ10" s="196">
        <f t="shared" si="23"/>
        <v>4158712</v>
      </c>
      <c r="AK10" s="197">
        <f>4347295+46346</f>
        <v>4393641</v>
      </c>
      <c r="AL10" s="197">
        <f>6165232-AL9+43203</f>
        <v>4657269</v>
      </c>
      <c r="AM10" s="197">
        <f>6235639-AM9</f>
        <v>4630767</v>
      </c>
      <c r="AN10" s="197">
        <f>6409068-AN9</f>
        <v>4745922</v>
      </c>
      <c r="AO10" s="196">
        <f t="shared" si="24"/>
        <v>4745922</v>
      </c>
      <c r="AP10" s="197">
        <f>6566617-AP9</f>
        <v>4817739</v>
      </c>
      <c r="AQ10" s="197">
        <f>4514491+56856</f>
        <v>4571347</v>
      </c>
      <c r="AR10" s="197">
        <f>6433064-AR9</f>
        <v>4357157</v>
      </c>
      <c r="AS10" s="197">
        <f>5838901-AS9+61749</f>
        <v>3989246</v>
      </c>
      <c r="AT10" s="196">
        <f t="shared" si="25"/>
        <v>3989246</v>
      </c>
      <c r="AU10" s="197">
        <f>5708739-AU9</f>
        <v>3922491</v>
      </c>
      <c r="AV10" s="197">
        <f>5746013-AV9</f>
        <v>3813837</v>
      </c>
      <c r="AW10" s="197">
        <f>3940730+132225</f>
        <v>4072955</v>
      </c>
      <c r="AX10" s="197">
        <f>5622358-AX9</f>
        <v>3967675</v>
      </c>
      <c r="AY10" s="196">
        <f t="shared" si="26"/>
        <v>3967675</v>
      </c>
      <c r="AZ10" s="197">
        <f>5382715-AZ9</f>
        <v>4081996</v>
      </c>
      <c r="BA10" s="197">
        <f>5352790-BA9</f>
        <v>3700244</v>
      </c>
      <c r="BB10" s="197">
        <f>5075277-BB9</f>
        <v>3669735</v>
      </c>
      <c r="BC10" s="197">
        <f>4929986-BC9</f>
        <v>3293202</v>
      </c>
      <c r="BD10" s="196">
        <f t="shared" si="27"/>
        <v>3293202</v>
      </c>
      <c r="BE10" s="197">
        <f>4496726-BE9</f>
        <v>3114894</v>
      </c>
      <c r="BF10" s="305">
        <f>4157027-BF9</f>
        <v>2641595</v>
      </c>
      <c r="BG10" s="197">
        <f>4025882-BG9</f>
        <v>2684352</v>
      </c>
      <c r="BH10" s="197">
        <f>3846292-BH9</f>
        <v>2688781</v>
      </c>
      <c r="BI10" s="196">
        <f t="shared" si="28"/>
        <v>2688781</v>
      </c>
      <c r="BJ10" s="197">
        <f>3933676-BJ9</f>
        <v>2556387</v>
      </c>
      <c r="BK10" s="197">
        <f>3580176-BK9</f>
        <v>2441022</v>
      </c>
      <c r="BL10" s="197">
        <f>3566502-BL9</f>
        <v>2467591</v>
      </c>
      <c r="BM10" s="305">
        <f>3379792-BM9</f>
        <v>2093095</v>
      </c>
      <c r="BN10" s="196">
        <f t="shared" si="29"/>
        <v>2093095</v>
      </c>
      <c r="BO10" s="197">
        <f>3261831-BO9</f>
        <v>1942691</v>
      </c>
      <c r="BP10" s="197">
        <f>2939202-BP9</f>
        <v>1992912</v>
      </c>
      <c r="BQ10" s="197">
        <f>2699093-BQ9</f>
        <v>1751360</v>
      </c>
      <c r="BR10" s="305">
        <f>2667234-BR9</f>
        <v>1268159</v>
      </c>
      <c r="BS10" s="196">
        <f t="shared" si="30"/>
        <v>1268159</v>
      </c>
      <c r="BT10" s="305">
        <f>2270779-BT9</f>
        <v>892810</v>
      </c>
      <c r="BU10" s="197">
        <f>2141537-BU9</f>
        <v>991341</v>
      </c>
      <c r="BV10" s="197">
        <f>2125099-BV9</f>
        <v>965716</v>
      </c>
      <c r="BW10" s="197">
        <f>1948816-BW9</f>
        <v>892268</v>
      </c>
      <c r="BX10" s="196">
        <f t="shared" si="31"/>
        <v>892268</v>
      </c>
      <c r="BY10" s="197">
        <f>1969463-BY9</f>
        <v>908046</v>
      </c>
      <c r="BZ10" s="197">
        <f>1426752+524435-BZ9</f>
        <v>1034643</v>
      </c>
      <c r="CA10" s="197">
        <f>1295257+654710-CA9</f>
        <v>1017929</v>
      </c>
      <c r="CB10" s="197">
        <f>1251679+817795-CB9</f>
        <v>967040</v>
      </c>
      <c r="CC10" s="196">
        <f t="shared" si="32"/>
        <v>967040</v>
      </c>
      <c r="CD10" s="197">
        <f>1329078+735266-CD9</f>
        <v>1131164</v>
      </c>
      <c r="CE10" s="197">
        <f>1447389+737081-CE9</f>
        <v>1251290</v>
      </c>
      <c r="CF10" s="197">
        <f>1339500+727337-CF9</f>
        <v>1220953</v>
      </c>
      <c r="CG10" s="197">
        <f>1355208+708346-CG9</f>
        <v>1233769</v>
      </c>
      <c r="CH10" s="196">
        <f t="shared" si="33"/>
        <v>1233769</v>
      </c>
      <c r="CI10" s="197">
        <f>1464398+664833-CI9</f>
        <v>1424018</v>
      </c>
      <c r="CJ10" s="197">
        <f>1518593+642806-CJ9</f>
        <v>1346090</v>
      </c>
      <c r="CK10" s="197">
        <f>1649122+612418-CK9</f>
        <v>1436579</v>
      </c>
      <c r="CL10" s="197">
        <f>1724412+609232-CL9</f>
        <v>1427250</v>
      </c>
      <c r="CM10" s="196">
        <f t="shared" si="34"/>
        <v>1427250</v>
      </c>
      <c r="CN10" s="197">
        <f>1844753+557537-CN9</f>
        <v>1503146</v>
      </c>
      <c r="CO10" s="197">
        <f>1912589+587395-CO9</f>
        <v>1734578</v>
      </c>
      <c r="CP10" s="197">
        <f>2005263+706091-CP9</f>
        <v>1868051</v>
      </c>
      <c r="CQ10" s="197">
        <f>2150674+558334-CQ9</f>
        <v>1877875</v>
      </c>
      <c r="CR10" s="196">
        <f t="shared" si="35"/>
        <v>1877875</v>
      </c>
      <c r="CS10" s="197">
        <f>2121430+544623-CS9</f>
        <v>1854922</v>
      </c>
      <c r="CT10" s="197">
        <f>2316701+643587-CT9</f>
        <v>2170027</v>
      </c>
      <c r="CU10" s="197">
        <f>2569020+629874-CU9</f>
        <v>2281193</v>
      </c>
      <c r="CV10" s="197">
        <f>2857730+596982-CV9</f>
        <v>2307838</v>
      </c>
      <c r="CW10" s="196">
        <f t="shared" si="36"/>
        <v>2307838</v>
      </c>
      <c r="CX10" s="197">
        <f>2911257+723858-CX9</f>
        <v>2693116</v>
      </c>
      <c r="CY10" s="197">
        <f>3150670+842387-CY9</f>
        <v>3026096</v>
      </c>
      <c r="CZ10" s="197">
        <f>3351383+963383-CZ9</f>
        <v>3383255</v>
      </c>
      <c r="DA10" s="197">
        <f>3700652+1076047-DA9</f>
        <v>3586068</v>
      </c>
      <c r="DB10" s="196">
        <f t="shared" si="37"/>
        <v>3586068</v>
      </c>
      <c r="DC10" s="197">
        <f>3770590+1121591-DC9</f>
        <v>3914048</v>
      </c>
      <c r="DD10" s="197">
        <f>3949072+1340427-DD9</f>
        <v>4271472</v>
      </c>
      <c r="DE10" s="197">
        <f>3942075+1426973-DE9</f>
        <v>4222499</v>
      </c>
      <c r="DF10" s="197">
        <f>4577860+1536510-DF9</f>
        <v>4609364</v>
      </c>
      <c r="DG10" s="196">
        <f t="shared" si="38"/>
        <v>4609364</v>
      </c>
      <c r="DH10" s="197">
        <f>4914649+1396784-DH9</f>
        <v>4961639</v>
      </c>
      <c r="DI10" s="197">
        <f>5156483+1367984-DI9</f>
        <v>4961221</v>
      </c>
      <c r="DJ10" s="376">
        <f>DJ66</f>
        <v>4580739.185654005</v>
      </c>
      <c r="DK10" s="376">
        <f>DK66</f>
        <v>4482047.4697249262</v>
      </c>
      <c r="DL10" s="196">
        <f t="shared" si="39"/>
        <v>4482047.4697249262</v>
      </c>
      <c r="DM10" s="376">
        <f>DM66</f>
        <v>4387107.3118828228</v>
      </c>
      <c r="DN10" s="376">
        <f>DN66</f>
        <v>4580488.4195804438</v>
      </c>
      <c r="DO10" s="376">
        <f>DO66</f>
        <v>4724279.9673374938</v>
      </c>
      <c r="DP10" s="376">
        <f>DP66</f>
        <v>4856256.551239931</v>
      </c>
      <c r="DQ10" s="196">
        <f t="shared" si="40"/>
        <v>4856256.551239931</v>
      </c>
      <c r="DR10" s="376">
        <f>DR66</f>
        <v>4984004.2899400163</v>
      </c>
      <c r="DS10" s="376">
        <f>DS66</f>
        <v>5105168.3191394499</v>
      </c>
      <c r="DT10" s="376">
        <f>DT66</f>
        <v>5222811.670651596</v>
      </c>
      <c r="DU10" s="376">
        <f>DU66</f>
        <v>5340589.5578818899</v>
      </c>
      <c r="DV10" s="196">
        <f t="shared" si="41"/>
        <v>5340589.5578818899</v>
      </c>
      <c r="DW10" s="376">
        <f>DW66</f>
        <v>5447904.76668288</v>
      </c>
      <c r="DX10" s="376">
        <f>DX66</f>
        <v>5554438.0513372086</v>
      </c>
      <c r="DY10" s="376">
        <f>DY66</f>
        <v>5659239.8445728058</v>
      </c>
      <c r="DZ10" s="376">
        <f>DZ66</f>
        <v>5766480.3914200244</v>
      </c>
      <c r="EA10" s="196">
        <f t="shared" si="42"/>
        <v>5766480.3914200244</v>
      </c>
      <c r="EB10" s="376">
        <f>EB66</f>
        <v>5866505.1268226607</v>
      </c>
      <c r="EC10" s="376">
        <f>EC66</f>
        <v>5966647.7115764162</v>
      </c>
      <c r="ED10" s="376">
        <f>ED66</f>
        <v>6065771.1202562395</v>
      </c>
      <c r="EE10" s="376">
        <f>EE66</f>
        <v>6167015.5529327011</v>
      </c>
      <c r="EF10" s="196">
        <f t="shared" si="43"/>
        <v>6167015.5529327011</v>
      </c>
    </row>
    <row r="11" spans="1:200">
      <c r="A11" s="71" t="s">
        <v>83</v>
      </c>
      <c r="B11" s="79">
        <f>SUM(B12:B14)</f>
        <v>161747</v>
      </c>
      <c r="C11" s="79">
        <f>SUM(C12:C14)</f>
        <v>165865</v>
      </c>
      <c r="D11" s="79">
        <f>SUM(D12:D14)</f>
        <v>191293</v>
      </c>
      <c r="E11" s="79">
        <f>SUM(E12:E14)</f>
        <v>428974</v>
      </c>
      <c r="F11" s="89">
        <f t="shared" si="13"/>
        <v>428974</v>
      </c>
      <c r="G11" s="79">
        <f>SUM(G12:G14)</f>
        <v>422664.5</v>
      </c>
      <c r="H11" s="79">
        <f>SUM(H12:H14)</f>
        <v>416355</v>
      </c>
      <c r="I11" s="79">
        <f>SUM(I12:I14)</f>
        <v>420334</v>
      </c>
      <c r="J11" s="79">
        <f>SUM(J12:J14)</f>
        <v>420914</v>
      </c>
      <c r="K11" s="89">
        <f t="shared" si="14"/>
        <v>420914</v>
      </c>
      <c r="L11" s="79">
        <f t="shared" ref="L11:Q11" si="45">SUM(L12:L14)</f>
        <v>498366</v>
      </c>
      <c r="M11" s="79">
        <f t="shared" si="45"/>
        <v>602768</v>
      </c>
      <c r="N11" s="79">
        <f t="shared" si="45"/>
        <v>694536</v>
      </c>
      <c r="O11" s="79">
        <f t="shared" si="45"/>
        <v>976181</v>
      </c>
      <c r="P11" s="89">
        <f t="shared" si="15"/>
        <v>976181</v>
      </c>
      <c r="Q11" s="79">
        <f t="shared" si="45"/>
        <v>1054929</v>
      </c>
      <c r="R11" s="79">
        <f>SUM(R12:R14)</f>
        <v>1107223</v>
      </c>
      <c r="S11" s="79">
        <f>SUM(S12:S14)</f>
        <v>1315168</v>
      </c>
      <c r="T11" s="79">
        <f>SUM(T12:T14)</f>
        <v>1600296</v>
      </c>
      <c r="U11" s="89">
        <f t="shared" si="16"/>
        <v>1600296</v>
      </c>
      <c r="V11" s="79">
        <f>SUM(V12:V14)</f>
        <v>1493418</v>
      </c>
      <c r="W11" s="79">
        <f>SUM(W12:W14)</f>
        <v>1639469</v>
      </c>
      <c r="X11" s="79">
        <f>SUM(X12:X14)</f>
        <v>2078369</v>
      </c>
      <c r="Y11" s="79">
        <f>SUM(Y12:Y14)</f>
        <v>2925861</v>
      </c>
      <c r="Z11" s="89">
        <f t="shared" si="21"/>
        <v>2925861</v>
      </c>
      <c r="AA11" s="79">
        <f>SUM(AA12:AA14)</f>
        <v>3077094</v>
      </c>
      <c r="AB11" s="79">
        <f>SUM(AB12:AB14)</f>
        <v>2993129</v>
      </c>
      <c r="AC11" s="79">
        <f>SUM(AC12:AC14)</f>
        <v>3147626</v>
      </c>
      <c r="AD11" s="79">
        <f>SUM(AD12:AD14)</f>
        <v>3361755</v>
      </c>
      <c r="AE11" s="89">
        <f t="shared" si="22"/>
        <v>3361755</v>
      </c>
      <c r="AF11" s="79">
        <f>SUM(AF12:AF14)</f>
        <v>3252784</v>
      </c>
      <c r="AG11" s="79">
        <f>SUM(AG12:AG14)</f>
        <v>3507131</v>
      </c>
      <c r="AH11" s="79">
        <f>SUM(AH12:AH14)</f>
        <v>3605562</v>
      </c>
      <c r="AI11" s="79">
        <f>SUM(AI12:AI14)</f>
        <v>3829315</v>
      </c>
      <c r="AJ11" s="89">
        <f t="shared" si="23"/>
        <v>3829315</v>
      </c>
      <c r="AK11" s="79">
        <f>SUM(AK12:AK14)</f>
        <v>3937522</v>
      </c>
      <c r="AL11" s="79">
        <f>SUM(AL12:AL14)</f>
        <v>4002142</v>
      </c>
      <c r="AM11" s="79">
        <f>SUM(AM12:AM14)</f>
        <v>4321598</v>
      </c>
      <c r="AN11" s="79">
        <f>SUM(AN12:AN14)</f>
        <v>3924028</v>
      </c>
      <c r="AO11" s="89">
        <f t="shared" si="24"/>
        <v>3924028</v>
      </c>
      <c r="AP11" s="79">
        <f>SUM(AP12:AP14)</f>
        <v>3786501</v>
      </c>
      <c r="AQ11" s="79">
        <f>SUM(AQ12:AQ14)</f>
        <v>3967465</v>
      </c>
      <c r="AR11" s="79">
        <f>SUM(AR12:AR14)</f>
        <v>4019502</v>
      </c>
      <c r="AS11" s="79">
        <f>SUM(AS12:AS14)</f>
        <v>3784244</v>
      </c>
      <c r="AT11" s="89">
        <f t="shared" si="25"/>
        <v>3784244</v>
      </c>
      <c r="AU11" s="79">
        <f>SUM(AU12:AU14)</f>
        <v>3828932</v>
      </c>
      <c r="AV11" s="79">
        <f>SUM(AV12:AV14)</f>
        <v>4020093</v>
      </c>
      <c r="AW11" s="79">
        <f>SUM(AW12:AW14)</f>
        <v>4243762</v>
      </c>
      <c r="AX11" s="79">
        <f>SUM(AX12:AX14)</f>
        <v>4780612</v>
      </c>
      <c r="AY11" s="89">
        <f t="shared" si="26"/>
        <v>4780612</v>
      </c>
      <c r="AZ11" s="79">
        <f>SUM(AZ12:AZ14)</f>
        <v>4687658</v>
      </c>
      <c r="BA11" s="79">
        <f>SUM(BA12:BA14)</f>
        <v>4692966</v>
      </c>
      <c r="BB11" s="79">
        <f>SUM(BB12:BB14)</f>
        <v>5079653</v>
      </c>
      <c r="BC11" s="79">
        <f>SUM(BC12:BC14)</f>
        <v>5112949</v>
      </c>
      <c r="BD11" s="89">
        <f t="shared" si="27"/>
        <v>5112949</v>
      </c>
      <c r="BE11" s="79">
        <f>SUM(BE12:BE14)</f>
        <v>5203216</v>
      </c>
      <c r="BF11" s="79">
        <f>SUM(BF12:BF14)</f>
        <v>5300504</v>
      </c>
      <c r="BG11" s="79">
        <f>SUM(BG12:BG14)</f>
        <v>5272654</v>
      </c>
      <c r="BH11" s="79">
        <f>SUM(BH12:BH14)</f>
        <v>5093614</v>
      </c>
      <c r="BI11" s="89">
        <f t="shared" si="28"/>
        <v>5093614</v>
      </c>
      <c r="BJ11" s="79">
        <f>SUM(BJ12:BJ14)</f>
        <v>5040556</v>
      </c>
      <c r="BK11" s="79">
        <f>SUM(BK12:BK14)</f>
        <v>5275596</v>
      </c>
      <c r="BL11" s="79">
        <f>SUM(BL12:BL14)</f>
        <v>5333674</v>
      </c>
      <c r="BM11" s="79">
        <f>SUM(BM12:BM14)</f>
        <v>5071860</v>
      </c>
      <c r="BN11" s="89">
        <f t="shared" si="29"/>
        <v>5071860</v>
      </c>
      <c r="BO11" s="79">
        <f>SUM(BO12:BO14)</f>
        <v>4996311</v>
      </c>
      <c r="BP11" s="79">
        <f>SUM(BP12:BP14)</f>
        <v>5109951</v>
      </c>
      <c r="BQ11" s="79">
        <f>SUM(BQ12:BQ14)</f>
        <v>5072721</v>
      </c>
      <c r="BR11" s="79">
        <f>SUM(BR12:BR14)</f>
        <v>4749755</v>
      </c>
      <c r="BS11" s="89">
        <f t="shared" si="30"/>
        <v>4749755</v>
      </c>
      <c r="BT11" s="79">
        <f>SUM(BT12:BT14)</f>
        <v>4569552</v>
      </c>
      <c r="BU11" s="79">
        <f>SUM(BU12:BU14)</f>
        <v>4683707</v>
      </c>
      <c r="BV11" s="79">
        <f>SUM(BV12:BV14)</f>
        <v>4685408</v>
      </c>
      <c r="BW11" s="79">
        <f>SUM(BW12:BW14)</f>
        <v>4716922</v>
      </c>
      <c r="BX11" s="89">
        <f t="shared" si="31"/>
        <v>4716922</v>
      </c>
      <c r="BY11" s="79">
        <f>SUM(BY12:BY14)</f>
        <v>4788447</v>
      </c>
      <c r="BZ11" s="79">
        <f>SUM(BZ12:BZ14)</f>
        <v>4768032</v>
      </c>
      <c r="CA11" s="79">
        <f>SUM(CA12:CA14)</f>
        <v>4649554</v>
      </c>
      <c r="CB11" s="79">
        <f>SUM(CB12:CB14)</f>
        <v>4633748</v>
      </c>
      <c r="CC11" s="89">
        <f t="shared" si="32"/>
        <v>4633748</v>
      </c>
      <c r="CD11" s="79">
        <f>SUM(CD12:CD14)</f>
        <v>4869644</v>
      </c>
      <c r="CE11" s="79">
        <f>SUM(CE12:CE14)</f>
        <v>5004233</v>
      </c>
      <c r="CF11" s="79">
        <f>SUM(CF12:CF14)</f>
        <v>3895852</v>
      </c>
      <c r="CG11" s="79">
        <f>SUM(CG12:CG14)</f>
        <v>4041587</v>
      </c>
      <c r="CH11" s="89">
        <f t="shared" si="33"/>
        <v>4041587</v>
      </c>
      <c r="CI11" s="79">
        <f>SUM(CI12:CI14)</f>
        <v>4055034</v>
      </c>
      <c r="CJ11" s="79">
        <f>SUM(CJ12:CJ14)</f>
        <v>4402802</v>
      </c>
      <c r="CK11" s="79">
        <f>SUM(CK12:CK14)</f>
        <v>4781690</v>
      </c>
      <c r="CL11" s="79">
        <f>SUM(CL12:CL14)</f>
        <v>4985284</v>
      </c>
      <c r="CM11" s="89">
        <f t="shared" si="34"/>
        <v>4985284</v>
      </c>
      <c r="CN11" s="79">
        <f>SUM(CN12:CN14)</f>
        <v>5241849</v>
      </c>
      <c r="CO11" s="79">
        <f>SUM(CO12:CO14)</f>
        <v>5127490</v>
      </c>
      <c r="CP11" s="79">
        <f>SUM(CP12:CP14)</f>
        <v>5416782</v>
      </c>
      <c r="CQ11" s="79">
        <f>SUM(CQ12:CQ14)</f>
        <v>5552858</v>
      </c>
      <c r="CR11" s="89">
        <f t="shared" si="35"/>
        <v>5552858</v>
      </c>
      <c r="CS11" s="79">
        <f>SUM(CS12:CS14)</f>
        <v>5516096</v>
      </c>
      <c r="CT11" s="79">
        <f>SUM(CT12:CT14)</f>
        <v>5479397</v>
      </c>
      <c r="CU11" s="79">
        <f>SUM(CU12:CU14)</f>
        <v>5414541</v>
      </c>
      <c r="CV11" s="79">
        <f>SUM(CV12:CV14)</f>
        <v>5356505</v>
      </c>
      <c r="CW11" s="89">
        <f t="shared" si="36"/>
        <v>5356505</v>
      </c>
      <c r="CX11" s="79">
        <f>SUM(CX12:CX14)</f>
        <v>5114601</v>
      </c>
      <c r="CY11" s="79">
        <f>SUM(CY12:CY14)</f>
        <v>4935086</v>
      </c>
      <c r="CZ11" s="79">
        <f>SUM(CZ12:CZ14)</f>
        <v>5589863</v>
      </c>
      <c r="DA11" s="79">
        <f>SUM(DA12:DA14)</f>
        <v>6479798</v>
      </c>
      <c r="DB11" s="89">
        <f t="shared" si="37"/>
        <v>6479798</v>
      </c>
      <c r="DC11" s="79">
        <f>SUM(DC12:DC14)</f>
        <v>6831861</v>
      </c>
      <c r="DD11" s="79">
        <f>SUM(DD12:DD14)</f>
        <v>7356502</v>
      </c>
      <c r="DE11" s="79">
        <f>SUM(DE12:DE14)</f>
        <v>7601083</v>
      </c>
      <c r="DF11" s="79">
        <f>SUM(DF12:DF14)</f>
        <v>7830188</v>
      </c>
      <c r="DG11" s="89">
        <f t="shared" si="38"/>
        <v>7830188</v>
      </c>
      <c r="DH11" s="79">
        <f>SUM(DH12:DH14)</f>
        <v>8004783</v>
      </c>
      <c r="DI11" s="79">
        <f>SUM(DI12:DI14)</f>
        <v>8092376</v>
      </c>
      <c r="DJ11" s="79">
        <f>SUM(DJ12:DJ14)</f>
        <v>7653538.3815283244</v>
      </c>
      <c r="DK11" s="79">
        <f>SUM(DK12:DK14)</f>
        <v>7978210.5676797768</v>
      </c>
      <c r="DL11" s="89">
        <f t="shared" si="39"/>
        <v>7978210.5676797768</v>
      </c>
      <c r="DM11" s="79">
        <f>SUM(DM12:DM14)</f>
        <v>7788957.1609936906</v>
      </c>
      <c r="DN11" s="79">
        <f>SUM(DN12:DN14)</f>
        <v>7772275.8915736033</v>
      </c>
      <c r="DO11" s="79">
        <f>SUM(DO12:DO14)</f>
        <v>7917522.6120449165</v>
      </c>
      <c r="DP11" s="79">
        <f>SUM(DP12:DP14)</f>
        <v>8172373.0414042417</v>
      </c>
      <c r="DQ11" s="89">
        <f t="shared" si="40"/>
        <v>8172373.0414042417</v>
      </c>
      <c r="DR11" s="79">
        <f>SUM(DR12:DR14)</f>
        <v>8042169.7638526661</v>
      </c>
      <c r="DS11" s="79">
        <f>SUM(DS12:DS14)</f>
        <v>8070535.1548896022</v>
      </c>
      <c r="DT11" s="79">
        <f>SUM(DT12:DT14)</f>
        <v>8248890.6256986568</v>
      </c>
      <c r="DU11" s="79">
        <f>SUM(DU12:DU14)</f>
        <v>8545271.3984359186</v>
      </c>
      <c r="DV11" s="89">
        <f t="shared" si="41"/>
        <v>8545271.3984359186</v>
      </c>
      <c r="DW11" s="79">
        <f>SUM(DW12:DW14)</f>
        <v>8415500.1503540538</v>
      </c>
      <c r="DX11" s="79">
        <f>SUM(DX12:DX14)</f>
        <v>8448692.4454899877</v>
      </c>
      <c r="DY11" s="79">
        <f>SUM(DY12:DY14)</f>
        <v>8624713.6216191519</v>
      </c>
      <c r="DZ11" s="79">
        <f>SUM(DZ12:DZ14)</f>
        <v>8907059.8799034804</v>
      </c>
      <c r="EA11" s="89">
        <f t="shared" si="42"/>
        <v>8907059.8799034804</v>
      </c>
      <c r="EB11" s="79">
        <f>SUM(EB12:EB14)</f>
        <v>8745324.152847277</v>
      </c>
      <c r="EC11" s="79">
        <f>SUM(EC12:EC14)</f>
        <v>8756179.2291174848</v>
      </c>
      <c r="ED11" s="79">
        <f>SUM(ED12:ED14)</f>
        <v>8927205.2059217636</v>
      </c>
      <c r="EE11" s="79">
        <f>SUM(EE12:EE14)</f>
        <v>9208168.3683059365</v>
      </c>
      <c r="EF11" s="89">
        <f t="shared" si="43"/>
        <v>9208168.3683059365</v>
      </c>
    </row>
    <row r="12" spans="1:200" s="200" customFormat="1" ht="12" customHeight="1" outlineLevel="1" collapsed="1">
      <c r="A12" s="195" t="s">
        <v>19</v>
      </c>
      <c r="B12" s="197">
        <v>26909</v>
      </c>
      <c r="C12" s="197">
        <v>56095</v>
      </c>
      <c r="D12" s="197">
        <v>53469</v>
      </c>
      <c r="E12" s="197">
        <v>428974</v>
      </c>
      <c r="F12" s="199">
        <f t="shared" si="13"/>
        <v>428974</v>
      </c>
      <c r="G12" s="197">
        <f>AVERAGE(E12,H12)</f>
        <v>422664.5</v>
      </c>
      <c r="H12" s="197">
        <f>416355-H13-H14</f>
        <v>416355</v>
      </c>
      <c r="I12" s="197">
        <f>420334-I13-I14</f>
        <v>420334</v>
      </c>
      <c r="J12" s="197">
        <f>420914-J13-J14</f>
        <v>420914</v>
      </c>
      <c r="K12" s="199">
        <f t="shared" si="14"/>
        <v>420914</v>
      </c>
      <c r="L12" s="197">
        <v>250360</v>
      </c>
      <c r="M12" s="197">
        <v>314022</v>
      </c>
      <c r="N12" s="197">
        <v>400959</v>
      </c>
      <c r="O12" s="197">
        <v>536610</v>
      </c>
      <c r="P12" s="199">
        <f t="shared" si="15"/>
        <v>536610</v>
      </c>
      <c r="Q12" s="197">
        <v>744444</v>
      </c>
      <c r="R12" s="197">
        <v>774654</v>
      </c>
      <c r="S12" s="197">
        <v>874853</v>
      </c>
      <c r="T12" s="197">
        <v>998970</v>
      </c>
      <c r="U12" s="199">
        <f t="shared" si="16"/>
        <v>998970</v>
      </c>
      <c r="V12" s="197">
        <v>803460</v>
      </c>
      <c r="W12" s="197">
        <v>1011397</v>
      </c>
      <c r="X12" s="197">
        <v>1405111</v>
      </c>
      <c r="Y12" s="197">
        <v>2152197</v>
      </c>
      <c r="Z12" s="199">
        <f t="shared" si="21"/>
        <v>2152197</v>
      </c>
      <c r="AA12" s="197">
        <v>2159759</v>
      </c>
      <c r="AB12" s="197">
        <f>1660312+1332817-AB13-AB14</f>
        <v>2028129</v>
      </c>
      <c r="AC12" s="197">
        <v>2078563</v>
      </c>
      <c r="AD12" s="197">
        <v>2255987</v>
      </c>
      <c r="AE12" s="199">
        <f t="shared" si="22"/>
        <v>2255987</v>
      </c>
      <c r="AF12" s="197">
        <v>2278854</v>
      </c>
      <c r="AG12" s="197">
        <v>2455086</v>
      </c>
      <c r="AH12" s="197">
        <v>2447754</v>
      </c>
      <c r="AI12" s="197">
        <f>2209964</f>
        <v>2209964</v>
      </c>
      <c r="AJ12" s="199">
        <f t="shared" si="23"/>
        <v>2209964</v>
      </c>
      <c r="AK12" s="197">
        <f>2326899</f>
        <v>2326899</v>
      </c>
      <c r="AL12" s="197">
        <f>2365503</f>
        <v>2365503</v>
      </c>
      <c r="AM12" s="197">
        <f>2634919</f>
        <v>2634919</v>
      </c>
      <c r="AN12" s="197">
        <f>2115810</f>
        <v>2115810</v>
      </c>
      <c r="AO12" s="196">
        <f t="shared" si="24"/>
        <v>2115810</v>
      </c>
      <c r="AP12" s="197">
        <f>1920830</f>
        <v>1920830</v>
      </c>
      <c r="AQ12" s="197">
        <v>1839493</v>
      </c>
      <c r="AR12" s="197">
        <v>1815393</v>
      </c>
      <c r="AS12" s="197">
        <v>1625205</v>
      </c>
      <c r="AT12" s="196">
        <f t="shared" si="25"/>
        <v>1625205</v>
      </c>
      <c r="AU12" s="197">
        <v>1833609</v>
      </c>
      <c r="AV12" s="197">
        <v>1976594</v>
      </c>
      <c r="AW12" s="197">
        <v>2098822</v>
      </c>
      <c r="AX12" s="197">
        <v>2564632</v>
      </c>
      <c r="AY12" s="196">
        <f t="shared" si="26"/>
        <v>2564632</v>
      </c>
      <c r="AZ12" s="197">
        <v>2336512</v>
      </c>
      <c r="BA12" s="197">
        <v>2262377</v>
      </c>
      <c r="BB12" s="197">
        <v>2459299</v>
      </c>
      <c r="BC12" s="197">
        <v>2443648</v>
      </c>
      <c r="BD12" s="196">
        <f t="shared" si="27"/>
        <v>2443648</v>
      </c>
      <c r="BE12" s="197">
        <v>2405758</v>
      </c>
      <c r="BF12" s="197">
        <v>2311165</v>
      </c>
      <c r="BG12" s="197">
        <v>2233145</v>
      </c>
      <c r="BH12" s="197">
        <v>2124589</v>
      </c>
      <c r="BI12" s="196">
        <f t="shared" si="28"/>
        <v>2124589</v>
      </c>
      <c r="BJ12" s="197">
        <v>2062019</v>
      </c>
      <c r="BK12" s="197">
        <v>2000177</v>
      </c>
      <c r="BL12" s="197">
        <v>2067676</v>
      </c>
      <c r="BM12" s="197">
        <v>1834181</v>
      </c>
      <c r="BN12" s="196">
        <f t="shared" si="29"/>
        <v>1834181</v>
      </c>
      <c r="BO12" s="197">
        <v>1797707</v>
      </c>
      <c r="BP12" s="197">
        <v>2022531</v>
      </c>
      <c r="BQ12" s="197">
        <v>2022820</v>
      </c>
      <c r="BR12" s="197">
        <v>1782213</v>
      </c>
      <c r="BS12" s="196">
        <f t="shared" si="30"/>
        <v>1782213</v>
      </c>
      <c r="BT12" s="197">
        <v>1702481</v>
      </c>
      <c r="BU12" s="197">
        <v>2004012</v>
      </c>
      <c r="BV12" s="197">
        <v>2218341</v>
      </c>
      <c r="BW12" s="197">
        <v>2044316</v>
      </c>
      <c r="BX12" s="196">
        <f t="shared" si="31"/>
        <v>2044316</v>
      </c>
      <c r="BY12" s="197">
        <v>2186899</v>
      </c>
      <c r="BZ12" s="197">
        <v>2191798</v>
      </c>
      <c r="CA12" s="197">
        <v>2163409</v>
      </c>
      <c r="CB12" s="197">
        <v>2249862</v>
      </c>
      <c r="CC12" s="196">
        <f t="shared" si="32"/>
        <v>2249862</v>
      </c>
      <c r="CD12" s="197">
        <v>2537914</v>
      </c>
      <c r="CE12" s="197">
        <v>2660189</v>
      </c>
      <c r="CF12" s="197">
        <v>2011841</v>
      </c>
      <c r="CG12" s="197">
        <v>2311198</v>
      </c>
      <c r="CH12" s="196">
        <f t="shared" si="33"/>
        <v>2311198</v>
      </c>
      <c r="CI12" s="197">
        <v>2193628</v>
      </c>
      <c r="CJ12" s="197">
        <v>2518308</v>
      </c>
      <c r="CK12" s="197">
        <v>2894136</v>
      </c>
      <c r="CL12" s="197">
        <v>2759500</v>
      </c>
      <c r="CM12" s="196">
        <f t="shared" si="34"/>
        <v>2759500</v>
      </c>
      <c r="CN12" s="197">
        <v>2834610</v>
      </c>
      <c r="CO12" s="197">
        <v>2637381</v>
      </c>
      <c r="CP12" s="197">
        <v>2812910</v>
      </c>
      <c r="CQ12" s="197">
        <v>2796707</v>
      </c>
      <c r="CR12" s="196">
        <f t="shared" si="35"/>
        <v>2796707</v>
      </c>
      <c r="CS12" s="197">
        <v>2702290</v>
      </c>
      <c r="CT12" s="197">
        <v>2514954</v>
      </c>
      <c r="CU12" s="197">
        <v>2453070</v>
      </c>
      <c r="CV12" s="197">
        <v>2301868</v>
      </c>
      <c r="CW12" s="196">
        <f t="shared" si="36"/>
        <v>2301868</v>
      </c>
      <c r="CX12" s="197">
        <v>2071612</v>
      </c>
      <c r="CY12" s="197">
        <v>1951507</v>
      </c>
      <c r="CZ12" s="197">
        <v>2544857</v>
      </c>
      <c r="DA12" s="197">
        <v>3151868</v>
      </c>
      <c r="DB12" s="196">
        <f t="shared" si="37"/>
        <v>3151868</v>
      </c>
      <c r="DC12" s="197">
        <v>3441098</v>
      </c>
      <c r="DD12" s="197">
        <v>3896053</v>
      </c>
      <c r="DE12" s="197">
        <v>4140437</v>
      </c>
      <c r="DF12" s="197">
        <v>3221819</v>
      </c>
      <c r="DG12" s="196">
        <f t="shared" si="38"/>
        <v>3221819</v>
      </c>
      <c r="DH12" s="197">
        <v>3266906</v>
      </c>
      <c r="DI12" s="197">
        <v>3222892</v>
      </c>
      <c r="DJ12" s="198">
        <f>DJ73</f>
        <v>3222892</v>
      </c>
      <c r="DK12" s="198">
        <f>DK73</f>
        <v>3320361.9971119398</v>
      </c>
      <c r="DL12" s="196">
        <f t="shared" si="39"/>
        <v>3320361.9971119398</v>
      </c>
      <c r="DM12" s="198">
        <f>DM73</f>
        <v>3320361.9971119398</v>
      </c>
      <c r="DN12" s="198">
        <f>DN73</f>
        <v>3320361.9971119398</v>
      </c>
      <c r="DO12" s="198">
        <f>DO73</f>
        <v>3320361.9971119398</v>
      </c>
      <c r="DP12" s="198">
        <f>DP73</f>
        <v>3320361.9971119398</v>
      </c>
      <c r="DQ12" s="196">
        <f t="shared" si="40"/>
        <v>3320361.9971119398</v>
      </c>
      <c r="DR12" s="198">
        <f>DR73</f>
        <v>3320361.9971119398</v>
      </c>
      <c r="DS12" s="198">
        <f>DS73</f>
        <v>3320361.9971119398</v>
      </c>
      <c r="DT12" s="198">
        <f>DT73</f>
        <v>3320361.9971119398</v>
      </c>
      <c r="DU12" s="198">
        <f>DU73</f>
        <v>3320361.9971119398</v>
      </c>
      <c r="DV12" s="196">
        <f t="shared" si="41"/>
        <v>3320361.9971119398</v>
      </c>
      <c r="DW12" s="198">
        <f>DW73</f>
        <v>3320361.9971119398</v>
      </c>
      <c r="DX12" s="198">
        <f>DX73</f>
        <v>3320361.9971119398</v>
      </c>
      <c r="DY12" s="198">
        <f>DY73</f>
        <v>3320361.9971119398</v>
      </c>
      <c r="DZ12" s="198">
        <f>DZ73</f>
        <v>3320361.9971119398</v>
      </c>
      <c r="EA12" s="196">
        <f t="shared" si="42"/>
        <v>3320361.9971119398</v>
      </c>
      <c r="EB12" s="198">
        <f>EB73</f>
        <v>3320361.9971119398</v>
      </c>
      <c r="EC12" s="198">
        <f>EC73</f>
        <v>3320361.9971119398</v>
      </c>
      <c r="ED12" s="198">
        <f>ED73</f>
        <v>3320361.9971119398</v>
      </c>
      <c r="EE12" s="198">
        <f>EE73</f>
        <v>3320361.9971119398</v>
      </c>
      <c r="EF12" s="196">
        <f t="shared" si="43"/>
        <v>3320361.9971119398</v>
      </c>
    </row>
    <row r="13" spans="1:200" s="200" customFormat="1" ht="12" customHeight="1" outlineLevel="1">
      <c r="A13" s="195" t="s">
        <v>20</v>
      </c>
      <c r="B13" s="197">
        <v>80913</v>
      </c>
      <c r="C13" s="197">
        <v>79900</v>
      </c>
      <c r="D13" s="197">
        <v>77804</v>
      </c>
      <c r="E13" s="197"/>
      <c r="F13" s="199">
        <f t="shared" si="13"/>
        <v>0</v>
      </c>
      <c r="G13" s="197"/>
      <c r="H13" s="197"/>
      <c r="I13" s="197"/>
      <c r="J13" s="197"/>
      <c r="K13" s="199">
        <f t="shared" si="14"/>
        <v>0</v>
      </c>
      <c r="L13" s="197">
        <v>171006</v>
      </c>
      <c r="M13" s="197">
        <v>202109</v>
      </c>
      <c r="N13" s="197">
        <v>216826</v>
      </c>
      <c r="O13" s="197">
        <v>301501</v>
      </c>
      <c r="P13" s="199">
        <f t="shared" si="15"/>
        <v>301501</v>
      </c>
      <c r="Q13" s="197">
        <v>276640</v>
      </c>
      <c r="R13" s="197">
        <v>302064</v>
      </c>
      <c r="S13" s="197">
        <v>397765</v>
      </c>
      <c r="T13" s="197">
        <v>570145</v>
      </c>
      <c r="U13" s="199">
        <f t="shared" si="16"/>
        <v>570145</v>
      </c>
      <c r="V13" s="197">
        <f>611271+53533</f>
        <v>664804</v>
      </c>
      <c r="W13" s="197">
        <f>518068+74834</f>
        <v>592902</v>
      </c>
      <c r="X13" s="197">
        <f>615779+22251</f>
        <v>638030</v>
      </c>
      <c r="Y13" s="197">
        <f>2274240+651621-Y12-Y14</f>
        <v>741143</v>
      </c>
      <c r="Z13" s="199">
        <f t="shared" si="21"/>
        <v>741143</v>
      </c>
      <c r="AA13" s="197">
        <f>3077094-AA12-AA14</f>
        <v>883496</v>
      </c>
      <c r="AB13" s="197">
        <v>928400</v>
      </c>
      <c r="AC13" s="197">
        <f>951563+10800</f>
        <v>962363</v>
      </c>
      <c r="AD13" s="197">
        <f>951476+11716</f>
        <v>963192</v>
      </c>
      <c r="AE13" s="199">
        <f t="shared" si="22"/>
        <v>963192</v>
      </c>
      <c r="AF13" s="197">
        <f>800369+20084</f>
        <v>820453</v>
      </c>
      <c r="AG13" s="197">
        <f>831110+19387</f>
        <v>850497</v>
      </c>
      <c r="AH13" s="197">
        <f>923268+20702</f>
        <v>943970</v>
      </c>
      <c r="AI13" s="197">
        <f>1194874+114510+67111</f>
        <v>1376495</v>
      </c>
      <c r="AJ13" s="199">
        <f t="shared" si="23"/>
        <v>1376495</v>
      </c>
      <c r="AK13" s="197">
        <f>1226882+121956+66580</f>
        <v>1415418</v>
      </c>
      <c r="AL13" s="197">
        <f>1231284+135328+75471</f>
        <v>1442083</v>
      </c>
      <c r="AM13" s="197">
        <f>1134366+134935+53886</f>
        <v>1323187</v>
      </c>
      <c r="AN13" s="197">
        <f>1252538+177509+70931</f>
        <v>1500978</v>
      </c>
      <c r="AO13" s="196">
        <f t="shared" si="24"/>
        <v>1500978</v>
      </c>
      <c r="AP13" s="197">
        <f>1265187+174167+129818</f>
        <v>1569172</v>
      </c>
      <c r="AQ13" s="197">
        <f>1543234+174669+169103</f>
        <v>1887006</v>
      </c>
      <c r="AR13" s="197">
        <f>1362754+181406+168776</f>
        <v>1712936</v>
      </c>
      <c r="AS13" s="197">
        <f>3784244-AS12-AS14</f>
        <v>1772546</v>
      </c>
      <c r="AT13" s="196">
        <f t="shared" si="25"/>
        <v>1772546</v>
      </c>
      <c r="AU13" s="197">
        <f>1281563+173844+190951</f>
        <v>1646358</v>
      </c>
      <c r="AV13" s="197">
        <f>1335810+221770+177435</f>
        <v>1735015</v>
      </c>
      <c r="AW13" s="197">
        <f>4243762-AW12-AW14</f>
        <v>1829995</v>
      </c>
      <c r="AX13" s="197">
        <f>4780612-AX12-AX14</f>
        <v>1807447</v>
      </c>
      <c r="AY13" s="196">
        <f t="shared" si="26"/>
        <v>1807447</v>
      </c>
      <c r="AZ13" s="197">
        <f>4687658-AZ12-AZ14</f>
        <v>1987089</v>
      </c>
      <c r="BA13" s="197">
        <f>4692966-BA12-BA14</f>
        <v>2044752</v>
      </c>
      <c r="BB13" s="197">
        <f>5079653-BB12-BB14</f>
        <v>2232095</v>
      </c>
      <c r="BC13" s="197">
        <f>5112949-BC12-BC14</f>
        <v>2047907</v>
      </c>
      <c r="BD13" s="196">
        <f t="shared" si="27"/>
        <v>2047907</v>
      </c>
      <c r="BE13" s="197">
        <f>5203216-BE12-BE14</f>
        <v>2076785</v>
      </c>
      <c r="BF13" s="197">
        <f>5300504-BF12-BF14</f>
        <v>2226144</v>
      </c>
      <c r="BG13" s="197">
        <f>5272654-BG12-BG14</f>
        <v>2236340</v>
      </c>
      <c r="BH13" s="197">
        <f>5093614-BH12-BH14</f>
        <v>2218252</v>
      </c>
      <c r="BI13" s="196">
        <f t="shared" si="28"/>
        <v>2218252</v>
      </c>
      <c r="BJ13" s="197">
        <f>5040556-BJ12-BJ14</f>
        <v>2219961</v>
      </c>
      <c r="BK13" s="197">
        <f>5275596-BK12-BK14</f>
        <v>2373487</v>
      </c>
      <c r="BL13" s="197">
        <f>5333674-BL12-BL14</f>
        <v>2358509</v>
      </c>
      <c r="BM13" s="197">
        <f>5071860-BM12-BM14</f>
        <v>2303216</v>
      </c>
      <c r="BN13" s="196">
        <f t="shared" si="29"/>
        <v>2303216</v>
      </c>
      <c r="BO13" s="197">
        <f>4996311-BO12-BO14</f>
        <v>2206559</v>
      </c>
      <c r="BP13" s="197">
        <f>5109951-BP12-BP14</f>
        <v>2078814</v>
      </c>
      <c r="BQ13" s="197">
        <f>5072721-BQ12-BQ14</f>
        <v>1987179</v>
      </c>
      <c r="BR13" s="197">
        <f>4749755-BR12-BR14</f>
        <v>1766257</v>
      </c>
      <c r="BS13" s="196">
        <f t="shared" si="30"/>
        <v>1766257</v>
      </c>
      <c r="BT13" s="197">
        <f>4569552-BT12-BT14</f>
        <v>1717662</v>
      </c>
      <c r="BU13" s="197">
        <f>4683707-BU12-BU14</f>
        <v>1119993</v>
      </c>
      <c r="BV13" s="197">
        <f>4685408-BV12-BV14</f>
        <v>757038</v>
      </c>
      <c r="BW13" s="305">
        <f>4716922-BW12-BW14</f>
        <v>1094648</v>
      </c>
      <c r="BX13" s="196">
        <f t="shared" si="31"/>
        <v>1094648</v>
      </c>
      <c r="BY13" s="197">
        <f>4788447-BY12-BY14</f>
        <v>1118238</v>
      </c>
      <c r="BZ13" s="197">
        <f>2891372+1876660-BZ12-BZ14</f>
        <v>1200224</v>
      </c>
      <c r="CA13" s="197">
        <f>1799871+2849683-CA12-CA14</f>
        <v>1253025</v>
      </c>
      <c r="CB13" s="197">
        <f>4633748-CB12-CB14</f>
        <v>1222349</v>
      </c>
      <c r="CC13" s="196">
        <f t="shared" si="32"/>
        <v>1222349</v>
      </c>
      <c r="CD13" s="197">
        <f>4869644-CD12-CD14</f>
        <v>1237154</v>
      </c>
      <c r="CE13" s="197">
        <f>2677079+2327154-CE12-CE14</f>
        <v>1360836</v>
      </c>
      <c r="CF13" s="197">
        <f>1893429+2002423-CF12-CF14</f>
        <v>1016061</v>
      </c>
      <c r="CG13" s="197">
        <f>2700146+1341441-CG12-CG14</f>
        <v>916410</v>
      </c>
      <c r="CH13" s="196">
        <f t="shared" si="33"/>
        <v>916410</v>
      </c>
      <c r="CI13" s="197">
        <f>2599699+1455335-CI12-CI14</f>
        <v>1158145</v>
      </c>
      <c r="CJ13" s="197">
        <f>2898263+1504539-CJ12-CJ14</f>
        <v>1263696</v>
      </c>
      <c r="CK13" s="197">
        <f>3197064+1584626-CK12-CK14</f>
        <v>1361912</v>
      </c>
      <c r="CL13" s="197">
        <f>3498628+1486656-CL12-CL14</f>
        <v>1685660</v>
      </c>
      <c r="CM13" s="196">
        <f t="shared" si="34"/>
        <v>1685660</v>
      </c>
      <c r="CN13" s="197">
        <f>3718513+1523336-CN12-CN14</f>
        <v>1835593</v>
      </c>
      <c r="CO13" s="197">
        <f>3495903+1631587-CO12-CO14</f>
        <v>1900345</v>
      </c>
      <c r="CP13" s="197">
        <f>3112141+2304641-CP12-CP14</f>
        <v>1957465</v>
      </c>
      <c r="CQ13" s="197">
        <f>3821421+1731437-CQ12-CQ14</f>
        <v>2134572</v>
      </c>
      <c r="CR13" s="196">
        <f t="shared" si="35"/>
        <v>2134572</v>
      </c>
      <c r="CS13" s="197">
        <f>3339962+2176134-CS12-CS14</f>
        <v>2198409</v>
      </c>
      <c r="CT13" s="197">
        <f>3267450+2211947-CT12-CT14</f>
        <v>2320232</v>
      </c>
      <c r="CU13" s="197">
        <f>3164365+2250176-CU12-CU14</f>
        <v>2233645</v>
      </c>
      <c r="CV13" s="197">
        <f>3701083+1655422-CV12-CV14</f>
        <v>2282025</v>
      </c>
      <c r="CW13" s="196">
        <f t="shared" si="36"/>
        <v>2282025</v>
      </c>
      <c r="CX13" s="197">
        <f>3732647+1381954-CX12-CX14</f>
        <v>2348379</v>
      </c>
      <c r="CY13" s="197">
        <f>3467659+1467427-CY12-CY14</f>
        <v>2324088</v>
      </c>
      <c r="CZ13" s="197">
        <f>4148898+1440965-CZ12-CZ14</f>
        <v>2396709</v>
      </c>
      <c r="DA13" s="197">
        <f>4763287+1716511-DA12-DA14</f>
        <v>2600662</v>
      </c>
      <c r="DB13" s="196">
        <f t="shared" si="37"/>
        <v>2600662</v>
      </c>
      <c r="DC13" s="197">
        <f>5053128+1778733-DC12-DC14</f>
        <v>2624030</v>
      </c>
      <c r="DD13" s="197">
        <f>5432700+1923802-DD12-DD14</f>
        <v>2508323</v>
      </c>
      <c r="DE13" s="197">
        <f>5692886+1908197-DE12-DE14</f>
        <v>2423455</v>
      </c>
      <c r="DF13" s="197">
        <f>5774781+2055407-DF12-DF14</f>
        <v>3458433</v>
      </c>
      <c r="DG13" s="196">
        <f t="shared" si="38"/>
        <v>3458433</v>
      </c>
      <c r="DH13" s="197">
        <f>5785693+2219090-DH12-DH14</f>
        <v>3578165</v>
      </c>
      <c r="DI13" s="197">
        <f>6054358+2038018-DI12-DI14</f>
        <v>3693567</v>
      </c>
      <c r="DJ13" s="198">
        <f>DJ75</f>
        <v>3341754.8879400417</v>
      </c>
      <c r="DK13" s="198">
        <f>DK75</f>
        <v>3561109.0125835356</v>
      </c>
      <c r="DL13" s="196">
        <f t="shared" si="39"/>
        <v>3561109.0125835356</v>
      </c>
      <c r="DM13" s="198">
        <f>DM75</f>
        <v>3366876.6386933071</v>
      </c>
      <c r="DN13" s="198">
        <f>DN75</f>
        <v>3317940.0518041397</v>
      </c>
      <c r="DO13" s="198">
        <f>DO75</f>
        <v>3412172.7404872705</v>
      </c>
      <c r="DP13" s="198">
        <f>DP75</f>
        <v>3617285.6732209148</v>
      </c>
      <c r="DQ13" s="196">
        <f t="shared" si="40"/>
        <v>3617285.6732209148</v>
      </c>
      <c r="DR13" s="198">
        <f>DR75</f>
        <v>3417272.1785197887</v>
      </c>
      <c r="DS13" s="198">
        <f>DS75</f>
        <v>3378647.7760246159</v>
      </c>
      <c r="DT13" s="198">
        <f>DT75</f>
        <v>3492159.9234660268</v>
      </c>
      <c r="DU13" s="198">
        <f>DU75</f>
        <v>3708275.0966421496</v>
      </c>
      <c r="DV13" s="196">
        <f t="shared" si="41"/>
        <v>3708275.0966421496</v>
      </c>
      <c r="DW13" s="198">
        <f>DW75</f>
        <v>3513654.8238195074</v>
      </c>
      <c r="DX13" s="198">
        <f>DX75</f>
        <v>3481587.1480800272</v>
      </c>
      <c r="DY13" s="198">
        <f>DY75</f>
        <v>3614119.4128114888</v>
      </c>
      <c r="DZ13" s="198">
        <f>DZ75</f>
        <v>3860905.1027728477</v>
      </c>
      <c r="EA13" s="196">
        <f t="shared" si="42"/>
        <v>3860905.1027728477</v>
      </c>
      <c r="EB13" s="198">
        <f>EB75</f>
        <v>3674069.9358239179</v>
      </c>
      <c r="EC13" s="198">
        <f>EC75</f>
        <v>3651709.8212168799</v>
      </c>
      <c r="ED13" s="198">
        <f>ED75</f>
        <v>3792194.0289219404</v>
      </c>
      <c r="EE13" s="198">
        <f>EE75</f>
        <v>4053499.938787262</v>
      </c>
      <c r="EF13" s="196">
        <f t="shared" si="43"/>
        <v>4053499.938787262</v>
      </c>
    </row>
    <row r="14" spans="1:200" s="200" customFormat="1" ht="12" customHeight="1" outlineLevel="1">
      <c r="A14" s="195" t="s">
        <v>21</v>
      </c>
      <c r="B14" s="197">
        <v>53925</v>
      </c>
      <c r="C14" s="197">
        <v>29870</v>
      </c>
      <c r="D14" s="197">
        <v>60020</v>
      </c>
      <c r="E14" s="197"/>
      <c r="F14" s="199">
        <f t="shared" si="13"/>
        <v>0</v>
      </c>
      <c r="G14" s="197"/>
      <c r="H14" s="197"/>
      <c r="I14" s="197"/>
      <c r="J14" s="197"/>
      <c r="K14" s="199">
        <f t="shared" si="14"/>
        <v>0</v>
      </c>
      <c r="L14" s="197">
        <v>77000</v>
      </c>
      <c r="M14" s="197">
        <v>86637</v>
      </c>
      <c r="N14" s="197">
        <v>76751</v>
      </c>
      <c r="O14" s="197">
        <v>138070</v>
      </c>
      <c r="P14" s="199">
        <f t="shared" si="15"/>
        <v>138070</v>
      </c>
      <c r="Q14" s="197">
        <v>33845</v>
      </c>
      <c r="R14" s="197">
        <v>30505</v>
      </c>
      <c r="S14" s="197">
        <v>42550</v>
      </c>
      <c r="T14" s="197">
        <v>31181</v>
      </c>
      <c r="U14" s="199">
        <f t="shared" si="16"/>
        <v>31181</v>
      </c>
      <c r="V14" s="197">
        <v>25154</v>
      </c>
      <c r="W14" s="197">
        <v>35170</v>
      </c>
      <c r="X14" s="197">
        <v>35228</v>
      </c>
      <c r="Y14" s="197">
        <v>32521</v>
      </c>
      <c r="Z14" s="199">
        <f t="shared" si="21"/>
        <v>32521</v>
      </c>
      <c r="AA14" s="197">
        <v>33839</v>
      </c>
      <c r="AB14" s="197">
        <v>36600</v>
      </c>
      <c r="AC14" s="197">
        <v>106700</v>
      </c>
      <c r="AD14" s="197">
        <v>142576</v>
      </c>
      <c r="AE14" s="199">
        <f t="shared" si="22"/>
        <v>142576</v>
      </c>
      <c r="AF14" s="197">
        <v>153477</v>
      </c>
      <c r="AG14" s="197">
        <v>201548</v>
      </c>
      <c r="AH14" s="197">
        <v>213838</v>
      </c>
      <c r="AI14" s="197">
        <v>242856</v>
      </c>
      <c r="AJ14" s="199">
        <f t="shared" si="23"/>
        <v>242856</v>
      </c>
      <c r="AK14" s="305">
        <v>195205</v>
      </c>
      <c r="AL14" s="305">
        <v>194556</v>
      </c>
      <c r="AM14" s="197">
        <v>363492</v>
      </c>
      <c r="AN14" s="197">
        <v>307240</v>
      </c>
      <c r="AO14" s="196">
        <f t="shared" si="24"/>
        <v>307240</v>
      </c>
      <c r="AP14" s="197">
        <v>296499</v>
      </c>
      <c r="AQ14" s="197">
        <v>240966</v>
      </c>
      <c r="AR14" s="197">
        <v>491173</v>
      </c>
      <c r="AS14" s="197">
        <v>386493</v>
      </c>
      <c r="AT14" s="196">
        <f t="shared" si="25"/>
        <v>386493</v>
      </c>
      <c r="AU14" s="197">
        <v>348965</v>
      </c>
      <c r="AV14" s="197">
        <v>308484</v>
      </c>
      <c r="AW14" s="197">
        <v>314945</v>
      </c>
      <c r="AX14" s="197">
        <v>408533</v>
      </c>
      <c r="AY14" s="196">
        <f t="shared" si="26"/>
        <v>408533</v>
      </c>
      <c r="AZ14" s="197">
        <v>364057</v>
      </c>
      <c r="BA14" s="197">
        <v>385837</v>
      </c>
      <c r="BB14" s="197">
        <v>388259</v>
      </c>
      <c r="BC14" s="197">
        <v>621394</v>
      </c>
      <c r="BD14" s="196">
        <f t="shared" si="27"/>
        <v>621394</v>
      </c>
      <c r="BE14" s="197">
        <v>720673</v>
      </c>
      <c r="BF14" s="197">
        <v>763195</v>
      </c>
      <c r="BG14" s="197">
        <v>803169</v>
      </c>
      <c r="BH14" s="197">
        <v>750773</v>
      </c>
      <c r="BI14" s="196">
        <f t="shared" si="28"/>
        <v>750773</v>
      </c>
      <c r="BJ14" s="197">
        <v>758576</v>
      </c>
      <c r="BK14" s="197">
        <v>901932</v>
      </c>
      <c r="BL14" s="197">
        <v>907489</v>
      </c>
      <c r="BM14" s="197">
        <v>934463</v>
      </c>
      <c r="BN14" s="196">
        <f t="shared" si="29"/>
        <v>934463</v>
      </c>
      <c r="BO14" s="197">
        <v>992045</v>
      </c>
      <c r="BP14" s="197">
        <v>1008606</v>
      </c>
      <c r="BQ14" s="197">
        <v>1062722</v>
      </c>
      <c r="BR14" s="197">
        <v>1201285</v>
      </c>
      <c r="BS14" s="196">
        <f t="shared" si="30"/>
        <v>1201285</v>
      </c>
      <c r="BT14" s="197">
        <v>1149409</v>
      </c>
      <c r="BU14" s="197">
        <v>1559702</v>
      </c>
      <c r="BV14" s="197">
        <v>1710029</v>
      </c>
      <c r="BW14" s="197">
        <v>1577958</v>
      </c>
      <c r="BX14" s="196">
        <f t="shared" si="31"/>
        <v>1577958</v>
      </c>
      <c r="BY14" s="197">
        <v>1483310</v>
      </c>
      <c r="BZ14" s="197">
        <v>1376010</v>
      </c>
      <c r="CA14" s="197">
        <v>1233120</v>
      </c>
      <c r="CB14" s="197">
        <v>1161537</v>
      </c>
      <c r="CC14" s="196">
        <f t="shared" si="32"/>
        <v>1161537</v>
      </c>
      <c r="CD14" s="197">
        <v>1094576</v>
      </c>
      <c r="CE14" s="197">
        <v>983208</v>
      </c>
      <c r="CF14" s="197">
        <v>867950</v>
      </c>
      <c r="CG14" s="197">
        <v>813979</v>
      </c>
      <c r="CH14" s="196">
        <f t="shared" si="33"/>
        <v>813979</v>
      </c>
      <c r="CI14" s="197">
        <v>703261</v>
      </c>
      <c r="CJ14" s="197">
        <v>620798</v>
      </c>
      <c r="CK14" s="197">
        <v>525642</v>
      </c>
      <c r="CL14" s="197">
        <v>540124</v>
      </c>
      <c r="CM14" s="196">
        <f t="shared" si="34"/>
        <v>540124</v>
      </c>
      <c r="CN14" s="197">
        <v>571646</v>
      </c>
      <c r="CO14" s="197">
        <v>589764</v>
      </c>
      <c r="CP14" s="197">
        <v>646407</v>
      </c>
      <c r="CQ14" s="197">
        <v>621579</v>
      </c>
      <c r="CR14" s="196">
        <f t="shared" si="35"/>
        <v>621579</v>
      </c>
      <c r="CS14" s="197">
        <v>615397</v>
      </c>
      <c r="CT14" s="197">
        <v>644211</v>
      </c>
      <c r="CU14" s="197">
        <v>727826</v>
      </c>
      <c r="CV14" s="197">
        <v>772612</v>
      </c>
      <c r="CW14" s="196">
        <f t="shared" si="36"/>
        <v>772612</v>
      </c>
      <c r="CX14" s="197">
        <v>694610</v>
      </c>
      <c r="CY14" s="197">
        <v>659491</v>
      </c>
      <c r="CZ14" s="197">
        <v>648297</v>
      </c>
      <c r="DA14" s="197">
        <v>727268</v>
      </c>
      <c r="DB14" s="196">
        <f t="shared" si="37"/>
        <v>727268</v>
      </c>
      <c r="DC14" s="197">
        <v>766733</v>
      </c>
      <c r="DD14" s="197">
        <v>952126</v>
      </c>
      <c r="DE14" s="197">
        <v>1037191</v>
      </c>
      <c r="DF14" s="197">
        <v>1149936</v>
      </c>
      <c r="DG14" s="196">
        <f t="shared" si="38"/>
        <v>1149936</v>
      </c>
      <c r="DH14" s="197">
        <v>1159712</v>
      </c>
      <c r="DI14" s="197">
        <v>1175917</v>
      </c>
      <c r="DJ14" s="198">
        <f>DJ77</f>
        <v>1088891.4935882825</v>
      </c>
      <c r="DK14" s="198">
        <f>DK77</f>
        <v>1096739.5579843009</v>
      </c>
      <c r="DL14" s="196">
        <f t="shared" si="39"/>
        <v>1096739.5579843009</v>
      </c>
      <c r="DM14" s="198">
        <f>DM77</f>
        <v>1101718.5251884433</v>
      </c>
      <c r="DN14" s="198">
        <f>DN77</f>
        <v>1133973.8426575239</v>
      </c>
      <c r="DO14" s="198">
        <f>DO77</f>
        <v>1184987.8744457057</v>
      </c>
      <c r="DP14" s="198">
        <f>DP77</f>
        <v>1234725.3710713866</v>
      </c>
      <c r="DQ14" s="196">
        <f t="shared" si="40"/>
        <v>1234725.3710713866</v>
      </c>
      <c r="DR14" s="198">
        <f>DR77</f>
        <v>1304535.5882209381</v>
      </c>
      <c r="DS14" s="198">
        <f>DS77</f>
        <v>1371525.3817530461</v>
      </c>
      <c r="DT14" s="198">
        <f>DT77</f>
        <v>1436368.7051206899</v>
      </c>
      <c r="DU14" s="198">
        <f>DU77</f>
        <v>1516634.3046818292</v>
      </c>
      <c r="DV14" s="196">
        <f t="shared" si="41"/>
        <v>1516634.3046818292</v>
      </c>
      <c r="DW14" s="198">
        <f>DW77</f>
        <v>1581483.3294226052</v>
      </c>
      <c r="DX14" s="198">
        <f>DX77</f>
        <v>1646743.3002980212</v>
      </c>
      <c r="DY14" s="198">
        <f>DY77</f>
        <v>1690232.211695723</v>
      </c>
      <c r="DZ14" s="198">
        <f>DZ77</f>
        <v>1725792.7800186933</v>
      </c>
      <c r="EA14" s="196">
        <f t="shared" si="42"/>
        <v>1725792.7800186933</v>
      </c>
      <c r="EB14" s="198">
        <f>EB77</f>
        <v>1750892.2199114196</v>
      </c>
      <c r="EC14" s="198">
        <f>EC77</f>
        <v>1784107.4107886653</v>
      </c>
      <c r="ED14" s="198">
        <f>ED77</f>
        <v>1814649.1798878836</v>
      </c>
      <c r="EE14" s="198">
        <f>EE77</f>
        <v>1834306.4324067354</v>
      </c>
      <c r="EF14" s="196">
        <f t="shared" si="43"/>
        <v>1834306.4324067354</v>
      </c>
    </row>
    <row r="15" spans="1:200">
      <c r="A15" s="71" t="s">
        <v>115</v>
      </c>
      <c r="B15" s="160">
        <v>8893</v>
      </c>
      <c r="C15" s="160">
        <v>13578</v>
      </c>
      <c r="D15" s="160">
        <v>15782</v>
      </c>
      <c r="E15" s="160">
        <v>16340</v>
      </c>
      <c r="F15" s="89">
        <f t="shared" si="13"/>
        <v>16340</v>
      </c>
      <c r="G15" s="160">
        <v>29075</v>
      </c>
      <c r="H15" s="160">
        <v>41810</v>
      </c>
      <c r="I15" s="160">
        <v>47707</v>
      </c>
      <c r="J15" s="160">
        <v>88849</v>
      </c>
      <c r="K15" s="89">
        <f t="shared" si="14"/>
        <v>88849</v>
      </c>
      <c r="L15" s="160">
        <v>93435</v>
      </c>
      <c r="M15" s="160">
        <v>97710</v>
      </c>
      <c r="N15" s="160">
        <v>118978</v>
      </c>
      <c r="O15" s="160">
        <v>142184</v>
      </c>
      <c r="P15" s="83">
        <f t="shared" si="15"/>
        <v>142184</v>
      </c>
      <c r="Q15" s="160">
        <v>153888</v>
      </c>
      <c r="R15" s="160">
        <v>157270</v>
      </c>
      <c r="S15" s="160">
        <v>183345</v>
      </c>
      <c r="T15" s="160">
        <v>225114</v>
      </c>
      <c r="U15" s="83">
        <f t="shared" si="16"/>
        <v>225114</v>
      </c>
      <c r="V15" s="160">
        <v>263637</v>
      </c>
      <c r="W15" s="160">
        <v>259394</v>
      </c>
      <c r="X15" s="160">
        <v>291522</v>
      </c>
      <c r="Y15" s="160">
        <v>86189</v>
      </c>
      <c r="Z15" s="83">
        <f t="shared" si="21"/>
        <v>86189</v>
      </c>
      <c r="AA15" s="160">
        <v>65262</v>
      </c>
      <c r="AB15" s="160">
        <v>67885</v>
      </c>
      <c r="AC15" s="160">
        <v>30689</v>
      </c>
      <c r="AD15" s="160">
        <v>26491</v>
      </c>
      <c r="AE15" s="83">
        <f t="shared" si="22"/>
        <v>26491</v>
      </c>
      <c r="AF15" s="160">
        <v>28940</v>
      </c>
      <c r="AG15" s="160">
        <v>32017</v>
      </c>
      <c r="AH15" s="160">
        <v>32057</v>
      </c>
      <c r="AI15" s="160">
        <f>7740+22910</f>
        <v>30650</v>
      </c>
      <c r="AJ15" s="83">
        <f>AI15</f>
        <v>30650</v>
      </c>
      <c r="AK15" s="160">
        <f>8534+23249</f>
        <v>31783</v>
      </c>
      <c r="AL15" s="160">
        <f>8549+26073</f>
        <v>34622</v>
      </c>
      <c r="AM15" s="160">
        <f>9204+29380</f>
        <v>38584</v>
      </c>
      <c r="AN15" s="160">
        <f>10532+29255</f>
        <v>39787</v>
      </c>
      <c r="AO15" s="83">
        <f>AN15</f>
        <v>39787</v>
      </c>
      <c r="AP15" s="160">
        <f>15226+31389</f>
        <v>46615</v>
      </c>
      <c r="AQ15" s="160">
        <f>32379+14106</f>
        <v>46485</v>
      </c>
      <c r="AR15" s="160">
        <f>34302+12724</f>
        <v>47026</v>
      </c>
      <c r="AS15" s="160">
        <f>4651+31967</f>
        <v>36618</v>
      </c>
      <c r="AT15" s="83">
        <f>AS15</f>
        <v>36618</v>
      </c>
      <c r="AU15" s="160">
        <f>6724+34834</f>
        <v>41558</v>
      </c>
      <c r="AV15" s="160">
        <f>4659+35977</f>
        <v>40636</v>
      </c>
      <c r="AW15" s="160">
        <f>35250+4659</f>
        <v>39909</v>
      </c>
      <c r="AX15" s="160">
        <f>4659+32349</f>
        <v>37008</v>
      </c>
      <c r="AY15" s="83">
        <f>AX15</f>
        <v>37008</v>
      </c>
      <c r="AZ15" s="160">
        <f>5348+28962</f>
        <v>34310</v>
      </c>
      <c r="BA15" s="160">
        <f>4303+28512</f>
        <v>32815</v>
      </c>
      <c r="BB15" s="160">
        <f>4844+26026</f>
        <v>30870</v>
      </c>
      <c r="BC15" s="160">
        <f>7612+23890</f>
        <v>31502</v>
      </c>
      <c r="BD15" s="83">
        <f t="shared" si="27"/>
        <v>31502</v>
      </c>
      <c r="BE15" s="160">
        <f>8276+23490</f>
        <v>31766</v>
      </c>
      <c r="BF15" s="160">
        <f>8676+22360</f>
        <v>31036</v>
      </c>
      <c r="BG15" s="160">
        <f>8937+21262</f>
        <v>30199</v>
      </c>
      <c r="BH15" s="160">
        <f>9362+17298</f>
        <v>26660</v>
      </c>
      <c r="BI15" s="83">
        <f t="shared" si="28"/>
        <v>26660</v>
      </c>
      <c r="BJ15" s="160">
        <f>10629+16331</f>
        <v>26960</v>
      </c>
      <c r="BK15" s="160">
        <f>10181+15777</f>
        <v>25958</v>
      </c>
      <c r="BL15" s="160">
        <f>10114+14358</f>
        <v>24472</v>
      </c>
      <c r="BM15" s="160">
        <f>12610+13358</f>
        <v>25968</v>
      </c>
      <c r="BN15" s="83">
        <f t="shared" si="29"/>
        <v>25968</v>
      </c>
      <c r="BO15" s="160">
        <f>12043+12130</f>
        <v>24173</v>
      </c>
      <c r="BP15" s="160">
        <f>13342+11897</f>
        <v>25239</v>
      </c>
      <c r="BQ15" s="160">
        <f>13802+11960</f>
        <v>25762</v>
      </c>
      <c r="BR15" s="160">
        <f>11934+11548</f>
        <v>23482</v>
      </c>
      <c r="BS15" s="83">
        <f t="shared" si="30"/>
        <v>23482</v>
      </c>
      <c r="BT15" s="160">
        <f>10646+10523</f>
        <v>21169</v>
      </c>
      <c r="BU15" s="160">
        <f>7781+9727</f>
        <v>17508</v>
      </c>
      <c r="BV15" s="160">
        <f>7625+7568</f>
        <v>15193</v>
      </c>
      <c r="BW15" s="160">
        <f>8651+7555</f>
        <v>16206</v>
      </c>
      <c r="BX15" s="83">
        <f t="shared" si="31"/>
        <v>16206</v>
      </c>
      <c r="BY15" s="160">
        <f>9705+8097</f>
        <v>17802</v>
      </c>
      <c r="BZ15" s="160">
        <f>2330+8751</f>
        <v>11081</v>
      </c>
      <c r="CA15" s="160">
        <f>7046+9688</f>
        <v>16734</v>
      </c>
      <c r="CB15" s="160">
        <f>12894+12608</f>
        <v>25502</v>
      </c>
      <c r="CC15" s="83">
        <f t="shared" si="32"/>
        <v>25502</v>
      </c>
      <c r="CD15" s="160">
        <f>9048+14624</f>
        <v>23672</v>
      </c>
      <c r="CE15" s="160">
        <f>11643+17022</f>
        <v>28665</v>
      </c>
      <c r="CF15" s="160">
        <f>12937+20306</f>
        <v>33243</v>
      </c>
      <c r="CG15" s="160">
        <f>15019+31965</f>
        <v>46984</v>
      </c>
      <c r="CH15" s="83">
        <f>CG15</f>
        <v>46984</v>
      </c>
      <c r="CI15" s="160">
        <f>17855+33509</f>
        <v>51364</v>
      </c>
      <c r="CJ15" s="160">
        <f>15756+36746</f>
        <v>52502</v>
      </c>
      <c r="CK15" s="160">
        <f>26945+41678</f>
        <v>68623</v>
      </c>
      <c r="CL15" s="160">
        <f>22316+51600</f>
        <v>73916</v>
      </c>
      <c r="CM15" s="83">
        <f>CL15</f>
        <v>73916</v>
      </c>
      <c r="CN15" s="160">
        <f>27229+53609</f>
        <v>80838</v>
      </c>
      <c r="CO15" s="160">
        <f>24121+59572</f>
        <v>83693</v>
      </c>
      <c r="CP15" s="160">
        <f>34679+68953</f>
        <v>103632</v>
      </c>
      <c r="CQ15" s="160">
        <f>33214+82483</f>
        <v>115697</v>
      </c>
      <c r="CR15" s="83">
        <f>CQ15</f>
        <v>115697</v>
      </c>
      <c r="CS15" s="160">
        <f>44802+84356</f>
        <v>129158</v>
      </c>
      <c r="CT15" s="160">
        <f>21051+91827</f>
        <v>112878</v>
      </c>
      <c r="CU15" s="160">
        <f>24683+100544</f>
        <v>125227</v>
      </c>
      <c r="CV15" s="160">
        <f>30526+107062</f>
        <v>137588</v>
      </c>
      <c r="CW15" s="83">
        <f>CV15</f>
        <v>137588</v>
      </c>
      <c r="CX15" s="160">
        <f>45357+105520</f>
        <v>150877</v>
      </c>
      <c r="CY15" s="160">
        <f>50461+111269</f>
        <v>161730</v>
      </c>
      <c r="CZ15" s="160">
        <f>51793+116796</f>
        <v>168589</v>
      </c>
      <c r="DA15" s="160">
        <f>73984+136743</f>
        <v>210727</v>
      </c>
      <c r="DB15" s="83">
        <f>DA15</f>
        <v>210727</v>
      </c>
      <c r="DC15" s="160">
        <f>100597+84865</f>
        <v>185462</v>
      </c>
      <c r="DD15" s="160">
        <f>101247+85105</f>
        <v>186352</v>
      </c>
      <c r="DE15" s="160">
        <f>112718+94858</f>
        <v>207576</v>
      </c>
      <c r="DF15" s="160">
        <f>50076+102731</f>
        <v>152807</v>
      </c>
      <c r="DG15" s="83">
        <f>DF15</f>
        <v>152807</v>
      </c>
      <c r="DH15" s="160">
        <f>43304+98777</f>
        <v>142081</v>
      </c>
      <c r="DI15" s="160">
        <f>41053+107324</f>
        <v>148377</v>
      </c>
      <c r="DJ15" s="84">
        <f>DJ100</f>
        <v>151267.02482035026</v>
      </c>
      <c r="DK15" s="84">
        <f>DK100</f>
        <v>163194.77840401625</v>
      </c>
      <c r="DL15" s="83">
        <f>DK15</f>
        <v>163194.77840401625</v>
      </c>
      <c r="DM15" s="84">
        <f>DM100</f>
        <v>167382.84962438539</v>
      </c>
      <c r="DN15" s="84">
        <f>DN100</f>
        <v>170176.36689926425</v>
      </c>
      <c r="DO15" s="84">
        <f>DO100</f>
        <v>172153.13313741449</v>
      </c>
      <c r="DP15" s="84">
        <f>DP100</f>
        <v>174415.59530046096</v>
      </c>
      <c r="DQ15" s="83">
        <f>DP15</f>
        <v>174415.59530046096</v>
      </c>
      <c r="DR15" s="84">
        <f>DR100</f>
        <v>174485.56505894326</v>
      </c>
      <c r="DS15" s="84">
        <f>DS100</f>
        <v>174960.03165993135</v>
      </c>
      <c r="DT15" s="84">
        <f>DT100</f>
        <v>175922.71378731271</v>
      </c>
      <c r="DU15" s="84">
        <f>DU100</f>
        <v>177510.72737383313</v>
      </c>
      <c r="DV15" s="83">
        <f>DU15</f>
        <v>177510.72737383313</v>
      </c>
      <c r="DW15" s="84">
        <f>DW100</f>
        <v>178613.96271410806</v>
      </c>
      <c r="DX15" s="84">
        <f>DX100</f>
        <v>180178.45312932401</v>
      </c>
      <c r="DY15" s="84">
        <f>DY100</f>
        <v>182042.83599724868</v>
      </c>
      <c r="DZ15" s="84">
        <f>DZ100</f>
        <v>184417.42222435484</v>
      </c>
      <c r="EA15" s="83">
        <f>DZ15</f>
        <v>184417.42222435484</v>
      </c>
      <c r="EB15" s="84">
        <f>EB100</f>
        <v>186230.75704986503</v>
      </c>
      <c r="EC15" s="84">
        <f>EC100</f>
        <v>188392.71395113587</v>
      </c>
      <c r="ED15" s="84">
        <f>ED100</f>
        <v>190751.23333909505</v>
      </c>
      <c r="EE15" s="84">
        <f>EE100</f>
        <v>193455.14900902507</v>
      </c>
      <c r="EF15" s="83">
        <f>EE15</f>
        <v>193455.14900902507</v>
      </c>
    </row>
    <row r="16" spans="1:200">
      <c r="A16" s="71" t="s">
        <v>116</v>
      </c>
      <c r="B16" s="160">
        <v>10905</v>
      </c>
      <c r="C16" s="160">
        <v>9148</v>
      </c>
      <c r="D16" s="160">
        <v>9263</v>
      </c>
      <c r="E16" s="160"/>
      <c r="F16" s="89">
        <f t="shared" si="13"/>
        <v>0</v>
      </c>
      <c r="G16" s="160">
        <v>32781</v>
      </c>
      <c r="H16" s="160">
        <v>32781</v>
      </c>
      <c r="I16" s="160">
        <v>34834</v>
      </c>
      <c r="J16" s="160">
        <v>37080</v>
      </c>
      <c r="K16" s="89">
        <f t="shared" si="14"/>
        <v>37080</v>
      </c>
      <c r="L16" s="160">
        <v>35077</v>
      </c>
      <c r="M16" s="160">
        <v>38016</v>
      </c>
      <c r="N16" s="160">
        <v>34284</v>
      </c>
      <c r="O16" s="160">
        <v>32399</v>
      </c>
      <c r="P16" s="83">
        <f t="shared" si="15"/>
        <v>32399</v>
      </c>
      <c r="Q16" s="160">
        <v>27393</v>
      </c>
      <c r="R16" s="160">
        <v>25269</v>
      </c>
      <c r="S16" s="160">
        <v>21735</v>
      </c>
      <c r="T16" s="160">
        <v>17580</v>
      </c>
      <c r="U16" s="83">
        <f t="shared" si="16"/>
        <v>17580</v>
      </c>
      <c r="V16" s="160">
        <v>22043</v>
      </c>
      <c r="W16" s="160">
        <v>25383</v>
      </c>
      <c r="X16" s="160">
        <v>30511</v>
      </c>
      <c r="Y16" s="160">
        <v>34720</v>
      </c>
      <c r="Z16" s="83">
        <f t="shared" si="21"/>
        <v>34720</v>
      </c>
      <c r="AA16" s="160">
        <v>35610</v>
      </c>
      <c r="AB16" s="160">
        <v>34620</v>
      </c>
      <c r="AC16" s="160">
        <v>30548</v>
      </c>
      <c r="AD16" s="160">
        <v>17207</v>
      </c>
      <c r="AE16" s="83">
        <f t="shared" si="22"/>
        <v>17207</v>
      </c>
      <c r="AF16" s="160">
        <f>35964</f>
        <v>35964</v>
      </c>
      <c r="AG16" s="160">
        <v>27350</v>
      </c>
      <c r="AH16" s="160">
        <v>26528</v>
      </c>
      <c r="AI16" s="160">
        <f>20507+7735</f>
        <v>28242</v>
      </c>
      <c r="AJ16" s="83">
        <f>AI16</f>
        <v>28242</v>
      </c>
      <c r="AK16" s="160">
        <f>23753+4311</f>
        <v>28064</v>
      </c>
      <c r="AL16" s="160">
        <f>22373+7281</f>
        <v>29654</v>
      </c>
      <c r="AM16" s="160">
        <f>7295+20885</f>
        <v>28180</v>
      </c>
      <c r="AN16" s="160">
        <f>8501+27896</f>
        <v>36397</v>
      </c>
      <c r="AO16" s="83">
        <f>AN16</f>
        <v>36397</v>
      </c>
      <c r="AP16" s="160">
        <f>10125+38806</f>
        <v>48931</v>
      </c>
      <c r="AQ16" s="160">
        <f>16773+16376</f>
        <v>33149</v>
      </c>
      <c r="AR16" s="160">
        <f>12586+19374</f>
        <v>31960</v>
      </c>
      <c r="AS16" s="160">
        <f>15119+17542</f>
        <v>32661</v>
      </c>
      <c r="AT16" s="83">
        <f>AS16</f>
        <v>32661</v>
      </c>
      <c r="AU16" s="160">
        <f>7804+4512</f>
        <v>12316</v>
      </c>
      <c r="AV16" s="160">
        <f>6652+5617</f>
        <v>12269</v>
      </c>
      <c r="AW16" s="160">
        <f>4437+8897</f>
        <v>13334</v>
      </c>
      <c r="AX16" s="160">
        <f>2567+3862</f>
        <v>6429</v>
      </c>
      <c r="AY16" s="83">
        <f>AX16</f>
        <v>6429</v>
      </c>
      <c r="AZ16" s="160">
        <f>56+3436</f>
        <v>3492</v>
      </c>
      <c r="BA16" s="160">
        <f>2768+189</f>
        <v>2957</v>
      </c>
      <c r="BB16" s="160">
        <f>373+2821</f>
        <v>3194</v>
      </c>
      <c r="BC16" s="160">
        <f>18+2842</f>
        <v>2860</v>
      </c>
      <c r="BD16" s="83">
        <f t="shared" si="27"/>
        <v>2860</v>
      </c>
      <c r="BE16" s="160">
        <f>1902+3073</f>
        <v>4975</v>
      </c>
      <c r="BF16" s="160">
        <f>84+3547</f>
        <v>3631</v>
      </c>
      <c r="BG16" s="160">
        <f>2823+17</f>
        <v>2840</v>
      </c>
      <c r="BH16" s="160">
        <v>2576</v>
      </c>
      <c r="BI16" s="83">
        <f t="shared" si="28"/>
        <v>2576</v>
      </c>
      <c r="BJ16" s="160">
        <v>1902</v>
      </c>
      <c r="BK16" s="160">
        <v>1748</v>
      </c>
      <c r="BL16" s="160">
        <v>298</v>
      </c>
      <c r="BM16" s="160">
        <v>491</v>
      </c>
      <c r="BN16" s="83">
        <f t="shared" si="29"/>
        <v>491</v>
      </c>
      <c r="BO16" s="160">
        <v>838</v>
      </c>
      <c r="BP16" s="160">
        <v>1355</v>
      </c>
      <c r="BQ16" s="160">
        <v>1093</v>
      </c>
      <c r="BR16" s="160">
        <v>2227</v>
      </c>
      <c r="BS16" s="83">
        <f t="shared" si="30"/>
        <v>2227</v>
      </c>
      <c r="BT16" s="160">
        <v>3130</v>
      </c>
      <c r="BU16" s="160">
        <v>3480</v>
      </c>
      <c r="BV16" s="160">
        <v>1188</v>
      </c>
      <c r="BW16" s="160">
        <f>1358+1231</f>
        <v>2589</v>
      </c>
      <c r="BX16" s="83">
        <f t="shared" si="31"/>
        <v>2589</v>
      </c>
      <c r="BY16" s="160">
        <f>1024+935</f>
        <v>1959</v>
      </c>
      <c r="BZ16" s="160">
        <f>886+816</f>
        <v>1702</v>
      </c>
      <c r="CA16" s="160">
        <f>593+547</f>
        <v>1140</v>
      </c>
      <c r="CB16" s="160">
        <f>435+402</f>
        <v>837</v>
      </c>
      <c r="CC16" s="83">
        <f t="shared" si="32"/>
        <v>837</v>
      </c>
      <c r="CD16" s="160">
        <f>261+241</f>
        <v>502</v>
      </c>
      <c r="CE16" s="160">
        <f>221+29</f>
        <v>250</v>
      </c>
      <c r="CF16" s="160">
        <f>302+71</f>
        <v>373</v>
      </c>
      <c r="CG16" s="160">
        <f>757+283</f>
        <v>1040</v>
      </c>
      <c r="CH16" s="83">
        <f>CG16</f>
        <v>1040</v>
      </c>
      <c r="CI16" s="160">
        <f>801+429</f>
        <v>1230</v>
      </c>
      <c r="CJ16" s="160">
        <f>2003+1252</f>
        <v>3255</v>
      </c>
      <c r="CK16" s="160">
        <f>2085+1184</f>
        <v>3269</v>
      </c>
      <c r="CL16" s="160">
        <f>2221+1177</f>
        <v>3398</v>
      </c>
      <c r="CM16" s="83">
        <f>CL16</f>
        <v>3398</v>
      </c>
      <c r="CN16" s="160">
        <f>1952+856</f>
        <v>2808</v>
      </c>
      <c r="CO16" s="160">
        <f>2225+718</f>
        <v>2943</v>
      </c>
      <c r="CP16" s="160">
        <f>1368+578</f>
        <v>1946</v>
      </c>
      <c r="CQ16" s="160">
        <f>997+359</f>
        <v>1356</v>
      </c>
      <c r="CR16" s="83">
        <f>CQ16</f>
        <v>1356</v>
      </c>
      <c r="CS16" s="160">
        <f>4819+3777</f>
        <v>8596</v>
      </c>
      <c r="CT16" s="160">
        <f>4693+3635</f>
        <v>8328</v>
      </c>
      <c r="CU16" s="160">
        <f>4242+3434</f>
        <v>7676</v>
      </c>
      <c r="CV16" s="160">
        <f>3843+2976</f>
        <v>6819</v>
      </c>
      <c r="CW16" s="83">
        <f>CV16</f>
        <v>6819</v>
      </c>
      <c r="CX16" s="160">
        <f>3938+3082</f>
        <v>7020</v>
      </c>
      <c r="CY16" s="160">
        <f>3567+2694</f>
        <v>6261</v>
      </c>
      <c r="CZ16" s="160">
        <f>2366+1938</f>
        <v>4304</v>
      </c>
      <c r="DA16" s="160">
        <f>1118+965</f>
        <v>2083</v>
      </c>
      <c r="DB16" s="83">
        <f>DA16</f>
        <v>2083</v>
      </c>
      <c r="DC16" s="160">
        <f>788+988</f>
        <v>1776</v>
      </c>
      <c r="DD16" s="160">
        <f>867+623</f>
        <v>1490</v>
      </c>
      <c r="DE16" s="160">
        <f>1904+1132</f>
        <v>3036</v>
      </c>
      <c r="DF16" s="160">
        <f>1827+791</f>
        <v>2618</v>
      </c>
      <c r="DG16" s="83">
        <f>DF16</f>
        <v>2618</v>
      </c>
      <c r="DH16" s="160">
        <f>1846+888</f>
        <v>2734</v>
      </c>
      <c r="DI16" s="160">
        <f>2768+1279</f>
        <v>4047</v>
      </c>
      <c r="DJ16" s="160">
        <f>DI16</f>
        <v>4047</v>
      </c>
      <c r="DK16" s="160">
        <f>DJ16</f>
        <v>4047</v>
      </c>
      <c r="DL16" s="83">
        <f>DK16</f>
        <v>4047</v>
      </c>
      <c r="DM16" s="160">
        <f>DL16</f>
        <v>4047</v>
      </c>
      <c r="DN16" s="160">
        <f>DM16</f>
        <v>4047</v>
      </c>
      <c r="DO16" s="160">
        <f>DN16</f>
        <v>4047</v>
      </c>
      <c r="DP16" s="160">
        <f>DO16</f>
        <v>4047</v>
      </c>
      <c r="DQ16" s="83">
        <f>DP16</f>
        <v>4047</v>
      </c>
      <c r="DR16" s="160">
        <f>DQ16</f>
        <v>4047</v>
      </c>
      <c r="DS16" s="160">
        <f>DR16</f>
        <v>4047</v>
      </c>
      <c r="DT16" s="160">
        <f>DS16</f>
        <v>4047</v>
      </c>
      <c r="DU16" s="160">
        <f>DT16</f>
        <v>4047</v>
      </c>
      <c r="DV16" s="83">
        <f>DU16</f>
        <v>4047</v>
      </c>
      <c r="DW16" s="160">
        <f>DV16</f>
        <v>4047</v>
      </c>
      <c r="DX16" s="160">
        <f>DW16</f>
        <v>4047</v>
      </c>
      <c r="DY16" s="160">
        <f>DX16</f>
        <v>4047</v>
      </c>
      <c r="DZ16" s="160">
        <f>DY16</f>
        <v>4047</v>
      </c>
      <c r="EA16" s="83">
        <f>DZ16</f>
        <v>4047</v>
      </c>
      <c r="EB16" s="160">
        <f>EA16</f>
        <v>4047</v>
      </c>
      <c r="EC16" s="160">
        <f>EB16</f>
        <v>4047</v>
      </c>
      <c r="ED16" s="160">
        <f>EC16</f>
        <v>4047</v>
      </c>
      <c r="EE16" s="160">
        <f>ED16</f>
        <v>4047</v>
      </c>
      <c r="EF16" s="83">
        <f>EE16</f>
        <v>4047</v>
      </c>
    </row>
    <row r="17" spans="1:136">
      <c r="A17" s="71" t="s">
        <v>117</v>
      </c>
      <c r="B17" s="160">
        <v>11550</v>
      </c>
      <c r="C17" s="160">
        <v>11498</v>
      </c>
      <c r="D17" s="160">
        <v>10061</v>
      </c>
      <c r="E17" s="160"/>
      <c r="F17" s="89">
        <f t="shared" si="13"/>
        <v>0</v>
      </c>
      <c r="G17" s="160">
        <f>(AVERAGE(E17,H17))+5740</f>
        <v>21840</v>
      </c>
      <c r="H17" s="160">
        <v>16100</v>
      </c>
      <c r="I17" s="160">
        <v>17999</v>
      </c>
      <c r="J17" s="160">
        <v>21058</v>
      </c>
      <c r="K17" s="89">
        <f t="shared" si="14"/>
        <v>21058</v>
      </c>
      <c r="L17" s="160">
        <v>23896</v>
      </c>
      <c r="M17" s="160">
        <v>29683</v>
      </c>
      <c r="N17" s="160">
        <v>34694</v>
      </c>
      <c r="O17" s="160">
        <v>32450</v>
      </c>
      <c r="P17" s="83">
        <f t="shared" si="15"/>
        <v>32450</v>
      </c>
      <c r="Q17" s="160">
        <v>37953</v>
      </c>
      <c r="R17" s="160">
        <v>39953</v>
      </c>
      <c r="S17" s="160">
        <v>47685</v>
      </c>
      <c r="T17" s="160">
        <v>51102</v>
      </c>
      <c r="U17" s="83">
        <f t="shared" si="16"/>
        <v>51102</v>
      </c>
      <c r="V17" s="160">
        <v>52226</v>
      </c>
      <c r="W17" s="160">
        <v>55382</v>
      </c>
      <c r="X17" s="160">
        <v>63683</v>
      </c>
      <c r="Y17" s="160">
        <v>68114</v>
      </c>
      <c r="Z17" s="83">
        <f t="shared" si="21"/>
        <v>68114</v>
      </c>
      <c r="AA17" s="160">
        <v>69744</v>
      </c>
      <c r="AB17" s="160">
        <v>79929</v>
      </c>
      <c r="AC17" s="160">
        <v>84415</v>
      </c>
      <c r="AD17" s="160">
        <v>86729</v>
      </c>
      <c r="AE17" s="83">
        <f t="shared" si="22"/>
        <v>86729</v>
      </c>
      <c r="AF17" s="160">
        <v>100103</v>
      </c>
      <c r="AG17" s="160">
        <v>109860</v>
      </c>
      <c r="AH17" s="160">
        <v>113805</v>
      </c>
      <c r="AI17" s="160">
        <f>82650+26958</f>
        <v>109608</v>
      </c>
      <c r="AJ17" s="83">
        <f>AI17</f>
        <v>109608</v>
      </c>
      <c r="AK17" s="160">
        <f>75557+27102</f>
        <v>102659</v>
      </c>
      <c r="AL17" s="160">
        <f>70132+24437</f>
        <v>94569</v>
      </c>
      <c r="AM17" s="160">
        <f>69514+24437</f>
        <v>93951</v>
      </c>
      <c r="AN17" s="160">
        <f>86369+30083</f>
        <v>116452</v>
      </c>
      <c r="AO17" s="83">
        <f>AN17</f>
        <v>116452</v>
      </c>
      <c r="AP17" s="160">
        <f>76152+30238</f>
        <v>106390</v>
      </c>
      <c r="AQ17" s="160">
        <f>79441+30619</f>
        <v>110060</v>
      </c>
      <c r="AR17" s="160">
        <f>78277+30588</f>
        <v>108865</v>
      </c>
      <c r="AS17" s="160">
        <f>81692+26709</f>
        <v>108401</v>
      </c>
      <c r="AT17" s="83">
        <f>AS17</f>
        <v>108401</v>
      </c>
      <c r="AU17" s="160">
        <f>80618+26712</f>
        <v>107330</v>
      </c>
      <c r="AV17" s="160">
        <f>82594+26716</f>
        <v>109310</v>
      </c>
      <c r="AW17" s="160">
        <f>84358+26712</f>
        <v>111070</v>
      </c>
      <c r="AX17" s="160">
        <f>91442+26731</f>
        <v>118173</v>
      </c>
      <c r="AY17" s="83">
        <f>AX17</f>
        <v>118173</v>
      </c>
      <c r="AZ17" s="160">
        <f>91445+7070</f>
        <v>98515</v>
      </c>
      <c r="BA17" s="160">
        <f>98357+97</f>
        <v>98454</v>
      </c>
      <c r="BB17" s="160">
        <f>105059+141</f>
        <v>105200</v>
      </c>
      <c r="BC17" s="160">
        <f>112346+58</f>
        <v>112404</v>
      </c>
      <c r="BD17" s="83">
        <f t="shared" si="27"/>
        <v>112404</v>
      </c>
      <c r="BE17" s="160">
        <f>118636+74</f>
        <v>118710</v>
      </c>
      <c r="BF17" s="160">
        <f>129487</f>
        <v>129487</v>
      </c>
      <c r="BG17" s="160">
        <f>127829</f>
        <v>127829</v>
      </c>
      <c r="BH17" s="160">
        <f>71779+47145</f>
        <v>118924</v>
      </c>
      <c r="BI17" s="83">
        <f t="shared" si="28"/>
        <v>118924</v>
      </c>
      <c r="BJ17" s="160">
        <f>79673+27637</f>
        <v>107310</v>
      </c>
      <c r="BK17" s="160">
        <f>34548+78645</f>
        <v>113193</v>
      </c>
      <c r="BL17" s="160">
        <f>42524+75189</f>
        <v>117713</v>
      </c>
      <c r="BM17" s="160">
        <f>18119+111851</f>
        <v>129970</v>
      </c>
      <c r="BN17" s="83">
        <f t="shared" si="29"/>
        <v>129970</v>
      </c>
      <c r="BO17" s="160">
        <f>24772+104762</f>
        <v>129534</v>
      </c>
      <c r="BP17" s="160">
        <f>26997+103055</f>
        <v>130052</v>
      </c>
      <c r="BQ17" s="160">
        <f>36083+99215</f>
        <v>135298</v>
      </c>
      <c r="BR17" s="160">
        <f>15917+126794</f>
        <v>142711</v>
      </c>
      <c r="BS17" s="83">
        <f t="shared" si="30"/>
        <v>142711</v>
      </c>
      <c r="BT17" s="160">
        <f>19186+115961</f>
        <v>135147</v>
      </c>
      <c r="BU17" s="160">
        <f>26098+112256</f>
        <v>138354</v>
      </c>
      <c r="BV17" s="160">
        <f>29854+109921</f>
        <v>139775</v>
      </c>
      <c r="BW17" s="160">
        <f>15146+138031</f>
        <v>153177</v>
      </c>
      <c r="BX17" s="83">
        <f t="shared" si="31"/>
        <v>153177</v>
      </c>
      <c r="BY17" s="160">
        <f>23541+133507</f>
        <v>157048</v>
      </c>
      <c r="BZ17" s="160">
        <f>28896+127885</f>
        <v>156781</v>
      </c>
      <c r="CA17" s="160">
        <f>33902+121596</f>
        <v>155498</v>
      </c>
      <c r="CB17" s="160">
        <f>17539+139512</f>
        <v>157051</v>
      </c>
      <c r="CC17" s="83">
        <f t="shared" si="32"/>
        <v>157051</v>
      </c>
      <c r="CD17" s="160">
        <f>20794+135146</f>
        <v>155940</v>
      </c>
      <c r="CE17" s="160">
        <f>17539+139512</f>
        <v>157051</v>
      </c>
      <c r="CF17" s="160">
        <f>23543+127656</f>
        <v>151199</v>
      </c>
      <c r="CG17" s="160">
        <f>14435+125606</f>
        <v>140041</v>
      </c>
      <c r="CH17" s="83">
        <f>CG17</f>
        <v>140041</v>
      </c>
      <c r="CI17" s="160">
        <f>19442+116041</f>
        <v>135483</v>
      </c>
      <c r="CJ17" s="160">
        <f>26097+113398</f>
        <v>139495</v>
      </c>
      <c r="CK17" s="160">
        <f>31372+107639</f>
        <v>139011</v>
      </c>
      <c r="CL17" s="160">
        <f>16013+127732</f>
        <v>143745</v>
      </c>
      <c r="CM17" s="83">
        <f>CL17</f>
        <v>143745</v>
      </c>
      <c r="CN17" s="160">
        <f>23973+123518</f>
        <v>147491</v>
      </c>
      <c r="CO17" s="160">
        <f>36880+122017</f>
        <v>158897</v>
      </c>
      <c r="CP17" s="160">
        <f>44438+117453</f>
        <v>161891</v>
      </c>
      <c r="CQ17" s="160">
        <f>17813+150411</f>
        <v>168224</v>
      </c>
      <c r="CR17" s="83">
        <f>CQ17</f>
        <v>168224</v>
      </c>
      <c r="CS17" s="160">
        <f>25982+141503</f>
        <v>167485</v>
      </c>
      <c r="CT17" s="160">
        <f>35827+136234</f>
        <v>172061</v>
      </c>
      <c r="CU17" s="160">
        <f>44906+129938</f>
        <v>174844</v>
      </c>
      <c r="CV17" s="160">
        <f>10041+177819</f>
        <v>187860</v>
      </c>
      <c r="CW17" s="83">
        <f>CV17</f>
        <v>187860</v>
      </c>
      <c r="CX17" s="160">
        <f>19952+172940</f>
        <v>192892</v>
      </c>
      <c r="CY17" s="160">
        <f>33572+159519</f>
        <v>193091</v>
      </c>
      <c r="CZ17" s="160">
        <f>50131+151973</f>
        <v>202104</v>
      </c>
      <c r="DA17" s="160">
        <f>10886+194033</f>
        <v>204919</v>
      </c>
      <c r="DB17" s="83">
        <f>DA17</f>
        <v>204919</v>
      </c>
      <c r="DC17" s="160">
        <f>22502+188487</f>
        <v>210989</v>
      </c>
      <c r="DD17" s="160">
        <f>40679+182152</f>
        <v>222831</v>
      </c>
      <c r="DE17" s="160">
        <f>56581+174661</f>
        <v>231242</v>
      </c>
      <c r="DF17" s="160">
        <f>10041+231890</f>
        <v>241931</v>
      </c>
      <c r="DG17" s="83">
        <f>DF17</f>
        <v>241931</v>
      </c>
      <c r="DH17" s="160">
        <f>26177+226293</f>
        <v>252470</v>
      </c>
      <c r="DI17" s="160">
        <f>61021+215902</f>
        <v>276923</v>
      </c>
      <c r="DJ17" s="84">
        <f>DJ97</f>
        <v>282316.78976071667</v>
      </c>
      <c r="DK17" s="84">
        <f>DK97</f>
        <v>304578.11938491411</v>
      </c>
      <c r="DL17" s="83">
        <f>DK17</f>
        <v>304578.11938491411</v>
      </c>
      <c r="DM17" s="84">
        <f>DM97</f>
        <v>289358.832688911</v>
      </c>
      <c r="DN17" s="84">
        <f>DN97</f>
        <v>294188.05443755002</v>
      </c>
      <c r="DO17" s="84">
        <f>DO97</f>
        <v>297605.33866023819</v>
      </c>
      <c r="DP17" s="84">
        <f>DP97</f>
        <v>301516.51242727024</v>
      </c>
      <c r="DQ17" s="83">
        <f>DP17</f>
        <v>301516.51242727024</v>
      </c>
      <c r="DR17" s="84">
        <f>DR97</f>
        <v>301637.47086287691</v>
      </c>
      <c r="DS17" s="84">
        <f>DS97</f>
        <v>302457.69289948273</v>
      </c>
      <c r="DT17" s="84">
        <f>DT97</f>
        <v>304121.90507686313</v>
      </c>
      <c r="DU17" s="84">
        <f>DU97</f>
        <v>306867.14306702063</v>
      </c>
      <c r="DV17" s="83">
        <f>DU17</f>
        <v>306867.14306702063</v>
      </c>
      <c r="DW17" s="84">
        <f>DW97</f>
        <v>308774.33302680129</v>
      </c>
      <c r="DX17" s="84">
        <f>DX97</f>
        <v>311478.90593445441</v>
      </c>
      <c r="DY17" s="84">
        <f>DY97</f>
        <v>314701.91027186706</v>
      </c>
      <c r="DZ17" s="84">
        <f>DZ97</f>
        <v>318806.91565525311</v>
      </c>
      <c r="EA17" s="83">
        <f>DZ17</f>
        <v>318806.91565525311</v>
      </c>
      <c r="EB17" s="84">
        <f>EB97</f>
        <v>321941.67199116945</v>
      </c>
      <c r="EC17" s="84">
        <f>EC97</f>
        <v>325679.09984999313</v>
      </c>
      <c r="ED17" s="84">
        <f>ED97</f>
        <v>329756.33009494055</v>
      </c>
      <c r="EE17" s="84">
        <f>EE97</f>
        <v>334430.65535404539</v>
      </c>
      <c r="EF17" s="83">
        <f>EE17</f>
        <v>334430.65535404539</v>
      </c>
    </row>
    <row r="18" spans="1:136">
      <c r="A18" s="71" t="s">
        <v>114</v>
      </c>
      <c r="B18" s="160">
        <v>41340</v>
      </c>
      <c r="C18" s="160">
        <v>31136</v>
      </c>
      <c r="D18" s="160">
        <v>35834</v>
      </c>
      <c r="E18" s="160">
        <v>177219</v>
      </c>
      <c r="F18" s="89">
        <f t="shared" si="13"/>
        <v>177219</v>
      </c>
      <c r="G18" s="160">
        <v>131924.5</v>
      </c>
      <c r="H18" s="160">
        <v>92586</v>
      </c>
      <c r="I18" s="160">
        <v>68467</v>
      </c>
      <c r="J18" s="160">
        <v>94885</v>
      </c>
      <c r="K18" s="89">
        <f t="shared" si="14"/>
        <v>94885</v>
      </c>
      <c r="L18" s="160">
        <v>112032</v>
      </c>
      <c r="M18" s="160">
        <v>138416</v>
      </c>
      <c r="N18" s="160">
        <v>136156</v>
      </c>
      <c r="O18" s="160">
        <v>103280</v>
      </c>
      <c r="P18" s="83">
        <f t="shared" si="15"/>
        <v>103280</v>
      </c>
      <c r="Q18" s="160">
        <f>104595+1</f>
        <v>104596</v>
      </c>
      <c r="R18" s="160">
        <f>173792+2580</f>
        <v>176372</v>
      </c>
      <c r="S18" s="160">
        <f>117488+2600</f>
        <v>120088</v>
      </c>
      <c r="T18" s="160">
        <v>172416</v>
      </c>
      <c r="U18" s="83">
        <f t="shared" si="16"/>
        <v>172416</v>
      </c>
      <c r="V18" s="160">
        <v>134712</v>
      </c>
      <c r="W18" s="160">
        <v>122953</v>
      </c>
      <c r="X18" s="160">
        <f>101347+8674</f>
        <v>110021</v>
      </c>
      <c r="Y18" s="160">
        <f>(75597+98161)+26099</f>
        <v>199857</v>
      </c>
      <c r="Z18" s="83">
        <f t="shared" si="21"/>
        <v>199857</v>
      </c>
      <c r="AA18" s="160">
        <f>(85839+74262)+15052</f>
        <v>175153</v>
      </c>
      <c r="AB18" s="160">
        <f>(87124+44803)+14380</f>
        <v>146307</v>
      </c>
      <c r="AC18" s="160">
        <v>89642</v>
      </c>
      <c r="AD18" s="160">
        <f>(109485)+13133+104884</f>
        <v>227502</v>
      </c>
      <c r="AE18" s="83">
        <f t="shared" si="22"/>
        <v>227502</v>
      </c>
      <c r="AF18" s="160">
        <f>(119637)+20985+140277</f>
        <v>280899</v>
      </c>
      <c r="AG18" s="160">
        <f>(102565)+15822+186467</f>
        <v>304854</v>
      </c>
      <c r="AH18" s="160">
        <f>(93294)+13948+188159</f>
        <v>295401</v>
      </c>
      <c r="AI18" s="160">
        <f>50620+13353+188640</f>
        <v>252613</v>
      </c>
      <c r="AJ18" s="83">
        <f>AI18</f>
        <v>252613</v>
      </c>
      <c r="AK18" s="160">
        <f>8630162+3603662-AK6-AK7-AK8-AK11-AK15-AK16-AK17</f>
        <v>361535</v>
      </c>
      <c r="AL18" s="160">
        <f>12931957-AL19-AL17-AL16-AL15-AL11-AL8-AL7-AL6</f>
        <v>336620</v>
      </c>
      <c r="AM18" s="160">
        <f>13496668-AM19-SUM(AM15:AM17)-AM11-AM8-AM7-AM6</f>
        <v>345236</v>
      </c>
      <c r="AN18" s="160">
        <f>13644677-AN19-SUM(AN15:AN17)-AN11-AN8-AN7-AN6</f>
        <v>516719</v>
      </c>
      <c r="AO18" s="83">
        <f>AN18</f>
        <v>516719</v>
      </c>
      <c r="AP18" s="160">
        <f>13531460-AP19-SUM(AP15:AP17)-AP11-AP8-AP7-AP6</f>
        <v>394686</v>
      </c>
      <c r="AQ18" s="160">
        <f>13603554-AQ19-SUM(AQ15:AQ17)-AQ11-AQ8-AQ7-AQ6</f>
        <v>510773</v>
      </c>
      <c r="AR18" s="160">
        <f>13616873-AR19-SUM(AR15:AR17)-AR11-AR8-AR7-AR6</f>
        <v>542734</v>
      </c>
      <c r="AS18" s="160">
        <f>13607903-AS19-SUM(AS15:AS17)-AS11-AS8-AS7-AS6</f>
        <v>765406</v>
      </c>
      <c r="AT18" s="83">
        <f>AS18</f>
        <v>765406</v>
      </c>
      <c r="AU18" s="160">
        <f>13898293-AU19-SUM(AU15:AU17)-AU11-AU8-AU7-AU6</f>
        <v>816301</v>
      </c>
      <c r="AV18" s="160">
        <f>13620424-AV19-SUM(AV15:AV17)-AV11-AV8-AV7-AV6</f>
        <v>884299</v>
      </c>
      <c r="AW18" s="160">
        <f>14039473-AW19-SUM(AW15:AW17)-AW11-AW8-AW7-AW6</f>
        <v>934720</v>
      </c>
      <c r="AX18" s="160">
        <f>14387099-AX19-SUM(AX15:AX17)-AX11-AX8-AX7-AX6</f>
        <v>912652</v>
      </c>
      <c r="AY18" s="83">
        <f>AX18</f>
        <v>912652</v>
      </c>
      <c r="AZ18" s="160">
        <f>14416449-AZ19-SUM(AZ15:AZ17)-AZ11-AZ8-AZ7-AZ6</f>
        <v>851042</v>
      </c>
      <c r="BA18" s="160">
        <f>13896935-BA19-SUM(BA15:BA17)-BA11-BA8-BA7-BA6</f>
        <v>805345</v>
      </c>
      <c r="BB18" s="160">
        <f>13965433-BB19-SUM(BB15:BB17)-BB11-BB8-BB7-BB6</f>
        <v>733705</v>
      </c>
      <c r="BC18" s="160">
        <f>13420612-BC19-SUM(BC15:BC17)-BC11-BC8-BC7-BC6</f>
        <v>319382</v>
      </c>
      <c r="BD18" s="83">
        <f t="shared" si="27"/>
        <v>319382</v>
      </c>
      <c r="BE18" s="160">
        <f>13326248-BE19-SUM(BE15:BE17)-BE11-BE8-BE7-BE6</f>
        <v>328534</v>
      </c>
      <c r="BF18" s="160">
        <f>13314373-BF19-SUM(BF15:BF17)-BF11-BF8-BF7-BF6</f>
        <v>219087</v>
      </c>
      <c r="BG18" s="160">
        <f>13416693-BG19-SUM(BG15:BG17)-BG11-BG8-BG7-BG6</f>
        <v>235314</v>
      </c>
      <c r="BH18" s="160">
        <f>12729588-BH19-SUM(BH15:BH17)-BH11-BH8-BH7-BH6</f>
        <v>220442</v>
      </c>
      <c r="BI18" s="83">
        <f t="shared" si="28"/>
        <v>220442</v>
      </c>
      <c r="BJ18" s="160">
        <f>12666844-BJ19-SUM(BJ15:BJ17)-BJ11-BJ8-BJ7-BJ6</f>
        <v>209361</v>
      </c>
      <c r="BK18" s="160">
        <f>12243534-BK19-SUM(BK15:BK17)-BK11-BK8-BK7-BK6</f>
        <v>177884</v>
      </c>
      <c r="BL18" s="160">
        <f>12079418-BL19-SUM(BL15:BL17)-BL11-BL8-BL7-BL6</f>
        <v>215230</v>
      </c>
      <c r="BM18" s="160">
        <f>11879699-BM19-SUM(BM15:BM17)-BM11-BM8-BM7-BM6</f>
        <v>177256</v>
      </c>
      <c r="BN18" s="83">
        <f t="shared" si="29"/>
        <v>177256</v>
      </c>
      <c r="BO18" s="160">
        <f>11940930-BO19-SUM(BO15:BO17)-BO11-BO8-BO7-BO6</f>
        <v>185358</v>
      </c>
      <c r="BP18" s="160">
        <f>11340173-BP19-SUM(BP15:BP17)-BP11-BP8-BP7-BP6</f>
        <v>177238</v>
      </c>
      <c r="BQ18" s="160">
        <f>10931386-BQ19-SUM(BQ15:BQ17)-BQ11-BQ8-BQ7-BQ6</f>
        <v>179023</v>
      </c>
      <c r="BR18" s="160">
        <f>10401541-BR19-SUM(BR15:BR17)-BR11-BR8-BR7-BR6</f>
        <v>165667</v>
      </c>
      <c r="BS18" s="83">
        <f t="shared" si="30"/>
        <v>165667</v>
      </c>
      <c r="BT18" s="160">
        <f>9652269-BT19-SUM(BT15:BT17)-BT11-BT8-BT7-BT6</f>
        <v>153334</v>
      </c>
      <c r="BU18" s="160">
        <f>10010071-BU19-SUM(BU15:BU17)-BU11-BU8-BU7-BU6</f>
        <v>181217</v>
      </c>
      <c r="BV18" s="160">
        <f>10499600-BV19-SUM(BV15:BV17)-BV11-BV8-BV7-BV6</f>
        <v>186184</v>
      </c>
      <c r="BW18" s="160">
        <f>9829268-BW19-SUM(BW15:BW17)-BW11-BW8-BW7-BW6</f>
        <v>181530</v>
      </c>
      <c r="BX18" s="83">
        <f t="shared" si="31"/>
        <v>181530</v>
      </c>
      <c r="BY18" s="160">
        <f>9742527-BY19-SUM(BY15:BY17)-BY11-BY8-BY7-BY6</f>
        <v>154701</v>
      </c>
      <c r="BZ18" s="160">
        <f>9772333-BZ19-SUM(BZ15:BZ17)-BZ11-BZ8-BZ7-BZ6</f>
        <v>138060</v>
      </c>
      <c r="CA18" s="160">
        <f>9971372-CA19-SUM(CA15:CA17)-CA11-CA8-CA7-CA6</f>
        <v>142618</v>
      </c>
      <c r="CB18" s="160">
        <f>9987778-CB19-SUM(CB15:CB17)-CB11-CB8-CB7-CB6</f>
        <v>133902</v>
      </c>
      <c r="CC18" s="83">
        <f t="shared" si="32"/>
        <v>133902</v>
      </c>
      <c r="CD18" s="160">
        <f>10290824-CD19-SUM(CD15:CD17)-CD11-CD8-CD7-CD6</f>
        <v>179721</v>
      </c>
      <c r="CE18" s="160">
        <f>10908726-CE19-SUM(CE15:CE17)-CE11-CE8-CE7-CE6</f>
        <v>180121</v>
      </c>
      <c r="CF18" s="160">
        <f>11391783-CF19-SUM(CF15:CF17)-CF11-CF8-CF7-CF6</f>
        <v>182358</v>
      </c>
      <c r="CG18" s="160">
        <f>11433926-CG19-SUM(CG15:CG17)-CG11-CG8-CG7-CG6</f>
        <v>195129</v>
      </c>
      <c r="CH18" s="83">
        <f>CG18</f>
        <v>195129</v>
      </c>
      <c r="CI18" s="160">
        <f>11657074-CI19-SUM(CI15:CI17)-CI11-CI8-CI7-CI6</f>
        <v>221707</v>
      </c>
      <c r="CJ18" s="160">
        <f>12376658-CJ19-SUM(CJ15:CJ17)-CJ11-CJ8-CJ7-CJ6</f>
        <v>207486</v>
      </c>
      <c r="CK18" s="160">
        <f>13162967-CK19-SUM(CK15:CK17)-CK11-CK8-CK7-CK6</f>
        <v>212891</v>
      </c>
      <c r="CL18" s="160">
        <f>13841170-CL19-SUM(CL15:CL17)-CL11-CL8-CL7-CL6</f>
        <v>218211</v>
      </c>
      <c r="CM18" s="83">
        <f>CL18</f>
        <v>218211</v>
      </c>
      <c r="CN18" s="160">
        <f>14217086-CN19-SUM(CN15:CN17)-CN11-CN8-CN7-CN6</f>
        <v>234360</v>
      </c>
      <c r="CO18" s="160">
        <f>14743262-CO19-SUM(CO15:CO17)-CO11-CO8-CO7-CO6</f>
        <v>219598</v>
      </c>
      <c r="CP18" s="160">
        <f>15685516-CP19-SUM(CP15:CP17)-CP11-CP8-CP7-CP6</f>
        <v>251219</v>
      </c>
      <c r="CQ18" s="160">
        <f>16560139-CQ19-SUM(CQ15:CQ17)-CQ11-CQ8-CQ7-CQ6</f>
        <v>272256</v>
      </c>
      <c r="CR18" s="83">
        <f>CQ18</f>
        <v>272256</v>
      </c>
      <c r="CS18" s="160">
        <f>16321140-CS19-SUM(CS15:CS17)-CS11-CS8-CS7-CS6</f>
        <v>287111</v>
      </c>
      <c r="CT18" s="160">
        <f>16825149-CT19-SUM(CT15:CT17)-CT11-CT8-CT7-CT6</f>
        <v>290212</v>
      </c>
      <c r="CU18" s="160">
        <f>17023249-CU19-SUM(CU15:CU17)-CU11-CU8-CU7-CU6</f>
        <v>308260</v>
      </c>
      <c r="CV18" s="160">
        <f>17371200-CV19-SUM(CV15:CV17)-CV11-CV8-CV7-CV6</f>
        <v>415296</v>
      </c>
      <c r="CW18" s="83">
        <f>CV18</f>
        <v>415296</v>
      </c>
      <c r="CX18" s="160">
        <f>17462659-CX19-SUM(CX15:CX17)-CX11-CX8-CX7-CX6</f>
        <v>705626</v>
      </c>
      <c r="CY18" s="160">
        <f>18260036-CY19-SUM(CY15:CY17)-CY11-CY8-CY7-CY6</f>
        <v>765192</v>
      </c>
      <c r="CZ18" s="160">
        <f>19574005-CZ19-SUM(CZ15:CZ17)-CZ11-CZ8-CZ7-CZ6</f>
        <v>749919</v>
      </c>
      <c r="DA18" s="160">
        <f>21240962-DA19-SUM(DA15:DA17)-DA11-DA8-DA7-DA6</f>
        <v>593273</v>
      </c>
      <c r="DB18" s="83">
        <f>DA18</f>
        <v>593273</v>
      </c>
      <c r="DC18" s="160">
        <f>21847715-DC19-SUM(DC15:DC17)-DC11-DC8-DC7-DC6</f>
        <v>623032</v>
      </c>
      <c r="DD18" s="160">
        <f>23414787-DD19-SUM(DD15:DD17)-DD11-DD8-DD7-DD6</f>
        <v>648563</v>
      </c>
      <c r="DE18" s="160">
        <f>24950414-DE19-SUM(DE15:DE17)-DE11-DE8-DE7-DE6</f>
        <v>730750</v>
      </c>
      <c r="DF18" s="160">
        <f>26109817-DF19-SUM(DF15:DF17)-DF11-DF8-DF7-DF6</f>
        <v>669125</v>
      </c>
      <c r="DG18" s="83">
        <f>DF18</f>
        <v>669125</v>
      </c>
      <c r="DH18" s="160">
        <f>26714090-DH19-SUM(DH15:DH17)-DH11-DH8-DH7-DH6</f>
        <v>708744</v>
      </c>
      <c r="DI18" s="160">
        <f>27740895-DI19-SUM(DI15:DI17)-DI11-DI8-DI7-DI6</f>
        <v>750356</v>
      </c>
      <c r="DJ18" s="160">
        <f>DI18</f>
        <v>750356</v>
      </c>
      <c r="DK18" s="160">
        <f>DJ18</f>
        <v>750356</v>
      </c>
      <c r="DL18" s="83">
        <f>DK18</f>
        <v>750356</v>
      </c>
      <c r="DM18" s="160">
        <f>DL18</f>
        <v>750356</v>
      </c>
      <c r="DN18" s="160">
        <f>DM18</f>
        <v>750356</v>
      </c>
      <c r="DO18" s="160">
        <f>DN18</f>
        <v>750356</v>
      </c>
      <c r="DP18" s="160">
        <f>DO18</f>
        <v>750356</v>
      </c>
      <c r="DQ18" s="83">
        <f>DP18</f>
        <v>750356</v>
      </c>
      <c r="DR18" s="160">
        <f>DQ18</f>
        <v>750356</v>
      </c>
      <c r="DS18" s="160">
        <f>DR18</f>
        <v>750356</v>
      </c>
      <c r="DT18" s="160">
        <f>DS18</f>
        <v>750356</v>
      </c>
      <c r="DU18" s="160">
        <f>DT18</f>
        <v>750356</v>
      </c>
      <c r="DV18" s="83">
        <f>DU18</f>
        <v>750356</v>
      </c>
      <c r="DW18" s="160">
        <f>DV18</f>
        <v>750356</v>
      </c>
      <c r="DX18" s="160">
        <f>DW18</f>
        <v>750356</v>
      </c>
      <c r="DY18" s="160">
        <f>DX18</f>
        <v>750356</v>
      </c>
      <c r="DZ18" s="160">
        <f>DY18</f>
        <v>750356</v>
      </c>
      <c r="EA18" s="83">
        <f>DZ18</f>
        <v>750356</v>
      </c>
      <c r="EB18" s="160">
        <f>EA18</f>
        <v>750356</v>
      </c>
      <c r="EC18" s="160">
        <f>EB18</f>
        <v>750356</v>
      </c>
      <c r="ED18" s="160">
        <f>EC18</f>
        <v>750356</v>
      </c>
      <c r="EE18" s="160">
        <f>ED18</f>
        <v>750356</v>
      </c>
      <c r="EF18" s="83">
        <f>EE18</f>
        <v>750356</v>
      </c>
    </row>
    <row r="19" spans="1:136" s="157" customFormat="1">
      <c r="A19" s="191" t="s">
        <v>41</v>
      </c>
      <c r="B19" s="192">
        <f t="shared" ref="B19:AG19" si="46">B20+B21+B22+B23</f>
        <v>78445</v>
      </c>
      <c r="C19" s="192">
        <f t="shared" si="46"/>
        <v>77930</v>
      </c>
      <c r="D19" s="192">
        <f t="shared" si="46"/>
        <v>75577</v>
      </c>
      <c r="E19" s="192">
        <f t="shared" si="46"/>
        <v>88838</v>
      </c>
      <c r="F19" s="193">
        <f t="shared" si="46"/>
        <v>88838</v>
      </c>
      <c r="G19" s="192">
        <f t="shared" si="46"/>
        <v>100142.5</v>
      </c>
      <c r="H19" s="192">
        <f t="shared" si="46"/>
        <v>111447</v>
      </c>
      <c r="I19" s="192">
        <f t="shared" si="46"/>
        <v>110363</v>
      </c>
      <c r="J19" s="192">
        <f t="shared" si="46"/>
        <v>111932</v>
      </c>
      <c r="K19" s="193">
        <f t="shared" si="46"/>
        <v>111932</v>
      </c>
      <c r="L19" s="192">
        <f t="shared" si="46"/>
        <v>114787</v>
      </c>
      <c r="M19" s="192">
        <f t="shared" si="46"/>
        <v>184655</v>
      </c>
      <c r="N19" s="192">
        <f t="shared" si="46"/>
        <v>183548</v>
      </c>
      <c r="O19" s="192">
        <f t="shared" si="46"/>
        <v>212233</v>
      </c>
      <c r="P19" s="193">
        <f t="shared" si="46"/>
        <v>212233</v>
      </c>
      <c r="Q19" s="192">
        <f t="shared" si="46"/>
        <v>513978</v>
      </c>
      <c r="R19" s="192">
        <f t="shared" si="46"/>
        <v>196692</v>
      </c>
      <c r="S19" s="192">
        <f t="shared" si="46"/>
        <v>207125</v>
      </c>
      <c r="T19" s="192">
        <f t="shared" si="46"/>
        <v>231991</v>
      </c>
      <c r="U19" s="193">
        <f t="shared" si="46"/>
        <v>231991</v>
      </c>
      <c r="V19" s="192">
        <f t="shared" si="46"/>
        <v>251063</v>
      </c>
      <c r="W19" s="192">
        <f t="shared" si="46"/>
        <v>255124</v>
      </c>
      <c r="X19" s="192">
        <f t="shared" si="46"/>
        <v>263627</v>
      </c>
      <c r="Y19" s="192">
        <f t="shared" si="46"/>
        <v>405334</v>
      </c>
      <c r="Z19" s="193">
        <f t="shared" si="46"/>
        <v>405334</v>
      </c>
      <c r="AA19" s="192">
        <f t="shared" si="46"/>
        <v>415235</v>
      </c>
      <c r="AB19" s="192">
        <f t="shared" si="46"/>
        <v>444906</v>
      </c>
      <c r="AC19" s="192">
        <f t="shared" si="46"/>
        <v>264356</v>
      </c>
      <c r="AD19" s="192">
        <f t="shared" si="46"/>
        <v>253527</v>
      </c>
      <c r="AE19" s="193">
        <f t="shared" si="46"/>
        <v>253527</v>
      </c>
      <c r="AF19" s="192">
        <f t="shared" si="46"/>
        <v>256374</v>
      </c>
      <c r="AG19" s="192">
        <f t="shared" si="46"/>
        <v>265872</v>
      </c>
      <c r="AH19" s="192">
        <f t="shared" ref="AH19:BM19" si="47">AH20+AH21+AH22+AH23</f>
        <v>270386</v>
      </c>
      <c r="AI19" s="192">
        <f t="shared" si="47"/>
        <v>265592</v>
      </c>
      <c r="AJ19" s="193">
        <f t="shared" si="47"/>
        <v>265592</v>
      </c>
      <c r="AK19" s="192">
        <f t="shared" si="47"/>
        <v>255215</v>
      </c>
      <c r="AL19" s="192">
        <f>AL20+AL21+AL22+AL23</f>
        <v>254195</v>
      </c>
      <c r="AM19" s="192">
        <f t="shared" si="47"/>
        <v>277341</v>
      </c>
      <c r="AN19" s="192">
        <f t="shared" si="47"/>
        <v>292629</v>
      </c>
      <c r="AO19" s="193">
        <f t="shared" si="47"/>
        <v>292629</v>
      </c>
      <c r="AP19" s="192">
        <f>AP20+AP21+AP22+AP23</f>
        <v>284894</v>
      </c>
      <c r="AQ19" s="192">
        <f>AQ20+AQ21+AQ22+AQ23</f>
        <v>280897</v>
      </c>
      <c r="AR19" s="192">
        <f>AR20+AR21+AR22+AR23</f>
        <v>268429</v>
      </c>
      <c r="AS19" s="192">
        <f t="shared" si="47"/>
        <v>917627</v>
      </c>
      <c r="AT19" s="193">
        <f t="shared" si="47"/>
        <v>917627</v>
      </c>
      <c r="AU19" s="192">
        <f t="shared" si="47"/>
        <v>1297663</v>
      </c>
      <c r="AV19" s="192">
        <f t="shared" si="47"/>
        <v>915834</v>
      </c>
      <c r="AW19" s="192">
        <f t="shared" si="47"/>
        <v>928867</v>
      </c>
      <c r="AX19" s="192">
        <f t="shared" si="47"/>
        <v>955273</v>
      </c>
      <c r="AY19" s="193">
        <f t="shared" si="47"/>
        <v>955273</v>
      </c>
      <c r="AZ19" s="192">
        <f t="shared" si="47"/>
        <v>971274</v>
      </c>
      <c r="BA19" s="192">
        <f t="shared" si="47"/>
        <v>973779</v>
      </c>
      <c r="BB19" s="192">
        <f t="shared" si="47"/>
        <v>991157</v>
      </c>
      <c r="BC19" s="192">
        <f>BC20+BC21+BC22+BC23</f>
        <v>966824</v>
      </c>
      <c r="BD19" s="193">
        <f t="shared" si="47"/>
        <v>966824</v>
      </c>
      <c r="BE19" s="192">
        <f t="shared" si="47"/>
        <v>918888</v>
      </c>
      <c r="BF19" s="192">
        <f t="shared" si="47"/>
        <v>1023452</v>
      </c>
      <c r="BG19" s="192">
        <f t="shared" si="47"/>
        <v>996707</v>
      </c>
      <c r="BH19" s="192">
        <f t="shared" si="47"/>
        <v>970602</v>
      </c>
      <c r="BI19" s="193">
        <f t="shared" si="47"/>
        <v>970602</v>
      </c>
      <c r="BJ19" s="192">
        <f t="shared" si="47"/>
        <v>909991</v>
      </c>
      <c r="BK19" s="192">
        <f t="shared" si="47"/>
        <v>896773</v>
      </c>
      <c r="BL19" s="192">
        <f t="shared" si="47"/>
        <v>931724</v>
      </c>
      <c r="BM19" s="192">
        <f t="shared" si="47"/>
        <v>1055098</v>
      </c>
      <c r="BN19" s="193">
        <f t="shared" ref="BN19:CC19" si="48">BN20+BN21+BN22+BN23</f>
        <v>1055098</v>
      </c>
      <c r="BO19" s="192">
        <f t="shared" si="48"/>
        <v>1043072</v>
      </c>
      <c r="BP19" s="192">
        <f t="shared" si="48"/>
        <v>1024100</v>
      </c>
      <c r="BQ19" s="192">
        <f t="shared" si="48"/>
        <v>919252</v>
      </c>
      <c r="BR19" s="192">
        <f t="shared" si="48"/>
        <v>937790</v>
      </c>
      <c r="BS19" s="193">
        <f t="shared" si="48"/>
        <v>937790</v>
      </c>
      <c r="BT19" s="192">
        <f t="shared" si="48"/>
        <v>1018346</v>
      </c>
      <c r="BU19" s="192">
        <f t="shared" si="48"/>
        <v>978316</v>
      </c>
      <c r="BV19" s="192">
        <f t="shared" si="48"/>
        <v>959099</v>
      </c>
      <c r="BW19" s="192">
        <f t="shared" si="48"/>
        <v>972371</v>
      </c>
      <c r="BX19" s="193">
        <f t="shared" si="48"/>
        <v>972371</v>
      </c>
      <c r="BY19" s="192">
        <f t="shared" si="48"/>
        <v>884031</v>
      </c>
      <c r="BZ19" s="192">
        <f>BZ20+BZ21+BZ22+BZ23</f>
        <v>884031</v>
      </c>
      <c r="CA19" s="192">
        <f t="shared" si="48"/>
        <v>947444</v>
      </c>
      <c r="CB19" s="192">
        <f t="shared" si="48"/>
        <v>935101</v>
      </c>
      <c r="CC19" s="193">
        <f t="shared" si="48"/>
        <v>935101</v>
      </c>
      <c r="CD19" s="192">
        <f>CD20+CD21+CD22+CD23</f>
        <v>903682</v>
      </c>
      <c r="CE19" s="192">
        <f>CE20+CE21+CE22+CE23</f>
        <v>894231</v>
      </c>
      <c r="CF19" s="192">
        <f t="shared" ref="CF19:DG19" si="49">CF20+CF21+CF22+CF23</f>
        <v>2171257</v>
      </c>
      <c r="CG19" s="192">
        <f t="shared" si="49"/>
        <v>2160422</v>
      </c>
      <c r="CH19" s="193">
        <f t="shared" si="49"/>
        <v>2160422</v>
      </c>
      <c r="CI19" s="192">
        <f>CI20+CI21+CI22+CI23</f>
        <v>2235034</v>
      </c>
      <c r="CJ19" s="192">
        <f>CJ20+CJ21+CJ22+CJ23</f>
        <v>2216174</v>
      </c>
      <c r="CK19" s="192">
        <f>CK20+CK21+CK22+CK23</f>
        <v>2274312</v>
      </c>
      <c r="CL19" s="192">
        <f>CL20+CL21+CL22+CL23</f>
        <v>2230109</v>
      </c>
      <c r="CM19" s="193">
        <f t="shared" si="49"/>
        <v>2230109</v>
      </c>
      <c r="CN19" s="192">
        <f t="shared" si="49"/>
        <v>2352370</v>
      </c>
      <c r="CO19" s="192">
        <f t="shared" si="49"/>
        <v>2488753</v>
      </c>
      <c r="CP19" s="192">
        <f t="shared" si="49"/>
        <v>2635265</v>
      </c>
      <c r="CQ19" s="192">
        <f t="shared" si="49"/>
        <v>2590052</v>
      </c>
      <c r="CR19" s="193">
        <f t="shared" si="49"/>
        <v>2590052</v>
      </c>
      <c r="CS19" s="192">
        <f>CS20+CS21+CS22+CS23</f>
        <v>2638860</v>
      </c>
      <c r="CT19" s="192">
        <f>CT20+CT21+CT22+CT23</f>
        <v>2663566</v>
      </c>
      <c r="CU19" s="192">
        <f>CU20+CU21+CU22+CU23</f>
        <v>2705262</v>
      </c>
      <c r="CV19" s="192">
        <f>CV20+CV21+CV22+CV23</f>
        <v>2773324</v>
      </c>
      <c r="CW19" s="193">
        <f t="shared" si="49"/>
        <v>2773324</v>
      </c>
      <c r="CX19" s="192">
        <f t="shared" si="49"/>
        <v>2884924</v>
      </c>
      <c r="CY19" s="192">
        <f t="shared" si="49"/>
        <v>3068743</v>
      </c>
      <c r="CZ19" s="192">
        <f>CZ20+CZ21+CZ22+CZ23</f>
        <v>3197645</v>
      </c>
      <c r="DA19" s="192">
        <f>DA20+DA21+DA22+DA23</f>
        <v>3434191</v>
      </c>
      <c r="DB19" s="193">
        <f t="shared" si="49"/>
        <v>3434191</v>
      </c>
      <c r="DC19" s="192">
        <f t="shared" ref="DC19" si="50">DC20+DC21+DC22+DC23</f>
        <v>3371277</v>
      </c>
      <c r="DD19" s="192">
        <f>DD20+DD21+DD22+DD23</f>
        <v>3423754</v>
      </c>
      <c r="DE19" s="192">
        <f>DE20+DE21+DE22+DE23</f>
        <v>3505851</v>
      </c>
      <c r="DF19" s="192">
        <f>DF20+DF21+DF22+DF23</f>
        <v>3905094</v>
      </c>
      <c r="DG19" s="193">
        <f t="shared" si="49"/>
        <v>3905094</v>
      </c>
      <c r="DH19" s="192">
        <f>DH20+DH21+DH22+DH23</f>
        <v>3847449</v>
      </c>
      <c r="DI19" s="192">
        <f>DI20+DI21+DI22+DI23</f>
        <v>3973037</v>
      </c>
      <c r="DJ19" s="192">
        <f>DJ20+DJ21+DJ22+DJ23</f>
        <v>3939166.2725979267</v>
      </c>
      <c r="DK19" s="192">
        <f>DK20+DK21+DK22+DK23</f>
        <v>4077463.3405419374</v>
      </c>
      <c r="DL19" s="193">
        <f>DL20+DL21+DL22+DL23</f>
        <v>4077463.3405419374</v>
      </c>
      <c r="DM19" s="192">
        <f t="shared" ref="DM19:EF19" si="51">DM20+DM21+DM22+DM23</f>
        <v>4067271.1974359602</v>
      </c>
      <c r="DN19" s="192">
        <f t="shared" si="51"/>
        <v>4204784.8236113759</v>
      </c>
      <c r="DO19" s="192">
        <f t="shared" si="51"/>
        <v>4383406.3688773317</v>
      </c>
      <c r="DP19" s="192">
        <f t="shared" si="51"/>
        <v>4554280.5006896025</v>
      </c>
      <c r="DQ19" s="193">
        <f t="shared" si="51"/>
        <v>4554280.5006896025</v>
      </c>
      <c r="DR19" s="192">
        <f t="shared" si="51"/>
        <v>4665017.9723217124</v>
      </c>
      <c r="DS19" s="192">
        <f t="shared" si="51"/>
        <v>4781763.7245164718</v>
      </c>
      <c r="DT19" s="192">
        <f t="shared" si="51"/>
        <v>4914019.6429915633</v>
      </c>
      <c r="DU19" s="192">
        <f t="shared" si="51"/>
        <v>5099808.7443994433</v>
      </c>
      <c r="DV19" s="193">
        <f t="shared" si="51"/>
        <v>5099808.7443994433</v>
      </c>
      <c r="DW19" s="192">
        <f t="shared" si="51"/>
        <v>5140240.2953621019</v>
      </c>
      <c r="DX19" s="192">
        <f t="shared" si="51"/>
        <v>5218079.1387039078</v>
      </c>
      <c r="DY19" s="192">
        <f t="shared" si="51"/>
        <v>5279439.580212607</v>
      </c>
      <c r="DZ19" s="192">
        <f t="shared" si="51"/>
        <v>5359665.7920658458</v>
      </c>
      <c r="EA19" s="193">
        <f t="shared" si="51"/>
        <v>5359665.7920658458</v>
      </c>
      <c r="EB19" s="192">
        <f t="shared" si="51"/>
        <v>5327351.5070451228</v>
      </c>
      <c r="EC19" s="192">
        <f t="shared" si="51"/>
        <v>5365449.8206670759</v>
      </c>
      <c r="ED19" s="192">
        <f t="shared" si="51"/>
        <v>5437873.6594528127</v>
      </c>
      <c r="EE19" s="192">
        <f t="shared" si="51"/>
        <v>5515857.4481826574</v>
      </c>
      <c r="EF19" s="193">
        <f t="shared" si="51"/>
        <v>5515857.4481826574</v>
      </c>
    </row>
    <row r="20" spans="1:136" outlineLevel="1">
      <c r="A20" s="403" t="s">
        <v>22</v>
      </c>
      <c r="B20" s="159">
        <v>1145</v>
      </c>
      <c r="C20" s="159">
        <v>1014</v>
      </c>
      <c r="D20" s="159">
        <v>891</v>
      </c>
      <c r="E20" s="159">
        <v>758</v>
      </c>
      <c r="F20" s="89">
        <f>E20</f>
        <v>758</v>
      </c>
      <c r="G20" s="201">
        <f>AVERAGE(E20,H20)</f>
        <v>647.5</v>
      </c>
      <c r="H20" s="159">
        <v>537</v>
      </c>
      <c r="I20" s="159">
        <v>373</v>
      </c>
      <c r="J20" s="159">
        <v>1814</v>
      </c>
      <c r="K20" s="89">
        <f>J20</f>
        <v>1814</v>
      </c>
      <c r="L20" s="160">
        <v>1719</v>
      </c>
      <c r="M20" s="160">
        <v>40106</v>
      </c>
      <c r="N20" s="160">
        <v>38689</v>
      </c>
      <c r="O20" s="202">
        <v>67859</v>
      </c>
      <c r="P20" s="89">
        <f>O20</f>
        <v>67859</v>
      </c>
      <c r="Q20" s="160">
        <v>67460</v>
      </c>
      <c r="R20" s="160">
        <f>153959+32816</f>
        <v>186775</v>
      </c>
      <c r="S20" s="160">
        <f>153959</f>
        <v>153959</v>
      </c>
      <c r="T20" s="202">
        <v>152583</v>
      </c>
      <c r="U20" s="89">
        <f>T20</f>
        <v>152583</v>
      </c>
      <c r="V20" s="160">
        <v>152583</v>
      </c>
      <c r="W20" s="160">
        <v>152583</v>
      </c>
      <c r="X20" s="160">
        <v>152583</v>
      </c>
      <c r="Y20" s="202">
        <v>222770</v>
      </c>
      <c r="Z20" s="89">
        <f>Y20</f>
        <v>222770</v>
      </c>
      <c r="AA20" s="160">
        <v>221129</v>
      </c>
      <c r="AB20" s="160">
        <v>225230</v>
      </c>
      <c r="AC20" s="160">
        <v>11119</v>
      </c>
      <c r="AD20" s="202">
        <v>12210</v>
      </c>
      <c r="AE20" s="89">
        <f t="shared" ref="AE20:AF23" si="52">AD20</f>
        <v>12210</v>
      </c>
      <c r="AF20" s="160">
        <v>13885</v>
      </c>
      <c r="AG20" s="160">
        <v>12665</v>
      </c>
      <c r="AH20" s="160">
        <v>15203</v>
      </c>
      <c r="AI20" s="202">
        <v>6179</v>
      </c>
      <c r="AJ20" s="89">
        <f>AI20</f>
        <v>6179</v>
      </c>
      <c r="AK20" s="160">
        <v>6324</v>
      </c>
      <c r="AL20" s="160">
        <v>6815</v>
      </c>
      <c r="AM20" s="160">
        <v>6461</v>
      </c>
      <c r="AN20" s="202">
        <v>6886</v>
      </c>
      <c r="AO20" s="89">
        <f>AN20</f>
        <v>6886</v>
      </c>
      <c r="AP20" s="160">
        <v>6737</v>
      </c>
      <c r="AQ20" s="160">
        <v>7336</v>
      </c>
      <c r="AR20" s="160">
        <v>7999</v>
      </c>
      <c r="AS20" s="160">
        <v>665329</v>
      </c>
      <c r="AT20" s="89">
        <f>AS20</f>
        <v>665329</v>
      </c>
      <c r="AU20" s="341">
        <v>1039755</v>
      </c>
      <c r="AV20" s="202">
        <v>681451</v>
      </c>
      <c r="AW20" s="160">
        <v>683728</v>
      </c>
      <c r="AX20" s="160">
        <v>708087</v>
      </c>
      <c r="AY20" s="89">
        <f>AX20</f>
        <v>708087</v>
      </c>
      <c r="AZ20" s="160">
        <v>718234</v>
      </c>
      <c r="BA20" s="160">
        <v>720167</v>
      </c>
      <c r="BB20" s="160">
        <v>739253</v>
      </c>
      <c r="BC20" s="160">
        <v>694614</v>
      </c>
      <c r="BD20" s="89">
        <f>BC20</f>
        <v>694614</v>
      </c>
      <c r="BE20" s="160">
        <v>649890</v>
      </c>
      <c r="BF20" s="160">
        <v>757367</v>
      </c>
      <c r="BG20" s="160">
        <v>753205</v>
      </c>
      <c r="BH20" s="160">
        <v>745841</v>
      </c>
      <c r="BI20" s="89">
        <f>BH20</f>
        <v>745841</v>
      </c>
      <c r="BJ20" s="160">
        <v>716684</v>
      </c>
      <c r="BK20" s="160">
        <v>710950</v>
      </c>
      <c r="BL20" s="160">
        <v>764350</v>
      </c>
      <c r="BM20" s="330">
        <v>903345</v>
      </c>
      <c r="BN20" s="89">
        <f>BM20</f>
        <v>903345</v>
      </c>
      <c r="BO20" s="160">
        <v>907923</v>
      </c>
      <c r="BP20" s="160">
        <v>913701</v>
      </c>
      <c r="BQ20" s="160">
        <v>813509</v>
      </c>
      <c r="BR20" s="160">
        <v>836822</v>
      </c>
      <c r="BS20" s="89">
        <f>BR20</f>
        <v>836822</v>
      </c>
      <c r="BT20" s="160">
        <v>922090</v>
      </c>
      <c r="BU20" s="160">
        <v>888884</v>
      </c>
      <c r="BV20" s="160">
        <v>863604</v>
      </c>
      <c r="BW20" s="160">
        <v>876395</v>
      </c>
      <c r="BX20" s="89">
        <f>BW20</f>
        <v>876395</v>
      </c>
      <c r="BY20" s="160">
        <v>785950</v>
      </c>
      <c r="BZ20" s="160">
        <v>785950</v>
      </c>
      <c r="CA20" s="160">
        <v>832532</v>
      </c>
      <c r="CB20" s="160">
        <v>815090</v>
      </c>
      <c r="CC20" s="89">
        <f>CB20</f>
        <v>815090</v>
      </c>
      <c r="CD20" s="160">
        <v>787155</v>
      </c>
      <c r="CE20" s="160">
        <v>786090</v>
      </c>
      <c r="CF20" s="330">
        <v>2078394</v>
      </c>
      <c r="CG20" s="160">
        <v>2066024</v>
      </c>
      <c r="CH20" s="89">
        <f>CG20</f>
        <v>2066024</v>
      </c>
      <c r="CI20" s="160">
        <v>2144815</v>
      </c>
      <c r="CJ20" s="160">
        <v>2115506</v>
      </c>
      <c r="CK20" s="160">
        <v>2123180</v>
      </c>
      <c r="CL20" s="160">
        <v>2070208</v>
      </c>
      <c r="CM20" s="89">
        <f>CL20</f>
        <v>2070208</v>
      </c>
      <c r="CN20" s="160">
        <v>2184126</v>
      </c>
      <c r="CO20" s="160">
        <v>2262782</v>
      </c>
      <c r="CP20" s="160">
        <v>2262063</v>
      </c>
      <c r="CQ20" s="160">
        <v>2245704</v>
      </c>
      <c r="CR20" s="89">
        <f>CQ20</f>
        <v>2245704</v>
      </c>
      <c r="CS20" s="160">
        <v>2297205</v>
      </c>
      <c r="CT20" s="160">
        <v>2323931</v>
      </c>
      <c r="CU20" s="160">
        <v>2366756</v>
      </c>
      <c r="CV20" s="160">
        <v>2439156</v>
      </c>
      <c r="CW20" s="89">
        <f>CV20</f>
        <v>2439156</v>
      </c>
      <c r="CX20" s="160">
        <v>2572538</v>
      </c>
      <c r="CY20" s="160">
        <v>2759062</v>
      </c>
      <c r="CZ20" s="160">
        <v>2897022</v>
      </c>
      <c r="DA20" s="160">
        <v>3126325</v>
      </c>
      <c r="DB20" s="89">
        <f>DA20</f>
        <v>3126325</v>
      </c>
      <c r="DC20" s="160">
        <v>3066959</v>
      </c>
      <c r="DD20" s="160">
        <v>3115522</v>
      </c>
      <c r="DE20" s="160">
        <v>3198915</v>
      </c>
      <c r="DF20" s="160">
        <v>3156760</v>
      </c>
      <c r="DG20" s="89">
        <f>DF20</f>
        <v>3156760</v>
      </c>
      <c r="DH20" s="160">
        <v>3188170</v>
      </c>
      <c r="DI20" s="160">
        <v>3289627</v>
      </c>
      <c r="DJ20" s="160">
        <f>DI20*(DJ8+DJ11)/(DI8+DI11)</f>
        <v>3251488.9963673777</v>
      </c>
      <c r="DK20" s="160">
        <f>DJ20*(DK8+DK11)/(DJ8+DJ11)</f>
        <v>3385492.1428072443</v>
      </c>
      <c r="DL20" s="89">
        <f>DK20</f>
        <v>3385492.1428072443</v>
      </c>
      <c r="DM20" s="160">
        <f>DL20*(DM8+DM11)/(DL8+DL11)</f>
        <v>3370979.2665479369</v>
      </c>
      <c r="DN20" s="160">
        <f>DM20*(DN8+DN11)/(DM8+DM11)</f>
        <v>3504145.1805063793</v>
      </c>
      <c r="DO20" s="160">
        <f>DN20*(DO8+DO11)/(DN8+DN11)</f>
        <v>3678391.8660319126</v>
      </c>
      <c r="DP20" s="160">
        <f>DO20*(DP8+DP11)/(DO8+DO11)</f>
        <v>3844863.821068625</v>
      </c>
      <c r="DQ20" s="89">
        <f>DP20</f>
        <v>3844863.821068625</v>
      </c>
      <c r="DR20" s="160">
        <f>DQ20*(DR8+DR11)/(DQ8+DQ11)</f>
        <v>3951171.628319907</v>
      </c>
      <c r="DS20" s="160">
        <f>DR20*(DS8+DS11)/(DR8+DR11)</f>
        <v>4063460.0568933804</v>
      </c>
      <c r="DT20" s="160">
        <f>DS20*(DT8+DT11)/(DS8+DS11)</f>
        <v>4191230.8197998325</v>
      </c>
      <c r="DU20" s="160">
        <f>DT20*(DU8+DU11)/(DT8+DT11)</f>
        <v>4372506.7599064261</v>
      </c>
      <c r="DV20" s="89">
        <f>DU20</f>
        <v>4372506.7599064261</v>
      </c>
      <c r="DW20" s="160">
        <f>DV20*(DW8+DW11)/(DV8+DV11)</f>
        <v>4408396.9689647248</v>
      </c>
      <c r="DX20" s="160">
        <f>DW20*(DX8+DX11)/(DW8+DW11)</f>
        <v>4481666.1138367672</v>
      </c>
      <c r="DY20" s="160">
        <f>DX20*(DY8+DY11)/(DX8+DX11)</f>
        <v>4538428.3232492404</v>
      </c>
      <c r="DZ20" s="160">
        <f>DY20*(DZ8+DZ11)/(DY8+DY11)</f>
        <v>4614027.5912131462</v>
      </c>
      <c r="EA20" s="89">
        <f>DZ20</f>
        <v>4614027.5912131462</v>
      </c>
      <c r="EB20" s="160">
        <f>EA20*(EB8+EB11)/(EA8+EA11)</f>
        <v>4577057.4712308515</v>
      </c>
      <c r="EC20" s="160">
        <f>EB20*(EC8+EC11)/(EB8+EB11)</f>
        <v>4610470.8784204246</v>
      </c>
      <c r="ED20" s="160">
        <f>EC20*(ED8+ED11)/(EC8+EC11)</f>
        <v>4678180.5577779785</v>
      </c>
      <c r="EE20" s="160">
        <f>ED20*(EE8+EE11)/(ED8+ED11)</f>
        <v>4751420.7514253855</v>
      </c>
      <c r="EF20" s="89">
        <f>EE20</f>
        <v>4751420.7514253855</v>
      </c>
    </row>
    <row r="21" spans="1:136" outlineLevel="1">
      <c r="A21" s="71" t="s">
        <v>120</v>
      </c>
      <c r="B21" s="159"/>
      <c r="C21" s="159"/>
      <c r="D21" s="159"/>
      <c r="E21" s="159"/>
      <c r="F21" s="89">
        <f>E21</f>
        <v>0</v>
      </c>
      <c r="G21" s="159"/>
      <c r="H21" s="159"/>
      <c r="I21" s="159"/>
      <c r="J21" s="159">
        <v>0</v>
      </c>
      <c r="K21" s="89">
        <f>J21</f>
        <v>0</v>
      </c>
      <c r="L21" s="160">
        <v>0</v>
      </c>
      <c r="M21" s="160">
        <v>0</v>
      </c>
      <c r="N21" s="160">
        <v>0</v>
      </c>
      <c r="O21" s="160">
        <v>0</v>
      </c>
      <c r="P21" s="89">
        <f>O21</f>
        <v>0</v>
      </c>
      <c r="Q21" s="160">
        <v>0</v>
      </c>
      <c r="R21" s="160">
        <v>0</v>
      </c>
      <c r="S21" s="160">
        <v>40557</v>
      </c>
      <c r="T21" s="160">
        <v>58978</v>
      </c>
      <c r="U21" s="89">
        <f>T21</f>
        <v>58978</v>
      </c>
      <c r="V21" s="160">
        <v>75136</v>
      </c>
      <c r="W21" s="160">
        <v>72082</v>
      </c>
      <c r="X21" s="160">
        <v>74287</v>
      </c>
      <c r="Y21" s="160">
        <v>66221</v>
      </c>
      <c r="Z21" s="89">
        <f>Y21</f>
        <v>66221</v>
      </c>
      <c r="AA21" s="160">
        <v>76244</v>
      </c>
      <c r="AB21" s="160">
        <v>89991</v>
      </c>
      <c r="AC21" s="160">
        <v>0</v>
      </c>
      <c r="AD21" s="160">
        <f>AC21</f>
        <v>0</v>
      </c>
      <c r="AE21" s="89">
        <f t="shared" si="52"/>
        <v>0</v>
      </c>
      <c r="AF21" s="160">
        <f t="shared" si="52"/>
        <v>0</v>
      </c>
      <c r="AG21" s="160">
        <v>0</v>
      </c>
      <c r="AH21" s="160">
        <v>0</v>
      </c>
      <c r="AI21" s="160">
        <v>0</v>
      </c>
      <c r="AJ21" s="89">
        <f>AI21</f>
        <v>0</v>
      </c>
      <c r="AK21" s="160">
        <v>0</v>
      </c>
      <c r="AL21" s="160">
        <v>0</v>
      </c>
      <c r="AM21" s="160">
        <v>0</v>
      </c>
      <c r="AN21" s="160">
        <v>0</v>
      </c>
      <c r="AO21" s="89">
        <f>AN21</f>
        <v>0</v>
      </c>
      <c r="AP21" s="160">
        <v>0</v>
      </c>
      <c r="AQ21" s="160">
        <v>0</v>
      </c>
      <c r="AR21" s="160">
        <v>0</v>
      </c>
      <c r="AS21" s="160">
        <v>0</v>
      </c>
      <c r="AT21" s="89">
        <f>AS21</f>
        <v>0</v>
      </c>
      <c r="AU21" s="160">
        <v>0</v>
      </c>
      <c r="AV21" s="160">
        <v>0</v>
      </c>
      <c r="AW21" s="160">
        <v>0</v>
      </c>
      <c r="AX21" s="160">
        <v>0</v>
      </c>
      <c r="AY21" s="89">
        <f>AX21</f>
        <v>0</v>
      </c>
      <c r="AZ21" s="160">
        <v>0</v>
      </c>
      <c r="BA21" s="160">
        <v>0</v>
      </c>
      <c r="BB21" s="160">
        <v>0</v>
      </c>
      <c r="BC21" s="160">
        <v>0</v>
      </c>
      <c r="BD21" s="89">
        <f>BC21</f>
        <v>0</v>
      </c>
      <c r="BE21" s="160">
        <v>0</v>
      </c>
      <c r="BF21" s="160">
        <v>0</v>
      </c>
      <c r="BG21" s="160">
        <v>0</v>
      </c>
      <c r="BH21" s="160">
        <v>0</v>
      </c>
      <c r="BI21" s="89">
        <f>BH21</f>
        <v>0</v>
      </c>
      <c r="BJ21" s="160">
        <v>0</v>
      </c>
      <c r="BK21" s="160">
        <v>0</v>
      </c>
      <c r="BL21" s="160">
        <v>0</v>
      </c>
      <c r="BM21" s="160">
        <v>0</v>
      </c>
      <c r="BN21" s="89">
        <f>BM21</f>
        <v>0</v>
      </c>
      <c r="BO21" s="160">
        <v>0</v>
      </c>
      <c r="BP21" s="160">
        <v>0</v>
      </c>
      <c r="BQ21" s="160">
        <v>0</v>
      </c>
      <c r="BR21" s="160">
        <v>0</v>
      </c>
      <c r="BS21" s="89">
        <f>BR21</f>
        <v>0</v>
      </c>
      <c r="BT21" s="160">
        <v>0</v>
      </c>
      <c r="BU21" s="160">
        <v>0</v>
      </c>
      <c r="BV21" s="160">
        <v>0</v>
      </c>
      <c r="BW21" s="160">
        <v>0</v>
      </c>
      <c r="BX21" s="89">
        <f>BW21</f>
        <v>0</v>
      </c>
      <c r="BY21" s="160">
        <v>0</v>
      </c>
      <c r="BZ21" s="160">
        <v>0</v>
      </c>
      <c r="CA21" s="160">
        <v>0</v>
      </c>
      <c r="CB21" s="160">
        <v>0</v>
      </c>
      <c r="CC21" s="89">
        <f>CB21</f>
        <v>0</v>
      </c>
      <c r="CD21" s="160">
        <v>0</v>
      </c>
      <c r="CE21" s="160">
        <v>0</v>
      </c>
      <c r="CF21" s="160">
        <v>0</v>
      </c>
      <c r="CG21" s="160">
        <v>0</v>
      </c>
      <c r="CH21" s="89">
        <f>CG21</f>
        <v>0</v>
      </c>
      <c r="CI21" s="160">
        <v>0</v>
      </c>
      <c r="CJ21" s="160">
        <v>0</v>
      </c>
      <c r="CK21" s="160">
        <v>0</v>
      </c>
      <c r="CL21" s="160">
        <v>0</v>
      </c>
      <c r="CM21" s="89">
        <f>CL21</f>
        <v>0</v>
      </c>
      <c r="CN21" s="160">
        <v>0</v>
      </c>
      <c r="CO21" s="160">
        <v>0</v>
      </c>
      <c r="CP21" s="160">
        <v>0</v>
      </c>
      <c r="CQ21" s="160">
        <v>0</v>
      </c>
      <c r="CR21" s="89">
        <f>CQ21</f>
        <v>0</v>
      </c>
      <c r="CS21" s="160">
        <v>0</v>
      </c>
      <c r="CT21" s="160">
        <v>0</v>
      </c>
      <c r="CU21" s="160">
        <v>0</v>
      </c>
      <c r="CV21" s="160">
        <v>0</v>
      </c>
      <c r="CW21" s="89">
        <f>CV21</f>
        <v>0</v>
      </c>
      <c r="CX21" s="160">
        <v>0</v>
      </c>
      <c r="CY21" s="160">
        <v>0</v>
      </c>
      <c r="CZ21" s="160">
        <v>0</v>
      </c>
      <c r="DA21" s="160">
        <v>0</v>
      </c>
      <c r="DB21" s="89">
        <f>DA21</f>
        <v>0</v>
      </c>
      <c r="DC21" s="160">
        <v>0</v>
      </c>
      <c r="DD21" s="160">
        <v>0</v>
      </c>
      <c r="DE21" s="160">
        <v>0</v>
      </c>
      <c r="DF21" s="160">
        <v>0</v>
      </c>
      <c r="DG21" s="89">
        <f>DF21</f>
        <v>0</v>
      </c>
      <c r="DH21" s="160">
        <v>0</v>
      </c>
      <c r="DI21" s="160">
        <v>0</v>
      </c>
      <c r="DJ21" s="160">
        <f>DI21</f>
        <v>0</v>
      </c>
      <c r="DK21" s="160">
        <f>DJ21</f>
        <v>0</v>
      </c>
      <c r="DL21" s="89">
        <f>DK21</f>
        <v>0</v>
      </c>
      <c r="DM21" s="160">
        <f>DL21</f>
        <v>0</v>
      </c>
      <c r="DN21" s="160">
        <f>DM21</f>
        <v>0</v>
      </c>
      <c r="DO21" s="160">
        <f>DN21</f>
        <v>0</v>
      </c>
      <c r="DP21" s="160">
        <f>DO21</f>
        <v>0</v>
      </c>
      <c r="DQ21" s="89">
        <f>DP21</f>
        <v>0</v>
      </c>
      <c r="DR21" s="160">
        <f>DQ21</f>
        <v>0</v>
      </c>
      <c r="DS21" s="160">
        <f>DR21</f>
        <v>0</v>
      </c>
      <c r="DT21" s="160">
        <f>DS21</f>
        <v>0</v>
      </c>
      <c r="DU21" s="160">
        <f>DT21</f>
        <v>0</v>
      </c>
      <c r="DV21" s="89">
        <f>DU21</f>
        <v>0</v>
      </c>
      <c r="DW21" s="160">
        <f>DV21</f>
        <v>0</v>
      </c>
      <c r="DX21" s="160">
        <f>DW21</f>
        <v>0</v>
      </c>
      <c r="DY21" s="160">
        <f>DX21</f>
        <v>0</v>
      </c>
      <c r="DZ21" s="160">
        <f>DY21</f>
        <v>0</v>
      </c>
      <c r="EA21" s="89">
        <f>DZ21</f>
        <v>0</v>
      </c>
      <c r="EB21" s="160">
        <f>EA21</f>
        <v>0</v>
      </c>
      <c r="EC21" s="160">
        <f>EB21</f>
        <v>0</v>
      </c>
      <c r="ED21" s="160">
        <f>EC21</f>
        <v>0</v>
      </c>
      <c r="EE21" s="160">
        <f>ED21</f>
        <v>0</v>
      </c>
      <c r="EF21" s="89">
        <f>EE21</f>
        <v>0</v>
      </c>
    </row>
    <row r="22" spans="1:136" outlineLevel="1">
      <c r="A22" s="71" t="s">
        <v>23</v>
      </c>
      <c r="B22" s="159">
        <v>77219</v>
      </c>
      <c r="C22" s="159">
        <v>76850</v>
      </c>
      <c r="D22" s="159">
        <v>74635</v>
      </c>
      <c r="E22" s="159">
        <v>88044</v>
      </c>
      <c r="F22" s="89">
        <f>E22</f>
        <v>88044</v>
      </c>
      <c r="G22" s="203">
        <f>AVERAGE(E22,H22)</f>
        <v>99407.5</v>
      </c>
      <c r="H22" s="159">
        <f>110771</f>
        <v>110771</v>
      </c>
      <c r="I22" s="159">
        <f>109973</f>
        <v>109973</v>
      </c>
      <c r="J22" s="159">
        <v>110107</v>
      </c>
      <c r="K22" s="89">
        <f>J22</f>
        <v>110107</v>
      </c>
      <c r="L22" s="160">
        <v>113046</v>
      </c>
      <c r="M22" s="160">
        <v>144519</v>
      </c>
      <c r="N22" s="160">
        <v>144290</v>
      </c>
      <c r="O22" s="160">
        <v>143842</v>
      </c>
      <c r="P22" s="89">
        <f>O22</f>
        <v>143842</v>
      </c>
      <c r="Q22" s="160">
        <v>445931</v>
      </c>
      <c r="R22" s="160">
        <v>7471</v>
      </c>
      <c r="S22" s="160">
        <v>10259</v>
      </c>
      <c r="T22" s="160">
        <v>10523</v>
      </c>
      <c r="U22" s="89">
        <f>T22</f>
        <v>10523</v>
      </c>
      <c r="V22" s="160">
        <v>9950</v>
      </c>
      <c r="W22" s="160">
        <v>17862</v>
      </c>
      <c r="X22" s="160">
        <v>21484</v>
      </c>
      <c r="Y22" s="160">
        <v>99117</v>
      </c>
      <c r="Z22" s="89">
        <f>Y22</f>
        <v>99117</v>
      </c>
      <c r="AA22" s="160">
        <v>101275</v>
      </c>
      <c r="AB22" s="160">
        <v>105835</v>
      </c>
      <c r="AC22" s="160">
        <v>124435</v>
      </c>
      <c r="AD22" s="160">
        <v>133139</v>
      </c>
      <c r="AE22" s="89">
        <f t="shared" si="52"/>
        <v>133139</v>
      </c>
      <c r="AF22" s="160">
        <v>143890</v>
      </c>
      <c r="AG22" s="160">
        <v>154235</v>
      </c>
      <c r="AH22" s="160">
        <v>159736</v>
      </c>
      <c r="AI22" s="160">
        <v>168723</v>
      </c>
      <c r="AJ22" s="89">
        <f>AI22</f>
        <v>168723</v>
      </c>
      <c r="AK22" s="160">
        <v>164415</v>
      </c>
      <c r="AL22" s="160">
        <v>163535</v>
      </c>
      <c r="AM22" s="160">
        <v>181605</v>
      </c>
      <c r="AN22" s="160">
        <v>197318</v>
      </c>
      <c r="AO22" s="83">
        <f>AN22</f>
        <v>197318</v>
      </c>
      <c r="AP22" s="160">
        <v>191871</v>
      </c>
      <c r="AQ22" s="160">
        <v>189343</v>
      </c>
      <c r="AR22" s="160">
        <v>175952</v>
      </c>
      <c r="AS22" s="160">
        <v>166414</v>
      </c>
      <c r="AT22" s="83">
        <f>AS22</f>
        <v>166414</v>
      </c>
      <c r="AU22" s="160">
        <v>167355</v>
      </c>
      <c r="AV22" s="160">
        <v>153072</v>
      </c>
      <c r="AW22" s="160">
        <v>155038</v>
      </c>
      <c r="AX22" s="160">
        <v>156563</v>
      </c>
      <c r="AY22" s="83">
        <f>AX22</f>
        <v>156563</v>
      </c>
      <c r="AZ22" s="160">
        <v>164309</v>
      </c>
      <c r="BA22" s="160">
        <v>167276</v>
      </c>
      <c r="BB22" s="160">
        <v>164763</v>
      </c>
      <c r="BC22" s="160">
        <v>171442</v>
      </c>
      <c r="BD22" s="83">
        <f>BC22</f>
        <v>171442</v>
      </c>
      <c r="BE22" s="160">
        <v>167307</v>
      </c>
      <c r="BF22" s="160">
        <v>163103</v>
      </c>
      <c r="BG22" s="160">
        <v>151384</v>
      </c>
      <c r="BH22" s="160">
        <v>139671</v>
      </c>
      <c r="BI22" s="83">
        <f>BH22</f>
        <v>139671</v>
      </c>
      <c r="BJ22" s="160">
        <v>114663</v>
      </c>
      <c r="BK22" s="160">
        <v>111042</v>
      </c>
      <c r="BL22" s="160">
        <v>96531</v>
      </c>
      <c r="BM22" s="160">
        <v>85690</v>
      </c>
      <c r="BN22" s="83">
        <f>BM22</f>
        <v>85690</v>
      </c>
      <c r="BO22" s="160">
        <v>72296</v>
      </c>
      <c r="BP22" s="160">
        <v>64087</v>
      </c>
      <c r="BQ22" s="160">
        <v>61890</v>
      </c>
      <c r="BR22" s="160">
        <v>61159</v>
      </c>
      <c r="BS22" s="83">
        <f>BR22</f>
        <v>61159</v>
      </c>
      <c r="BT22" s="160">
        <v>60445</v>
      </c>
      <c r="BU22" s="160">
        <v>56116</v>
      </c>
      <c r="BV22" s="160">
        <v>64972</v>
      </c>
      <c r="BW22" s="160">
        <v>68899</v>
      </c>
      <c r="BX22" s="83">
        <f>BW22</f>
        <v>68899</v>
      </c>
      <c r="BY22" s="160">
        <v>76881</v>
      </c>
      <c r="BZ22" s="160">
        <v>76881</v>
      </c>
      <c r="CA22" s="160">
        <v>84558</v>
      </c>
      <c r="CB22" s="160">
        <v>92389</v>
      </c>
      <c r="CC22" s="83">
        <f>CB22</f>
        <v>92389</v>
      </c>
      <c r="CD22" s="160">
        <v>90845</v>
      </c>
      <c r="CE22" s="160">
        <v>83873</v>
      </c>
      <c r="CF22" s="160">
        <v>70938</v>
      </c>
      <c r="CG22" s="160">
        <v>73436</v>
      </c>
      <c r="CH22" s="83">
        <f>CG22</f>
        <v>73436</v>
      </c>
      <c r="CI22" s="160">
        <v>70127</v>
      </c>
      <c r="CJ22" s="160">
        <v>81496</v>
      </c>
      <c r="CK22" s="160">
        <v>117923</v>
      </c>
      <c r="CL22" s="160">
        <v>124188</v>
      </c>
      <c r="CM22" s="83">
        <f>CL22</f>
        <v>124188</v>
      </c>
      <c r="CN22" s="160">
        <v>126541</v>
      </c>
      <c r="CO22" s="160">
        <v>135212</v>
      </c>
      <c r="CP22" s="160">
        <v>146858</v>
      </c>
      <c r="CQ22" s="160">
        <v>129357</v>
      </c>
      <c r="CR22" s="83">
        <f>CQ22</f>
        <v>129357</v>
      </c>
      <c r="CS22" s="160">
        <v>137278</v>
      </c>
      <c r="CT22" s="160">
        <v>136772</v>
      </c>
      <c r="CU22" s="160">
        <v>148904</v>
      </c>
      <c r="CV22" s="160">
        <v>146438</v>
      </c>
      <c r="CW22" s="83">
        <f>CV22</f>
        <v>146438</v>
      </c>
      <c r="CX22" s="160">
        <v>113229</v>
      </c>
      <c r="CY22" s="160">
        <v>116027</v>
      </c>
      <c r="CZ22" s="160">
        <v>128888</v>
      </c>
      <c r="DA22" s="160">
        <v>160302</v>
      </c>
      <c r="DB22" s="83">
        <f>DA22</f>
        <v>160302</v>
      </c>
      <c r="DC22" s="160">
        <v>164929</v>
      </c>
      <c r="DD22" s="160">
        <v>179319</v>
      </c>
      <c r="DE22" s="160">
        <v>194779</v>
      </c>
      <c r="DF22" s="160">
        <v>639756</v>
      </c>
      <c r="DG22" s="83">
        <f>DF22</f>
        <v>639756</v>
      </c>
      <c r="DH22" s="160">
        <v>632670</v>
      </c>
      <c r="DI22" s="160">
        <v>657716</v>
      </c>
      <c r="DJ22" s="84">
        <f>DJ91-DJ23</f>
        <v>661983.27623054886</v>
      </c>
      <c r="DK22" s="84">
        <f>DK91-DK23</f>
        <v>666277.19773469295</v>
      </c>
      <c r="DL22" s="83">
        <f>DK22</f>
        <v>666277.19773469295</v>
      </c>
      <c r="DM22" s="84">
        <f>DM91-DM23</f>
        <v>670597.93088802346</v>
      </c>
      <c r="DN22" s="84">
        <f>DN91-DN23</f>
        <v>674945.6431049963</v>
      </c>
      <c r="DO22" s="84">
        <f>DO91-DO23</f>
        <v>679320.50284541876</v>
      </c>
      <c r="DP22" s="84">
        <f>DP91-DP23</f>
        <v>683722.67962097726</v>
      </c>
      <c r="DQ22" s="83">
        <f>DP22</f>
        <v>683722.67962097726</v>
      </c>
      <c r="DR22" s="84">
        <f>DR91-DR23</f>
        <v>688152.34400180506</v>
      </c>
      <c r="DS22" s="84">
        <f>DS91-DS23</f>
        <v>692609.66762309102</v>
      </c>
      <c r="DT22" s="84">
        <f>DT91-DT23</f>
        <v>697094.82319173077</v>
      </c>
      <c r="DU22" s="84">
        <f>DU91-DU23</f>
        <v>701607.98449301755</v>
      </c>
      <c r="DV22" s="83">
        <f>DU22</f>
        <v>701607.98449301755</v>
      </c>
      <c r="DW22" s="84">
        <f>DW91-DW23</f>
        <v>706149.3263973766</v>
      </c>
      <c r="DX22" s="84">
        <f>DX91-DX23</f>
        <v>710719.02486714046</v>
      </c>
      <c r="DY22" s="84">
        <f>DY91-DY23</f>
        <v>715317.25696336688</v>
      </c>
      <c r="DZ22" s="84">
        <f>DZ91-DZ23</f>
        <v>719944.20085269958</v>
      </c>
      <c r="EA22" s="83">
        <f>DZ22</f>
        <v>719944.20085269958</v>
      </c>
      <c r="EB22" s="84">
        <f>EB91-EB23</f>
        <v>724600.03581427154</v>
      </c>
      <c r="EC22" s="84">
        <f>EC91-EC23</f>
        <v>729284.94224665151</v>
      </c>
      <c r="ED22" s="84">
        <f>ED91-ED23</f>
        <v>733999.1016748338</v>
      </c>
      <c r="EE22" s="84">
        <f>EE91-EE23</f>
        <v>738742.69675727177</v>
      </c>
      <c r="EF22" s="83">
        <f>EE22</f>
        <v>738742.69675727177</v>
      </c>
    </row>
    <row r="23" spans="1:136" s="157" customFormat="1" outlineLevel="1">
      <c r="A23" s="205" t="s">
        <v>138</v>
      </c>
      <c r="B23" s="206">
        <v>81</v>
      </c>
      <c r="C23" s="206">
        <v>66</v>
      </c>
      <c r="D23" s="206">
        <v>51</v>
      </c>
      <c r="E23" s="206">
        <v>36</v>
      </c>
      <c r="F23" s="207">
        <f>E23</f>
        <v>36</v>
      </c>
      <c r="G23" s="208">
        <f>AVERAGE(E23,H23)</f>
        <v>87.5</v>
      </c>
      <c r="H23" s="206">
        <v>139</v>
      </c>
      <c r="I23" s="206">
        <v>17</v>
      </c>
      <c r="J23" s="206">
        <v>11</v>
      </c>
      <c r="K23" s="207">
        <f>J23</f>
        <v>11</v>
      </c>
      <c r="L23" s="209">
        <v>22</v>
      </c>
      <c r="M23" s="209">
        <v>30</v>
      </c>
      <c r="N23" s="209">
        <v>569</v>
      </c>
      <c r="O23" s="210">
        <v>532</v>
      </c>
      <c r="P23" s="207">
        <f>O23</f>
        <v>532</v>
      </c>
      <c r="Q23" s="209">
        <v>587</v>
      </c>
      <c r="R23" s="209">
        <v>2446</v>
      </c>
      <c r="S23" s="209">
        <v>2350</v>
      </c>
      <c r="T23" s="210">
        <v>9907</v>
      </c>
      <c r="U23" s="207">
        <f>T23</f>
        <v>9907</v>
      </c>
      <c r="V23" s="209">
        <f>9956+3438</f>
        <v>13394</v>
      </c>
      <c r="W23" s="209">
        <f>9275+3322</f>
        <v>12597</v>
      </c>
      <c r="X23" s="209">
        <f>11866+3407</f>
        <v>15273</v>
      </c>
      <c r="Y23" s="210">
        <v>17226</v>
      </c>
      <c r="Z23" s="207">
        <f>Y23</f>
        <v>17226</v>
      </c>
      <c r="AA23" s="209">
        <v>16587</v>
      </c>
      <c r="AB23" s="209">
        <v>23850</v>
      </c>
      <c r="AC23" s="209">
        <v>128802</v>
      </c>
      <c r="AD23" s="210">
        <v>108178</v>
      </c>
      <c r="AE23" s="207">
        <f t="shared" si="52"/>
        <v>108178</v>
      </c>
      <c r="AF23" s="209">
        <v>98599</v>
      </c>
      <c r="AG23" s="209">
        <v>98972</v>
      </c>
      <c r="AH23" s="209">
        <v>95447</v>
      </c>
      <c r="AI23" s="210">
        <v>90690</v>
      </c>
      <c r="AJ23" s="207">
        <f>AI23</f>
        <v>90690</v>
      </c>
      <c r="AK23" s="209">
        <v>84476</v>
      </c>
      <c r="AL23" s="209">
        <f>83845</f>
        <v>83845</v>
      </c>
      <c r="AM23" s="209">
        <v>89275</v>
      </c>
      <c r="AN23" s="209">
        <v>88425</v>
      </c>
      <c r="AO23" s="207">
        <f>AN23</f>
        <v>88425</v>
      </c>
      <c r="AP23" s="209">
        <v>86286</v>
      </c>
      <c r="AQ23" s="209">
        <v>84218</v>
      </c>
      <c r="AR23" s="209">
        <v>84478</v>
      </c>
      <c r="AS23" s="209">
        <v>85884</v>
      </c>
      <c r="AT23" s="207">
        <f>AS23</f>
        <v>85884</v>
      </c>
      <c r="AU23" s="209">
        <v>90553</v>
      </c>
      <c r="AV23" s="209">
        <v>81311</v>
      </c>
      <c r="AW23" s="209">
        <v>90101</v>
      </c>
      <c r="AX23" s="209">
        <v>90623</v>
      </c>
      <c r="AY23" s="207">
        <f>AX23</f>
        <v>90623</v>
      </c>
      <c r="AZ23" s="209">
        <v>88731</v>
      </c>
      <c r="BA23" s="209">
        <v>86336</v>
      </c>
      <c r="BB23" s="209">
        <v>87141</v>
      </c>
      <c r="BC23" s="209">
        <v>100768</v>
      </c>
      <c r="BD23" s="207">
        <f>BC23</f>
        <v>100768</v>
      </c>
      <c r="BE23" s="209">
        <v>101691</v>
      </c>
      <c r="BF23" s="209">
        <v>102982</v>
      </c>
      <c r="BG23" s="209">
        <v>92118</v>
      </c>
      <c r="BH23" s="209">
        <v>85090</v>
      </c>
      <c r="BI23" s="207">
        <f>BH23</f>
        <v>85090</v>
      </c>
      <c r="BJ23" s="209">
        <v>78644</v>
      </c>
      <c r="BK23" s="209">
        <v>74781</v>
      </c>
      <c r="BL23" s="209">
        <v>70843</v>
      </c>
      <c r="BM23" s="209">
        <v>66063</v>
      </c>
      <c r="BN23" s="207">
        <f>BM23</f>
        <v>66063</v>
      </c>
      <c r="BO23" s="209">
        <v>62853</v>
      </c>
      <c r="BP23" s="209">
        <v>46312</v>
      </c>
      <c r="BQ23" s="209">
        <v>43853</v>
      </c>
      <c r="BR23" s="209">
        <v>39809</v>
      </c>
      <c r="BS23" s="207">
        <f>BR23</f>
        <v>39809</v>
      </c>
      <c r="BT23" s="209">
        <v>35811</v>
      </c>
      <c r="BU23" s="209">
        <v>33316</v>
      </c>
      <c r="BV23" s="209">
        <v>30523</v>
      </c>
      <c r="BW23" s="209">
        <v>27077</v>
      </c>
      <c r="BX23" s="207">
        <f>BW23</f>
        <v>27077</v>
      </c>
      <c r="BY23" s="209">
        <v>21200</v>
      </c>
      <c r="BZ23" s="209">
        <v>21200</v>
      </c>
      <c r="CA23" s="209">
        <v>30354</v>
      </c>
      <c r="CB23" s="209">
        <v>27622</v>
      </c>
      <c r="CC23" s="207">
        <f>CB23</f>
        <v>27622</v>
      </c>
      <c r="CD23" s="209">
        <v>25682</v>
      </c>
      <c r="CE23" s="209">
        <v>24268</v>
      </c>
      <c r="CF23" s="209">
        <v>21925</v>
      </c>
      <c r="CG23" s="209">
        <v>20962</v>
      </c>
      <c r="CH23" s="207">
        <f>CG23</f>
        <v>20962</v>
      </c>
      <c r="CI23" s="209">
        <v>20092</v>
      </c>
      <c r="CJ23" s="209">
        <v>19172</v>
      </c>
      <c r="CK23" s="209">
        <v>33209</v>
      </c>
      <c r="CL23" s="209">
        <v>35713</v>
      </c>
      <c r="CM23" s="207">
        <f>CL23</f>
        <v>35713</v>
      </c>
      <c r="CN23" s="209">
        <v>41703</v>
      </c>
      <c r="CO23" s="209">
        <v>90759</v>
      </c>
      <c r="CP23" s="209">
        <v>226344</v>
      </c>
      <c r="CQ23" s="209">
        <v>214991</v>
      </c>
      <c r="CR23" s="207">
        <f>CQ23</f>
        <v>214991</v>
      </c>
      <c r="CS23" s="209">
        <v>204377</v>
      </c>
      <c r="CT23" s="209">
        <v>202863</v>
      </c>
      <c r="CU23" s="209">
        <v>189602</v>
      </c>
      <c r="CV23" s="209">
        <v>187730</v>
      </c>
      <c r="CW23" s="207">
        <f>CV23</f>
        <v>187730</v>
      </c>
      <c r="CX23" s="209">
        <v>199157</v>
      </c>
      <c r="CY23" s="209">
        <v>193654</v>
      </c>
      <c r="CZ23" s="209">
        <v>171735</v>
      </c>
      <c r="DA23" s="209">
        <v>147564</v>
      </c>
      <c r="DB23" s="207">
        <f>DA23</f>
        <v>147564</v>
      </c>
      <c r="DC23" s="209">
        <v>139389</v>
      </c>
      <c r="DD23" s="209">
        <v>128913</v>
      </c>
      <c r="DE23" s="209">
        <v>112157</v>
      </c>
      <c r="DF23" s="209">
        <v>108578</v>
      </c>
      <c r="DG23" s="207">
        <f>DF23</f>
        <v>108578</v>
      </c>
      <c r="DH23" s="209">
        <v>26609</v>
      </c>
      <c r="DI23" s="209">
        <v>25694</v>
      </c>
      <c r="DJ23" s="209">
        <f>DI23</f>
        <v>25694</v>
      </c>
      <c r="DK23" s="210">
        <f>DJ23</f>
        <v>25694</v>
      </c>
      <c r="DL23" s="207">
        <f>DK23</f>
        <v>25694</v>
      </c>
      <c r="DM23" s="209">
        <f>DL23</f>
        <v>25694</v>
      </c>
      <c r="DN23" s="209">
        <f>DM23</f>
        <v>25694</v>
      </c>
      <c r="DO23" s="209">
        <f>DN23</f>
        <v>25694</v>
      </c>
      <c r="DP23" s="210">
        <f>DO23</f>
        <v>25694</v>
      </c>
      <c r="DQ23" s="207">
        <f>DP23</f>
        <v>25694</v>
      </c>
      <c r="DR23" s="209">
        <f>DQ23</f>
        <v>25694</v>
      </c>
      <c r="DS23" s="209">
        <f>DR23</f>
        <v>25694</v>
      </c>
      <c r="DT23" s="209">
        <f>DS23</f>
        <v>25694</v>
      </c>
      <c r="DU23" s="210">
        <f>DT23</f>
        <v>25694</v>
      </c>
      <c r="DV23" s="207">
        <f>DU23</f>
        <v>25694</v>
      </c>
      <c r="DW23" s="209">
        <f>DV23</f>
        <v>25694</v>
      </c>
      <c r="DX23" s="209">
        <f>DW23</f>
        <v>25694</v>
      </c>
      <c r="DY23" s="209">
        <f>DX23</f>
        <v>25694</v>
      </c>
      <c r="DZ23" s="210">
        <f>DY23</f>
        <v>25694</v>
      </c>
      <c r="EA23" s="207">
        <f>DZ23</f>
        <v>25694</v>
      </c>
      <c r="EB23" s="209">
        <f>EA23</f>
        <v>25694</v>
      </c>
      <c r="EC23" s="209">
        <f>EB23</f>
        <v>25694</v>
      </c>
      <c r="ED23" s="209">
        <f>EC23</f>
        <v>25694</v>
      </c>
      <c r="EE23" s="210">
        <f>ED23</f>
        <v>25694</v>
      </c>
      <c r="EF23" s="207">
        <f>EE23</f>
        <v>25694</v>
      </c>
    </row>
    <row r="24" spans="1:136">
      <c r="A24" s="71"/>
      <c r="B24" s="79"/>
      <c r="C24" s="79"/>
      <c r="D24" s="79"/>
      <c r="E24" s="79"/>
      <c r="F24" s="89"/>
      <c r="G24" s="79"/>
      <c r="H24" s="79"/>
      <c r="I24" s="79"/>
      <c r="J24" s="79"/>
      <c r="K24" s="89"/>
      <c r="L24" s="79"/>
      <c r="M24" s="79"/>
      <c r="N24" s="79"/>
      <c r="O24" s="79"/>
      <c r="P24" s="89"/>
      <c r="Q24" s="79"/>
      <c r="R24" s="79"/>
      <c r="S24" s="79"/>
      <c r="T24" s="79"/>
      <c r="U24" s="89"/>
      <c r="V24" s="79"/>
      <c r="W24" s="79"/>
      <c r="X24" s="79"/>
      <c r="Y24" s="79"/>
      <c r="Z24" s="89"/>
      <c r="AA24" s="131">
        <f>AA29/(AA8+AA13)</f>
        <v>0.21452522491566081</v>
      </c>
      <c r="AB24" s="131">
        <f>AB29/(AB8+AB13)</f>
        <v>0.22750274774227078</v>
      </c>
      <c r="AC24" s="131">
        <f>AC29/(AC8+AC13)</f>
        <v>0.2308371690975618</v>
      </c>
      <c r="AD24" s="131">
        <f>AD29/(AD8+AD13)</f>
        <v>0.21594812040605585</v>
      </c>
      <c r="AE24" s="89"/>
      <c r="AF24" s="131">
        <f>AF29/(AF8+AF13)</f>
        <v>0.22815502031037399</v>
      </c>
      <c r="AG24" s="131">
        <f>AG29/(AG8+AG13)</f>
        <v>0.24714894573945442</v>
      </c>
      <c r="AH24" s="131">
        <f>AH29/(AH8+AH13)</f>
        <v>0.26329606262811944</v>
      </c>
      <c r="AI24" s="131">
        <f>AI29/(AI8+AI13)</f>
        <v>0.29921890695744097</v>
      </c>
      <c r="AJ24" s="89"/>
      <c r="AK24" s="131">
        <f>AK29/(AK8+AK13)</f>
        <v>0.32108329229692539</v>
      </c>
      <c r="AL24" s="131">
        <f>AL29/(AL8+AL13)</f>
        <v>0.35483793384970796</v>
      </c>
      <c r="AM24" s="131">
        <f>AM29/(AM8+AM13)</f>
        <v>0.37036941980143478</v>
      </c>
      <c r="AN24" s="131">
        <f>AN29/(AN8+AN13)</f>
        <v>0.36771214731241764</v>
      </c>
      <c r="AO24" s="212"/>
      <c r="AP24" s="131">
        <f>AP29/(AP8+AP13)</f>
        <v>0.36203384822295664</v>
      </c>
      <c r="AQ24" s="131">
        <f>AQ29/(AQ8+AQ13)</f>
        <v>0.33812120518633476</v>
      </c>
      <c r="AR24" s="131">
        <f>AR29/(AR8+AR13)</f>
        <v>0.29749116130616254</v>
      </c>
      <c r="AS24" s="131">
        <f>AS29/(AS8+AS13)</f>
        <v>0.27798143042351581</v>
      </c>
      <c r="AT24" s="212"/>
      <c r="AU24" s="79"/>
      <c r="AV24" s="79"/>
      <c r="AW24" s="353"/>
      <c r="AX24" s="71"/>
      <c r="AY24" s="212"/>
      <c r="AZ24" s="79">
        <v>1019</v>
      </c>
      <c r="BA24" s="79">
        <v>2371</v>
      </c>
      <c r="BB24" s="79">
        <v>105</v>
      </c>
      <c r="BC24" s="79">
        <v>143</v>
      </c>
      <c r="BD24" s="212">
        <f>BC24</f>
        <v>143</v>
      </c>
      <c r="BE24" s="79">
        <f>200+193</f>
        <v>393</v>
      </c>
      <c r="BF24" s="79"/>
      <c r="BG24" s="84"/>
      <c r="BH24" s="71"/>
      <c r="BI24" s="212"/>
      <c r="BJ24" s="79">
        <f>BL28-BL6</f>
        <v>1890338</v>
      </c>
      <c r="BK24" s="79">
        <f>BM28-BM6</f>
        <v>1725373</v>
      </c>
      <c r="BL24" s="204">
        <f>BJ24-BK24-32000</f>
        <v>132965</v>
      </c>
      <c r="BM24" s="204">
        <f>SUM(BM29:BM30)-45640</f>
        <v>3378024</v>
      </c>
      <c r="BN24" s="212"/>
      <c r="BO24" s="79"/>
      <c r="BP24" s="79"/>
      <c r="BQ24" s="84"/>
      <c r="BR24" s="71"/>
      <c r="BS24" s="212"/>
      <c r="BT24" s="79"/>
      <c r="BU24" s="79"/>
      <c r="BV24" s="84"/>
      <c r="BW24" s="71"/>
      <c r="BX24" s="212"/>
      <c r="BY24" s="79"/>
      <c r="BZ24" s="79"/>
      <c r="CA24" s="84"/>
      <c r="CB24" s="71"/>
      <c r="CC24" s="212"/>
      <c r="CD24" s="79"/>
      <c r="CE24" s="79"/>
      <c r="CF24" s="84"/>
      <c r="CG24" s="71"/>
      <c r="CH24" s="212"/>
      <c r="CI24" s="79"/>
      <c r="CJ24" s="79"/>
      <c r="CK24" s="71"/>
      <c r="CL24" s="71"/>
      <c r="CM24" s="212"/>
      <c r="CN24" s="79"/>
      <c r="CO24" s="71"/>
      <c r="CP24" s="84"/>
      <c r="CQ24" s="71"/>
      <c r="CR24" s="212"/>
      <c r="CS24" s="79"/>
      <c r="CT24" s="71"/>
      <c r="CU24" s="84"/>
      <c r="CV24" s="71"/>
      <c r="CW24" s="212"/>
      <c r="CX24" s="79"/>
      <c r="CY24" s="79"/>
      <c r="CZ24" s="84"/>
      <c r="DA24" s="71"/>
      <c r="DB24" s="212"/>
      <c r="DC24" s="79"/>
      <c r="DD24" s="71"/>
      <c r="DE24" s="71"/>
      <c r="DF24" s="71"/>
      <c r="DG24" s="212"/>
      <c r="DH24" s="71"/>
      <c r="DI24" s="79"/>
      <c r="DJ24" s="84"/>
      <c r="DK24" s="71"/>
      <c r="DL24" s="212"/>
      <c r="DM24" s="79"/>
      <c r="DN24" s="79"/>
      <c r="DO24" s="84"/>
      <c r="DP24" s="71"/>
      <c r="DQ24" s="212"/>
      <c r="DR24" s="79"/>
      <c r="DS24" s="79"/>
      <c r="DT24" s="84"/>
      <c r="DU24" s="71"/>
      <c r="DV24" s="212"/>
      <c r="DW24" s="79"/>
      <c r="DX24" s="79"/>
      <c r="DY24" s="84"/>
      <c r="DZ24" s="71"/>
      <c r="EA24" s="212"/>
      <c r="EB24" s="79"/>
      <c r="EC24" s="79"/>
      <c r="ED24" s="84"/>
      <c r="EE24" s="71"/>
      <c r="EF24" s="212"/>
    </row>
    <row r="25" spans="1:136" s="70" customFormat="1" ht="12.75" customHeight="1" thickBot="1">
      <c r="A25" s="69"/>
      <c r="B25" s="93" t="str">
        <f>Macro!B$3</f>
        <v>1Q04</v>
      </c>
      <c r="C25" s="93" t="str">
        <f>Macro!C$3</f>
        <v>2Q04</v>
      </c>
      <c r="D25" s="93" t="str">
        <f>Macro!D$3</f>
        <v>3Q04</v>
      </c>
      <c r="E25" s="93" t="str">
        <f>Macro!E$3</f>
        <v>4Q04</v>
      </c>
      <c r="F25" s="92" t="str">
        <f>Macro!F$3</f>
        <v>2004</v>
      </c>
      <c r="G25" s="93" t="str">
        <f>Macro!G$3</f>
        <v>1Q05</v>
      </c>
      <c r="H25" s="93" t="str">
        <f>Macro!H$3</f>
        <v>2Q05</v>
      </c>
      <c r="I25" s="93" t="str">
        <f>Macro!I$3</f>
        <v>3Q05</v>
      </c>
      <c r="J25" s="93" t="str">
        <f>Macro!J$3</f>
        <v>4Q05</v>
      </c>
      <c r="K25" s="92" t="str">
        <f>Macro!K$3</f>
        <v>2005</v>
      </c>
      <c r="L25" s="93" t="str">
        <f>Macro!L$3</f>
        <v>1Q06</v>
      </c>
      <c r="M25" s="93" t="str">
        <f>Macro!M$3</f>
        <v>2Q06</v>
      </c>
      <c r="N25" s="93" t="str">
        <f>Macro!N$3</f>
        <v>3Q06</v>
      </c>
      <c r="O25" s="94" t="str">
        <f>Macro!O$3</f>
        <v>4Q06</v>
      </c>
      <c r="P25" s="92" t="str">
        <f>Macro!P$3</f>
        <v>2006</v>
      </c>
      <c r="Q25" s="93" t="str">
        <f>Macro!Q$3</f>
        <v>1Q07</v>
      </c>
      <c r="R25" s="93" t="str">
        <f>Macro!R$3</f>
        <v>2Q07</v>
      </c>
      <c r="S25" s="93" t="str">
        <f>Macro!S$3</f>
        <v>3Q07</v>
      </c>
      <c r="T25" s="94" t="str">
        <f>Macro!T$3</f>
        <v>4Q07</v>
      </c>
      <c r="U25" s="92" t="str">
        <f>Macro!U$3</f>
        <v>2007</v>
      </c>
      <c r="V25" s="93" t="str">
        <f>Macro!V$3</f>
        <v>1Q08</v>
      </c>
      <c r="W25" s="93" t="str">
        <f>Macro!W$3</f>
        <v>2Q08</v>
      </c>
      <c r="X25" s="93" t="str">
        <f>Macro!X$3</f>
        <v>3Q08</v>
      </c>
      <c r="Y25" s="94" t="str">
        <f>Macro!Y$3</f>
        <v>4Q08</v>
      </c>
      <c r="Z25" s="92" t="str">
        <f>Macro!Z$3</f>
        <v>2008</v>
      </c>
      <c r="AA25" s="93" t="str">
        <f>Macro!AA$3</f>
        <v>1Q09</v>
      </c>
      <c r="AB25" s="93" t="str">
        <f>Macro!AB$3</f>
        <v>2Q09</v>
      </c>
      <c r="AC25" s="93" t="str">
        <f>Macro!AC$3</f>
        <v>3Q09</v>
      </c>
      <c r="AD25" s="94" t="str">
        <f>Macro!AD$3</f>
        <v>4Q09</v>
      </c>
      <c r="AE25" s="92" t="str">
        <f>Macro!AE$3</f>
        <v>2009</v>
      </c>
      <c r="AF25" s="93" t="str">
        <f>Macro!AF$3</f>
        <v>1Q10</v>
      </c>
      <c r="AG25" s="93" t="str">
        <f>Macro!AG$3</f>
        <v>2Q10</v>
      </c>
      <c r="AH25" s="93" t="str">
        <f>Macro!AH$3</f>
        <v>3Q10</v>
      </c>
      <c r="AI25" s="94" t="str">
        <f>Macro!AI$3</f>
        <v>4Q10</v>
      </c>
      <c r="AJ25" s="92" t="str">
        <f>Macro!AJ$3</f>
        <v>2010</v>
      </c>
      <c r="AK25" s="93" t="str">
        <f>Macro!AK$3</f>
        <v>1Q11</v>
      </c>
      <c r="AL25" s="93" t="str">
        <f>Macro!AL$3</f>
        <v>2Q11</v>
      </c>
      <c r="AM25" s="93" t="str">
        <f>Macro!AM$3</f>
        <v>3Q11</v>
      </c>
      <c r="AN25" s="94" t="str">
        <f>Macro!AN$3</f>
        <v>4Q11</v>
      </c>
      <c r="AO25" s="92" t="str">
        <f>Macro!AO$3</f>
        <v>2011</v>
      </c>
      <c r="AP25" s="310" t="str">
        <f>Macro!AP$3</f>
        <v>1Q12</v>
      </c>
      <c r="AQ25" s="310" t="str">
        <f>Macro!AQ$3</f>
        <v>2Q12</v>
      </c>
      <c r="AR25" s="310" t="str">
        <f>Macro!AR$3</f>
        <v>3Q12</v>
      </c>
      <c r="AS25" s="310" t="str">
        <f>Macro!AS$3</f>
        <v>4Q12</v>
      </c>
      <c r="AT25" s="311" t="str">
        <f>Macro!AT$3</f>
        <v>2012</v>
      </c>
      <c r="AU25" s="310" t="str">
        <f>Macro!AU$3</f>
        <v>1Q13</v>
      </c>
      <c r="AV25" s="310" t="str">
        <f>Macro!AV$3</f>
        <v>2Q13</v>
      </c>
      <c r="AW25" s="310" t="str">
        <f>Macro!AW$3</f>
        <v>3Q13</v>
      </c>
      <c r="AX25" s="310" t="str">
        <f>Macro!AX$3</f>
        <v>4Q13</v>
      </c>
      <c r="AY25" s="311" t="str">
        <f>Macro!AY$3</f>
        <v>2013</v>
      </c>
      <c r="AZ25" s="310" t="str">
        <f>Macro!AZ$3</f>
        <v>1Q14</v>
      </c>
      <c r="BA25" s="310" t="str">
        <f>Macro!BA$3</f>
        <v>2Q14</v>
      </c>
      <c r="BB25" s="310" t="str">
        <f>Macro!BB$3</f>
        <v>3Q14</v>
      </c>
      <c r="BC25" s="310" t="str">
        <f>Macro!BC$3</f>
        <v>4Q14</v>
      </c>
      <c r="BD25" s="311" t="str">
        <f>Macro!BD$3</f>
        <v>2014</v>
      </c>
      <c r="BE25" s="310" t="str">
        <f>Macro!BE$3</f>
        <v>1Q15</v>
      </c>
      <c r="BF25" s="310" t="str">
        <f>Macro!BF$3</f>
        <v>2Q15</v>
      </c>
      <c r="BG25" s="310" t="str">
        <f>Macro!BG$3</f>
        <v>3Q15</v>
      </c>
      <c r="BH25" s="310" t="str">
        <f>Macro!BH$3</f>
        <v>4Q15</v>
      </c>
      <c r="BI25" s="311" t="str">
        <f>Macro!BI$3</f>
        <v>2015</v>
      </c>
      <c r="BJ25" s="310" t="str">
        <f>Macro!BJ$3</f>
        <v>1Q16</v>
      </c>
      <c r="BK25" s="310" t="str">
        <f>Macro!BK$3</f>
        <v>2Q16</v>
      </c>
      <c r="BL25" s="310" t="str">
        <f>Macro!BL$3</f>
        <v>3Q16</v>
      </c>
      <c r="BM25" s="310" t="str">
        <f>Macro!BM$3</f>
        <v>4Q16</v>
      </c>
      <c r="BN25" s="311" t="str">
        <f>Macro!BN$3</f>
        <v>2016</v>
      </c>
      <c r="BO25" s="310" t="str">
        <f>Macro!BO$3</f>
        <v>1Q17</v>
      </c>
      <c r="BP25" s="310" t="str">
        <f>Macro!BP$3</f>
        <v>2Q17</v>
      </c>
      <c r="BQ25" s="310" t="str">
        <f>Macro!BQ$3</f>
        <v>3Q17</v>
      </c>
      <c r="BR25" s="310" t="str">
        <f>Macro!BR$3</f>
        <v>4Q17</v>
      </c>
      <c r="BS25" s="311" t="str">
        <f>Macro!BS$3</f>
        <v>2017</v>
      </c>
      <c r="BT25" s="310" t="str">
        <f>Macro!BT$3</f>
        <v>1Q18</v>
      </c>
      <c r="BU25" s="310" t="str">
        <f>Macro!BU$3</f>
        <v>2Q18</v>
      </c>
      <c r="BV25" s="310" t="str">
        <f>Macro!BV$3</f>
        <v>3Q18</v>
      </c>
      <c r="BW25" s="310" t="str">
        <f>Macro!BW$3</f>
        <v>4Q18</v>
      </c>
      <c r="BX25" s="311" t="str">
        <f>Macro!BX$3</f>
        <v>2018</v>
      </c>
      <c r="BY25" s="310" t="str">
        <f>Macro!BY$3</f>
        <v>1Q19</v>
      </c>
      <c r="BZ25" s="310" t="str">
        <f>Macro!BZ$3</f>
        <v>2Q19</v>
      </c>
      <c r="CA25" s="310" t="str">
        <f>Macro!CA$3</f>
        <v>3Q19</v>
      </c>
      <c r="CB25" s="310" t="str">
        <f>Macro!CB$3</f>
        <v>4Q19</v>
      </c>
      <c r="CC25" s="311" t="str">
        <f>Macro!CC$3</f>
        <v>2019</v>
      </c>
      <c r="CD25" s="310" t="str">
        <f>Macro!CD$3</f>
        <v>1Q20</v>
      </c>
      <c r="CE25" s="310" t="str">
        <f>Macro!CE$3</f>
        <v>2Q20</v>
      </c>
      <c r="CF25" s="310" t="str">
        <f>Macro!CF$3</f>
        <v>3Q20</v>
      </c>
      <c r="CG25" s="310" t="str">
        <f>Macro!CG$3</f>
        <v>4Q20</v>
      </c>
      <c r="CH25" s="311" t="str">
        <f>Macro!CH$3</f>
        <v>2020</v>
      </c>
      <c r="CI25" s="310" t="str">
        <f>Macro!CI$3</f>
        <v>1Q21</v>
      </c>
      <c r="CJ25" s="310" t="str">
        <f>Macro!CJ$3</f>
        <v>2Q21</v>
      </c>
      <c r="CK25" s="310" t="str">
        <f>Macro!CK$3</f>
        <v>3Q21</v>
      </c>
      <c r="CL25" s="310" t="str">
        <f>Macro!CL$3</f>
        <v>4Q21</v>
      </c>
      <c r="CM25" s="311" t="str">
        <f>Macro!CM$3</f>
        <v>2021</v>
      </c>
      <c r="CN25" s="310" t="str">
        <f>Macro!CN$3</f>
        <v>1Q22</v>
      </c>
      <c r="CO25" s="310" t="str">
        <f>Macro!CO$3</f>
        <v>2Q22</v>
      </c>
      <c r="CP25" s="310" t="str">
        <f>Macro!CP$3</f>
        <v>3Q22</v>
      </c>
      <c r="CQ25" s="310" t="str">
        <f>Macro!CQ$3</f>
        <v>4Q22</v>
      </c>
      <c r="CR25" s="311" t="str">
        <f>Macro!CR$3</f>
        <v>2022</v>
      </c>
      <c r="CS25" s="310" t="str">
        <f>Macro!CS$3</f>
        <v>1Q23</v>
      </c>
      <c r="CT25" s="310" t="str">
        <f>Macro!CT$3</f>
        <v>2Q23</v>
      </c>
      <c r="CU25" s="310" t="str">
        <f>Macro!CU$3</f>
        <v>3Q23</v>
      </c>
      <c r="CV25" s="310" t="str">
        <f>Macro!CV$3</f>
        <v>4Q23</v>
      </c>
      <c r="CW25" s="311" t="str">
        <f>Macro!CW$3</f>
        <v>2023</v>
      </c>
      <c r="CX25" s="310" t="str">
        <f>Macro!CX$3</f>
        <v>1Q24</v>
      </c>
      <c r="CY25" s="310" t="str">
        <f>Macro!CY$3</f>
        <v>2Q24</v>
      </c>
      <c r="CZ25" s="310" t="str">
        <f>Macro!CZ$3</f>
        <v>3Q24</v>
      </c>
      <c r="DA25" s="310" t="str">
        <f>Macro!DA$3</f>
        <v>4Q24</v>
      </c>
      <c r="DB25" s="311" t="str">
        <f>Macro!DB$3</f>
        <v>2024</v>
      </c>
      <c r="DC25" s="310" t="str">
        <f>Macro!DC$3</f>
        <v>1Q25</v>
      </c>
      <c r="DD25" s="310" t="str">
        <f>Macro!DD$3</f>
        <v>2Q25</v>
      </c>
      <c r="DE25" s="310" t="str">
        <f>Macro!DE$3</f>
        <v>3Q25</v>
      </c>
      <c r="DF25" s="310" t="str">
        <f>Macro!DF$3</f>
        <v>4Q25</v>
      </c>
      <c r="DG25" s="311" t="str">
        <f>Macro!DG$3</f>
        <v>2025</v>
      </c>
      <c r="DH25" s="310" t="str">
        <f>Macro!DH$3</f>
        <v>1Q26</v>
      </c>
      <c r="DI25" s="310" t="str">
        <f>Macro!DI$3</f>
        <v>2Q26</v>
      </c>
      <c r="DJ25" s="310" t="str">
        <f>Macro!DJ$3</f>
        <v>3Q26E</v>
      </c>
      <c r="DK25" s="310" t="str">
        <f>Macro!DK$3</f>
        <v>4Q26E</v>
      </c>
      <c r="DL25" s="311" t="str">
        <f>Macro!DL$3</f>
        <v>2026E</v>
      </c>
      <c r="DM25" s="310" t="str">
        <f>Macro!DM$3</f>
        <v>1Q27E</v>
      </c>
      <c r="DN25" s="310" t="str">
        <f>Macro!DN$3</f>
        <v>2Q27E</v>
      </c>
      <c r="DO25" s="310" t="str">
        <f>Macro!DO$3</f>
        <v>3Q27E</v>
      </c>
      <c r="DP25" s="310" t="str">
        <f>Macro!DP$3</f>
        <v>4Q27E</v>
      </c>
      <c r="DQ25" s="311" t="str">
        <f>Macro!DQ$3</f>
        <v>2027E</v>
      </c>
      <c r="DR25" s="310" t="str">
        <f>Macro!DR$3</f>
        <v>1Q28E</v>
      </c>
      <c r="DS25" s="310" t="str">
        <f>Macro!DS$3</f>
        <v>2Q28E</v>
      </c>
      <c r="DT25" s="310" t="str">
        <f>Macro!DT$3</f>
        <v>3Q28E</v>
      </c>
      <c r="DU25" s="310" t="str">
        <f>Macro!DU$3</f>
        <v>4Q28E</v>
      </c>
      <c r="DV25" s="311" t="str">
        <f>Macro!DV$3</f>
        <v>2028E</v>
      </c>
      <c r="DW25" s="310" t="str">
        <f>Macro!DW$3</f>
        <v>1Q29E</v>
      </c>
      <c r="DX25" s="310" t="str">
        <f>Macro!DX$3</f>
        <v>2Q29E</v>
      </c>
      <c r="DY25" s="310" t="str">
        <f>Macro!DY$3</f>
        <v>3Q29E</v>
      </c>
      <c r="DZ25" s="310" t="str">
        <f>Macro!DZ$3</f>
        <v>4Q29E</v>
      </c>
      <c r="EA25" s="311" t="str">
        <f>Macro!EA$3</f>
        <v>2029E</v>
      </c>
      <c r="EB25" s="310" t="str">
        <f>Macro!EB$3</f>
        <v>1Q30E</v>
      </c>
      <c r="EC25" s="310" t="str">
        <f>Macro!EC$3</f>
        <v>2Q30E</v>
      </c>
      <c r="ED25" s="310" t="str">
        <f>Macro!ED$3</f>
        <v>3Q30E</v>
      </c>
      <c r="EE25" s="310" t="str">
        <f>Macro!EE$3</f>
        <v>4Q30E</v>
      </c>
      <c r="EF25" s="311" t="str">
        <f>Macro!EF$3</f>
        <v>2030E</v>
      </c>
    </row>
    <row r="26" spans="1:136">
      <c r="A26" s="191" t="s">
        <v>161</v>
      </c>
      <c r="B26" s="192">
        <f t="shared" ref="B26:K26" si="53">B27+B41+B42+B43</f>
        <v>682708</v>
      </c>
      <c r="C26" s="192">
        <f t="shared" si="53"/>
        <v>616845</v>
      </c>
      <c r="D26" s="192">
        <f t="shared" si="53"/>
        <v>642426</v>
      </c>
      <c r="E26" s="192">
        <f t="shared" si="53"/>
        <v>1312288</v>
      </c>
      <c r="F26" s="193">
        <f>F27+F41+F42+F43</f>
        <v>1312288</v>
      </c>
      <c r="G26" s="192">
        <f t="shared" si="53"/>
        <v>1739012</v>
      </c>
      <c r="H26" s="192">
        <f t="shared" si="53"/>
        <v>1372681</v>
      </c>
      <c r="I26" s="192">
        <f t="shared" si="53"/>
        <v>1751937</v>
      </c>
      <c r="J26" s="192">
        <f t="shared" si="53"/>
        <v>1775189</v>
      </c>
      <c r="K26" s="193">
        <f t="shared" si="53"/>
        <v>1775189</v>
      </c>
      <c r="L26" s="192">
        <f t="shared" ref="L26:BW26" si="54">L27+L41+L42+L43</f>
        <v>1883871</v>
      </c>
      <c r="M26" s="192">
        <f t="shared" si="54"/>
        <v>2069342</v>
      </c>
      <c r="N26" s="192">
        <f t="shared" si="54"/>
        <v>2774257</v>
      </c>
      <c r="O26" s="192">
        <f t="shared" si="54"/>
        <v>3042485</v>
      </c>
      <c r="P26" s="193">
        <f t="shared" si="54"/>
        <v>3042485</v>
      </c>
      <c r="Q26" s="192">
        <f t="shared" si="54"/>
        <v>3326140</v>
      </c>
      <c r="R26" s="192">
        <f t="shared" si="54"/>
        <v>3738148</v>
      </c>
      <c r="S26" s="192">
        <f t="shared" si="54"/>
        <v>4032476</v>
      </c>
      <c r="T26" s="192">
        <f t="shared" si="54"/>
        <v>4723567</v>
      </c>
      <c r="U26" s="193">
        <f t="shared" si="54"/>
        <v>4723567</v>
      </c>
      <c r="V26" s="192">
        <f t="shared" si="54"/>
        <v>5137328</v>
      </c>
      <c r="W26" s="192">
        <f t="shared" si="54"/>
        <v>5601631</v>
      </c>
      <c r="X26" s="192">
        <f t="shared" si="54"/>
        <v>6140677</v>
      </c>
      <c r="Y26" s="192">
        <f t="shared" si="54"/>
        <v>7557503</v>
      </c>
      <c r="Z26" s="193">
        <f t="shared" si="54"/>
        <v>7557503</v>
      </c>
      <c r="AA26" s="192">
        <f t="shared" si="54"/>
        <v>7766726</v>
      </c>
      <c r="AB26" s="192">
        <f t="shared" si="54"/>
        <v>7896224</v>
      </c>
      <c r="AC26" s="192">
        <f t="shared" si="54"/>
        <v>8863939</v>
      </c>
      <c r="AD26" s="192">
        <f t="shared" si="54"/>
        <v>10550690</v>
      </c>
      <c r="AE26" s="193">
        <f t="shared" si="54"/>
        <v>10550690</v>
      </c>
      <c r="AF26" s="192">
        <f>AF27+AF41+AF42+AF43</f>
        <v>10879642</v>
      </c>
      <c r="AG26" s="192">
        <f t="shared" si="54"/>
        <v>11232125</v>
      </c>
      <c r="AH26" s="192">
        <f t="shared" si="54"/>
        <v>11602592</v>
      </c>
      <c r="AI26" s="192">
        <f>AI27+AI41+AI42+AI43</f>
        <v>12042561</v>
      </c>
      <c r="AJ26" s="193">
        <f t="shared" si="54"/>
        <v>12042561</v>
      </c>
      <c r="AK26" s="192">
        <f t="shared" si="54"/>
        <v>12489039</v>
      </c>
      <c r="AL26" s="192">
        <f t="shared" si="54"/>
        <v>12931957</v>
      </c>
      <c r="AM26" s="192">
        <f t="shared" si="54"/>
        <v>13496668</v>
      </c>
      <c r="AN26" s="192">
        <f t="shared" si="54"/>
        <v>13644677</v>
      </c>
      <c r="AO26" s="193">
        <f t="shared" si="54"/>
        <v>13644677</v>
      </c>
      <c r="AP26" s="192">
        <f>AP27+AP41+AP42+AP43</f>
        <v>13531460</v>
      </c>
      <c r="AQ26" s="192">
        <f t="shared" si="54"/>
        <v>13603554</v>
      </c>
      <c r="AR26" s="192">
        <f t="shared" si="54"/>
        <v>13616873</v>
      </c>
      <c r="AS26" s="192">
        <f t="shared" si="54"/>
        <v>13607903</v>
      </c>
      <c r="AT26" s="193">
        <f t="shared" si="54"/>
        <v>13607903</v>
      </c>
      <c r="AU26" s="192">
        <f t="shared" si="54"/>
        <v>13898293</v>
      </c>
      <c r="AV26" s="192">
        <f t="shared" si="54"/>
        <v>13620424</v>
      </c>
      <c r="AW26" s="192">
        <f t="shared" si="54"/>
        <v>14039473</v>
      </c>
      <c r="AX26" s="192">
        <f t="shared" si="54"/>
        <v>14387099</v>
      </c>
      <c r="AY26" s="193">
        <f t="shared" si="54"/>
        <v>14387099</v>
      </c>
      <c r="AZ26" s="192">
        <f t="shared" si="54"/>
        <v>14416449</v>
      </c>
      <c r="BA26" s="192">
        <f t="shared" si="54"/>
        <v>13896935</v>
      </c>
      <c r="BB26" s="192">
        <f t="shared" si="54"/>
        <v>13965433</v>
      </c>
      <c r="BC26" s="192">
        <f t="shared" si="54"/>
        <v>13420612</v>
      </c>
      <c r="BD26" s="193">
        <f t="shared" si="54"/>
        <v>13420612</v>
      </c>
      <c r="BE26" s="192">
        <f t="shared" si="54"/>
        <v>13326248</v>
      </c>
      <c r="BF26" s="192">
        <f t="shared" si="54"/>
        <v>13314373</v>
      </c>
      <c r="BG26" s="192">
        <f t="shared" si="54"/>
        <v>13416693</v>
      </c>
      <c r="BH26" s="192">
        <f t="shared" si="54"/>
        <v>12729588</v>
      </c>
      <c r="BI26" s="193">
        <f t="shared" si="54"/>
        <v>12729588</v>
      </c>
      <c r="BJ26" s="192">
        <f t="shared" si="54"/>
        <v>12666844</v>
      </c>
      <c r="BK26" s="192">
        <f t="shared" si="54"/>
        <v>12243534</v>
      </c>
      <c r="BL26" s="192">
        <f t="shared" si="54"/>
        <v>12079418</v>
      </c>
      <c r="BM26" s="192">
        <f t="shared" si="54"/>
        <v>11879699</v>
      </c>
      <c r="BN26" s="193">
        <f t="shared" si="54"/>
        <v>11879699</v>
      </c>
      <c r="BO26" s="192">
        <f t="shared" si="54"/>
        <v>11940930</v>
      </c>
      <c r="BP26" s="192">
        <f t="shared" si="54"/>
        <v>11340173</v>
      </c>
      <c r="BQ26" s="192">
        <f t="shared" si="54"/>
        <v>10931386</v>
      </c>
      <c r="BR26" s="192">
        <f t="shared" si="54"/>
        <v>10401541</v>
      </c>
      <c r="BS26" s="193">
        <f t="shared" si="54"/>
        <v>10401541</v>
      </c>
      <c r="BT26" s="192">
        <f t="shared" si="54"/>
        <v>9652269</v>
      </c>
      <c r="BU26" s="192">
        <f t="shared" si="54"/>
        <v>10010071</v>
      </c>
      <c r="BV26" s="192">
        <f t="shared" si="54"/>
        <v>10499600</v>
      </c>
      <c r="BW26" s="192">
        <f t="shared" si="54"/>
        <v>9829268</v>
      </c>
      <c r="BX26" s="193">
        <f t="shared" ref="BX26:CC26" si="55">BX27+BX41+BX42+BX43</f>
        <v>9829268</v>
      </c>
      <c r="BY26" s="192">
        <f t="shared" si="55"/>
        <v>9742527</v>
      </c>
      <c r="BZ26" s="192">
        <f t="shared" si="55"/>
        <v>9772333</v>
      </c>
      <c r="CA26" s="192">
        <f t="shared" si="55"/>
        <v>9971372</v>
      </c>
      <c r="CB26" s="192">
        <f t="shared" si="55"/>
        <v>9987778</v>
      </c>
      <c r="CC26" s="193">
        <f t="shared" si="55"/>
        <v>9987778</v>
      </c>
      <c r="CD26" s="192">
        <f t="shared" ref="CD26:DG26" si="56">CD27+CD41+CD42+CD43</f>
        <v>10290824</v>
      </c>
      <c r="CE26" s="192">
        <f t="shared" si="56"/>
        <v>10908726</v>
      </c>
      <c r="CF26" s="192">
        <f t="shared" si="56"/>
        <v>11391783</v>
      </c>
      <c r="CG26" s="192">
        <f t="shared" si="56"/>
        <v>11433926</v>
      </c>
      <c r="CH26" s="193">
        <f t="shared" si="56"/>
        <v>11433926</v>
      </c>
      <c r="CI26" s="192">
        <f t="shared" si="56"/>
        <v>11657074</v>
      </c>
      <c r="CJ26" s="192">
        <f t="shared" si="56"/>
        <v>12376658</v>
      </c>
      <c r="CK26" s="192">
        <f>CK27+CK41+CK42+CK43</f>
        <v>13162967</v>
      </c>
      <c r="CL26" s="192">
        <f t="shared" si="56"/>
        <v>13841170</v>
      </c>
      <c r="CM26" s="193">
        <f t="shared" si="56"/>
        <v>13841170</v>
      </c>
      <c r="CN26" s="192">
        <f>CN27+CN41+CN42+CN43</f>
        <v>14217086</v>
      </c>
      <c r="CO26" s="192">
        <f>CO27+CO41+CO42+CO43</f>
        <v>14743262</v>
      </c>
      <c r="CP26" s="192">
        <f>CP27+CP41+CP42+CP43</f>
        <v>15685516</v>
      </c>
      <c r="CQ26" s="192">
        <f t="shared" si="56"/>
        <v>16560139</v>
      </c>
      <c r="CR26" s="193">
        <f t="shared" si="56"/>
        <v>16560139</v>
      </c>
      <c r="CS26" s="192">
        <f>CS27+CS41+CS42+CS43</f>
        <v>16321140</v>
      </c>
      <c r="CT26" s="192">
        <f>CT27+CT41+CT42+CT43</f>
        <v>16825149</v>
      </c>
      <c r="CU26" s="192">
        <f>CU27+CU41+CU42+CU43</f>
        <v>17023249</v>
      </c>
      <c r="CV26" s="192">
        <f>CV27+CV41+CV42+CV43</f>
        <v>17371200</v>
      </c>
      <c r="CW26" s="193">
        <f t="shared" si="56"/>
        <v>17371200</v>
      </c>
      <c r="CX26" s="192">
        <f t="shared" si="56"/>
        <v>17462659</v>
      </c>
      <c r="CY26" s="192">
        <f t="shared" si="56"/>
        <v>18260036</v>
      </c>
      <c r="CZ26" s="192">
        <f>CZ27+CZ41+CZ42+CZ43</f>
        <v>19574005</v>
      </c>
      <c r="DA26" s="192">
        <f>DA27+DA41+DA42+DA43</f>
        <v>21240962</v>
      </c>
      <c r="DB26" s="193">
        <f t="shared" si="56"/>
        <v>21240962</v>
      </c>
      <c r="DC26" s="192">
        <f t="shared" ref="DC26" si="57">DC27+DC41+DC42+DC43</f>
        <v>21847715</v>
      </c>
      <c r="DD26" s="192">
        <f>DD27+DD41+DD42+DD43</f>
        <v>23414787</v>
      </c>
      <c r="DE26" s="192">
        <f>DE27+DE41+DE42+DE43</f>
        <v>24950414</v>
      </c>
      <c r="DF26" s="192">
        <f>DF27+DF41+DF42+DF43</f>
        <v>26109817</v>
      </c>
      <c r="DG26" s="193">
        <f t="shared" si="56"/>
        <v>26109817</v>
      </c>
      <c r="DH26" s="192">
        <f>DH27+DH41+DH42+DH43</f>
        <v>26714090</v>
      </c>
      <c r="DI26" s="192">
        <f>DI27+DI41+DI42+DI43</f>
        <v>27740895</v>
      </c>
      <c r="DJ26" s="192">
        <f ca="1">DJ27+DJ41+DJ42+DJ43</f>
        <v>28058501.650462039</v>
      </c>
      <c r="DK26" s="192">
        <f ca="1">DK27+DK41+DK42+DK43</f>
        <v>28438596.689375091</v>
      </c>
      <c r="DL26" s="193">
        <f ca="1">DL27+DL41+DL42+DL43</f>
        <v>28438596.689375091</v>
      </c>
      <c r="DM26" s="192">
        <f t="shared" ref="DM26:EF26" ca="1" si="58">DM27+DM41+DM42+DM43</f>
        <v>28712882.198740065</v>
      </c>
      <c r="DN26" s="192">
        <f t="shared" ca="1" si="58"/>
        <v>29328033.709849887</v>
      </c>
      <c r="DO26" s="192">
        <f t="shared" ca="1" si="58"/>
        <v>29076006.029656693</v>
      </c>
      <c r="DP26" s="192">
        <f t="shared" ca="1" si="58"/>
        <v>30796377.478193868</v>
      </c>
      <c r="DQ26" s="193">
        <f t="shared" ca="1" si="58"/>
        <v>30796377.478193868</v>
      </c>
      <c r="DR26" s="192">
        <f t="shared" ca="1" si="58"/>
        <v>30091811.911876276</v>
      </c>
      <c r="DS26" s="192">
        <f t="shared" ca="1" si="58"/>
        <v>29757850.614185877</v>
      </c>
      <c r="DT26" s="192">
        <f t="shared" ca="1" si="58"/>
        <v>30448030.445775844</v>
      </c>
      <c r="DU26" s="192">
        <f t="shared" ca="1" si="58"/>
        <v>33049355.625963099</v>
      </c>
      <c r="DV26" s="193">
        <f t="shared" ca="1" si="58"/>
        <v>33049355.625963099</v>
      </c>
      <c r="DW26" s="192">
        <f t="shared" ca="1" si="58"/>
        <v>32233811.170790736</v>
      </c>
      <c r="DX26" s="192">
        <f t="shared" ca="1" si="58"/>
        <v>31080797.977641255</v>
      </c>
      <c r="DY26" s="192">
        <f t="shared" ca="1" si="58"/>
        <v>31766531.579591483</v>
      </c>
      <c r="DZ26" s="192">
        <f t="shared" ca="1" si="58"/>
        <v>34482403.193864428</v>
      </c>
      <c r="EA26" s="193">
        <f t="shared" ca="1" si="58"/>
        <v>34482403.193864428</v>
      </c>
      <c r="EB26" s="192">
        <f t="shared" ca="1" si="58"/>
        <v>33600255.417639755</v>
      </c>
      <c r="EC26" s="192">
        <f t="shared" ca="1" si="58"/>
        <v>32380261.063939735</v>
      </c>
      <c r="ED26" s="192">
        <f t="shared" ca="1" si="58"/>
        <v>33139231.855698727</v>
      </c>
      <c r="EE26" s="192">
        <f t="shared" ca="1" si="58"/>
        <v>36014719.097502828</v>
      </c>
      <c r="EF26" s="193">
        <f t="shared" ca="1" si="58"/>
        <v>36014719.097502828</v>
      </c>
    </row>
    <row r="27" spans="1:136">
      <c r="A27" s="191" t="s">
        <v>717</v>
      </c>
      <c r="B27" s="192">
        <f t="shared" ref="B27:K27" si="59">B28+SUM(B31:B40)</f>
        <v>367394</v>
      </c>
      <c r="C27" s="192">
        <f t="shared" si="59"/>
        <v>292767</v>
      </c>
      <c r="D27" s="192">
        <f t="shared" si="59"/>
        <v>312915</v>
      </c>
      <c r="E27" s="192">
        <f t="shared" si="59"/>
        <v>797465</v>
      </c>
      <c r="F27" s="193">
        <f>F28+SUM(F31:F40)</f>
        <v>797465</v>
      </c>
      <c r="G27" s="192">
        <f t="shared" si="59"/>
        <v>1172297.5</v>
      </c>
      <c r="H27" s="192">
        <f t="shared" si="59"/>
        <v>807174</v>
      </c>
      <c r="I27" s="192">
        <f t="shared" si="59"/>
        <v>636400</v>
      </c>
      <c r="J27" s="192">
        <f t="shared" si="59"/>
        <v>677862</v>
      </c>
      <c r="K27" s="193">
        <f t="shared" si="59"/>
        <v>677862</v>
      </c>
      <c r="L27" s="192">
        <f t="shared" ref="L27:BW27" si="60">L28+SUM(L31:L40)</f>
        <v>718406</v>
      </c>
      <c r="M27" s="192">
        <f t="shared" si="60"/>
        <v>778549</v>
      </c>
      <c r="N27" s="192">
        <f t="shared" si="60"/>
        <v>726218</v>
      </c>
      <c r="O27" s="192">
        <f t="shared" si="60"/>
        <v>993634</v>
      </c>
      <c r="P27" s="193">
        <f t="shared" si="60"/>
        <v>993634</v>
      </c>
      <c r="Q27" s="192">
        <f t="shared" si="60"/>
        <v>1183456</v>
      </c>
      <c r="R27" s="192">
        <f t="shared" si="60"/>
        <v>1656886</v>
      </c>
      <c r="S27" s="192">
        <f t="shared" si="60"/>
        <v>1890059</v>
      </c>
      <c r="T27" s="192">
        <f t="shared" si="60"/>
        <v>2454044</v>
      </c>
      <c r="U27" s="193">
        <f t="shared" si="60"/>
        <v>2454044</v>
      </c>
      <c r="V27" s="192">
        <f t="shared" si="60"/>
        <v>2760063</v>
      </c>
      <c r="W27" s="192">
        <f t="shared" si="60"/>
        <v>3073811</v>
      </c>
      <c r="X27" s="192">
        <f t="shared" si="60"/>
        <v>3529514</v>
      </c>
      <c r="Y27" s="192">
        <f t="shared" si="60"/>
        <v>5147825</v>
      </c>
      <c r="Z27" s="193">
        <f t="shared" si="60"/>
        <v>5147825</v>
      </c>
      <c r="AA27" s="192">
        <f t="shared" si="60"/>
        <v>5390338</v>
      </c>
      <c r="AB27" s="192">
        <f t="shared" si="60"/>
        <v>5296866</v>
      </c>
      <c r="AC27" s="192">
        <f t="shared" si="60"/>
        <v>5973796</v>
      </c>
      <c r="AD27" s="192">
        <f t="shared" si="60"/>
        <v>6445307</v>
      </c>
      <c r="AE27" s="193">
        <f t="shared" si="60"/>
        <v>6445307</v>
      </c>
      <c r="AF27" s="192">
        <f t="shared" si="60"/>
        <v>6585323</v>
      </c>
      <c r="AG27" s="192">
        <f t="shared" si="60"/>
        <v>6754567</v>
      </c>
      <c r="AH27" s="192">
        <f t="shared" si="60"/>
        <v>6901264</v>
      </c>
      <c r="AI27" s="192">
        <f>AI28+SUM(AI31:AI40)</f>
        <v>7360624</v>
      </c>
      <c r="AJ27" s="193">
        <f t="shared" si="60"/>
        <v>7360624</v>
      </c>
      <c r="AK27" s="192">
        <f t="shared" si="60"/>
        <v>7715229</v>
      </c>
      <c r="AL27" s="192">
        <f t="shared" si="60"/>
        <v>8086986</v>
      </c>
      <c r="AM27" s="192">
        <f t="shared" si="60"/>
        <v>8636319</v>
      </c>
      <c r="AN27" s="192">
        <f t="shared" si="60"/>
        <v>8721911</v>
      </c>
      <c r="AO27" s="193">
        <f t="shared" si="60"/>
        <v>8721911</v>
      </c>
      <c r="AP27" s="192">
        <f>AP28+SUM(AP31:AP40)</f>
        <v>8507214</v>
      </c>
      <c r="AQ27" s="192">
        <f t="shared" si="60"/>
        <v>8433298</v>
      </c>
      <c r="AR27" s="192">
        <f t="shared" si="60"/>
        <v>8258062</v>
      </c>
      <c r="AS27" s="192">
        <f t="shared" si="60"/>
        <v>7979141</v>
      </c>
      <c r="AT27" s="193">
        <f t="shared" si="60"/>
        <v>7979141</v>
      </c>
      <c r="AU27" s="192">
        <f t="shared" si="60"/>
        <v>7701530</v>
      </c>
      <c r="AV27" s="192">
        <f t="shared" si="60"/>
        <v>7507268</v>
      </c>
      <c r="AW27" s="192">
        <f t="shared" si="60"/>
        <v>7717169</v>
      </c>
      <c r="AX27" s="192">
        <f t="shared" si="60"/>
        <v>8193051</v>
      </c>
      <c r="AY27" s="193">
        <f t="shared" si="60"/>
        <v>8193051</v>
      </c>
      <c r="AZ27" s="192">
        <f t="shared" si="60"/>
        <v>8204292</v>
      </c>
      <c r="BA27" s="192">
        <f t="shared" si="60"/>
        <v>7576614</v>
      </c>
      <c r="BB27" s="192">
        <f t="shared" si="60"/>
        <v>7521384</v>
      </c>
      <c r="BC27" s="192">
        <f t="shared" si="60"/>
        <v>7052767</v>
      </c>
      <c r="BD27" s="193">
        <f t="shared" si="60"/>
        <v>7052767</v>
      </c>
      <c r="BE27" s="192">
        <f t="shared" si="60"/>
        <v>6909644</v>
      </c>
      <c r="BF27" s="192">
        <f t="shared" si="60"/>
        <v>6898068</v>
      </c>
      <c r="BG27" s="192">
        <f t="shared" si="60"/>
        <v>6613926</v>
      </c>
      <c r="BH27" s="192">
        <f t="shared" si="60"/>
        <v>6050701</v>
      </c>
      <c r="BI27" s="193">
        <f t="shared" si="60"/>
        <v>6050701</v>
      </c>
      <c r="BJ27" s="192">
        <f t="shared" si="60"/>
        <v>5933761</v>
      </c>
      <c r="BK27" s="192">
        <f t="shared" si="60"/>
        <v>5483837</v>
      </c>
      <c r="BL27" s="192">
        <f t="shared" si="60"/>
        <v>5322887</v>
      </c>
      <c r="BM27" s="192">
        <f t="shared" si="60"/>
        <v>5112957</v>
      </c>
      <c r="BN27" s="193">
        <f t="shared" si="60"/>
        <v>5112957</v>
      </c>
      <c r="BO27" s="192">
        <f t="shared" si="60"/>
        <v>5161295</v>
      </c>
      <c r="BP27" s="192">
        <f t="shared" si="60"/>
        <v>5025272</v>
      </c>
      <c r="BQ27" s="192">
        <f t="shared" si="60"/>
        <v>4611607</v>
      </c>
      <c r="BR27" s="192">
        <f t="shared" si="60"/>
        <v>4036043</v>
      </c>
      <c r="BS27" s="193">
        <f t="shared" si="60"/>
        <v>4036043</v>
      </c>
      <c r="BT27" s="192">
        <f t="shared" si="60"/>
        <v>3617126</v>
      </c>
      <c r="BU27" s="192">
        <f t="shared" si="60"/>
        <v>4228470</v>
      </c>
      <c r="BV27" s="192">
        <f t="shared" si="60"/>
        <v>4850955</v>
      </c>
      <c r="BW27" s="192">
        <f t="shared" si="60"/>
        <v>4291457</v>
      </c>
      <c r="BX27" s="193">
        <f t="shared" ref="BX27:CC27" si="61">BX28+SUM(BX31:BX40)</f>
        <v>4291457</v>
      </c>
      <c r="BY27" s="192">
        <f t="shared" si="61"/>
        <v>4174538</v>
      </c>
      <c r="BZ27" s="192">
        <f t="shared" si="61"/>
        <v>4253983</v>
      </c>
      <c r="CA27" s="192">
        <f t="shared" si="61"/>
        <v>4490832</v>
      </c>
      <c r="CB27" s="192">
        <f t="shared" si="61"/>
        <v>4812335</v>
      </c>
      <c r="CC27" s="193">
        <f t="shared" si="61"/>
        <v>4812335</v>
      </c>
      <c r="CD27" s="192">
        <f t="shared" ref="CD27:DG27" si="62">CD28+SUM(CD31:CD40)</f>
        <v>5080124</v>
      </c>
      <c r="CE27" s="192">
        <f t="shared" si="62"/>
        <v>5606950</v>
      </c>
      <c r="CF27" s="192">
        <f t="shared" si="62"/>
        <v>4845126</v>
      </c>
      <c r="CG27" s="192">
        <f t="shared" si="62"/>
        <v>5637298</v>
      </c>
      <c r="CH27" s="193">
        <f t="shared" si="62"/>
        <v>5637298</v>
      </c>
      <c r="CI27" s="192">
        <f t="shared" si="62"/>
        <v>5656026</v>
      </c>
      <c r="CJ27" s="192">
        <f t="shared" si="62"/>
        <v>6083620</v>
      </c>
      <c r="CK27" s="192">
        <f>CK28+SUM(CK31:CK40)</f>
        <v>6558432</v>
      </c>
      <c r="CL27" s="192">
        <f t="shared" si="62"/>
        <v>7039246</v>
      </c>
      <c r="CM27" s="193">
        <f t="shared" si="62"/>
        <v>7039246</v>
      </c>
      <c r="CN27" s="192">
        <f>CN28+SUM(CN31:CN40)</f>
        <v>7231575</v>
      </c>
      <c r="CO27" s="192">
        <f>CO28+SUM(CO31:CO40)</f>
        <v>7668775</v>
      </c>
      <c r="CP27" s="192">
        <f>CP28+SUM(CP31:CP40)</f>
        <v>8920338</v>
      </c>
      <c r="CQ27" s="192">
        <f t="shared" si="62"/>
        <v>8860808</v>
      </c>
      <c r="CR27" s="193">
        <f t="shared" si="62"/>
        <v>8860808</v>
      </c>
      <c r="CS27" s="192">
        <f>CS28+SUM(CS31:CS40)</f>
        <v>8450235</v>
      </c>
      <c r="CT27" s="192">
        <f>CT28+SUM(CT31:CT40)</f>
        <v>8581444</v>
      </c>
      <c r="CU27" s="192">
        <f>CU28+SUM(CU31:CU40)</f>
        <v>8483305</v>
      </c>
      <c r="CV27" s="192">
        <f>CV28+SUM(CV31:CV40)</f>
        <v>8871374</v>
      </c>
      <c r="CW27" s="193">
        <f t="shared" si="62"/>
        <v>8871374</v>
      </c>
      <c r="CX27" s="192">
        <f t="shared" si="62"/>
        <v>8922776</v>
      </c>
      <c r="CY27" s="192">
        <f t="shared" si="62"/>
        <v>9026157</v>
      </c>
      <c r="CZ27" s="192">
        <f>CZ28+SUM(CZ31:CZ40)</f>
        <v>9722539</v>
      </c>
      <c r="DA27" s="192">
        <f>DA28+SUM(DA31:DA40)</f>
        <v>11291688</v>
      </c>
      <c r="DB27" s="193">
        <f t="shared" si="62"/>
        <v>11291688</v>
      </c>
      <c r="DC27" s="192">
        <f t="shared" ref="DC27" si="63">DC28+SUM(DC31:DC40)</f>
        <v>11430229</v>
      </c>
      <c r="DD27" s="192">
        <f>DD28+SUM(DD31:DD40)</f>
        <v>12539919</v>
      </c>
      <c r="DE27" s="192">
        <f>DE28+SUM(DE31:DE40)</f>
        <v>13461465</v>
      </c>
      <c r="DF27" s="192">
        <f>DF28+SUM(DF31:DF40)</f>
        <v>14643033</v>
      </c>
      <c r="DG27" s="193">
        <f t="shared" si="62"/>
        <v>14643033</v>
      </c>
      <c r="DH27" s="192">
        <f>DH28+SUM(DH31:DH40)</f>
        <v>14786091</v>
      </c>
      <c r="DI27" s="192">
        <f>DI28+SUM(DI31:DI40)</f>
        <v>15289389</v>
      </c>
      <c r="DJ27" s="192">
        <f>DJ28+SUM(DJ31:DJ40)</f>
        <v>15097345.366737403</v>
      </c>
      <c r="DK27" s="192">
        <f>DK28+SUM(DK31:DK40)</f>
        <v>15309659.140465587</v>
      </c>
      <c r="DL27" s="193">
        <f>DL28+SUM(DL31:DL40)</f>
        <v>15309659.140465587</v>
      </c>
      <c r="DM27" s="192">
        <f t="shared" ref="DM27:EF27" si="64">DM28+SUM(DM31:DM40)</f>
        <v>15051949.960322144</v>
      </c>
      <c r="DN27" s="192">
        <f t="shared" si="64"/>
        <v>15059496.471877418</v>
      </c>
      <c r="DO27" s="192">
        <f t="shared" si="64"/>
        <v>15137373.017355032</v>
      </c>
      <c r="DP27" s="192">
        <f t="shared" ca="1" si="64"/>
        <v>16215512.013032943</v>
      </c>
      <c r="DQ27" s="193">
        <f t="shared" ca="1" si="64"/>
        <v>16215512.013032943</v>
      </c>
      <c r="DR27" s="192">
        <f t="shared" ca="1" si="64"/>
        <v>16632185.175039018</v>
      </c>
      <c r="DS27" s="192">
        <f t="shared" si="64"/>
        <v>15686561.322568711</v>
      </c>
      <c r="DT27" s="192">
        <f t="shared" si="64"/>
        <v>15765222.670038536</v>
      </c>
      <c r="DU27" s="192">
        <f t="shared" ca="1" si="64"/>
        <v>17675987.2045555</v>
      </c>
      <c r="DV27" s="193">
        <f t="shared" ca="1" si="64"/>
        <v>17675987.2045555</v>
      </c>
      <c r="DW27" s="192">
        <f t="shared" ca="1" si="64"/>
        <v>18089434.809344247</v>
      </c>
      <c r="DX27" s="192">
        <f t="shared" si="64"/>
        <v>16315378.049165098</v>
      </c>
      <c r="DY27" s="192">
        <f t="shared" si="64"/>
        <v>16398084.075505909</v>
      </c>
      <c r="DZ27" s="192">
        <f t="shared" ca="1" si="64"/>
        <v>18430092.162842728</v>
      </c>
      <c r="EA27" s="193">
        <f t="shared" ca="1" si="64"/>
        <v>18430092.162842728</v>
      </c>
      <c r="EB27" s="192">
        <f t="shared" ca="1" si="64"/>
        <v>18840900.245567106</v>
      </c>
      <c r="EC27" s="192">
        <f t="shared" si="64"/>
        <v>16953580.911702551</v>
      </c>
      <c r="ED27" s="192">
        <f t="shared" si="64"/>
        <v>17041128.657758117</v>
      </c>
      <c r="EE27" s="192">
        <f t="shared" ca="1" si="64"/>
        <v>19169958.296108522</v>
      </c>
      <c r="EF27" s="193">
        <f t="shared" ca="1" si="64"/>
        <v>19169958.296108522</v>
      </c>
    </row>
    <row r="28" spans="1:136">
      <c r="A28" s="71" t="s">
        <v>24</v>
      </c>
      <c r="B28" s="213">
        <v>86320</v>
      </c>
      <c r="C28" s="213">
        <v>93822</v>
      </c>
      <c r="D28" s="213">
        <v>104447</v>
      </c>
      <c r="E28" s="213">
        <v>265018</v>
      </c>
      <c r="F28" s="89">
        <f t="shared" ref="F28:F42" si="65">E28</f>
        <v>265018</v>
      </c>
      <c r="G28" s="213">
        <f>(AVERAGE(E28,H28))+(AVERAGE(E28,H28))</f>
        <v>546789</v>
      </c>
      <c r="H28" s="213">
        <v>281771</v>
      </c>
      <c r="I28" s="213">
        <v>188666</v>
      </c>
      <c r="J28" s="213">
        <v>203834</v>
      </c>
      <c r="K28" s="89">
        <f t="shared" ref="K28:K42" si="66">J28</f>
        <v>203834</v>
      </c>
      <c r="L28" s="213">
        <v>219135</v>
      </c>
      <c r="M28" s="213">
        <v>252961</v>
      </c>
      <c r="N28" s="213">
        <v>161904</v>
      </c>
      <c r="O28" s="213">
        <v>124729</v>
      </c>
      <c r="P28" s="89">
        <f>SUM(P29:P30)</f>
        <v>124729</v>
      </c>
      <c r="Q28" s="213">
        <v>249163</v>
      </c>
      <c r="R28" s="213">
        <f>(94759+500000)+86464</f>
        <v>681223</v>
      </c>
      <c r="S28" s="213">
        <f>(133788+500000)+85682</f>
        <v>719470</v>
      </c>
      <c r="T28" s="213">
        <f>728527+(76762+13510)</f>
        <v>818799</v>
      </c>
      <c r="U28" s="89">
        <f t="shared" ref="U28:Z28" si="67">SUM(U29:U30)</f>
        <v>818799</v>
      </c>
      <c r="V28" s="213">
        <f t="shared" si="67"/>
        <v>1420227</v>
      </c>
      <c r="W28" s="213">
        <f t="shared" si="67"/>
        <v>1608985</v>
      </c>
      <c r="X28" s="213">
        <f t="shared" si="67"/>
        <v>1762073</v>
      </c>
      <c r="Y28" s="213">
        <f t="shared" si="67"/>
        <v>2067750</v>
      </c>
      <c r="Z28" s="89">
        <f t="shared" si="67"/>
        <v>2067750</v>
      </c>
      <c r="AA28" s="213">
        <f>173260+46993+943031+986524</f>
        <v>2149808</v>
      </c>
      <c r="AB28" s="213">
        <f t="shared" ref="AB28:AH28" si="68">SUM(AB29:AB30)</f>
        <v>2318633</v>
      </c>
      <c r="AC28" s="213">
        <f t="shared" si="68"/>
        <v>2846912</v>
      </c>
      <c r="AD28" s="213">
        <f t="shared" si="68"/>
        <v>2623135</v>
      </c>
      <c r="AE28" s="89">
        <f t="shared" si="68"/>
        <v>2623135</v>
      </c>
      <c r="AF28" s="213">
        <f t="shared" si="68"/>
        <v>2572741</v>
      </c>
      <c r="AG28" s="213">
        <f t="shared" si="68"/>
        <v>2763046</v>
      </c>
      <c r="AH28" s="213">
        <f t="shared" si="68"/>
        <v>2980123</v>
      </c>
      <c r="AI28" s="213">
        <f>SUM(AI29:AI30)</f>
        <v>3432662</v>
      </c>
      <c r="AJ28" s="89">
        <f t="shared" ref="AJ28:CC28" si="69">SUM(AJ29:AJ30)</f>
        <v>3432662</v>
      </c>
      <c r="AK28" s="149">
        <f t="shared" si="69"/>
        <v>3641391</v>
      </c>
      <c r="AL28" s="149">
        <f t="shared" si="69"/>
        <v>4186227</v>
      </c>
      <c r="AM28" s="149">
        <f>SUM(AM29:AM30)</f>
        <v>4617590</v>
      </c>
      <c r="AN28" s="149">
        <f t="shared" si="69"/>
        <v>4589107</v>
      </c>
      <c r="AO28" s="89">
        <f t="shared" si="69"/>
        <v>4589107</v>
      </c>
      <c r="AP28" s="149">
        <f>SUM(AP29:AP30)</f>
        <v>4630634</v>
      </c>
      <c r="AQ28" s="149">
        <f>SUM(AQ29:AQ30)</f>
        <v>4465189</v>
      </c>
      <c r="AR28" s="149">
        <f>SUM(AR29:AR30)</f>
        <v>4375743</v>
      </c>
      <c r="AS28" s="149">
        <f t="shared" si="69"/>
        <v>4081943</v>
      </c>
      <c r="AT28" s="89">
        <f t="shared" si="69"/>
        <v>4081943</v>
      </c>
      <c r="AU28" s="149">
        <f t="shared" si="69"/>
        <v>3798919</v>
      </c>
      <c r="AV28" s="149">
        <f t="shared" si="69"/>
        <v>3780005</v>
      </c>
      <c r="AW28" s="149">
        <f t="shared" si="69"/>
        <v>3875414</v>
      </c>
      <c r="AX28" s="149">
        <f t="shared" si="69"/>
        <v>4213748</v>
      </c>
      <c r="AY28" s="89">
        <f t="shared" si="69"/>
        <v>4213748</v>
      </c>
      <c r="AZ28" s="149">
        <f t="shared" si="69"/>
        <v>4589555</v>
      </c>
      <c r="BA28" s="149">
        <f t="shared" si="69"/>
        <v>4280547</v>
      </c>
      <c r="BB28" s="149">
        <f t="shared" si="69"/>
        <v>4219160</v>
      </c>
      <c r="BC28" s="149">
        <f t="shared" si="69"/>
        <v>3875220</v>
      </c>
      <c r="BD28" s="89">
        <f t="shared" si="69"/>
        <v>3875220</v>
      </c>
      <c r="BE28" s="149">
        <f t="shared" si="69"/>
        <v>3799881</v>
      </c>
      <c r="BF28" s="149">
        <f t="shared" si="69"/>
        <v>3952453</v>
      </c>
      <c r="BG28" s="149">
        <f t="shared" si="69"/>
        <v>4030753</v>
      </c>
      <c r="BH28" s="149">
        <f t="shared" si="69"/>
        <v>3741611</v>
      </c>
      <c r="BI28" s="89">
        <f t="shared" si="69"/>
        <v>3741611</v>
      </c>
      <c r="BJ28" s="149">
        <f t="shared" si="69"/>
        <v>3673332</v>
      </c>
      <c r="BK28" s="149">
        <f t="shared" si="69"/>
        <v>3536836</v>
      </c>
      <c r="BL28" s="149">
        <f t="shared" si="69"/>
        <v>3472412</v>
      </c>
      <c r="BM28" s="149">
        <f t="shared" si="69"/>
        <v>3423664</v>
      </c>
      <c r="BN28" s="89">
        <f t="shared" si="69"/>
        <v>3423664</v>
      </c>
      <c r="BO28" s="149">
        <f t="shared" si="69"/>
        <v>3565965</v>
      </c>
      <c r="BP28" s="149">
        <f t="shared" si="69"/>
        <v>3377167</v>
      </c>
      <c r="BQ28" s="149">
        <f t="shared" si="69"/>
        <v>3083116</v>
      </c>
      <c r="BR28" s="149">
        <f>SUM(BR29:BR30)</f>
        <v>2574040</v>
      </c>
      <c r="BS28" s="89">
        <f t="shared" si="69"/>
        <v>2574040</v>
      </c>
      <c r="BT28" s="149">
        <f t="shared" si="69"/>
        <v>2144969</v>
      </c>
      <c r="BU28" s="149">
        <f t="shared" si="69"/>
        <v>2364861</v>
      </c>
      <c r="BV28" s="149">
        <f t="shared" si="69"/>
        <v>2888885</v>
      </c>
      <c r="BW28" s="149">
        <f t="shared" si="69"/>
        <v>2371487</v>
      </c>
      <c r="BX28" s="89">
        <f t="shared" si="69"/>
        <v>2371487</v>
      </c>
      <c r="BY28" s="149">
        <f t="shared" si="69"/>
        <v>2105981</v>
      </c>
      <c r="BZ28" s="149">
        <f t="shared" si="69"/>
        <v>1991634</v>
      </c>
      <c r="CA28" s="149">
        <f t="shared" si="69"/>
        <v>2436592</v>
      </c>
      <c r="CB28" s="149">
        <f t="shared" si="69"/>
        <v>2504275</v>
      </c>
      <c r="CC28" s="89">
        <f t="shared" si="69"/>
        <v>2504275</v>
      </c>
      <c r="CD28" s="149">
        <f t="shared" ref="CD28:DG28" si="70">SUM(CD29:CD30)</f>
        <v>2513799</v>
      </c>
      <c r="CE28" s="149">
        <f t="shared" si="70"/>
        <v>2910556</v>
      </c>
      <c r="CF28" s="149">
        <f t="shared" si="70"/>
        <v>2434570</v>
      </c>
      <c r="CG28" s="149">
        <f t="shared" si="70"/>
        <v>2703006</v>
      </c>
      <c r="CH28" s="89">
        <f t="shared" si="70"/>
        <v>2703006</v>
      </c>
      <c r="CI28" s="149">
        <f t="shared" si="70"/>
        <v>2694314</v>
      </c>
      <c r="CJ28" s="149">
        <f t="shared" si="70"/>
        <v>3349668</v>
      </c>
      <c r="CK28" s="149">
        <f>SUM(CK29:CK30)</f>
        <v>3402960</v>
      </c>
      <c r="CL28" s="149">
        <f>SUM(CL29:CL30)</f>
        <v>3634037</v>
      </c>
      <c r="CM28" s="89">
        <f t="shared" si="70"/>
        <v>3634037</v>
      </c>
      <c r="CN28" s="149">
        <f t="shared" si="70"/>
        <v>3678332</v>
      </c>
      <c r="CO28" s="149">
        <f t="shared" si="70"/>
        <v>4031314</v>
      </c>
      <c r="CP28" s="149">
        <f t="shared" si="70"/>
        <v>4378904</v>
      </c>
      <c r="CQ28" s="149">
        <f t="shared" si="70"/>
        <v>4976314</v>
      </c>
      <c r="CR28" s="89">
        <f t="shared" si="70"/>
        <v>4976314</v>
      </c>
      <c r="CS28" s="149">
        <f>SUM(CS29:CS30)</f>
        <v>4805047</v>
      </c>
      <c r="CT28" s="149">
        <f>SUM(CT29:CT30)</f>
        <v>4965575</v>
      </c>
      <c r="CU28" s="149">
        <f>SUM(CU29:CU30)</f>
        <v>4963109</v>
      </c>
      <c r="CV28" s="149">
        <f>SUM(CV29:CV30)</f>
        <v>5157538</v>
      </c>
      <c r="CW28" s="89">
        <f t="shared" si="70"/>
        <v>5157538</v>
      </c>
      <c r="CX28" s="149">
        <f t="shared" si="70"/>
        <v>4895803</v>
      </c>
      <c r="CY28" s="149">
        <f t="shared" si="70"/>
        <v>5251363</v>
      </c>
      <c r="CZ28" s="149">
        <f>SUM(CZ29:CZ30)</f>
        <v>5466325</v>
      </c>
      <c r="DA28" s="149">
        <f>SUM(DA29:DA30)</f>
        <v>5974580</v>
      </c>
      <c r="DB28" s="89">
        <f t="shared" si="70"/>
        <v>5974580</v>
      </c>
      <c r="DC28" s="149">
        <f t="shared" ref="DC28" si="71">SUM(DC29:DC30)</f>
        <v>6017458</v>
      </c>
      <c r="DD28" s="149">
        <f>SUM(DD29:DD30)</f>
        <v>6889686</v>
      </c>
      <c r="DE28" s="149">
        <f>SUM(DE29:DE30)</f>
        <v>7496402</v>
      </c>
      <c r="DF28" s="149">
        <f>SUM(DF29:DF30)</f>
        <v>8716078</v>
      </c>
      <c r="DG28" s="89">
        <f t="shared" si="70"/>
        <v>8716078</v>
      </c>
      <c r="DH28" s="149">
        <f>SUM(DH29:DH30)</f>
        <v>8792028</v>
      </c>
      <c r="DI28" s="149">
        <f>SUM(DI29:DI30)</f>
        <v>8873618</v>
      </c>
      <c r="DJ28" s="149">
        <f>SUM(DJ29:DJ30)</f>
        <v>8873618</v>
      </c>
      <c r="DK28" s="149">
        <f>SUM(DK29:DK30)</f>
        <v>8873618</v>
      </c>
      <c r="DL28" s="89">
        <f>SUM(DL29:DL30)</f>
        <v>8873618</v>
      </c>
      <c r="DM28" s="149">
        <f t="shared" ref="DM28:EF28" si="72">SUM(DM29:DM30)</f>
        <v>9373618</v>
      </c>
      <c r="DN28" s="149">
        <f t="shared" si="72"/>
        <v>9373618</v>
      </c>
      <c r="DO28" s="149">
        <f t="shared" si="72"/>
        <v>9373618</v>
      </c>
      <c r="DP28" s="149">
        <f t="shared" si="72"/>
        <v>9373618</v>
      </c>
      <c r="DQ28" s="89">
        <f t="shared" si="72"/>
        <v>9373618</v>
      </c>
      <c r="DR28" s="149">
        <f t="shared" si="72"/>
        <v>9873618</v>
      </c>
      <c r="DS28" s="149">
        <f t="shared" si="72"/>
        <v>9873618</v>
      </c>
      <c r="DT28" s="149">
        <f t="shared" si="72"/>
        <v>9873618</v>
      </c>
      <c r="DU28" s="149">
        <f t="shared" si="72"/>
        <v>9873618</v>
      </c>
      <c r="DV28" s="89">
        <f t="shared" si="72"/>
        <v>9873618</v>
      </c>
      <c r="DW28" s="149">
        <f t="shared" si="72"/>
        <v>10373618</v>
      </c>
      <c r="DX28" s="149">
        <f t="shared" si="72"/>
        <v>10373618</v>
      </c>
      <c r="DY28" s="149">
        <f t="shared" si="72"/>
        <v>10373618</v>
      </c>
      <c r="DZ28" s="149">
        <f t="shared" si="72"/>
        <v>10373618</v>
      </c>
      <c r="EA28" s="89">
        <f t="shared" si="72"/>
        <v>10373618</v>
      </c>
      <c r="EB28" s="149">
        <f t="shared" si="72"/>
        <v>10873618</v>
      </c>
      <c r="EC28" s="149">
        <f t="shared" si="72"/>
        <v>10873618</v>
      </c>
      <c r="ED28" s="149">
        <f t="shared" si="72"/>
        <v>10873618</v>
      </c>
      <c r="EE28" s="149">
        <f t="shared" si="72"/>
        <v>10873618</v>
      </c>
      <c r="EF28" s="89">
        <f t="shared" si="72"/>
        <v>10873618</v>
      </c>
    </row>
    <row r="29" spans="1:136" outlineLevel="1">
      <c r="A29" s="195" t="s">
        <v>132</v>
      </c>
      <c r="B29" s="197">
        <f>+B28</f>
        <v>86320</v>
      </c>
      <c r="C29" s="197">
        <f>+C28</f>
        <v>93822</v>
      </c>
      <c r="D29" s="197">
        <f>+D28</f>
        <v>104447</v>
      </c>
      <c r="E29" s="197">
        <f>+E28</f>
        <v>265018</v>
      </c>
      <c r="F29" s="196">
        <f t="shared" si="65"/>
        <v>265018</v>
      </c>
      <c r="G29" s="197">
        <f>+G28</f>
        <v>546789</v>
      </c>
      <c r="H29" s="197">
        <f>+H28</f>
        <v>281771</v>
      </c>
      <c r="I29" s="197">
        <f>+I28</f>
        <v>188666</v>
      </c>
      <c r="J29" s="197">
        <f>+J28</f>
        <v>203834</v>
      </c>
      <c r="K29" s="196">
        <f t="shared" si="66"/>
        <v>203834</v>
      </c>
      <c r="L29" s="197">
        <f>+L28</f>
        <v>219135</v>
      </c>
      <c r="M29" s="197">
        <f>+M28</f>
        <v>252961</v>
      </c>
      <c r="N29" s="197">
        <f>+N28</f>
        <v>161904</v>
      </c>
      <c r="O29" s="197">
        <f>+O28</f>
        <v>124729</v>
      </c>
      <c r="P29" s="196">
        <f t="shared" ref="P29:P40" si="73">O29</f>
        <v>124729</v>
      </c>
      <c r="Q29" s="197">
        <f>+Q28</f>
        <v>249163</v>
      </c>
      <c r="R29" s="197">
        <f>+R28</f>
        <v>681223</v>
      </c>
      <c r="S29" s="197">
        <f>+S28</f>
        <v>719470</v>
      </c>
      <c r="T29" s="197">
        <f>+T28</f>
        <v>818799</v>
      </c>
      <c r="U29" s="196">
        <f t="shared" ref="U29:U40" si="74">T29</f>
        <v>818799</v>
      </c>
      <c r="V29" s="197">
        <v>378400</v>
      </c>
      <c r="W29" s="197">
        <v>565249</v>
      </c>
      <c r="X29" s="197">
        <v>713151</v>
      </c>
      <c r="Y29" s="197">
        <v>730700</v>
      </c>
      <c r="Z29" s="196">
        <f t="shared" ref="Z29:Z40" si="75">Y29</f>
        <v>730700</v>
      </c>
      <c r="AA29" s="197">
        <v>798500</v>
      </c>
      <c r="AB29" s="197">
        <v>948638</v>
      </c>
      <c r="AC29" s="197">
        <v>1117597</v>
      </c>
      <c r="AD29" s="197">
        <v>1190338</v>
      </c>
      <c r="AE29" s="196">
        <f t="shared" ref="AE29:AE40" si="76">AD29</f>
        <v>1190338</v>
      </c>
      <c r="AF29" s="197">
        <v>1379689</v>
      </c>
      <c r="AG29" s="197">
        <v>1578221</v>
      </c>
      <c r="AH29" s="197">
        <v>1784968</v>
      </c>
      <c r="AI29" s="197">
        <v>2208708</v>
      </c>
      <c r="AJ29" s="196">
        <f>AI29</f>
        <v>2208708</v>
      </c>
      <c r="AK29" s="197">
        <v>2424245</v>
      </c>
      <c r="AL29" s="197">
        <f>1108627+1606067</f>
        <v>2714694</v>
      </c>
      <c r="AM29" s="197">
        <f>950776+1848782</f>
        <v>2799558</v>
      </c>
      <c r="AN29" s="197">
        <f>844453+2064167</f>
        <v>2908620</v>
      </c>
      <c r="AO29" s="196">
        <f t="shared" ref="AO29:AO36" si="77">AN29</f>
        <v>2908620</v>
      </c>
      <c r="AP29" s="197">
        <f>951174+1994257</f>
        <v>2945431</v>
      </c>
      <c r="AQ29" s="197">
        <v>2836749</v>
      </c>
      <c r="AR29" s="197">
        <f>834926+1588437</f>
        <v>2423363</v>
      </c>
      <c r="AS29" s="197">
        <v>2133006</v>
      </c>
      <c r="AT29" s="196">
        <f t="shared" ref="AT29:AT36" si="78">AS29</f>
        <v>2133006</v>
      </c>
      <c r="AU29" s="197">
        <f>460414+1392081</f>
        <v>1852495</v>
      </c>
      <c r="AV29" s="197">
        <v>1999609</v>
      </c>
      <c r="AW29" s="197">
        <v>2180247</v>
      </c>
      <c r="AX29" s="197">
        <v>2795855</v>
      </c>
      <c r="AY29" s="196">
        <f>AX29</f>
        <v>2795855</v>
      </c>
      <c r="AZ29" s="197">
        <v>3160043</v>
      </c>
      <c r="BA29" s="197">
        <v>3411138</v>
      </c>
      <c r="BB29" s="197">
        <v>3430341</v>
      </c>
      <c r="BC29" s="197">
        <v>3093575</v>
      </c>
      <c r="BD29" s="196">
        <f>BC29</f>
        <v>3093575</v>
      </c>
      <c r="BE29" s="197">
        <v>3146870</v>
      </c>
      <c r="BF29" s="197">
        <v>3319019</v>
      </c>
      <c r="BG29" s="197">
        <v>3390071</v>
      </c>
      <c r="BH29" s="197">
        <v>3229751</v>
      </c>
      <c r="BI29" s="196">
        <f>BH29</f>
        <v>3229751</v>
      </c>
      <c r="BJ29" s="197">
        <v>3151529</v>
      </c>
      <c r="BK29" s="197">
        <v>3191250</v>
      </c>
      <c r="BL29" s="197">
        <v>3124422</v>
      </c>
      <c r="BM29" s="305">
        <v>2870821</v>
      </c>
      <c r="BN29" s="196">
        <f>BM29</f>
        <v>2870821</v>
      </c>
      <c r="BO29" s="197">
        <v>2925046</v>
      </c>
      <c r="BP29" s="197">
        <v>2908157</v>
      </c>
      <c r="BQ29" s="197">
        <v>2507296</v>
      </c>
      <c r="BR29" s="305">
        <f>930347+1183097</f>
        <v>2113444</v>
      </c>
      <c r="BS29" s="196">
        <f>BR29</f>
        <v>2113444</v>
      </c>
      <c r="BT29" s="305">
        <f>964546+787390</f>
        <v>1751936</v>
      </c>
      <c r="BU29" s="197">
        <f>765070+1066331</f>
        <v>1831401</v>
      </c>
      <c r="BV29" s="197">
        <f>590028+1306989</f>
        <v>1897017</v>
      </c>
      <c r="BW29" s="197">
        <f>262686+1353150</f>
        <v>1615836</v>
      </c>
      <c r="BX29" s="196">
        <f>BW29</f>
        <v>1615836</v>
      </c>
      <c r="BY29" s="197">
        <f>177041+1177996</f>
        <v>1355037</v>
      </c>
      <c r="BZ29" s="197">
        <f>104907+1051264</f>
        <v>1156171</v>
      </c>
      <c r="CA29" s="197">
        <f>173632+830118</f>
        <v>1003750</v>
      </c>
      <c r="CB29" s="197">
        <f>179896+756790</f>
        <v>936686</v>
      </c>
      <c r="CC29" s="196">
        <f>CB29</f>
        <v>936686</v>
      </c>
      <c r="CD29" s="197">
        <f>209415+765098</f>
        <v>974513</v>
      </c>
      <c r="CE29" s="197">
        <f>508656+1009396</f>
        <v>1518052</v>
      </c>
      <c r="CF29" s="197">
        <f>400115+704021</f>
        <v>1104136</v>
      </c>
      <c r="CG29" s="197">
        <f>359373+849248</f>
        <v>1208621</v>
      </c>
      <c r="CH29" s="196">
        <f>CG29</f>
        <v>1208621</v>
      </c>
      <c r="CI29" s="197">
        <f>354016+852607</f>
        <v>1206623</v>
      </c>
      <c r="CJ29" s="197">
        <f>357514+800110</f>
        <v>1157624</v>
      </c>
      <c r="CK29" s="197">
        <f>323686+827841</f>
        <v>1151527</v>
      </c>
      <c r="CL29" s="197">
        <f>415498+971836</f>
        <v>1387334</v>
      </c>
      <c r="CM29" s="196">
        <f>CL29</f>
        <v>1387334</v>
      </c>
      <c r="CN29" s="197">
        <f>343663+1075787</f>
        <v>1419450</v>
      </c>
      <c r="CO29" s="197">
        <f>468061+1067599</f>
        <v>1535660</v>
      </c>
      <c r="CP29" s="197">
        <f>527727+1021994</f>
        <v>1549721</v>
      </c>
      <c r="CQ29" s="197">
        <f>728233+1106903</f>
        <v>1835136</v>
      </c>
      <c r="CR29" s="196">
        <f>CQ29</f>
        <v>1835136</v>
      </c>
      <c r="CS29" s="197">
        <f>446172+1172385</f>
        <v>1618557</v>
      </c>
      <c r="CT29" s="197">
        <f>545845+1223069</f>
        <v>1768914</v>
      </c>
      <c r="CU29" s="197">
        <f>466336+1484037</f>
        <v>1950373</v>
      </c>
      <c r="CV29" s="197">
        <f>476949+1517949</f>
        <v>1994898</v>
      </c>
      <c r="CW29" s="196">
        <f>CV29</f>
        <v>1994898</v>
      </c>
      <c r="CX29" s="197">
        <f>397708+1487514</f>
        <v>1885222</v>
      </c>
      <c r="CY29" s="197">
        <f>262595+1602899</f>
        <v>1865494</v>
      </c>
      <c r="CZ29" s="197">
        <f>322623+1681301</f>
        <v>2003924</v>
      </c>
      <c r="DA29" s="197">
        <f>388238+1954542</f>
        <v>2342780</v>
      </c>
      <c r="DB29" s="196">
        <f>DA29</f>
        <v>2342780</v>
      </c>
      <c r="DC29" s="197">
        <f>337428+2108085</f>
        <v>2445513</v>
      </c>
      <c r="DD29" s="197">
        <f>467529+2251196</f>
        <v>2718725</v>
      </c>
      <c r="DE29" s="197">
        <f>445243+2564018</f>
        <v>3009261</v>
      </c>
      <c r="DF29" s="197">
        <f>753601+3009754</f>
        <v>3763355</v>
      </c>
      <c r="DG29" s="196">
        <f>DF29</f>
        <v>3763355</v>
      </c>
      <c r="DH29" s="197">
        <f>442725+3042714</f>
        <v>3485439</v>
      </c>
      <c r="DI29" s="197">
        <f>643703+3194827</f>
        <v>3838530</v>
      </c>
      <c r="DJ29" s="305">
        <f>DI29</f>
        <v>3838530</v>
      </c>
      <c r="DK29" s="305">
        <f>DJ29</f>
        <v>3838530</v>
      </c>
      <c r="DL29" s="196">
        <f>DK29</f>
        <v>3838530</v>
      </c>
      <c r="DM29" s="305">
        <f>DK29+500000</f>
        <v>4338530</v>
      </c>
      <c r="DN29" s="305">
        <f>DM29</f>
        <v>4338530</v>
      </c>
      <c r="DO29" s="305">
        <f>DN29</f>
        <v>4338530</v>
      </c>
      <c r="DP29" s="305">
        <f>DO29</f>
        <v>4338530</v>
      </c>
      <c r="DQ29" s="196">
        <f>DP29</f>
        <v>4338530</v>
      </c>
      <c r="DR29" s="305">
        <f>DP29+500000</f>
        <v>4838530</v>
      </c>
      <c r="DS29" s="305">
        <f>DR29</f>
        <v>4838530</v>
      </c>
      <c r="DT29" s="305">
        <f>DS29</f>
        <v>4838530</v>
      </c>
      <c r="DU29" s="305">
        <f>DT29</f>
        <v>4838530</v>
      </c>
      <c r="DV29" s="196">
        <f>DU29</f>
        <v>4838530</v>
      </c>
      <c r="DW29" s="305">
        <f>DU29+500000</f>
        <v>5338530</v>
      </c>
      <c r="DX29" s="305">
        <f>DW29</f>
        <v>5338530</v>
      </c>
      <c r="DY29" s="305">
        <f>DX29</f>
        <v>5338530</v>
      </c>
      <c r="DZ29" s="305">
        <f>DY29</f>
        <v>5338530</v>
      </c>
      <c r="EA29" s="196">
        <f>DZ29</f>
        <v>5338530</v>
      </c>
      <c r="EB29" s="305">
        <f>DZ29+500000</f>
        <v>5838530</v>
      </c>
      <c r="EC29" s="305">
        <f>EB29</f>
        <v>5838530</v>
      </c>
      <c r="ED29" s="305">
        <f>EC29</f>
        <v>5838530</v>
      </c>
      <c r="EE29" s="305">
        <f>ED29</f>
        <v>5838530</v>
      </c>
      <c r="EF29" s="196">
        <f>EE29</f>
        <v>5838530</v>
      </c>
    </row>
    <row r="30" spans="1:136" outlineLevel="1">
      <c r="A30" s="195" t="s">
        <v>133</v>
      </c>
      <c r="B30" s="197"/>
      <c r="C30" s="197"/>
      <c r="D30" s="197"/>
      <c r="E30" s="197"/>
      <c r="F30" s="196">
        <f t="shared" si="65"/>
        <v>0</v>
      </c>
      <c r="G30" s="197"/>
      <c r="H30" s="197"/>
      <c r="I30" s="197"/>
      <c r="J30" s="197"/>
      <c r="K30" s="196">
        <f t="shared" si="66"/>
        <v>0</v>
      </c>
      <c r="L30" s="197"/>
      <c r="M30" s="197"/>
      <c r="N30" s="197"/>
      <c r="O30" s="197"/>
      <c r="P30" s="196">
        <f t="shared" si="73"/>
        <v>0</v>
      </c>
      <c r="Q30" s="197"/>
      <c r="R30" s="197"/>
      <c r="S30" s="197"/>
      <c r="T30" s="197"/>
      <c r="U30" s="196">
        <f t="shared" si="74"/>
        <v>0</v>
      </c>
      <c r="V30" s="197">
        <f>1420227-V29</f>
        <v>1041827</v>
      </c>
      <c r="W30" s="197">
        <f>999500+44236</f>
        <v>1043736</v>
      </c>
      <c r="X30" s="197">
        <f>999500+49422</f>
        <v>1048922</v>
      </c>
      <c r="Y30" s="197">
        <f>2067750-Y29</f>
        <v>1337050</v>
      </c>
      <c r="Z30" s="196">
        <f t="shared" si="75"/>
        <v>1337050</v>
      </c>
      <c r="AA30" s="197">
        <f>173260+46993+943031+986524-AA29</f>
        <v>1351308</v>
      </c>
      <c r="AB30" s="197">
        <f>2318633-AB29</f>
        <v>1369995</v>
      </c>
      <c r="AC30" s="197">
        <f>1592084+1254828-AC29</f>
        <v>1729315</v>
      </c>
      <c r="AD30" s="197">
        <f>1496020+1127115-AD29</f>
        <v>1432797</v>
      </c>
      <c r="AE30" s="196">
        <f t="shared" si="76"/>
        <v>1432797</v>
      </c>
      <c r="AF30" s="197">
        <f>1642101+930640-AF29</f>
        <v>1193052</v>
      </c>
      <c r="AG30" s="197">
        <f>1840752+922294-AG29</f>
        <v>1184825</v>
      </c>
      <c r="AH30" s="197">
        <f>636324+87500+1407486+818623+30190-AH29</f>
        <v>1195155</v>
      </c>
      <c r="AI30" s="197">
        <v>1223954</v>
      </c>
      <c r="AJ30" s="196">
        <f>AI30</f>
        <v>1223954</v>
      </c>
      <c r="AK30" s="197">
        <v>1217146</v>
      </c>
      <c r="AL30" s="197">
        <f>274877+1196656</f>
        <v>1471533</v>
      </c>
      <c r="AM30" s="197">
        <f>438929+1379103</f>
        <v>1818032</v>
      </c>
      <c r="AN30" s="197">
        <f>298979+1381508</f>
        <v>1680487</v>
      </c>
      <c r="AO30" s="196">
        <f t="shared" si="77"/>
        <v>1680487</v>
      </c>
      <c r="AP30" s="197">
        <f>305071+1380132</f>
        <v>1685203</v>
      </c>
      <c r="AQ30" s="197">
        <f>1341689+286751</f>
        <v>1628440</v>
      </c>
      <c r="AR30" s="197">
        <f>1654610+297770</f>
        <v>1952380</v>
      </c>
      <c r="AS30" s="197">
        <f>293504+1655433</f>
        <v>1948937</v>
      </c>
      <c r="AT30" s="196">
        <f t="shared" si="78"/>
        <v>1948937</v>
      </c>
      <c r="AU30" s="197">
        <f>290540+1655884</f>
        <v>1946424</v>
      </c>
      <c r="AV30" s="197">
        <f>290396+1490000</f>
        <v>1780396</v>
      </c>
      <c r="AW30" s="197">
        <f>1115797+579370</f>
        <v>1695167</v>
      </c>
      <c r="AX30" s="197">
        <f>717061+700832</f>
        <v>1417893</v>
      </c>
      <c r="AY30" s="196">
        <f>AX30</f>
        <v>1417893</v>
      </c>
      <c r="AZ30" s="197">
        <f>710082+719430</f>
        <v>1429512</v>
      </c>
      <c r="BA30" s="197">
        <f>340402+529007</f>
        <v>869409</v>
      </c>
      <c r="BB30" s="197">
        <f>245967+542852</f>
        <v>788819</v>
      </c>
      <c r="BC30" s="197">
        <f>253515+528130</f>
        <v>781645</v>
      </c>
      <c r="BD30" s="196">
        <f>BC30</f>
        <v>781645</v>
      </c>
      <c r="BE30" s="197">
        <f>246233+406778</f>
        <v>653011</v>
      </c>
      <c r="BF30" s="197">
        <f>254318+379116</f>
        <v>633434</v>
      </c>
      <c r="BG30" s="197">
        <f>247183+393499</f>
        <v>640682</v>
      </c>
      <c r="BH30" s="197">
        <f>148646+363214</f>
        <v>511860</v>
      </c>
      <c r="BI30" s="196">
        <f>BH30</f>
        <v>511860</v>
      </c>
      <c r="BJ30" s="197">
        <f>145593+376210</f>
        <v>521803</v>
      </c>
      <c r="BK30" s="197">
        <f>150871+194715</f>
        <v>345586</v>
      </c>
      <c r="BL30" s="197">
        <f>145723+202267</f>
        <v>347990</v>
      </c>
      <c r="BM30" s="305">
        <f>45640+507203</f>
        <v>552843</v>
      </c>
      <c r="BN30" s="196">
        <f>BM30</f>
        <v>552843</v>
      </c>
      <c r="BO30" s="197">
        <f>43901+597018</f>
        <v>640919</v>
      </c>
      <c r="BP30" s="197">
        <f>45090+423920</f>
        <v>469010</v>
      </c>
      <c r="BQ30" s="197">
        <f>43612+532208</f>
        <v>575820</v>
      </c>
      <c r="BR30" s="197">
        <f>48555+412041</f>
        <v>460596</v>
      </c>
      <c r="BS30" s="196">
        <f>BR30</f>
        <v>460596</v>
      </c>
      <c r="BT30" s="197">
        <f>4260+388773</f>
        <v>393033</v>
      </c>
      <c r="BU30" s="197">
        <f>4416+529044</f>
        <v>533460</v>
      </c>
      <c r="BV30" s="305">
        <f>155860+836008</f>
        <v>991868</v>
      </c>
      <c r="BW30" s="197">
        <f>158401+597250</f>
        <v>755651</v>
      </c>
      <c r="BX30" s="196">
        <f>BW30</f>
        <v>755651</v>
      </c>
      <c r="BY30" s="197">
        <f>156438+594506</f>
        <v>750944</v>
      </c>
      <c r="BZ30" s="197">
        <f>154000+518471+5007+157985</f>
        <v>835463</v>
      </c>
      <c r="CA30" s="305">
        <f>322182+1110660</f>
        <v>1432842</v>
      </c>
      <c r="CB30" s="197">
        <f>155105+1408484+4000</f>
        <v>1567589</v>
      </c>
      <c r="CC30" s="196">
        <f>CB30</f>
        <v>1567589</v>
      </c>
      <c r="CD30" s="197">
        <f>152584+1382702+4000</f>
        <v>1539286</v>
      </c>
      <c r="CE30" s="197">
        <f>355582+1036922</f>
        <v>1392504</v>
      </c>
      <c r="CF30" s="197">
        <f>182137+1148297</f>
        <v>1330434</v>
      </c>
      <c r="CG30" s="197">
        <f>1886+1488499+4000</f>
        <v>1494385</v>
      </c>
      <c r="CH30" s="196">
        <f t="shared" ref="CH30:CH40" si="79">CG30</f>
        <v>1494385</v>
      </c>
      <c r="CI30" s="197">
        <f>2081+1481610+4000</f>
        <v>1487691</v>
      </c>
      <c r="CJ30" s="197">
        <f>6193+1434786+751065</f>
        <v>2192044</v>
      </c>
      <c r="CK30" s="197">
        <f>18946+1481230+751257</f>
        <v>2251433</v>
      </c>
      <c r="CL30" s="197">
        <f>15214+1475475+756014</f>
        <v>2246703</v>
      </c>
      <c r="CM30" s="196">
        <f t="shared" ref="CM30:CM40" si="80">CL30</f>
        <v>2246703</v>
      </c>
      <c r="CN30" s="197">
        <f>36831+1444226+777825</f>
        <v>2258882</v>
      </c>
      <c r="CO30" s="197">
        <f>12241+1722633+760780</f>
        <v>2495654</v>
      </c>
      <c r="CP30" s="197">
        <f>40903+1998708+789572</f>
        <v>2829183</v>
      </c>
      <c r="CQ30" s="197">
        <f>121448+1949484+1070246</f>
        <v>3141178</v>
      </c>
      <c r="CR30" s="196">
        <f t="shared" ref="CR30:CR40" si="81">CQ30</f>
        <v>3141178</v>
      </c>
      <c r="CS30" s="197">
        <f>147109+1943345+1096036</f>
        <v>3186490</v>
      </c>
      <c r="CT30" s="197">
        <f>130037+1987532+1079092</f>
        <v>3196661</v>
      </c>
      <c r="CU30" s="197">
        <f>40147+1983257+989332</f>
        <v>3012736</v>
      </c>
      <c r="CV30" s="197">
        <f>16515+2196809+949316</f>
        <v>3162640</v>
      </c>
      <c r="CW30" s="196">
        <f>CV30</f>
        <v>3162640</v>
      </c>
      <c r="CX30" s="197">
        <f>33922+2027957+948702</f>
        <v>3010581</v>
      </c>
      <c r="CY30" s="197">
        <f>5798+626515+199529+2554027</f>
        <v>3385869</v>
      </c>
      <c r="CZ30" s="197">
        <f>66667+3263036+132698</f>
        <v>3462401</v>
      </c>
      <c r="DA30" s="197">
        <f>72464+3426366+132970</f>
        <v>3631800</v>
      </c>
      <c r="DB30" s="196">
        <f>DA30</f>
        <v>3631800</v>
      </c>
      <c r="DC30" s="197">
        <f>66566+3372356+133023</f>
        <v>3571945</v>
      </c>
      <c r="DD30" s="197">
        <f>0+4170961+0</f>
        <v>4170961</v>
      </c>
      <c r="DE30" s="197">
        <f>0+4487141+0</f>
        <v>4487141</v>
      </c>
      <c r="DF30" s="197">
        <f>0+4952723</f>
        <v>4952723</v>
      </c>
      <c r="DG30" s="196">
        <f t="shared" ref="DG30:DG40" si="82">DF30</f>
        <v>4952723</v>
      </c>
      <c r="DH30" s="197">
        <f>0+5306589</f>
        <v>5306589</v>
      </c>
      <c r="DI30" s="197">
        <f>0+5035088</f>
        <v>5035088</v>
      </c>
      <c r="DJ30" s="197">
        <f t="shared" ref="DJ30:DK31" si="83">DI30</f>
        <v>5035088</v>
      </c>
      <c r="DK30" s="197">
        <f t="shared" si="83"/>
        <v>5035088</v>
      </c>
      <c r="DL30" s="196">
        <f t="shared" ref="DL30:DL40" si="84">DK30</f>
        <v>5035088</v>
      </c>
      <c r="DM30" s="197">
        <f>DL30</f>
        <v>5035088</v>
      </c>
      <c r="DN30" s="197">
        <f>DM30</f>
        <v>5035088</v>
      </c>
      <c r="DO30" s="197">
        <f>DN30</f>
        <v>5035088</v>
      </c>
      <c r="DP30" s="197">
        <f>DO30</f>
        <v>5035088</v>
      </c>
      <c r="DQ30" s="196">
        <f t="shared" ref="DQ30:DQ40" si="85">DP30</f>
        <v>5035088</v>
      </c>
      <c r="DR30" s="197">
        <f>DQ30</f>
        <v>5035088</v>
      </c>
      <c r="DS30" s="197">
        <f>DR30</f>
        <v>5035088</v>
      </c>
      <c r="DT30" s="197">
        <f>DS30</f>
        <v>5035088</v>
      </c>
      <c r="DU30" s="197">
        <f>DT30</f>
        <v>5035088</v>
      </c>
      <c r="DV30" s="196">
        <f t="shared" ref="DV30:DV40" si="86">DU30</f>
        <v>5035088</v>
      </c>
      <c r="DW30" s="197">
        <f>DV30</f>
        <v>5035088</v>
      </c>
      <c r="DX30" s="197">
        <f>DW30</f>
        <v>5035088</v>
      </c>
      <c r="DY30" s="197">
        <f>DX30</f>
        <v>5035088</v>
      </c>
      <c r="DZ30" s="197">
        <f>DY30</f>
        <v>5035088</v>
      </c>
      <c r="EA30" s="196">
        <f t="shared" ref="EA30:EA40" si="87">DZ30</f>
        <v>5035088</v>
      </c>
      <c r="EB30" s="197">
        <f>EA30</f>
        <v>5035088</v>
      </c>
      <c r="EC30" s="197">
        <f>EB30</f>
        <v>5035088</v>
      </c>
      <c r="ED30" s="197">
        <f>EC30</f>
        <v>5035088</v>
      </c>
      <c r="EE30" s="197">
        <f>ED30</f>
        <v>5035088</v>
      </c>
      <c r="EF30" s="196">
        <f t="shared" ref="EF30:EF40" si="88">EE30</f>
        <v>5035088</v>
      </c>
    </row>
    <row r="31" spans="1:136">
      <c r="A31" s="71" t="s">
        <v>28</v>
      </c>
      <c r="B31" s="213">
        <v>0</v>
      </c>
      <c r="C31" s="213">
        <v>0</v>
      </c>
      <c r="D31" s="213">
        <v>0</v>
      </c>
      <c r="E31" s="213"/>
      <c r="F31" s="89">
        <f t="shared" si="65"/>
        <v>0</v>
      </c>
      <c r="G31" s="213">
        <v>8186</v>
      </c>
      <c r="H31" s="213">
        <v>16372</v>
      </c>
      <c r="I31" s="213">
        <v>10123</v>
      </c>
      <c r="J31" s="213">
        <v>10267</v>
      </c>
      <c r="K31" s="89">
        <f t="shared" si="66"/>
        <v>10267</v>
      </c>
      <c r="L31" s="213">
        <v>12786</v>
      </c>
      <c r="M31" s="213">
        <v>3891</v>
      </c>
      <c r="N31" s="213">
        <v>6736</v>
      </c>
      <c r="O31" s="213">
        <v>23416</v>
      </c>
      <c r="P31" s="89">
        <f t="shared" si="73"/>
        <v>23416</v>
      </c>
      <c r="Q31" s="213">
        <v>23942</v>
      </c>
      <c r="R31" s="213">
        <v>20661</v>
      </c>
      <c r="S31" s="213">
        <v>25426</v>
      </c>
      <c r="T31" s="213">
        <v>81004</v>
      </c>
      <c r="U31" s="89">
        <f t="shared" si="74"/>
        <v>81004</v>
      </c>
      <c r="V31" s="213">
        <v>71378</v>
      </c>
      <c r="W31" s="213">
        <v>86210</v>
      </c>
      <c r="X31" s="213">
        <v>48396</v>
      </c>
      <c r="Y31" s="213">
        <f>139397</f>
        <v>139397</v>
      </c>
      <c r="Z31" s="89">
        <f t="shared" si="75"/>
        <v>139397</v>
      </c>
      <c r="AA31" s="213">
        <v>188497</v>
      </c>
      <c r="AB31" s="213">
        <v>199669</v>
      </c>
      <c r="AC31" s="213">
        <f>183514</f>
        <v>183514</v>
      </c>
      <c r="AD31" s="213">
        <v>124467</v>
      </c>
      <c r="AE31" s="89">
        <f t="shared" si="76"/>
        <v>124467</v>
      </c>
      <c r="AF31" s="213">
        <v>162204</v>
      </c>
      <c r="AG31" s="213">
        <v>153279</v>
      </c>
      <c r="AH31" s="213">
        <v>129692</v>
      </c>
      <c r="AI31" s="213">
        <v>130446</v>
      </c>
      <c r="AJ31" s="89">
        <f>AI31</f>
        <v>130446</v>
      </c>
      <c r="AK31" s="213">
        <v>161622</v>
      </c>
      <c r="AL31" s="213">
        <v>141413</v>
      </c>
      <c r="AM31" s="213">
        <f>163131</f>
        <v>163131</v>
      </c>
      <c r="AN31" s="213">
        <v>179292</v>
      </c>
      <c r="AO31" s="89">
        <f t="shared" si="77"/>
        <v>179292</v>
      </c>
      <c r="AP31" s="213">
        <v>194523</v>
      </c>
      <c r="AQ31" s="213">
        <v>187522</v>
      </c>
      <c r="AR31" s="213">
        <v>151854</v>
      </c>
      <c r="AS31" s="213">
        <v>252745</v>
      </c>
      <c r="AT31" s="89">
        <f t="shared" si="78"/>
        <v>252745</v>
      </c>
      <c r="AU31" s="213">
        <v>322893</v>
      </c>
      <c r="AV31" s="213">
        <v>242727</v>
      </c>
      <c r="AW31" s="213">
        <v>268341</v>
      </c>
      <c r="AX31" s="304">
        <v>169321</v>
      </c>
      <c r="AY31" s="89">
        <f t="shared" ref="AY31:AY36" si="89">AX31</f>
        <v>169321</v>
      </c>
      <c r="AZ31" s="213">
        <v>164418</v>
      </c>
      <c r="BA31" s="213">
        <v>150785</v>
      </c>
      <c r="BB31" s="213">
        <v>160085</v>
      </c>
      <c r="BC31" s="213">
        <v>148482</v>
      </c>
      <c r="BD31" s="89">
        <f t="shared" ref="BD31:BD36" si="90">BC31</f>
        <v>148482</v>
      </c>
      <c r="BE31" s="213">
        <v>153148</v>
      </c>
      <c r="BF31" s="213">
        <v>122259</v>
      </c>
      <c r="BG31" s="213">
        <v>121424</v>
      </c>
      <c r="BH31" s="213">
        <v>132812</v>
      </c>
      <c r="BI31" s="89">
        <f t="shared" ref="BI31:BI36" si="91">BH31</f>
        <v>132812</v>
      </c>
      <c r="BJ31" s="213">
        <v>149733</v>
      </c>
      <c r="BK31" s="213">
        <v>106565</v>
      </c>
      <c r="BL31" s="213">
        <v>120427</v>
      </c>
      <c r="BM31" s="304">
        <v>64812</v>
      </c>
      <c r="BN31" s="89">
        <f t="shared" ref="BN31:BN36" si="92">BM31</f>
        <v>64812</v>
      </c>
      <c r="BO31" s="213">
        <v>63651</v>
      </c>
      <c r="BP31" s="213">
        <v>71456</v>
      </c>
      <c r="BQ31" s="213">
        <v>55493</v>
      </c>
      <c r="BR31" s="213">
        <v>50182</v>
      </c>
      <c r="BS31" s="89">
        <f t="shared" ref="BS31:BS36" si="93">BR31</f>
        <v>50182</v>
      </c>
      <c r="BT31" s="213">
        <v>25196</v>
      </c>
      <c r="BU31" s="213">
        <v>28777</v>
      </c>
      <c r="BV31" s="213">
        <v>50624</v>
      </c>
      <c r="BW31" s="213">
        <v>29384</v>
      </c>
      <c r="BX31" s="89">
        <f t="shared" ref="BX31:BX36" si="94">BW31</f>
        <v>29384</v>
      </c>
      <c r="BY31" s="213">
        <v>63614</v>
      </c>
      <c r="BZ31" s="213">
        <v>77365</v>
      </c>
      <c r="CA31" s="213">
        <v>62387</v>
      </c>
      <c r="CB31" s="213">
        <v>110647</v>
      </c>
      <c r="CC31" s="89">
        <f t="shared" ref="CC31:CC36" si="95">CB31</f>
        <v>110647</v>
      </c>
      <c r="CD31" s="213">
        <v>83128</v>
      </c>
      <c r="CE31" s="213">
        <v>91907</v>
      </c>
      <c r="CF31" s="213">
        <v>87047</v>
      </c>
      <c r="CG31" s="213">
        <v>89792</v>
      </c>
      <c r="CH31" s="89">
        <f t="shared" si="79"/>
        <v>89792</v>
      </c>
      <c r="CI31" s="213">
        <v>128535</v>
      </c>
      <c r="CJ31" s="213">
        <v>86082</v>
      </c>
      <c r="CK31" s="213">
        <v>72661</v>
      </c>
      <c r="CL31" s="304">
        <v>110251</v>
      </c>
      <c r="CM31" s="89">
        <f t="shared" si="80"/>
        <v>110251</v>
      </c>
      <c r="CN31" s="213">
        <v>93257</v>
      </c>
      <c r="CO31" s="213">
        <v>110724</v>
      </c>
      <c r="CP31" s="213">
        <v>166680</v>
      </c>
      <c r="CQ31" s="213">
        <v>107601</v>
      </c>
      <c r="CR31" s="89">
        <f t="shared" si="81"/>
        <v>107601</v>
      </c>
      <c r="CS31" s="213">
        <v>90815</v>
      </c>
      <c r="CT31" s="213">
        <v>77780</v>
      </c>
      <c r="CU31" s="213">
        <v>91174</v>
      </c>
      <c r="CV31" s="304">
        <v>55947</v>
      </c>
      <c r="CW31" s="89">
        <f t="shared" ref="CW31:CW40" si="96">CV31</f>
        <v>55947</v>
      </c>
      <c r="CX31" s="304">
        <v>118603</v>
      </c>
      <c r="CY31" s="213">
        <v>100708</v>
      </c>
      <c r="CZ31" s="213">
        <v>82798</v>
      </c>
      <c r="DA31" s="304">
        <v>129156</v>
      </c>
      <c r="DB31" s="89">
        <f t="shared" ref="DB31:DB40" si="97">DA31</f>
        <v>129156</v>
      </c>
      <c r="DC31" s="304">
        <v>177935</v>
      </c>
      <c r="DD31" s="213">
        <v>222164</v>
      </c>
      <c r="DE31" s="213">
        <v>228020</v>
      </c>
      <c r="DF31" s="213">
        <v>128500</v>
      </c>
      <c r="DG31" s="89">
        <f t="shared" si="82"/>
        <v>128500</v>
      </c>
      <c r="DH31" s="213">
        <v>132219</v>
      </c>
      <c r="DI31" s="213">
        <v>181250</v>
      </c>
      <c r="DJ31" s="213">
        <f t="shared" si="83"/>
        <v>181250</v>
      </c>
      <c r="DK31" s="213">
        <f t="shared" si="83"/>
        <v>181250</v>
      </c>
      <c r="DL31" s="89">
        <f t="shared" si="84"/>
        <v>181250</v>
      </c>
      <c r="DM31" s="213">
        <f>DK31</f>
        <v>181250</v>
      </c>
      <c r="DN31" s="213">
        <f>DM31</f>
        <v>181250</v>
      </c>
      <c r="DO31" s="213">
        <f>DN31</f>
        <v>181250</v>
      </c>
      <c r="DP31" s="213">
        <f>DO31</f>
        <v>181250</v>
      </c>
      <c r="DQ31" s="89">
        <f t="shared" si="85"/>
        <v>181250</v>
      </c>
      <c r="DR31" s="213">
        <f>DP31</f>
        <v>181250</v>
      </c>
      <c r="DS31" s="213">
        <f>DR31</f>
        <v>181250</v>
      </c>
      <c r="DT31" s="213">
        <f>DS31</f>
        <v>181250</v>
      </c>
      <c r="DU31" s="213">
        <f>DT31</f>
        <v>181250</v>
      </c>
      <c r="DV31" s="89">
        <f t="shared" si="86"/>
        <v>181250</v>
      </c>
      <c r="DW31" s="213">
        <f>DU31</f>
        <v>181250</v>
      </c>
      <c r="DX31" s="213">
        <f>DW31</f>
        <v>181250</v>
      </c>
      <c r="DY31" s="213">
        <f>DX31</f>
        <v>181250</v>
      </c>
      <c r="DZ31" s="213">
        <f>DY31</f>
        <v>181250</v>
      </c>
      <c r="EA31" s="89">
        <f t="shared" si="87"/>
        <v>181250</v>
      </c>
      <c r="EB31" s="213">
        <f>DZ31</f>
        <v>181250</v>
      </c>
      <c r="EC31" s="213">
        <f>EB31</f>
        <v>181250</v>
      </c>
      <c r="ED31" s="213">
        <f>EC31</f>
        <v>181250</v>
      </c>
      <c r="EE31" s="213">
        <f>ED31</f>
        <v>181250</v>
      </c>
      <c r="EF31" s="89">
        <f t="shared" si="88"/>
        <v>181250</v>
      </c>
    </row>
    <row r="32" spans="1:136">
      <c r="A32" s="71" t="s">
        <v>706</v>
      </c>
      <c r="B32" s="160">
        <v>73967</v>
      </c>
      <c r="C32" s="160">
        <v>64166</v>
      </c>
      <c r="D32" s="213">
        <v>53412</v>
      </c>
      <c r="E32" s="213">
        <v>55570</v>
      </c>
      <c r="F32" s="83">
        <f t="shared" si="65"/>
        <v>55570</v>
      </c>
      <c r="G32" s="160">
        <f>(AVERAGE(E32,H32))+579</f>
        <v>55674.5</v>
      </c>
      <c r="H32" s="160">
        <v>54621</v>
      </c>
      <c r="I32" s="213">
        <v>37890</v>
      </c>
      <c r="J32" s="213">
        <v>25262</v>
      </c>
      <c r="K32" s="83">
        <f t="shared" si="66"/>
        <v>25262</v>
      </c>
      <c r="L32" s="160">
        <v>24087</v>
      </c>
      <c r="M32" s="160">
        <v>17917</v>
      </c>
      <c r="N32" s="213">
        <v>17761</v>
      </c>
      <c r="O32" s="213">
        <v>50144</v>
      </c>
      <c r="P32" s="89">
        <f t="shared" si="73"/>
        <v>50144</v>
      </c>
      <c r="Q32" s="160">
        <v>21532</v>
      </c>
      <c r="R32" s="160">
        <v>23227</v>
      </c>
      <c r="S32" s="213">
        <v>20707</v>
      </c>
      <c r="T32" s="213">
        <v>49570</v>
      </c>
      <c r="U32" s="89">
        <f t="shared" si="74"/>
        <v>49570</v>
      </c>
      <c r="V32" s="160">
        <v>0</v>
      </c>
      <c r="W32" s="160">
        <v>0</v>
      </c>
      <c r="X32" s="213">
        <v>0</v>
      </c>
      <c r="Y32" s="213">
        <f>(50227+43412)+0</f>
        <v>93639</v>
      </c>
      <c r="Z32" s="89">
        <f t="shared" si="75"/>
        <v>93639</v>
      </c>
      <c r="AA32" s="160">
        <f>(49918+44744)+224445</f>
        <v>319107</v>
      </c>
      <c r="AB32" s="160">
        <f>(131375+47539-2862)+166789</f>
        <v>342841</v>
      </c>
      <c r="AC32" s="213">
        <f>(232607+31076)+202252</f>
        <v>465935</v>
      </c>
      <c r="AD32" s="213">
        <f>(257277+35117)+302788</f>
        <v>595182</v>
      </c>
      <c r="AE32" s="89">
        <f t="shared" si="76"/>
        <v>595182</v>
      </c>
      <c r="AF32" s="160">
        <f>(305641+44564)+162784</f>
        <v>512989</v>
      </c>
      <c r="AG32" s="160">
        <f>(223170+46146)+261865</f>
        <v>531181</v>
      </c>
      <c r="AH32" s="213">
        <f>(209799+45189)+252163</f>
        <v>507151</v>
      </c>
      <c r="AI32" s="213">
        <f>135844+240041+41723</f>
        <v>417608</v>
      </c>
      <c r="AJ32" s="89">
        <f t="shared" ref="AJ32:AJ40" si="98">AI32</f>
        <v>417608</v>
      </c>
      <c r="AK32" s="160">
        <f>205798+47938</f>
        <v>253736</v>
      </c>
      <c r="AL32" s="160">
        <f>232994+249572</f>
        <v>482566</v>
      </c>
      <c r="AM32" s="160">
        <f>251668+53507</f>
        <v>305175</v>
      </c>
      <c r="AN32" s="160">
        <f>235984+50268</f>
        <v>286252</v>
      </c>
      <c r="AO32" s="89">
        <f t="shared" si="77"/>
        <v>286252</v>
      </c>
      <c r="AP32" s="330">
        <f>238965+49762</f>
        <v>288727</v>
      </c>
      <c r="AQ32" s="160">
        <f>289342+55079</f>
        <v>344421</v>
      </c>
      <c r="AR32" s="160">
        <f>302591+65242</f>
        <v>367833</v>
      </c>
      <c r="AS32" s="213">
        <f>252935+56108-AS39</f>
        <v>191222</v>
      </c>
      <c r="AT32" s="89">
        <f t="shared" si="78"/>
        <v>191222</v>
      </c>
      <c r="AU32" s="160">
        <f>328357+62357-AU39</f>
        <v>266966</v>
      </c>
      <c r="AV32" s="160">
        <f>330233+61446-AV39</f>
        <v>262004</v>
      </c>
      <c r="AW32" s="160">
        <v>299910</v>
      </c>
      <c r="AX32" s="160">
        <v>270627</v>
      </c>
      <c r="AY32" s="89">
        <f t="shared" si="89"/>
        <v>270627</v>
      </c>
      <c r="AZ32" s="160">
        <v>308820</v>
      </c>
      <c r="BA32" s="160">
        <v>301218</v>
      </c>
      <c r="BB32" s="160">
        <v>278297</v>
      </c>
      <c r="BC32" s="160">
        <v>252704</v>
      </c>
      <c r="BD32" s="89">
        <f t="shared" si="90"/>
        <v>252704</v>
      </c>
      <c r="BE32" s="160">
        <v>238404</v>
      </c>
      <c r="BF32" s="160">
        <v>257264</v>
      </c>
      <c r="BG32" s="160">
        <v>293928</v>
      </c>
      <c r="BH32" s="160">
        <v>197686</v>
      </c>
      <c r="BI32" s="89">
        <f t="shared" si="91"/>
        <v>197686</v>
      </c>
      <c r="BJ32" s="160">
        <v>245242</v>
      </c>
      <c r="BK32" s="160">
        <v>232207</v>
      </c>
      <c r="BL32" s="160">
        <v>219423</v>
      </c>
      <c r="BM32" s="160">
        <v>144511</v>
      </c>
      <c r="BN32" s="89">
        <f t="shared" si="92"/>
        <v>144511</v>
      </c>
      <c r="BO32" s="160">
        <v>161910</v>
      </c>
      <c r="BP32" s="160">
        <v>227284</v>
      </c>
      <c r="BQ32" s="160">
        <v>208580</v>
      </c>
      <c r="BR32" s="160">
        <v>115242</v>
      </c>
      <c r="BS32" s="89">
        <f t="shared" si="93"/>
        <v>115242</v>
      </c>
      <c r="BT32" s="160">
        <v>136587</v>
      </c>
      <c r="BU32" s="160">
        <v>211216</v>
      </c>
      <c r="BV32" s="160">
        <v>221710</v>
      </c>
      <c r="BW32" s="213">
        <v>121887</v>
      </c>
      <c r="BX32" s="89">
        <f t="shared" si="94"/>
        <v>121887</v>
      </c>
      <c r="BY32" s="213">
        <v>211342</v>
      </c>
      <c r="BZ32" s="213">
        <v>161076</v>
      </c>
      <c r="CA32" s="213">
        <v>171868</v>
      </c>
      <c r="CB32" s="213">
        <v>134825</v>
      </c>
      <c r="CC32" s="89">
        <f t="shared" si="95"/>
        <v>134825</v>
      </c>
      <c r="CD32" s="213">
        <v>168906</v>
      </c>
      <c r="CE32" s="213">
        <v>157416</v>
      </c>
      <c r="CF32" s="213">
        <v>138787</v>
      </c>
      <c r="CG32" s="213">
        <v>151524</v>
      </c>
      <c r="CH32" s="89">
        <f t="shared" si="79"/>
        <v>151524</v>
      </c>
      <c r="CI32" s="213">
        <v>196696</v>
      </c>
      <c r="CJ32" s="213">
        <v>196906</v>
      </c>
      <c r="CK32" s="213">
        <v>229818</v>
      </c>
      <c r="CL32" s="213">
        <v>219163</v>
      </c>
      <c r="CM32" s="89">
        <f t="shared" si="80"/>
        <v>219163</v>
      </c>
      <c r="CN32" s="213">
        <v>242571</v>
      </c>
      <c r="CO32" s="213">
        <v>256101</v>
      </c>
      <c r="CP32" s="213">
        <v>288172</v>
      </c>
      <c r="CQ32" s="213">
        <v>247729</v>
      </c>
      <c r="CR32" s="89">
        <f t="shared" si="81"/>
        <v>247729</v>
      </c>
      <c r="CS32" s="213">
        <v>261172</v>
      </c>
      <c r="CT32" s="213">
        <v>262237</v>
      </c>
      <c r="CU32" s="213">
        <v>259794</v>
      </c>
      <c r="CV32" s="213">
        <v>319474</v>
      </c>
      <c r="CW32" s="89">
        <f t="shared" si="96"/>
        <v>319474</v>
      </c>
      <c r="CX32" s="213">
        <v>248128</v>
      </c>
      <c r="CY32" s="213">
        <v>245535</v>
      </c>
      <c r="CZ32" s="213">
        <v>261293</v>
      </c>
      <c r="DA32" s="213">
        <v>248694</v>
      </c>
      <c r="DB32" s="89">
        <f t="shared" si="97"/>
        <v>248694</v>
      </c>
      <c r="DC32" s="213">
        <v>286988</v>
      </c>
      <c r="DD32" s="213">
        <v>289242</v>
      </c>
      <c r="DE32" s="213">
        <v>303844</v>
      </c>
      <c r="DF32" s="213">
        <v>275581</v>
      </c>
      <c r="DG32" s="89">
        <f t="shared" si="82"/>
        <v>275581</v>
      </c>
      <c r="DH32" s="213">
        <v>350825</v>
      </c>
      <c r="DI32" s="213">
        <v>308887</v>
      </c>
      <c r="DJ32" s="149">
        <f>DJ79</f>
        <v>326805.87666458939</v>
      </c>
      <c r="DK32" s="149">
        <f>DK79</f>
        <v>318286.25507557346</v>
      </c>
      <c r="DL32" s="89">
        <f t="shared" si="84"/>
        <v>318286.25507557346</v>
      </c>
      <c r="DM32" s="149">
        <f>DM79</f>
        <v>343962.22227164276</v>
      </c>
      <c r="DN32" s="149">
        <f>DN79</f>
        <v>361015.17984763271</v>
      </c>
      <c r="DO32" s="149">
        <f>DO79</f>
        <v>372911.41636169463</v>
      </c>
      <c r="DP32" s="149">
        <f>DP79</f>
        <v>384103.14866666752</v>
      </c>
      <c r="DQ32" s="89">
        <f t="shared" si="85"/>
        <v>384103.14866666752</v>
      </c>
      <c r="DR32" s="149">
        <f>DR79</f>
        <v>393677.59327346861</v>
      </c>
      <c r="DS32" s="149">
        <f>DS79</f>
        <v>402764.66847457853</v>
      </c>
      <c r="DT32" s="149">
        <f>DT79</f>
        <v>411592.71441015298</v>
      </c>
      <c r="DU32" s="149">
        <f>DU79</f>
        <v>420474.68271821568</v>
      </c>
      <c r="DV32" s="89">
        <f t="shared" si="86"/>
        <v>420474.68271821568</v>
      </c>
      <c r="DW32" s="149">
        <f>DW79</f>
        <v>429308.74007302162</v>
      </c>
      <c r="DX32" s="149">
        <f>DX79</f>
        <v>438054.96720248577</v>
      </c>
      <c r="DY32" s="149">
        <f>DY79</f>
        <v>446638.80063688831</v>
      </c>
      <c r="DZ32" s="149">
        <f>DZ79</f>
        <v>455420.50492650416</v>
      </c>
      <c r="EA32" s="89">
        <f t="shared" si="87"/>
        <v>455420.50492650416</v>
      </c>
      <c r="EB32" s="149">
        <f>EB79</f>
        <v>463569.39313182159</v>
      </c>
      <c r="EC32" s="149">
        <f>EC79</f>
        <v>471713.44580240053</v>
      </c>
      <c r="ED32" s="149">
        <f>ED79</f>
        <v>479762.20692873391</v>
      </c>
      <c r="EE32" s="149">
        <f>EE79</f>
        <v>487983.59531397931</v>
      </c>
      <c r="EF32" s="89">
        <f t="shared" si="88"/>
        <v>487983.59531397931</v>
      </c>
    </row>
    <row r="33" spans="1:136">
      <c r="A33" s="71" t="s">
        <v>118</v>
      </c>
      <c r="B33" s="160">
        <f>192+1472</f>
        <v>1664</v>
      </c>
      <c r="C33" s="160">
        <v>1720</v>
      </c>
      <c r="D33" s="160">
        <f>259+1439</f>
        <v>1698</v>
      </c>
      <c r="E33" s="213">
        <v>0</v>
      </c>
      <c r="F33" s="83">
        <f t="shared" si="65"/>
        <v>0</v>
      </c>
      <c r="G33" s="160">
        <f>AVERAGE(E33,H33)</f>
        <v>0</v>
      </c>
      <c r="H33" s="160">
        <v>0</v>
      </c>
      <c r="I33" s="160">
        <v>0</v>
      </c>
      <c r="J33" s="213">
        <v>0</v>
      </c>
      <c r="K33" s="83">
        <f t="shared" si="66"/>
        <v>0</v>
      </c>
      <c r="L33" s="160">
        <v>0</v>
      </c>
      <c r="M33" s="160">
        <v>0</v>
      </c>
      <c r="N33" s="160">
        <v>0</v>
      </c>
      <c r="O33" s="213">
        <v>0</v>
      </c>
      <c r="P33" s="83">
        <f t="shared" si="73"/>
        <v>0</v>
      </c>
      <c r="Q33" s="160">
        <v>0</v>
      </c>
      <c r="R33" s="160">
        <v>0</v>
      </c>
      <c r="S33" s="160">
        <v>0</v>
      </c>
      <c r="T33" s="213">
        <v>12226</v>
      </c>
      <c r="U33" s="83">
        <f t="shared" si="74"/>
        <v>12226</v>
      </c>
      <c r="V33" s="160">
        <v>19118</v>
      </c>
      <c r="W33" s="160">
        <v>19516</v>
      </c>
      <c r="X33" s="160">
        <v>23569</v>
      </c>
      <c r="Y33" s="213">
        <v>23213</v>
      </c>
      <c r="Z33" s="83">
        <f t="shared" si="75"/>
        <v>23213</v>
      </c>
      <c r="AA33" s="160">
        <v>26831</v>
      </c>
      <c r="AB33" s="160">
        <v>33231</v>
      </c>
      <c r="AC33" s="160">
        <v>50928</v>
      </c>
      <c r="AD33" s="213">
        <v>55829</v>
      </c>
      <c r="AE33" s="83">
        <f t="shared" si="76"/>
        <v>55829</v>
      </c>
      <c r="AF33" s="160">
        <v>66291</v>
      </c>
      <c r="AG33" s="160">
        <v>53361</v>
      </c>
      <c r="AH33" s="160">
        <v>69699</v>
      </c>
      <c r="AI33" s="213">
        <v>72435</v>
      </c>
      <c r="AJ33" s="83">
        <f t="shared" si="98"/>
        <v>72435</v>
      </c>
      <c r="AK33" s="160">
        <v>82273</v>
      </c>
      <c r="AL33" s="160">
        <v>85226</v>
      </c>
      <c r="AM33" s="160">
        <v>119780</v>
      </c>
      <c r="AN33" s="160">
        <v>100348</v>
      </c>
      <c r="AO33" s="83">
        <f t="shared" si="77"/>
        <v>100348</v>
      </c>
      <c r="AP33" s="160">
        <v>103509</v>
      </c>
      <c r="AQ33" s="160">
        <v>112391</v>
      </c>
      <c r="AR33" s="160">
        <v>121731</v>
      </c>
      <c r="AS33" s="160">
        <v>92574</v>
      </c>
      <c r="AT33" s="83">
        <f t="shared" si="78"/>
        <v>92574</v>
      </c>
      <c r="AU33" s="160">
        <v>102685</v>
      </c>
      <c r="AV33" s="160">
        <v>107149</v>
      </c>
      <c r="AW33" s="160">
        <v>124676</v>
      </c>
      <c r="AX33" s="160">
        <v>109495</v>
      </c>
      <c r="AY33" s="83">
        <f t="shared" si="89"/>
        <v>109495</v>
      </c>
      <c r="AZ33" s="160">
        <v>77195</v>
      </c>
      <c r="BA33" s="160">
        <v>100468</v>
      </c>
      <c r="BB33" s="160">
        <v>106675</v>
      </c>
      <c r="BC33" s="160">
        <v>100997</v>
      </c>
      <c r="BD33" s="83">
        <f t="shared" si="90"/>
        <v>100997</v>
      </c>
      <c r="BE33" s="160">
        <v>75537</v>
      </c>
      <c r="BF33" s="160">
        <v>99030</v>
      </c>
      <c r="BG33" s="160">
        <v>96164</v>
      </c>
      <c r="BH33" s="160">
        <v>66333</v>
      </c>
      <c r="BI33" s="83">
        <f t="shared" si="91"/>
        <v>66333</v>
      </c>
      <c r="BJ33" s="160">
        <v>54973</v>
      </c>
      <c r="BK33" s="160">
        <v>52839</v>
      </c>
      <c r="BL33" s="160">
        <v>62142</v>
      </c>
      <c r="BM33" s="160">
        <v>48920</v>
      </c>
      <c r="BN33" s="83">
        <f t="shared" si="92"/>
        <v>48920</v>
      </c>
      <c r="BO33" s="160">
        <v>54449</v>
      </c>
      <c r="BP33" s="160">
        <v>49051</v>
      </c>
      <c r="BQ33" s="160">
        <v>50521</v>
      </c>
      <c r="BR33" s="160">
        <v>42272</v>
      </c>
      <c r="BS33" s="83">
        <f t="shared" si="93"/>
        <v>42272</v>
      </c>
      <c r="BT33" s="160">
        <v>40626</v>
      </c>
      <c r="BU33" s="160">
        <v>41578</v>
      </c>
      <c r="BV33" s="160">
        <v>47231</v>
      </c>
      <c r="BW33" s="160">
        <v>39463</v>
      </c>
      <c r="BX33" s="83">
        <f t="shared" si="94"/>
        <v>39463</v>
      </c>
      <c r="BY33" s="160">
        <v>43874</v>
      </c>
      <c r="BZ33" s="160">
        <v>46365</v>
      </c>
      <c r="CA33" s="160">
        <v>56882</v>
      </c>
      <c r="CB33" s="160">
        <v>50882</v>
      </c>
      <c r="CC33" s="83">
        <f t="shared" si="95"/>
        <v>50882</v>
      </c>
      <c r="CD33" s="160">
        <v>45509</v>
      </c>
      <c r="CE33" s="160">
        <v>60332</v>
      </c>
      <c r="CF33" s="160">
        <v>52416</v>
      </c>
      <c r="CG33" s="160">
        <v>49576</v>
      </c>
      <c r="CH33" s="83">
        <f t="shared" si="79"/>
        <v>49576</v>
      </c>
      <c r="CI33" s="160">
        <v>55645</v>
      </c>
      <c r="CJ33" s="160">
        <v>79076</v>
      </c>
      <c r="CK33" s="160">
        <v>99447</v>
      </c>
      <c r="CL33" s="160">
        <v>108152</v>
      </c>
      <c r="CM33" s="83">
        <f t="shared" si="80"/>
        <v>108152</v>
      </c>
      <c r="CN33" s="160">
        <v>109631</v>
      </c>
      <c r="CO33" s="160">
        <v>141391</v>
      </c>
      <c r="CP33" s="160">
        <v>168422</v>
      </c>
      <c r="CQ33" s="160">
        <v>173528</v>
      </c>
      <c r="CR33" s="83">
        <f t="shared" si="81"/>
        <v>173528</v>
      </c>
      <c r="CS33" s="160">
        <v>161414</v>
      </c>
      <c r="CT33" s="160">
        <v>163418</v>
      </c>
      <c r="CU33" s="160">
        <v>187533</v>
      </c>
      <c r="CV33" s="160">
        <v>183437</v>
      </c>
      <c r="CW33" s="83">
        <f t="shared" si="96"/>
        <v>183437</v>
      </c>
      <c r="CX33" s="160">
        <v>182106</v>
      </c>
      <c r="CY33" s="160">
        <v>203798</v>
      </c>
      <c r="CZ33" s="160">
        <v>219203</v>
      </c>
      <c r="DA33" s="160">
        <v>225291</v>
      </c>
      <c r="DB33" s="83">
        <f t="shared" si="97"/>
        <v>225291</v>
      </c>
      <c r="DC33" s="160">
        <v>206360</v>
      </c>
      <c r="DD33" s="160">
        <v>228241</v>
      </c>
      <c r="DE33" s="160">
        <v>264331</v>
      </c>
      <c r="DF33" s="160">
        <v>249310</v>
      </c>
      <c r="DG33" s="83">
        <f t="shared" si="82"/>
        <v>249310</v>
      </c>
      <c r="DH33" s="160">
        <v>220452</v>
      </c>
      <c r="DI33" s="160">
        <v>242902</v>
      </c>
      <c r="DJ33" s="160">
        <f>DI33*DJ11/DI11</f>
        <v>229729.78269299315</v>
      </c>
      <c r="DK33" s="213">
        <f>DJ33*DK11/DJ11</f>
        <v>239475.19286184345</v>
      </c>
      <c r="DL33" s="83">
        <f t="shared" si="84"/>
        <v>239475.19286184345</v>
      </c>
      <c r="DM33" s="160">
        <f>DL33*DM11/DL11</f>
        <v>233794.53356093308</v>
      </c>
      <c r="DN33" s="160">
        <f>DM33*DN11/DM11</f>
        <v>233293.82601784833</v>
      </c>
      <c r="DO33" s="160">
        <f>DN33*DO11/DN11</f>
        <v>237653.57387137404</v>
      </c>
      <c r="DP33" s="213">
        <f>DO33*DP11/DO11</f>
        <v>245303.20347240084</v>
      </c>
      <c r="DQ33" s="83">
        <f t="shared" si="85"/>
        <v>245303.20347240084</v>
      </c>
      <c r="DR33" s="160">
        <f>DQ33*DR11/DQ11</f>
        <v>241395.00191035864</v>
      </c>
      <c r="DS33" s="160">
        <f>DR33*DS11/DR11</f>
        <v>242246.42184112483</v>
      </c>
      <c r="DT33" s="160">
        <f>DS33*DT11/DS11</f>
        <v>247599.96702618062</v>
      </c>
      <c r="DU33" s="213">
        <f>DT33*DU11/DT11</f>
        <v>256496.17778794284</v>
      </c>
      <c r="DV33" s="83">
        <f t="shared" si="86"/>
        <v>256496.17778794284</v>
      </c>
      <c r="DW33" s="160">
        <f>DV33*DW11/DV11</f>
        <v>252600.94408876955</v>
      </c>
      <c r="DX33" s="160">
        <f>DW33*DX11/DW11</f>
        <v>253597.24911378429</v>
      </c>
      <c r="DY33" s="160">
        <f>DX33*DY11/DX11</f>
        <v>258880.72775147069</v>
      </c>
      <c r="DZ33" s="213">
        <f>DY33*DZ11/DY11</f>
        <v>267355.67637345515</v>
      </c>
      <c r="EA33" s="83">
        <f t="shared" si="87"/>
        <v>267355.67637345515</v>
      </c>
      <c r="EB33" s="160">
        <f>EA33*EB11/EA11</f>
        <v>262500.99196761363</v>
      </c>
      <c r="EC33" s="160">
        <f>EB33*EC11/EB11</f>
        <v>262826.81960293185</v>
      </c>
      <c r="ED33" s="160">
        <f>EC33*ED11/EC11</f>
        <v>267960.36157104018</v>
      </c>
      <c r="EE33" s="213">
        <f>ED33*EE11/ED11</f>
        <v>276393.79497421382</v>
      </c>
      <c r="EF33" s="83">
        <f t="shared" si="88"/>
        <v>276393.79497421382</v>
      </c>
    </row>
    <row r="34" spans="1:136">
      <c r="A34" s="71" t="s">
        <v>707</v>
      </c>
      <c r="B34" s="160">
        <v>102569</v>
      </c>
      <c r="C34" s="160">
        <v>52783</v>
      </c>
      <c r="D34" s="160">
        <v>72105</v>
      </c>
      <c r="E34" s="160">
        <v>133098</v>
      </c>
      <c r="F34" s="89">
        <f t="shared" si="65"/>
        <v>133098</v>
      </c>
      <c r="G34" s="160">
        <f>(AVERAGE(E34,H34))+51060.5</f>
        <v>173250</v>
      </c>
      <c r="H34" s="160">
        <v>111281</v>
      </c>
      <c r="I34" s="160">
        <v>88077</v>
      </c>
      <c r="J34" s="160">
        <v>108104</v>
      </c>
      <c r="K34" s="89">
        <f t="shared" si="66"/>
        <v>108104</v>
      </c>
      <c r="L34" s="160">
        <v>82530</v>
      </c>
      <c r="M34" s="160">
        <v>92152</v>
      </c>
      <c r="N34" s="160">
        <v>90168</v>
      </c>
      <c r="O34" s="160">
        <v>101968</v>
      </c>
      <c r="P34" s="89">
        <f t="shared" si="73"/>
        <v>101968</v>
      </c>
      <c r="Q34" s="160">
        <v>120960</v>
      </c>
      <c r="R34" s="160">
        <v>89867</v>
      </c>
      <c r="S34" s="160">
        <v>97691</v>
      </c>
      <c r="T34" s="160">
        <v>87879</v>
      </c>
      <c r="U34" s="89">
        <f t="shared" si="74"/>
        <v>87879</v>
      </c>
      <c r="V34" s="160">
        <v>102782</v>
      </c>
      <c r="W34" s="160">
        <v>90026</v>
      </c>
      <c r="X34" s="160">
        <v>111173</v>
      </c>
      <c r="Y34" s="160">
        <v>0</v>
      </c>
      <c r="Z34" s="89">
        <f t="shared" si="75"/>
        <v>0</v>
      </c>
      <c r="AA34" s="160">
        <v>0</v>
      </c>
      <c r="AB34" s="160">
        <v>104737</v>
      </c>
      <c r="AC34" s="160">
        <v>67615</v>
      </c>
      <c r="AD34" s="160">
        <v>77045</v>
      </c>
      <c r="AE34" s="89">
        <f t="shared" si="76"/>
        <v>77045</v>
      </c>
      <c r="AF34" s="160">
        <v>64152</v>
      </c>
      <c r="AG34" s="160">
        <v>295526</v>
      </c>
      <c r="AH34" s="160">
        <v>307047</v>
      </c>
      <c r="AI34" s="160">
        <v>244776</v>
      </c>
      <c r="AJ34" s="89">
        <f t="shared" si="98"/>
        <v>244776</v>
      </c>
      <c r="AK34" s="160">
        <v>238525</v>
      </c>
      <c r="AL34" s="160">
        <v>212901</v>
      </c>
      <c r="AM34" s="160">
        <v>119249</v>
      </c>
      <c r="AN34" s="160">
        <v>213156</v>
      </c>
      <c r="AO34" s="89">
        <f t="shared" si="77"/>
        <v>213156</v>
      </c>
      <c r="AP34" s="160">
        <v>198149</v>
      </c>
      <c r="AQ34" s="160">
        <v>188289</v>
      </c>
      <c r="AR34" s="160">
        <v>181979</v>
      </c>
      <c r="AS34" s="160">
        <v>287340</v>
      </c>
      <c r="AT34" s="89">
        <f t="shared" si="78"/>
        <v>287340</v>
      </c>
      <c r="AU34" s="160">
        <f>117212+144000</f>
        <v>261212</v>
      </c>
      <c r="AV34" s="160">
        <f>119291+177000</f>
        <v>296291</v>
      </c>
      <c r="AW34" s="160">
        <v>305580</v>
      </c>
      <c r="AX34" s="160">
        <v>286447</v>
      </c>
      <c r="AY34" s="89">
        <f t="shared" si="89"/>
        <v>286447</v>
      </c>
      <c r="AZ34" s="160">
        <v>281168</v>
      </c>
      <c r="BA34" s="160">
        <v>285467</v>
      </c>
      <c r="BB34" s="160">
        <v>260444</v>
      </c>
      <c r="BC34" s="160">
        <v>281602</v>
      </c>
      <c r="BD34" s="89">
        <f t="shared" si="90"/>
        <v>281602</v>
      </c>
      <c r="BE34" s="160">
        <v>259910</v>
      </c>
      <c r="BF34" s="160">
        <v>245594</v>
      </c>
      <c r="BG34" s="160">
        <v>182832</v>
      </c>
      <c r="BH34" s="160">
        <v>174693</v>
      </c>
      <c r="BI34" s="89">
        <f t="shared" si="91"/>
        <v>174693</v>
      </c>
      <c r="BJ34" s="160">
        <v>137906</v>
      </c>
      <c r="BK34" s="160">
        <v>127764</v>
      </c>
      <c r="BL34" s="160">
        <v>72835</v>
      </c>
      <c r="BM34" s="160">
        <v>74086</v>
      </c>
      <c r="BN34" s="89">
        <f t="shared" si="92"/>
        <v>74086</v>
      </c>
      <c r="BO34" s="160">
        <v>82498</v>
      </c>
      <c r="BP34" s="160">
        <v>118082</v>
      </c>
      <c r="BQ34" s="160">
        <v>102694</v>
      </c>
      <c r="BR34" s="160">
        <v>124785</v>
      </c>
      <c r="BS34" s="89">
        <f t="shared" si="93"/>
        <v>124785</v>
      </c>
      <c r="BT34" s="160">
        <v>153489</v>
      </c>
      <c r="BU34" s="160">
        <v>185743</v>
      </c>
      <c r="BV34" s="160">
        <v>139926</v>
      </c>
      <c r="BW34" s="160">
        <v>134547</v>
      </c>
      <c r="BX34" s="89">
        <f t="shared" si="94"/>
        <v>134547</v>
      </c>
      <c r="BY34" s="160">
        <v>134172</v>
      </c>
      <c r="BZ34" s="160">
        <v>143328</v>
      </c>
      <c r="CA34" s="160">
        <v>140901</v>
      </c>
      <c r="CB34" s="160">
        <v>148366</v>
      </c>
      <c r="CC34" s="89">
        <f t="shared" si="95"/>
        <v>148366</v>
      </c>
      <c r="CD34" s="160">
        <v>162167</v>
      </c>
      <c r="CE34" s="160">
        <v>120706</v>
      </c>
      <c r="CF34" s="160">
        <v>62370</v>
      </c>
      <c r="CG34" s="160">
        <v>147066</v>
      </c>
      <c r="CH34" s="89">
        <f t="shared" si="79"/>
        <v>147066</v>
      </c>
      <c r="CI34" s="160">
        <v>138922</v>
      </c>
      <c r="CJ34" s="160">
        <v>197699</v>
      </c>
      <c r="CK34" s="160">
        <v>206968</v>
      </c>
      <c r="CL34" s="160">
        <v>180459</v>
      </c>
      <c r="CM34" s="89">
        <f t="shared" si="80"/>
        <v>180459</v>
      </c>
      <c r="CN34" s="160">
        <v>187687</v>
      </c>
      <c r="CO34" s="160">
        <v>181584</v>
      </c>
      <c r="CP34" s="160">
        <v>160596</v>
      </c>
      <c r="CQ34" s="160">
        <v>121544</v>
      </c>
      <c r="CR34" s="89">
        <f t="shared" si="81"/>
        <v>121544</v>
      </c>
      <c r="CS34" s="160">
        <v>214119</v>
      </c>
      <c r="CT34" s="160">
        <v>206770</v>
      </c>
      <c r="CU34" s="160">
        <v>196348</v>
      </c>
      <c r="CV34" s="160">
        <v>154563</v>
      </c>
      <c r="CW34" s="89">
        <f t="shared" si="96"/>
        <v>154563</v>
      </c>
      <c r="CX34" s="160">
        <v>160111</v>
      </c>
      <c r="CY34" s="160">
        <v>139975</v>
      </c>
      <c r="CZ34" s="160">
        <v>91715</v>
      </c>
      <c r="DA34" s="160">
        <v>39579</v>
      </c>
      <c r="DB34" s="89">
        <f t="shared" si="97"/>
        <v>39579</v>
      </c>
      <c r="DC34" s="160">
        <v>40718</v>
      </c>
      <c r="DD34" s="160">
        <v>31104</v>
      </c>
      <c r="DE34" s="160">
        <v>50464</v>
      </c>
      <c r="DF34" s="160">
        <v>38748</v>
      </c>
      <c r="DG34" s="89">
        <f t="shared" si="82"/>
        <v>38748</v>
      </c>
      <c r="DH34" s="160">
        <v>44164</v>
      </c>
      <c r="DI34" s="160">
        <v>64162</v>
      </c>
      <c r="DJ34" s="149">
        <f>DJ83</f>
        <v>65411.720458853546</v>
      </c>
      <c r="DK34" s="149">
        <f>DK83</f>
        <v>70569.585393682923</v>
      </c>
      <c r="DL34" s="89">
        <f t="shared" si="84"/>
        <v>70569.585393682923</v>
      </c>
      <c r="DM34" s="149">
        <f>DM83</f>
        <v>72380.614229967003</v>
      </c>
      <c r="DN34" s="149">
        <f>DN83</f>
        <v>73588.602364184422</v>
      </c>
      <c r="DO34" s="149">
        <f>DO83</f>
        <v>74443.406514235947</v>
      </c>
      <c r="DP34" s="149">
        <f>DP83</f>
        <v>75421.752870513461</v>
      </c>
      <c r="DQ34" s="89">
        <f t="shared" si="85"/>
        <v>75421.752870513461</v>
      </c>
      <c r="DR34" s="149">
        <f>DR83</f>
        <v>75452.009579058184</v>
      </c>
      <c r="DS34" s="149">
        <f>DS83</f>
        <v>75657.181041296935</v>
      </c>
      <c r="DT34" s="149">
        <f>DT83</f>
        <v>76073.469351864216</v>
      </c>
      <c r="DU34" s="149">
        <f>DU83</f>
        <v>76760.166938001712</v>
      </c>
      <c r="DV34" s="89">
        <f t="shared" si="86"/>
        <v>76760.166938001712</v>
      </c>
      <c r="DW34" s="149">
        <f>DW83</f>
        <v>77237.234043433957</v>
      </c>
      <c r="DX34" s="149">
        <f>DX83</f>
        <v>77913.759610207024</v>
      </c>
      <c r="DY34" s="149">
        <f>DY83</f>
        <v>78719.966323995424</v>
      </c>
      <c r="DZ34" s="149">
        <f>DZ83</f>
        <v>79746.797985934842</v>
      </c>
      <c r="EA34" s="89">
        <f t="shared" si="87"/>
        <v>79746.797985934842</v>
      </c>
      <c r="EB34" s="149">
        <f>EB83</f>
        <v>80530.930223912321</v>
      </c>
      <c r="EC34" s="149">
        <f>EC83</f>
        <v>81465.815541039236</v>
      </c>
      <c r="ED34" s="149">
        <f>ED83</f>
        <v>82485.69949185531</v>
      </c>
      <c r="EE34" s="149">
        <f>EE83</f>
        <v>83654.941606293884</v>
      </c>
      <c r="EF34" s="89">
        <f t="shared" si="88"/>
        <v>83654.941606293884</v>
      </c>
    </row>
    <row r="35" spans="1:136">
      <c r="A35" s="71" t="s">
        <v>708</v>
      </c>
      <c r="B35" s="160">
        <v>17429</v>
      </c>
      <c r="C35" s="160">
        <v>14382</v>
      </c>
      <c r="D35" s="160">
        <v>15958</v>
      </c>
      <c r="E35" s="213">
        <v>116582</v>
      </c>
      <c r="F35" s="89">
        <f t="shared" si="65"/>
        <v>116582</v>
      </c>
      <c r="G35" s="160">
        <f>(AVERAGE(E35,H35))+8132.5</f>
        <v>115924</v>
      </c>
      <c r="H35" s="160">
        <v>99001</v>
      </c>
      <c r="I35" s="160">
        <v>93967</v>
      </c>
      <c r="J35" s="213">
        <v>89743</v>
      </c>
      <c r="K35" s="89">
        <f t="shared" si="66"/>
        <v>89743</v>
      </c>
      <c r="L35" s="160">
        <v>112050</v>
      </c>
      <c r="M35" s="160">
        <v>153271</v>
      </c>
      <c r="N35" s="160">
        <v>183027</v>
      </c>
      <c r="O35" s="213">
        <v>350558</v>
      </c>
      <c r="P35" s="89">
        <f t="shared" si="73"/>
        <v>350558</v>
      </c>
      <c r="Q35" s="160">
        <v>490999</v>
      </c>
      <c r="R35" s="160">
        <v>577000</v>
      </c>
      <c r="S35" s="160">
        <v>731224</v>
      </c>
      <c r="T35" s="213">
        <v>1000728</v>
      </c>
      <c r="U35" s="89">
        <f t="shared" si="74"/>
        <v>1000728</v>
      </c>
      <c r="V35" s="160">
        <v>758985</v>
      </c>
      <c r="W35" s="160">
        <v>891620</v>
      </c>
      <c r="X35" s="160">
        <v>1181000</v>
      </c>
      <c r="Y35" s="213">
        <f>(296220+126663)+(1685914)</f>
        <v>2108797</v>
      </c>
      <c r="Z35" s="89">
        <f t="shared" si="75"/>
        <v>2108797</v>
      </c>
      <c r="AA35" s="160">
        <f>1830601+110151+263107</f>
        <v>2203859</v>
      </c>
      <c r="AB35" s="160">
        <f>1628054+245363+125092-AB34</f>
        <v>1893772</v>
      </c>
      <c r="AC35" s="160">
        <f>169365+1676059+100222-AC34</f>
        <v>1878031</v>
      </c>
      <c r="AD35" s="213">
        <f>203469+102079+1947765-AD34</f>
        <v>2176268</v>
      </c>
      <c r="AE35" s="89">
        <f t="shared" si="76"/>
        <v>2176268</v>
      </c>
      <c r="AF35" s="160">
        <f>204494+143346+2019691-AF34</f>
        <v>2303379</v>
      </c>
      <c r="AG35" s="160">
        <f>213855+133925+2169462-AG34</f>
        <v>2221716</v>
      </c>
      <c r="AH35" s="160">
        <f>285019+109635+1673474+389397-AH34</f>
        <v>2150478</v>
      </c>
      <c r="AI35" s="213">
        <f>341835+123164+552874+1518142-AI34</f>
        <v>2291239</v>
      </c>
      <c r="AJ35" s="89">
        <f t="shared" si="98"/>
        <v>2291239</v>
      </c>
      <c r="AK35" s="160">
        <f>1452639+360112+138639+541892-AK34</f>
        <v>2254757</v>
      </c>
      <c r="AL35" s="160">
        <f>1609848+369031+162030+387710-AL34</f>
        <v>2315718</v>
      </c>
      <c r="AM35" s="160">
        <f>415468+1587368+160975+393044-AM34</f>
        <v>2437606</v>
      </c>
      <c r="AN35" s="160">
        <f>334322+1423196+132288+558867-AN34</f>
        <v>2235517</v>
      </c>
      <c r="AO35" s="89">
        <f t="shared" si="77"/>
        <v>2235517</v>
      </c>
      <c r="AP35" s="160">
        <f>279376+1425932+120268+515325-AP34</f>
        <v>2142752</v>
      </c>
      <c r="AQ35" s="160">
        <f>1425287+249033+516957+116837-AQ34</f>
        <v>2119825</v>
      </c>
      <c r="AR35" s="160">
        <f>1306279+250678+98794+599452-AR34</f>
        <v>2073224</v>
      </c>
      <c r="AS35" s="160">
        <f>1222140+257772+447035-AS34</f>
        <v>1639607</v>
      </c>
      <c r="AT35" s="89">
        <f t="shared" si="78"/>
        <v>1639607</v>
      </c>
      <c r="AU35" s="160">
        <f>1096033+281069+83377+512822-AU34</f>
        <v>1712089</v>
      </c>
      <c r="AV35" s="160">
        <f>1081084+292798+522727-AV34</f>
        <v>1600318</v>
      </c>
      <c r="AW35" s="160">
        <f>1234160+387308</f>
        <v>1621468</v>
      </c>
      <c r="AX35" s="160">
        <f>1247584+515445</f>
        <v>1763029</v>
      </c>
      <c r="AY35" s="89">
        <f t="shared" si="89"/>
        <v>1763029</v>
      </c>
      <c r="AZ35" s="330">
        <f>1051488+417804</f>
        <v>1469292</v>
      </c>
      <c r="BA35" s="160">
        <f>905208+389438</f>
        <v>1294646</v>
      </c>
      <c r="BB35" s="160">
        <f>1003985+418578</f>
        <v>1422563</v>
      </c>
      <c r="BC35" s="160">
        <f>984045+392773</f>
        <v>1376818</v>
      </c>
      <c r="BD35" s="89">
        <f t="shared" si="90"/>
        <v>1376818</v>
      </c>
      <c r="BE35" s="160">
        <f>962615+394275</f>
        <v>1356890</v>
      </c>
      <c r="BF35" s="160">
        <f>932621+347386</f>
        <v>1280007</v>
      </c>
      <c r="BG35" s="160">
        <f>862203+303377</f>
        <v>1165580</v>
      </c>
      <c r="BH35" s="160">
        <f>708988+210472</f>
        <v>919460</v>
      </c>
      <c r="BI35" s="89">
        <f t="shared" si="91"/>
        <v>919460</v>
      </c>
      <c r="BJ35" s="160">
        <f>654307+211409</f>
        <v>865716</v>
      </c>
      <c r="BK35" s="160">
        <f>548053+190381</f>
        <v>738434</v>
      </c>
      <c r="BL35" s="160">
        <f>503204+176878</f>
        <v>680082</v>
      </c>
      <c r="BM35" s="160">
        <f>479932+161457</f>
        <v>641389</v>
      </c>
      <c r="BN35" s="89">
        <f t="shared" si="92"/>
        <v>641389</v>
      </c>
      <c r="BO35" s="160">
        <f>423534+137263</f>
        <v>560797</v>
      </c>
      <c r="BP35" s="160">
        <f>384294+237434</f>
        <v>621728</v>
      </c>
      <c r="BQ35" s="160">
        <f>369315+236688</f>
        <v>606003</v>
      </c>
      <c r="BR35" s="160">
        <f>348896+233371</f>
        <v>582267</v>
      </c>
      <c r="BS35" s="89">
        <f t="shared" si="93"/>
        <v>582267</v>
      </c>
      <c r="BT35" s="160">
        <f>351912+274938</f>
        <v>626850</v>
      </c>
      <c r="BU35" s="160">
        <f>442600+253225</f>
        <v>695825</v>
      </c>
      <c r="BV35" s="160">
        <f>595437+295047</f>
        <v>890484</v>
      </c>
      <c r="BW35" s="160">
        <f>529739+420128</f>
        <v>949867</v>
      </c>
      <c r="BX35" s="89">
        <f t="shared" si="94"/>
        <v>949867</v>
      </c>
      <c r="BY35" s="160">
        <f>551008+451398</f>
        <v>1002406</v>
      </c>
      <c r="BZ35" s="160">
        <f>571579+481897</f>
        <v>1053476</v>
      </c>
      <c r="CA35" s="160">
        <f>586105+461507</f>
        <v>1047612</v>
      </c>
      <c r="CB35" s="160">
        <f>700471+557068</f>
        <v>1257539</v>
      </c>
      <c r="CC35" s="89">
        <f t="shared" si="95"/>
        <v>1257539</v>
      </c>
      <c r="CD35" s="160">
        <f>802960+682530</f>
        <v>1485490</v>
      </c>
      <c r="CE35" s="160">
        <f>895840+749473</f>
        <v>1645313</v>
      </c>
      <c r="CF35" s="160">
        <f>695588+409112</f>
        <v>1104700</v>
      </c>
      <c r="CG35" s="160">
        <f>807806+515762</f>
        <v>1323568</v>
      </c>
      <c r="CH35" s="89">
        <f t="shared" si="79"/>
        <v>1323568</v>
      </c>
      <c r="CI35" s="160">
        <f>718533+542839</f>
        <v>1261372</v>
      </c>
      <c r="CJ35" s="160">
        <f>836552+551861</f>
        <v>1388413</v>
      </c>
      <c r="CK35" s="160">
        <f>1061928+641879</f>
        <v>1703807</v>
      </c>
      <c r="CL35" s="160">
        <f>943256+794544</f>
        <v>1737800</v>
      </c>
      <c r="CM35" s="89">
        <f t="shared" si="80"/>
        <v>1737800</v>
      </c>
      <c r="CN35" s="160">
        <f>996960+823149</f>
        <v>1820109</v>
      </c>
      <c r="CO35" s="160">
        <f>972010+737312</f>
        <v>1709322</v>
      </c>
      <c r="CP35" s="160">
        <f>1135396+807378</f>
        <v>1942774</v>
      </c>
      <c r="CQ35" s="160">
        <f>1018264+765254</f>
        <v>1783518</v>
      </c>
      <c r="CR35" s="89">
        <f t="shared" si="81"/>
        <v>1783518</v>
      </c>
      <c r="CS35" s="160">
        <f>953276+690099</f>
        <v>1643375</v>
      </c>
      <c r="CT35" s="160">
        <f>880638+748784</f>
        <v>1629422</v>
      </c>
      <c r="CU35" s="160">
        <f>798504+793393</f>
        <v>1591897</v>
      </c>
      <c r="CV35" s="160">
        <f>740679+854180</f>
        <v>1594859</v>
      </c>
      <c r="CW35" s="89">
        <f t="shared" si="96"/>
        <v>1594859</v>
      </c>
      <c r="CX35" s="160">
        <f>721565+870477</f>
        <v>1592042</v>
      </c>
      <c r="CY35" s="160">
        <f>671023+890427</f>
        <v>1561450</v>
      </c>
      <c r="CZ35" s="160">
        <f>764957+1251612</f>
        <v>2016569</v>
      </c>
      <c r="DA35" s="160">
        <f>895505+2004576</f>
        <v>2900081</v>
      </c>
      <c r="DB35" s="89">
        <f t="shared" si="97"/>
        <v>2900081</v>
      </c>
      <c r="DC35" s="160">
        <f>855462+2075534</f>
        <v>2930996</v>
      </c>
      <c r="DD35" s="160">
        <f>1041446+2044503</f>
        <v>3085949</v>
      </c>
      <c r="DE35" s="160">
        <f>1060714+2087863</f>
        <v>3148577</v>
      </c>
      <c r="DF35" s="160">
        <f>1067090+2943639</f>
        <v>4010729</v>
      </c>
      <c r="DG35" s="89">
        <f t="shared" si="82"/>
        <v>4010729</v>
      </c>
      <c r="DH35" s="160">
        <f>1020965+2974391</f>
        <v>3995356</v>
      </c>
      <c r="DI35" s="160">
        <f>962953+3186940</f>
        <v>4149893</v>
      </c>
      <c r="DJ35" s="149">
        <f>DJ87</f>
        <v>3938804.837523676</v>
      </c>
      <c r="DK35" s="149">
        <f>DK87</f>
        <v>4128900.1167849312</v>
      </c>
      <c r="DL35" s="89">
        <f t="shared" si="84"/>
        <v>4128900.1167849312</v>
      </c>
      <c r="DM35" s="149">
        <f>DM87</f>
        <v>3343619.3179026237</v>
      </c>
      <c r="DN35" s="149">
        <f>DN87</f>
        <v>3319151.0244580396</v>
      </c>
      <c r="DO35" s="149">
        <f>DO87</f>
        <v>3366267.3687996054</v>
      </c>
      <c r="DP35" s="149">
        <f>DP87</f>
        <v>3468823.8351664273</v>
      </c>
      <c r="DQ35" s="89">
        <f t="shared" si="85"/>
        <v>3468823.8351664273</v>
      </c>
      <c r="DR35" s="149">
        <f>DR87</f>
        <v>3368817.087815864</v>
      </c>
      <c r="DS35" s="149">
        <f>DS87</f>
        <v>3349504.8865682781</v>
      </c>
      <c r="DT35" s="149">
        <f>DT87</f>
        <v>3406260.9602889833</v>
      </c>
      <c r="DU35" s="149">
        <f>DU87</f>
        <v>3514318.5468770447</v>
      </c>
      <c r="DV35" s="89">
        <f t="shared" si="86"/>
        <v>3514318.5468770447</v>
      </c>
      <c r="DW35" s="149">
        <f>DW87</f>
        <v>3417008.4104657238</v>
      </c>
      <c r="DX35" s="149">
        <f>DX87</f>
        <v>3400974.5725959837</v>
      </c>
      <c r="DY35" s="149">
        <f>DY87</f>
        <v>3467240.7049617143</v>
      </c>
      <c r="DZ35" s="149">
        <f>DZ87</f>
        <v>3590633.5499423938</v>
      </c>
      <c r="EA35" s="89">
        <f t="shared" si="87"/>
        <v>3590633.5499423938</v>
      </c>
      <c r="EB35" s="149">
        <f>EB87</f>
        <v>3497215.9664679291</v>
      </c>
      <c r="EC35" s="149">
        <f>EC87</f>
        <v>3486035.9091644101</v>
      </c>
      <c r="ED35" s="149">
        <f>ED87</f>
        <v>3556278.0130169401</v>
      </c>
      <c r="EE35" s="149">
        <f>EE87</f>
        <v>3686930.9679496009</v>
      </c>
      <c r="EF35" s="89">
        <f t="shared" si="88"/>
        <v>3686930.9679496009</v>
      </c>
    </row>
    <row r="36" spans="1:136">
      <c r="A36" s="71" t="s">
        <v>25</v>
      </c>
      <c r="B36" s="213">
        <v>3464</v>
      </c>
      <c r="C36" s="213">
        <v>3490</v>
      </c>
      <c r="D36" s="213">
        <v>3740</v>
      </c>
      <c r="E36" s="213"/>
      <c r="F36" s="83">
        <f t="shared" si="65"/>
        <v>0</v>
      </c>
      <c r="G36" s="213">
        <f>(AVERAGE(E36,H36))+0</f>
        <v>25963</v>
      </c>
      <c r="H36" s="213">
        <v>25963</v>
      </c>
      <c r="I36" s="213">
        <v>31443</v>
      </c>
      <c r="J36" s="213">
        <v>29570</v>
      </c>
      <c r="K36" s="83">
        <f t="shared" si="66"/>
        <v>29570</v>
      </c>
      <c r="L36" s="213">
        <v>31777</v>
      </c>
      <c r="M36" s="213">
        <v>41586</v>
      </c>
      <c r="N36" s="213">
        <v>41995</v>
      </c>
      <c r="O36" s="213">
        <v>43884</v>
      </c>
      <c r="P36" s="89">
        <f t="shared" si="73"/>
        <v>43884</v>
      </c>
      <c r="Q36" s="213">
        <v>44862</v>
      </c>
      <c r="R36" s="213">
        <v>50043</v>
      </c>
      <c r="S36" s="213">
        <v>20081</v>
      </c>
      <c r="T36" s="213">
        <v>101661</v>
      </c>
      <c r="U36" s="89">
        <f t="shared" si="74"/>
        <v>101661</v>
      </c>
      <c r="V36" s="213">
        <v>107118</v>
      </c>
      <c r="W36" s="213">
        <v>116925</v>
      </c>
      <c r="X36" s="213">
        <v>146234</v>
      </c>
      <c r="Y36" s="213">
        <v>164120</v>
      </c>
      <c r="Z36" s="89">
        <f t="shared" si="75"/>
        <v>164120</v>
      </c>
      <c r="AA36" s="213">
        <v>171612</v>
      </c>
      <c r="AB36" s="213">
        <v>182201</v>
      </c>
      <c r="AC36" s="213">
        <v>207626</v>
      </c>
      <c r="AD36" s="213">
        <v>109837</v>
      </c>
      <c r="AE36" s="89">
        <f t="shared" si="76"/>
        <v>109837</v>
      </c>
      <c r="AF36" s="213">
        <v>120621</v>
      </c>
      <c r="AG36" s="213">
        <v>126276</v>
      </c>
      <c r="AH36" s="213">
        <v>114030</v>
      </c>
      <c r="AI36" s="213">
        <f>90015+9183+18815</f>
        <v>118013</v>
      </c>
      <c r="AJ36" s="89">
        <f t="shared" si="98"/>
        <v>118013</v>
      </c>
      <c r="AK36" s="213">
        <f>79805+9254+19919</f>
        <v>108978</v>
      </c>
      <c r="AL36" s="213">
        <f>87745+20789</f>
        <v>108534</v>
      </c>
      <c r="AM36" s="213">
        <f>82642+23119</f>
        <v>105761</v>
      </c>
      <c r="AN36" s="213">
        <f>110759+30208</f>
        <v>140967</v>
      </c>
      <c r="AO36" s="89">
        <f t="shared" si="77"/>
        <v>140967</v>
      </c>
      <c r="AP36" s="213">
        <f>76028+30373</f>
        <v>106401</v>
      </c>
      <c r="AQ36" s="213">
        <f>74770+34142</f>
        <v>108912</v>
      </c>
      <c r="AR36" s="213">
        <f>70810+42224</f>
        <v>113034</v>
      </c>
      <c r="AS36" s="213">
        <f>74571+59638-12224</f>
        <v>121985</v>
      </c>
      <c r="AT36" s="89">
        <f t="shared" si="78"/>
        <v>121985</v>
      </c>
      <c r="AU36" s="213">
        <f>AVERAGE(AT36,AV36)</f>
        <v>117144</v>
      </c>
      <c r="AV36" s="304">
        <f>55147+71183-14027</f>
        <v>112303</v>
      </c>
      <c r="AW36" s="160">
        <f>49704+79754-21964</f>
        <v>107494</v>
      </c>
      <c r="AX36" s="160">
        <f>64563+92570-25012</f>
        <v>132121</v>
      </c>
      <c r="AY36" s="89">
        <f t="shared" si="89"/>
        <v>132121</v>
      </c>
      <c r="AZ36" s="160">
        <f>64404+95783-34880</f>
        <v>125307</v>
      </c>
      <c r="BA36" s="160">
        <f>51244+101113-48309</f>
        <v>104048</v>
      </c>
      <c r="BB36" s="160">
        <f>62587+123820-70767</f>
        <v>115640</v>
      </c>
      <c r="BC36" s="160">
        <f>57162+164404-104328</f>
        <v>117238</v>
      </c>
      <c r="BD36" s="89">
        <f t="shared" si="90"/>
        <v>117238</v>
      </c>
      <c r="BE36" s="160">
        <f>59699+185778-104522</f>
        <v>140955</v>
      </c>
      <c r="BF36" s="160">
        <f>40323+176380-105169</f>
        <v>111534</v>
      </c>
      <c r="BG36" s="160">
        <f>40979+176438-105169</f>
        <v>112248</v>
      </c>
      <c r="BH36" s="160">
        <f>32137+201657-102632</f>
        <v>131162</v>
      </c>
      <c r="BI36" s="89">
        <f t="shared" si="91"/>
        <v>131162</v>
      </c>
      <c r="BJ36" s="160">
        <f>33732+205864-119238</f>
        <v>120358</v>
      </c>
      <c r="BK36" s="160">
        <f>30670+208821-121881</f>
        <v>117610</v>
      </c>
      <c r="BL36" s="213">
        <f>26227+209333-112983</f>
        <v>122577</v>
      </c>
      <c r="BM36" s="213">
        <f>16789+213958-107692</f>
        <v>123055</v>
      </c>
      <c r="BN36" s="89">
        <f t="shared" si="92"/>
        <v>123055</v>
      </c>
      <c r="BO36" s="213">
        <f>32051+224038-118430</f>
        <v>137659</v>
      </c>
      <c r="BP36" s="213">
        <f>29854+187344-114380</f>
        <v>102818</v>
      </c>
      <c r="BQ36" s="213">
        <f>28893+167204-98410</f>
        <v>97687</v>
      </c>
      <c r="BR36" s="213">
        <f>32588+143806-88550</f>
        <v>87844</v>
      </c>
      <c r="BS36" s="89">
        <f t="shared" si="93"/>
        <v>87844</v>
      </c>
      <c r="BT36" s="213">
        <f>25202+106561-70985</f>
        <v>60778</v>
      </c>
      <c r="BU36" s="213">
        <f>27020+119654-77948</f>
        <v>68726</v>
      </c>
      <c r="BV36" s="213">
        <f>28684+130839-84548</f>
        <v>74975</v>
      </c>
      <c r="BW36" s="213">
        <f>27085+55625</f>
        <v>82710</v>
      </c>
      <c r="BX36" s="89">
        <f t="shared" si="94"/>
        <v>82710</v>
      </c>
      <c r="BY36" s="213">
        <f>29775+59340</f>
        <v>89115</v>
      </c>
      <c r="BZ36" s="213">
        <f>31219+51540</f>
        <v>82759</v>
      </c>
      <c r="CA36" s="213">
        <f>35565+40400</f>
        <v>75965</v>
      </c>
      <c r="CB36" s="213">
        <f>28226+64866</f>
        <v>93092</v>
      </c>
      <c r="CC36" s="89">
        <f t="shared" si="95"/>
        <v>93092</v>
      </c>
      <c r="CD36" s="213">
        <f>33273+78562</f>
        <v>111835</v>
      </c>
      <c r="CE36" s="213">
        <f>25674+85867</f>
        <v>111541</v>
      </c>
      <c r="CF36" s="213">
        <f>139093+83552</f>
        <v>222645</v>
      </c>
      <c r="CG36" s="213">
        <f>30238+84333</f>
        <v>114571</v>
      </c>
      <c r="CH36" s="89">
        <f t="shared" si="79"/>
        <v>114571</v>
      </c>
      <c r="CI36" s="213">
        <f>30510+89627</f>
        <v>120137</v>
      </c>
      <c r="CJ36" s="213">
        <f>35636+89145</f>
        <v>124781</v>
      </c>
      <c r="CK36" s="213">
        <f>31775+105535</f>
        <v>137310</v>
      </c>
      <c r="CL36" s="213">
        <f>42040+106013</f>
        <v>148053</v>
      </c>
      <c r="CM36" s="89">
        <f t="shared" si="80"/>
        <v>148053</v>
      </c>
      <c r="CN36" s="213">
        <f>50289+121115</f>
        <v>171404</v>
      </c>
      <c r="CO36" s="213">
        <f>42569+126794</f>
        <v>169363</v>
      </c>
      <c r="CP36" s="213">
        <f>47968+107044</f>
        <v>155012</v>
      </c>
      <c r="CQ36" s="213">
        <f>56010+108411</f>
        <v>164421</v>
      </c>
      <c r="CR36" s="89">
        <f t="shared" si="81"/>
        <v>164421</v>
      </c>
      <c r="CS36" s="213">
        <f>63039+111137</f>
        <v>174176</v>
      </c>
      <c r="CT36" s="213">
        <f>46736+120533</f>
        <v>167269</v>
      </c>
      <c r="CU36" s="213">
        <f>51692+108431</f>
        <v>160123</v>
      </c>
      <c r="CV36" s="213">
        <f>50559+97841</f>
        <v>148400</v>
      </c>
      <c r="CW36" s="89">
        <f t="shared" si="96"/>
        <v>148400</v>
      </c>
      <c r="CX36" s="213">
        <f>46062+104700</f>
        <v>150762</v>
      </c>
      <c r="CY36" s="213">
        <f>46336+106257</f>
        <v>152593</v>
      </c>
      <c r="CZ36" s="213">
        <f>63994+111751</f>
        <v>175745</v>
      </c>
      <c r="DA36" s="213">
        <f>71768+93964</f>
        <v>165732</v>
      </c>
      <c r="DB36" s="89">
        <f t="shared" si="97"/>
        <v>165732</v>
      </c>
      <c r="DC36" s="213">
        <f>57194+95686</f>
        <v>152880</v>
      </c>
      <c r="DD36" s="213">
        <f>69490+86552</f>
        <v>156042</v>
      </c>
      <c r="DE36" s="213">
        <f>85068+78260</f>
        <v>163328</v>
      </c>
      <c r="DF36" s="213">
        <f>106789+72431</f>
        <v>179220</v>
      </c>
      <c r="DG36" s="89">
        <f t="shared" si="82"/>
        <v>179220</v>
      </c>
      <c r="DH36" s="213">
        <f>70285+68185</f>
        <v>138470</v>
      </c>
      <c r="DI36" s="213">
        <f>69272+66234</f>
        <v>135506</v>
      </c>
      <c r="DJ36" s="149">
        <f>DJ103</f>
        <v>138145.32889400906</v>
      </c>
      <c r="DK36" s="149">
        <f>DK103</f>
        <v>149038.40650784576</v>
      </c>
      <c r="DL36" s="89">
        <f t="shared" si="84"/>
        <v>149038.40650784576</v>
      </c>
      <c r="DM36" s="149">
        <f>DM103</f>
        <v>152863.18244203596</v>
      </c>
      <c r="DN36" s="149">
        <f>DN103</f>
        <v>155414.37536175892</v>
      </c>
      <c r="DO36" s="149">
        <f>DO103</f>
        <v>157219.66651784634</v>
      </c>
      <c r="DP36" s="149">
        <f>DP103</f>
        <v>159285.87083432247</v>
      </c>
      <c r="DQ36" s="89">
        <f t="shared" si="85"/>
        <v>159285.87083432247</v>
      </c>
      <c r="DR36" s="149">
        <f>DR103</f>
        <v>159349.77104859357</v>
      </c>
      <c r="DS36" s="149">
        <f>DS103</f>
        <v>159783.07992553199</v>
      </c>
      <c r="DT36" s="149">
        <f>DT103</f>
        <v>160662.25395083873</v>
      </c>
      <c r="DU36" s="149">
        <f>DU103</f>
        <v>162112.51490135689</v>
      </c>
      <c r="DV36" s="89">
        <f t="shared" si="86"/>
        <v>162112.51490135689</v>
      </c>
      <c r="DW36" s="149">
        <f>DW103</f>
        <v>163120.04981592786</v>
      </c>
      <c r="DX36" s="149">
        <f>DX103</f>
        <v>164548.82811852364</v>
      </c>
      <c r="DY36" s="149">
        <f>DY103</f>
        <v>166251.48462796243</v>
      </c>
      <c r="DZ36" s="149">
        <f>DZ103</f>
        <v>168420.08677849956</v>
      </c>
      <c r="EA36" s="89">
        <f t="shared" si="87"/>
        <v>168420.08677849956</v>
      </c>
      <c r="EB36" s="149">
        <f>EB103</f>
        <v>170076.12342073914</v>
      </c>
      <c r="EC36" s="149">
        <f>EC103</f>
        <v>172050.54082952626</v>
      </c>
      <c r="ED36" s="149">
        <f>ED103</f>
        <v>174204.46986289934</v>
      </c>
      <c r="EE36" s="149">
        <f>EE103</f>
        <v>176673.8336913198</v>
      </c>
      <c r="EF36" s="89">
        <f t="shared" si="88"/>
        <v>176673.8336913198</v>
      </c>
    </row>
    <row r="37" spans="1:136">
      <c r="A37" s="71" t="s">
        <v>116</v>
      </c>
      <c r="B37" s="213">
        <v>11286</v>
      </c>
      <c r="C37" s="213">
        <v>9467</v>
      </c>
      <c r="D37" s="213">
        <v>9767</v>
      </c>
      <c r="E37" s="213">
        <v>67322</v>
      </c>
      <c r="F37" s="83">
        <f t="shared" si="65"/>
        <v>67322</v>
      </c>
      <c r="G37" s="213">
        <v>76779.5</v>
      </c>
      <c r="H37" s="213">
        <v>86237</v>
      </c>
      <c r="I37" s="213">
        <v>93067</v>
      </c>
      <c r="J37" s="213">
        <v>81738</v>
      </c>
      <c r="K37" s="83">
        <f t="shared" si="66"/>
        <v>81738</v>
      </c>
      <c r="L37" s="213">
        <v>92419</v>
      </c>
      <c r="M37" s="213">
        <v>100336</v>
      </c>
      <c r="N37" s="213">
        <v>93496</v>
      </c>
      <c r="O37" s="213">
        <v>97174</v>
      </c>
      <c r="P37" s="89">
        <f t="shared" si="73"/>
        <v>97174</v>
      </c>
      <c r="Q37" s="213">
        <v>87646</v>
      </c>
      <c r="R37" s="213">
        <v>83252</v>
      </c>
      <c r="S37" s="213">
        <v>125409</v>
      </c>
      <c r="T37" s="213">
        <v>90127</v>
      </c>
      <c r="U37" s="89">
        <f t="shared" si="74"/>
        <v>90127</v>
      </c>
      <c r="V37" s="213">
        <v>91894</v>
      </c>
      <c r="W37" s="213">
        <v>110489</v>
      </c>
      <c r="X37" s="213">
        <v>118875</v>
      </c>
      <c r="Y37" s="213">
        <v>139681</v>
      </c>
      <c r="Z37" s="89">
        <f t="shared" si="75"/>
        <v>139681</v>
      </c>
      <c r="AA37" s="213">
        <v>151727</v>
      </c>
      <c r="AB37" s="213">
        <v>153833</v>
      </c>
      <c r="AC37" s="213">
        <v>174936</v>
      </c>
      <c r="AD37" s="213">
        <v>324945</v>
      </c>
      <c r="AE37" s="89">
        <f t="shared" si="76"/>
        <v>324945</v>
      </c>
      <c r="AF37" s="213">
        <v>361490</v>
      </c>
      <c r="AG37" s="213">
        <v>369451</v>
      </c>
      <c r="AH37" s="213">
        <v>381513</v>
      </c>
      <c r="AI37" s="213">
        <f>263151+138494</f>
        <v>401645</v>
      </c>
      <c r="AJ37" s="89">
        <f t="shared" si="98"/>
        <v>401645</v>
      </c>
      <c r="AK37" s="213">
        <f>245848+160705</f>
        <v>406553</v>
      </c>
      <c r="AL37" s="213">
        <f>151208+253101</f>
        <v>404309</v>
      </c>
      <c r="AM37" s="213">
        <f>262240+143294</f>
        <v>405534</v>
      </c>
      <c r="AN37" s="213">
        <f>314882+121136</f>
        <v>436018</v>
      </c>
      <c r="AO37" s="89">
        <f t="shared" ref="AO37:AO42" si="99">AN37</f>
        <v>436018</v>
      </c>
      <c r="AP37" s="213">
        <f>318339+136058</f>
        <v>454397</v>
      </c>
      <c r="AQ37" s="213">
        <f xml:space="preserve"> 280516+165718</f>
        <v>446234</v>
      </c>
      <c r="AR37" s="213">
        <f>112274+337145</f>
        <v>449419</v>
      </c>
      <c r="AS37" s="213">
        <f>226118+87305</f>
        <v>313423</v>
      </c>
      <c r="AT37" s="89">
        <f t="shared" ref="AT37:AT42" si="100">AS37</f>
        <v>313423</v>
      </c>
      <c r="AU37" s="213">
        <f>222211+72015</f>
        <v>294226</v>
      </c>
      <c r="AV37" s="213">
        <f>206996+59948</f>
        <v>266944</v>
      </c>
      <c r="AW37" s="213">
        <f>210724+53303</f>
        <v>264027</v>
      </c>
      <c r="AX37" s="213">
        <f>213365+49370</f>
        <v>262735</v>
      </c>
      <c r="AY37" s="89">
        <f t="shared" ref="AY37:AY42" si="101">AX37</f>
        <v>262735</v>
      </c>
      <c r="AZ37" s="213">
        <f>194540+41758</f>
        <v>236298</v>
      </c>
      <c r="BA37" s="213">
        <f>196559+37275</f>
        <v>233834</v>
      </c>
      <c r="BB37" s="213">
        <f>181671+34674</f>
        <v>216345</v>
      </c>
      <c r="BC37" s="213">
        <f>175516+36785</f>
        <v>212301</v>
      </c>
      <c r="BD37" s="89">
        <f t="shared" ref="BD37:BD42" si="102">BC37</f>
        <v>212301</v>
      </c>
      <c r="BE37" s="213">
        <f>153278+37621</f>
        <v>190899</v>
      </c>
      <c r="BF37" s="213">
        <f>137834+40839</f>
        <v>178673</v>
      </c>
      <c r="BG37" s="213">
        <f>138772+39182</f>
        <v>177954</v>
      </c>
      <c r="BH37" s="213">
        <f>127025+39720</f>
        <v>166745</v>
      </c>
      <c r="BI37" s="89">
        <f t="shared" ref="BI37:BI42" si="103">BH37</f>
        <v>166745</v>
      </c>
      <c r="BJ37" s="213">
        <f>123796+37938</f>
        <v>161734</v>
      </c>
      <c r="BK37" s="213">
        <f>114286+35844</f>
        <v>150130</v>
      </c>
      <c r="BL37" s="213">
        <f>112585+36963</f>
        <v>149548</v>
      </c>
      <c r="BM37" s="213">
        <f>110168+36930</f>
        <v>147098</v>
      </c>
      <c r="BN37" s="89">
        <f t="shared" ref="BN37:BN42" si="104">BM37</f>
        <v>147098</v>
      </c>
      <c r="BO37" s="213">
        <f>106403+32227</f>
        <v>138630</v>
      </c>
      <c r="BP37" s="213">
        <f>99614+23481</f>
        <v>123095</v>
      </c>
      <c r="BQ37" s="213">
        <f>89351+20687</f>
        <v>110038</v>
      </c>
      <c r="BR37" s="213">
        <f>85989+24621</f>
        <v>110610</v>
      </c>
      <c r="BS37" s="89">
        <f t="shared" ref="BS37:BS42" si="105">BR37</f>
        <v>110610</v>
      </c>
      <c r="BT37" s="213">
        <f>77231+25291</f>
        <v>102522</v>
      </c>
      <c r="BU37" s="213">
        <f>70612+27328</f>
        <v>97940</v>
      </c>
      <c r="BV37" s="213">
        <f>33789+57698</f>
        <v>91487</v>
      </c>
      <c r="BW37" s="213">
        <f>19974+61537</f>
        <v>81511</v>
      </c>
      <c r="BX37" s="89">
        <f t="shared" ref="BX37:BX42" si="106">BW37</f>
        <v>81511</v>
      </c>
      <c r="BY37" s="213">
        <f>30023+51788</f>
        <v>81811</v>
      </c>
      <c r="BZ37" s="213">
        <f>27830+52997</f>
        <v>80827</v>
      </c>
      <c r="CA37" s="213">
        <f>26559+52563</f>
        <v>79122</v>
      </c>
      <c r="CB37" s="213">
        <f>30140+56275</f>
        <v>86415</v>
      </c>
      <c r="CC37" s="89">
        <f t="shared" ref="CC37:CC42" si="107">CB37</f>
        <v>86415</v>
      </c>
      <c r="CD37" s="213">
        <f>30196+54530</f>
        <v>84726</v>
      </c>
      <c r="CE37" s="213">
        <f>29162+60964</f>
        <v>90126</v>
      </c>
      <c r="CF37" s="304">
        <f>28360+319665</f>
        <v>348025</v>
      </c>
      <c r="CG37" s="213">
        <f>28801+314127</f>
        <v>342928</v>
      </c>
      <c r="CH37" s="89">
        <f t="shared" si="79"/>
        <v>342928</v>
      </c>
      <c r="CI37" s="213">
        <f>30327+314562</f>
        <v>344889</v>
      </c>
      <c r="CJ37" s="213">
        <f>32736+310707</f>
        <v>343443</v>
      </c>
      <c r="CK37" s="213">
        <f>35971+312665</f>
        <v>348636</v>
      </c>
      <c r="CL37" s="213">
        <f>36955+309068</f>
        <v>346023</v>
      </c>
      <c r="CM37" s="89">
        <f t="shared" si="80"/>
        <v>346023</v>
      </c>
      <c r="CN37" s="213">
        <f>39342+308695</f>
        <v>348037</v>
      </c>
      <c r="CO37" s="213">
        <f>41592+311755</f>
        <v>353347</v>
      </c>
      <c r="CP37" s="213">
        <f>42774+312152</f>
        <v>354926</v>
      </c>
      <c r="CQ37" s="213">
        <f>46558+317663</f>
        <v>364221</v>
      </c>
      <c r="CR37" s="89">
        <f t="shared" si="81"/>
        <v>364221</v>
      </c>
      <c r="CS37" s="213">
        <f>45305+316566</f>
        <v>361871</v>
      </c>
      <c r="CT37" s="213">
        <f>49506+324337</f>
        <v>373843</v>
      </c>
      <c r="CU37" s="213">
        <f>55003+328838</f>
        <v>383841</v>
      </c>
      <c r="CV37" s="213">
        <f>62692+332738</f>
        <v>395430</v>
      </c>
      <c r="CW37" s="89">
        <f t="shared" si="96"/>
        <v>395430</v>
      </c>
      <c r="CX37" s="213">
        <f>63350+338218</f>
        <v>401568</v>
      </c>
      <c r="CY37" s="213">
        <f>68377+347451</f>
        <v>415828</v>
      </c>
      <c r="CZ37" s="213">
        <f>74490+354351</f>
        <v>428841</v>
      </c>
      <c r="DA37" s="213">
        <f>79613+366517</f>
        <v>446130</v>
      </c>
      <c r="DB37" s="89">
        <f t="shared" si="97"/>
        <v>446130</v>
      </c>
      <c r="DC37" s="213">
        <f>78563+372041</f>
        <v>450604</v>
      </c>
      <c r="DD37" s="213">
        <f>87102+377142</f>
        <v>464244</v>
      </c>
      <c r="DE37" s="213">
        <f>86612+381414</f>
        <v>468026</v>
      </c>
      <c r="DF37" s="213">
        <f>98815+329664</f>
        <v>428479</v>
      </c>
      <c r="DG37" s="89">
        <f t="shared" si="82"/>
        <v>428479</v>
      </c>
      <c r="DH37" s="213">
        <f>106810+331260</f>
        <v>438070</v>
      </c>
      <c r="DI37" s="213">
        <f>111624+333019</f>
        <v>444643</v>
      </c>
      <c r="DJ37" s="149">
        <f>DI37-'Income Statement'!DJ41</f>
        <v>455051.82050328195</v>
      </c>
      <c r="DK37" s="149">
        <f>DJ37-'Income Statement'!DK41</f>
        <v>459993.58384170948</v>
      </c>
      <c r="DL37" s="89">
        <f t="shared" si="84"/>
        <v>459993.58384170948</v>
      </c>
      <c r="DM37" s="149">
        <f>DL37-'Income Statement'!DM41</f>
        <v>461934.0899149414</v>
      </c>
      <c r="DN37" s="149">
        <f>DM37-'Income Statement'!DN41</f>
        <v>473637.46382795443</v>
      </c>
      <c r="DO37" s="149">
        <f>DN37-'Income Statement'!DO41</f>
        <v>485481.58529027546</v>
      </c>
      <c r="DP37" s="149">
        <f>DO37-'Income Statement'!DP41</f>
        <v>494143.14123719296</v>
      </c>
      <c r="DQ37" s="89">
        <f t="shared" si="85"/>
        <v>494143.14123719296</v>
      </c>
      <c r="DR37" s="149">
        <f>DQ37-'Income Statement'!DR41</f>
        <v>505062.65062625601</v>
      </c>
      <c r="DS37" s="149">
        <f>DR37-'Income Statement'!DS41</f>
        <v>513209.08471790166</v>
      </c>
      <c r="DT37" s="149">
        <f>DS37-'Income Statement'!DT41</f>
        <v>519637.30501051614</v>
      </c>
      <c r="DU37" s="149">
        <f>DT37-'Income Statement'!DU41</f>
        <v>528240.28252906527</v>
      </c>
      <c r="DV37" s="89">
        <f t="shared" si="86"/>
        <v>528240.28252906527</v>
      </c>
      <c r="DW37" s="149">
        <f>DV37-'Income Statement'!DW41</f>
        <v>532574.59805349703</v>
      </c>
      <c r="DX37" s="149">
        <f>DW37-'Income Statement'!DX41</f>
        <v>536892.67252411298</v>
      </c>
      <c r="DY37" s="149">
        <f>DX37-'Income Statement'!DY41</f>
        <v>536956.39120387775</v>
      </c>
      <c r="DZ37" s="149">
        <f>DY37-'Income Statement'!DZ41</f>
        <v>536456.85596458381</v>
      </c>
      <c r="EA37" s="89">
        <f t="shared" si="87"/>
        <v>536456.85596458381</v>
      </c>
      <c r="EB37" s="149">
        <f>EA37-'Income Statement'!EB41</f>
        <v>534948.14948373521</v>
      </c>
      <c r="EC37" s="149">
        <f>EB37-'Income Statement'!EC41</f>
        <v>536092.38076224166</v>
      </c>
      <c r="ED37" s="149">
        <f>EC37-'Income Statement'!ED41</f>
        <v>537041.90688664711</v>
      </c>
      <c r="EE37" s="149">
        <f>ED37-'Income Statement'!EE41</f>
        <v>536225.69774921262</v>
      </c>
      <c r="EF37" s="89">
        <f t="shared" si="88"/>
        <v>536225.69774921262</v>
      </c>
    </row>
    <row r="38" spans="1:136">
      <c r="A38" s="71" t="s">
        <v>26</v>
      </c>
      <c r="B38" s="213">
        <v>7872</v>
      </c>
      <c r="C38" s="213">
        <v>871</v>
      </c>
      <c r="D38" s="213">
        <v>908</v>
      </c>
      <c r="E38" s="213">
        <v>0</v>
      </c>
      <c r="F38" s="89">
        <f t="shared" si="65"/>
        <v>0</v>
      </c>
      <c r="G38" s="213">
        <f>AVERAGE(E38,H38)</f>
        <v>17710</v>
      </c>
      <c r="H38" s="213">
        <v>35420</v>
      </c>
      <c r="I38" s="213">
        <v>3482</v>
      </c>
      <c r="J38" s="213">
        <v>27185</v>
      </c>
      <c r="K38" s="89">
        <f t="shared" si="66"/>
        <v>27185</v>
      </c>
      <c r="L38" s="213">
        <v>27185</v>
      </c>
      <c r="M38" s="213">
        <v>0</v>
      </c>
      <c r="N38" s="213">
        <v>0</v>
      </c>
      <c r="O38" s="213">
        <v>30183</v>
      </c>
      <c r="P38" s="89">
        <f t="shared" si="73"/>
        <v>30183</v>
      </c>
      <c r="Q38" s="213">
        <v>30183</v>
      </c>
      <c r="R38" s="213">
        <v>0</v>
      </c>
      <c r="S38" s="213">
        <v>0</v>
      </c>
      <c r="T38" s="213">
        <v>14574</v>
      </c>
      <c r="U38" s="89">
        <f t="shared" si="74"/>
        <v>14574</v>
      </c>
      <c r="V38" s="213">
        <v>14574</v>
      </c>
      <c r="W38" s="213">
        <v>0</v>
      </c>
      <c r="X38" s="213">
        <v>0</v>
      </c>
      <c r="Y38" s="213">
        <v>65956</v>
      </c>
      <c r="Z38" s="89">
        <f t="shared" si="75"/>
        <v>65956</v>
      </c>
      <c r="AA38" s="213">
        <v>65956</v>
      </c>
      <c r="AB38" s="213">
        <v>0</v>
      </c>
      <c r="AC38" s="213">
        <v>0</v>
      </c>
      <c r="AD38" s="213">
        <v>198907</v>
      </c>
      <c r="AE38" s="89">
        <f t="shared" si="76"/>
        <v>198907</v>
      </c>
      <c r="AF38" s="213">
        <v>198907</v>
      </c>
      <c r="AG38" s="213">
        <v>0</v>
      </c>
      <c r="AH38" s="213">
        <v>0</v>
      </c>
      <c r="AI38" s="213">
        <v>142559</v>
      </c>
      <c r="AJ38" s="89">
        <f t="shared" si="98"/>
        <v>142559</v>
      </c>
      <c r="AK38" s="213">
        <v>142559</v>
      </c>
      <c r="AL38" s="213">
        <v>0</v>
      </c>
      <c r="AM38" s="213">
        <v>0</v>
      </c>
      <c r="AN38" s="213">
        <v>118315</v>
      </c>
      <c r="AO38" s="89">
        <f t="shared" si="99"/>
        <v>118315</v>
      </c>
      <c r="AP38" s="213">
        <v>0</v>
      </c>
      <c r="AQ38" s="213">
        <v>0</v>
      </c>
      <c r="AR38" s="213">
        <v>32</v>
      </c>
      <c r="AS38" s="213">
        <v>156818</v>
      </c>
      <c r="AT38" s="89">
        <f t="shared" si="100"/>
        <v>156818</v>
      </c>
      <c r="AU38" s="213">
        <v>156818</v>
      </c>
      <c r="AV38" s="213">
        <v>539</v>
      </c>
      <c r="AW38" s="213">
        <v>108</v>
      </c>
      <c r="AX38" s="213">
        <f>170826</f>
        <v>170826</v>
      </c>
      <c r="AY38" s="89">
        <f t="shared" si="101"/>
        <v>170826</v>
      </c>
      <c r="AZ38" s="213">
        <f>170826</f>
        <v>170826</v>
      </c>
      <c r="BA38" s="213">
        <v>156</v>
      </c>
      <c r="BB38" s="213">
        <v>0</v>
      </c>
      <c r="BC38" s="213">
        <v>157284</v>
      </c>
      <c r="BD38" s="89">
        <f t="shared" si="102"/>
        <v>157284</v>
      </c>
      <c r="BE38" s="213">
        <v>157284</v>
      </c>
      <c r="BF38" s="213">
        <v>0</v>
      </c>
      <c r="BG38" s="213">
        <v>0</v>
      </c>
      <c r="BH38" s="213">
        <v>106657</v>
      </c>
      <c r="BI38" s="89">
        <f t="shared" si="103"/>
        <v>106657</v>
      </c>
      <c r="BJ38" s="213">
        <v>107679</v>
      </c>
      <c r="BK38" s="213">
        <v>0</v>
      </c>
      <c r="BL38" s="213">
        <v>0</v>
      </c>
      <c r="BM38" s="304">
        <v>35946</v>
      </c>
      <c r="BN38" s="89">
        <f t="shared" si="104"/>
        <v>35946</v>
      </c>
      <c r="BO38" s="304">
        <v>35946</v>
      </c>
      <c r="BP38" s="213">
        <v>0</v>
      </c>
      <c r="BQ38" s="213">
        <v>0</v>
      </c>
      <c r="BR38" s="213">
        <v>0</v>
      </c>
      <c r="BS38" s="89">
        <f t="shared" si="105"/>
        <v>0</v>
      </c>
      <c r="BT38" s="213">
        <v>0</v>
      </c>
      <c r="BU38" s="304">
        <v>200000</v>
      </c>
      <c r="BV38" s="213">
        <v>0</v>
      </c>
      <c r="BW38" s="213">
        <v>0</v>
      </c>
      <c r="BX38" s="89">
        <f t="shared" si="106"/>
        <v>0</v>
      </c>
      <c r="BY38" s="213">
        <v>0</v>
      </c>
      <c r="BZ38" s="213">
        <v>0</v>
      </c>
      <c r="CA38" s="213">
        <v>0</v>
      </c>
      <c r="CB38" s="213">
        <v>0</v>
      </c>
      <c r="CC38" s="89">
        <f t="shared" si="107"/>
        <v>0</v>
      </c>
      <c r="CD38" s="213">
        <v>0</v>
      </c>
      <c r="CE38" s="213">
        <v>0</v>
      </c>
      <c r="CF38" s="213">
        <v>0</v>
      </c>
      <c r="CG38" s="213">
        <v>418062</v>
      </c>
      <c r="CH38" s="89">
        <f t="shared" si="79"/>
        <v>418062</v>
      </c>
      <c r="CI38" s="213">
        <v>418062</v>
      </c>
      <c r="CJ38" s="213">
        <v>0</v>
      </c>
      <c r="CK38" s="213">
        <v>0</v>
      </c>
      <c r="CL38" s="213">
        <v>217160</v>
      </c>
      <c r="CM38" s="89">
        <f t="shared" si="80"/>
        <v>217160</v>
      </c>
      <c r="CN38" s="213">
        <v>217160</v>
      </c>
      <c r="CO38" s="213">
        <v>217160</v>
      </c>
      <c r="CP38" s="213">
        <v>217160</v>
      </c>
      <c r="CQ38" s="213">
        <v>192126</v>
      </c>
      <c r="CR38" s="89">
        <f t="shared" si="81"/>
        <v>192126</v>
      </c>
      <c r="CS38" s="213">
        <v>192109</v>
      </c>
      <c r="CT38" s="213">
        <v>192109</v>
      </c>
      <c r="CU38" s="213">
        <v>0</v>
      </c>
      <c r="CV38" s="213">
        <v>223746</v>
      </c>
      <c r="CW38" s="89">
        <f t="shared" si="96"/>
        <v>223746</v>
      </c>
      <c r="CX38" s="213">
        <v>223746</v>
      </c>
      <c r="CY38" s="213">
        <v>223746</v>
      </c>
      <c r="CZ38" s="213">
        <v>223746</v>
      </c>
      <c r="DA38" s="213">
        <v>391637</v>
      </c>
      <c r="DB38" s="89">
        <f t="shared" si="97"/>
        <v>391637</v>
      </c>
      <c r="DC38" s="213">
        <v>391637</v>
      </c>
      <c r="DD38" s="213">
        <v>391637</v>
      </c>
      <c r="DE38" s="213">
        <v>391637</v>
      </c>
      <c r="DF38" s="213">
        <v>0</v>
      </c>
      <c r="DG38" s="89">
        <f t="shared" si="82"/>
        <v>0</v>
      </c>
      <c r="DH38" s="213">
        <v>0</v>
      </c>
      <c r="DI38" s="213">
        <v>0</v>
      </c>
      <c r="DJ38" s="213">
        <v>0</v>
      </c>
      <c r="DK38" s="160">
        <v>0</v>
      </c>
      <c r="DL38" s="89">
        <f t="shared" si="84"/>
        <v>0</v>
      </c>
      <c r="DM38" s="213">
        <f>DK38</f>
        <v>0</v>
      </c>
      <c r="DN38" s="213">
        <v>0</v>
      </c>
      <c r="DO38" s="213">
        <v>0</v>
      </c>
      <c r="DP38" s="160">
        <f ca="1">'Income Statement'!DQ49</f>
        <v>945035.06078541861</v>
      </c>
      <c r="DQ38" s="89">
        <f t="shared" ca="1" si="85"/>
        <v>945035.06078541861</v>
      </c>
      <c r="DR38" s="213">
        <f ca="1">DP38</f>
        <v>945035.06078541861</v>
      </c>
      <c r="DS38" s="213">
        <v>0</v>
      </c>
      <c r="DT38" s="213">
        <v>0</v>
      </c>
      <c r="DU38" s="160">
        <f ca="1">'Income Statement'!DV49</f>
        <v>1774188.8328038724</v>
      </c>
      <c r="DV38" s="89">
        <f t="shared" ca="1" si="86"/>
        <v>1774188.8328038724</v>
      </c>
      <c r="DW38" s="213">
        <f ca="1">DU38</f>
        <v>1774188.8328038724</v>
      </c>
      <c r="DX38" s="213">
        <v>0</v>
      </c>
      <c r="DY38" s="213">
        <v>0</v>
      </c>
      <c r="DZ38" s="160">
        <f ca="1">'Income Statement'!EA49</f>
        <v>1888662.6908713558</v>
      </c>
      <c r="EA38" s="89">
        <f t="shared" ca="1" si="87"/>
        <v>1888662.6908713558</v>
      </c>
      <c r="EB38" s="213">
        <f ca="1">DZ38</f>
        <v>1888662.6908713558</v>
      </c>
      <c r="EC38" s="213">
        <v>0</v>
      </c>
      <c r="ED38" s="213">
        <v>0</v>
      </c>
      <c r="EE38" s="160">
        <f ca="1">'Income Statement'!EF49</f>
        <v>1978699.4648239035</v>
      </c>
      <c r="EF38" s="89">
        <f t="shared" ca="1" si="88"/>
        <v>1978699.4648239035</v>
      </c>
    </row>
    <row r="39" spans="1:136">
      <c r="A39" s="71" t="s">
        <v>27</v>
      </c>
      <c r="B39" s="160">
        <v>24956</v>
      </c>
      <c r="C39" s="160">
        <v>27037</v>
      </c>
      <c r="D39" s="160">
        <v>28487</v>
      </c>
      <c r="E39" s="160">
        <v>39198</v>
      </c>
      <c r="F39" s="89">
        <f t="shared" si="65"/>
        <v>39198</v>
      </c>
      <c r="G39" s="160">
        <v>0</v>
      </c>
      <c r="H39" s="160">
        <v>0</v>
      </c>
      <c r="I39" s="160">
        <v>0</v>
      </c>
      <c r="J39" s="160">
        <v>42384</v>
      </c>
      <c r="K39" s="89">
        <f t="shared" si="66"/>
        <v>42384</v>
      </c>
      <c r="L39" s="160">
        <v>42658</v>
      </c>
      <c r="M39" s="160">
        <v>43357</v>
      </c>
      <c r="N39" s="160">
        <v>26417</v>
      </c>
      <c r="O39" s="160">
        <v>26768</v>
      </c>
      <c r="P39" s="89">
        <f t="shared" si="73"/>
        <v>26768</v>
      </c>
      <c r="Q39" s="160">
        <v>24761</v>
      </c>
      <c r="R39" s="160">
        <v>22892</v>
      </c>
      <c r="S39" s="160">
        <v>23628</v>
      </c>
      <c r="T39" s="160">
        <v>0</v>
      </c>
      <c r="U39" s="89">
        <f t="shared" si="74"/>
        <v>0</v>
      </c>
      <c r="V39" s="160">
        <v>0</v>
      </c>
      <c r="W39" s="160">
        <v>0</v>
      </c>
      <c r="X39" s="160">
        <v>0</v>
      </c>
      <c r="Y39" s="160">
        <v>0</v>
      </c>
      <c r="Z39" s="89">
        <f t="shared" si="75"/>
        <v>0</v>
      </c>
      <c r="AA39" s="160">
        <v>0</v>
      </c>
      <c r="AB39" s="160">
        <f>AA39</f>
        <v>0</v>
      </c>
      <c r="AC39" s="160">
        <v>0</v>
      </c>
      <c r="AD39" s="160">
        <f>AC39</f>
        <v>0</v>
      </c>
      <c r="AE39" s="89">
        <f t="shared" si="76"/>
        <v>0</v>
      </c>
      <c r="AF39" s="160">
        <f>AE39</f>
        <v>0</v>
      </c>
      <c r="AG39" s="160">
        <f>AF39</f>
        <v>0</v>
      </c>
      <c r="AH39" s="160">
        <f>AG39</f>
        <v>0</v>
      </c>
      <c r="AI39" s="160">
        <f>AH39</f>
        <v>0</v>
      </c>
      <c r="AJ39" s="89">
        <f t="shared" si="98"/>
        <v>0</v>
      </c>
      <c r="AK39" s="160">
        <f>AJ39</f>
        <v>0</v>
      </c>
      <c r="AL39" s="160">
        <f>AK39</f>
        <v>0</v>
      </c>
      <c r="AM39" s="160">
        <f>AL39</f>
        <v>0</v>
      </c>
      <c r="AN39" s="160">
        <f>AM39</f>
        <v>0</v>
      </c>
      <c r="AO39" s="89">
        <f t="shared" si="99"/>
        <v>0</v>
      </c>
      <c r="AP39" s="160">
        <f>AO39</f>
        <v>0</v>
      </c>
      <c r="AQ39" s="160">
        <f>AP39</f>
        <v>0</v>
      </c>
      <c r="AR39" s="160">
        <f>AQ39</f>
        <v>0</v>
      </c>
      <c r="AS39" s="160">
        <f>105597+12224</f>
        <v>117821</v>
      </c>
      <c r="AT39" s="89">
        <f t="shared" si="100"/>
        <v>117821</v>
      </c>
      <c r="AU39" s="213">
        <f>AVERAGE(AT39,AV39)</f>
        <v>123748</v>
      </c>
      <c r="AV39" s="330">
        <f>115648+14027</f>
        <v>129675</v>
      </c>
      <c r="AW39" s="160">
        <f>127491+21964</f>
        <v>149455</v>
      </c>
      <c r="AX39" s="160">
        <f>116270+25012</f>
        <v>141282</v>
      </c>
      <c r="AY39" s="89">
        <f t="shared" si="101"/>
        <v>141282</v>
      </c>
      <c r="AZ39" s="160">
        <f>118805+34880</f>
        <v>153685</v>
      </c>
      <c r="BA39" s="160">
        <f>128463+48309</f>
        <v>176772</v>
      </c>
      <c r="BB39" s="160">
        <f>143724+70767</f>
        <v>214491</v>
      </c>
      <c r="BC39" s="160">
        <f>138626+104328</f>
        <v>242954</v>
      </c>
      <c r="BD39" s="83">
        <f t="shared" si="102"/>
        <v>242954</v>
      </c>
      <c r="BE39" s="160">
        <f>142991+104522</f>
        <v>247513</v>
      </c>
      <c r="BF39" s="160">
        <f>148739+105169</f>
        <v>253908</v>
      </c>
      <c r="BG39" s="160">
        <f>137134+105169</f>
        <v>242303</v>
      </c>
      <c r="BH39" s="160">
        <f>138302+102632</f>
        <v>240934</v>
      </c>
      <c r="BI39" s="83">
        <f t="shared" si="103"/>
        <v>240934</v>
      </c>
      <c r="BJ39" s="160">
        <f>148079+119238</f>
        <v>267317</v>
      </c>
      <c r="BK39" s="160">
        <f>138083+121881</f>
        <v>259964</v>
      </c>
      <c r="BL39" s="160">
        <f>135409+112983</f>
        <v>248392</v>
      </c>
      <c r="BM39" s="160">
        <f>140333+107692</f>
        <v>248025</v>
      </c>
      <c r="BN39" s="83">
        <f t="shared" si="104"/>
        <v>248025</v>
      </c>
      <c r="BO39" s="160">
        <f>133381+118430</f>
        <v>251811</v>
      </c>
      <c r="BP39" s="160">
        <f>126366+114380</f>
        <v>240746</v>
      </c>
      <c r="BQ39" s="160">
        <f>114314+98410</f>
        <v>212724</v>
      </c>
      <c r="BR39" s="160">
        <f>108975+88550</f>
        <v>197525</v>
      </c>
      <c r="BS39" s="83">
        <f t="shared" si="105"/>
        <v>197525</v>
      </c>
      <c r="BT39" s="160">
        <f>98983+70985</f>
        <v>169968</v>
      </c>
      <c r="BU39" s="160">
        <f>91190+77948</f>
        <v>169138</v>
      </c>
      <c r="BV39" s="160">
        <f>92890+84548</f>
        <v>177438</v>
      </c>
      <c r="BW39" s="330">
        <f>176732+92464</f>
        <v>269196</v>
      </c>
      <c r="BX39" s="83">
        <f t="shared" si="106"/>
        <v>269196</v>
      </c>
      <c r="BY39" s="160">
        <f>146891+92961</f>
        <v>239852</v>
      </c>
      <c r="BZ39" s="160">
        <f>118985+93027</f>
        <v>212012</v>
      </c>
      <c r="CA39" s="160">
        <f>106138+92914</f>
        <v>199052</v>
      </c>
      <c r="CB39" s="160">
        <f>105800+69756</f>
        <v>175556</v>
      </c>
      <c r="CC39" s="83">
        <f t="shared" si="107"/>
        <v>175556</v>
      </c>
      <c r="CD39" s="160">
        <f>102115+90929</f>
        <v>193044</v>
      </c>
      <c r="CE39" s="160">
        <f>56162+41063+101295</f>
        <v>198520</v>
      </c>
      <c r="CF39" s="160">
        <f>80563+95651</f>
        <v>176214</v>
      </c>
      <c r="CG39" s="160">
        <f>77450+94002</f>
        <v>171452</v>
      </c>
      <c r="CH39" s="83">
        <f t="shared" si="79"/>
        <v>171452</v>
      </c>
      <c r="CI39" s="160">
        <f>81176+106037</f>
        <v>187213</v>
      </c>
      <c r="CJ39" s="160">
        <f>97386+104757</f>
        <v>202143</v>
      </c>
      <c r="CK39" s="160">
        <f>98578+121128</f>
        <v>219706</v>
      </c>
      <c r="CL39" s="160">
        <f>100392+120561</f>
        <v>220953</v>
      </c>
      <c r="CM39" s="83">
        <f t="shared" si="80"/>
        <v>220953</v>
      </c>
      <c r="CN39" s="160">
        <f>105626+142730</f>
        <v>248356</v>
      </c>
      <c r="CO39" s="160">
        <f>115524+149669</f>
        <v>265193</v>
      </c>
      <c r="CP39" s="160">
        <f>124915+131114</f>
        <v>256029</v>
      </c>
      <c r="CQ39" s="160">
        <f>111906+136508</f>
        <v>248414</v>
      </c>
      <c r="CR39" s="83">
        <f t="shared" si="81"/>
        <v>248414</v>
      </c>
      <c r="CS39" s="160">
        <f>115454+144292</f>
        <v>259746</v>
      </c>
      <c r="CT39" s="160">
        <f>124859+158738</f>
        <v>283597</v>
      </c>
      <c r="CU39" s="160">
        <f>129562+141745</f>
        <v>271307</v>
      </c>
      <c r="CV39" s="160">
        <f>146827+121952</f>
        <v>268779</v>
      </c>
      <c r="CW39" s="83">
        <f t="shared" si="96"/>
        <v>268779</v>
      </c>
      <c r="CX39" s="160">
        <f>158361+133997</f>
        <v>292358</v>
      </c>
      <c r="CY39" s="160">
        <f>187912+136146</f>
        <v>324058</v>
      </c>
      <c r="CZ39" s="160">
        <f>182078+150809</f>
        <v>332887</v>
      </c>
      <c r="DA39" s="160">
        <f>205347+199057</f>
        <v>404404</v>
      </c>
      <c r="DB39" s="83">
        <f t="shared" si="97"/>
        <v>404404</v>
      </c>
      <c r="DC39" s="160">
        <f>209311+200600</f>
        <v>409911</v>
      </c>
      <c r="DD39" s="160">
        <f>213668+181676</f>
        <v>395344</v>
      </c>
      <c r="DE39" s="160">
        <f>221766+165433</f>
        <v>387199</v>
      </c>
      <c r="DF39" s="160">
        <f>234839+154870</f>
        <v>389709</v>
      </c>
      <c r="DG39" s="83">
        <f t="shared" si="82"/>
        <v>389709</v>
      </c>
      <c r="DH39" s="160">
        <f>244843+146546</f>
        <v>391389</v>
      </c>
      <c r="DI39" s="160">
        <f>252241+141669</f>
        <v>393910</v>
      </c>
      <c r="DJ39" s="160">
        <f t="shared" ref="DJ39:DK41" si="108">DI39</f>
        <v>393910</v>
      </c>
      <c r="DK39" s="160">
        <f t="shared" si="108"/>
        <v>393910</v>
      </c>
      <c r="DL39" s="83">
        <f t="shared" si="84"/>
        <v>393910</v>
      </c>
      <c r="DM39" s="160">
        <f t="shared" ref="DM39:DP41" si="109">DL39</f>
        <v>393910</v>
      </c>
      <c r="DN39" s="160">
        <f t="shared" si="109"/>
        <v>393910</v>
      </c>
      <c r="DO39" s="160">
        <f t="shared" si="109"/>
        <v>393910</v>
      </c>
      <c r="DP39" s="160">
        <f t="shared" si="109"/>
        <v>393910</v>
      </c>
      <c r="DQ39" s="83">
        <f t="shared" si="85"/>
        <v>393910</v>
      </c>
      <c r="DR39" s="160">
        <f t="shared" ref="DR39:DU41" si="110">DQ39</f>
        <v>393910</v>
      </c>
      <c r="DS39" s="160">
        <f t="shared" si="110"/>
        <v>393910</v>
      </c>
      <c r="DT39" s="160">
        <f t="shared" si="110"/>
        <v>393910</v>
      </c>
      <c r="DU39" s="160">
        <f t="shared" si="110"/>
        <v>393910</v>
      </c>
      <c r="DV39" s="83">
        <f t="shared" si="86"/>
        <v>393910</v>
      </c>
      <c r="DW39" s="160">
        <f t="shared" ref="DW39:DZ41" si="111">DV39</f>
        <v>393910</v>
      </c>
      <c r="DX39" s="160">
        <f t="shared" si="111"/>
        <v>393910</v>
      </c>
      <c r="DY39" s="160">
        <f t="shared" si="111"/>
        <v>393910</v>
      </c>
      <c r="DZ39" s="160">
        <f t="shared" si="111"/>
        <v>393910</v>
      </c>
      <c r="EA39" s="83">
        <f t="shared" si="87"/>
        <v>393910</v>
      </c>
      <c r="EB39" s="160">
        <f t="shared" ref="EB39:EE41" si="112">EA39</f>
        <v>393910</v>
      </c>
      <c r="EC39" s="160">
        <f t="shared" si="112"/>
        <v>393910</v>
      </c>
      <c r="ED39" s="160">
        <f t="shared" si="112"/>
        <v>393910</v>
      </c>
      <c r="EE39" s="160">
        <f t="shared" si="112"/>
        <v>393910</v>
      </c>
      <c r="EF39" s="83">
        <f t="shared" si="88"/>
        <v>393910</v>
      </c>
    </row>
    <row r="40" spans="1:136">
      <c r="A40" s="71" t="s">
        <v>119</v>
      </c>
      <c r="B40" s="160">
        <f>(9892+23678)+4297</f>
        <v>37867</v>
      </c>
      <c r="C40" s="160">
        <f>(13063+8170)+3796</f>
        <v>25029</v>
      </c>
      <c r="D40" s="213">
        <f>(11818+6893)+3682</f>
        <v>22393</v>
      </c>
      <c r="E40" s="213">
        <v>120677</v>
      </c>
      <c r="F40" s="83">
        <f t="shared" si="65"/>
        <v>120677</v>
      </c>
      <c r="G40" s="160">
        <f>(AVERAGE(E40,H40))+43429</f>
        <v>152021.5</v>
      </c>
      <c r="H40" s="160">
        <f>(19258+34115)+43135</f>
        <v>96508</v>
      </c>
      <c r="I40" s="213">
        <f>(29740+15293)+44652</f>
        <v>89685</v>
      </c>
      <c r="J40" s="213">
        <f>(34933+21125)+3717</f>
        <v>59775</v>
      </c>
      <c r="K40" s="83">
        <f t="shared" si="66"/>
        <v>59775</v>
      </c>
      <c r="L40" s="160">
        <f>(45743+27759)+277</f>
        <v>73779</v>
      </c>
      <c r="M40" s="160">
        <f>(39846+30306)+2926</f>
        <v>73078</v>
      </c>
      <c r="N40" s="213">
        <f>(65318+39119)+277</f>
        <v>104714</v>
      </c>
      <c r="O40" s="213">
        <f>(83036+21537)+40237</f>
        <v>144810</v>
      </c>
      <c r="P40" s="83">
        <f t="shared" si="73"/>
        <v>144810</v>
      </c>
      <c r="Q40" s="160">
        <f>(63761+22004)+3643</f>
        <v>89408</v>
      </c>
      <c r="R40" s="160">
        <f>(71877+25424)+11420</f>
        <v>108721</v>
      </c>
      <c r="S40" s="213">
        <f>(73950+33258)+19215</f>
        <v>126423</v>
      </c>
      <c r="T40" s="213">
        <f>(80537+24290)+92649</f>
        <v>197476</v>
      </c>
      <c r="U40" s="83">
        <f t="shared" si="74"/>
        <v>197476</v>
      </c>
      <c r="V40" s="160">
        <f>(66283+39161)+68543</f>
        <v>173987</v>
      </c>
      <c r="W40" s="160">
        <f>(56827+65318)+27895</f>
        <v>150040</v>
      </c>
      <c r="X40" s="213">
        <f>(79710+52549)+5935</f>
        <v>138194</v>
      </c>
      <c r="Y40" s="213">
        <f>(255166+67496)+22610</f>
        <v>345272</v>
      </c>
      <c r="Z40" s="83">
        <f t="shared" si="75"/>
        <v>345272</v>
      </c>
      <c r="AA40" s="160">
        <f>(73178)+39763</f>
        <v>112941</v>
      </c>
      <c r="AB40" s="160">
        <f>(27595)+40354</f>
        <v>67949</v>
      </c>
      <c r="AC40" s="213">
        <v>98299</v>
      </c>
      <c r="AD40" s="213">
        <f>(101216)+58476</f>
        <v>159692</v>
      </c>
      <c r="AE40" s="83">
        <f t="shared" si="76"/>
        <v>159692</v>
      </c>
      <c r="AF40" s="160">
        <f>(164880)+57669</f>
        <v>222549</v>
      </c>
      <c r="AG40" s="160">
        <f>(182825)+57906</f>
        <v>240731</v>
      </c>
      <c r="AH40" s="213">
        <f>(213641)+47890</f>
        <v>261531</v>
      </c>
      <c r="AI40" s="213">
        <v>109241</v>
      </c>
      <c r="AJ40" s="83">
        <f t="shared" si="98"/>
        <v>109241</v>
      </c>
      <c r="AK40" s="160">
        <f>4191677+3523552-SUM(AK31:AK39)-AK28</f>
        <v>424835</v>
      </c>
      <c r="AL40" s="160">
        <f>3574775+4512211-AL28-SUM(AL31:AL39)</f>
        <v>150092</v>
      </c>
      <c r="AM40" s="160">
        <f>4634495+4001824-SUM(AM29:AM39)</f>
        <v>362493</v>
      </c>
      <c r="AN40" s="160">
        <f>13644677-SUM(AN29:AN39)-AN42-AN43</f>
        <v>422939</v>
      </c>
      <c r="AO40" s="83">
        <f t="shared" si="99"/>
        <v>422939</v>
      </c>
      <c r="AP40" s="160">
        <f>4281039+4226175-SUM(AP29:AP39)</f>
        <v>388122</v>
      </c>
      <c r="AQ40" s="160">
        <f>4409717+4023581-SUM(AQ29:AQ39)</f>
        <v>460515</v>
      </c>
      <c r="AR40" s="160">
        <f>13616873-AR42-AR43-SUM(AR29:AR39)</f>
        <v>423213</v>
      </c>
      <c r="AS40" s="160">
        <f>13607903-SUM(AS29:AS39)-AS42-AS43</f>
        <v>723663</v>
      </c>
      <c r="AT40" s="83">
        <f t="shared" si="100"/>
        <v>723663</v>
      </c>
      <c r="AU40" s="160">
        <f>13898293-SUM(AU29:AU39)-AU42-AU43</f>
        <v>544830</v>
      </c>
      <c r="AV40" s="160">
        <f>13620424-SUM(AV29:AV39)-AV42-AV43</f>
        <v>709313</v>
      </c>
      <c r="AW40" s="160">
        <f>14039473-SUM(AW29:AW39)-AW42-AW43</f>
        <v>700696</v>
      </c>
      <c r="AX40" s="160">
        <f>14387099-SUM(AX29:AX39)-AX42-AX43</f>
        <v>673420</v>
      </c>
      <c r="AY40" s="83">
        <f t="shared" si="101"/>
        <v>673420</v>
      </c>
      <c r="AZ40" s="160">
        <f>14416449-SUM(AZ29:AZ39)-AZ42-AZ43</f>
        <v>627728</v>
      </c>
      <c r="BA40" s="160">
        <f>13896935-SUM(BA29:BA39)-BA42-BA43</f>
        <v>648673</v>
      </c>
      <c r="BB40" s="160">
        <f>13965433-SUM(BB29:BB39)-BB42-BB43</f>
        <v>527684</v>
      </c>
      <c r="BC40" s="160">
        <f>13420612-SUM(BC29:BC39)-BC42-BC43</f>
        <v>287167</v>
      </c>
      <c r="BD40" s="83">
        <f t="shared" si="102"/>
        <v>287167</v>
      </c>
      <c r="BE40" s="160">
        <f>13326248-SUM(BE29:BE39)-BE42-BE43</f>
        <v>289223</v>
      </c>
      <c r="BF40" s="160">
        <f>13314373-SUM(BF29:BF39)-BF42-BF43</f>
        <v>397346</v>
      </c>
      <c r="BG40" s="160">
        <f>13416693-SUM(BG29:BG39)-BG42-BG43</f>
        <v>190740</v>
      </c>
      <c r="BH40" s="160">
        <f>12729588-SUM(BH29:BH39)-BH42-BH43</f>
        <v>172608</v>
      </c>
      <c r="BI40" s="83">
        <f t="shared" si="103"/>
        <v>172608</v>
      </c>
      <c r="BJ40" s="160">
        <f>12666844-SUM(BJ29:BJ39)-BJ42-BJ43</f>
        <v>149771</v>
      </c>
      <c r="BK40" s="160">
        <f>12243534-SUM(BK29:BK39)-BK42-BK43</f>
        <v>161488</v>
      </c>
      <c r="BL40" s="160">
        <f>12079418-SUM(BL29:BL39)-BL42-BL43</f>
        <v>175049</v>
      </c>
      <c r="BM40" s="160">
        <f>11879699-SUM(BM29:BM39)-BM42-BM43</f>
        <v>161451</v>
      </c>
      <c r="BN40" s="83">
        <f t="shared" si="104"/>
        <v>161451</v>
      </c>
      <c r="BO40" s="160">
        <f>11940930-SUM(BO29:BO39)-BO42-BO43</f>
        <v>107979</v>
      </c>
      <c r="BP40" s="160">
        <f>11340173-SUM(BP29:BP39)-BP42-BP43</f>
        <v>93845</v>
      </c>
      <c r="BQ40" s="160">
        <f>10931386-SUM(BQ29:BQ39)-BQ42-BQ43</f>
        <v>84751</v>
      </c>
      <c r="BR40" s="160">
        <f>10401541-SUM(BR29:BR39)-BR42-BR43</f>
        <v>151276</v>
      </c>
      <c r="BS40" s="83">
        <f t="shared" si="105"/>
        <v>151276</v>
      </c>
      <c r="BT40" s="160">
        <f>9652269-SUM(BT29:BT39)-BT42-BT43</f>
        <v>156141</v>
      </c>
      <c r="BU40" s="160">
        <f>10010071-SUM(BU29:BU39)-BU42-BU43</f>
        <v>164666</v>
      </c>
      <c r="BV40" s="160">
        <f>10499600-SUM(BV29:BV39)-BV42-BV43</f>
        <v>268195</v>
      </c>
      <c r="BW40" s="160">
        <f>9829268-SUM(BW29:BW39)-BW42-BW43</f>
        <v>211405</v>
      </c>
      <c r="BX40" s="83">
        <f t="shared" si="106"/>
        <v>211405</v>
      </c>
      <c r="BY40" s="160">
        <f>9742527-SUM(BY29:BY39)-BY42-BY43</f>
        <v>202371</v>
      </c>
      <c r="BZ40" s="330">
        <f>9772333-SUM(BZ29:BZ39)-BZ42-BZ43</f>
        <v>405141</v>
      </c>
      <c r="CA40" s="160">
        <f>9971372-SUM(CA29:CA39)-CA42-CA43</f>
        <v>220451</v>
      </c>
      <c r="CB40" s="160">
        <f>9987778-SUM(CB29:CB39)-CB42-CB43</f>
        <v>250738</v>
      </c>
      <c r="CC40" s="83">
        <f t="shared" si="107"/>
        <v>250738</v>
      </c>
      <c r="CD40" s="160">
        <f>10290824-SUM(CD29:CD39)-CD42-CD43</f>
        <v>231520</v>
      </c>
      <c r="CE40" s="160">
        <f>10908726-SUM(CE29:CE39)-CE42-CE43</f>
        <v>220533</v>
      </c>
      <c r="CF40" s="160">
        <f>11391783-SUM(CF29:CF39)-CF42-CF43</f>
        <v>218352</v>
      </c>
      <c r="CG40" s="160">
        <f>11433926-SUM(CG29:CG39)-CG42-CG43</f>
        <v>125753</v>
      </c>
      <c r="CH40" s="83">
        <f t="shared" si="79"/>
        <v>125753</v>
      </c>
      <c r="CI40" s="160">
        <f>11657074-SUM(CI29:CI39)-CI42-CI43</f>
        <v>110241</v>
      </c>
      <c r="CJ40" s="160">
        <f>12376658-SUM(CJ29:CJ39)-CJ42-CJ43</f>
        <v>115409</v>
      </c>
      <c r="CK40" s="160">
        <f>13162967-SUM(CK29:CK39)-CK42-CK43</f>
        <v>137119</v>
      </c>
      <c r="CL40" s="160">
        <f>13841170-SUM(CL29:CL39)-CL42-CL43</f>
        <v>117195</v>
      </c>
      <c r="CM40" s="83">
        <f t="shared" si="80"/>
        <v>117195</v>
      </c>
      <c r="CN40" s="160">
        <f>14217086-SUM(CN29:CN39)-CN42-CN43</f>
        <v>115031</v>
      </c>
      <c r="CO40" s="160">
        <f>14743262-SUM(CO29:CO39)-CO42-CO43</f>
        <v>233276</v>
      </c>
      <c r="CP40" s="330">
        <f>15685516-SUM(CP29:CP39)-CP42-CP43</f>
        <v>831663</v>
      </c>
      <c r="CQ40" s="330">
        <f>16560139-SUM(CQ29:CQ39)-CQ42-CQ43</f>
        <v>481392</v>
      </c>
      <c r="CR40" s="83">
        <f t="shared" si="81"/>
        <v>481392</v>
      </c>
      <c r="CS40" s="330">
        <f>16321140-SUM(CS29:CS39)-CS42-CS43</f>
        <v>286391</v>
      </c>
      <c r="CT40" s="330">
        <f>16825149-SUM(CT29:CT39)-CT42-CT43</f>
        <v>259424</v>
      </c>
      <c r="CU40" s="330">
        <f>17023249-SUM(CU29:CU39)-CU42-CU43</f>
        <v>378179</v>
      </c>
      <c r="CV40" s="330">
        <f>17371200-SUM(CV29:CV39)-CV42-CV43</f>
        <v>369201</v>
      </c>
      <c r="CW40" s="83">
        <f t="shared" si="96"/>
        <v>369201</v>
      </c>
      <c r="CX40" s="330">
        <f>17462659-SUM(CX29:CX39)-CX42-CX43</f>
        <v>657549</v>
      </c>
      <c r="CY40" s="330">
        <f>18260036-SUM(CY29:CY39)-CY42-CY43</f>
        <v>407103</v>
      </c>
      <c r="CZ40" s="330">
        <f>19574005-SUM(CZ29:CZ39)-CZ42-CZ43</f>
        <v>423417</v>
      </c>
      <c r="DA40" s="330">
        <f>21240962-SUM(DA29:DA39)-DA42-DA43</f>
        <v>366404</v>
      </c>
      <c r="DB40" s="83">
        <f t="shared" si="97"/>
        <v>366404</v>
      </c>
      <c r="DC40" s="330">
        <f>21847715-SUM(DC29:DC39)-DC42-DC43</f>
        <v>364742</v>
      </c>
      <c r="DD40" s="330">
        <f>23414787-SUM(DD29:DD39)-DD42-DD43</f>
        <v>386266</v>
      </c>
      <c r="DE40" s="330">
        <f>24950414-SUM(DE29:DE39)-DE42-DE43</f>
        <v>559637</v>
      </c>
      <c r="DF40" s="330">
        <f>26109817-SUM(DF29:DF39)-DF42-DF43</f>
        <v>226679</v>
      </c>
      <c r="DG40" s="83">
        <f t="shared" si="82"/>
        <v>226679</v>
      </c>
      <c r="DH40" s="330">
        <f>26714090-SUM(DH29:DH39)-DH42-DH43</f>
        <v>283118</v>
      </c>
      <c r="DI40" s="330">
        <f>27740895-SUM(DI29:DI39)-DI42-DI43</f>
        <v>494618</v>
      </c>
      <c r="DJ40" s="160">
        <f t="shared" si="108"/>
        <v>494618</v>
      </c>
      <c r="DK40" s="160">
        <f t="shared" si="108"/>
        <v>494618</v>
      </c>
      <c r="DL40" s="83">
        <f t="shared" si="84"/>
        <v>494618</v>
      </c>
      <c r="DM40" s="160">
        <f t="shared" si="109"/>
        <v>494618</v>
      </c>
      <c r="DN40" s="160">
        <f t="shared" si="109"/>
        <v>494618</v>
      </c>
      <c r="DO40" s="160">
        <f t="shared" si="109"/>
        <v>494618</v>
      </c>
      <c r="DP40" s="160">
        <f t="shared" si="109"/>
        <v>494618</v>
      </c>
      <c r="DQ40" s="83">
        <f t="shared" si="85"/>
        <v>494618</v>
      </c>
      <c r="DR40" s="160">
        <f t="shared" si="110"/>
        <v>494618</v>
      </c>
      <c r="DS40" s="160">
        <f t="shared" si="110"/>
        <v>494618</v>
      </c>
      <c r="DT40" s="160">
        <f t="shared" si="110"/>
        <v>494618</v>
      </c>
      <c r="DU40" s="160">
        <f t="shared" si="110"/>
        <v>494618</v>
      </c>
      <c r="DV40" s="83">
        <f t="shared" si="86"/>
        <v>494618</v>
      </c>
      <c r="DW40" s="160">
        <f t="shared" si="111"/>
        <v>494618</v>
      </c>
      <c r="DX40" s="160">
        <f t="shared" si="111"/>
        <v>494618</v>
      </c>
      <c r="DY40" s="160">
        <f t="shared" si="111"/>
        <v>494618</v>
      </c>
      <c r="DZ40" s="160">
        <f t="shared" si="111"/>
        <v>494618</v>
      </c>
      <c r="EA40" s="83">
        <f t="shared" si="87"/>
        <v>494618</v>
      </c>
      <c r="EB40" s="160">
        <f t="shared" si="112"/>
        <v>494618</v>
      </c>
      <c r="EC40" s="160">
        <f t="shared" si="112"/>
        <v>494618</v>
      </c>
      <c r="ED40" s="160">
        <f t="shared" si="112"/>
        <v>494618</v>
      </c>
      <c r="EE40" s="160">
        <f t="shared" si="112"/>
        <v>494618</v>
      </c>
      <c r="EF40" s="83">
        <f t="shared" si="88"/>
        <v>494618</v>
      </c>
    </row>
    <row r="41" spans="1:136" s="157" customFormat="1" outlineLevel="1">
      <c r="A41" s="191" t="s">
        <v>29</v>
      </c>
      <c r="B41" s="214"/>
      <c r="C41" s="214"/>
      <c r="D41" s="214"/>
      <c r="E41" s="214">
        <v>0</v>
      </c>
      <c r="F41" s="193">
        <f t="shared" si="65"/>
        <v>0</v>
      </c>
      <c r="G41" s="214">
        <f>AVERAGE(E41,H41)</f>
        <v>0</v>
      </c>
      <c r="H41" s="214">
        <v>0</v>
      </c>
      <c r="I41" s="214">
        <v>0</v>
      </c>
      <c r="J41" s="214">
        <v>0</v>
      </c>
      <c r="K41" s="193">
        <f t="shared" si="66"/>
        <v>0</v>
      </c>
      <c r="L41" s="214">
        <v>0</v>
      </c>
      <c r="M41" s="214">
        <v>0</v>
      </c>
      <c r="N41" s="214">
        <f>M41</f>
        <v>0</v>
      </c>
      <c r="O41" s="214">
        <f>N41</f>
        <v>0</v>
      </c>
      <c r="P41" s="193">
        <f>O41</f>
        <v>0</v>
      </c>
      <c r="Q41" s="214">
        <v>0</v>
      </c>
      <c r="R41" s="214">
        <v>0</v>
      </c>
      <c r="S41" s="214">
        <f>R41</f>
        <v>0</v>
      </c>
      <c r="T41" s="214">
        <f>S41</f>
        <v>0</v>
      </c>
      <c r="U41" s="193">
        <f>T41</f>
        <v>0</v>
      </c>
      <c r="V41" s="214">
        <v>0</v>
      </c>
      <c r="W41" s="214">
        <v>0</v>
      </c>
      <c r="X41" s="214">
        <v>0</v>
      </c>
      <c r="Y41" s="214">
        <f>X41</f>
        <v>0</v>
      </c>
      <c r="Z41" s="193">
        <f>Y41</f>
        <v>0</v>
      </c>
      <c r="AA41" s="214">
        <v>0</v>
      </c>
      <c r="AB41" s="214">
        <f>AA41</f>
        <v>0</v>
      </c>
      <c r="AC41" s="214">
        <v>0</v>
      </c>
      <c r="AD41" s="214">
        <f t="shared" ref="AD41:AJ41" si="113">AC41</f>
        <v>0</v>
      </c>
      <c r="AE41" s="193">
        <f t="shared" si="113"/>
        <v>0</v>
      </c>
      <c r="AF41" s="214">
        <f t="shared" si="113"/>
        <v>0</v>
      </c>
      <c r="AG41" s="214">
        <f t="shared" si="113"/>
        <v>0</v>
      </c>
      <c r="AH41" s="214">
        <f t="shared" si="113"/>
        <v>0</v>
      </c>
      <c r="AI41" s="214">
        <f>AH41</f>
        <v>0</v>
      </c>
      <c r="AJ41" s="193">
        <f t="shared" si="113"/>
        <v>0</v>
      </c>
      <c r="AK41" s="214">
        <f>AJ41</f>
        <v>0</v>
      </c>
      <c r="AL41" s="214">
        <f>AK41</f>
        <v>0</v>
      </c>
      <c r="AM41" s="214">
        <f>AL41</f>
        <v>0</v>
      </c>
      <c r="AN41" s="214">
        <f>AM41</f>
        <v>0</v>
      </c>
      <c r="AO41" s="193">
        <f t="shared" si="99"/>
        <v>0</v>
      </c>
      <c r="AP41" s="214">
        <f>AO41</f>
        <v>0</v>
      </c>
      <c r="AQ41" s="214">
        <f>AP41</f>
        <v>0</v>
      </c>
      <c r="AR41" s="214">
        <f>AQ41</f>
        <v>0</v>
      </c>
      <c r="AS41" s="214">
        <f>AR41</f>
        <v>0</v>
      </c>
      <c r="AT41" s="193">
        <f t="shared" si="100"/>
        <v>0</v>
      </c>
      <c r="AU41" s="214">
        <f>AT41</f>
        <v>0</v>
      </c>
      <c r="AV41" s="214">
        <f>AU41</f>
        <v>0</v>
      </c>
      <c r="AW41" s="214">
        <f>AV41</f>
        <v>0</v>
      </c>
      <c r="AX41" s="214">
        <f>AW41</f>
        <v>0</v>
      </c>
      <c r="AY41" s="193">
        <f t="shared" si="101"/>
        <v>0</v>
      </c>
      <c r="AZ41" s="214">
        <f t="shared" ref="AZ41:BQ41" si="114">AY41</f>
        <v>0</v>
      </c>
      <c r="BA41" s="214">
        <f t="shared" si="114"/>
        <v>0</v>
      </c>
      <c r="BB41" s="214">
        <f t="shared" si="114"/>
        <v>0</v>
      </c>
      <c r="BC41" s="214">
        <f t="shared" si="114"/>
        <v>0</v>
      </c>
      <c r="BD41" s="193">
        <f t="shared" si="102"/>
        <v>0</v>
      </c>
      <c r="BE41" s="214">
        <f t="shared" si="114"/>
        <v>0</v>
      </c>
      <c r="BF41" s="214">
        <f t="shared" si="114"/>
        <v>0</v>
      </c>
      <c r="BG41" s="214">
        <f t="shared" si="114"/>
        <v>0</v>
      </c>
      <c r="BH41" s="214">
        <f t="shared" si="114"/>
        <v>0</v>
      </c>
      <c r="BI41" s="193">
        <f t="shared" si="103"/>
        <v>0</v>
      </c>
      <c r="BJ41" s="214">
        <f t="shared" si="114"/>
        <v>0</v>
      </c>
      <c r="BK41" s="214">
        <f t="shared" si="114"/>
        <v>0</v>
      </c>
      <c r="BL41" s="214">
        <f t="shared" si="114"/>
        <v>0</v>
      </c>
      <c r="BM41" s="214">
        <f t="shared" si="114"/>
        <v>0</v>
      </c>
      <c r="BN41" s="193">
        <f t="shared" si="104"/>
        <v>0</v>
      </c>
      <c r="BO41" s="214">
        <f t="shared" si="114"/>
        <v>0</v>
      </c>
      <c r="BP41" s="214">
        <f t="shared" si="114"/>
        <v>0</v>
      </c>
      <c r="BQ41" s="214">
        <f t="shared" si="114"/>
        <v>0</v>
      </c>
      <c r="BR41" s="214">
        <f t="shared" ref="BR41:BY41" si="115">BQ41</f>
        <v>0</v>
      </c>
      <c r="BS41" s="193">
        <f t="shared" si="105"/>
        <v>0</v>
      </c>
      <c r="BT41" s="214">
        <f t="shared" si="115"/>
        <v>0</v>
      </c>
      <c r="BU41" s="214">
        <f>BT41</f>
        <v>0</v>
      </c>
      <c r="BV41" s="214">
        <f t="shared" si="115"/>
        <v>0</v>
      </c>
      <c r="BW41" s="214">
        <f t="shared" si="115"/>
        <v>0</v>
      </c>
      <c r="BX41" s="193">
        <f t="shared" si="106"/>
        <v>0</v>
      </c>
      <c r="BY41" s="214">
        <f t="shared" si="115"/>
        <v>0</v>
      </c>
      <c r="BZ41" s="214">
        <f t="shared" ref="BZ41:CV41" si="116">BY41</f>
        <v>0</v>
      </c>
      <c r="CA41" s="214">
        <f t="shared" si="116"/>
        <v>0</v>
      </c>
      <c r="CB41" s="214">
        <f t="shared" si="116"/>
        <v>0</v>
      </c>
      <c r="CC41" s="193">
        <f t="shared" si="107"/>
        <v>0</v>
      </c>
      <c r="CD41" s="214">
        <f t="shared" si="116"/>
        <v>0</v>
      </c>
      <c r="CE41" s="214">
        <f t="shared" si="116"/>
        <v>0</v>
      </c>
      <c r="CF41" s="214">
        <f t="shared" si="116"/>
        <v>0</v>
      </c>
      <c r="CG41" s="214">
        <f t="shared" si="116"/>
        <v>0</v>
      </c>
      <c r="CH41" s="193">
        <f>CG41</f>
        <v>0</v>
      </c>
      <c r="CI41" s="214">
        <f t="shared" si="116"/>
        <v>0</v>
      </c>
      <c r="CJ41" s="214">
        <f t="shared" si="116"/>
        <v>0</v>
      </c>
      <c r="CK41" s="214">
        <f t="shared" si="116"/>
        <v>0</v>
      </c>
      <c r="CL41" s="214">
        <f t="shared" si="116"/>
        <v>0</v>
      </c>
      <c r="CM41" s="193">
        <f>CL41</f>
        <v>0</v>
      </c>
      <c r="CN41" s="214">
        <f t="shared" si="116"/>
        <v>0</v>
      </c>
      <c r="CO41" s="214">
        <f t="shared" si="116"/>
        <v>0</v>
      </c>
      <c r="CP41" s="214">
        <f t="shared" si="116"/>
        <v>0</v>
      </c>
      <c r="CQ41" s="214">
        <f t="shared" si="116"/>
        <v>0</v>
      </c>
      <c r="CR41" s="193">
        <f>CQ41</f>
        <v>0</v>
      </c>
      <c r="CS41" s="214">
        <f t="shared" si="116"/>
        <v>0</v>
      </c>
      <c r="CT41" s="214">
        <f t="shared" si="116"/>
        <v>0</v>
      </c>
      <c r="CU41" s="214">
        <f t="shared" si="116"/>
        <v>0</v>
      </c>
      <c r="CV41" s="214">
        <f t="shared" si="116"/>
        <v>0</v>
      </c>
      <c r="CW41" s="193">
        <f>CV41</f>
        <v>0</v>
      </c>
      <c r="CX41" s="214">
        <v>0</v>
      </c>
      <c r="CY41" s="214">
        <f t="shared" ref="CY41:DA41" si="117">CX41</f>
        <v>0</v>
      </c>
      <c r="CZ41" s="214">
        <f t="shared" si="117"/>
        <v>0</v>
      </c>
      <c r="DA41" s="214">
        <f t="shared" si="117"/>
        <v>0</v>
      </c>
      <c r="DB41" s="193">
        <f>DA41</f>
        <v>0</v>
      </c>
      <c r="DC41" s="214">
        <v>0</v>
      </c>
      <c r="DD41" s="214">
        <f t="shared" ref="DD41:DI41" si="118">DC41</f>
        <v>0</v>
      </c>
      <c r="DE41" s="214">
        <f t="shared" si="118"/>
        <v>0</v>
      </c>
      <c r="DF41" s="214">
        <f t="shared" si="118"/>
        <v>0</v>
      </c>
      <c r="DG41" s="193">
        <f>DF41</f>
        <v>0</v>
      </c>
      <c r="DH41" s="214">
        <f t="shared" si="118"/>
        <v>0</v>
      </c>
      <c r="DI41" s="214">
        <f t="shared" si="118"/>
        <v>0</v>
      </c>
      <c r="DJ41" s="214">
        <f t="shared" si="108"/>
        <v>0</v>
      </c>
      <c r="DK41" s="214">
        <f t="shared" si="108"/>
        <v>0</v>
      </c>
      <c r="DL41" s="193">
        <f>DK41</f>
        <v>0</v>
      </c>
      <c r="DM41" s="214">
        <f t="shared" si="109"/>
        <v>0</v>
      </c>
      <c r="DN41" s="214">
        <f t="shared" si="109"/>
        <v>0</v>
      </c>
      <c r="DO41" s="214">
        <f t="shared" si="109"/>
        <v>0</v>
      </c>
      <c r="DP41" s="214">
        <f t="shared" si="109"/>
        <v>0</v>
      </c>
      <c r="DQ41" s="193">
        <f>DP41</f>
        <v>0</v>
      </c>
      <c r="DR41" s="214">
        <f t="shared" si="110"/>
        <v>0</v>
      </c>
      <c r="DS41" s="214">
        <f t="shared" si="110"/>
        <v>0</v>
      </c>
      <c r="DT41" s="214">
        <f t="shared" si="110"/>
        <v>0</v>
      </c>
      <c r="DU41" s="214">
        <f t="shared" si="110"/>
        <v>0</v>
      </c>
      <c r="DV41" s="193">
        <f>DU41</f>
        <v>0</v>
      </c>
      <c r="DW41" s="214">
        <f t="shared" si="111"/>
        <v>0</v>
      </c>
      <c r="DX41" s="214">
        <f t="shared" si="111"/>
        <v>0</v>
      </c>
      <c r="DY41" s="214">
        <f t="shared" si="111"/>
        <v>0</v>
      </c>
      <c r="DZ41" s="214">
        <f t="shared" si="111"/>
        <v>0</v>
      </c>
      <c r="EA41" s="193">
        <f>DZ41</f>
        <v>0</v>
      </c>
      <c r="EB41" s="214">
        <f t="shared" si="112"/>
        <v>0</v>
      </c>
      <c r="EC41" s="214">
        <f t="shared" si="112"/>
        <v>0</v>
      </c>
      <c r="ED41" s="214">
        <f t="shared" si="112"/>
        <v>0</v>
      </c>
      <c r="EE41" s="214">
        <f t="shared" si="112"/>
        <v>0</v>
      </c>
      <c r="EF41" s="193">
        <f>EE41</f>
        <v>0</v>
      </c>
    </row>
    <row r="42" spans="1:136" s="157" customFormat="1">
      <c r="A42" s="191" t="s">
        <v>30</v>
      </c>
      <c r="B42" s="214">
        <v>8589</v>
      </c>
      <c r="C42" s="214">
        <v>8585</v>
      </c>
      <c r="D42" s="214">
        <v>4553</v>
      </c>
      <c r="E42" s="214">
        <v>72470</v>
      </c>
      <c r="F42" s="193">
        <f t="shared" si="65"/>
        <v>72470</v>
      </c>
      <c r="G42" s="214">
        <f>AVERAGE(F42,H42)</f>
        <v>76313.5</v>
      </c>
      <c r="H42" s="214">
        <v>80157</v>
      </c>
      <c r="I42" s="214">
        <v>91878</v>
      </c>
      <c r="J42" s="214">
        <v>78534</v>
      </c>
      <c r="K42" s="193">
        <f t="shared" si="66"/>
        <v>78534</v>
      </c>
      <c r="L42" s="214">
        <v>89269</v>
      </c>
      <c r="M42" s="214">
        <v>120622</v>
      </c>
      <c r="N42" s="214">
        <v>117933</v>
      </c>
      <c r="O42" s="214">
        <v>100302</v>
      </c>
      <c r="P42" s="193">
        <f>O42</f>
        <v>100302</v>
      </c>
      <c r="Q42" s="214">
        <v>137276</v>
      </c>
      <c r="R42" s="214">
        <v>117385</v>
      </c>
      <c r="S42" s="214">
        <v>148458</v>
      </c>
      <c r="T42" s="214">
        <v>198769</v>
      </c>
      <c r="U42" s="193">
        <f>T42</f>
        <v>198769</v>
      </c>
      <c r="V42" s="214">
        <v>220663</v>
      </c>
      <c r="W42" s="214">
        <v>251138</v>
      </c>
      <c r="X42" s="214">
        <v>262095</v>
      </c>
      <c r="Y42" s="214">
        <v>288728</v>
      </c>
      <c r="Z42" s="193">
        <f>Y42</f>
        <v>288728</v>
      </c>
      <c r="AA42" s="214">
        <v>152371</v>
      </c>
      <c r="AB42" s="214">
        <v>174042</v>
      </c>
      <c r="AC42" s="214">
        <v>195507</v>
      </c>
      <c r="AD42" s="214">
        <v>252579</v>
      </c>
      <c r="AE42" s="193">
        <f>AD42</f>
        <v>252579</v>
      </c>
      <c r="AF42" s="214">
        <v>263373</v>
      </c>
      <c r="AG42" s="214">
        <v>275823</v>
      </c>
      <c r="AH42" s="214">
        <v>320597</v>
      </c>
      <c r="AI42" s="214">
        <v>355457</v>
      </c>
      <c r="AJ42" s="193">
        <f>AI42</f>
        <v>355457</v>
      </c>
      <c r="AK42" s="214">
        <v>378784</v>
      </c>
      <c r="AL42" s="214">
        <v>362140</v>
      </c>
      <c r="AM42" s="214">
        <v>356181</v>
      </c>
      <c r="AN42" s="214">
        <v>378047</v>
      </c>
      <c r="AO42" s="193">
        <f t="shared" si="99"/>
        <v>378047</v>
      </c>
      <c r="AP42" s="214">
        <v>354768</v>
      </c>
      <c r="AQ42" s="214">
        <v>343699</v>
      </c>
      <c r="AR42" s="214">
        <v>375667</v>
      </c>
      <c r="AS42" s="214">
        <v>566513</v>
      </c>
      <c r="AT42" s="193">
        <f t="shared" si="100"/>
        <v>566513</v>
      </c>
      <c r="AU42" s="358">
        <v>950288</v>
      </c>
      <c r="AV42" s="214">
        <v>736486</v>
      </c>
      <c r="AW42" s="214">
        <v>767743</v>
      </c>
      <c r="AX42" s="214">
        <v>732426</v>
      </c>
      <c r="AY42" s="193">
        <f t="shared" si="101"/>
        <v>732426</v>
      </c>
      <c r="AZ42" s="214">
        <v>631772</v>
      </c>
      <c r="BA42" s="214">
        <v>668627</v>
      </c>
      <c r="BB42" s="214">
        <v>690581</v>
      </c>
      <c r="BC42" s="214">
        <v>708754</v>
      </c>
      <c r="BD42" s="193">
        <f t="shared" si="102"/>
        <v>708754</v>
      </c>
      <c r="BE42" s="214">
        <v>717727</v>
      </c>
      <c r="BF42" s="214">
        <v>839927</v>
      </c>
      <c r="BG42" s="214">
        <v>875051</v>
      </c>
      <c r="BH42" s="214">
        <v>791844</v>
      </c>
      <c r="BI42" s="193">
        <f t="shared" si="103"/>
        <v>791844</v>
      </c>
      <c r="BJ42" s="214">
        <v>780584</v>
      </c>
      <c r="BK42" s="214">
        <v>758805</v>
      </c>
      <c r="BL42" s="214">
        <v>739854</v>
      </c>
      <c r="BM42" s="214">
        <v>753186</v>
      </c>
      <c r="BN42" s="193">
        <f t="shared" si="104"/>
        <v>753186</v>
      </c>
      <c r="BO42" s="214">
        <v>760345</v>
      </c>
      <c r="BP42" s="214">
        <v>435032</v>
      </c>
      <c r="BQ42" s="214">
        <v>445396</v>
      </c>
      <c r="BR42" s="214">
        <v>440907</v>
      </c>
      <c r="BS42" s="193">
        <f t="shared" si="105"/>
        <v>440907</v>
      </c>
      <c r="BT42" s="214">
        <v>356654</v>
      </c>
      <c r="BU42" s="214">
        <v>338322</v>
      </c>
      <c r="BV42" s="214">
        <v>326724</v>
      </c>
      <c r="BW42" s="214">
        <v>389263</v>
      </c>
      <c r="BX42" s="193">
        <f t="shared" si="106"/>
        <v>389263</v>
      </c>
      <c r="BY42" s="214">
        <v>373453</v>
      </c>
      <c r="BZ42" s="214">
        <v>372817</v>
      </c>
      <c r="CA42" s="214">
        <v>368355</v>
      </c>
      <c r="CB42" s="214">
        <v>413067</v>
      </c>
      <c r="CC42" s="193">
        <f t="shared" si="107"/>
        <v>413067</v>
      </c>
      <c r="CD42" s="214">
        <v>420303</v>
      </c>
      <c r="CE42" s="214">
        <v>444101</v>
      </c>
      <c r="CF42" s="214">
        <v>285461</v>
      </c>
      <c r="CG42" s="214">
        <v>291895</v>
      </c>
      <c r="CH42" s="193">
        <f>CG42</f>
        <v>291895</v>
      </c>
      <c r="CI42" s="214">
        <v>304875</v>
      </c>
      <c r="CJ42" s="214">
        <v>330824</v>
      </c>
      <c r="CK42" s="214">
        <v>405850</v>
      </c>
      <c r="CL42" s="214">
        <v>603872</v>
      </c>
      <c r="CM42" s="193">
        <f>CL42</f>
        <v>603872</v>
      </c>
      <c r="CN42" s="214">
        <v>628416</v>
      </c>
      <c r="CO42" s="214">
        <v>590088</v>
      </c>
      <c r="CP42" s="214">
        <v>633567</v>
      </c>
      <c r="CQ42" s="214">
        <v>577587</v>
      </c>
      <c r="CR42" s="193">
        <f>CQ42</f>
        <v>577587</v>
      </c>
      <c r="CS42" s="214">
        <v>648622</v>
      </c>
      <c r="CT42" s="214">
        <v>723725</v>
      </c>
      <c r="CU42" s="214">
        <v>757588</v>
      </c>
      <c r="CV42" s="214">
        <v>809485</v>
      </c>
      <c r="CW42" s="193">
        <f>CV42</f>
        <v>809485</v>
      </c>
      <c r="CX42" s="214">
        <v>821388</v>
      </c>
      <c r="CY42" s="214">
        <v>735103</v>
      </c>
      <c r="CZ42" s="214">
        <v>906775</v>
      </c>
      <c r="DA42" s="214">
        <v>1054612</v>
      </c>
      <c r="DB42" s="193">
        <f>DA42</f>
        <v>1054612</v>
      </c>
      <c r="DC42" s="214">
        <v>1067258</v>
      </c>
      <c r="DD42" s="214">
        <v>1088792</v>
      </c>
      <c r="DE42" s="214">
        <v>1055165</v>
      </c>
      <c r="DF42" s="214">
        <v>1239474</v>
      </c>
      <c r="DG42" s="193">
        <f>DF42</f>
        <v>1239474</v>
      </c>
      <c r="DH42" s="214">
        <v>1306988</v>
      </c>
      <c r="DI42" s="214">
        <v>1283470</v>
      </c>
      <c r="DJ42" s="214">
        <f>DI42*(DJ8+DJ11)/(DI8+DI11)</f>
        <v>1268590.2025268029</v>
      </c>
      <c r="DK42" s="214">
        <f>DJ42*(DK8+DK11)/(DJ8+DJ11)</f>
        <v>1320872.4273386663</v>
      </c>
      <c r="DL42" s="193">
        <f>DK42</f>
        <v>1320872.4273386663</v>
      </c>
      <c r="DM42" s="214">
        <f>DL42*(DM8+DM11)/(DL8+DL11)</f>
        <v>1315210.1314940208</v>
      </c>
      <c r="DN42" s="214">
        <f>DM42*(DN8+DN11)/(DM8+DM11)</f>
        <v>1367165.7044475023</v>
      </c>
      <c r="DO42" s="214">
        <f>DN42*(DO8+DO11)/(DN8+DN11)</f>
        <v>1435149.2154873426</v>
      </c>
      <c r="DP42" s="214">
        <f>DO42*(DP8+DP11)/(DO8+DO11)</f>
        <v>1500099.3633706647</v>
      </c>
      <c r="DQ42" s="193">
        <f>DP42</f>
        <v>1500099.3633706647</v>
      </c>
      <c r="DR42" s="214">
        <f>DQ42*(DR8+DR11)/(DQ8+DQ11)</f>
        <v>1541576.0661618332</v>
      </c>
      <c r="DS42" s="214">
        <f>DR42*(DS8+DS11)/(DR8+DR11)</f>
        <v>1585386.1484055638</v>
      </c>
      <c r="DT42" s="214">
        <f>DS42*(DT8+DT11)/(DS8+DS11)</f>
        <v>1635236.7670524633</v>
      </c>
      <c r="DU42" s="214">
        <f>DT42*(DU8+DU11)/(DT8+DT11)</f>
        <v>1705962.7888320177</v>
      </c>
      <c r="DV42" s="193">
        <f>DU42</f>
        <v>1705962.7888320177</v>
      </c>
      <c r="DW42" s="214">
        <f>DV42*(DW8+DW11)/(DV8+DV11)</f>
        <v>1719965.5942017618</v>
      </c>
      <c r="DX42" s="214">
        <f>DW42*(DX8+DX11)/(DW8+DW11)</f>
        <v>1748552.0416527707</v>
      </c>
      <c r="DY42" s="214">
        <f>DX42*(DY8+DY11)/(DX8+DX11)</f>
        <v>1770698.197710776</v>
      </c>
      <c r="DZ42" s="214">
        <f>DY42*(DZ8+DZ11)/(DY8+DY11)</f>
        <v>1800193.7582875935</v>
      </c>
      <c r="EA42" s="193">
        <f>DZ42</f>
        <v>1800193.7582875935</v>
      </c>
      <c r="EB42" s="214">
        <f>EA42*(EB8+EB11)/(EA8+EA11)</f>
        <v>1785769.618440226</v>
      </c>
      <c r="EC42" s="214">
        <f>EB42*(EC8+EC11)/(EB8+EB11)</f>
        <v>1798806.0829772698</v>
      </c>
      <c r="ED42" s="214">
        <f>EC42*(ED8+ED11)/(EC8+EC11)</f>
        <v>1825223.4677339729</v>
      </c>
      <c r="EE42" s="214">
        <f>ED42*(EE8+EE11)/(ED8+ED11)</f>
        <v>1853798.6196708453</v>
      </c>
      <c r="EF42" s="193">
        <f>EE42</f>
        <v>1853798.6196708453</v>
      </c>
    </row>
    <row r="43" spans="1:136" s="157" customFormat="1">
      <c r="A43" s="191" t="s">
        <v>31</v>
      </c>
      <c r="B43" s="192">
        <f t="shared" ref="B43:AX43" si="119">SUM(B44:B47)</f>
        <v>306725</v>
      </c>
      <c r="C43" s="192">
        <f t="shared" si="119"/>
        <v>315493</v>
      </c>
      <c r="D43" s="192">
        <f t="shared" si="119"/>
        <v>324958</v>
      </c>
      <c r="E43" s="192">
        <f t="shared" si="119"/>
        <v>442353</v>
      </c>
      <c r="F43" s="193">
        <f>SUM(F44:F47)</f>
        <v>442353</v>
      </c>
      <c r="G43" s="192">
        <f t="shared" si="119"/>
        <v>490401</v>
      </c>
      <c r="H43" s="192">
        <f t="shared" si="119"/>
        <v>485350</v>
      </c>
      <c r="I43" s="192">
        <f t="shared" si="119"/>
        <v>1023659</v>
      </c>
      <c r="J43" s="192">
        <f t="shared" si="119"/>
        <v>1018793</v>
      </c>
      <c r="K43" s="193">
        <f t="shared" si="119"/>
        <v>1018793</v>
      </c>
      <c r="L43" s="192">
        <f t="shared" si="119"/>
        <v>1076196</v>
      </c>
      <c r="M43" s="192">
        <f t="shared" si="119"/>
        <v>1170171</v>
      </c>
      <c r="N43" s="192">
        <f t="shared" si="119"/>
        <v>1930106</v>
      </c>
      <c r="O43" s="192">
        <f t="shared" si="119"/>
        <v>1948549</v>
      </c>
      <c r="P43" s="193">
        <f t="shared" si="119"/>
        <v>1948549</v>
      </c>
      <c r="Q43" s="192">
        <f t="shared" si="119"/>
        <v>2005408</v>
      </c>
      <c r="R43" s="192">
        <f t="shared" si="119"/>
        <v>1963877</v>
      </c>
      <c r="S43" s="192">
        <f t="shared" si="119"/>
        <v>1993959</v>
      </c>
      <c r="T43" s="192">
        <f t="shared" si="119"/>
        <v>2070754</v>
      </c>
      <c r="U43" s="193">
        <f t="shared" si="119"/>
        <v>2070754</v>
      </c>
      <c r="V43" s="192">
        <f>SUM(V44:V47)</f>
        <v>2156602</v>
      </c>
      <c r="W43" s="192">
        <f t="shared" si="119"/>
        <v>2276682</v>
      </c>
      <c r="X43" s="192">
        <f t="shared" si="119"/>
        <v>2349068</v>
      </c>
      <c r="Y43" s="192">
        <f t="shared" si="119"/>
        <v>2120950</v>
      </c>
      <c r="Z43" s="193">
        <f t="shared" si="119"/>
        <v>2120950</v>
      </c>
      <c r="AA43" s="192">
        <f>SUM(AA44:AA47)</f>
        <v>2224017</v>
      </c>
      <c r="AB43" s="192">
        <f t="shared" si="119"/>
        <v>2425316</v>
      </c>
      <c r="AC43" s="192">
        <f>SUM(AC44:AC47)</f>
        <v>2694636</v>
      </c>
      <c r="AD43" s="192">
        <f t="shared" si="119"/>
        <v>3852804</v>
      </c>
      <c r="AE43" s="193">
        <f>SUM(AE44:AE47)</f>
        <v>3852804</v>
      </c>
      <c r="AF43" s="192">
        <f>SUM(AF44:AF47)</f>
        <v>4030946</v>
      </c>
      <c r="AG43" s="192">
        <f>SUM(AG44:AG47)</f>
        <v>4201735</v>
      </c>
      <c r="AH43" s="192">
        <f>SUM(AH44:AH47)</f>
        <v>4380731</v>
      </c>
      <c r="AI43" s="192">
        <f>SUM(AI44:AI47)</f>
        <v>4326480</v>
      </c>
      <c r="AJ43" s="193">
        <f t="shared" si="119"/>
        <v>4326480</v>
      </c>
      <c r="AK43" s="192">
        <f t="shared" si="119"/>
        <v>4395026</v>
      </c>
      <c r="AL43" s="192">
        <f t="shared" si="119"/>
        <v>4482831</v>
      </c>
      <c r="AM43" s="192">
        <f>SUM(AM44:AM47)</f>
        <v>4504168</v>
      </c>
      <c r="AN43" s="192">
        <f t="shared" si="119"/>
        <v>4544719</v>
      </c>
      <c r="AO43" s="193">
        <f t="shared" si="119"/>
        <v>4544719</v>
      </c>
      <c r="AP43" s="192">
        <f>SUM(AP44:AP47)</f>
        <v>4669478</v>
      </c>
      <c r="AQ43" s="192">
        <f>SUM(AQ44:AQ47)</f>
        <v>4826557</v>
      </c>
      <c r="AR43" s="192">
        <f t="shared" si="119"/>
        <v>4983144</v>
      </c>
      <c r="AS43" s="192">
        <f t="shared" si="119"/>
        <v>5062249</v>
      </c>
      <c r="AT43" s="193">
        <f t="shared" si="119"/>
        <v>5062249</v>
      </c>
      <c r="AU43" s="192">
        <f t="shared" si="119"/>
        <v>5246475</v>
      </c>
      <c r="AV43" s="192">
        <f t="shared" si="119"/>
        <v>5376670</v>
      </c>
      <c r="AW43" s="192">
        <f t="shared" si="119"/>
        <v>5554561</v>
      </c>
      <c r="AX43" s="192">
        <f t="shared" si="119"/>
        <v>5461622</v>
      </c>
      <c r="AY43" s="193">
        <f t="shared" ref="AY43:CC43" si="120">SUM(AY44:AY47)</f>
        <v>5461622</v>
      </c>
      <c r="AZ43" s="192">
        <f t="shared" si="120"/>
        <v>5580385</v>
      </c>
      <c r="BA43" s="192">
        <f t="shared" si="120"/>
        <v>5651694</v>
      </c>
      <c r="BB43" s="192">
        <f t="shared" si="120"/>
        <v>5753468</v>
      </c>
      <c r="BC43" s="192">
        <f t="shared" si="120"/>
        <v>5659091</v>
      </c>
      <c r="BD43" s="193">
        <f t="shared" si="120"/>
        <v>5659091</v>
      </c>
      <c r="BE43" s="192">
        <f t="shared" si="120"/>
        <v>5698877</v>
      </c>
      <c r="BF43" s="192">
        <f>SUM(BF44:BF47)</f>
        <v>5576378</v>
      </c>
      <c r="BG43" s="192">
        <f t="shared" si="120"/>
        <v>5927716</v>
      </c>
      <c r="BH43" s="192">
        <f t="shared" si="120"/>
        <v>5887043</v>
      </c>
      <c r="BI43" s="193">
        <f t="shared" si="120"/>
        <v>5887043</v>
      </c>
      <c r="BJ43" s="192">
        <f t="shared" si="120"/>
        <v>5952499</v>
      </c>
      <c r="BK43" s="192">
        <f t="shared" si="120"/>
        <v>6000892</v>
      </c>
      <c r="BL43" s="192">
        <f t="shared" si="120"/>
        <v>6016677</v>
      </c>
      <c r="BM43" s="192">
        <f t="shared" si="120"/>
        <v>6013556</v>
      </c>
      <c r="BN43" s="193">
        <f t="shared" si="120"/>
        <v>6013556</v>
      </c>
      <c r="BO43" s="192">
        <f t="shared" si="120"/>
        <v>6019290</v>
      </c>
      <c r="BP43" s="192">
        <f t="shared" si="120"/>
        <v>5879869</v>
      </c>
      <c r="BQ43" s="192">
        <f t="shared" si="120"/>
        <v>5874383</v>
      </c>
      <c r="BR43" s="192">
        <f t="shared" si="120"/>
        <v>5924591</v>
      </c>
      <c r="BS43" s="193">
        <f t="shared" si="120"/>
        <v>5924591</v>
      </c>
      <c r="BT43" s="192">
        <f t="shared" si="120"/>
        <v>5678489</v>
      </c>
      <c r="BU43" s="192">
        <f t="shared" si="120"/>
        <v>5443279</v>
      </c>
      <c r="BV43" s="192">
        <f t="shared" si="120"/>
        <v>5321921</v>
      </c>
      <c r="BW43" s="192">
        <f t="shared" si="120"/>
        <v>5148548</v>
      </c>
      <c r="BX43" s="193">
        <f t="shared" si="120"/>
        <v>5148548</v>
      </c>
      <c r="BY43" s="192">
        <f t="shared" si="120"/>
        <v>5194536</v>
      </c>
      <c r="BZ43" s="192">
        <f t="shared" si="120"/>
        <v>5145533</v>
      </c>
      <c r="CA43" s="192">
        <f>SUM(CA44:CA47)</f>
        <v>5112185</v>
      </c>
      <c r="CB43" s="192">
        <f>SUM(CB44:CB47)</f>
        <v>4762376</v>
      </c>
      <c r="CC43" s="193">
        <f t="shared" si="120"/>
        <v>4762376</v>
      </c>
      <c r="CD43" s="192">
        <f t="shared" ref="CD43:DG43" si="121">SUM(CD44:CD47)</f>
        <v>4790397</v>
      </c>
      <c r="CE43" s="192">
        <f t="shared" si="121"/>
        <v>4857675</v>
      </c>
      <c r="CF43" s="192">
        <f t="shared" si="121"/>
        <v>6261196</v>
      </c>
      <c r="CG43" s="192">
        <f t="shared" si="121"/>
        <v>5504733</v>
      </c>
      <c r="CH43" s="193">
        <f t="shared" si="121"/>
        <v>5504733</v>
      </c>
      <c r="CI43" s="192">
        <f t="shared" si="121"/>
        <v>5696173</v>
      </c>
      <c r="CJ43" s="192">
        <f>SUM(CJ44:CJ47)</f>
        <v>5962214</v>
      </c>
      <c r="CK43" s="192">
        <f>SUM(CK44:CK47)</f>
        <v>6198685</v>
      </c>
      <c r="CL43" s="192">
        <f>SUM(CL44:CL47)</f>
        <v>6198052</v>
      </c>
      <c r="CM43" s="193">
        <f t="shared" si="121"/>
        <v>6198052</v>
      </c>
      <c r="CN43" s="192">
        <f t="shared" si="121"/>
        <v>6357095</v>
      </c>
      <c r="CO43" s="192">
        <f t="shared" si="121"/>
        <v>6484399</v>
      </c>
      <c r="CP43" s="192">
        <f t="shared" si="121"/>
        <v>6131611</v>
      </c>
      <c r="CQ43" s="192">
        <f t="shared" si="121"/>
        <v>7121744</v>
      </c>
      <c r="CR43" s="193">
        <f t="shared" si="121"/>
        <v>7121744</v>
      </c>
      <c r="CS43" s="192">
        <f>SUM(CS44:CS47)</f>
        <v>7222283</v>
      </c>
      <c r="CT43" s="192">
        <f>SUM(CT44:CT47)</f>
        <v>7519980</v>
      </c>
      <c r="CU43" s="192">
        <f>SUM(CU44:CU47)</f>
        <v>7782356</v>
      </c>
      <c r="CV43" s="192">
        <f>SUM(CV44:CV47)</f>
        <v>7690341</v>
      </c>
      <c r="CW43" s="193">
        <f t="shared" si="121"/>
        <v>7690341</v>
      </c>
      <c r="CX43" s="192">
        <f t="shared" si="121"/>
        <v>7718495</v>
      </c>
      <c r="CY43" s="192">
        <f>SUM(CY44:CY47)</f>
        <v>8498776</v>
      </c>
      <c r="CZ43" s="192">
        <f>SUM(CZ44:CZ47)</f>
        <v>8944691</v>
      </c>
      <c r="DA43" s="192">
        <f>SUM(DA44:DA47)</f>
        <v>8894662</v>
      </c>
      <c r="DB43" s="193">
        <f t="shared" si="121"/>
        <v>8894662</v>
      </c>
      <c r="DC43" s="192">
        <f>SUM(DC44:DC47)</f>
        <v>9350228</v>
      </c>
      <c r="DD43" s="192">
        <f>SUM(DD44:DD47)</f>
        <v>9786076</v>
      </c>
      <c r="DE43" s="192">
        <f>SUM(DE44:DE47)</f>
        <v>10433784</v>
      </c>
      <c r="DF43" s="192">
        <f>SUM(DF44:DF47)</f>
        <v>10227310</v>
      </c>
      <c r="DG43" s="193">
        <f t="shared" si="121"/>
        <v>10227310</v>
      </c>
      <c r="DH43" s="192">
        <f>SUM(DH44:DH47)</f>
        <v>10621011</v>
      </c>
      <c r="DI43" s="192">
        <f>SUM(DI44:DI47)</f>
        <v>11168036</v>
      </c>
      <c r="DJ43" s="192">
        <f ca="1">SUM(DJ44:DJ47)</f>
        <v>11692566.081197836</v>
      </c>
      <c r="DK43" s="192">
        <f ca="1">SUM(DK44:DK47)</f>
        <v>11808065.121570837</v>
      </c>
      <c r="DL43" s="193">
        <f ca="1">SUM(DL44:DL47)</f>
        <v>11808065.121570837</v>
      </c>
      <c r="DM43" s="192">
        <f t="shared" ref="DM43:EF43" ca="1" si="122">SUM(DM44:DM47)</f>
        <v>12345722.106923899</v>
      </c>
      <c r="DN43" s="192">
        <f t="shared" ca="1" si="122"/>
        <v>12901371.533524966</v>
      </c>
      <c r="DO43" s="192">
        <f t="shared" ca="1" si="122"/>
        <v>12503483.796814317</v>
      </c>
      <c r="DP43" s="192">
        <f t="shared" ca="1" si="122"/>
        <v>13080766.101790261</v>
      </c>
      <c r="DQ43" s="193">
        <f t="shared" ca="1" si="122"/>
        <v>13080766.101790261</v>
      </c>
      <c r="DR43" s="192">
        <f t="shared" ca="1" si="122"/>
        <v>11918050.670675427</v>
      </c>
      <c r="DS43" s="192">
        <f t="shared" ca="1" si="122"/>
        <v>12485903.143211601</v>
      </c>
      <c r="DT43" s="192">
        <f t="shared" ca="1" si="122"/>
        <v>13047571.008684844</v>
      </c>
      <c r="DU43" s="192">
        <f t="shared" ca="1" si="122"/>
        <v>13667405.632575583</v>
      </c>
      <c r="DV43" s="193">
        <f t="shared" ca="1" si="122"/>
        <v>13667405.632575583</v>
      </c>
      <c r="DW43" s="192">
        <f t="shared" ca="1" si="122"/>
        <v>12424410.767244726</v>
      </c>
      <c r="DX43" s="192">
        <f t="shared" ca="1" si="122"/>
        <v>13016867.886823384</v>
      </c>
      <c r="DY43" s="192">
        <f t="shared" ca="1" si="122"/>
        <v>13597749.306374798</v>
      </c>
      <c r="DZ43" s="192">
        <f t="shared" ca="1" si="122"/>
        <v>14252117.272734106</v>
      </c>
      <c r="EA43" s="193">
        <f t="shared" ca="1" si="122"/>
        <v>14252117.272734106</v>
      </c>
      <c r="EB43" s="192">
        <f t="shared" ca="1" si="122"/>
        <v>12973585.553632421</v>
      </c>
      <c r="EC43" s="192">
        <f t="shared" ca="1" si="122"/>
        <v>13627874.069259916</v>
      </c>
      <c r="ED43" s="192">
        <f t="shared" ca="1" si="122"/>
        <v>14272879.730206639</v>
      </c>
      <c r="EE43" s="192">
        <f t="shared" ca="1" si="122"/>
        <v>14990962.181723457</v>
      </c>
      <c r="EF43" s="193">
        <f t="shared" ca="1" si="122"/>
        <v>14990962.181723457</v>
      </c>
    </row>
    <row r="44" spans="1:136" outlineLevel="1">
      <c r="A44" s="71" t="s">
        <v>80</v>
      </c>
      <c r="B44" s="160">
        <v>163566</v>
      </c>
      <c r="C44" s="160">
        <v>163566</v>
      </c>
      <c r="D44" s="160">
        <v>163566</v>
      </c>
      <c r="E44" s="160">
        <v>311231</v>
      </c>
      <c r="F44" s="89">
        <f>E44</f>
        <v>311231</v>
      </c>
      <c r="G44" s="160">
        <v>311231</v>
      </c>
      <c r="H44" s="160">
        <v>311231</v>
      </c>
      <c r="I44" s="160">
        <v>819045</v>
      </c>
      <c r="J44" s="160">
        <v>819045</v>
      </c>
      <c r="K44" s="89">
        <f>J44</f>
        <v>819045</v>
      </c>
      <c r="L44" s="160">
        <v>819045</v>
      </c>
      <c r="M44" s="160">
        <v>852877</v>
      </c>
      <c r="N44" s="160">
        <v>1581527</v>
      </c>
      <c r="O44" s="160">
        <v>1581527</v>
      </c>
      <c r="P44" s="89">
        <f>O44</f>
        <v>1581527</v>
      </c>
      <c r="Q44" s="160">
        <v>1581527</v>
      </c>
      <c r="R44" s="160">
        <v>1356084</v>
      </c>
      <c r="S44" s="160">
        <v>1356156</v>
      </c>
      <c r="T44" s="160">
        <v>1356156</v>
      </c>
      <c r="U44" s="89">
        <f>T44</f>
        <v>1356156</v>
      </c>
      <c r="V44" s="160">
        <v>1356156</v>
      </c>
      <c r="W44" s="160">
        <f>1357033</f>
        <v>1357033</v>
      </c>
      <c r="X44" s="160">
        <f>1357033</f>
        <v>1357033</v>
      </c>
      <c r="Y44" s="160">
        <v>1357355</v>
      </c>
      <c r="Z44" s="89">
        <f>Y44</f>
        <v>1357355</v>
      </c>
      <c r="AA44" s="160">
        <f>1357355</f>
        <v>1357355</v>
      </c>
      <c r="AB44" s="160">
        <f>1398394</f>
        <v>1398394</v>
      </c>
      <c r="AC44" s="160">
        <v>1399165</v>
      </c>
      <c r="AD44" s="160">
        <v>2549139</v>
      </c>
      <c r="AE44" s="89">
        <f>AD44</f>
        <v>2549139</v>
      </c>
      <c r="AF44" s="160">
        <v>2548310</v>
      </c>
      <c r="AG44" s="160">
        <v>2548497</v>
      </c>
      <c r="AH44" s="160">
        <v>2549010</v>
      </c>
      <c r="AI44" s="160">
        <v>2548695</v>
      </c>
      <c r="AJ44" s="89">
        <f>AI44</f>
        <v>2548695</v>
      </c>
      <c r="AK44" s="160">
        <f>2548695</f>
        <v>2548695</v>
      </c>
      <c r="AL44" s="160">
        <f>2548695</f>
        <v>2548695</v>
      </c>
      <c r="AM44" s="160">
        <v>2548695</v>
      </c>
      <c r="AN44" s="160">
        <f>2583576-34881</f>
        <v>2548695</v>
      </c>
      <c r="AO44" s="89">
        <f>AN44</f>
        <v>2548695</v>
      </c>
      <c r="AP44" s="160">
        <f>2583576-34881</f>
        <v>2548695</v>
      </c>
      <c r="AQ44" s="160">
        <f>2583576-34881</f>
        <v>2548695</v>
      </c>
      <c r="AR44" s="160">
        <f>2583576-34881</f>
        <v>2548695</v>
      </c>
      <c r="AS44" s="160">
        <f>2583576-34881</f>
        <v>2548695</v>
      </c>
      <c r="AT44" s="89">
        <f>AS44</f>
        <v>2548695</v>
      </c>
      <c r="AU44" s="160">
        <f>2583576-34881</f>
        <v>2548695</v>
      </c>
      <c r="AV44" s="160">
        <f>2583576-34881</f>
        <v>2548695</v>
      </c>
      <c r="AW44" s="160">
        <f>2583576-34881</f>
        <v>2548695</v>
      </c>
      <c r="AX44" s="160">
        <f>2583576-34881</f>
        <v>2548695</v>
      </c>
      <c r="AY44" s="89">
        <f>AX44</f>
        <v>2548695</v>
      </c>
      <c r="AZ44" s="160">
        <f>2583576-34881</f>
        <v>2548695</v>
      </c>
      <c r="BA44" s="160">
        <f>3095744-34881</f>
        <v>3060863</v>
      </c>
      <c r="BB44" s="160">
        <f>3095745-34881</f>
        <v>3060864</v>
      </c>
      <c r="BC44" s="160">
        <f>3095744-34881</f>
        <v>3060863</v>
      </c>
      <c r="BD44" s="89">
        <f>BC44</f>
        <v>3060863</v>
      </c>
      <c r="BE44" s="160">
        <f>3095744-34881</f>
        <v>3060863</v>
      </c>
      <c r="BF44" s="160">
        <f>3095744-65124</f>
        <v>3030620</v>
      </c>
      <c r="BG44" s="160">
        <f>3095744-34881-30243</f>
        <v>3030620</v>
      </c>
      <c r="BH44" s="160">
        <f>3095744-102251</f>
        <v>2993493</v>
      </c>
      <c r="BI44" s="89">
        <f>BH44</f>
        <v>2993493</v>
      </c>
      <c r="BJ44" s="160">
        <f>3095744-102251</f>
        <v>2993493</v>
      </c>
      <c r="BK44" s="160">
        <f>3395744-103967</f>
        <v>3291777</v>
      </c>
      <c r="BL44" s="160">
        <f>3395744-103967</f>
        <v>3291777</v>
      </c>
      <c r="BM44" s="160">
        <f>3395744-103967</f>
        <v>3291777</v>
      </c>
      <c r="BN44" s="89">
        <f>BM44</f>
        <v>3291777</v>
      </c>
      <c r="BO44" s="160">
        <f>3395744-103967</f>
        <v>3291777</v>
      </c>
      <c r="BP44" s="160">
        <f>3395744-103967</f>
        <v>3291777</v>
      </c>
      <c r="BQ44" s="160">
        <f>3395744-103967</f>
        <v>3291777</v>
      </c>
      <c r="BR44" s="160">
        <f>3395744-103967</f>
        <v>3291777</v>
      </c>
      <c r="BS44" s="89">
        <f>BR44</f>
        <v>3291777</v>
      </c>
      <c r="BT44" s="160">
        <f>3395744-103967</f>
        <v>3291777</v>
      </c>
      <c r="BU44" s="160">
        <f>3395744-103967</f>
        <v>3291777</v>
      </c>
      <c r="BV44" s="160">
        <f>3395744-103967</f>
        <v>3291777</v>
      </c>
      <c r="BW44" s="160">
        <f>3395744-103967</f>
        <v>3291777</v>
      </c>
      <c r="BX44" s="89">
        <f>BW44</f>
        <v>3291777</v>
      </c>
      <c r="BY44" s="160">
        <f>3395744-103967</f>
        <v>3291777</v>
      </c>
      <c r="BZ44" s="160">
        <f>3395744-103967</f>
        <v>3291777</v>
      </c>
      <c r="CA44" s="160">
        <f>3395744-103967</f>
        <v>3291777</v>
      </c>
      <c r="CB44" s="160">
        <f>3395744-103967</f>
        <v>3291777</v>
      </c>
      <c r="CC44" s="89">
        <f>CB44</f>
        <v>3291777</v>
      </c>
      <c r="CD44" s="160">
        <f>3395744-103967</f>
        <v>3291777</v>
      </c>
      <c r="CE44" s="160">
        <f>3395744-103967</f>
        <v>3291777</v>
      </c>
      <c r="CF44" s="160">
        <f>3395744-103967</f>
        <v>3291777</v>
      </c>
      <c r="CG44" s="160">
        <f>3395744-103967</f>
        <v>3291777</v>
      </c>
      <c r="CH44" s="89">
        <f>CG44</f>
        <v>3291777</v>
      </c>
      <c r="CI44" s="160">
        <f>3395744-103967</f>
        <v>3291777</v>
      </c>
      <c r="CJ44" s="160">
        <f>3395744-103967</f>
        <v>3291777</v>
      </c>
      <c r="CK44" s="160">
        <f>3395744-103967</f>
        <v>3291777</v>
      </c>
      <c r="CL44" s="160">
        <f>3395744-103967</f>
        <v>3291777</v>
      </c>
      <c r="CM44" s="89">
        <f>CL44</f>
        <v>3291777</v>
      </c>
      <c r="CN44" s="160">
        <f>3395744-103967</f>
        <v>3291777</v>
      </c>
      <c r="CO44" s="160">
        <f>3395744-103967</f>
        <v>3291777</v>
      </c>
      <c r="CP44" s="160">
        <f>3395744-103967</f>
        <v>3291777</v>
      </c>
      <c r="CQ44" s="160">
        <f>3395744-103967</f>
        <v>3291777</v>
      </c>
      <c r="CR44" s="89">
        <f>CQ44</f>
        <v>3291777</v>
      </c>
      <c r="CS44" s="160">
        <f>3395744-103967</f>
        <v>3291777</v>
      </c>
      <c r="CT44" s="160">
        <f>3395744-103967</f>
        <v>3291777</v>
      </c>
      <c r="CU44" s="160">
        <f>3395744-103967</f>
        <v>3291777</v>
      </c>
      <c r="CV44" s="160">
        <f>3395744-103967</f>
        <v>3291777</v>
      </c>
      <c r="CW44" s="89">
        <f>CV44</f>
        <v>3291777</v>
      </c>
      <c r="CX44" s="160">
        <f>3395744-103967</f>
        <v>3291777</v>
      </c>
      <c r="CY44" s="160">
        <f>3685000-12648</f>
        <v>3672352</v>
      </c>
      <c r="CZ44" s="160">
        <f>3685000-12648</f>
        <v>3672352</v>
      </c>
      <c r="DA44" s="160">
        <f>3685000-12648</f>
        <v>3672352</v>
      </c>
      <c r="DB44" s="89">
        <f t="shared" ref="DB44:EF44" si="123">DA44</f>
        <v>3672352</v>
      </c>
      <c r="DC44" s="160">
        <f>3685000-12648</f>
        <v>3672352</v>
      </c>
      <c r="DD44" s="160">
        <f>3685000-12648</f>
        <v>3672352</v>
      </c>
      <c r="DE44" s="160">
        <f>3685000-12648</f>
        <v>3672352</v>
      </c>
      <c r="DF44" s="160">
        <f>6184224+15064</f>
        <v>6199288</v>
      </c>
      <c r="DG44" s="89">
        <f t="shared" si="123"/>
        <v>6199288</v>
      </c>
      <c r="DH44" s="160">
        <f>6184224+22066</f>
        <v>6206290</v>
      </c>
      <c r="DI44" s="160">
        <f>6184224+33837</f>
        <v>6218061</v>
      </c>
      <c r="DJ44" s="160">
        <f t="shared" si="123"/>
        <v>6218061</v>
      </c>
      <c r="DK44" s="160">
        <f t="shared" si="123"/>
        <v>6218061</v>
      </c>
      <c r="DL44" s="89">
        <f t="shared" si="123"/>
        <v>6218061</v>
      </c>
      <c r="DM44" s="160">
        <f t="shared" si="123"/>
        <v>6218061</v>
      </c>
      <c r="DN44" s="160">
        <f t="shared" si="123"/>
        <v>6218061</v>
      </c>
      <c r="DO44" s="160">
        <f t="shared" si="123"/>
        <v>6218061</v>
      </c>
      <c r="DP44" s="160">
        <f t="shared" si="123"/>
        <v>6218061</v>
      </c>
      <c r="DQ44" s="89">
        <f t="shared" si="123"/>
        <v>6218061</v>
      </c>
      <c r="DR44" s="160">
        <f t="shared" si="123"/>
        <v>6218061</v>
      </c>
      <c r="DS44" s="160">
        <f t="shared" si="123"/>
        <v>6218061</v>
      </c>
      <c r="DT44" s="160">
        <f t="shared" si="123"/>
        <v>6218061</v>
      </c>
      <c r="DU44" s="160">
        <f t="shared" si="123"/>
        <v>6218061</v>
      </c>
      <c r="DV44" s="89">
        <f t="shared" si="123"/>
        <v>6218061</v>
      </c>
      <c r="DW44" s="160">
        <f t="shared" si="123"/>
        <v>6218061</v>
      </c>
      <c r="DX44" s="160">
        <f t="shared" si="123"/>
        <v>6218061</v>
      </c>
      <c r="DY44" s="160">
        <f t="shared" si="123"/>
        <v>6218061</v>
      </c>
      <c r="DZ44" s="160">
        <f t="shared" si="123"/>
        <v>6218061</v>
      </c>
      <c r="EA44" s="89">
        <f t="shared" si="123"/>
        <v>6218061</v>
      </c>
      <c r="EB44" s="160">
        <f t="shared" si="123"/>
        <v>6218061</v>
      </c>
      <c r="EC44" s="160">
        <f t="shared" si="123"/>
        <v>6218061</v>
      </c>
      <c r="ED44" s="160">
        <f t="shared" si="123"/>
        <v>6218061</v>
      </c>
      <c r="EE44" s="160">
        <f t="shared" si="123"/>
        <v>6218061</v>
      </c>
      <c r="EF44" s="89">
        <f t="shared" si="123"/>
        <v>6218061</v>
      </c>
    </row>
    <row r="45" spans="1:136" outlineLevel="1">
      <c r="A45" s="71" t="s">
        <v>81</v>
      </c>
      <c r="B45" s="160">
        <v>-11</v>
      </c>
      <c r="C45" s="160">
        <v>-11</v>
      </c>
      <c r="D45" s="160">
        <v>-11</v>
      </c>
      <c r="E45" s="160">
        <v>-11</v>
      </c>
      <c r="F45" s="89">
        <f>E45</f>
        <v>-11</v>
      </c>
      <c r="G45" s="160">
        <v>0</v>
      </c>
      <c r="H45" s="160">
        <v>0</v>
      </c>
      <c r="I45" s="160">
        <v>0</v>
      </c>
      <c r="J45" s="160">
        <v>-11</v>
      </c>
      <c r="K45" s="89">
        <f>J45</f>
        <v>-11</v>
      </c>
      <c r="L45" s="160">
        <v>-11</v>
      </c>
      <c r="M45" s="160">
        <v>-11</v>
      </c>
      <c r="N45" s="160">
        <f>M45</f>
        <v>-11</v>
      </c>
      <c r="O45" s="160">
        <f>N45</f>
        <v>-11</v>
      </c>
      <c r="P45" s="89">
        <f>O45</f>
        <v>-11</v>
      </c>
      <c r="Q45" s="160">
        <v>-11</v>
      </c>
      <c r="R45" s="160">
        <v>-11</v>
      </c>
      <c r="S45" s="160">
        <v>-11</v>
      </c>
      <c r="T45" s="160">
        <v>-11</v>
      </c>
      <c r="U45" s="89">
        <f>T45</f>
        <v>-11</v>
      </c>
      <c r="V45" s="160">
        <v>-11</v>
      </c>
      <c r="W45" s="160">
        <v>-11</v>
      </c>
      <c r="X45" s="160">
        <v>-11</v>
      </c>
      <c r="Y45" s="160">
        <v>-11</v>
      </c>
      <c r="Z45" s="89">
        <f>Y45</f>
        <v>-11</v>
      </c>
      <c r="AA45" s="160">
        <v>-11</v>
      </c>
      <c r="AB45" s="160">
        <v>-11</v>
      </c>
      <c r="AC45" s="160">
        <v>-11</v>
      </c>
      <c r="AD45" s="160">
        <v>-11</v>
      </c>
      <c r="AE45" s="89">
        <f>AD45</f>
        <v>-11</v>
      </c>
      <c r="AF45" s="160">
        <v>-11</v>
      </c>
      <c r="AG45" s="160">
        <v>-11</v>
      </c>
      <c r="AH45" s="160">
        <v>-11</v>
      </c>
      <c r="AI45" s="160">
        <v>-11</v>
      </c>
      <c r="AJ45" s="89">
        <f>AI45</f>
        <v>-11</v>
      </c>
      <c r="AK45" s="160">
        <v>-11</v>
      </c>
      <c r="AL45" s="160">
        <v>-11</v>
      </c>
      <c r="AM45" s="160">
        <v>-130692</v>
      </c>
      <c r="AN45" s="160">
        <v>-161874</v>
      </c>
      <c r="AO45" s="89">
        <f>AN45</f>
        <v>-161874</v>
      </c>
      <c r="AP45" s="160">
        <v>-161874</v>
      </c>
      <c r="AQ45" s="160">
        <v>-161882</v>
      </c>
      <c r="AR45" s="160">
        <v>-161886</v>
      </c>
      <c r="AS45" s="160">
        <v>-161887</v>
      </c>
      <c r="AT45" s="89">
        <f>AS45</f>
        <v>-161887</v>
      </c>
      <c r="AU45" s="160">
        <v>-161887</v>
      </c>
      <c r="AV45" s="160">
        <f>-137895-24000</f>
        <v>-161895</v>
      </c>
      <c r="AW45" s="160">
        <v>-137851</v>
      </c>
      <c r="AX45" s="160">
        <v>-246738</v>
      </c>
      <c r="AY45" s="89">
        <f>AX45</f>
        <v>-246738</v>
      </c>
      <c r="AZ45" s="160">
        <v>-300877</v>
      </c>
      <c r="BA45" s="160">
        <v>-78508</v>
      </c>
      <c r="BB45" s="160">
        <v>-161905</v>
      </c>
      <c r="BC45" s="160">
        <v>-220416</v>
      </c>
      <c r="BD45" s="89">
        <f>BC45</f>
        <v>-220416</v>
      </c>
      <c r="BE45" s="160">
        <v>-266796</v>
      </c>
      <c r="BF45" s="160">
        <v>-265512</v>
      </c>
      <c r="BG45" s="160">
        <v>-264240</v>
      </c>
      <c r="BH45" s="160">
        <v>-260627</v>
      </c>
      <c r="BI45" s="89">
        <f>BH45</f>
        <v>-260627</v>
      </c>
      <c r="BJ45" s="160">
        <v>-237011</v>
      </c>
      <c r="BK45" s="160">
        <v>-234176</v>
      </c>
      <c r="BL45" s="160">
        <v>-228655</v>
      </c>
      <c r="BM45" s="160">
        <v>-221925</v>
      </c>
      <c r="BN45" s="89">
        <f>BM45</f>
        <v>-221925</v>
      </c>
      <c r="BO45" s="160">
        <v>-221922</v>
      </c>
      <c r="BP45" s="160">
        <v>-216739</v>
      </c>
      <c r="BQ45" s="160">
        <v>-215508</v>
      </c>
      <c r="BR45" s="160">
        <v>-214887</v>
      </c>
      <c r="BS45" s="89">
        <f>BR45</f>
        <v>-214887</v>
      </c>
      <c r="BT45" s="160">
        <v>-212492</v>
      </c>
      <c r="BU45" s="160">
        <f>-196598</f>
        <v>-196598</v>
      </c>
      <c r="BV45" s="160">
        <v>-196598</v>
      </c>
      <c r="BW45" s="160">
        <v>-196598</v>
      </c>
      <c r="BX45" s="89">
        <f>BW45</f>
        <v>-196598</v>
      </c>
      <c r="BY45" s="160">
        <v>-194047</v>
      </c>
      <c r="BZ45" s="160">
        <v>-193371</v>
      </c>
      <c r="CA45" s="160">
        <v>-193203</v>
      </c>
      <c r="CB45" s="160">
        <v>-193203</v>
      </c>
      <c r="CC45" s="89">
        <f>CB45</f>
        <v>-193203</v>
      </c>
      <c r="CD45" s="160">
        <v>-193203</v>
      </c>
      <c r="CE45" s="160">
        <v>-193203</v>
      </c>
      <c r="CF45" s="160">
        <v>-192224</v>
      </c>
      <c r="CG45" s="160">
        <v>-192224</v>
      </c>
      <c r="CH45" s="89">
        <f>CG45</f>
        <v>-192224</v>
      </c>
      <c r="CI45" s="160">
        <v>-192224</v>
      </c>
      <c r="CJ45" s="160">
        <v>-192224</v>
      </c>
      <c r="CK45" s="160">
        <v>-192224</v>
      </c>
      <c r="CL45" s="160">
        <v>-192224</v>
      </c>
      <c r="CM45" s="89">
        <f>CL45</f>
        <v>-192224</v>
      </c>
      <c r="CN45" s="160">
        <v>-192224</v>
      </c>
      <c r="CO45" s="160">
        <v>-212224</v>
      </c>
      <c r="CP45" s="160">
        <v>-258886</v>
      </c>
      <c r="CQ45" s="160">
        <v>-298085</v>
      </c>
      <c r="CR45" s="89">
        <f>CQ45</f>
        <v>-298085</v>
      </c>
      <c r="CS45" s="160">
        <v>-308737</v>
      </c>
      <c r="CT45" s="160">
        <v>-308737</v>
      </c>
      <c r="CU45" s="160">
        <v>-308737</v>
      </c>
      <c r="CV45" s="160">
        <v>-308737</v>
      </c>
      <c r="CW45" s="89">
        <f>CV45</f>
        <v>-308737</v>
      </c>
      <c r="CX45" s="160">
        <v>-308737</v>
      </c>
      <c r="CY45" s="160">
        <v>-308737</v>
      </c>
      <c r="CZ45" s="160">
        <v>-308737</v>
      </c>
      <c r="DA45" s="160">
        <v>-265309</v>
      </c>
      <c r="DB45" s="89">
        <f t="shared" ref="DB45:EF45" si="124">DA45</f>
        <v>-265309</v>
      </c>
      <c r="DC45" s="160">
        <v>-268905</v>
      </c>
      <c r="DD45" s="160">
        <v>-268905</v>
      </c>
      <c r="DE45" s="160">
        <v>-268905</v>
      </c>
      <c r="DF45" s="160">
        <v>-268905</v>
      </c>
      <c r="DG45" s="89">
        <f t="shared" si="124"/>
        <v>-268905</v>
      </c>
      <c r="DH45" s="160">
        <v>-268905</v>
      </c>
      <c r="DI45" s="160">
        <v>-268905</v>
      </c>
      <c r="DJ45" s="330">
        <f t="shared" si="124"/>
        <v>-268905</v>
      </c>
      <c r="DK45" s="330">
        <f t="shared" si="124"/>
        <v>-268905</v>
      </c>
      <c r="DL45" s="89">
        <f t="shared" si="124"/>
        <v>-268905</v>
      </c>
      <c r="DM45" s="330">
        <f t="shared" si="124"/>
        <v>-268905</v>
      </c>
      <c r="DN45" s="330">
        <f t="shared" si="124"/>
        <v>-268905</v>
      </c>
      <c r="DO45" s="330">
        <f t="shared" si="124"/>
        <v>-268905</v>
      </c>
      <c r="DP45" s="330">
        <f t="shared" si="124"/>
        <v>-268905</v>
      </c>
      <c r="DQ45" s="89">
        <f t="shared" si="124"/>
        <v>-268905</v>
      </c>
      <c r="DR45" s="330">
        <f t="shared" si="124"/>
        <v>-268905</v>
      </c>
      <c r="DS45" s="330">
        <f t="shared" si="124"/>
        <v>-268905</v>
      </c>
      <c r="DT45" s="330">
        <f t="shared" si="124"/>
        <v>-268905</v>
      </c>
      <c r="DU45" s="330">
        <f t="shared" si="124"/>
        <v>-268905</v>
      </c>
      <c r="DV45" s="89">
        <f t="shared" si="124"/>
        <v>-268905</v>
      </c>
      <c r="DW45" s="330">
        <f t="shared" si="124"/>
        <v>-268905</v>
      </c>
      <c r="DX45" s="330">
        <f t="shared" si="124"/>
        <v>-268905</v>
      </c>
      <c r="DY45" s="330">
        <f t="shared" si="124"/>
        <v>-268905</v>
      </c>
      <c r="DZ45" s="330">
        <f t="shared" si="124"/>
        <v>-268905</v>
      </c>
      <c r="EA45" s="89">
        <f t="shared" si="124"/>
        <v>-268905</v>
      </c>
      <c r="EB45" s="330">
        <f t="shared" si="124"/>
        <v>-268905</v>
      </c>
      <c r="EC45" s="330">
        <f t="shared" si="124"/>
        <v>-268905</v>
      </c>
      <c r="ED45" s="330">
        <f t="shared" si="124"/>
        <v>-268905</v>
      </c>
      <c r="EE45" s="330">
        <f t="shared" si="124"/>
        <v>-268905</v>
      </c>
      <c r="EF45" s="89">
        <f t="shared" si="124"/>
        <v>-268905</v>
      </c>
    </row>
    <row r="46" spans="1:136" outlineLevel="1">
      <c r="A46" s="71" t="s">
        <v>139</v>
      </c>
      <c r="B46" s="160">
        <v>0</v>
      </c>
      <c r="C46" s="160">
        <v>0</v>
      </c>
      <c r="D46" s="160">
        <v>0</v>
      </c>
      <c r="E46" s="160"/>
      <c r="F46" s="89">
        <f>E46</f>
        <v>0</v>
      </c>
      <c r="G46" s="160">
        <v>0</v>
      </c>
      <c r="H46" s="160"/>
      <c r="I46" s="160"/>
      <c r="J46" s="160">
        <v>0</v>
      </c>
      <c r="K46" s="89">
        <f>J46</f>
        <v>0</v>
      </c>
      <c r="L46" s="160">
        <v>0</v>
      </c>
      <c r="M46" s="160">
        <v>0</v>
      </c>
      <c r="N46" s="160">
        <v>0</v>
      </c>
      <c r="O46" s="160">
        <v>0</v>
      </c>
      <c r="P46" s="89">
        <f>O46</f>
        <v>0</v>
      </c>
      <c r="Q46" s="160">
        <v>0</v>
      </c>
      <c r="R46" s="160">
        <v>0</v>
      </c>
      <c r="S46" s="160">
        <v>0</v>
      </c>
      <c r="T46" s="160">
        <v>0</v>
      </c>
      <c r="U46" s="89">
        <f>T46</f>
        <v>0</v>
      </c>
      <c r="V46" s="160">
        <v>0</v>
      </c>
      <c r="W46" s="160">
        <v>0</v>
      </c>
      <c r="X46" s="160">
        <v>0</v>
      </c>
      <c r="Y46" s="160">
        <v>23522</v>
      </c>
      <c r="Z46" s="89">
        <f>Y46</f>
        <v>23522</v>
      </c>
      <c r="AA46" s="160">
        <v>27592</v>
      </c>
      <c r="AB46" s="160">
        <v>32135</v>
      </c>
      <c r="AC46" s="160">
        <v>36480</v>
      </c>
      <c r="AD46" s="160">
        <v>40362</v>
      </c>
      <c r="AE46" s="89">
        <f>AD46</f>
        <v>40362</v>
      </c>
      <c r="AF46" s="160">
        <v>44968</v>
      </c>
      <c r="AG46" s="160">
        <v>49493</v>
      </c>
      <c r="AH46" s="160">
        <v>53813</v>
      </c>
      <c r="AI46" s="160">
        <v>60250</v>
      </c>
      <c r="AJ46" s="89">
        <f>AI46</f>
        <v>60250</v>
      </c>
      <c r="AK46" s="160">
        <v>64148</v>
      </c>
      <c r="AL46" s="160">
        <v>66684</v>
      </c>
      <c r="AM46" s="160">
        <v>71679</v>
      </c>
      <c r="AN46" s="160">
        <v>83402</v>
      </c>
      <c r="AO46" s="89">
        <f>AN46</f>
        <v>83402</v>
      </c>
      <c r="AP46" s="160">
        <v>91394</v>
      </c>
      <c r="AQ46" s="160">
        <v>99479</v>
      </c>
      <c r="AR46" s="160">
        <v>105813</v>
      </c>
      <c r="AS46" s="160">
        <v>99374</v>
      </c>
      <c r="AT46" s="89">
        <f>AS46</f>
        <v>99374</v>
      </c>
      <c r="AU46" s="160">
        <v>104581</v>
      </c>
      <c r="AV46" s="160">
        <f>84737+24000</f>
        <v>108737</v>
      </c>
      <c r="AW46" s="160">
        <v>88394</v>
      </c>
      <c r="AX46" s="160">
        <v>94022</v>
      </c>
      <c r="AY46" s="89">
        <f>AX46</f>
        <v>94022</v>
      </c>
      <c r="AZ46" s="160">
        <v>100037</v>
      </c>
      <c r="BA46" s="160">
        <v>101985</v>
      </c>
      <c r="BB46" s="160">
        <v>104527</v>
      </c>
      <c r="BC46" s="160">
        <v>104825</v>
      </c>
      <c r="BD46" s="89">
        <f>BC46</f>
        <v>104825</v>
      </c>
      <c r="BE46" s="160">
        <v>105489</v>
      </c>
      <c r="BF46" s="160">
        <v>89288</v>
      </c>
      <c r="BG46" s="160">
        <v>89157</v>
      </c>
      <c r="BH46" s="160">
        <v>90329</v>
      </c>
      <c r="BI46" s="89">
        <f>BH46</f>
        <v>90329</v>
      </c>
      <c r="BJ46" s="160">
        <v>70898</v>
      </c>
      <c r="BK46" s="160">
        <v>70493</v>
      </c>
      <c r="BL46" s="160">
        <v>66624</v>
      </c>
      <c r="BM46" s="160">
        <v>61787</v>
      </c>
      <c r="BN46" s="89">
        <f>BM46</f>
        <v>61787</v>
      </c>
      <c r="BO46" s="160">
        <v>63493</v>
      </c>
      <c r="BP46" s="160">
        <v>60068</v>
      </c>
      <c r="BQ46" s="160">
        <v>60166</v>
      </c>
      <c r="BR46" s="160">
        <v>61216</v>
      </c>
      <c r="BS46" s="89">
        <f>BR46</f>
        <v>61216</v>
      </c>
      <c r="BT46" s="160">
        <v>60114</v>
      </c>
      <c r="BU46" s="160">
        <v>37998</v>
      </c>
      <c r="BV46" s="160">
        <v>38319</v>
      </c>
      <c r="BW46" s="160">
        <v>38592</v>
      </c>
      <c r="BX46" s="89">
        <f>BW46</f>
        <v>38592</v>
      </c>
      <c r="BY46" s="160">
        <v>33620</v>
      </c>
      <c r="BZ46" s="160">
        <v>32248</v>
      </c>
      <c r="CA46" s="160">
        <v>32106</v>
      </c>
      <c r="CB46" s="160">
        <v>32131</v>
      </c>
      <c r="CC46" s="89">
        <f>CB46</f>
        <v>32131</v>
      </c>
      <c r="CD46" s="160">
        <v>32157</v>
      </c>
      <c r="CE46" s="160">
        <v>32182</v>
      </c>
      <c r="CF46" s="160">
        <v>31212</v>
      </c>
      <c r="CG46" s="160">
        <v>31212</v>
      </c>
      <c r="CH46" s="89">
        <f>CG46</f>
        <v>31212</v>
      </c>
      <c r="CI46" s="160">
        <v>31212</v>
      </c>
      <c r="CJ46" s="160">
        <v>31212</v>
      </c>
      <c r="CK46" s="160">
        <v>31212</v>
      </c>
      <c r="CL46" s="160">
        <v>31212</v>
      </c>
      <c r="CM46" s="89">
        <f>CL46</f>
        <v>31212</v>
      </c>
      <c r="CN46" s="160">
        <v>31212</v>
      </c>
      <c r="CO46" s="160">
        <v>31212</v>
      </c>
      <c r="CP46" s="160">
        <v>31212</v>
      </c>
      <c r="CQ46" s="160">
        <v>31212</v>
      </c>
      <c r="CR46" s="89">
        <f>CQ46</f>
        <v>31212</v>
      </c>
      <c r="CS46" s="160">
        <v>31212</v>
      </c>
      <c r="CT46" s="160">
        <v>31212</v>
      </c>
      <c r="CU46" s="160">
        <v>31212</v>
      </c>
      <c r="CV46" s="160">
        <v>31212</v>
      </c>
      <c r="CW46" s="89">
        <f>CV46</f>
        <v>31212</v>
      </c>
      <c r="CX46" s="160">
        <v>31212</v>
      </c>
      <c r="CY46" s="160">
        <v>31212</v>
      </c>
      <c r="CZ46" s="160">
        <v>31212</v>
      </c>
      <c r="DA46" s="160">
        <v>31212</v>
      </c>
      <c r="DB46" s="89">
        <f>DA46</f>
        <v>31212</v>
      </c>
      <c r="DC46" s="160">
        <v>31212</v>
      </c>
      <c r="DD46" s="160">
        <v>31212</v>
      </c>
      <c r="DE46" s="160">
        <v>31212</v>
      </c>
      <c r="DF46" s="160">
        <v>31212</v>
      </c>
      <c r="DG46" s="89">
        <f>DF46</f>
        <v>31212</v>
      </c>
      <c r="DH46" s="160">
        <v>31212</v>
      </c>
      <c r="DI46" s="160">
        <v>31212</v>
      </c>
      <c r="DJ46" s="160">
        <f>DI46+DI46-DH46</f>
        <v>31212</v>
      </c>
      <c r="DK46" s="160">
        <f>DJ46+DJ46-DI46</f>
        <v>31212</v>
      </c>
      <c r="DL46" s="89">
        <f>DK46</f>
        <v>31212</v>
      </c>
      <c r="DM46" s="160">
        <f>DK46+DK46-DJ46</f>
        <v>31212</v>
      </c>
      <c r="DN46" s="160">
        <f>DM46+DM46-DL46</f>
        <v>31212</v>
      </c>
      <c r="DO46" s="160">
        <f>DN46+DN46-DM46</f>
        <v>31212</v>
      </c>
      <c r="DP46" s="160">
        <f>DO46+DO46-DN46</f>
        <v>31212</v>
      </c>
      <c r="DQ46" s="89">
        <f>DP46</f>
        <v>31212</v>
      </c>
      <c r="DR46" s="160">
        <f>DP46+DP46-DO46</f>
        <v>31212</v>
      </c>
      <c r="DS46" s="160">
        <f>DR46+DR46-DQ46</f>
        <v>31212</v>
      </c>
      <c r="DT46" s="160">
        <f>DS46+DS46-DR46</f>
        <v>31212</v>
      </c>
      <c r="DU46" s="160">
        <f>DT46+DT46-DS46</f>
        <v>31212</v>
      </c>
      <c r="DV46" s="89">
        <f>DU46</f>
        <v>31212</v>
      </c>
      <c r="DW46" s="160">
        <f>DU46+DU46-DT46</f>
        <v>31212</v>
      </c>
      <c r="DX46" s="160">
        <f>DW46+DW46-DV46</f>
        <v>31212</v>
      </c>
      <c r="DY46" s="160">
        <f>DX46+DX46-DW46</f>
        <v>31212</v>
      </c>
      <c r="DZ46" s="160">
        <f>DY46+DY46-DX46</f>
        <v>31212</v>
      </c>
      <c r="EA46" s="89">
        <f>DZ46</f>
        <v>31212</v>
      </c>
      <c r="EB46" s="160">
        <f>DZ46+DZ46-DY46</f>
        <v>31212</v>
      </c>
      <c r="EC46" s="160">
        <f>EB46+EB46-EA46</f>
        <v>31212</v>
      </c>
      <c r="ED46" s="160">
        <f>EC46+EC46-EB46</f>
        <v>31212</v>
      </c>
      <c r="EE46" s="160">
        <f>ED46+ED46-EC46</f>
        <v>31212</v>
      </c>
      <c r="EF46" s="89">
        <f>EE46</f>
        <v>31212</v>
      </c>
    </row>
    <row r="47" spans="1:136" s="157" customFormat="1" outlineLevel="1">
      <c r="A47" s="205" t="s">
        <v>732</v>
      </c>
      <c r="B47" s="209">
        <v>143170</v>
      </c>
      <c r="C47" s="209">
        <v>151938</v>
      </c>
      <c r="D47" s="209">
        <v>161403</v>
      </c>
      <c r="E47" s="209">
        <v>131133</v>
      </c>
      <c r="F47" s="211">
        <f>E47</f>
        <v>131133</v>
      </c>
      <c r="G47" s="209">
        <v>179170</v>
      </c>
      <c r="H47" s="209">
        <v>174119</v>
      </c>
      <c r="I47" s="209">
        <v>204614</v>
      </c>
      <c r="J47" s="209">
        <v>199759</v>
      </c>
      <c r="K47" s="211">
        <f>J47</f>
        <v>199759</v>
      </c>
      <c r="L47" s="209">
        <v>257162</v>
      </c>
      <c r="M47" s="209">
        <v>317305</v>
      </c>
      <c r="N47" s="209">
        <v>348590</v>
      </c>
      <c r="O47" s="209">
        <f>367034-1</f>
        <v>367033</v>
      </c>
      <c r="P47" s="211">
        <f>O47</f>
        <v>367033</v>
      </c>
      <c r="Q47" s="209">
        <v>423892</v>
      </c>
      <c r="R47" s="209">
        <v>607804</v>
      </c>
      <c r="S47" s="209">
        <v>637814</v>
      </c>
      <c r="T47" s="209">
        <v>714609</v>
      </c>
      <c r="U47" s="211">
        <f>T47</f>
        <v>714609</v>
      </c>
      <c r="V47" s="209">
        <f>714597+11+85849</f>
        <v>800457</v>
      </c>
      <c r="W47" s="209">
        <v>919660</v>
      </c>
      <c r="X47" s="209">
        <v>992046</v>
      </c>
      <c r="Y47" s="209">
        <f>740447-363</f>
        <v>740084</v>
      </c>
      <c r="Z47" s="211">
        <f>Y47</f>
        <v>740084</v>
      </c>
      <c r="AA47" s="209">
        <f>840904-1823</f>
        <v>839081</v>
      </c>
      <c r="AB47" s="209">
        <f>997975-3177</f>
        <v>994798</v>
      </c>
      <c r="AC47" s="209">
        <f>1262078-3076</f>
        <v>1259002</v>
      </c>
      <c r="AD47" s="209">
        <f>1270889-7575</f>
        <v>1263314</v>
      </c>
      <c r="AE47" s="211">
        <f>AD47</f>
        <v>1263314</v>
      </c>
      <c r="AF47" s="209">
        <f>1445129-7450</f>
        <v>1437679</v>
      </c>
      <c r="AG47" s="209">
        <f>1612578-8822</f>
        <v>1603756</v>
      </c>
      <c r="AH47" s="209">
        <f>1788612-10693</f>
        <v>1777919</v>
      </c>
      <c r="AI47" s="209">
        <f>1728579-11033</f>
        <v>1717546</v>
      </c>
      <c r="AJ47" s="211">
        <f>AI47</f>
        <v>1717546</v>
      </c>
      <c r="AK47" s="209">
        <f>1728579+74181-20566</f>
        <v>1782194</v>
      </c>
      <c r="AL47" s="209">
        <f>1898632-31169</f>
        <v>1867463</v>
      </c>
      <c r="AM47" s="209">
        <f>4860349-AM44-AM45-AM46-AM42</f>
        <v>2014486</v>
      </c>
      <c r="AN47" s="209">
        <f>2108435-33939</f>
        <v>2074496</v>
      </c>
      <c r="AO47" s="211">
        <f>AN47</f>
        <v>2074496</v>
      </c>
      <c r="AP47" s="209">
        <f>2108435-35078+117906</f>
        <v>2191263</v>
      </c>
      <c r="AQ47" s="209">
        <f>2108435+260651-28821</f>
        <v>2340265</v>
      </c>
      <c r="AR47" s="209">
        <f>5358811-AR44-AR45-AR46-AR42</f>
        <v>2490522</v>
      </c>
      <c r="AS47" s="209">
        <f>2419668+192129-35730</f>
        <v>2576067</v>
      </c>
      <c r="AT47" s="211">
        <f>AS47</f>
        <v>2576067</v>
      </c>
      <c r="AU47" s="209">
        <f>2419668+192129-35730+179019</f>
        <v>2755086</v>
      </c>
      <c r="AV47" s="209">
        <f>2367627+192129-40329+361706</f>
        <v>2881133</v>
      </c>
      <c r="AW47" s="209">
        <f>6322304-SUM(AW44:AW46)-AW42</f>
        <v>3055323</v>
      </c>
      <c r="AX47" s="209">
        <f>2879763+228071-42191</f>
        <v>3065643</v>
      </c>
      <c r="AY47" s="211">
        <f>AX47</f>
        <v>3065643</v>
      </c>
      <c r="AZ47" s="209">
        <f>2879763+228071-38757+163453</f>
        <v>3232530</v>
      </c>
      <c r="BA47" s="209">
        <f>2048234+228071+332347-41298</f>
        <v>2567354</v>
      </c>
      <c r="BB47" s="209">
        <f>2048233+228071+511476-37798</f>
        <v>2749982</v>
      </c>
      <c r="BC47" s="209">
        <f>2519551+261147-66879</f>
        <v>2713819</v>
      </c>
      <c r="BD47" s="211">
        <f>BC47</f>
        <v>2713819</v>
      </c>
      <c r="BE47" s="209">
        <f>2519551+261147-81918+100541</f>
        <v>2799321</v>
      </c>
      <c r="BF47" s="209">
        <f>2519551+261147-58716</f>
        <v>2721982</v>
      </c>
      <c r="BG47" s="209">
        <f>2519551+261147-58298+349779</f>
        <v>3072179</v>
      </c>
      <c r="BH47" s="209">
        <f>2838609+283537-58298</f>
        <v>3063848</v>
      </c>
      <c r="BI47" s="211">
        <f>BH47</f>
        <v>3063848</v>
      </c>
      <c r="BJ47" s="209">
        <f>2838609+283537-58298+61271</f>
        <v>3125119</v>
      </c>
      <c r="BK47" s="209">
        <f>2538609+283537-55323+105975</f>
        <v>2872798</v>
      </c>
      <c r="BL47" s="209">
        <f>2538609+283537-55634+120419</f>
        <v>2886931</v>
      </c>
      <c r="BM47" s="209">
        <f>2646447+291104-55634</f>
        <v>2881917</v>
      </c>
      <c r="BN47" s="211">
        <f>BM47</f>
        <v>2881917</v>
      </c>
      <c r="BO47" s="209">
        <f>2646447+291104-55634+4025</f>
        <v>2885942</v>
      </c>
      <c r="BP47" s="209">
        <f>2646447+291104-55785-137003</f>
        <v>2744763</v>
      </c>
      <c r="BQ47" s="209">
        <f>2646447+291104-55837-143766</f>
        <v>2737948</v>
      </c>
      <c r="BR47" s="209">
        <f>2551443+291104-56062</f>
        <v>2786485</v>
      </c>
      <c r="BS47" s="211">
        <f>BR47</f>
        <v>2786485</v>
      </c>
      <c r="BT47" s="209">
        <f>2355458+291104-56189-51283</f>
        <v>2539090</v>
      </c>
      <c r="BU47" s="209">
        <f>2155458+291104-56739-79721</f>
        <v>2310102</v>
      </c>
      <c r="BV47" s="209">
        <f>2155459+291104-57666-200474</f>
        <v>2188423</v>
      </c>
      <c r="BW47" s="209">
        <f>1723490+291104+183</f>
        <v>2014777</v>
      </c>
      <c r="BX47" s="211">
        <f>BW47</f>
        <v>2014777</v>
      </c>
      <c r="BY47" s="209">
        <f>1723490+291104+183+48409</f>
        <v>2063186</v>
      </c>
      <c r="BZ47" s="209">
        <f>1723490+291104+285</f>
        <v>2014879</v>
      </c>
      <c r="CA47" s="209">
        <f>1423490+291104+285+266626</f>
        <v>1981505</v>
      </c>
      <c r="CB47" s="209">
        <f>1319777+311896-2</f>
        <v>1631671</v>
      </c>
      <c r="CC47" s="211">
        <f>CB47</f>
        <v>1631671</v>
      </c>
      <c r="CD47" s="209">
        <f>1319777+311896+59+27934</f>
        <v>1659666</v>
      </c>
      <c r="CE47" s="209">
        <f>1319777+311896+95745-499</f>
        <v>1726919</v>
      </c>
      <c r="CF47" s="209">
        <f>1319777+1499024+311896-266</f>
        <v>3130431</v>
      </c>
      <c r="CG47" s="209">
        <f>1973960+399909+99</f>
        <v>2373968</v>
      </c>
      <c r="CH47" s="211">
        <f>CG47</f>
        <v>2373968</v>
      </c>
      <c r="CI47" s="209">
        <f>1973960+399909-746+192285</f>
        <v>2565408</v>
      </c>
      <c r="CJ47" s="209">
        <f>1973960+399909+459259-1679</f>
        <v>2831449</v>
      </c>
      <c r="CK47" s="209">
        <f>1973960+399909-2753+696804</f>
        <v>3067920</v>
      </c>
      <c r="CL47" s="209">
        <f>2625438+445627-3778</f>
        <v>3067287</v>
      </c>
      <c r="CM47" s="211">
        <f>CL47</f>
        <v>3067287</v>
      </c>
      <c r="CN47" s="209">
        <f>2787190+445627-6487</f>
        <v>3226330</v>
      </c>
      <c r="CO47" s="209">
        <f>2625438+445627-9981+312550</f>
        <v>3373634</v>
      </c>
      <c r="CP47" s="209">
        <f>2625438+445627-3557</f>
        <v>3067508</v>
      </c>
      <c r="CQ47" s="209">
        <f>3201239+486071+409530</f>
        <v>4096840</v>
      </c>
      <c r="CR47" s="211">
        <f>CQ47</f>
        <v>4096840</v>
      </c>
      <c r="CS47" s="209">
        <f>3364815+486071+357145</f>
        <v>4208031</v>
      </c>
      <c r="CT47" s="209">
        <f>3201239+486071+375457+442961</f>
        <v>4505728</v>
      </c>
      <c r="CU47" s="209">
        <f>3201239+486071+386514+694280</f>
        <v>4768104</v>
      </c>
      <c r="CV47" s="209">
        <f>3747478+533176+395435</f>
        <v>4676089</v>
      </c>
      <c r="CW47" s="211">
        <f>CV47</f>
        <v>4676089</v>
      </c>
      <c r="CX47" s="209">
        <f>3747478+533176+423589</f>
        <v>4704243</v>
      </c>
      <c r="CY47" s="209">
        <f>3458222+533176+679263+433288</f>
        <v>5103949</v>
      </c>
      <c r="CZ47" s="209">
        <f>3458222+533176+406102+1152364</f>
        <v>5549864</v>
      </c>
      <c r="DA47" s="209">
        <f>4437324+615626+403457</f>
        <v>5456407</v>
      </c>
      <c r="DB47" s="211">
        <f>DA47</f>
        <v>5456407</v>
      </c>
      <c r="DC47" s="209">
        <f>4437324+615626+534987+327632</f>
        <v>5915569</v>
      </c>
      <c r="DD47" s="209">
        <f>3262414+615626+583028+1174910+715439</f>
        <v>6351417</v>
      </c>
      <c r="DE47" s="209">
        <f>3262414+615626+621621+1174910+1324554</f>
        <v>6999125</v>
      </c>
      <c r="DF47" s="209">
        <f>2845440+715964+704311</f>
        <v>4265715</v>
      </c>
      <c r="DG47" s="211">
        <f>DF47</f>
        <v>4265715</v>
      </c>
      <c r="DH47" s="209">
        <f>2845440+715964+794234+296776</f>
        <v>4652414</v>
      </c>
      <c r="DI47" s="209">
        <f>2845440+715964+877912+748352</f>
        <v>5187668</v>
      </c>
      <c r="DJ47" s="215">
        <f ca="1">DI47+'Income Statement'!DJ47-'Income Statement'!DJ49</f>
        <v>5712198.0811978355</v>
      </c>
      <c r="DK47" s="215">
        <f ca="1">DJ47+'Income Statement'!DK47-'Income Statement'!DK49</f>
        <v>5827697.1215708368</v>
      </c>
      <c r="DL47" s="211">
        <f ca="1">DK47</f>
        <v>5827697.1215708368</v>
      </c>
      <c r="DM47" s="215">
        <f ca="1">DL47+'Income Statement'!DM47-'Income Statement'!DM49</f>
        <v>6365354.1069238987</v>
      </c>
      <c r="DN47" s="215">
        <f ca="1">DM47+'Income Statement'!DN47-'Income Statement'!DN49</f>
        <v>6921003.5335249659</v>
      </c>
      <c r="DO47" s="215">
        <f ca="1">DN47+'Income Statement'!DO47-'Income Statement'!DO49</f>
        <v>6523115.7968143169</v>
      </c>
      <c r="DP47" s="215">
        <f ca="1">DO47+'Income Statement'!DP47-'Income Statement'!DP49</f>
        <v>7100398.1017902596</v>
      </c>
      <c r="DQ47" s="211">
        <f ca="1">DP47</f>
        <v>7100398.1017902596</v>
      </c>
      <c r="DR47" s="215">
        <f ca="1">DQ47+'Income Statement'!DR47-'Income Statement'!DR49</f>
        <v>5937682.6706754258</v>
      </c>
      <c r="DS47" s="215">
        <f ca="1">DR47+'Income Statement'!DS47-'Income Statement'!DS49</f>
        <v>6505535.1432116013</v>
      </c>
      <c r="DT47" s="215">
        <f ca="1">DS47+'Income Statement'!DT47-'Income Statement'!DT49</f>
        <v>7067203.0086848428</v>
      </c>
      <c r="DU47" s="215">
        <f ca="1">DT47+'Income Statement'!DU47-'Income Statement'!DU49</f>
        <v>7687037.6325755818</v>
      </c>
      <c r="DV47" s="211">
        <f ca="1">DU47</f>
        <v>7687037.6325755818</v>
      </c>
      <c r="DW47" s="215">
        <f ca="1">DV47+'Income Statement'!DW47-'Income Statement'!DW49</f>
        <v>6444042.7672447264</v>
      </c>
      <c r="DX47" s="215">
        <f ca="1">DW47+'Income Statement'!DX47-'Income Statement'!DX49</f>
        <v>7036499.8868233841</v>
      </c>
      <c r="DY47" s="215">
        <f ca="1">DX47+'Income Statement'!DY47-'Income Statement'!DY49</f>
        <v>7617381.3063747976</v>
      </c>
      <c r="DZ47" s="215">
        <f ca="1">DY47+'Income Statement'!DZ47-'Income Statement'!DZ49</f>
        <v>8271749.2727341047</v>
      </c>
      <c r="EA47" s="211">
        <f ca="1">DZ47</f>
        <v>8271749.2727341047</v>
      </c>
      <c r="EB47" s="215">
        <f ca="1">EA47+'Income Statement'!EB47-'Income Statement'!EB49</f>
        <v>6993217.5536324214</v>
      </c>
      <c r="EC47" s="215">
        <f ca="1">EB47+'Income Statement'!EC47-'Income Statement'!EC49</f>
        <v>7647506.0692599155</v>
      </c>
      <c r="ED47" s="215">
        <f ca="1">EC47+'Income Statement'!ED47-'Income Statement'!ED49</f>
        <v>8292511.7302066395</v>
      </c>
      <c r="EE47" s="215">
        <f ca="1">ED47+'Income Statement'!EE47-'Income Statement'!EE49</f>
        <v>9010594.1817234568</v>
      </c>
      <c r="EF47" s="211">
        <f ca="1">EE47</f>
        <v>9010594.1817234568</v>
      </c>
    </row>
    <row r="48" spans="1:136" s="216" customFormat="1">
      <c r="A48" s="216" t="s">
        <v>43</v>
      </c>
      <c r="B48" s="217">
        <f t="shared" ref="B48:AG48" si="125">B26-B4</f>
        <v>0</v>
      </c>
      <c r="C48" s="217">
        <f t="shared" si="125"/>
        <v>0</v>
      </c>
      <c r="D48" s="217">
        <f t="shared" si="125"/>
        <v>0</v>
      </c>
      <c r="E48" s="217">
        <f t="shared" si="125"/>
        <v>0</v>
      </c>
      <c r="F48" s="218">
        <f t="shared" si="125"/>
        <v>0</v>
      </c>
      <c r="G48" s="217">
        <f t="shared" si="125"/>
        <v>370566</v>
      </c>
      <c r="H48" s="217">
        <f t="shared" si="125"/>
        <v>0</v>
      </c>
      <c r="I48" s="217">
        <f t="shared" si="125"/>
        <v>0</v>
      </c>
      <c r="J48" s="217">
        <f t="shared" si="125"/>
        <v>0</v>
      </c>
      <c r="K48" s="218">
        <f t="shared" si="125"/>
        <v>0</v>
      </c>
      <c r="L48" s="217">
        <f t="shared" si="125"/>
        <v>0</v>
      </c>
      <c r="M48" s="217">
        <f t="shared" si="125"/>
        <v>0</v>
      </c>
      <c r="N48" s="217">
        <f t="shared" si="125"/>
        <v>1000</v>
      </c>
      <c r="O48" s="217">
        <f t="shared" si="125"/>
        <v>0</v>
      </c>
      <c r="P48" s="218">
        <f t="shared" si="125"/>
        <v>0</v>
      </c>
      <c r="Q48" s="217">
        <f t="shared" si="125"/>
        <v>0</v>
      </c>
      <c r="R48" s="217">
        <f t="shared" si="125"/>
        <v>0</v>
      </c>
      <c r="S48" s="217">
        <f t="shared" si="125"/>
        <v>100</v>
      </c>
      <c r="T48" s="217">
        <f t="shared" si="125"/>
        <v>0</v>
      </c>
      <c r="U48" s="218">
        <f t="shared" si="125"/>
        <v>0</v>
      </c>
      <c r="V48" s="217">
        <f t="shared" si="125"/>
        <v>1000</v>
      </c>
      <c r="W48" s="217">
        <f t="shared" si="125"/>
        <v>0</v>
      </c>
      <c r="X48" s="217">
        <f t="shared" si="125"/>
        <v>0</v>
      </c>
      <c r="Y48" s="217">
        <f t="shared" si="125"/>
        <v>0</v>
      </c>
      <c r="Z48" s="218">
        <f t="shared" si="125"/>
        <v>0</v>
      </c>
      <c r="AA48" s="217">
        <f t="shared" si="125"/>
        <v>0</v>
      </c>
      <c r="AB48" s="217">
        <f t="shared" si="125"/>
        <v>0</v>
      </c>
      <c r="AC48" s="217">
        <f t="shared" si="125"/>
        <v>0</v>
      </c>
      <c r="AD48" s="217">
        <f t="shared" si="125"/>
        <v>0</v>
      </c>
      <c r="AE48" s="218">
        <f t="shared" si="125"/>
        <v>0</v>
      </c>
      <c r="AF48" s="217">
        <f t="shared" si="125"/>
        <v>0</v>
      </c>
      <c r="AG48" s="217">
        <f t="shared" si="125"/>
        <v>0</v>
      </c>
      <c r="AH48" s="217">
        <f t="shared" ref="AH48:BM48" si="126">AH26-AH4</f>
        <v>0</v>
      </c>
      <c r="AI48" s="217">
        <f t="shared" si="126"/>
        <v>0</v>
      </c>
      <c r="AJ48" s="218">
        <f t="shared" si="126"/>
        <v>0</v>
      </c>
      <c r="AK48" s="217">
        <f t="shared" si="126"/>
        <v>0</v>
      </c>
      <c r="AL48" s="217">
        <f t="shared" si="126"/>
        <v>0</v>
      </c>
      <c r="AM48" s="217">
        <f t="shared" si="126"/>
        <v>0</v>
      </c>
      <c r="AN48" s="217">
        <f t="shared" si="126"/>
        <v>0</v>
      </c>
      <c r="AO48" s="218">
        <f t="shared" si="126"/>
        <v>0</v>
      </c>
      <c r="AP48" s="217">
        <f>AP26-AP4</f>
        <v>0</v>
      </c>
      <c r="AQ48" s="217">
        <f t="shared" si="126"/>
        <v>0</v>
      </c>
      <c r="AR48" s="217">
        <f t="shared" si="126"/>
        <v>0</v>
      </c>
      <c r="AS48" s="217">
        <f t="shared" si="126"/>
        <v>0</v>
      </c>
      <c r="AT48" s="218">
        <f t="shared" si="126"/>
        <v>0</v>
      </c>
      <c r="AU48" s="217">
        <f t="shared" si="126"/>
        <v>0</v>
      </c>
      <c r="AV48" s="217">
        <f t="shared" si="126"/>
        <v>0</v>
      </c>
      <c r="AW48" s="217">
        <f t="shared" si="126"/>
        <v>0</v>
      </c>
      <c r="AX48" s="217">
        <f t="shared" si="126"/>
        <v>0</v>
      </c>
      <c r="AY48" s="218">
        <f t="shared" si="126"/>
        <v>0</v>
      </c>
      <c r="AZ48" s="217">
        <f t="shared" si="126"/>
        <v>0</v>
      </c>
      <c r="BA48" s="217">
        <f t="shared" si="126"/>
        <v>0</v>
      </c>
      <c r="BB48" s="217">
        <f t="shared" si="126"/>
        <v>0</v>
      </c>
      <c r="BC48" s="217">
        <f t="shared" si="126"/>
        <v>0</v>
      </c>
      <c r="BD48" s="218">
        <f t="shared" si="126"/>
        <v>0</v>
      </c>
      <c r="BE48" s="217">
        <f t="shared" si="126"/>
        <v>0</v>
      </c>
      <c r="BF48" s="217">
        <f t="shared" si="126"/>
        <v>0</v>
      </c>
      <c r="BG48" s="217">
        <f t="shared" si="126"/>
        <v>0</v>
      </c>
      <c r="BH48" s="217">
        <f t="shared" si="126"/>
        <v>0</v>
      </c>
      <c r="BI48" s="218">
        <f t="shared" si="126"/>
        <v>0</v>
      </c>
      <c r="BJ48" s="217">
        <f t="shared" si="126"/>
        <v>0</v>
      </c>
      <c r="BK48" s="217">
        <f t="shared" si="126"/>
        <v>0</v>
      </c>
      <c r="BL48" s="217">
        <f t="shared" si="126"/>
        <v>0</v>
      </c>
      <c r="BM48" s="217">
        <f t="shared" si="126"/>
        <v>0</v>
      </c>
      <c r="BN48" s="218">
        <f t="shared" ref="BN48:CC48" si="127">BN26-BN4</f>
        <v>0</v>
      </c>
      <c r="BO48" s="217">
        <f t="shared" si="127"/>
        <v>0</v>
      </c>
      <c r="BP48" s="217">
        <f t="shared" si="127"/>
        <v>0</v>
      </c>
      <c r="BQ48" s="217">
        <f t="shared" si="127"/>
        <v>0</v>
      </c>
      <c r="BR48" s="217">
        <f t="shared" si="127"/>
        <v>0</v>
      </c>
      <c r="BS48" s="218">
        <f t="shared" si="127"/>
        <v>0</v>
      </c>
      <c r="BT48" s="217">
        <f t="shared" si="127"/>
        <v>0</v>
      </c>
      <c r="BU48" s="217">
        <f t="shared" si="127"/>
        <v>0</v>
      </c>
      <c r="BV48" s="217">
        <f t="shared" si="127"/>
        <v>0</v>
      </c>
      <c r="BW48" s="217">
        <f t="shared" si="127"/>
        <v>0</v>
      </c>
      <c r="BX48" s="218">
        <f t="shared" si="127"/>
        <v>0</v>
      </c>
      <c r="BY48" s="217">
        <f t="shared" si="127"/>
        <v>0</v>
      </c>
      <c r="BZ48" s="217">
        <f t="shared" si="127"/>
        <v>0</v>
      </c>
      <c r="CA48" s="217">
        <f t="shared" si="127"/>
        <v>0</v>
      </c>
      <c r="CB48" s="217">
        <f t="shared" si="127"/>
        <v>0</v>
      </c>
      <c r="CC48" s="218">
        <f t="shared" si="127"/>
        <v>0</v>
      </c>
      <c r="CD48" s="217">
        <f t="shared" ref="CD48:DG48" si="128">CD26-CD4</f>
        <v>0</v>
      </c>
      <c r="CE48" s="217">
        <f t="shared" si="128"/>
        <v>0</v>
      </c>
      <c r="CF48" s="217">
        <f t="shared" si="128"/>
        <v>0</v>
      </c>
      <c r="CG48" s="217">
        <f t="shared" si="128"/>
        <v>0</v>
      </c>
      <c r="CH48" s="218">
        <f t="shared" si="128"/>
        <v>0</v>
      </c>
      <c r="CI48" s="217">
        <f t="shared" si="128"/>
        <v>0</v>
      </c>
      <c r="CJ48" s="217">
        <f t="shared" si="128"/>
        <v>0</v>
      </c>
      <c r="CK48" s="217">
        <f>CK26-CK4</f>
        <v>0</v>
      </c>
      <c r="CL48" s="217">
        <f t="shared" si="128"/>
        <v>0</v>
      </c>
      <c r="CM48" s="218">
        <f t="shared" si="128"/>
        <v>0</v>
      </c>
      <c r="CN48" s="217">
        <f>CN26-CN4</f>
        <v>0</v>
      </c>
      <c r="CO48" s="217">
        <f t="shared" si="128"/>
        <v>0</v>
      </c>
      <c r="CP48" s="217">
        <f t="shared" si="128"/>
        <v>0</v>
      </c>
      <c r="CQ48" s="217">
        <f t="shared" si="128"/>
        <v>0</v>
      </c>
      <c r="CR48" s="218">
        <f t="shared" si="128"/>
        <v>0</v>
      </c>
      <c r="CS48" s="217">
        <f t="shared" si="128"/>
        <v>0</v>
      </c>
      <c r="CT48" s="217">
        <f t="shared" si="128"/>
        <v>0</v>
      </c>
      <c r="CU48" s="217">
        <f t="shared" si="128"/>
        <v>0</v>
      </c>
      <c r="CV48" s="217">
        <f>CV26-CV4</f>
        <v>0</v>
      </c>
      <c r="CW48" s="218">
        <f t="shared" si="128"/>
        <v>0</v>
      </c>
      <c r="CX48" s="217">
        <f>CX26-CX4</f>
        <v>0</v>
      </c>
      <c r="CY48" s="217">
        <f t="shared" si="128"/>
        <v>0</v>
      </c>
      <c r="CZ48" s="217">
        <f t="shared" ref="CZ48" si="129">CZ26-CZ4</f>
        <v>0</v>
      </c>
      <c r="DA48" s="217">
        <f>DA26-DA4</f>
        <v>0</v>
      </c>
      <c r="DB48" s="218">
        <f t="shared" si="128"/>
        <v>0</v>
      </c>
      <c r="DC48" s="217">
        <f t="shared" si="128"/>
        <v>0</v>
      </c>
      <c r="DD48" s="217">
        <f t="shared" si="128"/>
        <v>0</v>
      </c>
      <c r="DE48" s="217">
        <f t="shared" si="128"/>
        <v>0</v>
      </c>
      <c r="DF48" s="217">
        <f t="shared" si="128"/>
        <v>0</v>
      </c>
      <c r="DG48" s="218">
        <f t="shared" si="128"/>
        <v>0</v>
      </c>
      <c r="DH48" s="217">
        <f>DH26-DH4</f>
        <v>0</v>
      </c>
      <c r="DI48" s="217">
        <f>DI26-DI4</f>
        <v>0</v>
      </c>
      <c r="DJ48" s="217">
        <f ca="1">DJ26-DJ4</f>
        <v>0</v>
      </c>
      <c r="DK48" s="217">
        <f ca="1">DK26-DK4</f>
        <v>0</v>
      </c>
      <c r="DL48" s="218">
        <f ca="1">DL26-DL4</f>
        <v>0</v>
      </c>
      <c r="DM48" s="217">
        <f t="shared" ref="DM48:EF48" ca="1" si="130">DM26-DM4</f>
        <v>0</v>
      </c>
      <c r="DN48" s="217">
        <f t="shared" ca="1" si="130"/>
        <v>0</v>
      </c>
      <c r="DO48" s="217">
        <f t="shared" ca="1" si="130"/>
        <v>0</v>
      </c>
      <c r="DP48" s="217">
        <f t="shared" ca="1" si="130"/>
        <v>0</v>
      </c>
      <c r="DQ48" s="218">
        <f t="shared" ca="1" si="130"/>
        <v>0</v>
      </c>
      <c r="DR48" s="217">
        <f t="shared" ca="1" si="130"/>
        <v>0</v>
      </c>
      <c r="DS48" s="217">
        <f t="shared" ca="1" si="130"/>
        <v>0</v>
      </c>
      <c r="DT48" s="217">
        <f t="shared" ca="1" si="130"/>
        <v>0</v>
      </c>
      <c r="DU48" s="217">
        <f t="shared" ca="1" si="130"/>
        <v>0</v>
      </c>
      <c r="DV48" s="218">
        <f t="shared" ca="1" si="130"/>
        <v>0</v>
      </c>
      <c r="DW48" s="217">
        <f t="shared" ca="1" si="130"/>
        <v>0</v>
      </c>
      <c r="DX48" s="217">
        <f t="shared" ca="1" si="130"/>
        <v>0</v>
      </c>
      <c r="DY48" s="217">
        <f t="shared" ca="1" si="130"/>
        <v>0</v>
      </c>
      <c r="DZ48" s="217">
        <f t="shared" ca="1" si="130"/>
        <v>0</v>
      </c>
      <c r="EA48" s="218">
        <f t="shared" ca="1" si="130"/>
        <v>0</v>
      </c>
      <c r="EB48" s="217">
        <f t="shared" ca="1" si="130"/>
        <v>0</v>
      </c>
      <c r="EC48" s="217">
        <f t="shared" ca="1" si="130"/>
        <v>0</v>
      </c>
      <c r="ED48" s="217">
        <f t="shared" ca="1" si="130"/>
        <v>0</v>
      </c>
      <c r="EE48" s="217">
        <f t="shared" ca="1" si="130"/>
        <v>0</v>
      </c>
      <c r="EF48" s="218">
        <f t="shared" ca="1" si="130"/>
        <v>0</v>
      </c>
    </row>
    <row r="49" spans="1:136">
      <c r="B49" s="79"/>
      <c r="C49" s="79"/>
      <c r="D49" s="79"/>
      <c r="E49" s="79"/>
      <c r="F49" s="89"/>
      <c r="G49" s="79"/>
      <c r="H49" s="79"/>
      <c r="I49" s="79"/>
      <c r="J49" s="79"/>
      <c r="K49" s="89"/>
      <c r="L49" s="79"/>
      <c r="M49" s="79"/>
      <c r="N49" s="79"/>
      <c r="O49" s="204"/>
      <c r="Q49" s="149"/>
      <c r="R49" s="149"/>
      <c r="S49" s="149"/>
      <c r="T49" s="149"/>
      <c r="U49" s="89"/>
      <c r="V49" s="149"/>
      <c r="W49" s="149"/>
      <c r="X49" s="149"/>
      <c r="Y49" s="71"/>
      <c r="Z49" s="130"/>
      <c r="AA49" s="149"/>
      <c r="AB49" s="219"/>
      <c r="AC49" s="219"/>
      <c r="AD49" s="219"/>
      <c r="AE49" s="130"/>
      <c r="AF49" s="149"/>
      <c r="AG49" s="219"/>
      <c r="AH49" s="219"/>
      <c r="AI49" s="219"/>
      <c r="AJ49" s="130"/>
      <c r="AK49" s="219"/>
      <c r="AL49" s="204"/>
      <c r="AM49" s="204"/>
      <c r="AN49" s="204"/>
      <c r="AO49" s="130"/>
      <c r="AP49" s="79"/>
      <c r="AQ49" s="204"/>
      <c r="AR49" s="204"/>
      <c r="AS49" s="204"/>
      <c r="AT49" s="130"/>
      <c r="AU49" s="204"/>
      <c r="AV49" s="204"/>
      <c r="AW49" s="204"/>
      <c r="AX49" s="204"/>
      <c r="AY49" s="130"/>
      <c r="AZ49" s="79">
        <f>62+157</f>
        <v>219</v>
      </c>
      <c r="BA49" s="79">
        <f>1733-1671</f>
        <v>62</v>
      </c>
      <c r="BB49" s="104">
        <f>8.08/BF57</f>
        <v>0.54871594429215531</v>
      </c>
      <c r="BC49" s="104"/>
      <c r="BD49" s="130">
        <f>BD53-AY53-BC38+BD45-AY45</f>
        <v>-517173</v>
      </c>
      <c r="BE49" s="79">
        <f>BE53-BC53-BC45+BE45</f>
        <v>-384531</v>
      </c>
      <c r="BF49" s="79">
        <f>BF53-BE53-BE38-BF31+BE31</f>
        <v>-224083</v>
      </c>
      <c r="BG49" s="79">
        <f>BG53-BF53</f>
        <v>-205578</v>
      </c>
      <c r="BH49" s="79">
        <f>BH53-BG53-BG38+BH45-BG45</f>
        <v>16430</v>
      </c>
      <c r="BI49" s="130">
        <f>BI53-BD53-BH38+BI45-BD45</f>
        <v>-775468</v>
      </c>
      <c r="BJ49" s="79">
        <f>BJ53-BI53-BI38+BJ45-BI45</f>
        <v>-41651</v>
      </c>
      <c r="BK49" s="79">
        <f>BK53-BJ53-BJ38+BK45-BJ45</f>
        <v>-24054</v>
      </c>
      <c r="BL49" s="79">
        <f>BL53-BK53-BK38+BL45-BK45</f>
        <v>253268</v>
      </c>
      <c r="BM49" s="79">
        <f>BM53-BL53</f>
        <v>-220580</v>
      </c>
      <c r="BN49" s="130">
        <f>BN53-BI53-BM38+BN45-BI45</f>
        <v>152103</v>
      </c>
      <c r="BO49" s="79">
        <f>BO53-BN53</f>
        <v>-137516</v>
      </c>
      <c r="BP49" s="79">
        <f>BP53-BO53</f>
        <v>164049</v>
      </c>
      <c r="BQ49" s="79">
        <f>BQ53-BP53</f>
        <v>-292147</v>
      </c>
      <c r="BR49" s="79">
        <f>BR53-BQ53</f>
        <v>-263110</v>
      </c>
      <c r="BS49" s="130">
        <f>BS53-BN53-BR38+BS45-BN45</f>
        <v>-521686</v>
      </c>
      <c r="BT49" s="79">
        <f>BT53-BS53</f>
        <v>-206836</v>
      </c>
      <c r="BU49" s="79">
        <f>BU53-BT53</f>
        <v>-188111</v>
      </c>
      <c r="BV49" s="79">
        <f>BV53-BU53</f>
        <v>-66833</v>
      </c>
      <c r="BW49" s="79">
        <f>BW53-BV53</f>
        <v>52533</v>
      </c>
      <c r="BX49" s="130">
        <f>BX53-BS53-BW38+BX45-BS45</f>
        <v>-390958</v>
      </c>
      <c r="BY49" s="79">
        <f>BY53-BX53</f>
        <v>-118814</v>
      </c>
      <c r="BZ49" s="79">
        <f>BZ53-BY53</f>
        <v>-192517</v>
      </c>
      <c r="CA49" s="79">
        <f>CA53-BZ53</f>
        <v>196683</v>
      </c>
      <c r="CB49" s="79">
        <f>CB53-CA53</f>
        <v>214188</v>
      </c>
      <c r="CC49" s="130">
        <f>CC53-BX53+CC45-BX45-CA38</f>
        <v>102935</v>
      </c>
      <c r="CD49" s="79">
        <f>CD53-CC53</f>
        <v>-27197</v>
      </c>
      <c r="CE49" s="79">
        <f>CE53-CD53</f>
        <v>83962</v>
      </c>
      <c r="CF49" s="79">
        <f>CF53-CE53+569000</f>
        <v>-314099</v>
      </c>
      <c r="CG49" s="330">
        <f>CG53-CF53-699000</f>
        <v>-432960</v>
      </c>
      <c r="CH49" s="130">
        <f>SUM(CD49:CG49)</f>
        <v>-690294</v>
      </c>
      <c r="CI49" s="79">
        <f>CI53-CH53</f>
        <v>-12581</v>
      </c>
      <c r="CJ49" s="330">
        <f>CJ53-CI53-'Income Statement'!CJ49</f>
        <v>-142137.97850000003</v>
      </c>
      <c r="CK49" s="79">
        <f>CK53-CJ53</f>
        <v>-173677</v>
      </c>
      <c r="CL49" s="330">
        <f>CL53-CK53</f>
        <v>-35630</v>
      </c>
      <c r="CM49" s="130">
        <f>SUM(CI49:CL49)</f>
        <v>-364025.97850000003</v>
      </c>
      <c r="CN49" s="330">
        <f>CN53-CM53</f>
        <v>84660</v>
      </c>
      <c r="CO49" s="330">
        <f>CO53-CN53</f>
        <v>47973</v>
      </c>
      <c r="CP49" s="330">
        <f>CP53-CO53-67000</f>
        <v>-79853</v>
      </c>
      <c r="CQ49" s="330">
        <f>CQ53-CP53+411000</f>
        <v>313888</v>
      </c>
      <c r="CR49" s="130">
        <f>SUM(CN49:CQ49)</f>
        <v>366668</v>
      </c>
      <c r="CS49" s="330">
        <f>CS53-CR53</f>
        <v>8978</v>
      </c>
      <c r="CT49" s="330">
        <f>CT53-CS53+(375000-359000)</f>
        <v>-64037</v>
      </c>
      <c r="CU49" s="330">
        <f>CU53-CT53-192000+(392000-375000)</f>
        <v>-71618</v>
      </c>
      <c r="CV49" s="330">
        <f>CV53-CU53-'Income Statement'!CV49+(398000-392000)</f>
        <v>-8607</v>
      </c>
      <c r="CW49" s="130">
        <f>CW53-CR53-CV38+CW45-CR45</f>
        <v>-91682</v>
      </c>
      <c r="CX49" s="330">
        <f>CX53-CW53+(430000-398000)</f>
        <v>-42456</v>
      </c>
      <c r="CY49" s="330">
        <f>CY53-CX53</f>
        <v>-19567</v>
      </c>
      <c r="CZ49" s="330">
        <f>CZ53-CY53+(414000-441000)</f>
        <v>-101456</v>
      </c>
      <c r="DA49" s="330">
        <f>DA53-CZ53-224000-152000+(413000-414000)</f>
        <v>-24720</v>
      </c>
      <c r="DB49" s="130">
        <f>DB53-CW53-SUM('Income Statement'!CX49:DA49)</f>
        <v>58801</v>
      </c>
      <c r="DC49" s="330">
        <f>DC53-DA53</f>
        <v>-101991</v>
      </c>
      <c r="DD49" s="330">
        <f>DD53-DC53</f>
        <v>337813</v>
      </c>
      <c r="DE49" s="330">
        <f>DE53-DD53+251000</f>
        <v>-126571</v>
      </c>
      <c r="DF49" s="330">
        <f>DF53-DE53-'Income Statement'!DF49-'Income Statement'!DD49</f>
        <v>-207393.58000000002</v>
      </c>
      <c r="DG49" s="130">
        <f>DG53-DB53-SUM('Income Statement'!DC49:DF49)</f>
        <v>-349142.58000000007</v>
      </c>
      <c r="DH49" s="330">
        <f t="shared" ref="DH49:EE49" si="131">DH53-DG53</f>
        <v>-124973</v>
      </c>
      <c r="DI49" s="330">
        <f t="shared" si="131"/>
        <v>-369627</v>
      </c>
      <c r="DJ49" s="330">
        <f t="shared" ca="1" si="131"/>
        <v>-512652.65740875527</v>
      </c>
      <c r="DK49" s="330">
        <f ca="1">DK53-DJ53-'Income Statement'!DK49</f>
        <v>-113879.94128348958</v>
      </c>
      <c r="DL49" s="130">
        <f ca="1">+SUM(DH49:DK49)</f>
        <v>-1121132.5986922449</v>
      </c>
      <c r="DM49" s="330">
        <f t="shared" ref="DM49" ca="1" si="132">DM53-DL53</f>
        <v>140005.87771888915</v>
      </c>
      <c r="DN49" s="330">
        <f t="shared" ca="1" si="131"/>
        <v>121682.71444898099</v>
      </c>
      <c r="DO49" s="330">
        <f t="shared" ca="1" si="131"/>
        <v>1210275.8699487615</v>
      </c>
      <c r="DP49" s="330">
        <f t="shared" ca="1" si="131"/>
        <v>-803636.64920288976</v>
      </c>
      <c r="DQ49" s="130">
        <f ca="1">DQ53-DL53-SUM('Income Statement'!DM49:DP49)</f>
        <v>-276707.24787167669</v>
      </c>
      <c r="DR49" s="79">
        <f t="shared" ref="DR49" ca="1" si="133">DR53-DQ53</f>
        <v>1787852.847034011</v>
      </c>
      <c r="DS49" s="79">
        <f t="shared" ca="1" si="131"/>
        <v>950934.39294685051</v>
      </c>
      <c r="DT49" s="79">
        <f t="shared" ca="1" si="131"/>
        <v>12428.495782829821</v>
      </c>
      <c r="DU49" s="79">
        <f t="shared" ca="1" si="131"/>
        <v>-1605737.0536619658</v>
      </c>
      <c r="DV49" s="130">
        <f ca="1">DV53-DQ53-SUM('Income Statement'!DR49:DU49)</f>
        <v>-628710.15070214681</v>
      </c>
      <c r="DW49" s="79">
        <f t="shared" ref="DW49" ca="1" si="134">DW53-DV53</f>
        <v>1518457.870307127</v>
      </c>
      <c r="DX49" s="79">
        <f t="shared" ca="1" si="131"/>
        <v>1560678.8567692488</v>
      </c>
      <c r="DY49" s="79">
        <f t="shared" ca="1" si="131"/>
        <v>-367073.50013797916</v>
      </c>
      <c r="DZ49" s="79">
        <f t="shared" ca="1" si="131"/>
        <v>-2293254.587213546</v>
      </c>
      <c r="EA49" s="130">
        <f ca="1">EA53-DV53-SUM('Income Statement'!DW49:DZ49)</f>
        <v>-1469854.0511465052</v>
      </c>
      <c r="EB49" s="79">
        <f t="shared" ref="EB49" ca="1" si="135">EB53-EA53</f>
        <v>1190511.7610536041</v>
      </c>
      <c r="EC49" s="79">
        <f t="shared" ca="1" si="131"/>
        <v>1412458.2845713617</v>
      </c>
      <c r="ED49" s="79">
        <f t="shared" ca="1" si="131"/>
        <v>-379255.89276874997</v>
      </c>
      <c r="EE49" s="79">
        <f t="shared" ca="1" si="131"/>
        <v>-2464696.0945480699</v>
      </c>
      <c r="EF49" s="130">
        <f ca="1">EF53-EA53-SUM('Income Statement'!EB49:EE49)</f>
        <v>-2219681.4065157576</v>
      </c>
    </row>
    <row r="50" spans="1:136">
      <c r="A50" s="66" t="s">
        <v>709</v>
      </c>
      <c r="B50" s="149">
        <f t="shared" ref="B50:J50" si="136">B28</f>
        <v>86320</v>
      </c>
      <c r="C50" s="149">
        <f t="shared" si="136"/>
        <v>93822</v>
      </c>
      <c r="D50" s="149">
        <f t="shared" si="136"/>
        <v>104447</v>
      </c>
      <c r="E50" s="149">
        <f t="shared" si="136"/>
        <v>265018</v>
      </c>
      <c r="F50" s="89">
        <f t="shared" si="136"/>
        <v>265018</v>
      </c>
      <c r="G50" s="149">
        <f t="shared" si="136"/>
        <v>546789</v>
      </c>
      <c r="H50" s="149">
        <f t="shared" si="136"/>
        <v>281771</v>
      </c>
      <c r="I50" s="149">
        <f t="shared" si="136"/>
        <v>188666</v>
      </c>
      <c r="J50" s="149">
        <f t="shared" si="136"/>
        <v>203834</v>
      </c>
      <c r="K50" s="89">
        <f t="shared" ref="K50:BV50" si="137">K28+K31</f>
        <v>214101</v>
      </c>
      <c r="L50" s="149">
        <f t="shared" si="137"/>
        <v>231921</v>
      </c>
      <c r="M50" s="149">
        <f t="shared" si="137"/>
        <v>256852</v>
      </c>
      <c r="N50" s="149">
        <f t="shared" si="137"/>
        <v>168640</v>
      </c>
      <c r="O50" s="149">
        <f t="shared" si="137"/>
        <v>148145</v>
      </c>
      <c r="P50" s="89">
        <f t="shared" si="137"/>
        <v>148145</v>
      </c>
      <c r="Q50" s="149">
        <f t="shared" si="137"/>
        <v>273105</v>
      </c>
      <c r="R50" s="149">
        <f t="shared" si="137"/>
        <v>701884</v>
      </c>
      <c r="S50" s="149">
        <f t="shared" si="137"/>
        <v>744896</v>
      </c>
      <c r="T50" s="149">
        <f t="shared" si="137"/>
        <v>899803</v>
      </c>
      <c r="U50" s="89">
        <f t="shared" si="137"/>
        <v>899803</v>
      </c>
      <c r="V50" s="149">
        <f t="shared" si="137"/>
        <v>1491605</v>
      </c>
      <c r="W50" s="149">
        <f t="shared" si="137"/>
        <v>1695195</v>
      </c>
      <c r="X50" s="149">
        <f t="shared" si="137"/>
        <v>1810469</v>
      </c>
      <c r="Y50" s="149">
        <f t="shared" si="137"/>
        <v>2207147</v>
      </c>
      <c r="Z50" s="89">
        <f t="shared" si="137"/>
        <v>2207147</v>
      </c>
      <c r="AA50" s="149">
        <f t="shared" si="137"/>
        <v>2338305</v>
      </c>
      <c r="AB50" s="149">
        <f t="shared" si="137"/>
        <v>2518302</v>
      </c>
      <c r="AC50" s="149">
        <f t="shared" si="137"/>
        <v>3030426</v>
      </c>
      <c r="AD50" s="149">
        <f t="shared" si="137"/>
        <v>2747602</v>
      </c>
      <c r="AE50" s="89">
        <f t="shared" si="137"/>
        <v>2747602</v>
      </c>
      <c r="AF50" s="149">
        <f t="shared" si="137"/>
        <v>2734945</v>
      </c>
      <c r="AG50" s="149">
        <f t="shared" si="137"/>
        <v>2916325</v>
      </c>
      <c r="AH50" s="149">
        <f t="shared" si="137"/>
        <v>3109815</v>
      </c>
      <c r="AI50" s="149">
        <f>AI28+AI31</f>
        <v>3563108</v>
      </c>
      <c r="AJ50" s="89">
        <f t="shared" si="137"/>
        <v>3563108</v>
      </c>
      <c r="AK50" s="149">
        <f t="shared" si="137"/>
        <v>3803013</v>
      </c>
      <c r="AL50" s="149">
        <f t="shared" si="137"/>
        <v>4327640</v>
      </c>
      <c r="AM50" s="149">
        <f t="shared" si="137"/>
        <v>4780721</v>
      </c>
      <c r="AN50" s="149">
        <f t="shared" si="137"/>
        <v>4768399</v>
      </c>
      <c r="AO50" s="89">
        <f t="shared" si="137"/>
        <v>4768399</v>
      </c>
      <c r="AP50" s="149">
        <f t="shared" si="137"/>
        <v>4825157</v>
      </c>
      <c r="AQ50" s="149">
        <f t="shared" si="137"/>
        <v>4652711</v>
      </c>
      <c r="AR50" s="149">
        <f t="shared" si="137"/>
        <v>4527597</v>
      </c>
      <c r="AS50" s="149">
        <f t="shared" si="137"/>
        <v>4334688</v>
      </c>
      <c r="AT50" s="89">
        <f t="shared" si="137"/>
        <v>4334688</v>
      </c>
      <c r="AU50" s="149">
        <f t="shared" si="137"/>
        <v>4121812</v>
      </c>
      <c r="AV50" s="149">
        <f t="shared" si="137"/>
        <v>4022732</v>
      </c>
      <c r="AW50" s="149">
        <f t="shared" si="137"/>
        <v>4143755</v>
      </c>
      <c r="AX50" s="149">
        <f t="shared" si="137"/>
        <v>4383069</v>
      </c>
      <c r="AY50" s="89">
        <f t="shared" si="137"/>
        <v>4383069</v>
      </c>
      <c r="AZ50" s="149">
        <f t="shared" si="137"/>
        <v>4753973</v>
      </c>
      <c r="BA50" s="149">
        <f t="shared" si="137"/>
        <v>4431332</v>
      </c>
      <c r="BB50" s="149">
        <f t="shared" si="137"/>
        <v>4379245</v>
      </c>
      <c r="BC50" s="149">
        <f t="shared" si="137"/>
        <v>4023702</v>
      </c>
      <c r="BD50" s="89">
        <f t="shared" si="137"/>
        <v>4023702</v>
      </c>
      <c r="BE50" s="149">
        <f t="shared" si="137"/>
        <v>3953029</v>
      </c>
      <c r="BF50" s="149">
        <f t="shared" si="137"/>
        <v>4074712</v>
      </c>
      <c r="BG50" s="149">
        <f t="shared" si="137"/>
        <v>4152177</v>
      </c>
      <c r="BH50" s="149">
        <f t="shared" si="137"/>
        <v>3874423</v>
      </c>
      <c r="BI50" s="89">
        <f t="shared" si="137"/>
        <v>3874423</v>
      </c>
      <c r="BJ50" s="149">
        <f t="shared" si="137"/>
        <v>3823065</v>
      </c>
      <c r="BK50" s="149">
        <f t="shared" si="137"/>
        <v>3643401</v>
      </c>
      <c r="BL50" s="149">
        <f t="shared" si="137"/>
        <v>3592839</v>
      </c>
      <c r="BM50" s="149">
        <f t="shared" si="137"/>
        <v>3488476</v>
      </c>
      <c r="BN50" s="89">
        <f t="shared" si="137"/>
        <v>3488476</v>
      </c>
      <c r="BO50" s="149">
        <f t="shared" si="137"/>
        <v>3629616</v>
      </c>
      <c r="BP50" s="149">
        <f t="shared" si="137"/>
        <v>3448623</v>
      </c>
      <c r="BQ50" s="149">
        <f>BQ28+BQ31</f>
        <v>3138609</v>
      </c>
      <c r="BR50" s="149">
        <f>BR28+BR31</f>
        <v>2624222</v>
      </c>
      <c r="BS50" s="89">
        <f t="shared" si="137"/>
        <v>2624222</v>
      </c>
      <c r="BT50" s="149">
        <f t="shared" si="137"/>
        <v>2170165</v>
      </c>
      <c r="BU50" s="149">
        <f>BU28+BU31</f>
        <v>2393638</v>
      </c>
      <c r="BV50" s="149">
        <f t="shared" si="137"/>
        <v>2939509</v>
      </c>
      <c r="BW50" s="149">
        <f t="shared" ref="BW50:CC50" si="138">BW28+BW31</f>
        <v>2400871</v>
      </c>
      <c r="BX50" s="89">
        <f t="shared" si="138"/>
        <v>2400871</v>
      </c>
      <c r="BY50" s="149">
        <f t="shared" si="138"/>
        <v>2169595</v>
      </c>
      <c r="BZ50" s="149">
        <f>BZ28+BZ31</f>
        <v>2068999</v>
      </c>
      <c r="CA50" s="149">
        <f>CA28+CA31</f>
        <v>2498979</v>
      </c>
      <c r="CB50" s="149">
        <f>CB28+CB31</f>
        <v>2614922</v>
      </c>
      <c r="CC50" s="89">
        <f t="shared" si="138"/>
        <v>2614922</v>
      </c>
      <c r="CD50" s="149">
        <f t="shared" ref="CD50:DG50" si="139">CD28+CD31</f>
        <v>2596927</v>
      </c>
      <c r="CE50" s="149">
        <f>CE28+CE31</f>
        <v>3002463</v>
      </c>
      <c r="CF50" s="149">
        <f t="shared" si="139"/>
        <v>2521617</v>
      </c>
      <c r="CG50" s="149">
        <f>CG28+CG31</f>
        <v>2792798</v>
      </c>
      <c r="CH50" s="89">
        <f t="shared" si="139"/>
        <v>2792798</v>
      </c>
      <c r="CI50" s="149">
        <f t="shared" si="139"/>
        <v>2822849</v>
      </c>
      <c r="CJ50" s="149">
        <f>CJ28+CJ31</f>
        <v>3435750</v>
      </c>
      <c r="CK50" s="149">
        <f>CK28+CK31</f>
        <v>3475621</v>
      </c>
      <c r="CL50" s="149">
        <f t="shared" si="139"/>
        <v>3744288</v>
      </c>
      <c r="CM50" s="89">
        <f t="shared" si="139"/>
        <v>3744288</v>
      </c>
      <c r="CN50" s="149">
        <f>CN28+CN31</f>
        <v>3771589</v>
      </c>
      <c r="CO50" s="149">
        <f>CO28+CO31</f>
        <v>4142038</v>
      </c>
      <c r="CP50" s="149">
        <f>CP28+CP31</f>
        <v>4545584</v>
      </c>
      <c r="CQ50" s="149">
        <f t="shared" si="139"/>
        <v>5083915</v>
      </c>
      <c r="CR50" s="89">
        <f t="shared" si="139"/>
        <v>5083915</v>
      </c>
      <c r="CS50" s="149">
        <f t="shared" si="139"/>
        <v>4895862</v>
      </c>
      <c r="CT50" s="149">
        <f t="shared" si="139"/>
        <v>5043355</v>
      </c>
      <c r="CU50" s="149">
        <f t="shared" si="139"/>
        <v>5054283</v>
      </c>
      <c r="CV50" s="149">
        <f>CV28+CV31</f>
        <v>5213485</v>
      </c>
      <c r="CW50" s="89">
        <f t="shared" si="139"/>
        <v>5213485</v>
      </c>
      <c r="CX50" s="149">
        <f>CX28+CX31</f>
        <v>5014406</v>
      </c>
      <c r="CY50" s="149">
        <f t="shared" si="139"/>
        <v>5352071</v>
      </c>
      <c r="CZ50" s="149">
        <f t="shared" ref="CZ50" si="140">CZ28+CZ31</f>
        <v>5549123</v>
      </c>
      <c r="DA50" s="149">
        <f>DA28+DA31</f>
        <v>6103736</v>
      </c>
      <c r="DB50" s="89">
        <f t="shared" si="139"/>
        <v>6103736</v>
      </c>
      <c r="DC50" s="149">
        <f>DC28+DC31</f>
        <v>6195393</v>
      </c>
      <c r="DD50" s="149">
        <f t="shared" ref="DD50:DE50" si="141">DD28+DD31</f>
        <v>7111850</v>
      </c>
      <c r="DE50" s="149">
        <f t="shared" si="141"/>
        <v>7724422</v>
      </c>
      <c r="DF50" s="149">
        <f>DF28+DF31</f>
        <v>8844578</v>
      </c>
      <c r="DG50" s="89">
        <f t="shared" si="139"/>
        <v>8844578</v>
      </c>
      <c r="DH50" s="149">
        <f>DH28+DH31</f>
        <v>8924247</v>
      </c>
      <c r="DI50" s="149">
        <f>DI28+DI31</f>
        <v>9054868</v>
      </c>
      <c r="DJ50" s="149">
        <f>DJ28+DJ31</f>
        <v>9054868</v>
      </c>
      <c r="DK50" s="149">
        <f>DK28+DK31</f>
        <v>9054868</v>
      </c>
      <c r="DL50" s="89">
        <f>DL28+DL31</f>
        <v>9054868</v>
      </c>
      <c r="DM50" s="149">
        <f t="shared" ref="DM50:EF50" si="142">DM28+DM31</f>
        <v>9554868</v>
      </c>
      <c r="DN50" s="149">
        <f t="shared" si="142"/>
        <v>9554868</v>
      </c>
      <c r="DO50" s="149">
        <f t="shared" si="142"/>
        <v>9554868</v>
      </c>
      <c r="DP50" s="149">
        <f t="shared" si="142"/>
        <v>9554868</v>
      </c>
      <c r="DQ50" s="89">
        <f t="shared" si="142"/>
        <v>9554868</v>
      </c>
      <c r="DR50" s="149">
        <f t="shared" si="142"/>
        <v>10054868</v>
      </c>
      <c r="DS50" s="149">
        <f t="shared" si="142"/>
        <v>10054868</v>
      </c>
      <c r="DT50" s="149">
        <f t="shared" si="142"/>
        <v>10054868</v>
      </c>
      <c r="DU50" s="149">
        <f t="shared" si="142"/>
        <v>10054868</v>
      </c>
      <c r="DV50" s="89">
        <f t="shared" si="142"/>
        <v>10054868</v>
      </c>
      <c r="DW50" s="149">
        <f t="shared" si="142"/>
        <v>10554868</v>
      </c>
      <c r="DX50" s="149">
        <f t="shared" si="142"/>
        <v>10554868</v>
      </c>
      <c r="DY50" s="149">
        <f t="shared" si="142"/>
        <v>10554868</v>
      </c>
      <c r="DZ50" s="149">
        <f t="shared" si="142"/>
        <v>10554868</v>
      </c>
      <c r="EA50" s="89">
        <f t="shared" si="142"/>
        <v>10554868</v>
      </c>
      <c r="EB50" s="149">
        <f t="shared" si="142"/>
        <v>11054868</v>
      </c>
      <c r="EC50" s="149">
        <f t="shared" si="142"/>
        <v>11054868</v>
      </c>
      <c r="ED50" s="149">
        <f t="shared" si="142"/>
        <v>11054868</v>
      </c>
      <c r="EE50" s="149">
        <f t="shared" si="142"/>
        <v>11054868</v>
      </c>
      <c r="EF50" s="89">
        <f t="shared" si="142"/>
        <v>11054868</v>
      </c>
    </row>
    <row r="51" spans="1:136">
      <c r="A51" s="66" t="s">
        <v>14</v>
      </c>
      <c r="B51" s="149">
        <f t="shared" ref="B51:AX51" si="143">B6</f>
        <v>129993</v>
      </c>
      <c r="C51" s="149">
        <f t="shared" si="143"/>
        <v>137040</v>
      </c>
      <c r="D51" s="149">
        <f t="shared" si="143"/>
        <v>125100</v>
      </c>
      <c r="E51" s="149">
        <f t="shared" si="143"/>
        <v>167841</v>
      </c>
      <c r="F51" s="89">
        <f t="shared" si="143"/>
        <v>167841</v>
      </c>
      <c r="G51" s="149">
        <f t="shared" si="143"/>
        <v>202800.5</v>
      </c>
      <c r="H51" s="149">
        <f t="shared" si="143"/>
        <v>237760</v>
      </c>
      <c r="I51" s="149">
        <f t="shared" si="143"/>
        <v>555257</v>
      </c>
      <c r="J51" s="149">
        <f t="shared" si="143"/>
        <v>520044</v>
      </c>
      <c r="K51" s="89">
        <f t="shared" si="143"/>
        <v>520044</v>
      </c>
      <c r="L51" s="149">
        <f>L6</f>
        <v>429222</v>
      </c>
      <c r="M51" s="149">
        <f>M6</f>
        <v>299584</v>
      </c>
      <c r="N51" s="149">
        <f>N6</f>
        <v>828885</v>
      </c>
      <c r="O51" s="149">
        <f>O6</f>
        <v>560639</v>
      </c>
      <c r="P51" s="89">
        <f t="shared" si="143"/>
        <v>560639</v>
      </c>
      <c r="Q51" s="149">
        <f>Q6</f>
        <v>339470</v>
      </c>
      <c r="R51" s="149">
        <f>R6</f>
        <v>640186</v>
      </c>
      <c r="S51" s="149">
        <f>S6</f>
        <v>800740</v>
      </c>
      <c r="T51" s="149">
        <f>T6</f>
        <v>682859</v>
      </c>
      <c r="U51" s="89">
        <f t="shared" si="143"/>
        <v>682859</v>
      </c>
      <c r="V51" s="149">
        <f>V6</f>
        <v>1064793</v>
      </c>
      <c r="W51" s="149">
        <f>W6</f>
        <v>969048</v>
      </c>
      <c r="X51" s="149">
        <f>X6</f>
        <v>818209</v>
      </c>
      <c r="Y51" s="149">
        <f>Y6</f>
        <v>863633</v>
      </c>
      <c r="Z51" s="89">
        <f t="shared" si="143"/>
        <v>863633</v>
      </c>
      <c r="AA51" s="149">
        <f t="shared" si="143"/>
        <v>725742</v>
      </c>
      <c r="AB51" s="149">
        <f t="shared" si="143"/>
        <v>498361</v>
      </c>
      <c r="AC51" s="149">
        <f t="shared" si="143"/>
        <v>865091</v>
      </c>
      <c r="AD51" s="149">
        <f>AD6</f>
        <v>1665756</v>
      </c>
      <c r="AE51" s="89">
        <f>AE6</f>
        <v>1665756</v>
      </c>
      <c r="AF51" s="149">
        <f>AF6</f>
        <v>1286115</v>
      </c>
      <c r="AG51" s="149">
        <f t="shared" si="143"/>
        <v>997117</v>
      </c>
      <c r="AH51" s="149">
        <f t="shared" si="143"/>
        <v>986209</v>
      </c>
      <c r="AI51" s="149">
        <f>AI6</f>
        <v>1154595</v>
      </c>
      <c r="AJ51" s="89">
        <f t="shared" si="143"/>
        <v>1154595</v>
      </c>
      <c r="AK51" s="149">
        <f t="shared" si="143"/>
        <v>1213607</v>
      </c>
      <c r="AL51" s="149">
        <f t="shared" si="143"/>
        <v>1568342</v>
      </c>
      <c r="AM51" s="149">
        <f>AM6</f>
        <v>1776518</v>
      </c>
      <c r="AN51" s="149">
        <f t="shared" si="143"/>
        <v>1827664</v>
      </c>
      <c r="AO51" s="89">
        <f t="shared" si="143"/>
        <v>1827664</v>
      </c>
      <c r="AP51" s="149">
        <f t="shared" si="143"/>
        <v>1856748</v>
      </c>
      <c r="AQ51" s="149">
        <f t="shared" si="143"/>
        <v>1633589</v>
      </c>
      <c r="AR51" s="149">
        <f t="shared" si="143"/>
        <v>1651512</v>
      </c>
      <c r="AS51" s="149">
        <f t="shared" si="143"/>
        <v>1712329</v>
      </c>
      <c r="AT51" s="89">
        <f t="shared" si="143"/>
        <v>1712329</v>
      </c>
      <c r="AU51" s="149">
        <f t="shared" si="143"/>
        <v>1640668</v>
      </c>
      <c r="AV51" s="149">
        <f t="shared" si="143"/>
        <v>1524041</v>
      </c>
      <c r="AW51" s="149">
        <f t="shared" si="143"/>
        <v>1581381</v>
      </c>
      <c r="AX51" s="149">
        <f t="shared" si="143"/>
        <v>1727420</v>
      </c>
      <c r="AY51" s="89">
        <f t="shared" ref="AY51:CC51" si="144">AY6</f>
        <v>1727420</v>
      </c>
      <c r="AZ51" s="149">
        <f t="shared" si="144"/>
        <v>2188853</v>
      </c>
      <c r="BA51" s="149">
        <f t="shared" si="144"/>
        <v>1758589</v>
      </c>
      <c r="BB51" s="149">
        <f t="shared" si="144"/>
        <v>1782930</v>
      </c>
      <c r="BC51" s="149">
        <f t="shared" si="144"/>
        <v>1754264</v>
      </c>
      <c r="BD51" s="89">
        <f t="shared" si="144"/>
        <v>1754264</v>
      </c>
      <c r="BE51" s="149">
        <f t="shared" si="144"/>
        <v>2021742</v>
      </c>
      <c r="BF51" s="149">
        <f t="shared" si="144"/>
        <v>2241113</v>
      </c>
      <c r="BG51" s="149">
        <f t="shared" si="144"/>
        <v>2524156</v>
      </c>
      <c r="BH51" s="149">
        <f t="shared" si="144"/>
        <v>2233585</v>
      </c>
      <c r="BI51" s="89">
        <f t="shared" si="144"/>
        <v>2233585</v>
      </c>
      <c r="BJ51" s="149">
        <f t="shared" si="144"/>
        <v>2140837</v>
      </c>
      <c r="BK51" s="149">
        <f t="shared" si="144"/>
        <v>1880383</v>
      </c>
      <c r="BL51" s="149">
        <f t="shared" si="144"/>
        <v>1582074</v>
      </c>
      <c r="BM51" s="149">
        <f t="shared" si="144"/>
        <v>1698291</v>
      </c>
      <c r="BN51" s="89">
        <f t="shared" si="144"/>
        <v>1698291</v>
      </c>
      <c r="BO51" s="149">
        <f t="shared" si="144"/>
        <v>1976947</v>
      </c>
      <c r="BP51" s="149">
        <f t="shared" si="144"/>
        <v>1631905</v>
      </c>
      <c r="BQ51" s="149">
        <f t="shared" si="144"/>
        <v>1614038</v>
      </c>
      <c r="BR51" s="149">
        <f t="shared" si="144"/>
        <v>1362761</v>
      </c>
      <c r="BS51" s="89">
        <f t="shared" si="144"/>
        <v>1362761</v>
      </c>
      <c r="BT51" s="149">
        <f t="shared" si="144"/>
        <v>1115540</v>
      </c>
      <c r="BU51" s="149">
        <f>BU6</f>
        <v>1527124</v>
      </c>
      <c r="BV51" s="149">
        <f t="shared" si="144"/>
        <v>2139828</v>
      </c>
      <c r="BW51" s="149">
        <f t="shared" si="144"/>
        <v>1548657</v>
      </c>
      <c r="BX51" s="89">
        <f t="shared" si="144"/>
        <v>1548657</v>
      </c>
      <c r="BY51" s="149">
        <f>BY6</f>
        <v>1436195</v>
      </c>
      <c r="BZ51" s="149">
        <f>BZ6</f>
        <v>1528116</v>
      </c>
      <c r="CA51" s="149">
        <f t="shared" si="144"/>
        <v>1761413</v>
      </c>
      <c r="CB51" s="149">
        <f t="shared" si="144"/>
        <v>1663168</v>
      </c>
      <c r="CC51" s="89">
        <f t="shared" si="144"/>
        <v>1663168</v>
      </c>
      <c r="CD51" s="149">
        <f t="shared" ref="CD51:DG51" si="145">CD6</f>
        <v>1672370</v>
      </c>
      <c r="CE51" s="149">
        <f>CE6</f>
        <v>1993944</v>
      </c>
      <c r="CF51" s="149">
        <f>CF6</f>
        <v>2396197</v>
      </c>
      <c r="CG51" s="149">
        <f>CG6</f>
        <v>2401338</v>
      </c>
      <c r="CH51" s="89">
        <f t="shared" si="145"/>
        <v>2401338</v>
      </c>
      <c r="CI51" s="149">
        <f t="shared" si="145"/>
        <v>2443970</v>
      </c>
      <c r="CJ51" s="149">
        <f>CJ6</f>
        <v>2780948</v>
      </c>
      <c r="CK51" s="149">
        <f>CK6</f>
        <v>2994496</v>
      </c>
      <c r="CL51" s="149">
        <f t="shared" si="145"/>
        <v>3298793</v>
      </c>
      <c r="CM51" s="89">
        <f t="shared" si="145"/>
        <v>3298793</v>
      </c>
      <c r="CN51" s="149">
        <f>CN6</f>
        <v>3241434</v>
      </c>
      <c r="CO51" s="149">
        <f>CO6</f>
        <v>3563910</v>
      </c>
      <c r="CP51" s="149">
        <f>CP6</f>
        <v>3980309</v>
      </c>
      <c r="CQ51" s="149">
        <f t="shared" si="145"/>
        <v>4615752</v>
      </c>
      <c r="CR51" s="89">
        <f t="shared" si="145"/>
        <v>4615752</v>
      </c>
      <c r="CS51" s="149">
        <f t="shared" si="145"/>
        <v>4418721</v>
      </c>
      <c r="CT51" s="149">
        <f t="shared" si="145"/>
        <v>4646251</v>
      </c>
      <c r="CU51" s="149">
        <f t="shared" si="145"/>
        <v>4553797</v>
      </c>
      <c r="CV51" s="149">
        <f>CV6</f>
        <v>4602606</v>
      </c>
      <c r="CW51" s="89">
        <f t="shared" si="145"/>
        <v>4602606</v>
      </c>
      <c r="CX51" s="149">
        <f>CX6</f>
        <v>4477983</v>
      </c>
      <c r="CY51" s="149">
        <f t="shared" si="145"/>
        <v>4835215</v>
      </c>
      <c r="CZ51" s="149">
        <f t="shared" ref="CZ51" si="146">CZ6</f>
        <v>5106723</v>
      </c>
      <c r="DA51" s="149">
        <f>DA6</f>
        <v>5309056</v>
      </c>
      <c r="DB51" s="89">
        <f t="shared" si="145"/>
        <v>5309056</v>
      </c>
      <c r="DC51" s="149">
        <f t="shared" si="145"/>
        <v>5502704</v>
      </c>
      <c r="DD51" s="149">
        <f t="shared" ref="DD51:DE51" si="147">DD6</f>
        <v>6081348</v>
      </c>
      <c r="DE51" s="149">
        <f t="shared" si="147"/>
        <v>7071491</v>
      </c>
      <c r="DF51" s="149">
        <f>DF6</f>
        <v>7007404</v>
      </c>
      <c r="DG51" s="89">
        <f t="shared" si="145"/>
        <v>7007404</v>
      </c>
      <c r="DH51" s="149">
        <f>DH6</f>
        <v>7212046</v>
      </c>
      <c r="DI51" s="149">
        <f>DI6</f>
        <v>7712294</v>
      </c>
      <c r="DJ51" s="149">
        <f ca="1">DJ6</f>
        <v>8224946.6574087553</v>
      </c>
      <c r="DK51" s="149">
        <f ca="1">DK6</f>
        <v>7837137.5986922449</v>
      </c>
      <c r="DL51" s="89">
        <f ca="1">DL6</f>
        <v>7837137.5986922449</v>
      </c>
      <c r="DM51" s="149">
        <f t="shared" ref="DM51:EF51" ca="1" si="148">DM6</f>
        <v>8197131.7209733557</v>
      </c>
      <c r="DN51" s="149">
        <f t="shared" ca="1" si="148"/>
        <v>8075449.0065243747</v>
      </c>
      <c r="DO51" s="149">
        <f t="shared" ca="1" si="148"/>
        <v>6865173.1365756132</v>
      </c>
      <c r="DP51" s="149">
        <f t="shared" ca="1" si="148"/>
        <v>7668809.7857785029</v>
      </c>
      <c r="DQ51" s="89">
        <f t="shared" ca="1" si="148"/>
        <v>7668809.7857785029</v>
      </c>
      <c r="DR51" s="149">
        <f t="shared" ca="1" si="148"/>
        <v>6380956.9387444919</v>
      </c>
      <c r="DS51" s="149">
        <f t="shared" ca="1" si="148"/>
        <v>5430022.5457976414</v>
      </c>
      <c r="DT51" s="149">
        <f t="shared" ca="1" si="148"/>
        <v>5417594.0500148116</v>
      </c>
      <c r="DU51" s="149">
        <f t="shared" ca="1" si="148"/>
        <v>7023331.1036767773</v>
      </c>
      <c r="DV51" s="89">
        <f t="shared" ca="1" si="148"/>
        <v>7023331.1036767773</v>
      </c>
      <c r="DW51" s="149">
        <f t="shared" ca="1" si="148"/>
        <v>6004873.2333696503</v>
      </c>
      <c r="DX51" s="149">
        <f t="shared" ca="1" si="148"/>
        <v>4444194.3766004015</v>
      </c>
      <c r="DY51" s="149">
        <f t="shared" ca="1" si="148"/>
        <v>4811267.8767383806</v>
      </c>
      <c r="DZ51" s="149">
        <f t="shared" ca="1" si="148"/>
        <v>7104522.4639519267</v>
      </c>
      <c r="EA51" s="89">
        <f t="shared" ca="1" si="148"/>
        <v>7104522.4639519267</v>
      </c>
      <c r="EB51" s="149">
        <f t="shared" ca="1" si="148"/>
        <v>6414010.7028983226</v>
      </c>
      <c r="EC51" s="149">
        <f t="shared" ca="1" si="148"/>
        <v>5001552.4183269609</v>
      </c>
      <c r="ED51" s="149">
        <f t="shared" ca="1" si="148"/>
        <v>5380808.3110957127</v>
      </c>
      <c r="EE51" s="149">
        <f t="shared" ca="1" si="148"/>
        <v>7845504.4056437807</v>
      </c>
      <c r="EF51" s="89">
        <f t="shared" ca="1" si="148"/>
        <v>7845504.4056437807</v>
      </c>
    </row>
    <row r="52" spans="1:136" collapsed="1">
      <c r="A52" s="66" t="s">
        <v>849</v>
      </c>
      <c r="B52" s="149">
        <f t="shared" ref="B52:K52" si="149">B43</f>
        <v>306725</v>
      </c>
      <c r="C52" s="149">
        <f t="shared" si="149"/>
        <v>315493</v>
      </c>
      <c r="D52" s="149">
        <f t="shared" si="149"/>
        <v>324958</v>
      </c>
      <c r="E52" s="149">
        <f t="shared" si="149"/>
        <v>442353</v>
      </c>
      <c r="F52" s="89">
        <f t="shared" si="149"/>
        <v>442353</v>
      </c>
      <c r="G52" s="149">
        <f t="shared" si="149"/>
        <v>490401</v>
      </c>
      <c r="H52" s="149">
        <f t="shared" si="149"/>
        <v>485350</v>
      </c>
      <c r="I52" s="149">
        <f t="shared" si="149"/>
        <v>1023659</v>
      </c>
      <c r="J52" s="149">
        <f t="shared" si="149"/>
        <v>1018793</v>
      </c>
      <c r="K52" s="89">
        <f t="shared" si="149"/>
        <v>1018793</v>
      </c>
      <c r="L52" s="149">
        <f>L43</f>
        <v>1076196</v>
      </c>
      <c r="M52" s="149">
        <f>M43</f>
        <v>1170171</v>
      </c>
      <c r="N52" s="149">
        <f>N43</f>
        <v>1930106</v>
      </c>
      <c r="O52" s="149">
        <f>O43</f>
        <v>1948549</v>
      </c>
      <c r="P52" s="89">
        <f t="shared" ref="P52:AU52" si="150">P43+P42</f>
        <v>2048851</v>
      </c>
      <c r="Q52" s="149">
        <f t="shared" si="150"/>
        <v>2142684</v>
      </c>
      <c r="R52" s="149">
        <f t="shared" si="150"/>
        <v>2081262</v>
      </c>
      <c r="S52" s="149">
        <f t="shared" si="150"/>
        <v>2142417</v>
      </c>
      <c r="T52" s="149">
        <f t="shared" si="150"/>
        <v>2269523</v>
      </c>
      <c r="U52" s="89">
        <f t="shared" si="150"/>
        <v>2269523</v>
      </c>
      <c r="V52" s="149">
        <f t="shared" si="150"/>
        <v>2377265</v>
      </c>
      <c r="W52" s="149">
        <f t="shared" si="150"/>
        <v>2527820</v>
      </c>
      <c r="X52" s="149">
        <f t="shared" si="150"/>
        <v>2611163</v>
      </c>
      <c r="Y52" s="149">
        <f t="shared" si="150"/>
        <v>2409678</v>
      </c>
      <c r="Z52" s="89">
        <f t="shared" si="150"/>
        <v>2409678</v>
      </c>
      <c r="AA52" s="149">
        <f>AA43+AA42</f>
        <v>2376388</v>
      </c>
      <c r="AB52" s="149">
        <f t="shared" si="150"/>
        <v>2599358</v>
      </c>
      <c r="AC52" s="149">
        <f t="shared" si="150"/>
        <v>2890143</v>
      </c>
      <c r="AD52" s="149">
        <f t="shared" si="150"/>
        <v>4105383</v>
      </c>
      <c r="AE52" s="89">
        <f t="shared" si="150"/>
        <v>4105383</v>
      </c>
      <c r="AF52" s="149">
        <f t="shared" si="150"/>
        <v>4294319</v>
      </c>
      <c r="AG52" s="149">
        <f t="shared" si="150"/>
        <v>4477558</v>
      </c>
      <c r="AH52" s="149">
        <f t="shared" si="150"/>
        <v>4701328</v>
      </c>
      <c r="AI52" s="149">
        <f t="shared" si="150"/>
        <v>4681937</v>
      </c>
      <c r="AJ52" s="89">
        <f t="shared" si="150"/>
        <v>4681937</v>
      </c>
      <c r="AK52" s="149">
        <f t="shared" si="150"/>
        <v>4773810</v>
      </c>
      <c r="AL52" s="149">
        <f t="shared" si="150"/>
        <v>4844971</v>
      </c>
      <c r="AM52" s="149">
        <f t="shared" si="150"/>
        <v>4860349</v>
      </c>
      <c r="AN52" s="149">
        <f t="shared" si="150"/>
        <v>4922766</v>
      </c>
      <c r="AO52" s="89">
        <f t="shared" si="150"/>
        <v>4922766</v>
      </c>
      <c r="AP52" s="149">
        <f t="shared" si="150"/>
        <v>5024246</v>
      </c>
      <c r="AQ52" s="149">
        <f t="shared" si="150"/>
        <v>5170256</v>
      </c>
      <c r="AR52" s="149">
        <f t="shared" si="150"/>
        <v>5358811</v>
      </c>
      <c r="AS52" s="149">
        <f t="shared" si="150"/>
        <v>5628762</v>
      </c>
      <c r="AT52" s="89">
        <f t="shared" si="150"/>
        <v>5628762</v>
      </c>
      <c r="AU52" s="149">
        <f t="shared" si="150"/>
        <v>6196763</v>
      </c>
      <c r="AV52" s="149">
        <f>AV43+AV42</f>
        <v>6113156</v>
      </c>
      <c r="AW52" s="149">
        <f t="shared" ref="AW52:CC52" si="151">AW43+AW42</f>
        <v>6322304</v>
      </c>
      <c r="AX52" s="149">
        <f t="shared" si="151"/>
        <v>6194048</v>
      </c>
      <c r="AY52" s="89">
        <f t="shared" si="151"/>
        <v>6194048</v>
      </c>
      <c r="AZ52" s="149">
        <f t="shared" si="151"/>
        <v>6212157</v>
      </c>
      <c r="BA52" s="149">
        <f t="shared" si="151"/>
        <v>6320321</v>
      </c>
      <c r="BB52" s="149">
        <f t="shared" si="151"/>
        <v>6444049</v>
      </c>
      <c r="BC52" s="149">
        <f t="shared" si="151"/>
        <v>6367845</v>
      </c>
      <c r="BD52" s="89">
        <f t="shared" si="151"/>
        <v>6367845</v>
      </c>
      <c r="BE52" s="149">
        <f t="shared" si="151"/>
        <v>6416604</v>
      </c>
      <c r="BF52" s="149">
        <f t="shared" si="151"/>
        <v>6416305</v>
      </c>
      <c r="BG52" s="149">
        <f t="shared" si="151"/>
        <v>6802767</v>
      </c>
      <c r="BH52" s="149">
        <f t="shared" si="151"/>
        <v>6678887</v>
      </c>
      <c r="BI52" s="89">
        <f t="shared" si="151"/>
        <v>6678887</v>
      </c>
      <c r="BJ52" s="149">
        <f t="shared" si="151"/>
        <v>6733083</v>
      </c>
      <c r="BK52" s="149">
        <f t="shared" si="151"/>
        <v>6759697</v>
      </c>
      <c r="BL52" s="149">
        <f t="shared" si="151"/>
        <v>6756531</v>
      </c>
      <c r="BM52" s="149">
        <f t="shared" si="151"/>
        <v>6766742</v>
      </c>
      <c r="BN52" s="89">
        <f t="shared" si="151"/>
        <v>6766742</v>
      </c>
      <c r="BO52" s="149">
        <f t="shared" si="151"/>
        <v>6779635</v>
      </c>
      <c r="BP52" s="149">
        <f t="shared" si="151"/>
        <v>6314901</v>
      </c>
      <c r="BQ52" s="149">
        <f t="shared" si="151"/>
        <v>6319779</v>
      </c>
      <c r="BR52" s="149">
        <f t="shared" si="151"/>
        <v>6365498</v>
      </c>
      <c r="BS52" s="89">
        <f t="shared" si="151"/>
        <v>6365498</v>
      </c>
      <c r="BT52" s="149">
        <f t="shared" si="151"/>
        <v>6035143</v>
      </c>
      <c r="BU52" s="149">
        <f>BU43+BU42</f>
        <v>5781601</v>
      </c>
      <c r="BV52" s="149">
        <f t="shared" si="151"/>
        <v>5648645</v>
      </c>
      <c r="BW52" s="149">
        <f t="shared" si="151"/>
        <v>5537811</v>
      </c>
      <c r="BX52" s="89">
        <f t="shared" si="151"/>
        <v>5537811</v>
      </c>
      <c r="BY52" s="149">
        <f t="shared" si="151"/>
        <v>5567989</v>
      </c>
      <c r="BZ52" s="149">
        <f>BZ43+BZ42</f>
        <v>5518350</v>
      </c>
      <c r="CA52" s="149">
        <f t="shared" si="151"/>
        <v>5480540</v>
      </c>
      <c r="CB52" s="149">
        <f t="shared" si="151"/>
        <v>5175443</v>
      </c>
      <c r="CC52" s="89">
        <f t="shared" si="151"/>
        <v>5175443</v>
      </c>
      <c r="CD52" s="149">
        <f t="shared" ref="CD52:DG52" si="152">CD43+CD42</f>
        <v>5210700</v>
      </c>
      <c r="CE52" s="149">
        <f>CE43+CE42</f>
        <v>5301776</v>
      </c>
      <c r="CF52" s="149">
        <f t="shared" si="152"/>
        <v>6546657</v>
      </c>
      <c r="CG52" s="149">
        <f t="shared" si="152"/>
        <v>5796628</v>
      </c>
      <c r="CH52" s="89">
        <f t="shared" si="152"/>
        <v>5796628</v>
      </c>
      <c r="CI52" s="149">
        <f t="shared" si="152"/>
        <v>6001048</v>
      </c>
      <c r="CJ52" s="149">
        <f>CJ43+CJ42</f>
        <v>6293038</v>
      </c>
      <c r="CK52" s="149">
        <f>CK43+CK42</f>
        <v>6604535</v>
      </c>
      <c r="CL52" s="149">
        <f t="shared" si="152"/>
        <v>6801924</v>
      </c>
      <c r="CM52" s="89">
        <f t="shared" si="152"/>
        <v>6801924</v>
      </c>
      <c r="CN52" s="149">
        <f>CN43+CN42</f>
        <v>6985511</v>
      </c>
      <c r="CO52" s="149">
        <f>CO43+CO42</f>
        <v>7074487</v>
      </c>
      <c r="CP52" s="149">
        <f>CP43+CP42</f>
        <v>6765178</v>
      </c>
      <c r="CQ52" s="149">
        <f t="shared" si="152"/>
        <v>7699331</v>
      </c>
      <c r="CR52" s="89">
        <f t="shared" si="152"/>
        <v>7699331</v>
      </c>
      <c r="CS52" s="149">
        <f t="shared" si="152"/>
        <v>7870905</v>
      </c>
      <c r="CT52" s="149">
        <f t="shared" si="152"/>
        <v>8243705</v>
      </c>
      <c r="CU52" s="149">
        <f t="shared" si="152"/>
        <v>8539944</v>
      </c>
      <c r="CV52" s="149">
        <f>CV43+CV42</f>
        <v>8499826</v>
      </c>
      <c r="CW52" s="89">
        <f t="shared" si="152"/>
        <v>8499826</v>
      </c>
      <c r="CX52" s="149">
        <f>CX43+CX42</f>
        <v>8539883</v>
      </c>
      <c r="CY52" s="149">
        <f t="shared" si="152"/>
        <v>9233879</v>
      </c>
      <c r="CZ52" s="149">
        <f t="shared" ref="CZ52" si="153">CZ43+CZ42</f>
        <v>9851466</v>
      </c>
      <c r="DA52" s="149">
        <f>DA43+DA42</f>
        <v>9949274</v>
      </c>
      <c r="DB52" s="89">
        <f t="shared" si="152"/>
        <v>9949274</v>
      </c>
      <c r="DC52" s="149">
        <f t="shared" si="152"/>
        <v>10417486</v>
      </c>
      <c r="DD52" s="149">
        <f t="shared" ref="DD52:DE52" si="154">DD43+DD42</f>
        <v>10874868</v>
      </c>
      <c r="DE52" s="149">
        <f t="shared" si="154"/>
        <v>11488949</v>
      </c>
      <c r="DF52" s="149">
        <f>DF43+DF42</f>
        <v>11466784</v>
      </c>
      <c r="DG52" s="89">
        <f t="shared" si="152"/>
        <v>11466784</v>
      </c>
      <c r="DH52" s="149">
        <f>DH43+DH42</f>
        <v>11927999</v>
      </c>
      <c r="DI52" s="149">
        <f>DI43+DI42</f>
        <v>12451506</v>
      </c>
      <c r="DJ52" s="149">
        <f ca="1">DJ43+DJ42</f>
        <v>12961156.283724638</v>
      </c>
      <c r="DK52" s="149">
        <f ca="1">DK43+DK42</f>
        <v>13128937.548909504</v>
      </c>
      <c r="DL52" s="89">
        <f ca="1">DL43+DL42</f>
        <v>13128937.548909504</v>
      </c>
      <c r="DM52" s="149">
        <f t="shared" ref="DM52:EF52" ca="1" si="155">DM43+DM42</f>
        <v>13660932.23841792</v>
      </c>
      <c r="DN52" s="149">
        <f t="shared" ca="1" si="155"/>
        <v>14268537.237972468</v>
      </c>
      <c r="DO52" s="149">
        <f t="shared" ca="1" si="155"/>
        <v>13938633.012301659</v>
      </c>
      <c r="DP52" s="149">
        <f t="shared" ca="1" si="155"/>
        <v>14580865.465160925</v>
      </c>
      <c r="DQ52" s="89">
        <f t="shared" ca="1" si="155"/>
        <v>14580865.465160925</v>
      </c>
      <c r="DR52" s="149">
        <f t="shared" ca="1" si="155"/>
        <v>13459626.73683726</v>
      </c>
      <c r="DS52" s="149">
        <f t="shared" ca="1" si="155"/>
        <v>14071289.291617164</v>
      </c>
      <c r="DT52" s="149">
        <f t="shared" ca="1" si="155"/>
        <v>14682807.775737308</v>
      </c>
      <c r="DU52" s="149">
        <f t="shared" ca="1" si="155"/>
        <v>15373368.421407601</v>
      </c>
      <c r="DV52" s="89">
        <f t="shared" ca="1" si="155"/>
        <v>15373368.421407601</v>
      </c>
      <c r="DW52" s="149">
        <f t="shared" ca="1" si="155"/>
        <v>14144376.361446489</v>
      </c>
      <c r="DX52" s="149">
        <f t="shared" ca="1" si="155"/>
        <v>14765419.928476155</v>
      </c>
      <c r="DY52" s="149">
        <f t="shared" ca="1" si="155"/>
        <v>15368447.504085574</v>
      </c>
      <c r="DZ52" s="149">
        <f t="shared" ca="1" si="155"/>
        <v>16052311.031021699</v>
      </c>
      <c r="EA52" s="89">
        <f t="shared" ca="1" si="155"/>
        <v>16052311.031021699</v>
      </c>
      <c r="EB52" s="149">
        <f t="shared" ca="1" si="155"/>
        <v>14759355.172072647</v>
      </c>
      <c r="EC52" s="149">
        <f t="shared" ca="1" si="155"/>
        <v>15426680.152237184</v>
      </c>
      <c r="ED52" s="149">
        <f t="shared" ca="1" si="155"/>
        <v>16098103.197940612</v>
      </c>
      <c r="EE52" s="149">
        <f t="shared" ca="1" si="155"/>
        <v>16844760.801394302</v>
      </c>
      <c r="EF52" s="89">
        <f t="shared" ca="1" si="155"/>
        <v>16844760.801394302</v>
      </c>
    </row>
    <row r="53" spans="1:136">
      <c r="A53" s="66" t="s">
        <v>710</v>
      </c>
      <c r="B53" s="149">
        <f t="shared" ref="B53:AX53" si="156">B50-B51</f>
        <v>-43673</v>
      </c>
      <c r="C53" s="149">
        <f t="shared" si="156"/>
        <v>-43218</v>
      </c>
      <c r="D53" s="149">
        <f t="shared" si="156"/>
        <v>-20653</v>
      </c>
      <c r="E53" s="149">
        <f t="shared" si="156"/>
        <v>97177</v>
      </c>
      <c r="F53" s="89">
        <f t="shared" si="156"/>
        <v>97177</v>
      </c>
      <c r="G53" s="149">
        <f t="shared" si="156"/>
        <v>343988.5</v>
      </c>
      <c r="H53" s="149">
        <f t="shared" si="156"/>
        <v>44011</v>
      </c>
      <c r="I53" s="149">
        <f t="shared" si="156"/>
        <v>-366591</v>
      </c>
      <c r="J53" s="149">
        <f t="shared" si="156"/>
        <v>-316210</v>
      </c>
      <c r="K53" s="89">
        <f t="shared" si="156"/>
        <v>-305943</v>
      </c>
      <c r="L53" s="149">
        <f>L50-L51</f>
        <v>-197301</v>
      </c>
      <c r="M53" s="149">
        <f>M50-M51</f>
        <v>-42732</v>
      </c>
      <c r="N53" s="149">
        <f>N50-N51</f>
        <v>-660245</v>
      </c>
      <c r="O53" s="149">
        <f>O50-O51</f>
        <v>-412494</v>
      </c>
      <c r="P53" s="89">
        <f t="shared" si="156"/>
        <v>-412494</v>
      </c>
      <c r="Q53" s="149">
        <f>Q50-Q51</f>
        <v>-66365</v>
      </c>
      <c r="R53" s="149">
        <f>R50-R51</f>
        <v>61698</v>
      </c>
      <c r="S53" s="149">
        <f>S50-S51</f>
        <v>-55844</v>
      </c>
      <c r="T53" s="149">
        <f>T50-T51</f>
        <v>216944</v>
      </c>
      <c r="U53" s="89">
        <f t="shared" si="156"/>
        <v>216944</v>
      </c>
      <c r="V53" s="149">
        <f>V50-V51</f>
        <v>426812</v>
      </c>
      <c r="W53" s="149">
        <f>W50-W51</f>
        <v>726147</v>
      </c>
      <c r="X53" s="149">
        <f>X50-X51</f>
        <v>992260</v>
      </c>
      <c r="Y53" s="149">
        <f>Y50-Y51</f>
        <v>1343514</v>
      </c>
      <c r="Z53" s="89">
        <f t="shared" si="156"/>
        <v>1343514</v>
      </c>
      <c r="AA53" s="149">
        <f t="shared" si="156"/>
        <v>1612563</v>
      </c>
      <c r="AB53" s="149">
        <f t="shared" si="156"/>
        <v>2019941</v>
      </c>
      <c r="AC53" s="149">
        <f t="shared" si="156"/>
        <v>2165335</v>
      </c>
      <c r="AD53" s="149">
        <f>AD50-AD51</f>
        <v>1081846</v>
      </c>
      <c r="AE53" s="89">
        <f>AE50-AE51</f>
        <v>1081846</v>
      </c>
      <c r="AF53" s="149">
        <f>AF50-AF51</f>
        <v>1448830</v>
      </c>
      <c r="AG53" s="149">
        <f t="shared" si="156"/>
        <v>1919208</v>
      </c>
      <c r="AH53" s="149">
        <f t="shared" si="156"/>
        <v>2123606</v>
      </c>
      <c r="AI53" s="149">
        <f>AI50-AI51</f>
        <v>2408513</v>
      </c>
      <c r="AJ53" s="89">
        <f t="shared" si="156"/>
        <v>2408513</v>
      </c>
      <c r="AK53" s="149">
        <f t="shared" si="156"/>
        <v>2589406</v>
      </c>
      <c r="AL53" s="149">
        <f t="shared" si="156"/>
        <v>2759298</v>
      </c>
      <c r="AM53" s="149">
        <f>AM50-AM51</f>
        <v>3004203</v>
      </c>
      <c r="AN53" s="149">
        <f>AN50-AN51</f>
        <v>2940735</v>
      </c>
      <c r="AO53" s="89">
        <f t="shared" si="156"/>
        <v>2940735</v>
      </c>
      <c r="AP53" s="149">
        <f>AP50-AP51</f>
        <v>2968409</v>
      </c>
      <c r="AQ53" s="149">
        <f t="shared" si="156"/>
        <v>3019122</v>
      </c>
      <c r="AR53" s="149">
        <f t="shared" si="156"/>
        <v>2876085</v>
      </c>
      <c r="AS53" s="149">
        <f t="shared" si="156"/>
        <v>2622359</v>
      </c>
      <c r="AT53" s="89">
        <f t="shared" si="156"/>
        <v>2622359</v>
      </c>
      <c r="AU53" s="149">
        <f t="shared" si="156"/>
        <v>2481144</v>
      </c>
      <c r="AV53" s="149">
        <f t="shared" si="156"/>
        <v>2498691</v>
      </c>
      <c r="AW53" s="149">
        <f t="shared" si="156"/>
        <v>2562374</v>
      </c>
      <c r="AX53" s="149">
        <f t="shared" si="156"/>
        <v>2655649</v>
      </c>
      <c r="AY53" s="89">
        <f t="shared" ref="AY53:CC53" si="157">AY50-AY51</f>
        <v>2655649</v>
      </c>
      <c r="AZ53" s="149">
        <f t="shared" si="157"/>
        <v>2565120</v>
      </c>
      <c r="BA53" s="149">
        <f t="shared" si="157"/>
        <v>2672743</v>
      </c>
      <c r="BB53" s="149">
        <f t="shared" si="157"/>
        <v>2596315</v>
      </c>
      <c r="BC53" s="149">
        <f t="shared" si="157"/>
        <v>2269438</v>
      </c>
      <c r="BD53" s="89">
        <f t="shared" si="157"/>
        <v>2269438</v>
      </c>
      <c r="BE53" s="149">
        <f t="shared" si="157"/>
        <v>1931287</v>
      </c>
      <c r="BF53" s="149">
        <f t="shared" si="157"/>
        <v>1833599</v>
      </c>
      <c r="BG53" s="149">
        <f t="shared" si="157"/>
        <v>1628021</v>
      </c>
      <c r="BH53" s="149">
        <f t="shared" si="157"/>
        <v>1640838</v>
      </c>
      <c r="BI53" s="89">
        <f t="shared" si="157"/>
        <v>1640838</v>
      </c>
      <c r="BJ53" s="149">
        <f t="shared" si="157"/>
        <v>1682228</v>
      </c>
      <c r="BK53" s="149">
        <f t="shared" si="157"/>
        <v>1763018</v>
      </c>
      <c r="BL53" s="149">
        <f t="shared" si="157"/>
        <v>2010765</v>
      </c>
      <c r="BM53" s="149">
        <f t="shared" si="157"/>
        <v>1790185</v>
      </c>
      <c r="BN53" s="89">
        <f t="shared" si="157"/>
        <v>1790185</v>
      </c>
      <c r="BO53" s="149">
        <f t="shared" si="157"/>
        <v>1652669</v>
      </c>
      <c r="BP53" s="149">
        <f t="shared" si="157"/>
        <v>1816718</v>
      </c>
      <c r="BQ53" s="149">
        <f t="shared" si="157"/>
        <v>1524571</v>
      </c>
      <c r="BR53" s="149">
        <f t="shared" si="157"/>
        <v>1261461</v>
      </c>
      <c r="BS53" s="89">
        <f t="shared" si="157"/>
        <v>1261461</v>
      </c>
      <c r="BT53" s="149">
        <f t="shared" si="157"/>
        <v>1054625</v>
      </c>
      <c r="BU53" s="149">
        <f>BU50-BU51</f>
        <v>866514</v>
      </c>
      <c r="BV53" s="149">
        <f t="shared" si="157"/>
        <v>799681</v>
      </c>
      <c r="BW53" s="149">
        <f t="shared" si="157"/>
        <v>852214</v>
      </c>
      <c r="BX53" s="89">
        <f t="shared" si="157"/>
        <v>852214</v>
      </c>
      <c r="BY53" s="149">
        <f t="shared" si="157"/>
        <v>733400</v>
      </c>
      <c r="BZ53" s="149">
        <f>BZ50-BZ51</f>
        <v>540883</v>
      </c>
      <c r="CA53" s="149">
        <f t="shared" si="157"/>
        <v>737566</v>
      </c>
      <c r="CB53" s="149">
        <f t="shared" si="157"/>
        <v>951754</v>
      </c>
      <c r="CC53" s="89">
        <f t="shared" si="157"/>
        <v>951754</v>
      </c>
      <c r="CD53" s="149">
        <f t="shared" ref="CD53:DG53" si="158">CD50-CD51</f>
        <v>924557</v>
      </c>
      <c r="CE53" s="149">
        <f>CE50-CE51</f>
        <v>1008519</v>
      </c>
      <c r="CF53" s="149">
        <f>CF50-CF51</f>
        <v>125420</v>
      </c>
      <c r="CG53" s="149">
        <f>CG50-CG51</f>
        <v>391460</v>
      </c>
      <c r="CH53" s="89">
        <f t="shared" si="158"/>
        <v>391460</v>
      </c>
      <c r="CI53" s="149">
        <f t="shared" si="158"/>
        <v>378879</v>
      </c>
      <c r="CJ53" s="149">
        <f>CJ50-CJ51</f>
        <v>654802</v>
      </c>
      <c r="CK53" s="149">
        <f>CK50-CK51</f>
        <v>481125</v>
      </c>
      <c r="CL53" s="149">
        <f t="shared" si="158"/>
        <v>445495</v>
      </c>
      <c r="CM53" s="89">
        <f t="shared" si="158"/>
        <v>445495</v>
      </c>
      <c r="CN53" s="149">
        <f>CN50-CN51</f>
        <v>530155</v>
      </c>
      <c r="CO53" s="149">
        <f>CO50-CO51</f>
        <v>578128</v>
      </c>
      <c r="CP53" s="149">
        <f>CP50-CP51</f>
        <v>565275</v>
      </c>
      <c r="CQ53" s="149">
        <f t="shared" si="158"/>
        <v>468163</v>
      </c>
      <c r="CR53" s="89">
        <f t="shared" si="158"/>
        <v>468163</v>
      </c>
      <c r="CS53" s="149">
        <f t="shared" si="158"/>
        <v>477141</v>
      </c>
      <c r="CT53" s="149">
        <f t="shared" si="158"/>
        <v>397104</v>
      </c>
      <c r="CU53" s="149">
        <f t="shared" si="158"/>
        <v>500486</v>
      </c>
      <c r="CV53" s="149">
        <f>CV50-CV51</f>
        <v>610879</v>
      </c>
      <c r="CW53" s="89">
        <f t="shared" si="158"/>
        <v>610879</v>
      </c>
      <c r="CX53" s="149">
        <f>CX50-CX51</f>
        <v>536423</v>
      </c>
      <c r="CY53" s="149">
        <f>CY50-CY51</f>
        <v>516856</v>
      </c>
      <c r="CZ53" s="149">
        <f t="shared" ref="CZ53" si="159">CZ50-CZ51</f>
        <v>442400</v>
      </c>
      <c r="DA53" s="149">
        <f>DA50-DA51</f>
        <v>794680</v>
      </c>
      <c r="DB53" s="89">
        <f t="shared" si="158"/>
        <v>794680</v>
      </c>
      <c r="DC53" s="149">
        <f t="shared" si="158"/>
        <v>692689</v>
      </c>
      <c r="DD53" s="149">
        <f>DD50-DD51</f>
        <v>1030502</v>
      </c>
      <c r="DE53" s="149">
        <f t="shared" ref="DE53" si="160">DE50-DE51</f>
        <v>652931</v>
      </c>
      <c r="DF53" s="149">
        <f>DF50-DF51</f>
        <v>1837174</v>
      </c>
      <c r="DG53" s="89">
        <f t="shared" si="158"/>
        <v>1837174</v>
      </c>
      <c r="DH53" s="149">
        <f>DH50-DH51</f>
        <v>1712201</v>
      </c>
      <c r="DI53" s="149">
        <f>DI50-DI51</f>
        <v>1342574</v>
      </c>
      <c r="DJ53" s="149">
        <f ca="1">DJ50-DJ51</f>
        <v>829921.34259124473</v>
      </c>
      <c r="DK53" s="149">
        <f ca="1">DK50-DK51</f>
        <v>1217730.4013077551</v>
      </c>
      <c r="DL53" s="89">
        <f ca="1">DL50-DL51</f>
        <v>1217730.4013077551</v>
      </c>
      <c r="DM53" s="149">
        <f t="shared" ref="DM53:EF53" ca="1" si="161">DM50-DM51</f>
        <v>1357736.2790266443</v>
      </c>
      <c r="DN53" s="149">
        <f t="shared" ca="1" si="161"/>
        <v>1479418.9934756253</v>
      </c>
      <c r="DO53" s="149">
        <f t="shared" ca="1" si="161"/>
        <v>2689694.8634243868</v>
      </c>
      <c r="DP53" s="149">
        <f t="shared" ca="1" si="161"/>
        <v>1886058.2142214971</v>
      </c>
      <c r="DQ53" s="89">
        <f t="shared" ca="1" si="161"/>
        <v>1886058.2142214971</v>
      </c>
      <c r="DR53" s="149">
        <f t="shared" ca="1" si="161"/>
        <v>3673911.0612555081</v>
      </c>
      <c r="DS53" s="149">
        <f t="shared" ca="1" si="161"/>
        <v>4624845.4542023586</v>
      </c>
      <c r="DT53" s="149">
        <f t="shared" ca="1" si="161"/>
        <v>4637273.9499851884</v>
      </c>
      <c r="DU53" s="149">
        <f t="shared" ca="1" si="161"/>
        <v>3031536.8963232227</v>
      </c>
      <c r="DV53" s="89">
        <f t="shared" ca="1" si="161"/>
        <v>3031536.8963232227</v>
      </c>
      <c r="DW53" s="149">
        <f t="shared" ca="1" si="161"/>
        <v>4549994.7666303497</v>
      </c>
      <c r="DX53" s="149">
        <f t="shared" ca="1" si="161"/>
        <v>6110673.6233995985</v>
      </c>
      <c r="DY53" s="149">
        <f t="shared" ca="1" si="161"/>
        <v>5743600.1232616194</v>
      </c>
      <c r="DZ53" s="149">
        <f t="shared" ca="1" si="161"/>
        <v>3450345.5360480733</v>
      </c>
      <c r="EA53" s="89">
        <f t="shared" ca="1" si="161"/>
        <v>3450345.5360480733</v>
      </c>
      <c r="EB53" s="149">
        <f t="shared" ca="1" si="161"/>
        <v>4640857.2971016774</v>
      </c>
      <c r="EC53" s="149">
        <f t="shared" ca="1" si="161"/>
        <v>6053315.5816730391</v>
      </c>
      <c r="ED53" s="149">
        <f t="shared" ca="1" si="161"/>
        <v>5674059.6889042873</v>
      </c>
      <c r="EE53" s="149">
        <f t="shared" ca="1" si="161"/>
        <v>3209363.5943562193</v>
      </c>
      <c r="EF53" s="89">
        <f t="shared" ca="1" si="161"/>
        <v>3209363.5943562193</v>
      </c>
    </row>
    <row r="54" spans="1:136">
      <c r="A54" s="66" t="s">
        <v>94</v>
      </c>
      <c r="B54" s="220">
        <f t="shared" ref="B54:BL54" si="162">B53/(B52+B53)</f>
        <v>-0.16602420814135607</v>
      </c>
      <c r="C54" s="220">
        <f t="shared" si="162"/>
        <v>-0.15872922596639427</v>
      </c>
      <c r="D54" s="220">
        <f t="shared" si="162"/>
        <v>-6.7869407338032567E-2</v>
      </c>
      <c r="E54" s="220">
        <f t="shared" si="162"/>
        <v>0.18011417344725966</v>
      </c>
      <c r="F54" s="91">
        <f t="shared" si="162"/>
        <v>0.18011417344725966</v>
      </c>
      <c r="G54" s="220">
        <f t="shared" si="162"/>
        <v>0.4122636969904343</v>
      </c>
      <c r="H54" s="220">
        <f t="shared" si="162"/>
        <v>8.313986107779002E-2</v>
      </c>
      <c r="I54" s="220">
        <f t="shared" si="162"/>
        <v>-0.55791942386480542</v>
      </c>
      <c r="J54" s="220">
        <f t="shared" si="162"/>
        <v>-0.45006782116845984</v>
      </c>
      <c r="K54" s="91">
        <f t="shared" si="162"/>
        <v>-0.42918285754366275</v>
      </c>
      <c r="L54" s="220">
        <f>L53/(L52+L53)</f>
        <v>-0.22448756677418805</v>
      </c>
      <c r="M54" s="220">
        <f>M53/(M52+M53)</f>
        <v>-3.7901828835085534E-2</v>
      </c>
      <c r="N54" s="220">
        <f>N53/(N52+N53)</f>
        <v>-0.5199348590121281</v>
      </c>
      <c r="O54" s="220">
        <f>O53/(O52+O53)</f>
        <v>-0.26854116551816176</v>
      </c>
      <c r="P54" s="91">
        <f t="shared" si="162"/>
        <v>-0.25208068899390534</v>
      </c>
      <c r="Q54" s="220">
        <f t="shared" si="162"/>
        <v>-3.1962814962440744E-2</v>
      </c>
      <c r="R54" s="220">
        <f t="shared" si="162"/>
        <v>2.8791018031134506E-2</v>
      </c>
      <c r="S54" s="220">
        <f t="shared" si="162"/>
        <v>-2.6763501684340784E-2</v>
      </c>
      <c r="T54" s="220">
        <f t="shared" si="162"/>
        <v>8.7249901164986307E-2</v>
      </c>
      <c r="U54" s="91">
        <f t="shared" si="162"/>
        <v>8.7249901164986307E-2</v>
      </c>
      <c r="V54" s="220">
        <f t="shared" si="162"/>
        <v>0.15221122672451576</v>
      </c>
      <c r="W54" s="220">
        <f t="shared" si="162"/>
        <v>0.22315745672897114</v>
      </c>
      <c r="X54" s="220">
        <f t="shared" si="162"/>
        <v>0.27536595065303188</v>
      </c>
      <c r="Y54" s="220">
        <f t="shared" si="162"/>
        <v>0.35796569959650348</v>
      </c>
      <c r="Z54" s="91">
        <f t="shared" si="162"/>
        <v>0.35796569959650348</v>
      </c>
      <c r="AA54" s="220">
        <f t="shared" si="162"/>
        <v>0.40425741003085774</v>
      </c>
      <c r="AB54" s="220">
        <f t="shared" si="162"/>
        <v>0.43728301631914279</v>
      </c>
      <c r="AC54" s="220">
        <f t="shared" si="162"/>
        <v>0.4283145926062778</v>
      </c>
      <c r="AD54" s="220">
        <f t="shared" si="162"/>
        <v>0.20855952185646712</v>
      </c>
      <c r="AE54" s="91">
        <f t="shared" si="162"/>
        <v>0.20855952185646712</v>
      </c>
      <c r="AF54" s="220">
        <f t="shared" si="162"/>
        <v>0.25227101020711806</v>
      </c>
      <c r="AG54" s="220">
        <f t="shared" si="162"/>
        <v>0.30002785782690816</v>
      </c>
      <c r="AH54" s="220">
        <f t="shared" si="162"/>
        <v>0.31115407123350936</v>
      </c>
      <c r="AI54" s="220">
        <f t="shared" si="162"/>
        <v>0.33968408211044432</v>
      </c>
      <c r="AJ54" s="91">
        <f t="shared" si="162"/>
        <v>0.33968408211044432</v>
      </c>
      <c r="AK54" s="220">
        <f t="shared" si="162"/>
        <v>0.351667803850926</v>
      </c>
      <c r="AL54" s="220">
        <f t="shared" si="162"/>
        <v>0.36286170307757393</v>
      </c>
      <c r="AM54" s="220">
        <f t="shared" si="162"/>
        <v>0.38199289673461373</v>
      </c>
      <c r="AN54" s="220">
        <f t="shared" si="162"/>
        <v>0.37397273809719106</v>
      </c>
      <c r="AO54" s="91">
        <f t="shared" si="162"/>
        <v>0.37397273809719106</v>
      </c>
      <c r="AP54" s="220">
        <f t="shared" si="162"/>
        <v>0.37139210938042488</v>
      </c>
      <c r="AQ54" s="220">
        <f t="shared" si="162"/>
        <v>0.36866316342950589</v>
      </c>
      <c r="AR54" s="220">
        <f t="shared" si="162"/>
        <v>0.34925577687927084</v>
      </c>
      <c r="AS54" s="220">
        <f t="shared" si="162"/>
        <v>0.31781851217549711</v>
      </c>
      <c r="AT54" s="91">
        <f t="shared" si="162"/>
        <v>0.31781851217549711</v>
      </c>
      <c r="AU54" s="220">
        <f t="shared" si="162"/>
        <v>0.28591502536268248</v>
      </c>
      <c r="AV54" s="220">
        <f t="shared" si="162"/>
        <v>0.2901457724457947</v>
      </c>
      <c r="AW54" s="220">
        <f t="shared" si="162"/>
        <v>0.28840369904232882</v>
      </c>
      <c r="AX54" s="220">
        <f t="shared" si="162"/>
        <v>0.30008360738226403</v>
      </c>
      <c r="AY54" s="91">
        <f t="shared" si="162"/>
        <v>0.30008360738226403</v>
      </c>
      <c r="AZ54" s="220">
        <f t="shared" si="162"/>
        <v>0.29224553355214833</v>
      </c>
      <c r="BA54" s="220">
        <f t="shared" si="162"/>
        <v>0.29720048695305629</v>
      </c>
      <c r="BB54" s="220">
        <f t="shared" si="162"/>
        <v>0.28719142282324028</v>
      </c>
      <c r="BC54" s="220">
        <f t="shared" si="162"/>
        <v>0.26274906124993241</v>
      </c>
      <c r="BD54" s="91">
        <f t="shared" si="162"/>
        <v>0.26274906124993241</v>
      </c>
      <c r="BE54" s="220">
        <f t="shared" si="162"/>
        <v>0.23135028955217551</v>
      </c>
      <c r="BF54" s="220">
        <f t="shared" si="162"/>
        <v>0.22225701050581922</v>
      </c>
      <c r="BG54" s="220">
        <f t="shared" si="162"/>
        <v>0.19310425075331036</v>
      </c>
      <c r="BH54" s="220">
        <f t="shared" si="162"/>
        <v>0.19722262454588343</v>
      </c>
      <c r="BI54" s="91">
        <f t="shared" si="162"/>
        <v>0.19722262454588343</v>
      </c>
      <c r="BJ54" s="220">
        <f t="shared" si="162"/>
        <v>0.19990087116209965</v>
      </c>
      <c r="BK54" s="220">
        <f t="shared" si="162"/>
        <v>0.2068610765466169</v>
      </c>
      <c r="BL54" s="220">
        <f t="shared" si="162"/>
        <v>0.22934836464971639</v>
      </c>
      <c r="BM54" s="220">
        <f t="shared" ref="BM54:CC54" si="163">BM53/(BM52+BM53)</f>
        <v>0.20920886668777239</v>
      </c>
      <c r="BN54" s="91">
        <f t="shared" si="163"/>
        <v>0.20920886668777239</v>
      </c>
      <c r="BO54" s="220">
        <f t="shared" si="163"/>
        <v>0.19599257806644543</v>
      </c>
      <c r="BP54" s="220">
        <f t="shared" si="163"/>
        <v>0.22341405813528648</v>
      </c>
      <c r="BQ54" s="220">
        <f t="shared" si="163"/>
        <v>0.19435275070592209</v>
      </c>
      <c r="BR54" s="220">
        <f t="shared" si="163"/>
        <v>0.16539501523477443</v>
      </c>
      <c r="BS54" s="91">
        <f t="shared" si="163"/>
        <v>0.16539501523477443</v>
      </c>
      <c r="BT54" s="220">
        <f t="shared" si="163"/>
        <v>0.14875310447394047</v>
      </c>
      <c r="BU54" s="220">
        <f>BU53/(BU52+BU53)</f>
        <v>0.13033980308704046</v>
      </c>
      <c r="BV54" s="220">
        <f t="shared" si="163"/>
        <v>0.12401373627822167</v>
      </c>
      <c r="BW54" s="220">
        <f t="shared" si="163"/>
        <v>0.1333663013837974</v>
      </c>
      <c r="BX54" s="91">
        <f t="shared" si="163"/>
        <v>0.1333663013837974</v>
      </c>
      <c r="BY54" s="220">
        <f t="shared" si="163"/>
        <v>0.11638703784197421</v>
      </c>
      <c r="BZ54" s="220">
        <f>BZ53/(BZ52+BZ53)</f>
        <v>8.9265918640197534E-2</v>
      </c>
      <c r="CA54" s="220">
        <f t="shared" si="163"/>
        <v>0.11861586148579648</v>
      </c>
      <c r="CB54" s="220">
        <f t="shared" si="163"/>
        <v>0.1553326912779204</v>
      </c>
      <c r="CC54" s="91">
        <f t="shared" si="163"/>
        <v>0.1553326912779204</v>
      </c>
      <c r="CD54" s="220">
        <f t="shared" ref="CD54:DG54" si="164">CD53/(CD52+CD53)</f>
        <v>0.15069572472677184</v>
      </c>
      <c r="CE54" s="220">
        <f>CE53/(CE52+CE53)</f>
        <v>0.15982121279591524</v>
      </c>
      <c r="CF54" s="220">
        <f t="shared" si="164"/>
        <v>1.8797744690296589E-2</v>
      </c>
      <c r="CG54" s="220">
        <f t="shared" si="164"/>
        <v>6.3260250985441704E-2</v>
      </c>
      <c r="CH54" s="91">
        <f t="shared" si="164"/>
        <v>6.3260250985441704E-2</v>
      </c>
      <c r="CI54" s="220">
        <f t="shared" si="164"/>
        <v>5.9386102693651507E-2</v>
      </c>
      <c r="CJ54" s="220">
        <f>CJ53/(CJ52+CJ53)</f>
        <v>9.4245405766396464E-2</v>
      </c>
      <c r="CK54" s="220">
        <f>CK53/(CK52+CK53)</f>
        <v>6.7901225856165828E-2</v>
      </c>
      <c r="CL54" s="220">
        <f t="shared" si="164"/>
        <v>6.1469469337980871E-2</v>
      </c>
      <c r="CM54" s="91">
        <f t="shared" si="164"/>
        <v>6.1469469337980871E-2</v>
      </c>
      <c r="CN54" s="220">
        <f>CN53/(CN52+CN53)</f>
        <v>7.0539989403467368E-2</v>
      </c>
      <c r="CO54" s="220">
        <f>CO53/(CO52+CO53)</f>
        <v>7.5546463529133509E-2</v>
      </c>
      <c r="CP54" s="220">
        <f>CP53/(CP52+CP53)</f>
        <v>7.7113242524029554E-2</v>
      </c>
      <c r="CQ54" s="220">
        <f t="shared" si="164"/>
        <v>5.7320274737881656E-2</v>
      </c>
      <c r="CR54" s="91">
        <f t="shared" si="164"/>
        <v>5.7320274737881656E-2</v>
      </c>
      <c r="CS54" s="220">
        <f t="shared" si="164"/>
        <v>5.7156009921363632E-2</v>
      </c>
      <c r="CT54" s="220">
        <f t="shared" si="164"/>
        <v>4.5956807979438033E-2</v>
      </c>
      <c r="CU54" s="220">
        <f t="shared" si="164"/>
        <v>5.5360862259870379E-2</v>
      </c>
      <c r="CV54" s="220">
        <f>CV53/(CV52+CV53)</f>
        <v>6.7050683783527174E-2</v>
      </c>
      <c r="CW54" s="91">
        <f t="shared" si="164"/>
        <v>6.7050683783527174E-2</v>
      </c>
      <c r="CX54" s="220">
        <f>CX53/(CX52+CX53)</f>
        <v>5.9101467050582029E-2</v>
      </c>
      <c r="CY54" s="220">
        <f t="shared" si="164"/>
        <v>5.3006875891919943E-2</v>
      </c>
      <c r="CZ54" s="220">
        <f t="shared" ref="CZ54" si="165">CZ53/(CZ52+CZ53)</f>
        <v>4.2977050604699925E-2</v>
      </c>
      <c r="DA54" s="220">
        <f>DA53/(DA52+DA53)</f>
        <v>7.3965320402525916E-2</v>
      </c>
      <c r="DB54" s="91">
        <f t="shared" si="164"/>
        <v>7.3965320402525916E-2</v>
      </c>
      <c r="DC54" s="220">
        <f t="shared" si="164"/>
        <v>6.2347262756887269E-2</v>
      </c>
      <c r="DD54" s="220">
        <f t="shared" ref="DD54:DE54" si="166">DD53/(DD52+DD53)</f>
        <v>8.6557746630302121E-2</v>
      </c>
      <c r="DE54" s="220">
        <f t="shared" si="166"/>
        <v>5.3775115550474886E-2</v>
      </c>
      <c r="DF54" s="220">
        <f>DF53/(DF52+DF53)</f>
        <v>0.13809228802436088</v>
      </c>
      <c r="DG54" s="91">
        <f t="shared" si="164"/>
        <v>0.13809228802436088</v>
      </c>
      <c r="DH54" s="220">
        <f>DH53/(DH52+DH53)</f>
        <v>0.12552609199278603</v>
      </c>
      <c r="DI54" s="220">
        <f>DI53/(DI52+DI53)</f>
        <v>9.7329724055536873E-2</v>
      </c>
      <c r="DJ54" s="220">
        <f ca="1">DJ53/(DJ52+DJ53)</f>
        <v>6.0178135826572679E-2</v>
      </c>
      <c r="DK54" s="220">
        <f ca="1">DK53/(DK52+DK53)</f>
        <v>8.4878970192469982E-2</v>
      </c>
      <c r="DL54" s="91">
        <f ca="1">DL53/(DL52+DL53)</f>
        <v>8.4878970192469982E-2</v>
      </c>
      <c r="DM54" s="220">
        <f t="shared" ref="DM54:EF54" ca="1" si="167">DM53/(DM52+DM53)</f>
        <v>9.0403238972189798E-2</v>
      </c>
      <c r="DN54" s="220">
        <f t="shared" ca="1" si="167"/>
        <v>9.3943555070421111E-2</v>
      </c>
      <c r="DO54" s="220">
        <f t="shared" ca="1" si="167"/>
        <v>0.16175377846324468</v>
      </c>
      <c r="DP54" s="220">
        <f t="shared" ca="1" si="167"/>
        <v>0.11453616054484757</v>
      </c>
      <c r="DQ54" s="91">
        <f t="shared" ca="1" si="167"/>
        <v>0.11453616054484757</v>
      </c>
      <c r="DR54" s="220">
        <f t="shared" ca="1" si="167"/>
        <v>0.21442804775931754</v>
      </c>
      <c r="DS54" s="220">
        <f t="shared" ca="1" si="167"/>
        <v>0.24736906944022102</v>
      </c>
      <c r="DT54" s="220">
        <f t="shared" ca="1" si="167"/>
        <v>0.24002351624688961</v>
      </c>
      <c r="DU54" s="220">
        <f t="shared" ca="1" si="167"/>
        <v>0.16471352848540419</v>
      </c>
      <c r="DV54" s="91">
        <f t="shared" ca="1" si="167"/>
        <v>0.16471352848540419</v>
      </c>
      <c r="DW54" s="220">
        <f t="shared" ca="1" si="167"/>
        <v>0.24338849033529514</v>
      </c>
      <c r="DX54" s="220">
        <f t="shared" ca="1" si="167"/>
        <v>0.29271154625816204</v>
      </c>
      <c r="DY54" s="220">
        <f t="shared" ca="1" si="167"/>
        <v>0.27205320036421893</v>
      </c>
      <c r="DZ54" s="220">
        <f t="shared" ca="1" si="167"/>
        <v>0.17691669461451628</v>
      </c>
      <c r="EA54" s="91">
        <f t="shared" ca="1" si="167"/>
        <v>0.17691669461451628</v>
      </c>
      <c r="EB54" s="220">
        <f t="shared" ca="1" si="167"/>
        <v>0.23921682839688985</v>
      </c>
      <c r="EC54" s="220">
        <f t="shared" ca="1" si="167"/>
        <v>0.28181176833833066</v>
      </c>
      <c r="ED54" s="220">
        <f t="shared" ca="1" si="167"/>
        <v>0.26061074953341673</v>
      </c>
      <c r="EE54" s="220">
        <f t="shared" ca="1" si="167"/>
        <v>0.16003508959165949</v>
      </c>
      <c r="EF54" s="91">
        <f t="shared" ca="1" si="167"/>
        <v>0.16003508959165949</v>
      </c>
    </row>
    <row r="55" spans="1:136">
      <c r="A55" s="66" t="s">
        <v>93</v>
      </c>
      <c r="B55" s="220">
        <f t="shared" ref="B55:BL55" si="168">B53/B52</f>
        <v>-0.14238487244274187</v>
      </c>
      <c r="C55" s="220">
        <f t="shared" si="168"/>
        <v>-0.1369856066537134</v>
      </c>
      <c r="D55" s="220">
        <f t="shared" si="168"/>
        <v>-6.3555905686273298E-2</v>
      </c>
      <c r="E55" s="220">
        <f t="shared" si="168"/>
        <v>0.21968201865930603</v>
      </c>
      <c r="F55" s="91">
        <f t="shared" si="168"/>
        <v>0.21968201865930603</v>
      </c>
      <c r="G55" s="220">
        <f t="shared" si="168"/>
        <v>0.70144330863925641</v>
      </c>
      <c r="H55" s="220">
        <f t="shared" si="168"/>
        <v>9.0678891521582358E-2</v>
      </c>
      <c r="I55" s="220">
        <f t="shared" si="168"/>
        <v>-0.35811827962241333</v>
      </c>
      <c r="J55" s="220">
        <f t="shared" si="168"/>
        <v>-0.31037708347034187</v>
      </c>
      <c r="K55" s="91">
        <f t="shared" si="168"/>
        <v>-0.30029947202228519</v>
      </c>
      <c r="L55" s="220">
        <f t="shared" si="168"/>
        <v>-0.18333184661530055</v>
      </c>
      <c r="M55" s="220">
        <f t="shared" si="168"/>
        <v>-3.6517739714964734E-2</v>
      </c>
      <c r="N55" s="220">
        <f t="shared" si="168"/>
        <v>-0.34207706726988052</v>
      </c>
      <c r="O55" s="220">
        <f t="shared" si="168"/>
        <v>-0.21169290584942949</v>
      </c>
      <c r="P55" s="91">
        <f t="shared" si="168"/>
        <v>-0.20132942805504159</v>
      </c>
      <c r="Q55" s="220">
        <f t="shared" si="168"/>
        <v>-3.0972835938477161E-2</v>
      </c>
      <c r="R55" s="220">
        <f t="shared" si="168"/>
        <v>2.9644513761362096E-2</v>
      </c>
      <c r="S55" s="220">
        <f t="shared" si="168"/>
        <v>-2.6065887266577888E-2</v>
      </c>
      <c r="T55" s="220">
        <f t="shared" si="168"/>
        <v>9.5590130613349145E-2</v>
      </c>
      <c r="U55" s="91">
        <f t="shared" si="168"/>
        <v>9.5590130613349145E-2</v>
      </c>
      <c r="V55" s="220">
        <f t="shared" si="168"/>
        <v>0.17953909219207786</v>
      </c>
      <c r="W55" s="220">
        <f t="shared" si="168"/>
        <v>0.28726214683007495</v>
      </c>
      <c r="X55" s="220">
        <f t="shared" si="168"/>
        <v>0.38000691645829848</v>
      </c>
      <c r="Y55" s="220">
        <f t="shared" si="168"/>
        <v>0.55754918291987565</v>
      </c>
      <c r="Z55" s="91">
        <f t="shared" si="168"/>
        <v>0.55754918291987565</v>
      </c>
      <c r="AA55" s="220">
        <f t="shared" si="168"/>
        <v>0.67857731986527448</v>
      </c>
      <c r="AB55" s="220">
        <f t="shared" si="168"/>
        <v>0.77709226662891373</v>
      </c>
      <c r="AC55" s="220">
        <f t="shared" si="168"/>
        <v>0.74921379322753234</v>
      </c>
      <c r="AD55" s="220">
        <f>AD53/AD52</f>
        <v>0.26351889701886522</v>
      </c>
      <c r="AE55" s="91">
        <f>AE53/AE52</f>
        <v>0.26351889701886522</v>
      </c>
      <c r="AF55" s="220">
        <f>AF53/AF52</f>
        <v>0.33738294709824773</v>
      </c>
      <c r="AG55" s="220">
        <f t="shared" si="168"/>
        <v>0.42862828354205573</v>
      </c>
      <c r="AH55" s="220">
        <f t="shared" si="168"/>
        <v>0.45170343358302167</v>
      </c>
      <c r="AI55" s="220">
        <f>AI53/AI52</f>
        <v>0.51442661445465843</v>
      </c>
      <c r="AJ55" s="91">
        <f t="shared" si="168"/>
        <v>0.51442661445465843</v>
      </c>
      <c r="AK55" s="220">
        <f t="shared" si="168"/>
        <v>0.54241915786342565</v>
      </c>
      <c r="AL55" s="220">
        <f t="shared" si="168"/>
        <v>0.56951795996302146</v>
      </c>
      <c r="AM55" s="220">
        <f t="shared" si="168"/>
        <v>0.61810437892422954</v>
      </c>
      <c r="AN55" s="220">
        <f t="shared" si="168"/>
        <v>0.59737452480983255</v>
      </c>
      <c r="AO55" s="91">
        <f t="shared" si="168"/>
        <v>0.59737452480983255</v>
      </c>
      <c r="AP55" s="220">
        <f t="shared" si="168"/>
        <v>0.59081681111951923</v>
      </c>
      <c r="AQ55" s="220">
        <f t="shared" si="168"/>
        <v>0.58394052441503863</v>
      </c>
      <c r="AR55" s="220">
        <f t="shared" si="168"/>
        <v>0.53670207812889836</v>
      </c>
      <c r="AS55" s="220">
        <f t="shared" si="168"/>
        <v>0.4658855712854798</v>
      </c>
      <c r="AT55" s="91">
        <f t="shared" si="168"/>
        <v>0.4658855712854798</v>
      </c>
      <c r="AU55" s="220">
        <f t="shared" si="168"/>
        <v>0.40039356031528073</v>
      </c>
      <c r="AV55" s="220">
        <f t="shared" si="168"/>
        <v>0.40873993727626123</v>
      </c>
      <c r="AW55" s="220">
        <f t="shared" si="168"/>
        <v>0.40529117233211182</v>
      </c>
      <c r="AX55" s="220">
        <f t="shared" si="168"/>
        <v>0.42874207626418137</v>
      </c>
      <c r="AY55" s="91">
        <f t="shared" si="168"/>
        <v>0.42874207626418137</v>
      </c>
      <c r="AZ55" s="220">
        <f t="shared" si="168"/>
        <v>0.41291937727909966</v>
      </c>
      <c r="BA55" s="220">
        <f t="shared" si="168"/>
        <v>0.42288089481531083</v>
      </c>
      <c r="BB55" s="220">
        <f t="shared" si="168"/>
        <v>0.4029011883677483</v>
      </c>
      <c r="BC55" s="220">
        <f t="shared" si="168"/>
        <v>0.35639027017774461</v>
      </c>
      <c r="BD55" s="91">
        <f t="shared" si="168"/>
        <v>0.35639027017774461</v>
      </c>
      <c r="BE55" s="220">
        <f t="shared" si="168"/>
        <v>0.30098273167550937</v>
      </c>
      <c r="BF55" s="220">
        <f t="shared" si="168"/>
        <v>0.28577179544925002</v>
      </c>
      <c r="BG55" s="220">
        <f t="shared" si="168"/>
        <v>0.2393174718463825</v>
      </c>
      <c r="BH55" s="220">
        <f t="shared" si="168"/>
        <v>0.24567536477260357</v>
      </c>
      <c r="BI55" s="91">
        <f t="shared" si="168"/>
        <v>0.24567536477260357</v>
      </c>
      <c r="BJ55" s="220">
        <f t="shared" si="168"/>
        <v>0.24984513038083742</v>
      </c>
      <c r="BK55" s="220">
        <f t="shared" si="168"/>
        <v>0.26081316958437634</v>
      </c>
      <c r="BL55" s="220">
        <f t="shared" si="168"/>
        <v>0.29760316351689942</v>
      </c>
      <c r="BM55" s="220">
        <f t="shared" ref="BM55:CC55" si="169">BM53/BM52</f>
        <v>0.26455641429804772</v>
      </c>
      <c r="BN55" s="91">
        <f t="shared" si="169"/>
        <v>0.26455641429804772</v>
      </c>
      <c r="BO55" s="220">
        <f t="shared" si="169"/>
        <v>0.24376961296588975</v>
      </c>
      <c r="BP55" s="220">
        <f t="shared" si="169"/>
        <v>0.28768748710391501</v>
      </c>
      <c r="BQ55" s="220">
        <f t="shared" si="169"/>
        <v>0.24123802430433089</v>
      </c>
      <c r="BR55" s="220">
        <f t="shared" si="169"/>
        <v>0.19817161202469941</v>
      </c>
      <c r="BS55" s="91">
        <f t="shared" si="169"/>
        <v>0.19817161202469941</v>
      </c>
      <c r="BT55" s="220">
        <f t="shared" si="169"/>
        <v>0.17474730921868795</v>
      </c>
      <c r="BU55" s="220">
        <f>BU53/BU52</f>
        <v>0.14987440330109256</v>
      </c>
      <c r="BV55" s="220">
        <f t="shared" si="169"/>
        <v>0.14157041201916565</v>
      </c>
      <c r="BW55" s="220">
        <f t="shared" si="169"/>
        <v>0.15389004789076405</v>
      </c>
      <c r="BX55" s="91">
        <f t="shared" si="169"/>
        <v>0.15389004789076405</v>
      </c>
      <c r="BY55" s="220">
        <f t="shared" si="169"/>
        <v>0.13171721424018618</v>
      </c>
      <c r="BZ55" s="220">
        <f t="shared" si="169"/>
        <v>9.8015348790852344E-2</v>
      </c>
      <c r="CA55" s="220">
        <f t="shared" si="169"/>
        <v>0.13457907432479282</v>
      </c>
      <c r="CB55" s="220">
        <f t="shared" si="169"/>
        <v>0.18389807403926581</v>
      </c>
      <c r="CC55" s="91">
        <f t="shared" si="169"/>
        <v>0.18389807403926581</v>
      </c>
      <c r="CD55" s="220">
        <f t="shared" ref="CD55:DG55" si="170">CD53/CD52</f>
        <v>0.1774343178459708</v>
      </c>
      <c r="CE55" s="220">
        <f t="shared" si="170"/>
        <v>0.19022286116954018</v>
      </c>
      <c r="CF55" s="220">
        <f t="shared" si="170"/>
        <v>1.9157869428625938E-2</v>
      </c>
      <c r="CG55" s="220">
        <f t="shared" si="170"/>
        <v>6.7532365368279626E-2</v>
      </c>
      <c r="CH55" s="91">
        <f t="shared" si="170"/>
        <v>6.7532365368279626E-2</v>
      </c>
      <c r="CI55" s="220">
        <f t="shared" si="170"/>
        <v>6.3135472337498388E-2</v>
      </c>
      <c r="CJ55" s="220">
        <f>CJ53/CJ52</f>
        <v>0.10405181090595671</v>
      </c>
      <c r="CK55" s="220">
        <f>CK53/CK52</f>
        <v>7.2847672091979218E-2</v>
      </c>
      <c r="CL55" s="220">
        <f t="shared" si="170"/>
        <v>6.549543923160564E-2</v>
      </c>
      <c r="CM55" s="91">
        <f t="shared" si="170"/>
        <v>6.549543923160564E-2</v>
      </c>
      <c r="CN55" s="220">
        <f>CN53/CN52</f>
        <v>7.5893517310329908E-2</v>
      </c>
      <c r="CO55" s="220">
        <f>CO53/CO52</f>
        <v>8.172013037835818E-2</v>
      </c>
      <c r="CP55" s="220">
        <f>CP53/CP52</f>
        <v>8.3556559783053749E-2</v>
      </c>
      <c r="CQ55" s="220">
        <f t="shared" si="170"/>
        <v>6.0805672596748989E-2</v>
      </c>
      <c r="CR55" s="91">
        <f t="shared" si="170"/>
        <v>6.0805672596748989E-2</v>
      </c>
      <c r="CS55" s="220">
        <f t="shared" si="170"/>
        <v>6.0620856178546179E-2</v>
      </c>
      <c r="CT55" s="220">
        <f t="shared" si="170"/>
        <v>4.8170573789333801E-2</v>
      </c>
      <c r="CU55" s="220">
        <f t="shared" si="170"/>
        <v>5.8605302329851346E-2</v>
      </c>
      <c r="CV55" s="220">
        <f>CV53/CV52</f>
        <v>7.186958885981902E-2</v>
      </c>
      <c r="CW55" s="91">
        <f t="shared" si="170"/>
        <v>7.186958885981902E-2</v>
      </c>
      <c r="CX55" s="220">
        <f>CX53/CX52</f>
        <v>6.2813858222647775E-2</v>
      </c>
      <c r="CY55" s="220">
        <f t="shared" si="170"/>
        <v>5.597387620089022E-2</v>
      </c>
      <c r="CZ55" s="220">
        <f t="shared" ref="CZ55" si="171">CZ53/CZ52</f>
        <v>4.4907021959980371E-2</v>
      </c>
      <c r="DA55" s="220">
        <f>DA53/DA52</f>
        <v>7.987316461482516E-2</v>
      </c>
      <c r="DB55" s="91">
        <f t="shared" si="170"/>
        <v>7.987316461482516E-2</v>
      </c>
      <c r="DC55" s="220">
        <f t="shared" si="170"/>
        <v>6.6492913933361653E-2</v>
      </c>
      <c r="DD55" s="220">
        <f t="shared" ref="DD55:DE55" si="172">DD53/DD52</f>
        <v>9.4759954787497186E-2</v>
      </c>
      <c r="DE55" s="220">
        <f t="shared" si="172"/>
        <v>5.6831221028137563E-2</v>
      </c>
      <c r="DF55" s="220">
        <f>DF53/DF52</f>
        <v>0.16021702336069119</v>
      </c>
      <c r="DG55" s="91">
        <f t="shared" si="170"/>
        <v>0.16021702336069119</v>
      </c>
      <c r="DH55" s="220">
        <f>DH53/DH52</f>
        <v>0.14354469680958223</v>
      </c>
      <c r="DI55" s="220">
        <f>DI53/DI52</f>
        <v>0.10782422624219111</v>
      </c>
      <c r="DJ55" s="220">
        <f ca="1">DJ53/DJ52</f>
        <v>6.4031427784987008E-2</v>
      </c>
      <c r="DK55" s="220">
        <f ca="1">DK53/DK52</f>
        <v>9.2751633311630804E-2</v>
      </c>
      <c r="DL55" s="91">
        <f ca="1">DL53/DL52</f>
        <v>9.2751633311630804E-2</v>
      </c>
      <c r="DM55" s="220">
        <f t="shared" ref="DM55:EF55" ca="1" si="173">DM53/DM52</f>
        <v>9.9388259551449504E-2</v>
      </c>
      <c r="DN55" s="220">
        <f t="shared" ca="1" si="173"/>
        <v>0.10368399849274584</v>
      </c>
      <c r="DO55" s="220">
        <f t="shared" ca="1" si="173"/>
        <v>0.19296690436218342</v>
      </c>
      <c r="DP55" s="220">
        <f t="shared" ca="1" si="173"/>
        <v>0.12935159567365784</v>
      </c>
      <c r="DQ55" s="91">
        <f t="shared" ca="1" si="173"/>
        <v>0.12935159567365784</v>
      </c>
      <c r="DR55" s="220">
        <f t="shared" ca="1" si="173"/>
        <v>0.27295787120162018</v>
      </c>
      <c r="DS55" s="220">
        <f t="shared" ca="1" si="173"/>
        <v>0.32867247331469235</v>
      </c>
      <c r="DT55" s="220">
        <f t="shared" ca="1" si="173"/>
        <v>0.31583018866787038</v>
      </c>
      <c r="DU55" s="220">
        <f t="shared" ca="1" si="173"/>
        <v>0.19719405749112023</v>
      </c>
      <c r="DV55" s="91">
        <f t="shared" ca="1" si="173"/>
        <v>0.19719405749112023</v>
      </c>
      <c r="DW55" s="220">
        <f t="shared" ca="1" si="173"/>
        <v>0.32168224673604767</v>
      </c>
      <c r="DX55" s="220">
        <f t="shared" ca="1" si="173"/>
        <v>0.41385031059053951</v>
      </c>
      <c r="DY55" s="220">
        <f t="shared" ca="1" si="173"/>
        <v>0.37372676203856836</v>
      </c>
      <c r="DZ55" s="220">
        <f t="shared" ca="1" si="173"/>
        <v>0.21494385010234041</v>
      </c>
      <c r="EA55" s="91">
        <f t="shared" ca="1" si="173"/>
        <v>0.21494385010234041</v>
      </c>
      <c r="EB55" s="220">
        <f t="shared" ca="1" si="173"/>
        <v>0.31443496297744861</v>
      </c>
      <c r="EC55" s="220">
        <f t="shared" ca="1" si="173"/>
        <v>0.392392628999648</v>
      </c>
      <c r="ED55" s="220">
        <f t="shared" ca="1" si="173"/>
        <v>0.35246759317769527</v>
      </c>
      <c r="EE55" s="220">
        <f t="shared" ca="1" si="173"/>
        <v>0.1905259227005805</v>
      </c>
      <c r="EF55" s="91">
        <f t="shared" ca="1" si="173"/>
        <v>0.1905259227005805</v>
      </c>
    </row>
    <row r="56" spans="1:136">
      <c r="A56" s="66" t="s">
        <v>92</v>
      </c>
      <c r="B56" s="222">
        <f>B53/'Income Statement'!B58</f>
        <v>-1.326942650968477</v>
      </c>
      <c r="C56" s="222">
        <f>C53/'Income Statement'!C58</f>
        <v>-1.2942039618488628</v>
      </c>
      <c r="D56" s="222">
        <f>D53/'Income Statement'!D58</f>
        <v>-0.71505730014195201</v>
      </c>
      <c r="E56" s="222">
        <f>E53/'Income Statement'!E58</f>
        <v>1.9968970902515206</v>
      </c>
      <c r="F56" s="221">
        <f>F53/'Income Statement'!F58</f>
        <v>0.67552988119816759</v>
      </c>
      <c r="G56" s="222">
        <f>G53/'Income Statement'!G58</f>
        <v>6.3971676709067919</v>
      </c>
      <c r="H56" s="222">
        <f>H53/'Income Statement'!H58</f>
        <v>1.3085270856871023</v>
      </c>
      <c r="I56" s="222">
        <f>I53/'Income Statement'!I58</f>
        <v>-4.0058461000502659</v>
      </c>
      <c r="J56" s="222">
        <f>J53/'Income Statement'!J58</f>
        <v>-69.177422883395323</v>
      </c>
      <c r="K56" s="221">
        <f>K53/'Income Statement'!K58</f>
        <v>-1.6673460823691626</v>
      </c>
      <c r="L56" s="222">
        <f>L53/'Income Statement'!L58</f>
        <v>-2.9475626335210721</v>
      </c>
      <c r="M56" s="222">
        <f>M53/'Income Statement'!M58</f>
        <v>-0.54358113265150354</v>
      </c>
      <c r="N56" s="222">
        <f>N53/'Income Statement'!N58</f>
        <v>-14.409537319947621</v>
      </c>
      <c r="O56" s="222">
        <f>O53/'Income Statement'!O58</f>
        <v>-5.2928631919316347</v>
      </c>
      <c r="P56" s="221">
        <f>P53/'Income Statement'!P58</f>
        <v>-1.5317096356149023</v>
      </c>
      <c r="Q56" s="222">
        <f>Q53/'Income Statement'!Q58</f>
        <v>-1.0770391768639034</v>
      </c>
      <c r="R56" s="222">
        <f>R53/'Income Statement'!R58</f>
        <v>0.60654738497837202</v>
      </c>
      <c r="S56" s="222">
        <f>S53/'Income Statement'!S58</f>
        <v>-0.5433881482923032</v>
      </c>
      <c r="T56" s="222">
        <f>T53/'Income Statement'!T58</f>
        <v>1.7296986996005517</v>
      </c>
      <c r="U56" s="221">
        <f>U53/'Income Statement'!U58</f>
        <v>0.55409150233314863</v>
      </c>
      <c r="V56" s="222">
        <f>V53/'Income Statement'!V58</f>
        <v>4.0145603672071939</v>
      </c>
      <c r="W56" s="222">
        <f>W53/'Income Statement'!W58</f>
        <v>4.4950415985737635</v>
      </c>
      <c r="X56" s="222">
        <f>X53/'Income Statement'!X58</f>
        <v>6.1272932734761429</v>
      </c>
      <c r="Y56" s="222">
        <f>Y53/'Income Statement'!Y58</f>
        <v>13.488013011003133</v>
      </c>
      <c r="Z56" s="221">
        <f>Z53/'Income Statement'!Z58</f>
        <v>2.5377619194233572</v>
      </c>
      <c r="AA56" s="222">
        <f>AA53/'Income Statement'!AA58</f>
        <v>9.8977608917150537</v>
      </c>
      <c r="AB56" s="222">
        <f>AB53/'Income Statement'!AB58</f>
        <v>9.6198202660291372</v>
      </c>
      <c r="AC56" s="222">
        <f>AC53/'Income Statement'!AC58</f>
        <v>7.5360298749525807</v>
      </c>
      <c r="AD56" s="222">
        <f>AD53/'Income Statement'!AD58</f>
        <v>4.1515413160187116</v>
      </c>
      <c r="AE56" s="221">
        <f>AE53/'Income Statement'!AE58</f>
        <v>1.1748736722417761</v>
      </c>
      <c r="AF56" s="222">
        <f>AF53/'Income Statement'!AF58</f>
        <v>5.8204644062349349</v>
      </c>
      <c r="AG56" s="222">
        <f>AG53/'Income Statement'!AG58</f>
        <v>7.9169368611241744</v>
      </c>
      <c r="AH56" s="222">
        <f>AH53/'Income Statement'!AH58</f>
        <v>8.5705994882515792</v>
      </c>
      <c r="AI56" s="222">
        <f>AI53/'Income Statement'!AI58</f>
        <v>12.112149297715375</v>
      </c>
      <c r="AJ56" s="221">
        <f>AJ53/'Income Statement'!AJ58</f>
        <v>2.5678014258497366</v>
      </c>
      <c r="AK56" s="222">
        <f>AK53/'Income Statement'!AK58</f>
        <v>14.29126652979226</v>
      </c>
      <c r="AL56" s="222">
        <f>AL53/'Income Statement'!AL58</f>
        <v>14.85186341421405</v>
      </c>
      <c r="AM56" s="222">
        <f>AM53/'Income Statement'!AM58</f>
        <v>10.299230009736297</v>
      </c>
      <c r="AN56" s="222">
        <f>AN53/'Income Statement'!AN58</f>
        <v>7.5977579297925608</v>
      </c>
      <c r="AO56" s="221">
        <f>AO53/'Income Statement'!AO58</f>
        <v>2.8121602224685169</v>
      </c>
      <c r="AP56" s="222">
        <f>AP53/'Income Statement'!AP58</f>
        <v>9.9313765507273537</v>
      </c>
      <c r="AQ56" s="222">
        <f>AQ53/'Income Statement'!AQ58</f>
        <v>11.763531020724642</v>
      </c>
      <c r="AR56" s="222">
        <f>AR53/'Income Statement'!AR58</f>
        <v>9.9633314511184174</v>
      </c>
      <c r="AS56" s="222">
        <f>AS53/'Income Statement'!AS58</f>
        <v>8.7575148359777053</v>
      </c>
      <c r="AT56" s="221">
        <f>AT53/'Income Statement'!AT58</f>
        <v>2.2929713697622787</v>
      </c>
      <c r="AU56" s="222">
        <f>AU53/'Income Statement'!AU58</f>
        <v>9.5370659368537574</v>
      </c>
      <c r="AV56" s="222">
        <f>AV53/'Income Statement'!AV58</f>
        <v>8.5256278149310774</v>
      </c>
      <c r="AW56" s="222">
        <f>AW53/'Income Statement'!AW58</f>
        <v>8.2645762039459036</v>
      </c>
      <c r="AX56" s="222">
        <f>AX53/'Income Statement'!AX58</f>
        <v>8.4443303263389176</v>
      </c>
      <c r="AY56" s="221">
        <f>AY53/'Income Statement'!AY58</f>
        <v>2.2548112110174312</v>
      </c>
      <c r="AZ56" s="222">
        <f>AZ53/'Income Statement'!AZ58</f>
        <v>8.9054607188609882</v>
      </c>
      <c r="BA56" s="222">
        <f>BA53/'Income Statement'!BA58</f>
        <v>9.1616694831882803</v>
      </c>
      <c r="BB56" s="222">
        <f>BB53/'Income Statement'!BB58</f>
        <v>8.8875633709765207</v>
      </c>
      <c r="BC56" s="222">
        <f>BC53/'Income Statement'!BC58</f>
        <v>8.8121536878482534</v>
      </c>
      <c r="BD56" s="221">
        <f>BD53/'Income Statement'!BD58</f>
        <v>2.0093586699178525</v>
      </c>
      <c r="BE56" s="222">
        <f>BE53/'Income Statement'!BE58</f>
        <v>10.351818401093453</v>
      </c>
      <c r="BF56" s="222">
        <f>BF53/'Income Statement'!BF58</f>
        <v>7.0215978585952969</v>
      </c>
      <c r="BG56" s="222">
        <f>BG53/'Income Statement'!BG58</f>
        <v>7.1908419536929884</v>
      </c>
      <c r="BH56" s="222">
        <f>BH53/'Income Statement'!BH58</f>
        <v>10.051567611276509</v>
      </c>
      <c r="BI56" s="221">
        <f>BI53/'Income Statement'!BI58</f>
        <v>1.9595698791180707</v>
      </c>
      <c r="BJ56" s="222">
        <f>BJ53/'Income Statement'!BJ58</f>
        <v>10.501978998888765</v>
      </c>
      <c r="BK56" s="222">
        <f>BK53/'Income Statement'!BK58</f>
        <v>17.933799220808286</v>
      </c>
      <c r="BL56" s="222">
        <f>BL53/'Income Statement'!BL58</f>
        <v>17.005074210326018</v>
      </c>
      <c r="BM56" s="222">
        <f>BM53/'Income Statement'!BM58</f>
        <v>19.0194318133526</v>
      </c>
      <c r="BN56" s="221">
        <f>BN53/'Income Statement'!BN58</f>
        <v>3.8019636493380169</v>
      </c>
      <c r="BO56" s="222">
        <f>BO53/'Income Statement'!BO58</f>
        <v>16.330559974703807</v>
      </c>
      <c r="BP56" s="222">
        <f>BP53/'Income Statement'!BP58</f>
        <v>-21.946604815230916</v>
      </c>
      <c r="BQ56" s="222">
        <f>BQ53/'Income Statement'!BQ58</f>
        <v>47.910845039439366</v>
      </c>
      <c r="BR56" s="222">
        <f>BR53/'Income Statement'!BR58</f>
        <v>21.888204469739033</v>
      </c>
      <c r="BS56" s="221">
        <f>BS53/'Income Statement'!BS58</f>
        <v>11.693728852838934</v>
      </c>
      <c r="BT56" s="222">
        <f>BT53/'Income Statement'!BT58</f>
        <v>186.23079639766908</v>
      </c>
      <c r="BU56" s="222">
        <f>BU53/'Income Statement'!BU58</f>
        <v>57.275034701566526</v>
      </c>
      <c r="BV56" s="222">
        <f>BV53/'Income Statement'!BV58</f>
        <v>-17.838475094247027</v>
      </c>
      <c r="BW56" s="222">
        <f>BW53/'Income Statement'!BW58</f>
        <v>6.091115066006247</v>
      </c>
      <c r="BX56" s="221">
        <f>BX53/'Income Statement'!BX58</f>
        <v>8.8888958424598954</v>
      </c>
      <c r="BY56" s="222">
        <f>BY53/'Income Statement'!BY58</f>
        <v>5.7892077926178525</v>
      </c>
      <c r="BZ56" s="222">
        <f>BZ53/'Income Statement'!BZ58</f>
        <v>5.2763925470685784</v>
      </c>
      <c r="CA56" s="222">
        <f>CA53/'Income Statement'!CA58</f>
        <v>4.9238359090757369</v>
      </c>
      <c r="CB56" s="222">
        <f>CB53/'Income Statement'!CB58</f>
        <v>3.6218524170316728</v>
      </c>
      <c r="CC56" s="221">
        <f>CC53/'Income Statement'!CC58</f>
        <v>1.483014163952818</v>
      </c>
      <c r="CD56" s="222">
        <f>CD53/'Income Statement'!CD58</f>
        <v>11.559274354870974</v>
      </c>
      <c r="CE56" s="222">
        <f>CE53/'Income Statement'!CE58</f>
        <v>9.0175160944206016</v>
      </c>
      <c r="CF56" s="222">
        <f>CF53/'Income Statement'!CF58</f>
        <v>0.56722385035638045</v>
      </c>
      <c r="CG56" s="222">
        <f>CG53/'Income Statement'!CG58</f>
        <v>1.7264251629576708</v>
      </c>
      <c r="CH56" s="221">
        <f>CH53/'Income Statement'!CH58</f>
        <v>0.61196031778289839</v>
      </c>
      <c r="CI56" s="222">
        <f>CI53/'Income Statement'!CI58</f>
        <v>2.4274822365596909</v>
      </c>
      <c r="CJ56" s="222">
        <f>CJ53/'Income Statement'!CJ58</f>
        <v>2.6346046294545324</v>
      </c>
      <c r="CK56" s="222">
        <f>CK53/'Income Statement'!CK58</f>
        <v>2.1077752757795865</v>
      </c>
      <c r="CL56" s="222">
        <f>CL53/'Income Statement'!CL58</f>
        <v>2.0313390573204262</v>
      </c>
      <c r="CM56" s="221">
        <f>CM53/'Income Statement'!CM58</f>
        <v>0.52276426294105427</v>
      </c>
      <c r="CN56" s="222">
        <f>CN53/'Income Statement'!CN58</f>
        <v>3.4832099235888911</v>
      </c>
      <c r="CO56" s="222">
        <f>CO53/'Income Statement'!CO58</f>
        <v>3.6903593154558627</v>
      </c>
      <c r="CP56" s="222">
        <f>CP53/'Income Statement'!CP58</f>
        <v>1.7609703366334166</v>
      </c>
      <c r="CQ56" s="222">
        <f>CQ53/'Income Statement'!CQ58</f>
        <v>2.2122082721013858</v>
      </c>
      <c r="CR56" s="221">
        <f>CR53/'Income Statement'!CR58</f>
        <v>0.55634938460423222</v>
      </c>
      <c r="CS56" s="222">
        <f>CS53/'Income Statement'!CS58</f>
        <v>2.5893439553700799</v>
      </c>
      <c r="CT56" s="222">
        <f>CT53/'Income Statement'!CT58</f>
        <v>1.1957470257183895</v>
      </c>
      <c r="CU56" s="222">
        <f>CU53/'Income Statement'!CU58</f>
        <v>1.6658545190688261</v>
      </c>
      <c r="CV56" s="222">
        <f>CV53/'Income Statement'!CV58</f>
        <v>2.4221045953768683</v>
      </c>
      <c r="CW56" s="221">
        <f>CW53/'Income Statement'!CW58</f>
        <v>0.57144046487611033</v>
      </c>
      <c r="CX56" s="222">
        <f>CX53/'Income Statement'!CX58</f>
        <v>1.8588685783591787</v>
      </c>
      <c r="CY56" s="222">
        <f>CY53/'Income Statement'!CY58</f>
        <v>1.2617168523965874</v>
      </c>
      <c r="CZ56" s="222">
        <f>CZ53/'Income Statement'!CZ58</f>
        <v>0.89656835624405951</v>
      </c>
      <c r="DA56" s="222">
        <f>DA53/'Income Statement'!DA58</f>
        <v>1.4873069465551705</v>
      </c>
      <c r="DB56" s="221">
        <f>DB53/'Income Statement'!DB58</f>
        <v>0.4604264860527299</v>
      </c>
      <c r="DC56" s="222">
        <f>DC53/'Income Statement'!DC58</f>
        <v>2.0790795117222087</v>
      </c>
      <c r="DD56" s="222">
        <f>DD53/'Income Statement'!DD58</f>
        <v>2.6284025057133529</v>
      </c>
      <c r="DE56" s="222">
        <f>DE53/'Income Statement'!DE58</f>
        <v>1.5746139617663586</v>
      </c>
      <c r="DF56" s="222">
        <f>DF53/'Income Statement'!DF58</f>
        <v>2.6022884371317199</v>
      </c>
      <c r="DG56" s="221">
        <f>DG53/'Income Statement'!DG58</f>
        <v>0.99528355039330829</v>
      </c>
      <c r="DH56" s="222">
        <f>DH53/'Income Statement'!DH58</f>
        <v>4.6875711813920891</v>
      </c>
      <c r="DI56" s="222">
        <f>DI53/'Income Statement'!DI58</f>
        <v>2.6234650888313964</v>
      </c>
      <c r="DJ56" s="222">
        <f ca="1">DJ53/'Income Statement'!DJ58</f>
        <v>1.4516730457323803</v>
      </c>
      <c r="DK56" s="222">
        <f ca="1">DK53/'Income Statement'!DK58</f>
        <v>1.8677693031562868</v>
      </c>
      <c r="DL56" s="221">
        <f ca="1">DL53/'Income Statement'!DL58</f>
        <v>0.57968105377949142</v>
      </c>
      <c r="DM56" s="222">
        <f ca="1">DM53/'Income Statement'!DM58</f>
        <v>2.2660519309789793</v>
      </c>
      <c r="DN56" s="222">
        <f ca="1">DN53/'Income Statement'!DN58</f>
        <v>2.4225334711246345</v>
      </c>
      <c r="DO56" s="222">
        <f ca="1">DO53/'Income Statement'!DO58</f>
        <v>4.3165791788266414</v>
      </c>
      <c r="DP56" s="222">
        <f ca="1">DP53/'Income Statement'!DP58</f>
        <v>2.8293169957479418</v>
      </c>
      <c r="DQ56" s="221">
        <f ca="1">DQ53/'Income Statement'!DQ58</f>
        <v>0.75455151509094254</v>
      </c>
      <c r="DR56" s="222">
        <f ca="1">DR53/'Income Statement'!DR58</f>
        <v>5.3202848670420027</v>
      </c>
      <c r="DS56" s="222">
        <f ca="1">DS53/'Income Statement'!DS58</f>
        <v>6.6624538903795436</v>
      </c>
      <c r="DT56" s="222">
        <f ca="1">DT53/'Income Statement'!DT58</f>
        <v>6.6102118004579351</v>
      </c>
      <c r="DU56" s="222">
        <f ca="1">DU53/'Income Statement'!DU58</f>
        <v>4.0965602264172558</v>
      </c>
      <c r="DV56" s="221">
        <f ca="1">DV53/'Income Statement'!DV58</f>
        <v>1.0726300176487358</v>
      </c>
      <c r="DW56" s="222">
        <f ca="1">DW53/'Income Statement'!DW58</f>
        <v>5.9806594819058967</v>
      </c>
      <c r="DX56" s="222">
        <f ca="1">DX53/'Income Statement'!DX58</f>
        <v>8.0202831442355382</v>
      </c>
      <c r="DY56" s="222">
        <f ca="1">DY53/'Income Statement'!DY58</f>
        <v>7.4917022983904697</v>
      </c>
      <c r="DZ56" s="222">
        <f ca="1">DZ53/'Income Statement'!DZ58</f>
        <v>4.2995472852757519</v>
      </c>
      <c r="EA56" s="221">
        <f ca="1">EA53/'Income Statement'!EA58</f>
        <v>1.1159524335138884</v>
      </c>
      <c r="EB56" s="222">
        <f ca="1">EB53/'Income Statement'!EB58</f>
        <v>5.6327574471039403</v>
      </c>
      <c r="EC56" s="222">
        <f ca="1">EC53/'Income Statement'!EC58</f>
        <v>7.3484430911681642</v>
      </c>
      <c r="ED56" s="222">
        <f ca="1">ED53/'Income Statement'!ED58</f>
        <v>6.8614914003860257</v>
      </c>
      <c r="EE56" s="222">
        <f ca="1">EE53/'Income Statement'!EE58</f>
        <v>3.7317731688547249</v>
      </c>
      <c r="EF56" s="221">
        <f ca="1">EF53/'Income Statement'!EF58</f>
        <v>0.9624396338159682</v>
      </c>
    </row>
    <row r="57" spans="1:136">
      <c r="A57" s="66" t="s">
        <v>109</v>
      </c>
      <c r="B57" s="223">
        <f>B43/'Income Statement'!B78</f>
        <v>1.9222935285343627</v>
      </c>
      <c r="C57" s="223">
        <f>C43/'Income Statement'!C78</f>
        <v>1.9772439553277097</v>
      </c>
      <c r="D57" s="223">
        <f>D43/'Income Statement'!D78</f>
        <v>2.0365625900903725</v>
      </c>
      <c r="E57" s="223">
        <f>E43/'Income Statement'!E78</f>
        <v>2.772295408681265</v>
      </c>
      <c r="F57" s="113">
        <f>F43/'Income Statement'!F78</f>
        <v>2.772295408681265</v>
      </c>
      <c r="G57" s="223">
        <f>G43/'Income Statement'!G78</f>
        <v>3.0734197365287472</v>
      </c>
      <c r="H57" s="223">
        <f>H43/'Income Statement'!H78</f>
        <v>2.1173611838201936</v>
      </c>
      <c r="I57" s="223">
        <f>I43/'Income Statement'!I78</f>
        <v>3.4417498251654206</v>
      </c>
      <c r="J57" s="223">
        <f>J43/'Income Statement'!J78</f>
        <v>3.4253893431599334</v>
      </c>
      <c r="K57" s="113">
        <f>K43/'Income Statement'!K78</f>
        <v>3.4253893431599334</v>
      </c>
      <c r="L57" s="223">
        <f>L43/'Income Statement'!L78</f>
        <v>3.6183899080101134</v>
      </c>
      <c r="M57" s="223">
        <f>M43/'Income Statement'!M78</f>
        <v>3.9343529775673787</v>
      </c>
      <c r="N57" s="223">
        <f>N43/'Income Statement'!N78</f>
        <v>5.4452318751445867</v>
      </c>
      <c r="O57" s="223">
        <f>O43/'Income Statement'!O78</f>
        <v>5.4972634275428964</v>
      </c>
      <c r="P57" s="113">
        <f>P43/'Income Statement'!P78</f>
        <v>5.4972634275428964</v>
      </c>
      <c r="Q57" s="223">
        <f>Q43/'Income Statement'!Q78</f>
        <v>5.657665723353742</v>
      </c>
      <c r="R57" s="223">
        <f>R43/'Income Statement'!R78</f>
        <v>5.5220770383617186</v>
      </c>
      <c r="S57" s="223">
        <f>S43/'Income Statement'!S78</f>
        <v>5.6066623364572701</v>
      </c>
      <c r="T57" s="223">
        <f>T43/'Income Statement'!T78</f>
        <v>5.8225963823068767</v>
      </c>
      <c r="U57" s="113">
        <f>U43/'Income Statement'!U78</f>
        <v>5.8225963823068767</v>
      </c>
      <c r="V57" s="223">
        <f>V43/'Income Statement'!V78</f>
        <v>6.0639858733947998</v>
      </c>
      <c r="W57" s="223">
        <f>W43/'Income Statement'!W78</f>
        <v>6.401629733354703</v>
      </c>
      <c r="X57" s="223">
        <f>X43/'Income Statement'!X78</f>
        <v>6.6040337136142053</v>
      </c>
      <c r="Y57" s="223">
        <f>Y43/'Income Statement'!Y78</f>
        <v>5.9618946960092876</v>
      </c>
      <c r="Z57" s="113">
        <f>Z43/'Income Statement'!Z78</f>
        <v>5.9618946960092876</v>
      </c>
      <c r="AA57" s="223">
        <f>AA43/'Income Statement'!AA78</f>
        <v>6.2516113798696278</v>
      </c>
      <c r="AB57" s="223">
        <f>AB43/'Income Statement'!AB78</f>
        <v>6.5807561800905425</v>
      </c>
      <c r="AC57" s="223">
        <f>AC43/'Income Statement'!AC78</f>
        <v>7.3102782294439903</v>
      </c>
      <c r="AD57" s="223">
        <f>AD43/'Income Statement'!AD78</f>
        <v>9.1214922556437781</v>
      </c>
      <c r="AE57" s="113">
        <f>AE43/'Income Statement'!AE78</f>
        <v>9.1214922556437781</v>
      </c>
      <c r="AF57" s="223">
        <f>AF43/'Income Statement'!AF78</f>
        <v>9.5429366881233708</v>
      </c>
      <c r="AG57" s="223">
        <f>AG43/'Income Statement'!AG78</f>
        <v>9.9352617052922074</v>
      </c>
      <c r="AH57" s="223">
        <f>AH43/'Income Statement'!AH78</f>
        <v>10.357709294847545</v>
      </c>
      <c r="AI57" s="223">
        <f>AI43/'Income Statement'!AI78</f>
        <v>10.227991120091055</v>
      </c>
      <c r="AJ57" s="113">
        <f>AJ43/'Income Statement'!AJ78</f>
        <v>10.227991120091055</v>
      </c>
      <c r="AK57" s="223">
        <f>AK43/'Income Statement'!AK78</f>
        <v>10.390036912355843</v>
      </c>
      <c r="AL57" s="223">
        <f>AL43/'Income Statement'!AL78</f>
        <v>10.597611837075153</v>
      </c>
      <c r="AM57" s="223">
        <f>AM43/'Income Statement'!AM78</f>
        <v>10.893397289217765</v>
      </c>
      <c r="AN57" s="223">
        <f>AN43/'Income Statement'!AN78</f>
        <v>11.066652991057955</v>
      </c>
      <c r="AO57" s="113">
        <f>AO43/'Income Statement'!AO78</f>
        <v>11.066652991057955</v>
      </c>
      <c r="AP57" s="223">
        <f>AP43/'Income Statement'!AP78</f>
        <v>11.370448354536181</v>
      </c>
      <c r="AQ57" s="223">
        <f>AQ43/'Income Statement'!AQ78</f>
        <v>11.737564626975287</v>
      </c>
      <c r="AR57" s="223">
        <f>AR43/'Income Statement'!AR78</f>
        <v>12.118364031653234</v>
      </c>
      <c r="AS57" s="223">
        <f>AS43/'Income Statement'!AS78</f>
        <v>12.283821920035331</v>
      </c>
      <c r="AT57" s="113">
        <f>AT43/'Income Statement'!AT78</f>
        <v>12.283821920035331</v>
      </c>
      <c r="AU57" s="223">
        <f>AU43/'Income Statement'!AU78</f>
        <v>12.730516502555094</v>
      </c>
      <c r="AV57" s="223">
        <f>AV43/'Income Statement'!AV78</f>
        <v>12.974088838268793</v>
      </c>
      <c r="AW57" s="223">
        <f>AW43/'Income Statement'!AW78</f>
        <v>13.402084665403963</v>
      </c>
      <c r="AX57" s="223">
        <f>AX43/'Income Statement'!AX78</f>
        <v>13.410639488443227</v>
      </c>
      <c r="AY57" s="113">
        <f>AY43/'Income Statement'!AY78</f>
        <v>13.410639488443227</v>
      </c>
      <c r="AZ57" s="223">
        <f>AZ43/'Income Statement'!AZ78</f>
        <v>13.822003210050232</v>
      </c>
      <c r="BA57" s="223">
        <f>BA43/'Income Statement'!BA78</f>
        <v>14.343636506683653</v>
      </c>
      <c r="BB57" s="223">
        <f>BB43/'Income Statement'!BB78</f>
        <v>14.832539733690819</v>
      </c>
      <c r="BC57" s="223">
        <f>BC43/'Income Statement'!BC78</f>
        <v>14.778163975181231</v>
      </c>
      <c r="BD57" s="113">
        <f>BD43/'Income Statement'!BD78</f>
        <v>14.778163975181231</v>
      </c>
      <c r="BE57" s="223">
        <f>BE43/'Income Statement'!BE78</f>
        <v>15.053415817654004</v>
      </c>
      <c r="BF57" s="223">
        <f>BF43/'Income Statement'!BF78</f>
        <v>14.725287435237949</v>
      </c>
      <c r="BG57" s="223">
        <f>BG43/'Income Statement'!BG78</f>
        <v>15.648876041130427</v>
      </c>
      <c r="BH57" s="223">
        <f>BH43/'Income Statement'!BH78</f>
        <v>15.52978419252514</v>
      </c>
      <c r="BI57" s="113">
        <f>BI43/'Income Statement'!BI78</f>
        <v>15.52978419252514</v>
      </c>
      <c r="BJ57" s="223">
        <f>BJ43/'Income Statement'!BJ78</f>
        <v>15.625243467715261</v>
      </c>
      <c r="BK57" s="223">
        <f>BK43/'Income Statement'!BK78</f>
        <v>15.743017697768497</v>
      </c>
      <c r="BL57" s="223">
        <f>BL43/'Income Statement'!BL78</f>
        <v>15.766312209131693</v>
      </c>
      <c r="BM57" s="223">
        <f>BM43/'Income Statement'!BM78</f>
        <v>15.736155269279784</v>
      </c>
      <c r="BN57" s="113">
        <f>BN43/'Income Statement'!BN78</f>
        <v>15.736155269279784</v>
      </c>
      <c r="BO57" s="223">
        <f>BO43/'Income Statement'!BO78</f>
        <v>15.75115988789713</v>
      </c>
      <c r="BP57" s="223">
        <f>BP43/'Income Statement'!BP78</f>
        <v>15.369755411555282</v>
      </c>
      <c r="BQ57" s="223">
        <f>BQ43/'Income Statement'!BQ78</f>
        <v>15.351482651655912</v>
      </c>
      <c r="BR57" s="223">
        <f>BR43/'Income Statement'!BR78</f>
        <v>15.48070852974069</v>
      </c>
      <c r="BS57" s="113">
        <f>BS43/'Income Statement'!BS78</f>
        <v>15.48070852974069</v>
      </c>
      <c r="BT57" s="223">
        <f>BT43/'Income Statement'!BT78</f>
        <v>14.83033034993745</v>
      </c>
      <c r="BU57" s="223">
        <f>BU43/'Income Statement'!BU78</f>
        <v>14.169412505824441</v>
      </c>
      <c r="BV57" s="223">
        <f>BV43/'Income Statement'!BV78</f>
        <v>13.853505207506306</v>
      </c>
      <c r="BW57" s="223">
        <f>BW43/'Income Statement'!BW78</f>
        <v>13.399686124680855</v>
      </c>
      <c r="BX57" s="113">
        <f>BX43/'Income Statement'!BX78</f>
        <v>13.399686124680855</v>
      </c>
      <c r="BY57" s="223">
        <f>BY43/'Income Statement'!BY78</f>
        <v>13.51476740555729</v>
      </c>
      <c r="BZ57" s="223">
        <f>BZ43/'Income Statement'!BZ78</f>
        <v>13.385429212851802</v>
      </c>
      <c r="CA57" s="223">
        <f>CA43/'Income Statement'!CA78</f>
        <v>13.298194455644374</v>
      </c>
      <c r="CB57" s="223">
        <f>CB43/'Income Statement'!CB78</f>
        <v>12.388245362578591</v>
      </c>
      <c r="CC57" s="113">
        <f>CC43/'Income Statement'!CC78</f>
        <v>12.388245362578591</v>
      </c>
      <c r="CD57" s="223">
        <f>CD43/'Income Statement'!CD78</f>
        <v>12.461135664248349</v>
      </c>
      <c r="CE57" s="223">
        <f>CE43/'Income Statement'!CE78</f>
        <v>12.63614418342104</v>
      </c>
      <c r="CF57" s="223">
        <f>CF43/'Income Statement'!CF78</f>
        <v>16.283825395834633</v>
      </c>
      <c r="CG57" s="223">
        <f>CG43/'Income Statement'!CG78</f>
        <v>14.316451844454154</v>
      </c>
      <c r="CH57" s="113">
        <f>CH43/'Income Statement'!CH78</f>
        <v>14.316451844454154</v>
      </c>
      <c r="CI57" s="223">
        <f>CI43/'Income Statement'!CI78</f>
        <v>14.81434003287352</v>
      </c>
      <c r="CJ57" s="223">
        <f>CJ43/'Income Statement'!CJ78</f>
        <v>15.506247009133846</v>
      </c>
      <c r="CK57" s="223">
        <f>CK43/'Income Statement'!CK78</f>
        <v>16.121249713917152</v>
      </c>
      <c r="CL57" s="223">
        <f>CL43/'Income Statement'!CL78</f>
        <v>16.119603437155401</v>
      </c>
      <c r="CM57" s="113">
        <f>CM43/'Income Statement'!CM78</f>
        <v>16.119603437155401</v>
      </c>
      <c r="CN57" s="223">
        <f>CN43/'Income Statement'!CN78</f>
        <v>13.901245123593933</v>
      </c>
      <c r="CO57" s="223">
        <f>CO43/'Income Statement'!CO78</f>
        <v>14.231877091906721</v>
      </c>
      <c r="CP57" s="223">
        <f>CP43/'Income Statement'!CP78</f>
        <v>13.572387337832662</v>
      </c>
      <c r="CQ57" s="223">
        <f>CQ43/'Income Statement'!CQ78</f>
        <v>15.877930399459569</v>
      </c>
      <c r="CR57" s="113">
        <f>CR43/'Income Statement'!CR78</f>
        <v>15.877930399459569</v>
      </c>
      <c r="CS57" s="223">
        <f>CS43/'Income Statement'!CS78</f>
        <v>16.131213411923945</v>
      </c>
      <c r="CT57" s="223">
        <f>CT43/'Income Statement'!CT78</f>
        <v>16.796129732578994</v>
      </c>
      <c r="CU57" s="223">
        <f>CU43/'Income Statement'!CU78</f>
        <v>17.382155404816839</v>
      </c>
      <c r="CV57" s="223">
        <f>CV43/'Income Statement'!CV78</f>
        <v>17.176636789429132</v>
      </c>
      <c r="CW57" s="113">
        <f>CW43/'Income Statement'!CW78</f>
        <v>17.176636789429132</v>
      </c>
      <c r="CX57" s="223">
        <f>CX43/'Income Statement'!CX78</f>
        <v>17.23951970088515</v>
      </c>
      <c r="CY57" s="223">
        <f>CY43/'Income Statement'!CY78</f>
        <v>18.982303711463167</v>
      </c>
      <c r="CZ57" s="223">
        <f>CZ43/'Income Statement'!CZ78</f>
        <v>19.978269949365789</v>
      </c>
      <c r="DA57" s="223">
        <f>DA43/'Income Statement'!DA78</f>
        <v>19.545485908916113</v>
      </c>
      <c r="DB57" s="113">
        <f>DB43/'Income Statement'!DB78</f>
        <v>19.545485908916113</v>
      </c>
      <c r="DC57" s="223">
        <f>DC43/'Income Statement'!DC78</f>
        <v>21.293540813142918</v>
      </c>
      <c r="DD57" s="223">
        <f>DD43/'Income Statement'!DD78</f>
        <v>22.286109890209993</v>
      </c>
      <c r="DE57" s="223">
        <f>DE43/'Income Statement'!DE78</f>
        <v>23.761153785717053</v>
      </c>
      <c r="DF57" s="223">
        <f>DF43/'Income Statement'!DF78</f>
        <v>23.290944658639845</v>
      </c>
      <c r="DG57" s="113">
        <f>DG43/'Income Statement'!DG78</f>
        <v>23.290944658639845</v>
      </c>
      <c r="DH57" s="223">
        <f>DH43/'Income Statement'!DH78</f>
        <v>24.373701397797397</v>
      </c>
      <c r="DI57" s="223">
        <f>DI43/'Income Statement'!DI78</f>
        <v>25.629045546026799</v>
      </c>
      <c r="DJ57" s="223">
        <f ca="1">DJ43/'Income Statement'!DJ78</f>
        <v>26.832767072468911</v>
      </c>
      <c r="DK57" s="223">
        <f ca="1">DK43/'Income Statement'!DK78</f>
        <v>27.097820853298597</v>
      </c>
      <c r="DL57" s="113">
        <f ca="1">DL43/'Income Statement'!DL78</f>
        <v>27.097820853298597</v>
      </c>
      <c r="DM57" s="223">
        <f ca="1">DM43/'Income Statement'!DM78</f>
        <v>28.331666747576971</v>
      </c>
      <c r="DN57" s="223">
        <f ca="1">DN43/'Income Statement'!DN78</f>
        <v>29.606802721528204</v>
      </c>
      <c r="DO57" s="223">
        <f ca="1">DO43/'Income Statement'!DO78</f>
        <v>28.693707265320619</v>
      </c>
      <c r="DP57" s="223">
        <f ca="1">DP43/'Income Statement'!DP78</f>
        <v>30.018487601553758</v>
      </c>
      <c r="DQ57" s="113">
        <f ca="1">DQ43/'Income Statement'!DQ78</f>
        <v>30.018487601553758</v>
      </c>
      <c r="DR57" s="223">
        <f ca="1">DR43/'Income Statement'!DR78</f>
        <v>27.35022196011866</v>
      </c>
      <c r="DS57" s="223">
        <f ca="1">DS43/'Income Statement'!DS78</f>
        <v>28.653362179406415</v>
      </c>
      <c r="DT57" s="223">
        <f ca="1">DT43/'Income Statement'!DT78</f>
        <v>29.942309609908374</v>
      </c>
      <c r="DU57" s="223">
        <f ca="1">DU43/'Income Statement'!DU78</f>
        <v>31.364741432898573</v>
      </c>
      <c r="DV57" s="113">
        <f ca="1">DV43/'Income Statement'!DV78</f>
        <v>31.364741432898573</v>
      </c>
      <c r="DW57" s="223">
        <f ca="1">DW43/'Income Statement'!DW78</f>
        <v>28.512245970219013</v>
      </c>
      <c r="DX57" s="223">
        <f ca="1">DX43/'Income Statement'!DX78</f>
        <v>29.871850335905986</v>
      </c>
      <c r="DY57" s="223">
        <f ca="1">DY43/'Income Statement'!DY78</f>
        <v>31.204890125401995</v>
      </c>
      <c r="DZ57" s="223">
        <f ca="1">DZ43/'Income Statement'!DZ78</f>
        <v>32.706571030950975</v>
      </c>
      <c r="EA57" s="113">
        <f ca="1">EA43/'Income Statement'!EA78</f>
        <v>32.706571030950975</v>
      </c>
      <c r="EB57" s="223">
        <f ca="1">EB43/'Income Statement'!EB78</f>
        <v>29.772523570780095</v>
      </c>
      <c r="EC57" s="223">
        <f ca="1">EC43/'Income Statement'!EC78</f>
        <v>31.274022148261338</v>
      </c>
      <c r="ED57" s="223">
        <f ca="1">ED43/'Income Statement'!ED78</f>
        <v>32.754217901735686</v>
      </c>
      <c r="EE57" s="223">
        <f ca="1">EE43/'Income Statement'!EE78</f>
        <v>34.402114439294046</v>
      </c>
      <c r="EF57" s="113">
        <f ca="1">EF43/'Income Statement'!EF78</f>
        <v>34.402114439294046</v>
      </c>
    </row>
    <row r="58" spans="1:136" outlineLevel="1">
      <c r="F58" s="130"/>
      <c r="K58" s="130"/>
      <c r="P58" s="130"/>
      <c r="U58" s="130"/>
      <c r="Z58" s="130"/>
      <c r="AE58" s="130"/>
      <c r="AG58" s="114"/>
      <c r="AH58" s="114"/>
      <c r="AJ58" s="130"/>
      <c r="AK58" s="114"/>
      <c r="AL58" s="114"/>
      <c r="AM58" s="114"/>
      <c r="AN58" s="114"/>
      <c r="AO58" s="130"/>
      <c r="AP58" s="114"/>
      <c r="AQ58" s="114"/>
      <c r="AR58" s="114"/>
      <c r="AS58" s="114"/>
      <c r="AT58" s="130"/>
      <c r="AU58" s="114"/>
      <c r="AV58" s="114"/>
      <c r="AW58" s="114"/>
      <c r="AX58" s="114"/>
      <c r="AY58" s="130"/>
      <c r="AZ58" s="114"/>
      <c r="BA58" s="114"/>
      <c r="BB58" s="114"/>
      <c r="BC58" s="114"/>
      <c r="BD58" s="130"/>
      <c r="BE58" s="114"/>
      <c r="BF58" s="114"/>
      <c r="BG58" s="114"/>
      <c r="BH58" s="114"/>
      <c r="BI58" s="130"/>
      <c r="BJ58" s="114"/>
      <c r="BK58" s="223"/>
      <c r="BL58" s="114"/>
      <c r="BM58" s="114"/>
      <c r="BN58" s="130"/>
      <c r="BO58" s="223"/>
      <c r="BP58" s="223"/>
      <c r="BQ58" s="223"/>
      <c r="BR58" s="114"/>
      <c r="BS58" s="130"/>
      <c r="BT58" s="114"/>
      <c r="BU58" s="90"/>
      <c r="BV58" s="223"/>
      <c r="BW58" s="223"/>
      <c r="BX58" s="130"/>
      <c r="BY58" s="114"/>
      <c r="BZ58" s="90"/>
      <c r="CA58" s="223"/>
      <c r="CB58" s="223"/>
      <c r="CC58" s="130"/>
      <c r="CD58" s="223"/>
      <c r="CE58" s="223"/>
      <c r="CF58" s="223"/>
      <c r="CG58" s="223"/>
      <c r="CH58" s="89"/>
      <c r="CI58" s="220"/>
      <c r="CJ58" s="149"/>
      <c r="CK58" s="114"/>
      <c r="CL58" s="114"/>
      <c r="CM58" s="111"/>
      <c r="CN58" s="114"/>
      <c r="CO58" s="149"/>
      <c r="CP58" s="114"/>
      <c r="CQ58" s="114"/>
      <c r="CR58" s="111"/>
      <c r="CS58" s="114"/>
      <c r="CT58" s="114"/>
      <c r="CU58" s="513"/>
      <c r="CV58" s="114"/>
      <c r="CW58" s="111"/>
      <c r="CX58" s="114"/>
      <c r="CY58" s="90"/>
      <c r="CZ58" s="114"/>
      <c r="DA58" s="114"/>
      <c r="DB58" s="130"/>
      <c r="DC58" s="114"/>
      <c r="DD58" s="114"/>
      <c r="DE58" s="114"/>
      <c r="DF58" s="114"/>
      <c r="DG58" s="130"/>
      <c r="DH58" s="114"/>
      <c r="DI58" s="114"/>
      <c r="DJ58" s="114"/>
      <c r="DK58" s="114"/>
      <c r="DL58" s="130"/>
      <c r="DM58" s="114"/>
      <c r="DN58" s="114"/>
      <c r="DO58" s="114"/>
      <c r="DP58" s="114"/>
      <c r="DQ58" s="130"/>
      <c r="DR58" s="114"/>
      <c r="DS58" s="114"/>
      <c r="DT58" s="114"/>
      <c r="DU58" s="114"/>
      <c r="DV58" s="130"/>
      <c r="DW58" s="114"/>
      <c r="DX58" s="114"/>
      <c r="DY58" s="114"/>
      <c r="DZ58" s="114"/>
      <c r="EA58" s="130"/>
      <c r="EB58" s="114"/>
      <c r="EC58" s="114"/>
      <c r="ED58" s="114"/>
      <c r="EE58" s="114"/>
      <c r="EF58" s="130"/>
    </row>
    <row r="59" spans="1:136" s="70" customFormat="1" ht="12.75" customHeight="1" outlineLevel="1" thickBot="1">
      <c r="A59" s="69" t="s">
        <v>47</v>
      </c>
      <c r="B59" s="93" t="str">
        <f>Macro!B$3</f>
        <v>1Q04</v>
      </c>
      <c r="C59" s="93" t="str">
        <f>Macro!C$3</f>
        <v>2Q04</v>
      </c>
      <c r="D59" s="93" t="str">
        <f>Macro!D$3</f>
        <v>3Q04</v>
      </c>
      <c r="E59" s="93" t="str">
        <f>Macro!E$3</f>
        <v>4Q04</v>
      </c>
      <c r="F59" s="92" t="str">
        <f>Macro!F$3</f>
        <v>2004</v>
      </c>
      <c r="G59" s="93" t="str">
        <f>Macro!G$3</f>
        <v>1Q05</v>
      </c>
      <c r="H59" s="93" t="str">
        <f>Macro!H$3</f>
        <v>2Q05</v>
      </c>
      <c r="I59" s="93" t="str">
        <f>Macro!I$3</f>
        <v>3Q05</v>
      </c>
      <c r="J59" s="93" t="str">
        <f>Macro!J$3</f>
        <v>4Q05</v>
      </c>
      <c r="K59" s="92" t="str">
        <f>Macro!K$3</f>
        <v>2005</v>
      </c>
      <c r="L59" s="93" t="str">
        <f>Macro!L$3</f>
        <v>1Q06</v>
      </c>
      <c r="M59" s="93" t="str">
        <f>Macro!M$3</f>
        <v>2Q06</v>
      </c>
      <c r="N59" s="93" t="str">
        <f>Macro!N$3</f>
        <v>3Q06</v>
      </c>
      <c r="O59" s="94" t="str">
        <f>Macro!O$3</f>
        <v>4Q06</v>
      </c>
      <c r="P59" s="92" t="str">
        <f>Macro!P$3</f>
        <v>2006</v>
      </c>
      <c r="Q59" s="93" t="str">
        <f>Macro!Q$3</f>
        <v>1Q07</v>
      </c>
      <c r="R59" s="93" t="str">
        <f>Macro!R$3</f>
        <v>2Q07</v>
      </c>
      <c r="S59" s="93" t="str">
        <f>Macro!S$3</f>
        <v>3Q07</v>
      </c>
      <c r="T59" s="94" t="str">
        <f>Macro!T$3</f>
        <v>4Q07</v>
      </c>
      <c r="U59" s="92" t="str">
        <f>Macro!U$3</f>
        <v>2007</v>
      </c>
      <c r="V59" s="93" t="str">
        <f>Macro!V$3</f>
        <v>1Q08</v>
      </c>
      <c r="W59" s="93" t="str">
        <f>Macro!W$3</f>
        <v>2Q08</v>
      </c>
      <c r="X59" s="93" t="str">
        <f>Macro!X$3</f>
        <v>3Q08</v>
      </c>
      <c r="Y59" s="94" t="str">
        <f>Macro!Y$3</f>
        <v>4Q08</v>
      </c>
      <c r="Z59" s="92" t="str">
        <f>Macro!Z$3</f>
        <v>2008</v>
      </c>
      <c r="AA59" s="93" t="str">
        <f>Macro!AA$3</f>
        <v>1Q09</v>
      </c>
      <c r="AB59" s="93" t="str">
        <f>Macro!AB$3</f>
        <v>2Q09</v>
      </c>
      <c r="AC59" s="93" t="str">
        <f>Macro!AC$3</f>
        <v>3Q09</v>
      </c>
      <c r="AD59" s="94" t="str">
        <f>Macro!AD$3</f>
        <v>4Q09</v>
      </c>
      <c r="AE59" s="92" t="str">
        <f>Macro!AE$3</f>
        <v>2009</v>
      </c>
      <c r="AF59" s="93" t="str">
        <f>Macro!AF$3</f>
        <v>1Q10</v>
      </c>
      <c r="AG59" s="93" t="str">
        <f>Macro!AG$3</f>
        <v>2Q10</v>
      </c>
      <c r="AH59" s="93" t="str">
        <f>Macro!AH$3</f>
        <v>3Q10</v>
      </c>
      <c r="AI59" s="94" t="str">
        <f>Macro!AI$3</f>
        <v>4Q10</v>
      </c>
      <c r="AJ59" s="92" t="str">
        <f>Macro!AJ$3</f>
        <v>2010</v>
      </c>
      <c r="AK59" s="93" t="str">
        <f>Macro!AK$3</f>
        <v>1Q11</v>
      </c>
      <c r="AL59" s="93" t="str">
        <f>Macro!AL$3</f>
        <v>2Q11</v>
      </c>
      <c r="AM59" s="93" t="str">
        <f>Macro!AM$3</f>
        <v>3Q11</v>
      </c>
      <c r="AN59" s="94" t="str">
        <f>Macro!AN$3</f>
        <v>4Q11</v>
      </c>
      <c r="AO59" s="92" t="str">
        <f>Macro!AO$3</f>
        <v>2011</v>
      </c>
      <c r="AP59" s="310" t="str">
        <f>Macro!AP$3</f>
        <v>1Q12</v>
      </c>
      <c r="AQ59" s="310" t="str">
        <f>Macro!AQ$3</f>
        <v>2Q12</v>
      </c>
      <c r="AR59" s="310" t="str">
        <f>Macro!AR$3</f>
        <v>3Q12</v>
      </c>
      <c r="AS59" s="310" t="str">
        <f>Macro!AS$3</f>
        <v>4Q12</v>
      </c>
      <c r="AT59" s="311" t="str">
        <f>Macro!AT$3</f>
        <v>2012</v>
      </c>
      <c r="AU59" s="310" t="str">
        <f>Macro!AU$3</f>
        <v>1Q13</v>
      </c>
      <c r="AV59" s="310" t="str">
        <f>Macro!AV$3</f>
        <v>2Q13</v>
      </c>
      <c r="AW59" s="310" t="str">
        <f>Macro!AW$3</f>
        <v>3Q13</v>
      </c>
      <c r="AX59" s="310" t="str">
        <f>Macro!AX$3</f>
        <v>4Q13</v>
      </c>
      <c r="AY59" s="311" t="str">
        <f>Macro!AY$3</f>
        <v>2013</v>
      </c>
      <c r="AZ59" s="310" t="str">
        <f>Macro!AZ$3</f>
        <v>1Q14</v>
      </c>
      <c r="BA59" s="310" t="str">
        <f>Macro!BA$3</f>
        <v>2Q14</v>
      </c>
      <c r="BB59" s="310" t="str">
        <f>Macro!BB$3</f>
        <v>3Q14</v>
      </c>
      <c r="BC59" s="310" t="str">
        <f>Macro!BC$3</f>
        <v>4Q14</v>
      </c>
      <c r="BD59" s="311" t="str">
        <f>Macro!BD$3</f>
        <v>2014</v>
      </c>
      <c r="BE59" s="310" t="str">
        <f>Macro!BE$3</f>
        <v>1Q15</v>
      </c>
      <c r="BF59" s="310" t="str">
        <f>Macro!BF$3</f>
        <v>2Q15</v>
      </c>
      <c r="BG59" s="310" t="str">
        <f>Macro!BG$3</f>
        <v>3Q15</v>
      </c>
      <c r="BH59" s="310" t="str">
        <f>Macro!BH$3</f>
        <v>4Q15</v>
      </c>
      <c r="BI59" s="311" t="str">
        <f>Macro!BI$3</f>
        <v>2015</v>
      </c>
      <c r="BJ59" s="310" t="str">
        <f>Macro!BJ$3</f>
        <v>1Q16</v>
      </c>
      <c r="BK59" s="310" t="str">
        <f>Macro!BK$3</f>
        <v>2Q16</v>
      </c>
      <c r="BL59" s="310" t="str">
        <f>Macro!BL$3</f>
        <v>3Q16</v>
      </c>
      <c r="BM59" s="310" t="str">
        <f>Macro!BM$3</f>
        <v>4Q16</v>
      </c>
      <c r="BN59" s="311" t="str">
        <f>Macro!BN$3</f>
        <v>2016</v>
      </c>
      <c r="BO59" s="310" t="str">
        <f>Macro!BO$3</f>
        <v>1Q17</v>
      </c>
      <c r="BP59" s="310" t="str">
        <f>Macro!BP$3</f>
        <v>2Q17</v>
      </c>
      <c r="BQ59" s="310" t="str">
        <f>Macro!BQ$3</f>
        <v>3Q17</v>
      </c>
      <c r="BR59" s="310" t="str">
        <f>Macro!BR$3</f>
        <v>4Q17</v>
      </c>
      <c r="BS59" s="311" t="str">
        <f>Macro!BS$3</f>
        <v>2017</v>
      </c>
      <c r="BT59" s="310" t="str">
        <f>Macro!BT$3</f>
        <v>1Q18</v>
      </c>
      <c r="BU59" s="310" t="str">
        <f>Macro!BU$3</f>
        <v>2Q18</v>
      </c>
      <c r="BV59" s="310" t="str">
        <f>Macro!BV$3</f>
        <v>3Q18</v>
      </c>
      <c r="BW59" s="310" t="str">
        <f>Macro!BW$3</f>
        <v>4Q18</v>
      </c>
      <c r="BX59" s="311" t="str">
        <f>Macro!BX$3</f>
        <v>2018</v>
      </c>
      <c r="BY59" s="310" t="str">
        <f>Macro!BY$3</f>
        <v>1Q19</v>
      </c>
      <c r="BZ59" s="310" t="str">
        <f>Macro!BZ$3</f>
        <v>2Q19</v>
      </c>
      <c r="CA59" s="310" t="str">
        <f>Macro!CA$3</f>
        <v>3Q19</v>
      </c>
      <c r="CB59" s="310" t="str">
        <f>Macro!CB$3</f>
        <v>4Q19</v>
      </c>
      <c r="CC59" s="311" t="str">
        <f>Macro!CC$3</f>
        <v>2019</v>
      </c>
      <c r="CD59" s="310" t="str">
        <f>Macro!CD$3</f>
        <v>1Q20</v>
      </c>
      <c r="CE59" s="310" t="str">
        <f>Macro!CE$3</f>
        <v>2Q20</v>
      </c>
      <c r="CF59" s="310" t="str">
        <f>Macro!CF$3</f>
        <v>3Q20</v>
      </c>
      <c r="CG59" s="310" t="str">
        <f>Macro!CG$3</f>
        <v>4Q20</v>
      </c>
      <c r="CH59" s="311" t="str">
        <f>Macro!CH$3</f>
        <v>2020</v>
      </c>
      <c r="CI59" s="310" t="str">
        <f>Macro!CI$3</f>
        <v>1Q21</v>
      </c>
      <c r="CJ59" s="310" t="str">
        <f>Macro!CJ$3</f>
        <v>2Q21</v>
      </c>
      <c r="CK59" s="310" t="str">
        <f>Macro!CK$3</f>
        <v>3Q21</v>
      </c>
      <c r="CL59" s="310" t="str">
        <f>Macro!CL$3</f>
        <v>4Q21</v>
      </c>
      <c r="CM59" s="311" t="str">
        <f>Macro!CM$3</f>
        <v>2021</v>
      </c>
      <c r="CN59" s="310" t="str">
        <f>Macro!CN$3</f>
        <v>1Q22</v>
      </c>
      <c r="CO59" s="310" t="str">
        <f>Macro!CO$3</f>
        <v>2Q22</v>
      </c>
      <c r="CP59" s="310" t="str">
        <f>Macro!CP$3</f>
        <v>3Q22</v>
      </c>
      <c r="CQ59" s="310" t="str">
        <f>Macro!CQ$3</f>
        <v>4Q22</v>
      </c>
      <c r="CR59" s="311" t="str">
        <f>Macro!CR$3</f>
        <v>2022</v>
      </c>
      <c r="CS59" s="310" t="str">
        <f>Macro!CS$3</f>
        <v>1Q23</v>
      </c>
      <c r="CT59" s="310" t="str">
        <f>Macro!CT$3</f>
        <v>2Q23</v>
      </c>
      <c r="CU59" s="310" t="str">
        <f>Macro!CU$3</f>
        <v>3Q23</v>
      </c>
      <c r="CV59" s="310" t="str">
        <f>Macro!CV$3</f>
        <v>4Q23</v>
      </c>
      <c r="CW59" s="311" t="str">
        <f>Macro!CW$3</f>
        <v>2023</v>
      </c>
      <c r="CX59" s="310" t="str">
        <f>Macro!CX$3</f>
        <v>1Q24</v>
      </c>
      <c r="CY59" s="310" t="str">
        <f>Macro!CY$3</f>
        <v>2Q24</v>
      </c>
      <c r="CZ59" s="310" t="str">
        <f>Macro!CZ$3</f>
        <v>3Q24</v>
      </c>
      <c r="DA59" s="310" t="str">
        <f>Macro!DA$3</f>
        <v>4Q24</v>
      </c>
      <c r="DB59" s="311" t="str">
        <f>Macro!DB$3</f>
        <v>2024</v>
      </c>
      <c r="DC59" s="310" t="str">
        <f>Macro!DC$3</f>
        <v>1Q25</v>
      </c>
      <c r="DD59" s="310" t="str">
        <f>Macro!DD$3</f>
        <v>2Q25</v>
      </c>
      <c r="DE59" s="310" t="str">
        <f>Macro!DE$3</f>
        <v>3Q25</v>
      </c>
      <c r="DF59" s="310" t="str">
        <f>Macro!DF$3</f>
        <v>4Q25</v>
      </c>
      <c r="DG59" s="311" t="str">
        <f>Macro!DG$3</f>
        <v>2025</v>
      </c>
      <c r="DH59" s="310" t="str">
        <f>Macro!DH$3</f>
        <v>1Q26</v>
      </c>
      <c r="DI59" s="310" t="str">
        <f>Macro!DI$3</f>
        <v>2Q26</v>
      </c>
      <c r="DJ59" s="310" t="str">
        <f>Macro!DJ$3</f>
        <v>3Q26E</v>
      </c>
      <c r="DK59" s="310" t="str">
        <f>Macro!DK$3</f>
        <v>4Q26E</v>
      </c>
      <c r="DL59" s="311" t="str">
        <f>Macro!DL$3</f>
        <v>2026E</v>
      </c>
      <c r="DM59" s="310" t="str">
        <f>Macro!DM$3</f>
        <v>1Q27E</v>
      </c>
      <c r="DN59" s="310" t="str">
        <f>Macro!DN$3</f>
        <v>2Q27E</v>
      </c>
      <c r="DO59" s="310" t="str">
        <f>Macro!DO$3</f>
        <v>3Q27E</v>
      </c>
      <c r="DP59" s="310" t="str">
        <f>Macro!DP$3</f>
        <v>4Q27E</v>
      </c>
      <c r="DQ59" s="311" t="str">
        <f>Macro!DQ$3</f>
        <v>2027E</v>
      </c>
      <c r="DR59" s="310" t="str">
        <f>Macro!DR$3</f>
        <v>1Q28E</v>
      </c>
      <c r="DS59" s="310" t="str">
        <f>Macro!DS$3</f>
        <v>2Q28E</v>
      </c>
      <c r="DT59" s="310" t="str">
        <f>Macro!DT$3</f>
        <v>3Q28E</v>
      </c>
      <c r="DU59" s="310" t="str">
        <f>Macro!DU$3</f>
        <v>4Q28E</v>
      </c>
      <c r="DV59" s="311" t="str">
        <f>Macro!DV$3</f>
        <v>2028E</v>
      </c>
      <c r="DW59" s="310" t="str">
        <f>Macro!DW$3</f>
        <v>1Q29E</v>
      </c>
      <c r="DX59" s="310" t="str">
        <f>Macro!DX$3</f>
        <v>2Q29E</v>
      </c>
      <c r="DY59" s="310" t="str">
        <f>Macro!DY$3</f>
        <v>3Q29E</v>
      </c>
      <c r="DZ59" s="310" t="str">
        <f>Macro!DZ$3</f>
        <v>4Q29E</v>
      </c>
      <c r="EA59" s="311" t="str">
        <f>Macro!EA$3</f>
        <v>2029E</v>
      </c>
      <c r="EB59" s="310" t="str">
        <f>Macro!EB$3</f>
        <v>1Q30E</v>
      </c>
      <c r="EC59" s="310" t="str">
        <f>Macro!EC$3</f>
        <v>2Q30E</v>
      </c>
      <c r="ED59" s="310" t="str">
        <f>Macro!ED$3</f>
        <v>3Q30E</v>
      </c>
      <c r="EE59" s="310" t="str">
        <f>Macro!EE$3</f>
        <v>4Q30E</v>
      </c>
      <c r="EF59" s="311" t="str">
        <f>Macro!EF$3</f>
        <v>2030E</v>
      </c>
    </row>
    <row r="60" spans="1:136" outlineLevel="1">
      <c r="A60" s="68" t="s">
        <v>48</v>
      </c>
      <c r="B60" s="224">
        <f t="shared" ref="B60:AQ60" si="174">B8</f>
        <v>239835</v>
      </c>
      <c r="C60" s="224">
        <f t="shared" si="174"/>
        <v>170650</v>
      </c>
      <c r="D60" s="224">
        <f t="shared" si="174"/>
        <v>179516</v>
      </c>
      <c r="E60" s="224">
        <f t="shared" si="174"/>
        <v>433076</v>
      </c>
      <c r="F60" s="225">
        <f t="shared" si="174"/>
        <v>433076</v>
      </c>
      <c r="G60" s="224">
        <f t="shared" si="174"/>
        <v>427218</v>
      </c>
      <c r="H60" s="224">
        <f t="shared" si="174"/>
        <v>421360</v>
      </c>
      <c r="I60" s="224">
        <f t="shared" si="174"/>
        <v>484606</v>
      </c>
      <c r="J60" s="224">
        <f t="shared" si="174"/>
        <v>461220</v>
      </c>
      <c r="K60" s="225">
        <f t="shared" si="174"/>
        <v>461220</v>
      </c>
      <c r="L60" s="224">
        <f t="shared" si="174"/>
        <v>537025</v>
      </c>
      <c r="M60" s="224">
        <f t="shared" si="174"/>
        <v>645779</v>
      </c>
      <c r="N60" s="224">
        <f t="shared" si="174"/>
        <v>685837</v>
      </c>
      <c r="O60" s="224">
        <f t="shared" si="174"/>
        <v>865273</v>
      </c>
      <c r="P60" s="225">
        <f t="shared" si="174"/>
        <v>865273</v>
      </c>
      <c r="Q60" s="224">
        <f t="shared" si="174"/>
        <v>938256</v>
      </c>
      <c r="R60" s="224">
        <f t="shared" si="174"/>
        <v>1016199</v>
      </c>
      <c r="S60" s="224">
        <f t="shared" si="174"/>
        <v>1166943</v>
      </c>
      <c r="T60" s="224">
        <f t="shared" si="174"/>
        <v>1466592</v>
      </c>
      <c r="U60" s="225">
        <f t="shared" si="174"/>
        <v>1466592</v>
      </c>
      <c r="V60" s="224">
        <f t="shared" si="174"/>
        <v>1647762</v>
      </c>
      <c r="W60" s="224">
        <f t="shared" si="174"/>
        <v>2010282</v>
      </c>
      <c r="X60" s="224">
        <f>X8</f>
        <v>2259078</v>
      </c>
      <c r="Y60" s="224">
        <f>Y8</f>
        <v>2661032</v>
      </c>
      <c r="Z60" s="225">
        <f t="shared" si="174"/>
        <v>2661032</v>
      </c>
      <c r="AA60" s="224">
        <f t="shared" si="174"/>
        <v>2838677</v>
      </c>
      <c r="AB60" s="224">
        <f t="shared" si="174"/>
        <v>3241387</v>
      </c>
      <c r="AC60" s="224">
        <f t="shared" si="174"/>
        <v>3879132</v>
      </c>
      <c r="AD60" s="224">
        <f t="shared" si="174"/>
        <v>4548956</v>
      </c>
      <c r="AE60" s="225">
        <f t="shared" si="174"/>
        <v>4548956</v>
      </c>
      <c r="AF60" s="224">
        <f t="shared" si="174"/>
        <v>5226703</v>
      </c>
      <c r="AG60" s="224">
        <f>AG8</f>
        <v>5535211</v>
      </c>
      <c r="AH60" s="224">
        <f>AH8</f>
        <v>5835349</v>
      </c>
      <c r="AI60" s="224">
        <f>AI8</f>
        <v>6005084</v>
      </c>
      <c r="AJ60" s="225">
        <f t="shared" si="174"/>
        <v>6005084</v>
      </c>
      <c r="AK60" s="224">
        <f>AK8</f>
        <v>6134788</v>
      </c>
      <c r="AL60" s="224">
        <f>AL8</f>
        <v>6208435</v>
      </c>
      <c r="AM60" s="224">
        <f>AM8</f>
        <v>6235639</v>
      </c>
      <c r="AN60" s="224">
        <f>AN8</f>
        <v>6409068</v>
      </c>
      <c r="AO60" s="225">
        <f t="shared" si="174"/>
        <v>6409068</v>
      </c>
      <c r="AP60" s="224">
        <f t="shared" si="174"/>
        <v>6566617</v>
      </c>
      <c r="AQ60" s="224">
        <f t="shared" si="174"/>
        <v>6502734</v>
      </c>
      <c r="AR60" s="224">
        <f t="shared" ref="AR60:BM60" si="175">AR8</f>
        <v>6433064</v>
      </c>
      <c r="AS60" s="224">
        <f t="shared" si="175"/>
        <v>5900650</v>
      </c>
      <c r="AT60" s="225">
        <f t="shared" si="175"/>
        <v>5900650</v>
      </c>
      <c r="AU60" s="224">
        <f t="shared" si="175"/>
        <v>5708739</v>
      </c>
      <c r="AV60" s="224">
        <f t="shared" si="175"/>
        <v>5746013</v>
      </c>
      <c r="AW60" s="224">
        <f t="shared" si="175"/>
        <v>5818501</v>
      </c>
      <c r="AX60" s="224">
        <f t="shared" si="175"/>
        <v>5622358</v>
      </c>
      <c r="AY60" s="225">
        <f t="shared" si="175"/>
        <v>5622358</v>
      </c>
      <c r="AZ60" s="224">
        <f t="shared" si="175"/>
        <v>5382715</v>
      </c>
      <c r="BA60" s="224">
        <f t="shared" si="175"/>
        <v>5352790</v>
      </c>
      <c r="BB60" s="224">
        <f t="shared" si="175"/>
        <v>5075277</v>
      </c>
      <c r="BC60" s="224">
        <f t="shared" si="175"/>
        <v>4929986</v>
      </c>
      <c r="BD60" s="225">
        <f t="shared" si="175"/>
        <v>4929986</v>
      </c>
      <c r="BE60" s="224">
        <f t="shared" si="175"/>
        <v>4496726</v>
      </c>
      <c r="BF60" s="224">
        <f t="shared" si="175"/>
        <v>4157027</v>
      </c>
      <c r="BG60" s="224">
        <f t="shared" si="175"/>
        <v>4025882</v>
      </c>
      <c r="BH60" s="224">
        <f t="shared" si="175"/>
        <v>3846292</v>
      </c>
      <c r="BI60" s="225">
        <f t="shared" si="175"/>
        <v>3846292</v>
      </c>
      <c r="BJ60" s="224">
        <f t="shared" si="175"/>
        <v>3933676</v>
      </c>
      <c r="BK60" s="224">
        <f t="shared" si="175"/>
        <v>3580176</v>
      </c>
      <c r="BL60" s="224">
        <f t="shared" si="175"/>
        <v>3566502</v>
      </c>
      <c r="BM60" s="224">
        <f t="shared" si="175"/>
        <v>3379792</v>
      </c>
      <c r="BN60" s="225">
        <f t="shared" ref="BN60:CC60" si="176">BN8</f>
        <v>3379792</v>
      </c>
      <c r="BO60" s="224">
        <f t="shared" si="176"/>
        <v>3261831</v>
      </c>
      <c r="BP60" s="224">
        <f t="shared" si="176"/>
        <v>2939202</v>
      </c>
      <c r="BQ60" s="224">
        <f>BQ8</f>
        <v>2699093</v>
      </c>
      <c r="BR60" s="224">
        <f>BR8</f>
        <v>2667234</v>
      </c>
      <c r="BS60" s="225">
        <f t="shared" si="176"/>
        <v>2667234</v>
      </c>
      <c r="BT60" s="224">
        <f>BT8</f>
        <v>2270779</v>
      </c>
      <c r="BU60" s="224">
        <f>BU8</f>
        <v>2141537</v>
      </c>
      <c r="BV60" s="224">
        <f>BV8</f>
        <v>2125099</v>
      </c>
      <c r="BW60" s="224">
        <f>BW8</f>
        <v>1948816</v>
      </c>
      <c r="BX60" s="225">
        <f t="shared" si="176"/>
        <v>1948816</v>
      </c>
      <c r="BY60" s="224">
        <f t="shared" si="176"/>
        <v>1969463</v>
      </c>
      <c r="BZ60" s="224">
        <f t="shared" si="176"/>
        <v>1951187</v>
      </c>
      <c r="CA60" s="224">
        <f>CA8</f>
        <v>1949967</v>
      </c>
      <c r="CB60" s="224">
        <f>CB8</f>
        <v>2069474</v>
      </c>
      <c r="CC60" s="225">
        <f t="shared" si="176"/>
        <v>2069474</v>
      </c>
      <c r="CD60" s="224">
        <f>CD8</f>
        <v>2064344</v>
      </c>
      <c r="CE60" s="224">
        <f>CE8</f>
        <v>2184470</v>
      </c>
      <c r="CF60" s="224">
        <f>CF8</f>
        <v>2066837</v>
      </c>
      <c r="CG60" s="224">
        <f>CG8</f>
        <v>2063554</v>
      </c>
      <c r="CH60" s="225">
        <f t="shared" ref="CH60:DG60" si="177">CH8</f>
        <v>2063554</v>
      </c>
      <c r="CI60" s="224">
        <f t="shared" si="177"/>
        <v>2129231</v>
      </c>
      <c r="CJ60" s="224">
        <f t="shared" si="177"/>
        <v>2161399</v>
      </c>
      <c r="CK60" s="224">
        <f>CK8</f>
        <v>2261540</v>
      </c>
      <c r="CL60" s="224">
        <f>CL8</f>
        <v>2333644</v>
      </c>
      <c r="CM60" s="225">
        <f t="shared" si="177"/>
        <v>2333644</v>
      </c>
      <c r="CN60" s="224">
        <f>CN8</f>
        <v>2402290</v>
      </c>
      <c r="CO60" s="224">
        <f>CO8</f>
        <v>2499984</v>
      </c>
      <c r="CP60" s="224">
        <f>CP8</f>
        <v>2711354</v>
      </c>
      <c r="CQ60" s="224">
        <f>CQ8</f>
        <v>2709008</v>
      </c>
      <c r="CR60" s="225">
        <f t="shared" si="177"/>
        <v>2709008</v>
      </c>
      <c r="CS60" s="224">
        <f t="shared" si="177"/>
        <v>2666053</v>
      </c>
      <c r="CT60" s="224">
        <f t="shared" si="177"/>
        <v>2960288</v>
      </c>
      <c r="CU60" s="224">
        <f>CU8</f>
        <v>3198894</v>
      </c>
      <c r="CV60" s="224">
        <f>CV8</f>
        <v>3454712</v>
      </c>
      <c r="CW60" s="225">
        <f t="shared" si="177"/>
        <v>3454712</v>
      </c>
      <c r="CX60" s="224">
        <f>CX8</f>
        <v>3635115</v>
      </c>
      <c r="CY60" s="224">
        <f t="shared" ref="CY60" si="178">CY8</f>
        <v>3993057</v>
      </c>
      <c r="CZ60" s="224">
        <f>CZ8</f>
        <v>4314766</v>
      </c>
      <c r="DA60" s="224">
        <f>DA8</f>
        <v>4776699</v>
      </c>
      <c r="DB60" s="225">
        <f t="shared" si="177"/>
        <v>4776699</v>
      </c>
      <c r="DC60" s="224">
        <f>DC8</f>
        <v>4892181</v>
      </c>
      <c r="DD60" s="224">
        <f t="shared" ref="DD60" si="179">DD8</f>
        <v>5289499</v>
      </c>
      <c r="DE60" s="224">
        <f>DE8</f>
        <v>5369048</v>
      </c>
      <c r="DF60" s="224">
        <f>DF8</f>
        <v>6114370</v>
      </c>
      <c r="DG60" s="225">
        <f t="shared" si="177"/>
        <v>6114370</v>
      </c>
      <c r="DH60" s="224">
        <f>DH8</f>
        <v>6311433</v>
      </c>
      <c r="DI60" s="224">
        <f t="shared" ref="DI60" si="180">DI8</f>
        <v>6524467</v>
      </c>
      <c r="DJ60" s="224">
        <f>DJ8</f>
        <v>6793845.5243459679</v>
      </c>
      <c r="DK60" s="224">
        <f>DK8</f>
        <v>7064591.2846721997</v>
      </c>
      <c r="DL60" s="225">
        <f>DL8</f>
        <v>7064591.2846721997</v>
      </c>
      <c r="DM60" s="224">
        <f t="shared" ref="DM60:EF60" si="181">DM8</f>
        <v>7189359.4370237608</v>
      </c>
      <c r="DN60" s="224">
        <f t="shared" si="181"/>
        <v>7797738.566803718</v>
      </c>
      <c r="DO60" s="224">
        <f t="shared" si="181"/>
        <v>8426724.4403611775</v>
      </c>
      <c r="DP60" s="224">
        <f t="shared" si="181"/>
        <v>8911561.0425937902</v>
      </c>
      <c r="DQ60" s="225">
        <f t="shared" si="181"/>
        <v>8911561.0425937902</v>
      </c>
      <c r="DR60" s="224">
        <f t="shared" si="181"/>
        <v>9514123.2010355871</v>
      </c>
      <c r="DS60" s="224">
        <f t="shared" si="181"/>
        <v>9984690.4644227475</v>
      </c>
      <c r="DT60" s="224">
        <f t="shared" si="181"/>
        <v>10374060.508206636</v>
      </c>
      <c r="DU60" s="224">
        <f t="shared" si="181"/>
        <v>10883145.509010106</v>
      </c>
      <c r="DV60" s="225">
        <f t="shared" si="181"/>
        <v>10883145.509010106</v>
      </c>
      <c r="DW60" s="224">
        <f t="shared" si="181"/>
        <v>11172388.195964018</v>
      </c>
      <c r="DX60" s="224">
        <f t="shared" si="181"/>
        <v>11464753.657783177</v>
      </c>
      <c r="DY60" s="224">
        <f t="shared" si="181"/>
        <v>11540944.754752226</v>
      </c>
      <c r="DZ60" s="224">
        <f t="shared" si="181"/>
        <v>11594509.720063563</v>
      </c>
      <c r="EA60" s="225">
        <f t="shared" si="181"/>
        <v>11594509.720063563</v>
      </c>
      <c r="EB60" s="224">
        <f t="shared" si="181"/>
        <v>11591975.625807997</v>
      </c>
      <c r="EC60" s="224">
        <f t="shared" si="181"/>
        <v>11729586.782027084</v>
      </c>
      <c r="ED60" s="224">
        <f t="shared" si="181"/>
        <v>11859416.115794403</v>
      </c>
      <c r="EE60" s="224">
        <f t="shared" si="181"/>
        <v>11903882.071007378</v>
      </c>
      <c r="EF60" s="225">
        <f t="shared" si="181"/>
        <v>11903882.071007378</v>
      </c>
    </row>
    <row r="61" spans="1:136" outlineLevel="1">
      <c r="A61" s="66" t="s">
        <v>750</v>
      </c>
      <c r="B61" s="107" t="e">
        <f>'Income Statement'!B10+'Income Statement'!#REF!+'Income Statement'!#REF!+'Income Statement'!#REF!</f>
        <v>#REF!</v>
      </c>
      <c r="C61" s="107" t="e">
        <f>'Income Statement'!C10+'Income Statement'!B10+'Income Statement'!#REF!+'Income Statement'!#REF!</f>
        <v>#REF!</v>
      </c>
      <c r="D61" s="107" t="e">
        <f>'Income Statement'!D10+'Income Statement'!C10+'Income Statement'!B10+'Income Statement'!#REF!</f>
        <v>#REF!</v>
      </c>
      <c r="E61" s="107">
        <f>'Income Statement'!B10+'Income Statement'!C10+'Income Statement'!D10+'Income Statement'!E10</f>
        <v>524437</v>
      </c>
      <c r="F61" s="106">
        <f>'Income Statement'!F10</f>
        <v>524437</v>
      </c>
      <c r="G61" s="107">
        <f>'Income Statement'!G10+'Income Statement'!E10+'Income Statement'!D10+'Income Statement'!C10</f>
        <v>584970.5</v>
      </c>
      <c r="H61" s="107">
        <f>'Income Statement'!H10+'Income Statement'!G10+'Income Statement'!E10+'Income Statement'!D10</f>
        <v>618070</v>
      </c>
      <c r="I61" s="107">
        <f>'Income Statement'!I10+'Income Statement'!H10+'Income Statement'!G10+'Income Statement'!E10</f>
        <v>748311</v>
      </c>
      <c r="J61" s="107">
        <f>'Income Statement'!G10+'Income Statement'!H10+'Income Statement'!I10+'Income Statement'!J10</f>
        <v>688848</v>
      </c>
      <c r="K61" s="106">
        <f>'Income Statement'!K10</f>
        <v>688848</v>
      </c>
      <c r="L61" s="107">
        <f>'Income Statement'!L10+'Income Statement'!J10+'Income Statement'!I10+'Income Statement'!H10</f>
        <v>749788</v>
      </c>
      <c r="M61" s="107">
        <f>'Income Statement'!M10+'Income Statement'!L10+'Income Statement'!J10+'Income Statement'!I10</f>
        <v>869085</v>
      </c>
      <c r="N61" s="107">
        <f>'Income Statement'!N10+'Income Statement'!M10+'Income Statement'!L10+'Income Statement'!J10</f>
        <v>848949</v>
      </c>
      <c r="O61" s="107">
        <f>'Income Statement'!L10+'Income Statement'!M10+'Income Statement'!N10+'Income Statement'!O10</f>
        <v>1116681</v>
      </c>
      <c r="P61" s="106">
        <f>'Income Statement'!P10</f>
        <v>1116681</v>
      </c>
      <c r="Q61" s="107">
        <f>'Income Statement'!Q10+'Income Statement'!O10+'Income Statement'!N10+'Income Statement'!M10</f>
        <v>1173093</v>
      </c>
      <c r="R61" s="107">
        <f>'Income Statement'!R10+'Income Statement'!Q10+'Income Statement'!O10+'Income Statement'!N10</f>
        <v>1282387</v>
      </c>
      <c r="S61" s="107">
        <f>'Income Statement'!S10+'Income Statement'!R10+'Income Statement'!Q10+'Income Statement'!O10</f>
        <v>1464396</v>
      </c>
      <c r="T61" s="107">
        <f>'Income Statement'!Q10+'Income Statement'!R10+'Income Statement'!S10+'Income Statement'!T10</f>
        <v>1998539</v>
      </c>
      <c r="U61" s="106">
        <f>'Income Statement'!U10</f>
        <v>1998539</v>
      </c>
      <c r="V61" s="107">
        <f>'Income Statement'!V10+'Income Statement'!T10+'Income Statement'!S10+'Income Statement'!R10</f>
        <v>2261893</v>
      </c>
      <c r="W61" s="107">
        <f>'Income Statement'!W10+'Income Statement'!V10+'Income Statement'!T10+'Income Statement'!S10</f>
        <v>2685478</v>
      </c>
      <c r="X61" s="107">
        <f>'Income Statement'!X10+'Income Statement'!W10+'Income Statement'!V10+'Income Statement'!T10</f>
        <v>3021371</v>
      </c>
      <c r="Y61" s="107">
        <f>'Income Statement'!V10+'Income Statement'!W10+'Income Statement'!X10+'Income Statement'!Y10</f>
        <v>2847441</v>
      </c>
      <c r="Z61" s="106">
        <f>'Income Statement'!Z10</f>
        <v>2847441</v>
      </c>
      <c r="AA61" s="107">
        <f>'Income Statement'!AA10+'Income Statement'!Y10+'Income Statement'!X10+'Income Statement'!W10</f>
        <v>2968050</v>
      </c>
      <c r="AB61" s="107">
        <f>'Income Statement'!AB10+'Income Statement'!AA10+'Income Statement'!Y10+'Income Statement'!X10</f>
        <v>3048769</v>
      </c>
      <c r="AC61" s="107">
        <f>'Income Statement'!AC10+'Income Statement'!AB10+'Income Statement'!AA10+'Income Statement'!Y10</f>
        <v>3646920</v>
      </c>
      <c r="AD61" s="107">
        <f>'Income Statement'!AA10+'Income Statement'!AB10+'Income Statement'!AC10+'Income Statement'!AD10</f>
        <v>4087825</v>
      </c>
      <c r="AE61" s="106">
        <f>'Income Statement'!AE10</f>
        <v>4087825</v>
      </c>
      <c r="AF61" s="107">
        <f>'Income Statement'!AF10+'Income Statement'!AD10+'Income Statement'!AC10+'Income Statement'!AB10</f>
        <v>4548819</v>
      </c>
      <c r="AG61" s="107">
        <f>'Income Statement'!AG10+'Income Statement'!AF10+'Income Statement'!AD10+'Income Statement'!AC10</f>
        <v>4879054</v>
      </c>
      <c r="AH61" s="107">
        <f>'Income Statement'!AH10+'Income Statement'!AG10+'Income Statement'!AF10+'Income Statement'!AD10</f>
        <v>4692735</v>
      </c>
      <c r="AI61" s="107">
        <f>'Income Statement'!AF10+'Income Statement'!AG10+'Income Statement'!AH10+'Income Statement'!AI10</f>
        <v>4890105</v>
      </c>
      <c r="AJ61" s="106">
        <f>'Income Statement'!AJ10</f>
        <v>4890105</v>
      </c>
      <c r="AK61" s="107">
        <f>'Income Statement'!AK10+'Income Statement'!AI10+'Income Statement'!AH10+'Income Statement'!AG10</f>
        <v>4958399</v>
      </c>
      <c r="AL61" s="107">
        <f>'Income Statement'!AL10+'Income Statement'!AK10+'Income Statement'!AI10+'Income Statement'!AH10</f>
        <v>5135448</v>
      </c>
      <c r="AM61" s="107">
        <f>'Income Statement'!AM10+'Income Statement'!AL10+'Income Statement'!AK10+'Income Statement'!AI10</f>
        <v>5532501</v>
      </c>
      <c r="AN61" s="107">
        <f>'Income Statement'!AK10+'Income Statement'!AL10+'Income Statement'!AM10+'Income Statement'!AN10</f>
        <v>6126781</v>
      </c>
      <c r="AO61" s="106">
        <f>'Income Statement'!AO10</f>
        <v>6126781</v>
      </c>
      <c r="AP61" s="107">
        <f>'Income Statement'!AP10+'Income Statement'!AN10+'Income Statement'!AM10+'Income Statement'!AL10</f>
        <v>6392382</v>
      </c>
      <c r="AQ61" s="107">
        <f>'Income Statement'!AQ10+'Income Statement'!AP10+'Income Statement'!AN10+'Income Statement'!AM10</f>
        <v>6394761</v>
      </c>
      <c r="AR61" s="107">
        <f>'Income Statement'!AR10+'Income Statement'!AQ10+'Income Statement'!AP10+'Income Statement'!AN10</f>
        <v>6185111</v>
      </c>
      <c r="AS61" s="107">
        <f>'Income Statement'!AP10+'Income Statement'!AQ10+'Income Statement'!AR10+'Income Statement'!AS10</f>
        <v>5632679</v>
      </c>
      <c r="AT61" s="106">
        <f>'Income Statement'!AT10</f>
        <v>5632679</v>
      </c>
      <c r="AU61" s="107">
        <f>'Income Statement'!AU10+'Income Statement'!AS10+'Income Statement'!AR10+'Income Statement'!AQ10</f>
        <v>5381706</v>
      </c>
      <c r="AV61" s="107">
        <f>'Income Statement'!AV10+'Income Statement'!AU10+'Income Statement'!AS10+'Income Statement'!AR10</f>
        <v>5368862</v>
      </c>
      <c r="AW61" s="107">
        <f>'Income Statement'!AW10+'Income Statement'!AV10+'Income Statement'!AU10+'Income Statement'!AS10</f>
        <v>5413358</v>
      </c>
      <c r="AX61" s="107">
        <f>'Income Statement'!AU10+'Income Statement'!AV10+'Income Statement'!AW10+'Income Statement'!AX10</f>
        <v>5371882</v>
      </c>
      <c r="AY61" s="106">
        <f>'Income Statement'!AY10</f>
        <v>5371882</v>
      </c>
      <c r="AZ61" s="107">
        <f>'Income Statement'!AZ10+'Income Statement'!AX10+'Income Statement'!AW10+'Income Statement'!AV10</f>
        <v>5471874</v>
      </c>
      <c r="BA61" s="107">
        <f>'Income Statement'!BA10+'Income Statement'!AZ10+'Income Statement'!AX10+'Income Statement'!AW10</f>
        <v>5457786</v>
      </c>
      <c r="BB61" s="107">
        <f>'Income Statement'!BB10+'Income Statement'!BA10+'Income Statement'!AZ10+'Income Statement'!AX10</f>
        <v>5677034</v>
      </c>
      <c r="BC61" s="107">
        <f>'Income Statement'!AZ10+'Income Statement'!BA10+'Income Statement'!BB10+'Income Statement'!BC10</f>
        <v>5817927</v>
      </c>
      <c r="BD61" s="106">
        <f>'Income Statement'!BD10</f>
        <v>5817927</v>
      </c>
      <c r="BE61" s="107">
        <f>'Income Statement'!BE10+'Income Statement'!BC10+'Income Statement'!BB10+'Income Statement'!BA10</f>
        <v>5537779</v>
      </c>
      <c r="BF61" s="107">
        <f>'Income Statement'!BF10+'Income Statement'!BE10+'Income Statement'!BC10+'Income Statement'!BB10</f>
        <v>5317131</v>
      </c>
      <c r="BG61" s="107">
        <f>'Income Statement'!BG10+'Income Statement'!BF10+'Income Statement'!BE10+'Income Statement'!BC10</f>
        <v>4841168</v>
      </c>
      <c r="BH61" s="107">
        <f>'Income Statement'!BE10+'Income Statement'!BF10+'Income Statement'!BG10+'Income Statement'!BH10</f>
        <v>4341184</v>
      </c>
      <c r="BI61" s="106">
        <f>'Income Statement'!BI10</f>
        <v>4341184</v>
      </c>
      <c r="BJ61" s="107">
        <f>'Income Statement'!BJ10+'Income Statement'!BH10+'Income Statement'!BG10+'Income Statement'!BF10</f>
        <v>4116676</v>
      </c>
      <c r="BK61" s="107">
        <f>'Income Statement'!BK10+'Income Statement'!BJ10+'Income Statement'!BH10+'Income Statement'!BG10</f>
        <v>3620026</v>
      </c>
      <c r="BL61" s="107">
        <f>'Income Statement'!BL10+'Income Statement'!BK10+'Income Statement'!BJ10+'Income Statement'!BH10</f>
        <v>3307100</v>
      </c>
      <c r="BM61" s="107">
        <f>'Income Statement'!BJ10+'Income Statement'!BK10+'Income Statement'!BL10+'Income Statement'!BM10</f>
        <v>3195310</v>
      </c>
      <c r="BN61" s="106">
        <f>'Income Statement'!BN10</f>
        <v>3195310</v>
      </c>
      <c r="BO61" s="107">
        <f>'Income Statement'!BO10+'Income Statement'!BM10+'Income Statement'!BL10+'Income Statement'!BK10</f>
        <v>3076991</v>
      </c>
      <c r="BP61" s="107">
        <f>'Income Statement'!BP10+'Income Statement'!BO10+'Income Statement'!BM10+'Income Statement'!BL10</f>
        <v>3010714</v>
      </c>
      <c r="BQ61" s="107">
        <f>'Income Statement'!BQ10+'Income Statement'!BP10+'Income Statement'!BO10+'Income Statement'!BM10</f>
        <v>2783734</v>
      </c>
      <c r="BR61" s="107">
        <f>'Income Statement'!BO10+'Income Statement'!BP10+'Income Statement'!BQ10+'Income Statement'!BR10</f>
        <v>2673770</v>
      </c>
      <c r="BS61" s="106">
        <f>'Income Statement'!BS10</f>
        <v>2673770</v>
      </c>
      <c r="BT61" s="107">
        <f>'Income Statement'!BT10+'Income Statement'!BR10+'Income Statement'!BQ10+'Income Statement'!BP10</f>
        <v>2432005</v>
      </c>
      <c r="BU61" s="107">
        <f>'Income Statement'!BU10+'Income Statement'!BT10+'Income Statement'!BR10+'Income Statement'!BQ10</f>
        <v>2496788</v>
      </c>
      <c r="BV61" s="107">
        <f>'Income Statement'!BV10+'Income Statement'!BU10+'Income Statement'!BT10+'Income Statement'!BR10</f>
        <v>2623786</v>
      </c>
      <c r="BW61" s="107">
        <f>'Income Statement'!BT10+'Income Statement'!BU10+'Income Statement'!BV10+'Income Statement'!BW10</f>
        <v>2892157</v>
      </c>
      <c r="BX61" s="106">
        <f>'Income Statement'!BX10</f>
        <v>2892157</v>
      </c>
      <c r="BY61" s="107">
        <f>'Income Statement'!BY10+'Income Statement'!BW10+'Income Statement'!BV10+'Income Statement'!BU10</f>
        <v>3267771</v>
      </c>
      <c r="BZ61" s="107">
        <f>'Income Statement'!BZ10+'Income Statement'!BY10+'Income Statement'!BW10+'Income Statement'!BV10</f>
        <v>3564854</v>
      </c>
      <c r="CA61" s="107">
        <f>'Income Statement'!CA10+'Income Statement'!BZ10+'Income Statement'!BY10+'Income Statement'!BW10</f>
        <v>3774788</v>
      </c>
      <c r="CB61" s="107">
        <f>'Income Statement'!BY10+'Income Statement'!BZ10+'Income Statement'!CA10+'Income Statement'!CB10</f>
        <v>3930823</v>
      </c>
      <c r="CC61" s="106">
        <f>'Income Statement'!CC10</f>
        <v>3930823</v>
      </c>
      <c r="CD61" s="107">
        <f>'Income Statement'!CD10+'Income Statement'!CB10+'Income Statement'!CA10+'Income Statement'!BZ10</f>
        <v>3869342</v>
      </c>
      <c r="CE61" s="107">
        <f>'Income Statement'!CE10+'Income Statement'!CD10+'Income Statement'!CB10+'Income Statement'!CA10</f>
        <v>3771528</v>
      </c>
      <c r="CF61" s="107">
        <f>'Income Statement'!CF10+'Income Statement'!CE10+'Income Statement'!CD10+'Income Statement'!CB10</f>
        <v>4000272</v>
      </c>
      <c r="CG61" s="107">
        <f>'Income Statement'!CD10+'Income Statement'!CE10+'Income Statement'!CF10+'Income Statement'!CG10</f>
        <v>3823696</v>
      </c>
      <c r="CH61" s="106">
        <f>'Income Statement'!CH10</f>
        <v>3823696</v>
      </c>
      <c r="CI61" s="107">
        <f>'Income Statement'!CI10+'Income Statement'!CG10+'Income Statement'!CF10+'Income Statement'!CE10</f>
        <v>4062673</v>
      </c>
      <c r="CJ61" s="107">
        <f>'Income Statement'!CJ10+'Income Statement'!CI10+'Income Statement'!CG10+'Income Statement'!CF10</f>
        <v>4405884</v>
      </c>
      <c r="CK61" s="107">
        <f>'Income Statement'!CK10+'Income Statement'!CJ10+'Income Statement'!CI10+'Income Statement'!CG10</f>
        <v>4530720</v>
      </c>
      <c r="CL61" s="107">
        <f>'Income Statement'!CI10+'Income Statement'!CJ10+'Income Statement'!CK10+'Income Statement'!CL10</f>
        <v>4790833</v>
      </c>
      <c r="CM61" s="106">
        <f>'Income Statement'!CM10</f>
        <v>4790833</v>
      </c>
      <c r="CN61" s="107">
        <f>'Income Statement'!CN10+'Income Statement'!CL10+'Income Statement'!CK10+'Income Statement'!CJ10</f>
        <v>5018753</v>
      </c>
      <c r="CO61" s="107">
        <f>'Income Statement'!CO10+'Income Statement'!CN10+'Income Statement'!CL10+'Income Statement'!CK10</f>
        <v>5086817</v>
      </c>
      <c r="CP61" s="107">
        <f>'Income Statement'!CP10+'Income Statement'!CO10+'Income Statement'!CN10+'Income Statement'!CL10</f>
        <v>5358122</v>
      </c>
      <c r="CQ61" s="107">
        <f>'Income Statement'!CN10+'Income Statement'!CO10+'Income Statement'!CP10+'Income Statement'!CQ10</f>
        <v>5412295</v>
      </c>
      <c r="CR61" s="106">
        <f>'Income Statement'!CR10</f>
        <v>5412295</v>
      </c>
      <c r="CS61" s="107">
        <f>'Income Statement'!CS10+'Income Statement'!CQ10+'Income Statement'!CP10+'Income Statement'!CO10</f>
        <v>5464069</v>
      </c>
      <c r="CT61" s="107">
        <f>'Income Statement'!CT10+'Income Statement'!CS10+'Income Statement'!CQ10+'Income Statement'!CP10</f>
        <v>5847041</v>
      </c>
      <c r="CU61" s="107">
        <f>'Income Statement'!CU10+'Income Statement'!CT10+'Income Statement'!CS10+'Income Statement'!CQ10</f>
        <v>5913384</v>
      </c>
      <c r="CV61" s="107">
        <f>'Income Statement'!CS10+'Income Statement'!CT10+'Income Statement'!CU10+'Income Statement'!CV10</f>
        <v>6252699</v>
      </c>
      <c r="CW61" s="106">
        <f>'Income Statement'!CW10</f>
        <v>6252699</v>
      </c>
      <c r="CX61" s="107">
        <f>'Income Statement'!CX10+'Income Statement'!CV10+'Income Statement'!CU10+'Income Statement'!CT10</f>
        <v>6542184</v>
      </c>
      <c r="CY61" s="107">
        <f>'Income Statement'!CY10+'Income Statement'!CX10+'Income Statement'!CV10+'Income Statement'!CU10</f>
        <v>6765986</v>
      </c>
      <c r="CZ61" s="107">
        <f>'Income Statement'!CZ10+'Income Statement'!CY10+'Income Statement'!CX10+'Income Statement'!CV10</f>
        <v>7169650</v>
      </c>
      <c r="DA61" s="107">
        <f>'Income Statement'!CX10+'Income Statement'!CY10+'Income Statement'!CZ10+'Income Statement'!DA10</f>
        <v>7965688</v>
      </c>
      <c r="DB61" s="106">
        <f>'Income Statement'!DB10</f>
        <v>7965688</v>
      </c>
      <c r="DC61" s="107">
        <f>'Income Statement'!DC10+'Income Statement'!DA10+'Income Statement'!CZ10+'Income Statement'!CY10</f>
        <v>8345521</v>
      </c>
      <c r="DD61" s="107">
        <f>'Income Statement'!DD10+'Income Statement'!DC10+'Income Statement'!DA10+'Income Statement'!CZ10</f>
        <v>8595794</v>
      </c>
      <c r="DE61" s="107">
        <f>'Income Statement'!DE10+'Income Statement'!DD10+'Income Statement'!DC10+'Income Statement'!DA10</f>
        <v>8694589</v>
      </c>
      <c r="DF61" s="107">
        <f>'Income Statement'!DC10+'Income Statement'!DD10+'Income Statement'!DE10+'Income Statement'!DF10</f>
        <v>9423494</v>
      </c>
      <c r="DG61" s="106">
        <f>'Income Statement'!DG10</f>
        <v>9423494</v>
      </c>
      <c r="DH61" s="107">
        <f>'Income Statement'!DH10+'Income Statement'!DF10+'Income Statement'!DE10+'Income Statement'!DD10</f>
        <v>9495783</v>
      </c>
      <c r="DI61" s="107">
        <f>'Income Statement'!DI10+'Income Statement'!DH10+'Income Statement'!DF10+'Income Statement'!DE10</f>
        <v>9869524</v>
      </c>
      <c r="DJ61" s="107">
        <f>'Income Statement'!DJ10+'Income Statement'!DI10+'Income Statement'!DH10+'Income Statement'!DF10</f>
        <v>10449811.267273199</v>
      </c>
      <c r="DK61" s="107">
        <f>'Income Statement'!DH10+'Income Statement'!DI10+'Income Statement'!DJ10+'Income Statement'!DK10</f>
        <v>10224670.790309988</v>
      </c>
      <c r="DL61" s="106">
        <f>'Income Statement'!DL10</f>
        <v>10224670.790309988</v>
      </c>
      <c r="DM61" s="107">
        <f>'Income Statement'!DM10+'Income Statement'!DK10+'Income Statement'!DJ10+'Income Statement'!DI10</f>
        <v>11043408.060946416</v>
      </c>
      <c r="DN61" s="107">
        <f>'Income Statement'!DN10+'Income Statement'!DM10+'Income Statement'!DK10+'Income Statement'!DJ10</f>
        <v>11530194.987219738</v>
      </c>
      <c r="DO61" s="107">
        <f>'Income Statement'!DO10+'Income Statement'!DN10+'Income Statement'!DM10+'Income Statement'!DK10</f>
        <v>11892153.021228865</v>
      </c>
      <c r="DP61" s="107">
        <f>'Income Statement'!DM10+'Income Statement'!DN10+'Income Statement'!DO10+'Income Statement'!DP10</f>
        <v>12224369.939328102</v>
      </c>
      <c r="DQ61" s="106">
        <f>'Income Statement'!DQ10</f>
        <v>12224369.939328102</v>
      </c>
      <c r="DR61" s="107">
        <f>'Income Statement'!DR10+'Income Statement'!DP10+'Income Statement'!DO10+'Income Statement'!DN10</f>
        <v>12545941.833297282</v>
      </c>
      <c r="DS61" s="107">
        <f>'Income Statement'!DS10+'Income Statement'!DR10+'Income Statement'!DP10+'Income Statement'!DO10</f>
        <v>12850940.941282064</v>
      </c>
      <c r="DT61" s="107">
        <f>'Income Statement'!DT10+'Income Statement'!DS10+'Income Statement'!DR10+'Income Statement'!DP10</f>
        <v>13147077.65370919</v>
      </c>
      <c r="DU61" s="107">
        <f>'Income Statement'!DR10+'Income Statement'!DS10+'Income Statement'!DT10+'Income Statement'!DU10</f>
        <v>13443553.025013033</v>
      </c>
      <c r="DV61" s="106">
        <f>'Income Statement'!DV10</f>
        <v>13443553.025013033</v>
      </c>
      <c r="DW61" s="107">
        <f>'Income Statement'!DW10+'Income Statement'!DU10+'Income Statement'!DT10+'Income Statement'!DS10</f>
        <v>13713691.309236214</v>
      </c>
      <c r="DX61" s="107">
        <f>'Income Statement'!DX10+'Income Statement'!DW10+'Income Statement'!DU10+'Income Statement'!DT10</f>
        <v>13981861.301641937</v>
      </c>
      <c r="DY61" s="107">
        <f>'Income Statement'!DY10+'Income Statement'!DX10+'Income Statement'!DW10+'Income Statement'!DU10</f>
        <v>14245672.712200511</v>
      </c>
      <c r="DZ61" s="107">
        <f>'Income Statement'!DW10+'Income Statement'!DX10+'Income Statement'!DY10+'Income Statement'!DZ10</f>
        <v>14515623.054264199</v>
      </c>
      <c r="EA61" s="106">
        <f>'Income Statement'!EA10</f>
        <v>14515623.054264199</v>
      </c>
      <c r="EB61" s="107">
        <f>'Income Statement'!EB10+'Income Statement'!DZ10+'Income Statement'!DY10+'Income Statement'!DX10</f>
        <v>14767409.457174283</v>
      </c>
      <c r="EC61" s="107">
        <f>'Income Statement'!EC10+'Income Statement'!EB10+'Income Statement'!DZ10+'Income Statement'!DY10</f>
        <v>15019492.515347529</v>
      </c>
      <c r="ED61" s="107">
        <f>'Income Statement'!ED10+'Income Statement'!EC10+'Income Statement'!EB10+'Income Statement'!DZ10</f>
        <v>15269010.061334673</v>
      </c>
      <c r="EE61" s="107">
        <f>'Income Statement'!EB10+'Income Statement'!EC10+'Income Statement'!ED10+'Income Statement'!EE10</f>
        <v>15523866.736692661</v>
      </c>
      <c r="EF61" s="106">
        <f>'Income Statement'!EF10</f>
        <v>15523866.736692661</v>
      </c>
    </row>
    <row r="62" spans="1:136" outlineLevel="1">
      <c r="A62" s="66" t="s">
        <v>593</v>
      </c>
      <c r="B62" s="107" t="e">
        <f t="shared" ref="B62:W62" si="182">365/(B61/B60)</f>
        <v>#REF!</v>
      </c>
      <c r="C62" s="107" t="e">
        <f t="shared" si="182"/>
        <v>#REF!</v>
      </c>
      <c r="D62" s="107" t="e">
        <f t="shared" si="182"/>
        <v>#REF!</v>
      </c>
      <c r="E62" s="107">
        <f t="shared" si="182"/>
        <v>301.41416414173676</v>
      </c>
      <c r="F62" s="106">
        <f t="shared" si="182"/>
        <v>301.41416414173676</v>
      </c>
      <c r="G62" s="107">
        <f t="shared" si="182"/>
        <v>266.56826284402376</v>
      </c>
      <c r="H62" s="107">
        <f t="shared" si="182"/>
        <v>248.8333036711052</v>
      </c>
      <c r="I62" s="107">
        <f t="shared" si="182"/>
        <v>236.37390069102287</v>
      </c>
      <c r="J62" s="107">
        <f t="shared" si="182"/>
        <v>244.38671521148351</v>
      </c>
      <c r="K62" s="106">
        <f t="shared" si="182"/>
        <v>244.38671521148351</v>
      </c>
      <c r="L62" s="107">
        <f t="shared" si="182"/>
        <v>261.42606310050303</v>
      </c>
      <c r="M62" s="107">
        <f t="shared" si="182"/>
        <v>271.21551401761621</v>
      </c>
      <c r="N62" s="107">
        <f t="shared" si="182"/>
        <v>294.87107588323914</v>
      </c>
      <c r="O62" s="107">
        <f t="shared" si="182"/>
        <v>282.82441001503565</v>
      </c>
      <c r="P62" s="106">
        <f t="shared" si="182"/>
        <v>282.82441001503565</v>
      </c>
      <c r="Q62" s="107">
        <f t="shared" si="182"/>
        <v>291.93204630834896</v>
      </c>
      <c r="R62" s="107">
        <f t="shared" si="182"/>
        <v>289.23611593068239</v>
      </c>
      <c r="S62" s="107">
        <f t="shared" si="182"/>
        <v>290.85998254570484</v>
      </c>
      <c r="T62" s="107">
        <f t="shared" si="182"/>
        <v>267.84870347789058</v>
      </c>
      <c r="U62" s="106">
        <f t="shared" si="182"/>
        <v>267.84870347789058</v>
      </c>
      <c r="V62" s="107">
        <f t="shared" si="182"/>
        <v>265.89813488082774</v>
      </c>
      <c r="W62" s="107">
        <f t="shared" si="182"/>
        <v>273.2299166107486</v>
      </c>
      <c r="X62" s="107">
        <f t="shared" ref="X62:AO62" si="183">365/(X61/X60)</f>
        <v>272.91036751196725</v>
      </c>
      <c r="Y62" s="107">
        <f t="shared" si="183"/>
        <v>341.10511157210982</v>
      </c>
      <c r="Z62" s="106">
        <f t="shared" si="183"/>
        <v>341.10511157210982</v>
      </c>
      <c r="AA62" s="107">
        <f t="shared" si="183"/>
        <v>349.09017873688111</v>
      </c>
      <c r="AB62" s="107">
        <f t="shared" si="183"/>
        <v>388.06031385126261</v>
      </c>
      <c r="AC62" s="107">
        <f t="shared" si="183"/>
        <v>388.24081142443487</v>
      </c>
      <c r="AD62" s="107">
        <f t="shared" si="183"/>
        <v>406.17417330732115</v>
      </c>
      <c r="AE62" s="106">
        <f t="shared" si="183"/>
        <v>406.17417330732115</v>
      </c>
      <c r="AF62" s="107">
        <f t="shared" si="183"/>
        <v>419.39382397936691</v>
      </c>
      <c r="AG62" s="107">
        <f t="shared" si="183"/>
        <v>414.08683220148822</v>
      </c>
      <c r="AH62" s="107">
        <f t="shared" si="183"/>
        <v>453.87229089219824</v>
      </c>
      <c r="AI62" s="107">
        <f t="shared" si="183"/>
        <v>448.22261689677424</v>
      </c>
      <c r="AJ62" s="106">
        <f t="shared" si="183"/>
        <v>448.22261689677424</v>
      </c>
      <c r="AK62" s="107">
        <f t="shared" si="183"/>
        <v>451.59690053180469</v>
      </c>
      <c r="AL62" s="107">
        <f>365/(AL61/AL60)</f>
        <v>441.26214012876773</v>
      </c>
      <c r="AM62" s="107">
        <f>365/(AM61/AM60)</f>
        <v>411.38867123566718</v>
      </c>
      <c r="AN62" s="107">
        <f>365/(AN61/AN60)</f>
        <v>381.81711081234994</v>
      </c>
      <c r="AO62" s="106">
        <f t="shared" si="183"/>
        <v>381.81711081234994</v>
      </c>
      <c r="AP62" s="107">
        <f t="shared" ref="AP62:CG62" si="184">365/(AP61/AP60)</f>
        <v>374.94868188415523</v>
      </c>
      <c r="AQ62" s="107">
        <f t="shared" si="184"/>
        <v>371.16288005134203</v>
      </c>
      <c r="AR62" s="107">
        <f t="shared" si="184"/>
        <v>379.63237199785095</v>
      </c>
      <c r="AS62" s="107">
        <f t="shared" si="184"/>
        <v>382.36463501648149</v>
      </c>
      <c r="AT62" s="106">
        <f t="shared" si="184"/>
        <v>382.36463501648149</v>
      </c>
      <c r="AU62" s="107">
        <f>365/(AU61/AU60)</f>
        <v>387.18014975177016</v>
      </c>
      <c r="AV62" s="107">
        <f>365/(AV61/AV60)</f>
        <v>390.64046440381594</v>
      </c>
      <c r="AW62" s="107">
        <f>365/(AW61/AW60)</f>
        <v>392.31709135069212</v>
      </c>
      <c r="AX62" s="107">
        <f>365/(AX61/AX60)</f>
        <v>382.0189404756099</v>
      </c>
      <c r="AY62" s="106">
        <f t="shared" si="184"/>
        <v>382.0189404756099</v>
      </c>
      <c r="AZ62" s="107">
        <f t="shared" si="184"/>
        <v>359.05267098621056</v>
      </c>
      <c r="BA62" s="107">
        <f t="shared" si="184"/>
        <v>357.97818932438906</v>
      </c>
      <c r="BB62" s="107">
        <f t="shared" si="184"/>
        <v>326.31055318675209</v>
      </c>
      <c r="BC62" s="107">
        <f t="shared" si="184"/>
        <v>309.29313654158943</v>
      </c>
      <c r="BD62" s="106">
        <f>365/(BD61/BD60)</f>
        <v>309.29313654158943</v>
      </c>
      <c r="BE62" s="107">
        <f>365/(BE61/BE60)</f>
        <v>296.38325942584567</v>
      </c>
      <c r="BF62" s="107">
        <f>365/(BF61/BF60)</f>
        <v>285.36345164337683</v>
      </c>
      <c r="BG62" s="107">
        <f>365/(BG61/BG60)</f>
        <v>303.53148868207012</v>
      </c>
      <c r="BH62" s="107">
        <f>365/(BH61/BH60)</f>
        <v>323.39025021745221</v>
      </c>
      <c r="BI62" s="106">
        <f t="shared" si="184"/>
        <v>323.39025021745221</v>
      </c>
      <c r="BJ62" s="107">
        <f t="shared" si="184"/>
        <v>348.77453071361458</v>
      </c>
      <c r="BK62" s="107">
        <f t="shared" si="184"/>
        <v>360.98200399665637</v>
      </c>
      <c r="BL62" s="107">
        <f t="shared" si="184"/>
        <v>393.62983580780747</v>
      </c>
      <c r="BM62" s="107">
        <f t="shared" si="184"/>
        <v>386.07336377378095</v>
      </c>
      <c r="BN62" s="106">
        <f t="shared" si="184"/>
        <v>386.07336377378095</v>
      </c>
      <c r="BO62" s="107">
        <f>365/(BO61/BO60)</f>
        <v>386.92616097999638</v>
      </c>
      <c r="BP62" s="107">
        <f>365/(BP61/BP60)</f>
        <v>356.33033559481237</v>
      </c>
      <c r="BQ62" s="107">
        <f>365/(BQ61/BQ60)</f>
        <v>353.90196944104576</v>
      </c>
      <c r="BR62" s="107">
        <f>365/(BR61/BR60)</f>
        <v>364.10776169977225</v>
      </c>
      <c r="BS62" s="106">
        <f t="shared" si="184"/>
        <v>364.10776169977225</v>
      </c>
      <c r="BT62" s="107">
        <f t="shared" si="184"/>
        <v>340.80289103024046</v>
      </c>
      <c r="BU62" s="107">
        <f t="shared" si="184"/>
        <v>313.066630006232</v>
      </c>
      <c r="BV62" s="107">
        <f t="shared" si="184"/>
        <v>295.62667648962224</v>
      </c>
      <c r="BW62" s="107">
        <f t="shared" si="184"/>
        <v>245.94717368386296</v>
      </c>
      <c r="BX62" s="106">
        <f t="shared" si="184"/>
        <v>245.94717368386296</v>
      </c>
      <c r="BY62" s="107">
        <f>365/(BY61/BY60)</f>
        <v>219.98297769335733</v>
      </c>
      <c r="BZ62" s="107">
        <f>365/(BZ61/BZ60)</f>
        <v>199.77908071410496</v>
      </c>
      <c r="CA62" s="107">
        <f>365/(CA61/CA60)</f>
        <v>188.55044442230928</v>
      </c>
      <c r="CB62" s="107">
        <f>365/(CB61/CB60)</f>
        <v>192.1628142503491</v>
      </c>
      <c r="CC62" s="106">
        <f t="shared" si="184"/>
        <v>192.1628142503491</v>
      </c>
      <c r="CD62" s="107">
        <f t="shared" si="184"/>
        <v>194.7322206204569</v>
      </c>
      <c r="CE62" s="107">
        <f t="shared" si="184"/>
        <v>211.40809507446318</v>
      </c>
      <c r="CF62" s="107">
        <f t="shared" si="184"/>
        <v>188.58605239843689</v>
      </c>
      <c r="CG62" s="107">
        <f t="shared" si="184"/>
        <v>196.98145720789518</v>
      </c>
      <c r="CH62" s="106">
        <f t="shared" ref="CH62:DG62" si="185">365/(CH61/CH60)</f>
        <v>196.98145720789518</v>
      </c>
      <c r="CI62" s="107">
        <f t="shared" si="185"/>
        <v>191.29506977302873</v>
      </c>
      <c r="CJ62" s="107">
        <f t="shared" si="185"/>
        <v>179.058421647052</v>
      </c>
      <c r="CK62" s="107">
        <f t="shared" si="185"/>
        <v>182.19225641840589</v>
      </c>
      <c r="CL62" s="107">
        <f t="shared" si="185"/>
        <v>177.79372814706755</v>
      </c>
      <c r="CM62" s="106">
        <f t="shared" si="185"/>
        <v>177.79372814706755</v>
      </c>
      <c r="CN62" s="107">
        <f>365/(CN61/CN60)</f>
        <v>174.71189556449579</v>
      </c>
      <c r="CO62" s="107">
        <f>365/(CO61/CO60)</f>
        <v>179.38411387710624</v>
      </c>
      <c r="CP62" s="107">
        <f>365/(CP61/CP60)</f>
        <v>184.69982766349852</v>
      </c>
      <c r="CQ62" s="107">
        <f>365/(CQ61/CQ60)</f>
        <v>182.69290938502058</v>
      </c>
      <c r="CR62" s="106">
        <f t="shared" si="185"/>
        <v>182.69290938502058</v>
      </c>
      <c r="CS62" s="107">
        <f t="shared" si="185"/>
        <v>178.09243349598992</v>
      </c>
      <c r="CT62" s="107">
        <f t="shared" si="185"/>
        <v>184.79520153869282</v>
      </c>
      <c r="CU62" s="107">
        <f t="shared" si="185"/>
        <v>197.4497698779582</v>
      </c>
      <c r="CV62" s="107">
        <f t="shared" si="185"/>
        <v>201.66809245095598</v>
      </c>
      <c r="CW62" s="106">
        <f t="shared" si="185"/>
        <v>201.66809245095598</v>
      </c>
      <c r="CX62" s="107">
        <f>365/(CX61/CX60)</f>
        <v>202.80948609822039</v>
      </c>
      <c r="CY62" s="107">
        <f t="shared" ref="CY62:DA62" si="186">365/(CY61/CY60)</f>
        <v>215.41070362841427</v>
      </c>
      <c r="CZ62" s="107">
        <f t="shared" si="186"/>
        <v>219.66059570550863</v>
      </c>
      <c r="DA62" s="107">
        <f t="shared" si="186"/>
        <v>218.87564953585931</v>
      </c>
      <c r="DB62" s="106">
        <f t="shared" si="185"/>
        <v>218.87564953585931</v>
      </c>
      <c r="DC62" s="107">
        <f>365/(DC61/DC60)</f>
        <v>213.96460029277981</v>
      </c>
      <c r="DD62" s="107">
        <f t="shared" ref="DD62:DF62" si="187">365/(DD61/DD60)</f>
        <v>224.60602650552119</v>
      </c>
      <c r="DE62" s="107">
        <f t="shared" si="187"/>
        <v>225.39334751763425</v>
      </c>
      <c r="DF62" s="107">
        <f t="shared" si="187"/>
        <v>236.82776791708042</v>
      </c>
      <c r="DG62" s="106">
        <f t="shared" si="185"/>
        <v>236.82776791708042</v>
      </c>
      <c r="DH62" s="107">
        <f>365/(DH61/DH60)</f>
        <v>242.59958815402584</v>
      </c>
      <c r="DI62" s="107">
        <f t="shared" ref="DI62" si="188">365/(DI61/DI60)</f>
        <v>241.29131810206854</v>
      </c>
      <c r="DJ62" s="107">
        <f>365/(DJ61/DJ60)</f>
        <v>237.30128257458486</v>
      </c>
      <c r="DK62" s="107">
        <f>365/(DK61/DK60)</f>
        <v>252.19157386945821</v>
      </c>
      <c r="DL62" s="106">
        <f>365/(DL61/DL60)</f>
        <v>252.19157386945821</v>
      </c>
      <c r="DM62" s="107">
        <f t="shared" ref="DM62:EF62" si="189">365/(DM61/DM60)</f>
        <v>237.61833122815773</v>
      </c>
      <c r="DN62" s="107">
        <f t="shared" si="189"/>
        <v>246.84531181286221</v>
      </c>
      <c r="DO62" s="107">
        <f t="shared" si="189"/>
        <v>258.63730606571016</v>
      </c>
      <c r="DP62" s="107">
        <f t="shared" si="189"/>
        <v>266.0848613622303</v>
      </c>
      <c r="DQ62" s="106">
        <f t="shared" si="189"/>
        <v>266.0848613622303</v>
      </c>
      <c r="DR62" s="107">
        <f t="shared" si="189"/>
        <v>276.79507959788759</v>
      </c>
      <c r="DS62" s="107">
        <f t="shared" si="189"/>
        <v>283.59106435600199</v>
      </c>
      <c r="DT62" s="107">
        <f t="shared" si="189"/>
        <v>288.01321367620631</v>
      </c>
      <c r="DU62" s="107">
        <f t="shared" si="189"/>
        <v>295.48350078269857</v>
      </c>
      <c r="DV62" s="106">
        <f t="shared" si="189"/>
        <v>295.48350078269857</v>
      </c>
      <c r="DW62" s="107">
        <f t="shared" si="189"/>
        <v>297.36134491961133</v>
      </c>
      <c r="DX62" s="107">
        <f t="shared" si="189"/>
        <v>299.2902729337934</v>
      </c>
      <c r="DY62" s="107">
        <f t="shared" si="189"/>
        <v>295.69995889887826</v>
      </c>
      <c r="DZ62" s="107">
        <f t="shared" si="189"/>
        <v>291.54766777854456</v>
      </c>
      <c r="EA62" s="106">
        <f t="shared" si="189"/>
        <v>291.54766777854456</v>
      </c>
      <c r="EB62" s="107">
        <f t="shared" si="189"/>
        <v>286.51410497488342</v>
      </c>
      <c r="EC62" s="107">
        <f t="shared" si="189"/>
        <v>285.04952288268595</v>
      </c>
      <c r="ED62" s="107">
        <f t="shared" si="189"/>
        <v>283.4949263165646</v>
      </c>
      <c r="EE62" s="107">
        <f t="shared" si="189"/>
        <v>279.88625705269175</v>
      </c>
      <c r="EF62" s="106">
        <f t="shared" si="189"/>
        <v>279.88625705269175</v>
      </c>
    </row>
    <row r="63" spans="1:136" s="68" customFormat="1" outlineLevel="1">
      <c r="A63" s="68" t="s">
        <v>713</v>
      </c>
      <c r="B63" s="226" t="e">
        <f>-(B60-#REF!)</f>
        <v>#REF!</v>
      </c>
      <c r="C63" s="226">
        <f>-(C60-B60)</f>
        <v>69185</v>
      </c>
      <c r="D63" s="226">
        <f>-(D60-C60)</f>
        <v>-8866</v>
      </c>
      <c r="E63" s="226">
        <f>-(E60-D60)</f>
        <v>-253560</v>
      </c>
      <c r="F63" s="227" t="e">
        <f>-(+F60-#REF!)</f>
        <v>#REF!</v>
      </c>
      <c r="G63" s="226">
        <f>-(G60-F60)</f>
        <v>5858</v>
      </c>
      <c r="H63" s="226">
        <f>-(H60-G60)</f>
        <v>5858</v>
      </c>
      <c r="I63" s="226">
        <f>-(I60-H60)</f>
        <v>-63246</v>
      </c>
      <c r="J63" s="226">
        <f>-(J60-I60)</f>
        <v>23386</v>
      </c>
      <c r="K63" s="227">
        <f>-(+K60-F60)</f>
        <v>-28144</v>
      </c>
      <c r="L63" s="226">
        <f>-(L60-K60)</f>
        <v>-75805</v>
      </c>
      <c r="M63" s="226">
        <f>-(M60-L60)</f>
        <v>-108754</v>
      </c>
      <c r="N63" s="226">
        <f>-(N60-M60)</f>
        <v>-40058</v>
      </c>
      <c r="O63" s="226">
        <f>-(O60-N60)</f>
        <v>-179436</v>
      </c>
      <c r="P63" s="227">
        <f>-(+P60-K60)</f>
        <v>-404053</v>
      </c>
      <c r="Q63" s="226">
        <f>-(Q60-P60)</f>
        <v>-72983</v>
      </c>
      <c r="R63" s="226">
        <f>-(R60-Q60)</f>
        <v>-77943</v>
      </c>
      <c r="S63" s="226">
        <f>-(S60-R60)</f>
        <v>-150744</v>
      </c>
      <c r="T63" s="226">
        <f>-(T60-S60)</f>
        <v>-299649</v>
      </c>
      <c r="U63" s="227">
        <f>-(+U60-P60)</f>
        <v>-601319</v>
      </c>
      <c r="V63" s="226">
        <f>-(V60-U60)</f>
        <v>-181170</v>
      </c>
      <c r="W63" s="226">
        <f>-(W60-V60)</f>
        <v>-362520</v>
      </c>
      <c r="X63" s="226">
        <f>-(X60-W60)</f>
        <v>-248796</v>
      </c>
      <c r="Y63" s="226">
        <f>-(Y60-X60)</f>
        <v>-401954</v>
      </c>
      <c r="Z63" s="227">
        <f>-(+Z60-U60)</f>
        <v>-1194440</v>
      </c>
      <c r="AA63" s="226">
        <f>-(AA60-Z60)</f>
        <v>-177645</v>
      </c>
      <c r="AB63" s="226">
        <f>-(AB60-AA60)</f>
        <v>-402710</v>
      </c>
      <c r="AC63" s="226">
        <f>-(AC60-AB60)</f>
        <v>-637745</v>
      </c>
      <c r="AD63" s="226">
        <f>-(AD60-AC60)</f>
        <v>-669824</v>
      </c>
      <c r="AE63" s="227">
        <f>-(+AE60-Z60)</f>
        <v>-1887924</v>
      </c>
      <c r="AF63" s="226">
        <f>-(AF60-AE60)</f>
        <v>-677747</v>
      </c>
      <c r="AG63" s="226">
        <f>-(AG60-AF60)</f>
        <v>-308508</v>
      </c>
      <c r="AH63" s="226">
        <f>-(AH60-AG60)</f>
        <v>-300138</v>
      </c>
      <c r="AI63" s="226">
        <f>-(AI60-AH60)</f>
        <v>-169735</v>
      </c>
      <c r="AJ63" s="227">
        <f>-(+AJ60-AE60)</f>
        <v>-1456128</v>
      </c>
      <c r="AK63" s="226">
        <f>-(AK60-AJ60)</f>
        <v>-129704</v>
      </c>
      <c r="AL63" s="226">
        <f>-(AL60-AK60)</f>
        <v>-73647</v>
      </c>
      <c r="AM63" s="226">
        <f>-(AM60-AL60)</f>
        <v>-27204</v>
      </c>
      <c r="AN63" s="226">
        <f>-(AN60-AM60)</f>
        <v>-173429</v>
      </c>
      <c r="AO63" s="227">
        <f>-(+AO60-AJ60)</f>
        <v>-403984</v>
      </c>
      <c r="AP63" s="226">
        <f>-(AP60-AO60)</f>
        <v>-157549</v>
      </c>
      <c r="AQ63" s="226">
        <f>-(AQ60-AP60)</f>
        <v>63883</v>
      </c>
      <c r="AR63" s="226">
        <f>-(AR60-AQ60)</f>
        <v>69670</v>
      </c>
      <c r="AS63" s="226">
        <f>-(AS60-AR60)</f>
        <v>532414</v>
      </c>
      <c r="AT63" s="227">
        <f>-(+AT60-AO60)</f>
        <v>508418</v>
      </c>
      <c r="AU63" s="226">
        <f>-(AU60-AT60)</f>
        <v>191911</v>
      </c>
      <c r="AV63" s="226">
        <f>-(AV60-AU60)</f>
        <v>-37274</v>
      </c>
      <c r="AW63" s="226">
        <f>-(AW60-AV60)</f>
        <v>-72488</v>
      </c>
      <c r="AX63" s="226">
        <f>-(AX60-AW60)</f>
        <v>196143</v>
      </c>
      <c r="AY63" s="227">
        <f>-(+AY60-AT60)</f>
        <v>278292</v>
      </c>
      <c r="AZ63" s="226">
        <f>-(AZ60-AY60)</f>
        <v>239643</v>
      </c>
      <c r="BA63" s="226">
        <f>-(BA60-AZ60)</f>
        <v>29925</v>
      </c>
      <c r="BB63" s="226">
        <f>-(BB60-BA60)</f>
        <v>277513</v>
      </c>
      <c r="BC63" s="226">
        <f>-(BC60-BB60)</f>
        <v>145291</v>
      </c>
      <c r="BD63" s="227">
        <f>-(+BD60-AY60)</f>
        <v>692372</v>
      </c>
      <c r="BE63" s="226">
        <f>-(BE60-BD60)</f>
        <v>433260</v>
      </c>
      <c r="BF63" s="226">
        <f>-(BF60-BE60)</f>
        <v>339699</v>
      </c>
      <c r="BG63" s="226">
        <f>-(BG60-BF60)</f>
        <v>131145</v>
      </c>
      <c r="BH63" s="226">
        <f>-(BH60-BG60)</f>
        <v>179590</v>
      </c>
      <c r="BI63" s="227">
        <f>-(+BI60-BD60)</f>
        <v>1083694</v>
      </c>
      <c r="BJ63" s="226">
        <f>-(BJ60-BI60)</f>
        <v>-87384</v>
      </c>
      <c r="BK63" s="226">
        <f>-(BK60-BJ60)</f>
        <v>353500</v>
      </c>
      <c r="BL63" s="226">
        <f>-(BL60-BK60)</f>
        <v>13674</v>
      </c>
      <c r="BM63" s="226">
        <f>-(BM60-BL60)</f>
        <v>186710</v>
      </c>
      <c r="BN63" s="227">
        <f>-(+BN60-BI60)</f>
        <v>466500</v>
      </c>
      <c r="BO63" s="226">
        <f>-(BO60-BN60)</f>
        <v>117961</v>
      </c>
      <c r="BP63" s="226">
        <f>-(BP60-BO60)</f>
        <v>322629</v>
      </c>
      <c r="BQ63" s="226">
        <f>-(BQ60-BP60)</f>
        <v>240109</v>
      </c>
      <c r="BR63" s="226">
        <f>-(BR60-BQ60)</f>
        <v>31859</v>
      </c>
      <c r="BS63" s="227">
        <f>-(+BS60-BN60)</f>
        <v>712558</v>
      </c>
      <c r="BT63" s="226">
        <f>-(BT60-BS60)</f>
        <v>396455</v>
      </c>
      <c r="BU63" s="226">
        <f>-(BU60-BT60)</f>
        <v>129242</v>
      </c>
      <c r="BV63" s="226">
        <f>-(BV60-BU60)</f>
        <v>16438</v>
      </c>
      <c r="BW63" s="226">
        <f>-(BW60-BV60)</f>
        <v>176283</v>
      </c>
      <c r="BX63" s="227">
        <f>-(+BX60-BS60)</f>
        <v>718418</v>
      </c>
      <c r="BY63" s="226">
        <f>-(BY60-BX60)</f>
        <v>-20647</v>
      </c>
      <c r="BZ63" s="226">
        <f>-(BZ60-BY60)</f>
        <v>18276</v>
      </c>
      <c r="CA63" s="226">
        <f>-(CA60-BZ60)</f>
        <v>1220</v>
      </c>
      <c r="CB63" s="226">
        <f>-(CB60-CA60)</f>
        <v>-119507</v>
      </c>
      <c r="CC63" s="227">
        <f>-(+CC60-BX60)</f>
        <v>-120658</v>
      </c>
      <c r="CD63" s="226">
        <f>-(CD60-CC60)</f>
        <v>5130</v>
      </c>
      <c r="CE63" s="226">
        <f>-(CE60-CD60)</f>
        <v>-120126</v>
      </c>
      <c r="CF63" s="226">
        <f>-(CF60-CE60)</f>
        <v>117633</v>
      </c>
      <c r="CG63" s="226">
        <f>-(CG60-CF60)</f>
        <v>3283</v>
      </c>
      <c r="CH63" s="227">
        <f>-(+CH60-CC60)</f>
        <v>5920</v>
      </c>
      <c r="CI63" s="226">
        <f>-(CI60-CH60)</f>
        <v>-65677</v>
      </c>
      <c r="CJ63" s="226">
        <f>-(CJ60-CI60)</f>
        <v>-32168</v>
      </c>
      <c r="CK63" s="226">
        <f>-(CK60-CJ60)</f>
        <v>-100141</v>
      </c>
      <c r="CL63" s="226">
        <f>-(CL60-CK60)</f>
        <v>-72104</v>
      </c>
      <c r="CM63" s="227">
        <f>-(+CM60-CH60)</f>
        <v>-270090</v>
      </c>
      <c r="CN63" s="226">
        <f>-(CN60-CM60)</f>
        <v>-68646</v>
      </c>
      <c r="CO63" s="226">
        <f>-(CO60-CN60)</f>
        <v>-97694</v>
      </c>
      <c r="CP63" s="226">
        <f>-(CP60-CO60)</f>
        <v>-211370</v>
      </c>
      <c r="CQ63" s="226">
        <f>-(CQ60-CP60)</f>
        <v>2346</v>
      </c>
      <c r="CR63" s="227">
        <f>-(+CR60-CM60)</f>
        <v>-375364</v>
      </c>
      <c r="CS63" s="226">
        <f>-(CS60-CR60)</f>
        <v>42955</v>
      </c>
      <c r="CT63" s="226">
        <f>-(CT60-CS60)</f>
        <v>-294235</v>
      </c>
      <c r="CU63" s="226">
        <f>-(CU60-CT60)</f>
        <v>-238606</v>
      </c>
      <c r="CV63" s="226">
        <f>-(CV60-CU60)</f>
        <v>-255818</v>
      </c>
      <c r="CW63" s="227">
        <f>-(+CW60-CR60)</f>
        <v>-745704</v>
      </c>
      <c r="CX63" s="226">
        <f>-(CX60-CW60)</f>
        <v>-180403</v>
      </c>
      <c r="CY63" s="226">
        <f>-(CY60-CX60)</f>
        <v>-357942</v>
      </c>
      <c r="CZ63" s="226">
        <f>-(CZ60-CY60)</f>
        <v>-321709</v>
      </c>
      <c r="DA63" s="226">
        <f>-(DA60-CZ60)</f>
        <v>-461933</v>
      </c>
      <c r="DB63" s="227">
        <f>-(+DB60-CW60)</f>
        <v>-1321987</v>
      </c>
      <c r="DC63" s="226">
        <f>-(DC60-DB60)</f>
        <v>-115482</v>
      </c>
      <c r="DD63" s="226">
        <f>-(DD60-DC60)</f>
        <v>-397318</v>
      </c>
      <c r="DE63" s="226">
        <f>-(DE60-DD60)</f>
        <v>-79549</v>
      </c>
      <c r="DF63" s="226">
        <f>-(DF60-DE60)</f>
        <v>-745322</v>
      </c>
      <c r="DG63" s="227">
        <f>-(+DG60-DB60)</f>
        <v>-1337671</v>
      </c>
      <c r="DH63" s="226">
        <f>-(DH60-DG60)</f>
        <v>-197063</v>
      </c>
      <c r="DI63" s="226">
        <f>-(DI60-DH60)</f>
        <v>-213034</v>
      </c>
      <c r="DJ63" s="226">
        <f>-(DJ60-DI60)</f>
        <v>-269378.52434596792</v>
      </c>
      <c r="DK63" s="226">
        <f>-(DK60-DJ60)</f>
        <v>-270745.76032623183</v>
      </c>
      <c r="DL63" s="227">
        <f>-(+DL60-DG60)</f>
        <v>-950221.28467219975</v>
      </c>
      <c r="DM63" s="226">
        <f>-(DM60-DL60)</f>
        <v>-124768.152351561</v>
      </c>
      <c r="DN63" s="226">
        <f>-(DN60-DM60)</f>
        <v>-608379.12977995723</v>
      </c>
      <c r="DO63" s="226">
        <f>-(DO60-DN60)</f>
        <v>-628985.87355745956</v>
      </c>
      <c r="DP63" s="226">
        <f>-(DP60-DO60)</f>
        <v>-484836.60223261267</v>
      </c>
      <c r="DQ63" s="227">
        <f>-(+DQ60-DL60)</f>
        <v>-1846969.7579215905</v>
      </c>
      <c r="DR63" s="226">
        <f>-(DR60-DQ60)</f>
        <v>-602562.1584417969</v>
      </c>
      <c r="DS63" s="226">
        <f>-(DS60-DR60)</f>
        <v>-470567.26338716038</v>
      </c>
      <c r="DT63" s="226">
        <f>-(DT60-DS60)</f>
        <v>-389370.04378388822</v>
      </c>
      <c r="DU63" s="226">
        <f>-(DU60-DT60)</f>
        <v>-509085.00080347061</v>
      </c>
      <c r="DV63" s="227">
        <f>-(+DV60-DQ60)</f>
        <v>-1971584.4664163161</v>
      </c>
      <c r="DW63" s="226">
        <f>-(DW60-DV60)</f>
        <v>-289242.68695391156</v>
      </c>
      <c r="DX63" s="226">
        <f>-(DX60-DW60)</f>
        <v>-292365.46181915887</v>
      </c>
      <c r="DY63" s="226">
        <f>-(DY60-DX60)</f>
        <v>-76191.096969049424</v>
      </c>
      <c r="DZ63" s="226">
        <f>-(DZ60-DY60)</f>
        <v>-53564.965311337262</v>
      </c>
      <c r="EA63" s="227">
        <f>-(+EA60-DV60)</f>
        <v>-711364.21105345711</v>
      </c>
      <c r="EB63" s="226">
        <f>-(EB60-EA60)</f>
        <v>2534.094255566597</v>
      </c>
      <c r="EC63" s="226">
        <f>-(EC60-EB60)</f>
        <v>-137611.15621908754</v>
      </c>
      <c r="ED63" s="226">
        <f>-(ED60-EC60)</f>
        <v>-129829.3337673191</v>
      </c>
      <c r="EE63" s="226">
        <f>-(EE60-ED60)</f>
        <v>-44465.955212974921</v>
      </c>
      <c r="EF63" s="227">
        <f>-(+EF60-EA60)</f>
        <v>-309372.35094381496</v>
      </c>
    </row>
    <row r="64" spans="1:136" outlineLevel="1">
      <c r="A64" s="66" t="s">
        <v>711</v>
      </c>
      <c r="B64" s="107">
        <f t="shared" ref="B64:AB64" si="190">B9</f>
        <v>0</v>
      </c>
      <c r="C64" s="107">
        <f t="shared" si="190"/>
        <v>0</v>
      </c>
      <c r="D64" s="107">
        <f t="shared" si="190"/>
        <v>0</v>
      </c>
      <c r="E64" s="107">
        <f t="shared" si="190"/>
        <v>0</v>
      </c>
      <c r="F64" s="106">
        <f t="shared" si="190"/>
        <v>0</v>
      </c>
      <c r="G64" s="107">
        <f t="shared" si="190"/>
        <v>0</v>
      </c>
      <c r="H64" s="107">
        <f t="shared" si="190"/>
        <v>0</v>
      </c>
      <c r="I64" s="107">
        <f t="shared" si="190"/>
        <v>0</v>
      </c>
      <c r="J64" s="107">
        <f t="shared" si="190"/>
        <v>0</v>
      </c>
      <c r="K64" s="106">
        <f t="shared" si="190"/>
        <v>0</v>
      </c>
      <c r="L64" s="107">
        <f t="shared" si="190"/>
        <v>0</v>
      </c>
      <c r="M64" s="107">
        <f t="shared" si="190"/>
        <v>0</v>
      </c>
      <c r="N64" s="107">
        <f t="shared" si="190"/>
        <v>0</v>
      </c>
      <c r="O64" s="107">
        <f t="shared" si="190"/>
        <v>0</v>
      </c>
      <c r="P64" s="106">
        <f t="shared" si="190"/>
        <v>0</v>
      </c>
      <c r="Q64" s="107">
        <f t="shared" si="190"/>
        <v>0</v>
      </c>
      <c r="R64" s="107">
        <f t="shared" si="190"/>
        <v>0</v>
      </c>
      <c r="S64" s="107">
        <f t="shared" si="190"/>
        <v>0</v>
      </c>
      <c r="T64" s="107">
        <f t="shared" si="190"/>
        <v>537685</v>
      </c>
      <c r="U64" s="106">
        <f t="shared" si="190"/>
        <v>537685</v>
      </c>
      <c r="V64" s="107">
        <f t="shared" si="190"/>
        <v>569933</v>
      </c>
      <c r="W64" s="107">
        <f t="shared" si="190"/>
        <v>556043</v>
      </c>
      <c r="X64" s="107">
        <f t="shared" si="190"/>
        <v>489197</v>
      </c>
      <c r="Y64" s="107">
        <f t="shared" si="190"/>
        <v>572963</v>
      </c>
      <c r="Z64" s="106">
        <f t="shared" si="190"/>
        <v>572963</v>
      </c>
      <c r="AA64" s="107">
        <f t="shared" si="190"/>
        <v>831092</v>
      </c>
      <c r="AB64" s="107">
        <f t="shared" si="190"/>
        <v>885556</v>
      </c>
      <c r="AC64" s="107">
        <f t="shared" ref="AC64:AH64" si="191">AC9</f>
        <v>765348</v>
      </c>
      <c r="AD64" s="107">
        <f t="shared" si="191"/>
        <v>1317621</v>
      </c>
      <c r="AE64" s="106">
        <f t="shared" si="191"/>
        <v>1317621</v>
      </c>
      <c r="AF64" s="107">
        <f t="shared" si="191"/>
        <v>1439667</v>
      </c>
      <c r="AG64" s="107">
        <f t="shared" si="191"/>
        <v>1428778</v>
      </c>
      <c r="AH64" s="107">
        <f t="shared" si="191"/>
        <v>1426802</v>
      </c>
      <c r="AI64" s="107">
        <f t="shared" ref="AI64:AO64" si="192">AI9</f>
        <v>1846372</v>
      </c>
      <c r="AJ64" s="106">
        <f t="shared" si="192"/>
        <v>1846372</v>
      </c>
      <c r="AK64" s="107">
        <f t="shared" si="192"/>
        <v>1741147</v>
      </c>
      <c r="AL64" s="107">
        <f t="shared" si="192"/>
        <v>1551166</v>
      </c>
      <c r="AM64" s="107">
        <f t="shared" si="192"/>
        <v>1604872</v>
      </c>
      <c r="AN64" s="107">
        <f t="shared" si="192"/>
        <v>1663146</v>
      </c>
      <c r="AO64" s="106">
        <f t="shared" si="192"/>
        <v>1663146</v>
      </c>
      <c r="AP64" s="107">
        <f t="shared" ref="AP64:BV64" si="193">AP9</f>
        <v>1748878</v>
      </c>
      <c r="AQ64" s="107">
        <f t="shared" si="193"/>
        <v>1931387</v>
      </c>
      <c r="AR64" s="107">
        <f t="shared" si="193"/>
        <v>2075907</v>
      </c>
      <c r="AS64" s="107">
        <f>AS9</f>
        <v>1911404</v>
      </c>
      <c r="AT64" s="106">
        <f t="shared" si="193"/>
        <v>1911404</v>
      </c>
      <c r="AU64" s="107">
        <f>AU9</f>
        <v>1786248</v>
      </c>
      <c r="AV64" s="107">
        <f>AV9</f>
        <v>1932176</v>
      </c>
      <c r="AW64" s="107">
        <f>AW9</f>
        <v>1745546</v>
      </c>
      <c r="AX64" s="107">
        <f>AX9</f>
        <v>1654683</v>
      </c>
      <c r="AY64" s="106">
        <f t="shared" si="193"/>
        <v>1654683</v>
      </c>
      <c r="AZ64" s="107">
        <f t="shared" si="193"/>
        <v>1300719</v>
      </c>
      <c r="BA64" s="107">
        <f t="shared" si="193"/>
        <v>1652546</v>
      </c>
      <c r="BB64" s="107">
        <f t="shared" si="193"/>
        <v>1405542</v>
      </c>
      <c r="BC64" s="107">
        <f t="shared" ref="BC64:BH64" si="194">BC9</f>
        <v>1636784</v>
      </c>
      <c r="BD64" s="106">
        <f t="shared" si="194"/>
        <v>1636784</v>
      </c>
      <c r="BE64" s="107">
        <f t="shared" si="194"/>
        <v>1381832</v>
      </c>
      <c r="BF64" s="107">
        <f t="shared" si="194"/>
        <v>1515432</v>
      </c>
      <c r="BG64" s="107">
        <f t="shared" si="194"/>
        <v>1341530</v>
      </c>
      <c r="BH64" s="107">
        <f t="shared" si="194"/>
        <v>1157511</v>
      </c>
      <c r="BI64" s="106">
        <f t="shared" si="193"/>
        <v>1157511</v>
      </c>
      <c r="BJ64" s="107">
        <f t="shared" si="193"/>
        <v>1377289</v>
      </c>
      <c r="BK64" s="107">
        <f t="shared" si="193"/>
        <v>1139154</v>
      </c>
      <c r="BL64" s="107">
        <f t="shared" si="193"/>
        <v>1098911</v>
      </c>
      <c r="BM64" s="107">
        <f>BM9</f>
        <v>1286697</v>
      </c>
      <c r="BN64" s="106">
        <f t="shared" si="193"/>
        <v>1286697</v>
      </c>
      <c r="BO64" s="107">
        <f>BO9</f>
        <v>1319140</v>
      </c>
      <c r="BP64" s="107">
        <f>BP9</f>
        <v>946290</v>
      </c>
      <c r="BQ64" s="107">
        <f>BQ9</f>
        <v>947733</v>
      </c>
      <c r="BR64" s="107">
        <f>BR9</f>
        <v>1399075</v>
      </c>
      <c r="BS64" s="106">
        <f t="shared" si="193"/>
        <v>1399075</v>
      </c>
      <c r="BT64" s="107">
        <f t="shared" si="193"/>
        <v>1377969</v>
      </c>
      <c r="BU64" s="107">
        <f t="shared" si="193"/>
        <v>1150196</v>
      </c>
      <c r="BV64" s="107">
        <f t="shared" si="193"/>
        <v>1159383</v>
      </c>
      <c r="BW64" s="107">
        <f t="shared" ref="BW64:CG64" si="195">BW9</f>
        <v>1056548</v>
      </c>
      <c r="BX64" s="106">
        <f t="shared" si="195"/>
        <v>1056548</v>
      </c>
      <c r="BY64" s="107">
        <f t="shared" si="195"/>
        <v>1061417</v>
      </c>
      <c r="BZ64" s="107">
        <f t="shared" si="195"/>
        <v>916544</v>
      </c>
      <c r="CA64" s="107">
        <f t="shared" si="195"/>
        <v>932038</v>
      </c>
      <c r="CB64" s="107">
        <f t="shared" si="195"/>
        <v>1102434</v>
      </c>
      <c r="CC64" s="106">
        <f t="shared" si="195"/>
        <v>1102434</v>
      </c>
      <c r="CD64" s="107">
        <f t="shared" si="195"/>
        <v>933180</v>
      </c>
      <c r="CE64" s="107">
        <f t="shared" si="195"/>
        <v>933180</v>
      </c>
      <c r="CF64" s="107">
        <f t="shared" si="195"/>
        <v>845884</v>
      </c>
      <c r="CG64" s="107">
        <f t="shared" si="195"/>
        <v>829785</v>
      </c>
      <c r="CH64" s="106">
        <f t="shared" ref="CH64:DG64" si="196">CH9</f>
        <v>829785</v>
      </c>
      <c r="CI64" s="107">
        <f t="shared" si="196"/>
        <v>705213</v>
      </c>
      <c r="CJ64" s="107">
        <f t="shared" si="196"/>
        <v>815309</v>
      </c>
      <c r="CK64" s="107">
        <f t="shared" ref="CK64:CQ64" si="197">CK9</f>
        <v>824961</v>
      </c>
      <c r="CL64" s="107">
        <f t="shared" si="197"/>
        <v>906394</v>
      </c>
      <c r="CM64" s="106">
        <f t="shared" si="197"/>
        <v>906394</v>
      </c>
      <c r="CN64" s="107">
        <f t="shared" si="197"/>
        <v>899144</v>
      </c>
      <c r="CO64" s="107">
        <f t="shared" si="197"/>
        <v>765406</v>
      </c>
      <c r="CP64" s="107">
        <f t="shared" si="197"/>
        <v>843303</v>
      </c>
      <c r="CQ64" s="107">
        <f t="shared" si="197"/>
        <v>831133</v>
      </c>
      <c r="CR64" s="106">
        <f t="shared" si="196"/>
        <v>831133</v>
      </c>
      <c r="CS64" s="107">
        <f t="shared" si="196"/>
        <v>811131</v>
      </c>
      <c r="CT64" s="107">
        <f t="shared" si="196"/>
        <v>790261</v>
      </c>
      <c r="CU64" s="107">
        <f>CU9</f>
        <v>917701</v>
      </c>
      <c r="CV64" s="107">
        <f>CV9</f>
        <v>1146874</v>
      </c>
      <c r="CW64" s="106">
        <f t="shared" si="196"/>
        <v>1146874</v>
      </c>
      <c r="CX64" s="107">
        <f>CX9</f>
        <v>941999</v>
      </c>
      <c r="CY64" s="107">
        <f t="shared" ref="CY64" si="198">CY9</f>
        <v>966961</v>
      </c>
      <c r="CZ64" s="107">
        <f>CZ9</f>
        <v>931511</v>
      </c>
      <c r="DA64" s="107">
        <f>DA9</f>
        <v>1190631</v>
      </c>
      <c r="DB64" s="106">
        <f t="shared" si="196"/>
        <v>1190631</v>
      </c>
      <c r="DC64" s="107">
        <f>DC9</f>
        <v>978133</v>
      </c>
      <c r="DD64" s="107">
        <f t="shared" ref="DD64" si="199">DD9</f>
        <v>1018027</v>
      </c>
      <c r="DE64" s="107">
        <f>DE9</f>
        <v>1146549</v>
      </c>
      <c r="DF64" s="107">
        <f>DF9</f>
        <v>1505006</v>
      </c>
      <c r="DG64" s="106">
        <f t="shared" si="196"/>
        <v>1505006</v>
      </c>
      <c r="DH64" s="107">
        <f>DH9</f>
        <v>1349794</v>
      </c>
      <c r="DI64" s="107">
        <f t="shared" ref="DI64" si="200">DI9</f>
        <v>1563246</v>
      </c>
      <c r="DJ64" s="107">
        <f>DJ9</f>
        <v>2213106.3386919633</v>
      </c>
      <c r="DK64" s="107">
        <f>DK9</f>
        <v>2582543.8149472736</v>
      </c>
      <c r="DL64" s="106">
        <f>DL9</f>
        <v>2582543.8149472736</v>
      </c>
      <c r="DM64" s="107">
        <f t="shared" ref="DM64:EF64" si="201">DM9</f>
        <v>2802252.125140938</v>
      </c>
      <c r="DN64" s="107">
        <f t="shared" si="201"/>
        <v>3217250.1472232747</v>
      </c>
      <c r="DO64" s="107">
        <f t="shared" si="201"/>
        <v>3702444.4730236838</v>
      </c>
      <c r="DP64" s="107">
        <f t="shared" si="201"/>
        <v>4055304.4913538592</v>
      </c>
      <c r="DQ64" s="106">
        <f t="shared" si="201"/>
        <v>4055304.4913538592</v>
      </c>
      <c r="DR64" s="107">
        <f t="shared" si="201"/>
        <v>4530118.9110955708</v>
      </c>
      <c r="DS64" s="107">
        <f t="shared" si="201"/>
        <v>4879522.1452832967</v>
      </c>
      <c r="DT64" s="107">
        <f t="shared" si="201"/>
        <v>5151248.8375550387</v>
      </c>
      <c r="DU64" s="107">
        <f t="shared" si="201"/>
        <v>5542555.9511282165</v>
      </c>
      <c r="DV64" s="106">
        <f t="shared" si="201"/>
        <v>5542555.9511282165</v>
      </c>
      <c r="DW64" s="107">
        <f t="shared" si="201"/>
        <v>5724483.4292811379</v>
      </c>
      <c r="DX64" s="107">
        <f t="shared" si="201"/>
        <v>5910315.6064459682</v>
      </c>
      <c r="DY64" s="107">
        <f t="shared" si="201"/>
        <v>5881704.9101794194</v>
      </c>
      <c r="DZ64" s="107">
        <f t="shared" si="201"/>
        <v>5828029.3286435399</v>
      </c>
      <c r="EA64" s="106">
        <f t="shared" si="201"/>
        <v>5828029.3286435399</v>
      </c>
      <c r="EB64" s="107">
        <f t="shared" si="201"/>
        <v>5725470.4989853371</v>
      </c>
      <c r="EC64" s="107">
        <f t="shared" si="201"/>
        <v>5762939.0704506673</v>
      </c>
      <c r="ED64" s="107">
        <f t="shared" si="201"/>
        <v>5793644.9955381639</v>
      </c>
      <c r="EE64" s="107">
        <f t="shared" si="201"/>
        <v>5736866.5180746783</v>
      </c>
      <c r="EF64" s="106">
        <f t="shared" si="201"/>
        <v>5736866.5180746783</v>
      </c>
    </row>
    <row r="65" spans="1:136" outlineLevel="1">
      <c r="A65" s="216" t="s">
        <v>593</v>
      </c>
      <c r="B65" s="228" t="e">
        <f t="shared" ref="B65:AI65" si="202">365/(B$61/B64)</f>
        <v>#REF!</v>
      </c>
      <c r="C65" s="228" t="e">
        <f t="shared" si="202"/>
        <v>#REF!</v>
      </c>
      <c r="D65" s="228" t="e">
        <f t="shared" si="202"/>
        <v>#REF!</v>
      </c>
      <c r="E65" s="228" t="e">
        <f t="shared" si="202"/>
        <v>#DIV/0!</v>
      </c>
      <c r="F65" s="229" t="e">
        <f t="shared" si="202"/>
        <v>#DIV/0!</v>
      </c>
      <c r="G65" s="228" t="e">
        <f t="shared" si="202"/>
        <v>#DIV/0!</v>
      </c>
      <c r="H65" s="228" t="e">
        <f t="shared" si="202"/>
        <v>#DIV/0!</v>
      </c>
      <c r="I65" s="228" t="e">
        <f t="shared" si="202"/>
        <v>#DIV/0!</v>
      </c>
      <c r="J65" s="228" t="e">
        <f t="shared" si="202"/>
        <v>#DIV/0!</v>
      </c>
      <c r="K65" s="229" t="e">
        <f t="shared" si="202"/>
        <v>#DIV/0!</v>
      </c>
      <c r="L65" s="228" t="e">
        <f t="shared" si="202"/>
        <v>#DIV/0!</v>
      </c>
      <c r="M65" s="228" t="e">
        <f t="shared" si="202"/>
        <v>#DIV/0!</v>
      </c>
      <c r="N65" s="228" t="e">
        <f t="shared" si="202"/>
        <v>#DIV/0!</v>
      </c>
      <c r="O65" s="228" t="e">
        <f t="shared" si="202"/>
        <v>#DIV/0!</v>
      </c>
      <c r="P65" s="229" t="e">
        <f t="shared" si="202"/>
        <v>#DIV/0!</v>
      </c>
      <c r="Q65" s="228" t="e">
        <f t="shared" si="202"/>
        <v>#DIV/0!</v>
      </c>
      <c r="R65" s="228" t="e">
        <f t="shared" si="202"/>
        <v>#DIV/0!</v>
      </c>
      <c r="S65" s="228" t="e">
        <f t="shared" si="202"/>
        <v>#DIV/0!</v>
      </c>
      <c r="T65" s="228">
        <f t="shared" si="202"/>
        <v>98.199247049969998</v>
      </c>
      <c r="U65" s="229">
        <f t="shared" si="202"/>
        <v>98.199247049969998</v>
      </c>
      <c r="V65" s="228">
        <f t="shared" si="202"/>
        <v>91.969666558055565</v>
      </c>
      <c r="W65" s="228">
        <f t="shared" si="202"/>
        <v>75.575258855220554</v>
      </c>
      <c r="X65" s="228">
        <f t="shared" si="202"/>
        <v>59.097974065415997</v>
      </c>
      <c r="Y65" s="228">
        <f t="shared" si="202"/>
        <v>73.445418184257377</v>
      </c>
      <c r="Z65" s="229">
        <f>365/(Z$61/Z64)</f>
        <v>73.445418184257377</v>
      </c>
      <c r="AA65" s="228">
        <f t="shared" si="202"/>
        <v>102.20467310186824</v>
      </c>
      <c r="AB65" s="228">
        <f t="shared" si="202"/>
        <v>106.0191638002092</v>
      </c>
      <c r="AC65" s="228">
        <f t="shared" si="202"/>
        <v>76.599437333421079</v>
      </c>
      <c r="AD65" s="228">
        <f t="shared" si="202"/>
        <v>117.6497685199342</v>
      </c>
      <c r="AE65" s="229">
        <f>365/(AE$61/AE64)</f>
        <v>117.6497685199342</v>
      </c>
      <c r="AF65" s="228">
        <f t="shared" si="202"/>
        <v>115.51975468797505</v>
      </c>
      <c r="AG65" s="228">
        <f t="shared" si="202"/>
        <v>106.88628779267457</v>
      </c>
      <c r="AH65" s="228">
        <f t="shared" si="202"/>
        <v>110.97637731514777</v>
      </c>
      <c r="AI65" s="228">
        <f t="shared" si="202"/>
        <v>137.81417372428609</v>
      </c>
      <c r="AJ65" s="229">
        <f t="shared" ref="AJ65:AO65" si="203">365/(AJ$61/AJ64)</f>
        <v>137.81417372428609</v>
      </c>
      <c r="AK65" s="228">
        <f t="shared" si="203"/>
        <v>128.17013213337611</v>
      </c>
      <c r="AL65" s="228">
        <f t="shared" si="203"/>
        <v>110.24852943696442</v>
      </c>
      <c r="AM65" s="228">
        <f t="shared" si="203"/>
        <v>105.87947114695507</v>
      </c>
      <c r="AN65" s="228">
        <f t="shared" si="203"/>
        <v>99.0811145363283</v>
      </c>
      <c r="AO65" s="229">
        <f t="shared" si="203"/>
        <v>99.0811145363283</v>
      </c>
      <c r="AP65" s="228">
        <f t="shared" ref="AP65:BM65" si="204">365/(AP$61/AP64)</f>
        <v>99.859562523015683</v>
      </c>
      <c r="AQ65" s="228">
        <f t="shared" si="204"/>
        <v>110.23965633742998</v>
      </c>
      <c r="AR65" s="228">
        <f t="shared" si="204"/>
        <v>122.50484348623654</v>
      </c>
      <c r="AS65" s="228">
        <f t="shared" si="204"/>
        <v>123.85979389203609</v>
      </c>
      <c r="AT65" s="229">
        <f t="shared" si="204"/>
        <v>123.85979389203609</v>
      </c>
      <c r="AU65" s="228">
        <f>365/(AU$61/AU64)</f>
        <v>121.1475543257101</v>
      </c>
      <c r="AV65" s="228">
        <f>365/(AV$61/AV64)</f>
        <v>131.35823569315062</v>
      </c>
      <c r="AW65" s="228">
        <f>365/(AW$61/AW64)</f>
        <v>117.69483747426274</v>
      </c>
      <c r="AX65" s="228">
        <f>365/(AX$61/AX64)</f>
        <v>112.42973970761085</v>
      </c>
      <c r="AY65" s="229">
        <f t="shared" si="204"/>
        <v>112.42973970761085</v>
      </c>
      <c r="AZ65" s="228">
        <f t="shared" si="204"/>
        <v>86.764138757581037</v>
      </c>
      <c r="BA65" s="228">
        <f t="shared" si="204"/>
        <v>110.51721155794675</v>
      </c>
      <c r="BB65" s="228">
        <f t="shared" si="204"/>
        <v>90.368109474066927</v>
      </c>
      <c r="BC65" s="228">
        <f t="shared" si="204"/>
        <v>102.68711862489853</v>
      </c>
      <c r="BD65" s="229">
        <f>365/(BD$61/BD64)</f>
        <v>102.68711862489853</v>
      </c>
      <c r="BE65" s="228">
        <f>365/(BE$61/BE64)</f>
        <v>91.077791295030011</v>
      </c>
      <c r="BF65" s="228">
        <f>365/(BF$61/BF64)</f>
        <v>104.02840930569512</v>
      </c>
      <c r="BG65" s="228">
        <f>365/(BG$61/BG64)</f>
        <v>101.14469276835673</v>
      </c>
      <c r="BH65" s="228">
        <f>365/(BH$61/BH64)</f>
        <v>97.321724902699358</v>
      </c>
      <c r="BI65" s="229">
        <f t="shared" si="204"/>
        <v>97.321724902699358</v>
      </c>
      <c r="BJ65" s="228">
        <f t="shared" si="204"/>
        <v>122.11563042610105</v>
      </c>
      <c r="BK65" s="228">
        <f t="shared" si="204"/>
        <v>114.85862532479048</v>
      </c>
      <c r="BL65" s="228">
        <f t="shared" si="204"/>
        <v>121.28526957152792</v>
      </c>
      <c r="BM65" s="228">
        <f t="shared" si="204"/>
        <v>146.97929308893347</v>
      </c>
      <c r="BN65" s="229">
        <f t="shared" ref="BN65:CC65" si="205">365/(BN$61/BN64)</f>
        <v>146.97929308893347</v>
      </c>
      <c r="BO65" s="228">
        <f t="shared" si="205"/>
        <v>156.47952821441464</v>
      </c>
      <c r="BP65" s="228">
        <f t="shared" si="205"/>
        <v>114.7222386450523</v>
      </c>
      <c r="BQ65" s="228">
        <f t="shared" si="205"/>
        <v>124.26566079948732</v>
      </c>
      <c r="BR65" s="228">
        <f t="shared" si="205"/>
        <v>190.9896419662125</v>
      </c>
      <c r="BS65" s="229">
        <f t="shared" si="205"/>
        <v>190.9896419662125</v>
      </c>
      <c r="BT65" s="228">
        <f>365/(BT$61/BT64)</f>
        <v>206.80824463765492</v>
      </c>
      <c r="BU65" s="228">
        <f>365/(BU$61/BU64)</f>
        <v>168.14464824406397</v>
      </c>
      <c r="BV65" s="228">
        <f>365/(BV$61/BV64)</f>
        <v>161.2840357407197</v>
      </c>
      <c r="BW65" s="228">
        <f>365/(BW$61/BW64)</f>
        <v>133.33993279064725</v>
      </c>
      <c r="BX65" s="229">
        <f t="shared" si="205"/>
        <v>133.33993279064725</v>
      </c>
      <c r="BY65" s="228">
        <f t="shared" si="205"/>
        <v>118.55702403871018</v>
      </c>
      <c r="BZ65" s="228">
        <f t="shared" si="205"/>
        <v>93.843551517116822</v>
      </c>
      <c r="CA65" s="228">
        <f t="shared" si="205"/>
        <v>90.122642649070627</v>
      </c>
      <c r="CB65" s="228">
        <f t="shared" si="205"/>
        <v>102.36747113772358</v>
      </c>
      <c r="CC65" s="229">
        <f t="shared" si="205"/>
        <v>102.36747113772358</v>
      </c>
      <c r="CD65" s="228">
        <f>365/(CD$61/CD64)</f>
        <v>88.028067821350504</v>
      </c>
      <c r="CE65" s="228">
        <f>365/(CE$61/CE64)</f>
        <v>90.311062253813304</v>
      </c>
      <c r="CF65" s="228">
        <f>365/(CF$61/CF64)</f>
        <v>77.18166664666802</v>
      </c>
      <c r="CG65" s="228">
        <f>365/(CG$61/CG64)</f>
        <v>79.209101612680513</v>
      </c>
      <c r="CH65" s="229">
        <f t="shared" ref="CH65:DG65" si="206">365/(CH$61/CH64)</f>
        <v>79.209101612680513</v>
      </c>
      <c r="CI65" s="228">
        <f t="shared" si="206"/>
        <v>63.357977617199317</v>
      </c>
      <c r="CJ65" s="228">
        <f t="shared" si="206"/>
        <v>67.543263735495543</v>
      </c>
      <c r="CK65" s="228">
        <f t="shared" si="206"/>
        <v>66.459804401949356</v>
      </c>
      <c r="CL65" s="228">
        <f t="shared" si="206"/>
        <v>69.055592211208364</v>
      </c>
      <c r="CM65" s="229">
        <f t="shared" si="206"/>
        <v>69.055592211208364</v>
      </c>
      <c r="CN65" s="228">
        <f>365/(CN$61/CN64)</f>
        <v>65.392251820322699</v>
      </c>
      <c r="CO65" s="228">
        <f>365/(CO$61/CO64)</f>
        <v>54.92102232103101</v>
      </c>
      <c r="CP65" s="228">
        <f>365/(CP$61/CP64)</f>
        <v>57.446544703536055</v>
      </c>
      <c r="CQ65" s="228">
        <f>365/(CQ$61/CQ64)</f>
        <v>56.050814857652803</v>
      </c>
      <c r="CR65" s="229">
        <f t="shared" si="206"/>
        <v>56.050814857652803</v>
      </c>
      <c r="CS65" s="228">
        <f t="shared" si="206"/>
        <v>54.183579123909311</v>
      </c>
      <c r="CT65" s="228">
        <f t="shared" si="206"/>
        <v>49.331835538693845</v>
      </c>
      <c r="CU65" s="228">
        <f t="shared" si="206"/>
        <v>56.644531286992354</v>
      </c>
      <c r="CV65" s="228">
        <f t="shared" si="206"/>
        <v>66.948530546568776</v>
      </c>
      <c r="CW65" s="229">
        <f t="shared" si="206"/>
        <v>66.948530546568776</v>
      </c>
      <c r="CX65" s="228">
        <f>365/(CX$61/CX64)</f>
        <v>52.555787944820871</v>
      </c>
      <c r="CY65" s="228">
        <f t="shared" ref="CY65:DA65" si="207">365/(CY$61/CY64)</f>
        <v>52.163980977790963</v>
      </c>
      <c r="CZ65" s="228">
        <f t="shared" si="207"/>
        <v>47.422330936656607</v>
      </c>
      <c r="DA65" s="228">
        <f t="shared" si="207"/>
        <v>54.55653234221576</v>
      </c>
      <c r="DB65" s="229">
        <f t="shared" si="206"/>
        <v>54.55653234221576</v>
      </c>
      <c r="DC65" s="228">
        <f>365/(DC$61/DC64)</f>
        <v>42.77965929269125</v>
      </c>
      <c r="DD65" s="228">
        <f t="shared" ref="DD65:DF65" si="208">365/(DD$61/DD64)</f>
        <v>43.228101441239751</v>
      </c>
      <c r="DE65" s="228">
        <f t="shared" si="208"/>
        <v>48.13227916811249</v>
      </c>
      <c r="DF65" s="228">
        <f t="shared" si="208"/>
        <v>58.293366558094057</v>
      </c>
      <c r="DG65" s="229">
        <f t="shared" si="206"/>
        <v>58.293366558094057</v>
      </c>
      <c r="DH65" s="228">
        <f>365/(DH$61/DH64)</f>
        <v>51.883537144856831</v>
      </c>
      <c r="DI65" s="228">
        <f t="shared" ref="DI65" si="209">365/(DI$61/DI64)</f>
        <v>57.812797253444032</v>
      </c>
      <c r="DJ65" s="228">
        <f>365/(DJ$61/DJ64)</f>
        <v>77.301282574584889</v>
      </c>
      <c r="DK65" s="228">
        <f>365/(DK$61/DK64)</f>
        <v>92.19157386945821</v>
      </c>
      <c r="DL65" s="229">
        <f>365/(DL$61/DL64)</f>
        <v>92.19157386945821</v>
      </c>
      <c r="DM65" s="228">
        <f t="shared" ref="DM65:EF65" si="210">365/(DM$61/DM64)</f>
        <v>92.618331228157743</v>
      </c>
      <c r="DN65" s="228">
        <f t="shared" si="210"/>
        <v>101.84531181286224</v>
      </c>
      <c r="DO65" s="228">
        <f t="shared" si="210"/>
        <v>113.63730606571019</v>
      </c>
      <c r="DP65" s="228">
        <f t="shared" si="210"/>
        <v>121.08486136223027</v>
      </c>
      <c r="DQ65" s="229">
        <f t="shared" si="210"/>
        <v>121.08486136223027</v>
      </c>
      <c r="DR65" s="228">
        <f t="shared" si="210"/>
        <v>131.79507959788759</v>
      </c>
      <c r="DS65" s="228">
        <f t="shared" si="210"/>
        <v>138.59106435600199</v>
      </c>
      <c r="DT65" s="228">
        <f t="shared" si="210"/>
        <v>143.01321367620628</v>
      </c>
      <c r="DU65" s="228">
        <f t="shared" si="210"/>
        <v>150.4835007826986</v>
      </c>
      <c r="DV65" s="229">
        <f t="shared" si="210"/>
        <v>150.4835007826986</v>
      </c>
      <c r="DW65" s="228">
        <f t="shared" si="210"/>
        <v>152.36134491961135</v>
      </c>
      <c r="DX65" s="228">
        <f t="shared" si="210"/>
        <v>154.2902729337934</v>
      </c>
      <c r="DY65" s="228">
        <f t="shared" si="210"/>
        <v>150.69995889887821</v>
      </c>
      <c r="DZ65" s="228">
        <f t="shared" si="210"/>
        <v>146.54766777854456</v>
      </c>
      <c r="EA65" s="229">
        <f t="shared" si="210"/>
        <v>146.54766777854456</v>
      </c>
      <c r="EB65" s="228">
        <f t="shared" si="210"/>
        <v>141.51410497488345</v>
      </c>
      <c r="EC65" s="228">
        <f t="shared" si="210"/>
        <v>140.04952288268589</v>
      </c>
      <c r="ED65" s="228">
        <f t="shared" si="210"/>
        <v>138.49492631656463</v>
      </c>
      <c r="EE65" s="228">
        <f t="shared" si="210"/>
        <v>134.88625705269178</v>
      </c>
      <c r="EF65" s="229">
        <f t="shared" si="210"/>
        <v>134.88625705269178</v>
      </c>
    </row>
    <row r="66" spans="1:136" outlineLevel="1">
      <c r="A66" s="66" t="s">
        <v>712</v>
      </c>
      <c r="B66" s="107">
        <f t="shared" ref="B66:AB66" si="211">B10</f>
        <v>239835</v>
      </c>
      <c r="C66" s="107">
        <f t="shared" si="211"/>
        <v>170650</v>
      </c>
      <c r="D66" s="107">
        <f t="shared" si="211"/>
        <v>179516</v>
      </c>
      <c r="E66" s="107">
        <f t="shared" si="211"/>
        <v>433076</v>
      </c>
      <c r="F66" s="106">
        <f t="shared" si="211"/>
        <v>433076</v>
      </c>
      <c r="G66" s="107">
        <f t="shared" si="211"/>
        <v>427218</v>
      </c>
      <c r="H66" s="107">
        <f t="shared" si="211"/>
        <v>421360</v>
      </c>
      <c r="I66" s="107">
        <f t="shared" si="211"/>
        <v>484606</v>
      </c>
      <c r="J66" s="107">
        <f t="shared" si="211"/>
        <v>461220</v>
      </c>
      <c r="K66" s="106">
        <f t="shared" si="211"/>
        <v>461220</v>
      </c>
      <c r="L66" s="107">
        <f t="shared" si="211"/>
        <v>537025</v>
      </c>
      <c r="M66" s="107">
        <f t="shared" si="211"/>
        <v>645779</v>
      </c>
      <c r="N66" s="107">
        <f t="shared" si="211"/>
        <v>685837</v>
      </c>
      <c r="O66" s="107">
        <f t="shared" si="211"/>
        <v>865273</v>
      </c>
      <c r="P66" s="106">
        <f t="shared" si="211"/>
        <v>865273</v>
      </c>
      <c r="Q66" s="107">
        <f t="shared" si="211"/>
        <v>938256</v>
      </c>
      <c r="R66" s="107">
        <f t="shared" si="211"/>
        <v>1016199</v>
      </c>
      <c r="S66" s="107">
        <f t="shared" si="211"/>
        <v>1166943</v>
      </c>
      <c r="T66" s="107">
        <f t="shared" si="211"/>
        <v>928907</v>
      </c>
      <c r="U66" s="106">
        <f t="shared" si="211"/>
        <v>928907</v>
      </c>
      <c r="V66" s="107">
        <f t="shared" si="211"/>
        <v>1077829</v>
      </c>
      <c r="W66" s="107">
        <f t="shared" si="211"/>
        <v>1454239</v>
      </c>
      <c r="X66" s="107">
        <f t="shared" si="211"/>
        <v>1769881</v>
      </c>
      <c r="Y66" s="107">
        <f t="shared" si="211"/>
        <v>2088069</v>
      </c>
      <c r="Z66" s="106">
        <f t="shared" si="211"/>
        <v>2088069</v>
      </c>
      <c r="AA66" s="107">
        <f t="shared" si="211"/>
        <v>2007585</v>
      </c>
      <c r="AB66" s="107">
        <f t="shared" si="211"/>
        <v>2355831</v>
      </c>
      <c r="AC66" s="107">
        <f t="shared" ref="AC66:AH66" si="212">AC10</f>
        <v>3113784</v>
      </c>
      <c r="AD66" s="107">
        <f t="shared" si="212"/>
        <v>3231335</v>
      </c>
      <c r="AE66" s="106">
        <f t="shared" si="212"/>
        <v>3231335</v>
      </c>
      <c r="AF66" s="107">
        <f t="shared" si="212"/>
        <v>3787036</v>
      </c>
      <c r="AG66" s="107">
        <f t="shared" si="212"/>
        <v>4106433</v>
      </c>
      <c r="AH66" s="107">
        <f t="shared" si="212"/>
        <v>4408547</v>
      </c>
      <c r="AI66" s="107">
        <f t="shared" ref="AI66:AO66" si="213">AI10</f>
        <v>4158712</v>
      </c>
      <c r="AJ66" s="106">
        <f t="shared" si="213"/>
        <v>4158712</v>
      </c>
      <c r="AK66" s="107">
        <f t="shared" si="213"/>
        <v>4393641</v>
      </c>
      <c r="AL66" s="107">
        <f t="shared" si="213"/>
        <v>4657269</v>
      </c>
      <c r="AM66" s="107">
        <f t="shared" si="213"/>
        <v>4630767</v>
      </c>
      <c r="AN66" s="107">
        <f t="shared" si="213"/>
        <v>4745922</v>
      </c>
      <c r="AO66" s="106">
        <f t="shared" si="213"/>
        <v>4745922</v>
      </c>
      <c r="AP66" s="107">
        <f t="shared" ref="AP66:CF66" si="214">AP10</f>
        <v>4817739</v>
      </c>
      <c r="AQ66" s="107">
        <f t="shared" si="214"/>
        <v>4571347</v>
      </c>
      <c r="AR66" s="107">
        <f t="shared" si="214"/>
        <v>4357157</v>
      </c>
      <c r="AS66" s="107">
        <f>AS10</f>
        <v>3989246</v>
      </c>
      <c r="AT66" s="106">
        <f t="shared" si="214"/>
        <v>3989246</v>
      </c>
      <c r="AU66" s="107">
        <f>AU10</f>
        <v>3922491</v>
      </c>
      <c r="AV66" s="107">
        <f>AV10</f>
        <v>3813837</v>
      </c>
      <c r="AW66" s="107">
        <f>AW10</f>
        <v>4072955</v>
      </c>
      <c r="AX66" s="107">
        <f>AX10</f>
        <v>3967675</v>
      </c>
      <c r="AY66" s="106">
        <f t="shared" si="214"/>
        <v>3967675</v>
      </c>
      <c r="AZ66" s="107">
        <f t="shared" si="214"/>
        <v>4081996</v>
      </c>
      <c r="BA66" s="107">
        <f t="shared" si="214"/>
        <v>3700244</v>
      </c>
      <c r="BB66" s="107">
        <f t="shared" si="214"/>
        <v>3669735</v>
      </c>
      <c r="BC66" s="107">
        <f t="shared" ref="BC66:BH66" si="215">BC10</f>
        <v>3293202</v>
      </c>
      <c r="BD66" s="106">
        <f t="shared" si="215"/>
        <v>3293202</v>
      </c>
      <c r="BE66" s="107">
        <f t="shared" si="215"/>
        <v>3114894</v>
      </c>
      <c r="BF66" s="107">
        <f t="shared" si="215"/>
        <v>2641595</v>
      </c>
      <c r="BG66" s="107">
        <f t="shared" si="215"/>
        <v>2684352</v>
      </c>
      <c r="BH66" s="107">
        <f t="shared" si="215"/>
        <v>2688781</v>
      </c>
      <c r="BI66" s="106">
        <f t="shared" si="214"/>
        <v>2688781</v>
      </c>
      <c r="BJ66" s="107">
        <f t="shared" si="214"/>
        <v>2556387</v>
      </c>
      <c r="BK66" s="107">
        <f t="shared" si="214"/>
        <v>2441022</v>
      </c>
      <c r="BL66" s="107">
        <f t="shared" si="214"/>
        <v>2467591</v>
      </c>
      <c r="BM66" s="107">
        <f>BM10</f>
        <v>2093095</v>
      </c>
      <c r="BN66" s="106">
        <f t="shared" si="214"/>
        <v>2093095</v>
      </c>
      <c r="BO66" s="107">
        <f>BO10</f>
        <v>1942691</v>
      </c>
      <c r="BP66" s="107">
        <f>BP10</f>
        <v>1992912</v>
      </c>
      <c r="BQ66" s="107">
        <f>BQ10</f>
        <v>1751360</v>
      </c>
      <c r="BR66" s="107">
        <f>BR10</f>
        <v>1268159</v>
      </c>
      <c r="BS66" s="106">
        <f t="shared" si="214"/>
        <v>1268159</v>
      </c>
      <c r="BT66" s="107">
        <f t="shared" si="214"/>
        <v>892810</v>
      </c>
      <c r="BU66" s="107">
        <f t="shared" si="214"/>
        <v>991341</v>
      </c>
      <c r="BV66" s="107">
        <f t="shared" si="214"/>
        <v>965716</v>
      </c>
      <c r="BW66" s="107">
        <f>BW10</f>
        <v>892268</v>
      </c>
      <c r="BX66" s="106">
        <f t="shared" si="214"/>
        <v>892268</v>
      </c>
      <c r="BY66" s="107">
        <f>BY10</f>
        <v>908046</v>
      </c>
      <c r="BZ66" s="107">
        <f>BZ10</f>
        <v>1034643</v>
      </c>
      <c r="CA66" s="107">
        <f>CA10</f>
        <v>1017929</v>
      </c>
      <c r="CB66" s="107">
        <f>CB10</f>
        <v>967040</v>
      </c>
      <c r="CC66" s="106">
        <f t="shared" si="214"/>
        <v>967040</v>
      </c>
      <c r="CD66" s="107">
        <f t="shared" si="214"/>
        <v>1131164</v>
      </c>
      <c r="CE66" s="107">
        <f t="shared" si="214"/>
        <v>1251290</v>
      </c>
      <c r="CF66" s="107">
        <f t="shared" si="214"/>
        <v>1220953</v>
      </c>
      <c r="CG66" s="107">
        <f t="shared" ref="CG66:CX66" si="216">CG10</f>
        <v>1233769</v>
      </c>
      <c r="CH66" s="106">
        <f t="shared" si="216"/>
        <v>1233769</v>
      </c>
      <c r="CI66" s="107">
        <f t="shared" si="216"/>
        <v>1424018</v>
      </c>
      <c r="CJ66" s="107">
        <f t="shared" si="216"/>
        <v>1346090</v>
      </c>
      <c r="CK66" s="107">
        <f t="shared" si="216"/>
        <v>1436579</v>
      </c>
      <c r="CL66" s="107">
        <f t="shared" si="216"/>
        <v>1427250</v>
      </c>
      <c r="CM66" s="106">
        <f t="shared" si="216"/>
        <v>1427250</v>
      </c>
      <c r="CN66" s="107">
        <f t="shared" si="216"/>
        <v>1503146</v>
      </c>
      <c r="CO66" s="107">
        <f t="shared" si="216"/>
        <v>1734578</v>
      </c>
      <c r="CP66" s="107">
        <f t="shared" si="216"/>
        <v>1868051</v>
      </c>
      <c r="CQ66" s="107">
        <f t="shared" si="216"/>
        <v>1877875</v>
      </c>
      <c r="CR66" s="106">
        <f t="shared" si="216"/>
        <v>1877875</v>
      </c>
      <c r="CS66" s="107">
        <f t="shared" si="216"/>
        <v>1854922</v>
      </c>
      <c r="CT66" s="107">
        <f t="shared" si="216"/>
        <v>2170027</v>
      </c>
      <c r="CU66" s="107">
        <f t="shared" si="216"/>
        <v>2281193</v>
      </c>
      <c r="CV66" s="107">
        <f t="shared" si="216"/>
        <v>2307838</v>
      </c>
      <c r="CW66" s="106">
        <f t="shared" si="216"/>
        <v>2307838</v>
      </c>
      <c r="CX66" s="107">
        <f t="shared" si="216"/>
        <v>2693116</v>
      </c>
      <c r="CY66" s="107">
        <f t="shared" ref="CY66:DA66" si="217">CY10</f>
        <v>3026096</v>
      </c>
      <c r="CZ66" s="107">
        <f t="shared" si="217"/>
        <v>3383255</v>
      </c>
      <c r="DA66" s="107">
        <f t="shared" si="217"/>
        <v>3586068</v>
      </c>
      <c r="DB66" s="106">
        <f>DB10</f>
        <v>3586068</v>
      </c>
      <c r="DC66" s="107">
        <f t="shared" ref="DC66:DF66" si="218">DC10</f>
        <v>3914048</v>
      </c>
      <c r="DD66" s="107">
        <f t="shared" si="218"/>
        <v>4271472</v>
      </c>
      <c r="DE66" s="107">
        <f t="shared" si="218"/>
        <v>4222499</v>
      </c>
      <c r="DF66" s="107">
        <f t="shared" si="218"/>
        <v>4609364</v>
      </c>
      <c r="DG66" s="106">
        <f>DG10</f>
        <v>4609364</v>
      </c>
      <c r="DH66" s="107">
        <f t="shared" ref="DH66:DI66" si="219">DH10</f>
        <v>4961639</v>
      </c>
      <c r="DI66" s="107">
        <f t="shared" si="219"/>
        <v>4961221</v>
      </c>
      <c r="DJ66" s="107">
        <f>DJ67*DJ61/365</f>
        <v>4580739.185654005</v>
      </c>
      <c r="DK66" s="107">
        <f>DK67*DK61/365</f>
        <v>4482047.4697249262</v>
      </c>
      <c r="DL66" s="106">
        <f>DL10</f>
        <v>4482047.4697249262</v>
      </c>
      <c r="DM66" s="107">
        <f>DM67*DM61/365</f>
        <v>4387107.3118828228</v>
      </c>
      <c r="DN66" s="107">
        <f>DN67*DN61/365</f>
        <v>4580488.4195804438</v>
      </c>
      <c r="DO66" s="107">
        <f>DO67*DO61/365</f>
        <v>4724279.9673374938</v>
      </c>
      <c r="DP66" s="107">
        <f>DP67*DP61/365</f>
        <v>4856256.551239931</v>
      </c>
      <c r="DQ66" s="106">
        <f>DQ10</f>
        <v>4856256.551239931</v>
      </c>
      <c r="DR66" s="107">
        <f>DR67*DR61/365</f>
        <v>4984004.2899400163</v>
      </c>
      <c r="DS66" s="107">
        <f>DS67*DS61/365</f>
        <v>5105168.3191394499</v>
      </c>
      <c r="DT66" s="107">
        <f>DT67*DT61/365</f>
        <v>5222811.670651596</v>
      </c>
      <c r="DU66" s="107">
        <f>DU67*DU61/365</f>
        <v>5340589.5578818899</v>
      </c>
      <c r="DV66" s="106">
        <f>DV10</f>
        <v>5340589.5578818899</v>
      </c>
      <c r="DW66" s="107">
        <f>DW67*DW61/365</f>
        <v>5447904.76668288</v>
      </c>
      <c r="DX66" s="107">
        <f>DX67*DX61/365</f>
        <v>5554438.0513372086</v>
      </c>
      <c r="DY66" s="107">
        <f>DY67*DY61/365</f>
        <v>5659239.8445728058</v>
      </c>
      <c r="DZ66" s="107">
        <f>DZ67*DZ61/365</f>
        <v>5766480.3914200244</v>
      </c>
      <c r="EA66" s="106">
        <f>EA10</f>
        <v>5766480.3914200244</v>
      </c>
      <c r="EB66" s="107">
        <f>EB67*EB61/365</f>
        <v>5866505.1268226607</v>
      </c>
      <c r="EC66" s="107">
        <f>EC67*EC61/365</f>
        <v>5966647.7115764162</v>
      </c>
      <c r="ED66" s="107">
        <f>ED67*ED61/365</f>
        <v>6065771.1202562395</v>
      </c>
      <c r="EE66" s="107">
        <f>EE67*EE61/365</f>
        <v>6167015.5529327011</v>
      </c>
      <c r="EF66" s="106">
        <f>EF10</f>
        <v>6167015.5529327011</v>
      </c>
    </row>
    <row r="67" spans="1:136" outlineLevel="1">
      <c r="A67" s="216" t="s">
        <v>593</v>
      </c>
      <c r="B67" s="228" t="e">
        <f t="shared" ref="B67:AI67" si="220">365/(B$61/B66)</f>
        <v>#REF!</v>
      </c>
      <c r="C67" s="228" t="e">
        <f t="shared" si="220"/>
        <v>#REF!</v>
      </c>
      <c r="D67" s="228" t="e">
        <f t="shared" si="220"/>
        <v>#REF!</v>
      </c>
      <c r="E67" s="228">
        <f t="shared" si="220"/>
        <v>301.41416414173676</v>
      </c>
      <c r="F67" s="229">
        <f t="shared" si="220"/>
        <v>301.41416414173676</v>
      </c>
      <c r="G67" s="228">
        <f t="shared" si="220"/>
        <v>266.56826284402376</v>
      </c>
      <c r="H67" s="228">
        <f t="shared" si="220"/>
        <v>248.8333036711052</v>
      </c>
      <c r="I67" s="228">
        <f t="shared" si="220"/>
        <v>236.37390069102287</v>
      </c>
      <c r="J67" s="228">
        <f t="shared" si="220"/>
        <v>244.38671521148351</v>
      </c>
      <c r="K67" s="229">
        <f t="shared" si="220"/>
        <v>244.38671521148351</v>
      </c>
      <c r="L67" s="228">
        <f t="shared" si="220"/>
        <v>261.42606310050303</v>
      </c>
      <c r="M67" s="228">
        <f t="shared" si="220"/>
        <v>271.21551401761621</v>
      </c>
      <c r="N67" s="228">
        <f t="shared" si="220"/>
        <v>294.87107588323914</v>
      </c>
      <c r="O67" s="228">
        <f t="shared" si="220"/>
        <v>282.82441001503565</v>
      </c>
      <c r="P67" s="229">
        <f t="shared" si="220"/>
        <v>282.82441001503565</v>
      </c>
      <c r="Q67" s="228">
        <f t="shared" si="220"/>
        <v>291.93204630834896</v>
      </c>
      <c r="R67" s="228">
        <f t="shared" si="220"/>
        <v>289.23611593068239</v>
      </c>
      <c r="S67" s="228">
        <f t="shared" si="220"/>
        <v>290.85998254570484</v>
      </c>
      <c r="T67" s="228">
        <f t="shared" si="220"/>
        <v>169.6494564279206</v>
      </c>
      <c r="U67" s="229">
        <f t="shared" si="220"/>
        <v>169.6494564279206</v>
      </c>
      <c r="V67" s="228">
        <f t="shared" si="220"/>
        <v>173.92846832277212</v>
      </c>
      <c r="W67" s="228">
        <f t="shared" si="220"/>
        <v>197.65465775552806</v>
      </c>
      <c r="X67" s="228">
        <f t="shared" si="220"/>
        <v>213.81239344655125</v>
      </c>
      <c r="Y67" s="228">
        <f t="shared" si="220"/>
        <v>267.65969338785243</v>
      </c>
      <c r="Z67" s="229">
        <f>365/(Z$61/Z66)</f>
        <v>267.65969338785243</v>
      </c>
      <c r="AA67" s="228">
        <f t="shared" si="220"/>
        <v>246.88550563501289</v>
      </c>
      <c r="AB67" s="228">
        <f t="shared" si="220"/>
        <v>282.04115005105336</v>
      </c>
      <c r="AC67" s="228">
        <f t="shared" si="220"/>
        <v>311.6413740910138</v>
      </c>
      <c r="AD67" s="228">
        <f t="shared" si="220"/>
        <v>288.52440478738691</v>
      </c>
      <c r="AE67" s="229">
        <f>365/(AE$61/AE66)</f>
        <v>288.52440478738691</v>
      </c>
      <c r="AF67" s="228">
        <f t="shared" si="220"/>
        <v>303.87406929139189</v>
      </c>
      <c r="AG67" s="228">
        <f t="shared" si="220"/>
        <v>307.2005444088137</v>
      </c>
      <c r="AH67" s="228">
        <f t="shared" si="220"/>
        <v>342.89591357705046</v>
      </c>
      <c r="AI67" s="228">
        <f t="shared" si="220"/>
        <v>310.40844317248809</v>
      </c>
      <c r="AJ67" s="229">
        <f t="shared" ref="AJ67:AO67" si="221">365/(AJ$61/AJ66)</f>
        <v>310.40844317248809</v>
      </c>
      <c r="AK67" s="228">
        <f t="shared" si="221"/>
        <v>323.42676839842864</v>
      </c>
      <c r="AL67" s="228">
        <f t="shared" si="221"/>
        <v>331.01361069180336</v>
      </c>
      <c r="AM67" s="228">
        <f t="shared" si="221"/>
        <v>305.50920008871213</v>
      </c>
      <c r="AN67" s="228">
        <f t="shared" si="221"/>
        <v>282.73599627602158</v>
      </c>
      <c r="AO67" s="229">
        <f t="shared" si="221"/>
        <v>282.73599627602158</v>
      </c>
      <c r="AP67" s="228">
        <f t="shared" ref="AP67:BW67" si="222">365/(AP$61/AP66)</f>
        <v>275.08911936113958</v>
      </c>
      <c r="AQ67" s="228">
        <f t="shared" si="222"/>
        <v>260.92322371391208</v>
      </c>
      <c r="AR67" s="228">
        <f t="shared" si="222"/>
        <v>257.1275285116144</v>
      </c>
      <c r="AS67" s="228">
        <f t="shared" si="222"/>
        <v>258.50484112444542</v>
      </c>
      <c r="AT67" s="229">
        <f t="shared" si="222"/>
        <v>258.50484112444542</v>
      </c>
      <c r="AU67" s="228">
        <f>365/(AU$61/AU66)</f>
        <v>266.03259542606008</v>
      </c>
      <c r="AV67" s="228">
        <f>365/(AV$61/AV66)</f>
        <v>259.28222871066532</v>
      </c>
      <c r="AW67" s="228">
        <f>365/(AW$61/AW66)</f>
        <v>274.6222538764294</v>
      </c>
      <c r="AX67" s="228">
        <f>365/(AX$61/AX66)</f>
        <v>269.58920076799899</v>
      </c>
      <c r="AY67" s="229">
        <f t="shared" si="222"/>
        <v>269.58920076799899</v>
      </c>
      <c r="AZ67" s="228">
        <f t="shared" si="222"/>
        <v>272.28853222862955</v>
      </c>
      <c r="BA67" s="228">
        <f t="shared" si="222"/>
        <v>247.46097776644228</v>
      </c>
      <c r="BB67" s="228">
        <f t="shared" si="222"/>
        <v>235.94244371268519</v>
      </c>
      <c r="BC67" s="228">
        <f t="shared" si="222"/>
        <v>206.60601791669094</v>
      </c>
      <c r="BD67" s="229">
        <f>365/(BD$61/BD66)</f>
        <v>206.60601791669094</v>
      </c>
      <c r="BE67" s="228">
        <f>365/(BE$61/BE66)</f>
        <v>205.30546813081563</v>
      </c>
      <c r="BF67" s="228">
        <f>365/(BF$61/BF66)</f>
        <v>181.33504233768176</v>
      </c>
      <c r="BG67" s="228">
        <f>365/(BG$61/BG66)</f>
        <v>202.3867959137134</v>
      </c>
      <c r="BH67" s="228">
        <f>365/(BH$61/BH66)</f>
        <v>226.06852531475283</v>
      </c>
      <c r="BI67" s="229">
        <f t="shared" si="222"/>
        <v>226.06852531475283</v>
      </c>
      <c r="BJ67" s="228">
        <f t="shared" si="222"/>
        <v>226.65890028751349</v>
      </c>
      <c r="BK67" s="228">
        <f t="shared" si="222"/>
        <v>246.12337867186591</v>
      </c>
      <c r="BL67" s="228">
        <f t="shared" si="222"/>
        <v>272.34456623627949</v>
      </c>
      <c r="BM67" s="228">
        <f t="shared" si="222"/>
        <v>239.09407068484748</v>
      </c>
      <c r="BN67" s="229">
        <f>365/(BN$61/BN66)</f>
        <v>239.09407068484748</v>
      </c>
      <c r="BO67" s="228">
        <f>365/(BO$61/BO66)</f>
        <v>230.44663276558171</v>
      </c>
      <c r="BP67" s="228">
        <f>365/(BP$61/BP66)</f>
        <v>241.6080969497601</v>
      </c>
      <c r="BQ67" s="228">
        <f>365/(BQ$61/BQ66)</f>
        <v>229.63630864155843</v>
      </c>
      <c r="BR67" s="228">
        <f>365/(BR$61/BR66)</f>
        <v>173.11811973355975</v>
      </c>
      <c r="BS67" s="229">
        <f t="shared" si="222"/>
        <v>173.11811973355975</v>
      </c>
      <c r="BT67" s="228">
        <f t="shared" si="222"/>
        <v>133.99464639258554</v>
      </c>
      <c r="BU67" s="228">
        <f t="shared" si="222"/>
        <v>144.92198176216803</v>
      </c>
      <c r="BV67" s="228">
        <f t="shared" si="222"/>
        <v>134.34264074890254</v>
      </c>
      <c r="BW67" s="228">
        <f t="shared" si="222"/>
        <v>112.60724089321569</v>
      </c>
      <c r="BX67" s="229">
        <f t="shared" ref="BX67:CX67" si="223">365/(BX$61/BX66)</f>
        <v>112.60724089321569</v>
      </c>
      <c r="BY67" s="228">
        <f t="shared" si="223"/>
        <v>101.42595365464716</v>
      </c>
      <c r="BZ67" s="228">
        <f t="shared" si="223"/>
        <v>105.93552919698814</v>
      </c>
      <c r="CA67" s="228">
        <f t="shared" si="223"/>
        <v>98.427801773238656</v>
      </c>
      <c r="CB67" s="228">
        <f t="shared" si="223"/>
        <v>89.795343112625531</v>
      </c>
      <c r="CC67" s="229">
        <f t="shared" si="223"/>
        <v>89.795343112625531</v>
      </c>
      <c r="CD67" s="228">
        <f t="shared" si="223"/>
        <v>106.70415279910641</v>
      </c>
      <c r="CE67" s="228">
        <f t="shared" si="223"/>
        <v>121.09703282064989</v>
      </c>
      <c r="CF67" s="228">
        <f t="shared" si="223"/>
        <v>111.40438575176888</v>
      </c>
      <c r="CG67" s="228">
        <f t="shared" si="223"/>
        <v>117.77235559521468</v>
      </c>
      <c r="CH67" s="229">
        <f t="shared" si="223"/>
        <v>117.77235559521468</v>
      </c>
      <c r="CI67" s="228">
        <f t="shared" si="223"/>
        <v>127.93709215582943</v>
      </c>
      <c r="CJ67" s="228">
        <f t="shared" si="223"/>
        <v>111.51515791155644</v>
      </c>
      <c r="CK67" s="228">
        <f t="shared" si="223"/>
        <v>115.73245201645655</v>
      </c>
      <c r="CL67" s="228">
        <f t="shared" si="223"/>
        <v>108.73813593585918</v>
      </c>
      <c r="CM67" s="229">
        <f t="shared" si="223"/>
        <v>108.73813593585918</v>
      </c>
      <c r="CN67" s="228">
        <f t="shared" si="223"/>
        <v>109.31964374417311</v>
      </c>
      <c r="CO67" s="228">
        <f t="shared" si="223"/>
        <v>124.46309155607524</v>
      </c>
      <c r="CP67" s="228">
        <f t="shared" si="223"/>
        <v>127.25328295996246</v>
      </c>
      <c r="CQ67" s="228">
        <f t="shared" si="223"/>
        <v>126.64209452736779</v>
      </c>
      <c r="CR67" s="229">
        <f t="shared" si="223"/>
        <v>126.64209452736779</v>
      </c>
      <c r="CS67" s="228">
        <f t="shared" si="223"/>
        <v>123.90885437208058</v>
      </c>
      <c r="CT67" s="228">
        <f t="shared" si="223"/>
        <v>135.46336599999898</v>
      </c>
      <c r="CU67" s="228">
        <f t="shared" si="223"/>
        <v>140.80523859096584</v>
      </c>
      <c r="CV67" s="228">
        <f t="shared" si="223"/>
        <v>134.71956190438721</v>
      </c>
      <c r="CW67" s="229">
        <f t="shared" si="223"/>
        <v>134.71956190438721</v>
      </c>
      <c r="CX67" s="228">
        <f t="shared" si="223"/>
        <v>150.25369815339954</v>
      </c>
      <c r="CY67" s="228">
        <f t="shared" ref="CY67:DA67" si="224">365/(CY$61/CY66)</f>
        <v>163.2467226506233</v>
      </c>
      <c r="CZ67" s="228">
        <f t="shared" si="224"/>
        <v>172.23826476885205</v>
      </c>
      <c r="DA67" s="228">
        <f t="shared" si="224"/>
        <v>164.31911719364354</v>
      </c>
      <c r="DB67" s="229">
        <f>365/(DB$61/DB66)</f>
        <v>164.31911719364354</v>
      </c>
      <c r="DC67" s="228">
        <f t="shared" ref="DC67:DF67" si="225">365/(DC$61/DC66)</f>
        <v>171.18494100008857</v>
      </c>
      <c r="DD67" s="228">
        <f t="shared" si="225"/>
        <v>181.37792506428141</v>
      </c>
      <c r="DE67" s="228">
        <f t="shared" si="225"/>
        <v>177.26106834952176</v>
      </c>
      <c r="DF67" s="228">
        <f t="shared" si="225"/>
        <v>178.53440135898637</v>
      </c>
      <c r="DG67" s="229">
        <f>365/(DG$61/DG66)</f>
        <v>178.53440135898637</v>
      </c>
      <c r="DH67" s="228">
        <f t="shared" ref="DH67:DI67" si="226">365/(DH$61/DH66)</f>
        <v>190.71605100916904</v>
      </c>
      <c r="DI67" s="228">
        <f t="shared" si="226"/>
        <v>183.47852084862453</v>
      </c>
      <c r="DJ67" s="230">
        <v>160</v>
      </c>
      <c r="DK67" s="230">
        <v>160</v>
      </c>
      <c r="DL67" s="229">
        <f>365/(DL$61/DL66)</f>
        <v>160</v>
      </c>
      <c r="DM67" s="230">
        <v>145</v>
      </c>
      <c r="DN67" s="230">
        <f>DM67</f>
        <v>145</v>
      </c>
      <c r="DO67" s="230">
        <f>DN67</f>
        <v>145</v>
      </c>
      <c r="DP67" s="230">
        <f>DO67</f>
        <v>145</v>
      </c>
      <c r="DQ67" s="229">
        <f>365/(DQ$61/DQ66)</f>
        <v>145</v>
      </c>
      <c r="DR67" s="230">
        <f>DP67</f>
        <v>145</v>
      </c>
      <c r="DS67" s="230">
        <f>DR67</f>
        <v>145</v>
      </c>
      <c r="DT67" s="230">
        <f>DS67</f>
        <v>145</v>
      </c>
      <c r="DU67" s="230">
        <f>DT67</f>
        <v>145</v>
      </c>
      <c r="DV67" s="229">
        <f>365/(DV$61/DV66)</f>
        <v>145</v>
      </c>
      <c r="DW67" s="230">
        <f>DU67</f>
        <v>145</v>
      </c>
      <c r="DX67" s="230">
        <f>DW67</f>
        <v>145</v>
      </c>
      <c r="DY67" s="230">
        <f>DX67</f>
        <v>145</v>
      </c>
      <c r="DZ67" s="230">
        <f>DY67</f>
        <v>145</v>
      </c>
      <c r="EA67" s="229">
        <f>365/(EA$61/EA66)</f>
        <v>145</v>
      </c>
      <c r="EB67" s="230">
        <f>DZ67</f>
        <v>145</v>
      </c>
      <c r="EC67" s="230">
        <f>EB67</f>
        <v>145</v>
      </c>
      <c r="ED67" s="230">
        <f>EC67</f>
        <v>145</v>
      </c>
      <c r="EE67" s="230">
        <f>ED67</f>
        <v>145</v>
      </c>
      <c r="EF67" s="229">
        <f>365/(EF$61/EF66)</f>
        <v>145</v>
      </c>
    </row>
    <row r="68" spans="1:136" outlineLevel="1">
      <c r="K68" s="112"/>
      <c r="X68" s="110"/>
      <c r="AC68" s="110"/>
      <c r="AH68" s="110"/>
      <c r="CH68" s="67"/>
      <c r="CM68" s="67"/>
      <c r="CR68" s="67"/>
      <c r="CW68" s="67"/>
      <c r="DB68" s="67"/>
      <c r="DG68" s="67"/>
      <c r="DL68" s="67"/>
      <c r="DQ68" s="67"/>
      <c r="DV68" s="67"/>
      <c r="EA68" s="67"/>
      <c r="EF68" s="67"/>
    </row>
    <row r="69" spans="1:136" outlineLevel="1">
      <c r="A69" s="68" t="s">
        <v>82</v>
      </c>
      <c r="B69" s="224">
        <f t="shared" ref="B69:AC69" si="227">B11</f>
        <v>161747</v>
      </c>
      <c r="C69" s="224">
        <f t="shared" si="227"/>
        <v>165865</v>
      </c>
      <c r="D69" s="224">
        <f t="shared" si="227"/>
        <v>191293</v>
      </c>
      <c r="E69" s="224">
        <f t="shared" si="227"/>
        <v>428974</v>
      </c>
      <c r="F69" s="225">
        <f t="shared" si="227"/>
        <v>428974</v>
      </c>
      <c r="G69" s="224">
        <f t="shared" si="227"/>
        <v>422664.5</v>
      </c>
      <c r="H69" s="224">
        <f t="shared" si="227"/>
        <v>416355</v>
      </c>
      <c r="I69" s="224">
        <f t="shared" si="227"/>
        <v>420334</v>
      </c>
      <c r="J69" s="224">
        <f t="shared" si="227"/>
        <v>420914</v>
      </c>
      <c r="K69" s="225">
        <f t="shared" si="227"/>
        <v>420914</v>
      </c>
      <c r="L69" s="224">
        <f t="shared" si="227"/>
        <v>498366</v>
      </c>
      <c r="M69" s="224">
        <f t="shared" si="227"/>
        <v>602768</v>
      </c>
      <c r="N69" s="224">
        <f t="shared" si="227"/>
        <v>694536</v>
      </c>
      <c r="O69" s="224">
        <f t="shared" si="227"/>
        <v>976181</v>
      </c>
      <c r="P69" s="225">
        <f t="shared" si="227"/>
        <v>976181</v>
      </c>
      <c r="Q69" s="224">
        <f t="shared" si="227"/>
        <v>1054929</v>
      </c>
      <c r="R69" s="224">
        <f t="shared" si="227"/>
        <v>1107223</v>
      </c>
      <c r="S69" s="224">
        <f t="shared" si="227"/>
        <v>1315168</v>
      </c>
      <c r="T69" s="224">
        <f t="shared" si="227"/>
        <v>1600296</v>
      </c>
      <c r="U69" s="225">
        <f t="shared" si="227"/>
        <v>1600296</v>
      </c>
      <c r="V69" s="224">
        <f t="shared" si="227"/>
        <v>1493418</v>
      </c>
      <c r="W69" s="224">
        <f t="shared" si="227"/>
        <v>1639469</v>
      </c>
      <c r="X69" s="224">
        <f t="shared" si="227"/>
        <v>2078369</v>
      </c>
      <c r="Y69" s="224">
        <f t="shared" si="227"/>
        <v>2925861</v>
      </c>
      <c r="Z69" s="225">
        <f t="shared" si="227"/>
        <v>2925861</v>
      </c>
      <c r="AA69" s="224">
        <f t="shared" si="227"/>
        <v>3077094</v>
      </c>
      <c r="AB69" s="224">
        <f t="shared" si="227"/>
        <v>2993129</v>
      </c>
      <c r="AC69" s="224">
        <f t="shared" si="227"/>
        <v>3147626</v>
      </c>
      <c r="AD69" s="224">
        <f t="shared" ref="AD69:AJ69" si="228">AD11</f>
        <v>3361755</v>
      </c>
      <c r="AE69" s="225">
        <f t="shared" si="228"/>
        <v>3361755</v>
      </c>
      <c r="AF69" s="224">
        <f t="shared" si="228"/>
        <v>3252784</v>
      </c>
      <c r="AG69" s="224">
        <f t="shared" si="228"/>
        <v>3507131</v>
      </c>
      <c r="AH69" s="224">
        <f t="shared" si="228"/>
        <v>3605562</v>
      </c>
      <c r="AI69" s="224">
        <f t="shared" si="228"/>
        <v>3829315</v>
      </c>
      <c r="AJ69" s="225">
        <f t="shared" si="228"/>
        <v>3829315</v>
      </c>
      <c r="AK69" s="224">
        <f t="shared" ref="AK69:BP69" si="229">AK11</f>
        <v>3937522</v>
      </c>
      <c r="AL69" s="224">
        <f t="shared" si="229"/>
        <v>4002142</v>
      </c>
      <c r="AM69" s="224">
        <f t="shared" si="229"/>
        <v>4321598</v>
      </c>
      <c r="AN69" s="224">
        <f t="shared" si="229"/>
        <v>3924028</v>
      </c>
      <c r="AO69" s="225">
        <f t="shared" si="229"/>
        <v>3924028</v>
      </c>
      <c r="AP69" s="224">
        <f t="shared" si="229"/>
        <v>3786501</v>
      </c>
      <c r="AQ69" s="224">
        <f t="shared" si="229"/>
        <v>3967465</v>
      </c>
      <c r="AR69" s="224">
        <f t="shared" si="229"/>
        <v>4019502</v>
      </c>
      <c r="AS69" s="224">
        <f t="shared" si="229"/>
        <v>3784244</v>
      </c>
      <c r="AT69" s="225">
        <f t="shared" si="229"/>
        <v>3784244</v>
      </c>
      <c r="AU69" s="224">
        <f t="shared" si="229"/>
        <v>3828932</v>
      </c>
      <c r="AV69" s="224">
        <f t="shared" si="229"/>
        <v>4020093</v>
      </c>
      <c r="AW69" s="224">
        <f t="shared" si="229"/>
        <v>4243762</v>
      </c>
      <c r="AX69" s="224">
        <f t="shared" si="229"/>
        <v>4780612</v>
      </c>
      <c r="AY69" s="225">
        <f t="shared" si="229"/>
        <v>4780612</v>
      </c>
      <c r="AZ69" s="224">
        <f t="shared" si="229"/>
        <v>4687658</v>
      </c>
      <c r="BA69" s="224">
        <f t="shared" si="229"/>
        <v>4692966</v>
      </c>
      <c r="BB69" s="224">
        <f t="shared" si="229"/>
        <v>5079653</v>
      </c>
      <c r="BC69" s="224">
        <f t="shared" si="229"/>
        <v>5112949</v>
      </c>
      <c r="BD69" s="225">
        <f t="shared" si="229"/>
        <v>5112949</v>
      </c>
      <c r="BE69" s="224">
        <f t="shared" si="229"/>
        <v>5203216</v>
      </c>
      <c r="BF69" s="224">
        <f t="shared" si="229"/>
        <v>5300504</v>
      </c>
      <c r="BG69" s="224">
        <f t="shared" si="229"/>
        <v>5272654</v>
      </c>
      <c r="BH69" s="224">
        <f t="shared" si="229"/>
        <v>5093614</v>
      </c>
      <c r="BI69" s="225">
        <f t="shared" si="229"/>
        <v>5093614</v>
      </c>
      <c r="BJ69" s="224">
        <f t="shared" si="229"/>
        <v>5040556</v>
      </c>
      <c r="BK69" s="224">
        <f t="shared" si="229"/>
        <v>5275596</v>
      </c>
      <c r="BL69" s="224">
        <f t="shared" si="229"/>
        <v>5333674</v>
      </c>
      <c r="BM69" s="224">
        <f t="shared" si="229"/>
        <v>5071860</v>
      </c>
      <c r="BN69" s="225">
        <f t="shared" si="229"/>
        <v>5071860</v>
      </c>
      <c r="BO69" s="224">
        <f t="shared" si="229"/>
        <v>4996311</v>
      </c>
      <c r="BP69" s="224">
        <f t="shared" si="229"/>
        <v>5109951</v>
      </c>
      <c r="BQ69" s="224">
        <f t="shared" ref="BQ69:CX69" si="230">BQ11</f>
        <v>5072721</v>
      </c>
      <c r="BR69" s="224">
        <f t="shared" si="230"/>
        <v>4749755</v>
      </c>
      <c r="BS69" s="225">
        <f t="shared" si="230"/>
        <v>4749755</v>
      </c>
      <c r="BT69" s="224">
        <f t="shared" si="230"/>
        <v>4569552</v>
      </c>
      <c r="BU69" s="224">
        <f t="shared" si="230"/>
        <v>4683707</v>
      </c>
      <c r="BV69" s="224">
        <f t="shared" si="230"/>
        <v>4685408</v>
      </c>
      <c r="BW69" s="224">
        <f t="shared" si="230"/>
        <v>4716922</v>
      </c>
      <c r="BX69" s="225">
        <f t="shared" si="230"/>
        <v>4716922</v>
      </c>
      <c r="BY69" s="224">
        <f t="shared" si="230"/>
        <v>4788447</v>
      </c>
      <c r="BZ69" s="224">
        <f t="shared" si="230"/>
        <v>4768032</v>
      </c>
      <c r="CA69" s="224">
        <f t="shared" si="230"/>
        <v>4649554</v>
      </c>
      <c r="CB69" s="224">
        <f t="shared" si="230"/>
        <v>4633748</v>
      </c>
      <c r="CC69" s="225">
        <f t="shared" si="230"/>
        <v>4633748</v>
      </c>
      <c r="CD69" s="224">
        <f t="shared" si="230"/>
        <v>4869644</v>
      </c>
      <c r="CE69" s="224">
        <f t="shared" si="230"/>
        <v>5004233</v>
      </c>
      <c r="CF69" s="224">
        <f t="shared" si="230"/>
        <v>3895852</v>
      </c>
      <c r="CG69" s="224">
        <f t="shared" si="230"/>
        <v>4041587</v>
      </c>
      <c r="CH69" s="225">
        <f t="shared" si="230"/>
        <v>4041587</v>
      </c>
      <c r="CI69" s="224">
        <f t="shared" si="230"/>
        <v>4055034</v>
      </c>
      <c r="CJ69" s="224">
        <f t="shared" si="230"/>
        <v>4402802</v>
      </c>
      <c r="CK69" s="224">
        <f t="shared" si="230"/>
        <v>4781690</v>
      </c>
      <c r="CL69" s="224">
        <f t="shared" si="230"/>
        <v>4985284</v>
      </c>
      <c r="CM69" s="225">
        <f t="shared" si="230"/>
        <v>4985284</v>
      </c>
      <c r="CN69" s="224">
        <f t="shared" si="230"/>
        <v>5241849</v>
      </c>
      <c r="CO69" s="224">
        <f t="shared" si="230"/>
        <v>5127490</v>
      </c>
      <c r="CP69" s="224">
        <f t="shared" si="230"/>
        <v>5416782</v>
      </c>
      <c r="CQ69" s="224">
        <f t="shared" si="230"/>
        <v>5552858</v>
      </c>
      <c r="CR69" s="225">
        <f t="shared" si="230"/>
        <v>5552858</v>
      </c>
      <c r="CS69" s="224">
        <f t="shared" si="230"/>
        <v>5516096</v>
      </c>
      <c r="CT69" s="224">
        <f t="shared" si="230"/>
        <v>5479397</v>
      </c>
      <c r="CU69" s="224">
        <f t="shared" si="230"/>
        <v>5414541</v>
      </c>
      <c r="CV69" s="224">
        <f t="shared" si="230"/>
        <v>5356505</v>
      </c>
      <c r="CW69" s="225">
        <f t="shared" si="230"/>
        <v>5356505</v>
      </c>
      <c r="CX69" s="224">
        <f t="shared" si="230"/>
        <v>5114601</v>
      </c>
      <c r="CY69" s="224">
        <f t="shared" ref="CY69:DA69" si="231">CY11</f>
        <v>4935086</v>
      </c>
      <c r="CZ69" s="224">
        <f t="shared" si="231"/>
        <v>5589863</v>
      </c>
      <c r="DA69" s="224">
        <f t="shared" si="231"/>
        <v>6479798</v>
      </c>
      <c r="DB69" s="225">
        <f>DB11</f>
        <v>6479798</v>
      </c>
      <c r="DC69" s="224">
        <f t="shared" ref="DC69:DF69" si="232">DC11</f>
        <v>6831861</v>
      </c>
      <c r="DD69" s="224">
        <f t="shared" si="232"/>
        <v>7356502</v>
      </c>
      <c r="DE69" s="224">
        <f t="shared" si="232"/>
        <v>7601083</v>
      </c>
      <c r="DF69" s="224">
        <f t="shared" si="232"/>
        <v>7830188</v>
      </c>
      <c r="DG69" s="225">
        <f>DG11</f>
        <v>7830188</v>
      </c>
      <c r="DH69" s="224">
        <f t="shared" ref="DH69:DI69" si="233">DH11</f>
        <v>8004783</v>
      </c>
      <c r="DI69" s="224">
        <f t="shared" si="233"/>
        <v>8092376</v>
      </c>
      <c r="DJ69" s="224">
        <f>DJ73+DJ75+DJ77</f>
        <v>7653538.3815283244</v>
      </c>
      <c r="DK69" s="224">
        <f>DK73+DK75+DK77</f>
        <v>7978210.5676797768</v>
      </c>
      <c r="DL69" s="225">
        <f>DL11</f>
        <v>7978210.5676797768</v>
      </c>
      <c r="DM69" s="224">
        <f>DM73+DM75+DM77</f>
        <v>7788957.1609936906</v>
      </c>
      <c r="DN69" s="224">
        <f>DN73+DN75+DN77</f>
        <v>7772275.8915736033</v>
      </c>
      <c r="DO69" s="224">
        <f>DO73+DO75+DO77</f>
        <v>7917522.6120449165</v>
      </c>
      <c r="DP69" s="224">
        <f>DP73+DP75+DP77</f>
        <v>8172373.0414042417</v>
      </c>
      <c r="DQ69" s="225">
        <f>DQ11</f>
        <v>8172373.0414042417</v>
      </c>
      <c r="DR69" s="224">
        <f>DR73+DR75+DR77</f>
        <v>8042169.7638526661</v>
      </c>
      <c r="DS69" s="224">
        <f>DS73+DS75+DS77</f>
        <v>8070535.1548896022</v>
      </c>
      <c r="DT69" s="224">
        <f>DT73+DT75+DT77</f>
        <v>8248890.6256986568</v>
      </c>
      <c r="DU69" s="224">
        <f>DU73+DU75+DU77</f>
        <v>8545271.3984359186</v>
      </c>
      <c r="DV69" s="225">
        <f>DV11</f>
        <v>8545271.3984359186</v>
      </c>
      <c r="DW69" s="224">
        <f>DW73+DW75+DW77</f>
        <v>8415500.1503540538</v>
      </c>
      <c r="DX69" s="224">
        <f>DX73+DX75+DX77</f>
        <v>8448692.4454899877</v>
      </c>
      <c r="DY69" s="224">
        <f>DY73+DY75+DY77</f>
        <v>8624713.6216191519</v>
      </c>
      <c r="DZ69" s="224">
        <f>DZ73+DZ75+DZ77</f>
        <v>8907059.8799034804</v>
      </c>
      <c r="EA69" s="225">
        <f>EA11</f>
        <v>8907059.8799034804</v>
      </c>
      <c r="EB69" s="224">
        <f>EB73+EB75+EB77</f>
        <v>8745324.152847277</v>
      </c>
      <c r="EC69" s="224">
        <f>EC73+EC75+EC77</f>
        <v>8756179.2291174848</v>
      </c>
      <c r="ED69" s="224">
        <f>ED73+ED75+ED77</f>
        <v>8927205.2059217636</v>
      </c>
      <c r="EE69" s="224">
        <f>EE73+EE75+EE77</f>
        <v>9208168.3683059365</v>
      </c>
      <c r="EF69" s="225">
        <f>EF11</f>
        <v>9208168.3683059365</v>
      </c>
    </row>
    <row r="70" spans="1:136" outlineLevel="1">
      <c r="A70" s="66" t="s">
        <v>751</v>
      </c>
      <c r="B70" s="107" t="e">
        <f>'Income Statement'!#REF!+'Income Statement'!B11+'Income Statement'!C11+'Income Statement'!D11</f>
        <v>#REF!</v>
      </c>
      <c r="C70" s="107" t="e">
        <f>'Income Statement'!C11+'Income Statement'!B11+'Income Statement'!#REF!+'Income Statement'!#REF!</f>
        <v>#REF!</v>
      </c>
      <c r="D70" s="107" t="e">
        <f>'Income Statement'!#REF!+'Income Statement'!B11+'Income Statement'!C11+'Income Statement'!D11</f>
        <v>#REF!</v>
      </c>
      <c r="E70" s="107">
        <f>'Income Statement'!B11+'Income Statement'!C11+'Income Statement'!D11+'Income Statement'!E11</f>
        <v>-311874</v>
      </c>
      <c r="F70" s="106">
        <f>'Income Statement'!F11</f>
        <v>-311874</v>
      </c>
      <c r="G70" s="107">
        <f>'Income Statement'!E11+'Income Statement'!G11+'Income Statement'!H11+'Income Statement'!I11</f>
        <v>-404445</v>
      </c>
      <c r="H70" s="107">
        <f>'Income Statement'!H11+'Income Statement'!G11+'Income Statement'!E11+'Income Statement'!D11</f>
        <v>-342162</v>
      </c>
      <c r="I70" s="107">
        <f>'Income Statement'!E11+'Income Statement'!G11+'Income Statement'!H11+'Income Statement'!I11</f>
        <v>-404445</v>
      </c>
      <c r="J70" s="107">
        <f>'Income Statement'!G11+'Income Statement'!H11+'Income Statement'!I11+'Income Statement'!J11</f>
        <v>-370248</v>
      </c>
      <c r="K70" s="106">
        <f>'Income Statement'!K11</f>
        <v>-370248</v>
      </c>
      <c r="L70" s="107">
        <f>'Income Statement'!L11+'Income Statement'!J11+'Income Statement'!I11+'Income Statement'!H11</f>
        <v>-410913</v>
      </c>
      <c r="M70" s="107">
        <f>'Income Statement'!M11+'Income Statement'!L11+'Income Statement'!J11+'Income Statement'!I11</f>
        <v>-485308</v>
      </c>
      <c r="N70" s="107">
        <f>'Income Statement'!J11+'Income Statement'!L11+'Income Statement'!M11+'Income Statement'!N11</f>
        <v>-486891</v>
      </c>
      <c r="O70" s="107">
        <f>'Income Statement'!L11+'Income Statement'!M11+'Income Statement'!N11+'Income Statement'!O11</f>
        <v>-645174</v>
      </c>
      <c r="P70" s="106">
        <f>'Income Statement'!P11</f>
        <v>-645174</v>
      </c>
      <c r="Q70" s="107">
        <f>'Income Statement'!Q11+'Income Statement'!O11+'Income Statement'!N11+'Income Statement'!M11</f>
        <v>-692628</v>
      </c>
      <c r="R70" s="107">
        <f>'Income Statement'!R11+'Income Statement'!Q11+'Income Statement'!O11+'Income Statement'!N11</f>
        <v>-761110</v>
      </c>
      <c r="S70" s="107">
        <f>'Income Statement'!S11+'Income Statement'!R11+'Income Statement'!Q11+'Income Statement'!O11</f>
        <v>-861767</v>
      </c>
      <c r="T70" s="107">
        <f>'Income Statement'!Q11+'Income Statement'!R11+'Income Statement'!S11+'Income Statement'!T11</f>
        <v>-1221567</v>
      </c>
      <c r="U70" s="106">
        <f>'Income Statement'!U11</f>
        <v>-1221567</v>
      </c>
      <c r="V70" s="107">
        <f>'Income Statement'!V11+'Income Statement'!T11+'Income Statement'!S11+'Income Statement'!R11</f>
        <v>-1377615</v>
      </c>
      <c r="W70" s="107">
        <f>'Income Statement'!W11+'Income Statement'!V11+'Income Statement'!T11+'Income Statement'!S11</f>
        <v>-1646783</v>
      </c>
      <c r="X70" s="107">
        <f>'Income Statement'!X11+'Income Statement'!W11+'Income Statement'!V11+'Income Statement'!T11</f>
        <v>-1857492</v>
      </c>
      <c r="Y70" s="107">
        <f>'Income Statement'!V11+'Income Statement'!W11+'Income Statement'!X11+'Income Statement'!Y11</f>
        <v>-1764861</v>
      </c>
      <c r="Z70" s="106">
        <f>'Income Statement'!Z11</f>
        <v>-1764861</v>
      </c>
      <c r="AA70" s="107">
        <f>'Income Statement'!AA11+'Income Statement'!Y11+'Income Statement'!X11+'Income Statement'!W11</f>
        <v>-1852889</v>
      </c>
      <c r="AB70" s="107">
        <f>'Income Statement'!AB11+'Income Statement'!AA11+'Income Statement'!Y11+'Income Statement'!X11</f>
        <v>-1944529</v>
      </c>
      <c r="AC70" s="107">
        <f>'Income Statement'!AC11+'Income Statement'!AB11+'Income Statement'!AA11+'Income Statement'!Y11</f>
        <v>-2389779</v>
      </c>
      <c r="AD70" s="107">
        <f>'Income Statement'!AA11+'Income Statement'!AB11+'Income Statement'!AC11+'Income Statement'!AD11</f>
        <v>-2678571</v>
      </c>
      <c r="AE70" s="106">
        <f>'Income Statement'!AE11</f>
        <v>-2678571</v>
      </c>
      <c r="AF70" s="107">
        <f>'Income Statement'!AF11+'Income Statement'!AD11+'Income Statement'!AC11+'Income Statement'!AB11</f>
        <v>-2997033</v>
      </c>
      <c r="AG70" s="107">
        <f>'Income Statement'!AG11+'Income Statement'!AF11+'Income Statement'!AD11+'Income Statement'!AC11</f>
        <v>-3234095</v>
      </c>
      <c r="AH70" s="107">
        <f>'Income Statement'!AH11+'Income Statement'!AG11+'Income Statement'!AF11+'Income Statement'!AD11</f>
        <v>-3097384</v>
      </c>
      <c r="AI70" s="107">
        <f>'Income Statement'!AF11+'Income Statement'!AG11+'Income Statement'!AH11+'Income Statement'!AI11</f>
        <v>-3353475</v>
      </c>
      <c r="AJ70" s="106">
        <f>'Income Statement'!AJ11</f>
        <v>-3353475</v>
      </c>
      <c r="AK70" s="107">
        <f>'Income Statement'!AK11+'Income Statement'!AI11+'Income Statement'!AH11+'Income Statement'!AG11</f>
        <v>-3487673</v>
      </c>
      <c r="AL70" s="107">
        <f>'Income Statement'!AL11+'Income Statement'!AK11+'Income Statement'!AI11+'Income Statement'!AH11</f>
        <v>-3675267</v>
      </c>
      <c r="AM70" s="107">
        <f>'Income Statement'!AM11+'Income Statement'!AL11+'Income Statement'!AK11+'Income Statement'!AI11</f>
        <v>-4035323</v>
      </c>
      <c r="AN70" s="107">
        <f>'Income Statement'!AK11+'Income Statement'!AL11+'Income Statement'!AM11+'Income Statement'!AN11</f>
        <v>-4393291</v>
      </c>
      <c r="AO70" s="106">
        <f>'Income Statement'!AO11</f>
        <v>-4393291</v>
      </c>
      <c r="AP70" s="107">
        <f>'Income Statement'!AP11+'Income Statement'!AN11+'Income Statement'!AM11+'Income Statement'!AL11</f>
        <v>-4527730</v>
      </c>
      <c r="AQ70" s="107">
        <f>'Income Statement'!AQ11+'Income Statement'!AP11+'Income Statement'!AN11+'Income Statement'!AM11</f>
        <v>-4501034</v>
      </c>
      <c r="AR70" s="107">
        <f>'Income Statement'!AR11+'Income Statement'!AQ11+'Income Statement'!AP11+'Income Statement'!AN11</f>
        <v>-4309059</v>
      </c>
      <c r="AS70" s="107">
        <f>'Income Statement'!AP11+'Income Statement'!AQ11+'Income Statement'!AR11+'Income Statement'!AS11</f>
        <v>-3813867</v>
      </c>
      <c r="AT70" s="106">
        <f>'Income Statement'!AT11</f>
        <v>-3813867</v>
      </c>
      <c r="AU70" s="107">
        <f>'Income Statement'!AU11+'Income Statement'!AS11+'Income Statement'!AR11+'Income Statement'!AQ11</f>
        <v>-3625749</v>
      </c>
      <c r="AV70" s="107">
        <f>'Income Statement'!AV11+'Income Statement'!AU11+'Income Statement'!AS11+'Income Statement'!AR11</f>
        <v>-3576702</v>
      </c>
      <c r="AW70" s="107">
        <f>'Income Statement'!AW11+'Income Statement'!AV11+'Income Statement'!AU11+'Income Statement'!AS11</f>
        <v>-3592234</v>
      </c>
      <c r="AX70" s="107">
        <f>'Income Statement'!AU11+'Income Statement'!AV11+'Income Statement'!AW11+'Income Statement'!AX11</f>
        <v>-3612593</v>
      </c>
      <c r="AY70" s="106">
        <f>'Income Statement'!AY11</f>
        <v>-3612593</v>
      </c>
      <c r="AZ70" s="107">
        <f>'Income Statement'!AZ11+'Income Statement'!AX11+'Income Statement'!AW11+'Income Statement'!AV11</f>
        <v>-3671950</v>
      </c>
      <c r="BA70" s="107">
        <f>'Income Statement'!BA11+'Income Statement'!AZ11+'Income Statement'!AX11+'Income Statement'!AW11</f>
        <v>-3652084</v>
      </c>
      <c r="BB70" s="107">
        <f>'Income Statement'!BB11+'Income Statement'!BA11+'Income Statement'!AZ11+'Income Statement'!AX11</f>
        <v>-3845851</v>
      </c>
      <c r="BC70" s="107">
        <f>'Income Statement'!AZ11+'Income Statement'!BA11+'Income Statement'!BB11+'Income Statement'!BC11</f>
        <v>-3949181</v>
      </c>
      <c r="BD70" s="106">
        <f>'Income Statement'!BD11</f>
        <v>-3949181</v>
      </c>
      <c r="BE70" s="107">
        <f>'Income Statement'!BE11+'Income Statement'!BC11+'Income Statement'!BB11+'Income Statement'!BA11</f>
        <v>-3746077</v>
      </c>
      <c r="BF70" s="107">
        <f>'Income Statement'!BF11+'Income Statement'!BE11+'Income Statement'!BC11+'Income Statement'!BB11</f>
        <v>-3579925</v>
      </c>
      <c r="BG70" s="107">
        <f>'Income Statement'!BG11+'Income Statement'!BF11+'Income Statement'!BE11+'Income Statement'!BC11</f>
        <v>-3192179</v>
      </c>
      <c r="BH70" s="107">
        <f>'Income Statement'!BE11+'Income Statement'!BF11+'Income Statement'!BG11+'Income Statement'!BH11</f>
        <v>-2838105</v>
      </c>
      <c r="BI70" s="106">
        <f>'Income Statement'!BI11</f>
        <v>-2838105</v>
      </c>
      <c r="BJ70" s="107">
        <f>'Income Statement'!BJ11+'Income Statement'!BH11+'Income Statement'!BG11+'Income Statement'!BF11</f>
        <v>-2691947</v>
      </c>
      <c r="BK70" s="107">
        <f>'Income Statement'!BK11+'Income Statement'!BJ11+'Income Statement'!BH11+'Income Statement'!BG11</f>
        <v>-2340423</v>
      </c>
      <c r="BL70" s="107">
        <f>'Income Statement'!BL11+'Income Statement'!BK11+'Income Statement'!BJ11+'Income Statement'!BH11</f>
        <v>-2160590</v>
      </c>
      <c r="BM70" s="107">
        <f>'Income Statement'!BJ11+'Income Statement'!BK11+'Income Statement'!BL11+'Income Statement'!BM11</f>
        <v>-2132787</v>
      </c>
      <c r="BN70" s="106">
        <f>'Income Statement'!BN11</f>
        <v>-2132787</v>
      </c>
      <c r="BO70" s="107">
        <f>'Income Statement'!BO11+'Income Statement'!BM11+'Income Statement'!BL11+'Income Statement'!BK11</f>
        <v>-2081712</v>
      </c>
      <c r="BP70" s="107">
        <f>'Income Statement'!BP11+'Income Statement'!BO11+'Income Statement'!BM11+'Income Statement'!BL11</f>
        <v>-2115776</v>
      </c>
      <c r="BQ70" s="107">
        <f>'Income Statement'!BQ11+'Income Statement'!BP11+'Income Statement'!BO11+'Income Statement'!BM11</f>
        <v>-2002885</v>
      </c>
      <c r="BR70" s="107">
        <f>'Income Statement'!BO11+'Income Statement'!BP11+'Income Statement'!BQ11+'Income Statement'!BR11</f>
        <v>-1939257</v>
      </c>
      <c r="BS70" s="106">
        <f>'Income Statement'!BS11</f>
        <v>-1939257</v>
      </c>
      <c r="BT70" s="107">
        <f>'Income Statement'!BT11+'Income Statement'!BR11+'Income Statement'!BQ11+'Income Statement'!BP11</f>
        <v>-1787726</v>
      </c>
      <c r="BU70" s="107">
        <f>'Income Statement'!BU11+'Income Statement'!BT11+'Income Statement'!BR11+'Income Statement'!BQ11</f>
        <v>-1834801</v>
      </c>
      <c r="BV70" s="107">
        <f>'Income Statement'!BV11+'Income Statement'!BU11+'Income Statement'!BT11+'Income Statement'!BR11</f>
        <v>-1904355</v>
      </c>
      <c r="BW70" s="107">
        <f>'Income Statement'!BT11+'Income Statement'!BU11+'Income Statement'!BV11+'Income Statement'!BW11</f>
        <v>-2077230</v>
      </c>
      <c r="BX70" s="106">
        <f>'Income Statement'!BX11</f>
        <v>-2077230</v>
      </c>
      <c r="BY70" s="107">
        <f>'Income Statement'!BY11+'Income Statement'!BW11+'Income Statement'!BV11+'Income Statement'!BU11</f>
        <v>-2328738</v>
      </c>
      <c r="BZ70" s="107">
        <f>'Income Statement'!BZ11+'Income Statement'!BY11+'Income Statement'!BW11+'Income Statement'!BV11</f>
        <v>-2504158</v>
      </c>
      <c r="CA70" s="107">
        <f>'Income Statement'!CA11+'Income Statement'!BZ11+'Income Statement'!BY11+'Income Statement'!BW11</f>
        <v>-2629941</v>
      </c>
      <c r="CB70" s="107">
        <f>'Income Statement'!BY11+'Income Statement'!BZ11+'Income Statement'!CA11+'Income Statement'!CB11</f>
        <v>-2715109</v>
      </c>
      <c r="CC70" s="106">
        <f>'Income Statement'!CC11</f>
        <v>-2715109</v>
      </c>
      <c r="CD70" s="107">
        <f>'Income Statement'!CD11+'Income Statement'!CB11+'Income Statement'!CA11+'Income Statement'!BZ11</f>
        <v>-2641662</v>
      </c>
      <c r="CE70" s="107">
        <f>'Income Statement'!CE11+'Income Statement'!CD11+'Income Statement'!CB11+'Income Statement'!CA11</f>
        <v>-2561937</v>
      </c>
      <c r="CF70" s="107">
        <f>'Income Statement'!CF11+'Income Statement'!CE11+'Income Statement'!CD11+'Income Statement'!CB11</f>
        <v>-2701027</v>
      </c>
      <c r="CG70" s="107">
        <f>'Income Statement'!CD11+'Income Statement'!CE11+'Income Statement'!CF11+'Income Statement'!CG11</f>
        <v>-2573313</v>
      </c>
      <c r="CH70" s="106">
        <f>'Income Statement'!CH11</f>
        <v>-2573313</v>
      </c>
      <c r="CI70" s="107">
        <f>'Income Statement'!CI11+'Income Statement'!CG11+'Income Statement'!CF11+'Income Statement'!CE11</f>
        <v>-2726605</v>
      </c>
      <c r="CJ70" s="107">
        <f>'Income Statement'!CJ11+'Income Statement'!CI11+'Income Statement'!CG11+'Income Statement'!CF11</f>
        <v>-2912403</v>
      </c>
      <c r="CK70" s="107">
        <f>'Income Statement'!CH11+'Income Statement'!CI11+'Income Statement'!CJ11+'Income Statement'!CK11</f>
        <v>-4821683</v>
      </c>
      <c r="CL70" s="107">
        <f>'Income Statement'!CI11+'Income Statement'!CJ11+'Income Statement'!CK11+'Income Statement'!CL11</f>
        <v>-3125013</v>
      </c>
      <c r="CM70" s="106">
        <f>'Income Statement'!CM11</f>
        <v>-3125013</v>
      </c>
      <c r="CN70" s="107">
        <f>'Income Statement'!CN11+'Income Statement'!CL11+'Income Statement'!CK11+'Income Statement'!CJ11</f>
        <v>-3315923</v>
      </c>
      <c r="CO70" s="107">
        <f>'Income Statement'!CO11+'Income Statement'!CN11+'Income Statement'!CL11+'Income Statement'!CK11</f>
        <v>-3424940</v>
      </c>
      <c r="CP70" s="107">
        <f>'Income Statement'!CM11+'Income Statement'!CN11+'Income Statement'!CO11+'Income Statement'!CP11</f>
        <v>-5863127</v>
      </c>
      <c r="CQ70" s="107">
        <f>'Income Statement'!CN11+'Income Statement'!CO11+'Income Statement'!CP11+'Income Statement'!CQ11</f>
        <v>-3678333</v>
      </c>
      <c r="CR70" s="106">
        <f>'Income Statement'!CR11</f>
        <v>-3678333</v>
      </c>
      <c r="CS70" s="107">
        <f>'Income Statement'!CS11+'Income Statement'!CQ11+'Income Statement'!CP11+'Income Statement'!CO11</f>
        <v>-3719190</v>
      </c>
      <c r="CT70" s="107">
        <f>'Income Statement'!CT11+'Income Statement'!CS11+'Income Statement'!CQ11+'Income Statement'!CP11</f>
        <v>-3966405</v>
      </c>
      <c r="CU70" s="107">
        <f>'Income Statement'!CR11+'Income Statement'!CS11+'Income Statement'!CT11+'Income Statement'!CU11</f>
        <v>-6753782</v>
      </c>
      <c r="CV70" s="107">
        <f>'Income Statement'!CS11+'Income Statement'!CT11+'Income Statement'!CU11+'Income Statement'!CV11</f>
        <v>-4209100</v>
      </c>
      <c r="CW70" s="106">
        <f>'Income Statement'!CW11</f>
        <v>-4209100</v>
      </c>
      <c r="CX70" s="107">
        <f>'Income Statement'!CX11+'Income Statement'!CV11+'Income Statement'!CU11+'Income Statement'!CT11</f>
        <v>-4399530</v>
      </c>
      <c r="CY70" s="107">
        <f>'Income Statement'!CY11+'Income Statement'!CX11+'Income Statement'!CV11+'Income Statement'!CU11</f>
        <v>-4540393</v>
      </c>
      <c r="CZ70" s="107">
        <f>'Income Statement'!CW11+'Income Statement'!CX11+'Income Statement'!CY11+'Income Statement'!CZ11</f>
        <v>-7888805</v>
      </c>
      <c r="DA70" s="107">
        <f>'Income Statement'!CX11+'Income Statement'!CY11+'Income Statement'!CZ11+'Income Statement'!DA11</f>
        <v>-5385823</v>
      </c>
      <c r="DB70" s="106">
        <f>'Income Statement'!DB11</f>
        <v>-5385823</v>
      </c>
      <c r="DC70" s="107">
        <f>'Income Statement'!DC11+'Income Statement'!DA11+'Income Statement'!CZ11+'Income Statement'!CY11</f>
        <v>-5624839</v>
      </c>
      <c r="DD70" s="107">
        <f>'Income Statement'!DD11+'Income Statement'!DC11+'Income Statement'!DA11+'Income Statement'!CZ11</f>
        <v>-5795303</v>
      </c>
      <c r="DE70" s="107">
        <f>'Income Statement'!DB11+'Income Statement'!DC11+'Income Statement'!DD11+'Income Statement'!DE11</f>
        <v>-9547554</v>
      </c>
      <c r="DF70" s="107">
        <f>'Income Statement'!DC11+'Income Statement'!DD11+'Income Statement'!DE11+'Income Statement'!DF11</f>
        <v>-6353525</v>
      </c>
      <c r="DG70" s="106">
        <f>'Income Statement'!DG11</f>
        <v>-6353525</v>
      </c>
      <c r="DH70" s="107">
        <f>'Income Statement'!DH11+'Income Statement'!DF11+'Income Statement'!DE11+'Income Statement'!DD11</f>
        <v>-6394227</v>
      </c>
      <c r="DI70" s="107">
        <f>'Income Statement'!DI11+'Income Statement'!DH11+'Income Statement'!DF11+'Income Statement'!DE11</f>
        <v>-6604885</v>
      </c>
      <c r="DJ70" s="107">
        <f>'Income Statement'!DF11+'Income Statement'!DH11+'Income Statement'!DI11+'Income Statement'!DJ11</f>
        <v>-6988041.687393114</v>
      </c>
      <c r="DK70" s="107">
        <f>'Income Statement'!DH11+'Income Statement'!DI11+'Income Statement'!DJ11+'Income Statement'!DK11</f>
        <v>-6805867.8800170589</v>
      </c>
      <c r="DL70" s="106">
        <f>'Income Statement'!DL11</f>
        <v>-6805867.8800170589</v>
      </c>
      <c r="DM70" s="107">
        <f>'Income Statement'!DM11+'Income Statement'!DK11+'Income Statement'!DJ11+'Income Statement'!DI11</f>
        <v>-7354893.2860516617</v>
      </c>
      <c r="DN70" s="107">
        <f>'Income Statement'!DN11+'Income Statement'!DM11+'Income Statement'!DK11+'Income Statement'!DJ11</f>
        <v>-7719534.1537453234</v>
      </c>
      <c r="DO70" s="107">
        <f>'Income Statement'!DK11+'Income Statement'!DM11+'Income Statement'!DN11+'Income Statement'!DO11</f>
        <v>-7973909.6182620553</v>
      </c>
      <c r="DP70" s="107">
        <f>'Income Statement'!DM11+'Income Statement'!DN11+'Income Statement'!DO11+'Income Statement'!DP11</f>
        <v>-8213220.7735555153</v>
      </c>
      <c r="DQ70" s="106">
        <f>'Income Statement'!DQ11</f>
        <v>-8213220.7735555153</v>
      </c>
      <c r="DR70" s="107">
        <f>'Income Statement'!DR11+'Income Statement'!DP11+'Income Statement'!DO11+'Income Statement'!DN11</f>
        <v>-8417949.7053875178</v>
      </c>
      <c r="DS70" s="107">
        <f>'Income Statement'!DS11+'Income Statement'!DR11+'Income Statement'!DP11+'Income Statement'!DO11</f>
        <v>-8612257.2893573269</v>
      </c>
      <c r="DT70" s="107">
        <f>'Income Statement'!DP11+'Income Statement'!DR11+'Income Statement'!DS11+'Income Statement'!DT11</f>
        <v>-8801026.0888833255</v>
      </c>
      <c r="DU70" s="107">
        <f>'Income Statement'!DR11+'Income Statement'!DS11+'Income Statement'!DT11+'Income Statement'!DU11</f>
        <v>-8990947.9025187269</v>
      </c>
      <c r="DV70" s="106">
        <f>'Income Statement'!DV11</f>
        <v>-8990947.9025187269</v>
      </c>
      <c r="DW70" s="107">
        <f>'Income Statement'!DW11+'Income Statement'!DU11+'Income Statement'!DT11+'Income Statement'!DS11</f>
        <v>-9179845.2433323506</v>
      </c>
      <c r="DX70" s="107">
        <f>'Income Statement'!DX11+'Income Statement'!DW11+'Income Statement'!DU11+'Income Statement'!DT11</f>
        <v>-9366864.5234379899</v>
      </c>
      <c r="DY70" s="107">
        <f>'Income Statement'!DU11+'Income Statement'!DW11+'Income Statement'!DX11+'Income Statement'!DY11</f>
        <v>-9550411.3631994035</v>
      </c>
      <c r="DZ70" s="107">
        <f>'Income Statement'!DW11+'Income Statement'!DX11+'Income Statement'!DY11+'Income Statement'!DZ11</f>
        <v>-9738189.2461692914</v>
      </c>
      <c r="EA70" s="106">
        <f>'Income Statement'!EA11</f>
        <v>-9738189.2461692914</v>
      </c>
      <c r="EB70" s="107">
        <f>'Income Statement'!EB11+'Income Statement'!DZ11+'Income Statement'!DY11+'Income Statement'!DX11</f>
        <v>-9912435.7164771315</v>
      </c>
      <c r="EC70" s="107">
        <f>'Income Statement'!EC11+'Income Statement'!EB11+'Income Statement'!DZ11+'Income Statement'!DY11</f>
        <v>-10086578.789261408</v>
      </c>
      <c r="ED70" s="107">
        <f>'Income Statement'!DZ11+'Income Statement'!EB11+'Income Statement'!EC11+'Income Statement'!ED11</f>
        <v>-10258684.257059997</v>
      </c>
      <c r="EE70" s="107">
        <f>'Income Statement'!EB11+'Income Statement'!EC11+'Income Statement'!ED11+'Income Statement'!EE11</f>
        <v>-10434480.987983868</v>
      </c>
      <c r="EF70" s="106">
        <f>'Income Statement'!EF11</f>
        <v>-10434480.987983868</v>
      </c>
    </row>
    <row r="71" spans="1:136" outlineLevel="1">
      <c r="A71" s="66" t="s">
        <v>593</v>
      </c>
      <c r="B71" s="107" t="e">
        <f t="shared" ref="B71:BC71" si="234">-365/(B70/B69)</f>
        <v>#REF!</v>
      </c>
      <c r="C71" s="107" t="e">
        <f t="shared" si="234"/>
        <v>#REF!</v>
      </c>
      <c r="D71" s="107" t="e">
        <f t="shared" si="234"/>
        <v>#REF!</v>
      </c>
      <c r="E71" s="107">
        <f t="shared" si="234"/>
        <v>502.04733321790212</v>
      </c>
      <c r="F71" s="106">
        <f t="shared" si="234"/>
        <v>502.04733321790212</v>
      </c>
      <c r="G71" s="107">
        <f t="shared" si="234"/>
        <v>381.44257562833019</v>
      </c>
      <c r="H71" s="107">
        <f t="shared" si="234"/>
        <v>444.14509793606538</v>
      </c>
      <c r="I71" s="107">
        <f t="shared" si="234"/>
        <v>379.33936629207926</v>
      </c>
      <c r="J71" s="107">
        <f t="shared" si="234"/>
        <v>414.94784576824185</v>
      </c>
      <c r="K71" s="106">
        <f t="shared" si="234"/>
        <v>414.94784576824185</v>
      </c>
      <c r="L71" s="107">
        <f t="shared" si="234"/>
        <v>442.68151652539592</v>
      </c>
      <c r="M71" s="107">
        <f t="shared" si="234"/>
        <v>453.3416304697223</v>
      </c>
      <c r="N71" s="107">
        <f t="shared" si="234"/>
        <v>520.66199621681233</v>
      </c>
      <c r="O71" s="107">
        <f t="shared" si="234"/>
        <v>552.26352115863324</v>
      </c>
      <c r="P71" s="106">
        <f t="shared" si="234"/>
        <v>552.26352115863324</v>
      </c>
      <c r="Q71" s="107">
        <f t="shared" si="234"/>
        <v>555.92480379077949</v>
      </c>
      <c r="R71" s="107">
        <f t="shared" si="234"/>
        <v>530.98289997503639</v>
      </c>
      <c r="S71" s="107">
        <f t="shared" si="234"/>
        <v>557.03725020800277</v>
      </c>
      <c r="T71" s="107">
        <f t="shared" si="234"/>
        <v>478.16291697467273</v>
      </c>
      <c r="U71" s="106">
        <f t="shared" si="234"/>
        <v>478.16291697467273</v>
      </c>
      <c r="V71" s="107">
        <f t="shared" si="234"/>
        <v>395.68208098779411</v>
      </c>
      <c r="W71" s="107">
        <f t="shared" si="234"/>
        <v>363.37889387976435</v>
      </c>
      <c r="X71" s="107">
        <f t="shared" si="234"/>
        <v>408.40266606800998</v>
      </c>
      <c r="Y71" s="107">
        <f t="shared" si="234"/>
        <v>605.11239412055681</v>
      </c>
      <c r="Z71" s="106">
        <f t="shared" si="234"/>
        <v>605.11239412055681</v>
      </c>
      <c r="AA71" s="107">
        <f t="shared" si="234"/>
        <v>606.15574381411943</v>
      </c>
      <c r="AB71" s="107">
        <f t="shared" si="234"/>
        <v>561.82864076596445</v>
      </c>
      <c r="AC71" s="107">
        <f t="shared" si="234"/>
        <v>480.74884330308367</v>
      </c>
      <c r="AD71" s="107">
        <f t="shared" si="234"/>
        <v>458.09522129523538</v>
      </c>
      <c r="AE71" s="106">
        <f t="shared" si="234"/>
        <v>458.09522129523538</v>
      </c>
      <c r="AF71" s="107">
        <f t="shared" si="234"/>
        <v>396.14717622395216</v>
      </c>
      <c r="AG71" s="107">
        <f t="shared" si="234"/>
        <v>395.81484619344826</v>
      </c>
      <c r="AH71" s="107">
        <f t="shared" si="234"/>
        <v>424.88439599352228</v>
      </c>
      <c r="AI71" s="107">
        <f t="shared" si="234"/>
        <v>416.79152968189715</v>
      </c>
      <c r="AJ71" s="106">
        <f t="shared" si="234"/>
        <v>416.79152968189715</v>
      </c>
      <c r="AK71" s="107">
        <f>-365/(AK70/AK69)</f>
        <v>412.07863523902614</v>
      </c>
      <c r="AL71" s="107">
        <f>-365/(AL70/AL69)</f>
        <v>397.46277753425807</v>
      </c>
      <c r="AM71" s="107">
        <f>-365/(AM70/AM69)</f>
        <v>390.89393091953235</v>
      </c>
      <c r="AN71" s="107">
        <f>-365/(AN70/AN69)</f>
        <v>326.01305490576431</v>
      </c>
      <c r="AO71" s="106">
        <f t="shared" si="234"/>
        <v>326.01305490576431</v>
      </c>
      <c r="AP71" s="107">
        <f t="shared" si="234"/>
        <v>305.24630775244987</v>
      </c>
      <c r="AQ71" s="107">
        <f t="shared" si="234"/>
        <v>321.73156767978202</v>
      </c>
      <c r="AR71" s="107">
        <f t="shared" si="234"/>
        <v>340.47299654054405</v>
      </c>
      <c r="AS71" s="107">
        <f t="shared" si="234"/>
        <v>362.16497848509135</v>
      </c>
      <c r="AT71" s="106">
        <f t="shared" si="234"/>
        <v>362.16497848509135</v>
      </c>
      <c r="AU71" s="107">
        <f>-365/(AU70/AU69)</f>
        <v>385.45419994599735</v>
      </c>
      <c r="AV71" s="107">
        <f>-365/(AV70/AV69)</f>
        <v>410.24774918346566</v>
      </c>
      <c r="AW71" s="107">
        <f>-365/(AW70/AW69)</f>
        <v>431.20050920958931</v>
      </c>
      <c r="AX71" s="107">
        <f>-365/(AX70/AX69)</f>
        <v>483.01133839322614</v>
      </c>
      <c r="AY71" s="106">
        <f t="shared" si="234"/>
        <v>483.01133839322614</v>
      </c>
      <c r="AZ71" s="107">
        <f t="shared" si="234"/>
        <v>465.96363512575061</v>
      </c>
      <c r="BA71" s="107">
        <f t="shared" si="234"/>
        <v>469.02880382817045</v>
      </c>
      <c r="BB71" s="107">
        <f t="shared" si="234"/>
        <v>482.09703002014379</v>
      </c>
      <c r="BC71" s="107">
        <f t="shared" si="234"/>
        <v>472.56035745132982</v>
      </c>
      <c r="BD71" s="106">
        <f t="shared" ref="BD71:CC71" si="235">-365/(BD70/BD69)</f>
        <v>472.56035745132982</v>
      </c>
      <c r="BE71" s="107">
        <f t="shared" si="235"/>
        <v>506.97672258205051</v>
      </c>
      <c r="BF71" s="107">
        <f t="shared" si="235"/>
        <v>540.42583573678223</v>
      </c>
      <c r="BG71" s="107">
        <f t="shared" si="235"/>
        <v>602.88558692980553</v>
      </c>
      <c r="BH71" s="107">
        <f t="shared" si="235"/>
        <v>655.07411107059113</v>
      </c>
      <c r="BI71" s="106">
        <f t="shared" si="235"/>
        <v>655.07411107059113</v>
      </c>
      <c r="BJ71" s="107">
        <f>-365/(BJ70/BJ69)</f>
        <v>683.44694007720068</v>
      </c>
      <c r="BK71" s="107">
        <f>-365/(BK70/BK69)</f>
        <v>822.75406625212622</v>
      </c>
      <c r="BL71" s="107">
        <f>-365/(BL70/BL69)</f>
        <v>901.04601520880863</v>
      </c>
      <c r="BM71" s="107">
        <f>-365/(BM70/BM69)</f>
        <v>867.98583262182296</v>
      </c>
      <c r="BN71" s="106">
        <f t="shared" si="235"/>
        <v>867.98583262182296</v>
      </c>
      <c r="BO71" s="107">
        <f t="shared" si="235"/>
        <v>876.03545303096678</v>
      </c>
      <c r="BP71" s="107">
        <f t="shared" si="235"/>
        <v>881.53571786427301</v>
      </c>
      <c r="BQ71" s="107">
        <f t="shared" si="235"/>
        <v>924.43808056877947</v>
      </c>
      <c r="BR71" s="107">
        <f t="shared" si="235"/>
        <v>893.98185748459332</v>
      </c>
      <c r="BS71" s="106">
        <f t="shared" si="235"/>
        <v>893.98185748459332</v>
      </c>
      <c r="BT71" s="107">
        <f>-365/(BT70/BT69)</f>
        <v>932.96538731326837</v>
      </c>
      <c r="BU71" s="107">
        <f>-365/(BU70/BU69)</f>
        <v>931.73758625594814</v>
      </c>
      <c r="BV71" s="107">
        <f>-365/(BV70/BV69)</f>
        <v>898.03315033173965</v>
      </c>
      <c r="BW71" s="107">
        <f>-365/(BW70/BW69)</f>
        <v>828.83288321466569</v>
      </c>
      <c r="BX71" s="106">
        <f t="shared" si="235"/>
        <v>828.83288321466569</v>
      </c>
      <c r="BY71" s="107">
        <f t="shared" si="235"/>
        <v>750.5280349270721</v>
      </c>
      <c r="BZ71" s="107">
        <f t="shared" si="235"/>
        <v>694.97678660851284</v>
      </c>
      <c r="CA71" s="107">
        <f t="shared" si="235"/>
        <v>645.29478417956898</v>
      </c>
      <c r="CB71" s="107">
        <f t="shared" si="235"/>
        <v>622.92822129792944</v>
      </c>
      <c r="CC71" s="106">
        <f t="shared" si="235"/>
        <v>622.92822129792944</v>
      </c>
      <c r="CD71" s="107">
        <f>-365/(CD70/CD69)</f>
        <v>672.84158987788749</v>
      </c>
      <c r="CE71" s="107">
        <f>-365/(CE70/CE69)</f>
        <v>712.95470770748852</v>
      </c>
      <c r="CF71" s="107">
        <f>-365/(CF70/CF69)</f>
        <v>526.46122382338274</v>
      </c>
      <c r="CG71" s="107">
        <f>-365/(CG70/CG69)</f>
        <v>573.26071682690758</v>
      </c>
      <c r="CH71" s="106">
        <f t="shared" ref="CH71:DG71" si="236">-365/(CH70/CH69)</f>
        <v>573.26071682690758</v>
      </c>
      <c r="CI71" s="107">
        <f t="shared" si="236"/>
        <v>542.83162027503067</v>
      </c>
      <c r="CJ71" s="107">
        <f t="shared" si="236"/>
        <v>551.78583801760954</v>
      </c>
      <c r="CK71" s="107">
        <f t="shared" si="236"/>
        <v>361.97254153788208</v>
      </c>
      <c r="CL71" s="107">
        <f t="shared" si="236"/>
        <v>582.2787489204045</v>
      </c>
      <c r="CM71" s="106">
        <f t="shared" si="236"/>
        <v>582.2787489204045</v>
      </c>
      <c r="CN71" s="107">
        <f>-365/(CN70/CN69)</f>
        <v>576.99617421755568</v>
      </c>
      <c r="CO71" s="107">
        <f>-365/(CO70/CO69)</f>
        <v>546.44281359673448</v>
      </c>
      <c r="CP71" s="107">
        <f>-365/(CP70/CP69)</f>
        <v>337.21347499380454</v>
      </c>
      <c r="CQ71" s="107">
        <f>-365/(CQ70/CQ69)</f>
        <v>551.00861450010098</v>
      </c>
      <c r="CR71" s="106">
        <f t="shared" si="236"/>
        <v>551.00861450010098</v>
      </c>
      <c r="CS71" s="107">
        <f t="shared" si="236"/>
        <v>541.34772356346411</v>
      </c>
      <c r="CT71" s="107">
        <f t="shared" si="236"/>
        <v>504.22987692885624</v>
      </c>
      <c r="CU71" s="107">
        <f t="shared" si="236"/>
        <v>292.62233590009271</v>
      </c>
      <c r="CV71" s="107">
        <f t="shared" si="236"/>
        <v>464.49937635123899</v>
      </c>
      <c r="CW71" s="106">
        <f t="shared" si="236"/>
        <v>464.49937635123899</v>
      </c>
      <c r="CX71" s="107">
        <f>-365/(CX70/CX69)</f>
        <v>424.32472673217364</v>
      </c>
      <c r="CY71" s="107">
        <f t="shared" ref="CY71:DA71" si="237">-365/(CY70/CY69)</f>
        <v>396.72917961066366</v>
      </c>
      <c r="CZ71" s="107">
        <f t="shared" si="237"/>
        <v>258.63232707615413</v>
      </c>
      <c r="DA71" s="107">
        <f t="shared" si="237"/>
        <v>439.1392494703224</v>
      </c>
      <c r="DB71" s="106">
        <f t="shared" si="236"/>
        <v>439.1392494703224</v>
      </c>
      <c r="DC71" s="107">
        <f>-365/(DC70/DC69)</f>
        <v>443.32455826735662</v>
      </c>
      <c r="DD71" s="107">
        <f t="shared" ref="DD71:DF71" si="238">-365/(DD70/DD69)</f>
        <v>463.32749642253395</v>
      </c>
      <c r="DE71" s="107">
        <f t="shared" si="238"/>
        <v>290.58702312655157</v>
      </c>
      <c r="DF71" s="107">
        <f t="shared" si="238"/>
        <v>449.83196257195806</v>
      </c>
      <c r="DG71" s="106">
        <f t="shared" si="236"/>
        <v>449.83196257195806</v>
      </c>
      <c r="DH71" s="107">
        <f>-365/(DH70/DH69)</f>
        <v>456.93495007293302</v>
      </c>
      <c r="DI71" s="107">
        <f t="shared" ref="DI71" si="239">-365/(DI70/DI69)</f>
        <v>447.20191797434779</v>
      </c>
      <c r="DJ71" s="107">
        <f>-365/(DJ70/DJ69)</f>
        <v>399.76028109528465</v>
      </c>
      <c r="DK71" s="107">
        <f>-365/(DK70/DK69)</f>
        <v>427.87296323416427</v>
      </c>
      <c r="DL71" s="106">
        <f>-365/(DL70/DL69)</f>
        <v>427.87296323416427</v>
      </c>
      <c r="DM71" s="107">
        <f t="shared" ref="DM71:EF71" si="240">-365/(DM70/DM69)</f>
        <v>386.54121184250283</v>
      </c>
      <c r="DN71" s="107">
        <f t="shared" si="240"/>
        <v>367.49376891453772</v>
      </c>
      <c r="DO71" s="107">
        <f t="shared" si="240"/>
        <v>362.41892518795044</v>
      </c>
      <c r="DP71" s="107">
        <f t="shared" si="240"/>
        <v>363.18470455789776</v>
      </c>
      <c r="DQ71" s="106">
        <f t="shared" si="240"/>
        <v>363.18470455789776</v>
      </c>
      <c r="DR71" s="107">
        <f t="shared" si="240"/>
        <v>348.70628437320812</v>
      </c>
      <c r="DS71" s="107">
        <f t="shared" si="240"/>
        <v>342.04102740578082</v>
      </c>
      <c r="DT71" s="107">
        <f t="shared" si="240"/>
        <v>342.10159678802017</v>
      </c>
      <c r="DU71" s="107">
        <f t="shared" si="240"/>
        <v>346.90714419058594</v>
      </c>
      <c r="DV71" s="106">
        <f t="shared" si="240"/>
        <v>346.90714419058594</v>
      </c>
      <c r="DW71" s="107">
        <f t="shared" si="240"/>
        <v>334.60886033022007</v>
      </c>
      <c r="DX71" s="107">
        <f t="shared" si="240"/>
        <v>329.22145237475746</v>
      </c>
      <c r="DY71" s="107">
        <f t="shared" si="240"/>
        <v>329.62145316810711</v>
      </c>
      <c r="DZ71" s="107">
        <f t="shared" si="240"/>
        <v>333.84819025196549</v>
      </c>
      <c r="EA71" s="106">
        <f t="shared" si="240"/>
        <v>333.84819025196549</v>
      </c>
      <c r="EB71" s="107">
        <f t="shared" si="240"/>
        <v>322.02411264904572</v>
      </c>
      <c r="EC71" s="107">
        <f t="shared" si="240"/>
        <v>316.85723032575549</v>
      </c>
      <c r="ED71" s="107">
        <f t="shared" si="240"/>
        <v>317.62649268779296</v>
      </c>
      <c r="EE71" s="107">
        <f t="shared" si="240"/>
        <v>322.1033665500089</v>
      </c>
      <c r="EF71" s="106">
        <f t="shared" si="240"/>
        <v>322.1033665500089</v>
      </c>
    </row>
    <row r="72" spans="1:136" s="68" customFormat="1" outlineLevel="1">
      <c r="A72" s="68" t="s">
        <v>713</v>
      </c>
      <c r="B72" s="226" t="e">
        <f>-(B69-#REF!)</f>
        <v>#REF!</v>
      </c>
      <c r="C72" s="226">
        <f>-(C69-B69)</f>
        <v>-4118</v>
      </c>
      <c r="D72" s="226">
        <f>-(D69-C69)</f>
        <v>-25428</v>
      </c>
      <c r="E72" s="226">
        <f>-(E69-D69)</f>
        <v>-237681</v>
      </c>
      <c r="F72" s="227" t="e">
        <f>-(+F69-#REF!)</f>
        <v>#REF!</v>
      </c>
      <c r="G72" s="226">
        <f>-(G69-F69)</f>
        <v>6309.5</v>
      </c>
      <c r="H72" s="226">
        <f>-(H69-G69)</f>
        <v>6309.5</v>
      </c>
      <c r="I72" s="226">
        <f>-(I69-H69)</f>
        <v>-3979</v>
      </c>
      <c r="J72" s="226">
        <f>-(J69-I69)</f>
        <v>-580</v>
      </c>
      <c r="K72" s="227">
        <f>-(+K69-F69)</f>
        <v>8060</v>
      </c>
      <c r="L72" s="226">
        <f>-(L69-K69)</f>
        <v>-77452</v>
      </c>
      <c r="M72" s="226">
        <f>-(M69-L69)</f>
        <v>-104402</v>
      </c>
      <c r="N72" s="226">
        <f>-(N69-M69)</f>
        <v>-91768</v>
      </c>
      <c r="O72" s="226">
        <f>-(O69-N69)</f>
        <v>-281645</v>
      </c>
      <c r="P72" s="227">
        <f>-(+P69-K69)</f>
        <v>-555267</v>
      </c>
      <c r="Q72" s="226">
        <f>-(Q69-P69)</f>
        <v>-78748</v>
      </c>
      <c r="R72" s="226">
        <f>-(R69-Q69)</f>
        <v>-52294</v>
      </c>
      <c r="S72" s="226">
        <f>-(S69-R69)</f>
        <v>-207945</v>
      </c>
      <c r="T72" s="226">
        <f>-(T69-S69)</f>
        <v>-285128</v>
      </c>
      <c r="U72" s="227">
        <f>-(+U69-P69)</f>
        <v>-624115</v>
      </c>
      <c r="V72" s="226">
        <f>-(V69-U69)</f>
        <v>106878</v>
      </c>
      <c r="W72" s="226">
        <f>-(W69-V69)</f>
        <v>-146051</v>
      </c>
      <c r="X72" s="226">
        <f>-(X69-W69)</f>
        <v>-438900</v>
      </c>
      <c r="Y72" s="226">
        <f>-(Y69-X69)</f>
        <v>-847492</v>
      </c>
      <c r="Z72" s="227">
        <f>-(+Z69-U69)</f>
        <v>-1325565</v>
      </c>
      <c r="AA72" s="226">
        <f>-(AA69-Z69)</f>
        <v>-151233</v>
      </c>
      <c r="AB72" s="226">
        <f>-(AB69-AA69)</f>
        <v>83965</v>
      </c>
      <c r="AC72" s="226">
        <f>-(AC69-AB69)</f>
        <v>-154497</v>
      </c>
      <c r="AD72" s="226">
        <f>-(AD69-AC69)</f>
        <v>-214129</v>
      </c>
      <c r="AE72" s="227">
        <f>-(+AE69-Z69)</f>
        <v>-435894</v>
      </c>
      <c r="AF72" s="226">
        <f>-(AF69-AE69)</f>
        <v>108971</v>
      </c>
      <c r="AG72" s="226">
        <f>-(AG69-AF69)</f>
        <v>-254347</v>
      </c>
      <c r="AH72" s="226">
        <f>-(AH69-AG69)</f>
        <v>-98431</v>
      </c>
      <c r="AI72" s="226">
        <f>-(AI69-AH69)</f>
        <v>-223753</v>
      </c>
      <c r="AJ72" s="227">
        <f>-(+AJ69-AE69)</f>
        <v>-467560</v>
      </c>
      <c r="AK72" s="226">
        <f>-(AK69-AJ69)</f>
        <v>-108207</v>
      </c>
      <c r="AL72" s="226">
        <f>-(AL69-AK69)</f>
        <v>-64620</v>
      </c>
      <c r="AM72" s="226">
        <f>-(AM69-AL69)</f>
        <v>-319456</v>
      </c>
      <c r="AN72" s="226">
        <f>-(AN69-AM69)</f>
        <v>397570</v>
      </c>
      <c r="AO72" s="227">
        <f>-(+AO69-AJ69)</f>
        <v>-94713</v>
      </c>
      <c r="AP72" s="226">
        <f>-(AP69-AO69)</f>
        <v>137527</v>
      </c>
      <c r="AQ72" s="226">
        <f>-(AQ69-AP69)</f>
        <v>-180964</v>
      </c>
      <c r="AR72" s="226">
        <f>-(AR69-AQ69)</f>
        <v>-52037</v>
      </c>
      <c r="AS72" s="226">
        <f>-(AS69-AR69)</f>
        <v>235258</v>
      </c>
      <c r="AT72" s="227">
        <f>-(+AT69-AO69)</f>
        <v>139784</v>
      </c>
      <c r="AU72" s="226">
        <f>-(AU69-AT69)</f>
        <v>-44688</v>
      </c>
      <c r="AV72" s="226">
        <f>-(AV69-AU69)</f>
        <v>-191161</v>
      </c>
      <c r="AW72" s="226">
        <f>-(AW69-AV69)</f>
        <v>-223669</v>
      </c>
      <c r="AX72" s="226">
        <f>-(AX69-AW69)</f>
        <v>-536850</v>
      </c>
      <c r="AY72" s="227">
        <f>-(+AY69-AT69)</f>
        <v>-996368</v>
      </c>
      <c r="AZ72" s="226">
        <f>-(AZ69-AY69)</f>
        <v>92954</v>
      </c>
      <c r="BA72" s="226">
        <f>-(BA69-AZ69)</f>
        <v>-5308</v>
      </c>
      <c r="BB72" s="226">
        <f>-(BB69-BA69)</f>
        <v>-386687</v>
      </c>
      <c r="BC72" s="226">
        <f>-(BC69-BB69)</f>
        <v>-33296</v>
      </c>
      <c r="BD72" s="227">
        <f>-(+BD69-AY69)</f>
        <v>-332337</v>
      </c>
      <c r="BE72" s="226">
        <f>-(BE69-BD69)</f>
        <v>-90267</v>
      </c>
      <c r="BF72" s="226">
        <f>-(BF69-BE69)</f>
        <v>-97288</v>
      </c>
      <c r="BG72" s="226">
        <f>-(BG69-BF69)</f>
        <v>27850</v>
      </c>
      <c r="BH72" s="226">
        <f>-(BH69-BG69)</f>
        <v>179040</v>
      </c>
      <c r="BI72" s="227">
        <f>-(+BI69-BD69)</f>
        <v>19335</v>
      </c>
      <c r="BJ72" s="226">
        <f>-(BJ69-BI69)</f>
        <v>53058</v>
      </c>
      <c r="BK72" s="226">
        <f>-(BK69-BJ69)</f>
        <v>-235040</v>
      </c>
      <c r="BL72" s="226">
        <f>-(BL69-BK69)</f>
        <v>-58078</v>
      </c>
      <c r="BM72" s="226">
        <f>-(BM69-BL69)</f>
        <v>261814</v>
      </c>
      <c r="BN72" s="227">
        <f>-(+BN69-BI69)</f>
        <v>21754</v>
      </c>
      <c r="BO72" s="226">
        <f>-(BO69-BN69)</f>
        <v>75549</v>
      </c>
      <c r="BP72" s="226">
        <f>-(BP69-BO69)</f>
        <v>-113640</v>
      </c>
      <c r="BQ72" s="226">
        <f>-(BQ69-BP69)</f>
        <v>37230</v>
      </c>
      <c r="BR72" s="226">
        <f>-(BR69-BQ69)</f>
        <v>322966</v>
      </c>
      <c r="BS72" s="227">
        <f>-(+BS69-BN69)</f>
        <v>322105</v>
      </c>
      <c r="BT72" s="226">
        <f>-(BT69-BS69)</f>
        <v>180203</v>
      </c>
      <c r="BU72" s="226">
        <f>-(BU69-BT69)</f>
        <v>-114155</v>
      </c>
      <c r="BV72" s="226">
        <f>-(BV69-BU69)</f>
        <v>-1701</v>
      </c>
      <c r="BW72" s="226">
        <f>-(BW69-BV69)</f>
        <v>-31514</v>
      </c>
      <c r="BX72" s="227">
        <f>-(+BX69-BS69)</f>
        <v>32833</v>
      </c>
      <c r="BY72" s="226">
        <f>-(BY69-BX69)</f>
        <v>-71525</v>
      </c>
      <c r="BZ72" s="226">
        <f>-(BZ69-BY69)</f>
        <v>20415</v>
      </c>
      <c r="CA72" s="226">
        <f>-(CA69-BZ69)</f>
        <v>118478</v>
      </c>
      <c r="CB72" s="226">
        <f>-(CB69-CA69)</f>
        <v>15806</v>
      </c>
      <c r="CC72" s="227">
        <f>-(+CC69-BX69)</f>
        <v>83174</v>
      </c>
      <c r="CD72" s="226">
        <f>-(CD69-CC69)</f>
        <v>-235896</v>
      </c>
      <c r="CE72" s="226">
        <f>-(CE69-CD69)</f>
        <v>-134589</v>
      </c>
      <c r="CF72" s="226">
        <f>-(CF69-CE69)</f>
        <v>1108381</v>
      </c>
      <c r="CG72" s="226">
        <f>-(CG69-CF69)</f>
        <v>-145735</v>
      </c>
      <c r="CH72" s="227">
        <f>-(+CH69-CC69)</f>
        <v>592161</v>
      </c>
      <c r="CI72" s="226">
        <f>-(CI69-CH69)</f>
        <v>-13447</v>
      </c>
      <c r="CJ72" s="226">
        <f>-(CJ69-CI69)</f>
        <v>-347768</v>
      </c>
      <c r="CK72" s="226">
        <f>-(CK69-CJ69)</f>
        <v>-378888</v>
      </c>
      <c r="CL72" s="226">
        <f>-(CL69-CK69)</f>
        <v>-203594</v>
      </c>
      <c r="CM72" s="227">
        <f>-(+CM69-CH69)</f>
        <v>-943697</v>
      </c>
      <c r="CN72" s="226">
        <f>-(CN69-CM69)</f>
        <v>-256565</v>
      </c>
      <c r="CO72" s="226">
        <f>-(CO69-CN69)</f>
        <v>114359</v>
      </c>
      <c r="CP72" s="226">
        <f>-(CP69-CO69)</f>
        <v>-289292</v>
      </c>
      <c r="CQ72" s="226">
        <f>-(CQ69-CP69)</f>
        <v>-136076</v>
      </c>
      <c r="CR72" s="227">
        <f>-(+CR69-CM69)</f>
        <v>-567574</v>
      </c>
      <c r="CS72" s="226">
        <f>-(CS69-CR69)</f>
        <v>36762</v>
      </c>
      <c r="CT72" s="226">
        <f>-(CT69-CS69)</f>
        <v>36699</v>
      </c>
      <c r="CU72" s="226">
        <f>-(CU69-CT69)</f>
        <v>64856</v>
      </c>
      <c r="CV72" s="226">
        <f>-(CV69-CU69)</f>
        <v>58036</v>
      </c>
      <c r="CW72" s="227">
        <f>-(+CW69-CR69)</f>
        <v>196353</v>
      </c>
      <c r="CX72" s="226">
        <f>-(CX69-CW69)</f>
        <v>241904</v>
      </c>
      <c r="CY72" s="226">
        <f>-(CY69-CX69)</f>
        <v>179515</v>
      </c>
      <c r="CZ72" s="226">
        <f>-(CZ69-CY69)</f>
        <v>-654777</v>
      </c>
      <c r="DA72" s="226">
        <f>-(DA69-CZ69)</f>
        <v>-889935</v>
      </c>
      <c r="DB72" s="227">
        <f>-(+DB69-CW69)</f>
        <v>-1123293</v>
      </c>
      <c r="DC72" s="226">
        <f>-(DC69-DB69)</f>
        <v>-352063</v>
      </c>
      <c r="DD72" s="226">
        <f>-(DD69-DC69)</f>
        <v>-524641</v>
      </c>
      <c r="DE72" s="226">
        <f>-(DE69-DD69)</f>
        <v>-244581</v>
      </c>
      <c r="DF72" s="226">
        <f>-(DF69-DE69)</f>
        <v>-229105</v>
      </c>
      <c r="DG72" s="227">
        <f>-(+DG69-DB69)</f>
        <v>-1350390</v>
      </c>
      <c r="DH72" s="226">
        <f>-(DH69-DG69)</f>
        <v>-174595</v>
      </c>
      <c r="DI72" s="226">
        <f>-(DI69-DH69)</f>
        <v>-87593</v>
      </c>
      <c r="DJ72" s="226">
        <f>-(DJ69-DI69)</f>
        <v>438837.61847167555</v>
      </c>
      <c r="DK72" s="226">
        <f>-(DK69-DJ69)</f>
        <v>-324672.18615145236</v>
      </c>
      <c r="DL72" s="227">
        <f>-(+DL69-DG69)</f>
        <v>-148022.56767977681</v>
      </c>
      <c r="DM72" s="226">
        <f>-(DM69-DL69)</f>
        <v>189253.40668608621</v>
      </c>
      <c r="DN72" s="226">
        <f>-(DN69-DM69)</f>
        <v>16681.269420087337</v>
      </c>
      <c r="DO72" s="226">
        <f>-(DO69-DN69)</f>
        <v>-145246.72047131322</v>
      </c>
      <c r="DP72" s="226">
        <f>-(DP69-DO69)</f>
        <v>-254850.42935932521</v>
      </c>
      <c r="DQ72" s="227">
        <f>-(+DQ69-DL69)</f>
        <v>-194162.47372446489</v>
      </c>
      <c r="DR72" s="226">
        <f>-(DR69-DQ69)</f>
        <v>130203.27755157556</v>
      </c>
      <c r="DS72" s="226">
        <f>-(DS69-DR69)</f>
        <v>-28365.391036936082</v>
      </c>
      <c r="DT72" s="226">
        <f>-(DT69-DS69)</f>
        <v>-178355.47080905456</v>
      </c>
      <c r="DU72" s="226">
        <f>-(DU69-DT69)</f>
        <v>-296380.77273726184</v>
      </c>
      <c r="DV72" s="227">
        <f>-(+DV69-DQ69)</f>
        <v>-372898.35703167692</v>
      </c>
      <c r="DW72" s="226">
        <f>-(DW69-DV69)</f>
        <v>129771.24808186479</v>
      </c>
      <c r="DX72" s="226">
        <f>-(DX69-DW69)</f>
        <v>-33192.295135933906</v>
      </c>
      <c r="DY72" s="226">
        <f>-(DY69-DX69)</f>
        <v>-176021.17612916417</v>
      </c>
      <c r="DZ72" s="226">
        <f>-(DZ69-DY69)</f>
        <v>-282346.25828432851</v>
      </c>
      <c r="EA72" s="227">
        <f>-(+EA69-DV69)</f>
        <v>-361788.4814675618</v>
      </c>
      <c r="EB72" s="226">
        <f>-(EB69-EA69)</f>
        <v>161735.72705620341</v>
      </c>
      <c r="EC72" s="226">
        <f>-(EC69-EB69)</f>
        <v>-10855.076270207763</v>
      </c>
      <c r="ED72" s="226">
        <f>-(ED69-EC69)</f>
        <v>-171025.97680427879</v>
      </c>
      <c r="EE72" s="226">
        <f>-(EE69-ED69)</f>
        <v>-280963.1623841729</v>
      </c>
      <c r="EF72" s="227">
        <f>-(+EF69-EA69)</f>
        <v>-301108.48840245605</v>
      </c>
    </row>
    <row r="73" spans="1:136" outlineLevel="1">
      <c r="A73" s="66" t="s">
        <v>110</v>
      </c>
      <c r="B73" s="107">
        <f t="shared" ref="B73:P73" si="241">B12</f>
        <v>26909</v>
      </c>
      <c r="C73" s="107">
        <f t="shared" si="241"/>
        <v>56095</v>
      </c>
      <c r="D73" s="107">
        <f t="shared" si="241"/>
        <v>53469</v>
      </c>
      <c r="E73" s="107">
        <f t="shared" si="241"/>
        <v>428974</v>
      </c>
      <c r="F73" s="106">
        <f t="shared" si="241"/>
        <v>428974</v>
      </c>
      <c r="G73" s="107">
        <f t="shared" si="241"/>
        <v>422664.5</v>
      </c>
      <c r="H73" s="107">
        <f t="shared" si="241"/>
        <v>416355</v>
      </c>
      <c r="I73" s="107">
        <f t="shared" si="241"/>
        <v>420334</v>
      </c>
      <c r="J73" s="107">
        <f t="shared" si="241"/>
        <v>420914</v>
      </c>
      <c r="K73" s="106">
        <f t="shared" si="241"/>
        <v>420914</v>
      </c>
      <c r="L73" s="107">
        <f t="shared" si="241"/>
        <v>250360</v>
      </c>
      <c r="M73" s="107">
        <f t="shared" si="241"/>
        <v>314022</v>
      </c>
      <c r="N73" s="107">
        <f t="shared" si="241"/>
        <v>400959</v>
      </c>
      <c r="O73" s="107">
        <f t="shared" si="241"/>
        <v>536610</v>
      </c>
      <c r="P73" s="106">
        <f t="shared" si="241"/>
        <v>536610</v>
      </c>
      <c r="Q73" s="107">
        <f>Q12</f>
        <v>744444</v>
      </c>
      <c r="R73" s="107">
        <f>R12</f>
        <v>774654</v>
      </c>
      <c r="S73" s="107">
        <f>S12</f>
        <v>874853</v>
      </c>
      <c r="T73" s="107">
        <f>T12</f>
        <v>998970</v>
      </c>
      <c r="U73" s="106">
        <f>T73</f>
        <v>998970</v>
      </c>
      <c r="V73" s="107">
        <f>V12</f>
        <v>803460</v>
      </c>
      <c r="W73" s="107">
        <f>W12</f>
        <v>1011397</v>
      </c>
      <c r="X73" s="107">
        <f>X12</f>
        <v>1405111</v>
      </c>
      <c r="Y73" s="107">
        <f>Y12</f>
        <v>2152197</v>
      </c>
      <c r="Z73" s="106">
        <f>Y73</f>
        <v>2152197</v>
      </c>
      <c r="AA73" s="107">
        <f>AA12</f>
        <v>2159759</v>
      </c>
      <c r="AB73" s="107">
        <f>AB12</f>
        <v>2028129</v>
      </c>
      <c r="AC73" s="107">
        <f>AC12</f>
        <v>2078563</v>
      </c>
      <c r="AD73" s="107">
        <f>AD12</f>
        <v>2255987</v>
      </c>
      <c r="AE73" s="106">
        <f>AD73</f>
        <v>2255987</v>
      </c>
      <c r="AF73" s="107">
        <f>AF12</f>
        <v>2278854</v>
      </c>
      <c r="AG73" s="107">
        <f>AG12</f>
        <v>2455086</v>
      </c>
      <c r="AH73" s="107">
        <f>AH12</f>
        <v>2447754</v>
      </c>
      <c r="AI73" s="107">
        <f>AI12</f>
        <v>2209964</v>
      </c>
      <c r="AJ73" s="106">
        <f>AI73</f>
        <v>2209964</v>
      </c>
      <c r="AK73" s="107">
        <f>AK12</f>
        <v>2326899</v>
      </c>
      <c r="AL73" s="107">
        <f>AL12</f>
        <v>2365503</v>
      </c>
      <c r="AM73" s="107">
        <f>AM12</f>
        <v>2634919</v>
      </c>
      <c r="AN73" s="107">
        <f>AN12</f>
        <v>2115810</v>
      </c>
      <c r="AO73" s="106">
        <f>AN73</f>
        <v>2115810</v>
      </c>
      <c r="AP73" s="107">
        <f>AP12</f>
        <v>1920830</v>
      </c>
      <c r="AQ73" s="107">
        <f>AQ12</f>
        <v>1839493</v>
      </c>
      <c r="AR73" s="107">
        <f>AR12</f>
        <v>1815393</v>
      </c>
      <c r="AS73" s="107">
        <f>AS12</f>
        <v>1625205</v>
      </c>
      <c r="AT73" s="106">
        <f>AS73</f>
        <v>1625205</v>
      </c>
      <c r="AU73" s="107">
        <f>AU12</f>
        <v>1833609</v>
      </c>
      <c r="AV73" s="107">
        <f>AV12</f>
        <v>1976594</v>
      </c>
      <c r="AW73" s="107">
        <f>AW12</f>
        <v>2098822</v>
      </c>
      <c r="AX73" s="107">
        <f>AX12</f>
        <v>2564632</v>
      </c>
      <c r="AY73" s="106">
        <f>AX73</f>
        <v>2564632</v>
      </c>
      <c r="AZ73" s="107">
        <f>AZ12</f>
        <v>2336512</v>
      </c>
      <c r="BA73" s="107">
        <f>BA12</f>
        <v>2262377</v>
      </c>
      <c r="BB73" s="107">
        <f>BB12</f>
        <v>2459299</v>
      </c>
      <c r="BC73" s="107">
        <f>BC12</f>
        <v>2443648</v>
      </c>
      <c r="BD73" s="106">
        <f>BC73</f>
        <v>2443648</v>
      </c>
      <c r="BE73" s="107">
        <f>BE12</f>
        <v>2405758</v>
      </c>
      <c r="BF73" s="107">
        <f>BF12</f>
        <v>2311165</v>
      </c>
      <c r="BG73" s="107">
        <f>BG12</f>
        <v>2233145</v>
      </c>
      <c r="BH73" s="107">
        <f>BH12</f>
        <v>2124589</v>
      </c>
      <c r="BI73" s="106">
        <f>BH73</f>
        <v>2124589</v>
      </c>
      <c r="BJ73" s="107">
        <f>BJ12</f>
        <v>2062019</v>
      </c>
      <c r="BK73" s="107">
        <f>BK12</f>
        <v>2000177</v>
      </c>
      <c r="BL73" s="107">
        <f>BL12</f>
        <v>2067676</v>
      </c>
      <c r="BM73" s="107">
        <f>BM12</f>
        <v>1834181</v>
      </c>
      <c r="BN73" s="106">
        <f>BM73</f>
        <v>1834181</v>
      </c>
      <c r="BO73" s="107">
        <f>BO12</f>
        <v>1797707</v>
      </c>
      <c r="BP73" s="107">
        <f>BP12</f>
        <v>2022531</v>
      </c>
      <c r="BQ73" s="107">
        <f>BQ12</f>
        <v>2022820</v>
      </c>
      <c r="BR73" s="107">
        <f>BR12</f>
        <v>1782213</v>
      </c>
      <c r="BS73" s="106">
        <f>BR73</f>
        <v>1782213</v>
      </c>
      <c r="BT73" s="107">
        <f>BT12</f>
        <v>1702481</v>
      </c>
      <c r="BU73" s="107">
        <f>BU12</f>
        <v>2004012</v>
      </c>
      <c r="BV73" s="107">
        <f>BV12</f>
        <v>2218341</v>
      </c>
      <c r="BW73" s="107">
        <f>BW12</f>
        <v>2044316</v>
      </c>
      <c r="BX73" s="106">
        <f>BW73</f>
        <v>2044316</v>
      </c>
      <c r="BY73" s="107">
        <f>BY12</f>
        <v>2186899</v>
      </c>
      <c r="BZ73" s="107">
        <f>BZ12</f>
        <v>2191798</v>
      </c>
      <c r="CA73" s="107">
        <f>CA12</f>
        <v>2163409</v>
      </c>
      <c r="CB73" s="107">
        <f>CB12</f>
        <v>2249862</v>
      </c>
      <c r="CC73" s="106">
        <f>CB73</f>
        <v>2249862</v>
      </c>
      <c r="CD73" s="107">
        <f>CD12</f>
        <v>2537914</v>
      </c>
      <c r="CE73" s="107">
        <f>CE12</f>
        <v>2660189</v>
      </c>
      <c r="CF73" s="107">
        <f>CF12</f>
        <v>2011841</v>
      </c>
      <c r="CG73" s="107">
        <f>CG12</f>
        <v>2311198</v>
      </c>
      <c r="CH73" s="106">
        <f>CG73</f>
        <v>2311198</v>
      </c>
      <c r="CI73" s="107">
        <f>CI12</f>
        <v>2193628</v>
      </c>
      <c r="CJ73" s="107">
        <f>CJ12</f>
        <v>2518308</v>
      </c>
      <c r="CK73" s="107">
        <f>CK12</f>
        <v>2894136</v>
      </c>
      <c r="CL73" s="107">
        <f>CL12</f>
        <v>2759500</v>
      </c>
      <c r="CM73" s="106">
        <f>CL73</f>
        <v>2759500</v>
      </c>
      <c r="CN73" s="107">
        <f>CN12</f>
        <v>2834610</v>
      </c>
      <c r="CO73" s="107">
        <f>CO12</f>
        <v>2637381</v>
      </c>
      <c r="CP73" s="107">
        <f>CP12</f>
        <v>2812910</v>
      </c>
      <c r="CQ73" s="107">
        <f>CQ12</f>
        <v>2796707</v>
      </c>
      <c r="CR73" s="106">
        <f>CQ73</f>
        <v>2796707</v>
      </c>
      <c r="CS73" s="107">
        <f>CS12</f>
        <v>2702290</v>
      </c>
      <c r="CT73" s="107">
        <f>CT12</f>
        <v>2514954</v>
      </c>
      <c r="CU73" s="107">
        <f>CU12</f>
        <v>2453070</v>
      </c>
      <c r="CV73" s="107">
        <f>CV12</f>
        <v>2301868</v>
      </c>
      <c r="CW73" s="106">
        <f>CV73</f>
        <v>2301868</v>
      </c>
      <c r="CX73" s="107">
        <f>CX12</f>
        <v>2071612</v>
      </c>
      <c r="CY73" s="107">
        <f>CY12</f>
        <v>1951507</v>
      </c>
      <c r="CZ73" s="107">
        <f>CZ12</f>
        <v>2544857</v>
      </c>
      <c r="DA73" s="107">
        <f>DA12</f>
        <v>3151868</v>
      </c>
      <c r="DB73" s="106">
        <f>DA73</f>
        <v>3151868</v>
      </c>
      <c r="DC73" s="107">
        <f>DC12</f>
        <v>3441098</v>
      </c>
      <c r="DD73" s="107">
        <f>DD12</f>
        <v>3896053</v>
      </c>
      <c r="DE73" s="107">
        <f>DE12</f>
        <v>4140437</v>
      </c>
      <c r="DF73" s="107">
        <f>DF12</f>
        <v>3221819</v>
      </c>
      <c r="DG73" s="106">
        <f>DF73</f>
        <v>3221819</v>
      </c>
      <c r="DH73" s="107">
        <f>DH12</f>
        <v>3266906</v>
      </c>
      <c r="DI73" s="107">
        <f>DI12</f>
        <v>3222892</v>
      </c>
      <c r="DJ73" s="107">
        <f>DJ74*Forecasts!DJ48</f>
        <v>3222892</v>
      </c>
      <c r="DK73" s="107">
        <f>DK74*Forecasts!DK48</f>
        <v>3320361.9971119398</v>
      </c>
      <c r="DL73" s="106">
        <f>DK73</f>
        <v>3320361.9971119398</v>
      </c>
      <c r="DM73" s="107">
        <f>DM74*Forecasts!DM48</f>
        <v>3320361.9971119398</v>
      </c>
      <c r="DN73" s="107">
        <f>DN74*Forecasts!DN48</f>
        <v>3320361.9971119398</v>
      </c>
      <c r="DO73" s="107">
        <f>DO74*Forecasts!DO48</f>
        <v>3320361.9971119398</v>
      </c>
      <c r="DP73" s="107">
        <f>DP74*Forecasts!DP48</f>
        <v>3320361.9971119398</v>
      </c>
      <c r="DQ73" s="106">
        <f>DP73</f>
        <v>3320361.9971119398</v>
      </c>
      <c r="DR73" s="107">
        <f>DR74*Forecasts!DR48</f>
        <v>3320361.9971119398</v>
      </c>
      <c r="DS73" s="107">
        <f>DS74*Forecasts!DS48</f>
        <v>3320361.9971119398</v>
      </c>
      <c r="DT73" s="107">
        <f>DT74*Forecasts!DT48</f>
        <v>3320361.9971119398</v>
      </c>
      <c r="DU73" s="107">
        <f>DU74*Forecasts!DU48</f>
        <v>3320361.9971119398</v>
      </c>
      <c r="DV73" s="106">
        <f>DU73</f>
        <v>3320361.9971119398</v>
      </c>
      <c r="DW73" s="107">
        <f>DW74*Forecasts!DW48</f>
        <v>3320361.9971119398</v>
      </c>
      <c r="DX73" s="107">
        <f>DX74*Forecasts!DX48</f>
        <v>3320361.9971119398</v>
      </c>
      <c r="DY73" s="107">
        <f>DY74*Forecasts!DY48</f>
        <v>3320361.9971119398</v>
      </c>
      <c r="DZ73" s="107">
        <f>DZ74*Forecasts!DZ48</f>
        <v>3320361.9971119398</v>
      </c>
      <c r="EA73" s="106">
        <f>DZ73</f>
        <v>3320361.9971119398</v>
      </c>
      <c r="EB73" s="107">
        <f>EB74*Forecasts!EB48</f>
        <v>3320361.9971119398</v>
      </c>
      <c r="EC73" s="107">
        <f>EC74*Forecasts!EC48</f>
        <v>3320361.9971119398</v>
      </c>
      <c r="ED73" s="107">
        <f>ED74*Forecasts!ED48</f>
        <v>3320361.9971119398</v>
      </c>
      <c r="EE73" s="107">
        <f>EE74*Forecasts!EE48</f>
        <v>3320361.9971119398</v>
      </c>
      <c r="EF73" s="106">
        <f>EE73</f>
        <v>3320361.9971119398</v>
      </c>
    </row>
    <row r="74" spans="1:136" outlineLevel="1">
      <c r="A74" s="216" t="s">
        <v>96</v>
      </c>
      <c r="B74" s="231" t="e">
        <f>B73/Forecasts!B48</f>
        <v>#DIV/0!</v>
      </c>
      <c r="C74" s="231" t="e">
        <f>C73/Forecasts!C48</f>
        <v>#DIV/0!</v>
      </c>
      <c r="D74" s="231" t="e">
        <f>D73/Forecasts!D48</f>
        <v>#DIV/0!</v>
      </c>
      <c r="E74" s="231" t="e">
        <f>E73/Forecasts!E48</f>
        <v>#DIV/0!</v>
      </c>
      <c r="F74" s="232" t="e">
        <f>F73/Forecasts!F48</f>
        <v>#DIV/0!</v>
      </c>
      <c r="G74" s="231" t="e">
        <f>G73/Forecasts!G48</f>
        <v>#DIV/0!</v>
      </c>
      <c r="H74" s="231" t="e">
        <f>H73/Forecasts!H48</f>
        <v>#DIV/0!</v>
      </c>
      <c r="I74" s="231" t="e">
        <f>I73/Forecasts!I48</f>
        <v>#DIV/0!</v>
      </c>
      <c r="J74" s="231" t="e">
        <f>J73/Forecasts!J48</f>
        <v>#DIV/0!</v>
      </c>
      <c r="K74" s="232" t="e">
        <f>K73/Forecasts!K48</f>
        <v>#DIV/0!</v>
      </c>
      <c r="L74" s="231" t="e">
        <f>L73/Forecasts!L48</f>
        <v>#DIV/0!</v>
      </c>
      <c r="M74" s="231">
        <f>M73/Forecasts!M48</f>
        <v>2.0293836754113188E-2</v>
      </c>
      <c r="N74" s="231">
        <f>N73/Forecasts!N48</f>
        <v>2.5082097533170557E-2</v>
      </c>
      <c r="O74" s="231">
        <f>O73/Forecasts!O48</f>
        <v>2.9671409912012583E-2</v>
      </c>
      <c r="P74" s="232">
        <f>P73/Forecasts!P48</f>
        <v>2.9671409912012583E-2</v>
      </c>
      <c r="Q74" s="231">
        <f>Q73/Forecasts!Q48</f>
        <v>2.9902452028862273E-2</v>
      </c>
      <c r="R74" s="231">
        <f>R73/Forecasts!R48</f>
        <v>4.1120143771396007E-2</v>
      </c>
      <c r="S74" s="231">
        <f>S73/Forecasts!S48</f>
        <v>4.2260982081279444E-2</v>
      </c>
      <c r="T74" s="231">
        <f>T73/Forecasts!T48</f>
        <v>4.4238327307027196E-2</v>
      </c>
      <c r="U74" s="232">
        <f>U73/Forecasts!U48</f>
        <v>4.4238327307027196E-2</v>
      </c>
      <c r="V74" s="231">
        <f>V73/Forecasts!V48</f>
        <v>3.4022915690955766E-2</v>
      </c>
      <c r="W74" s="231">
        <f>W73/Forecasts!W48</f>
        <v>3.1489761235976486E-2</v>
      </c>
      <c r="X74" s="231">
        <f>X73/Forecasts!X48</f>
        <v>4.0648271647631566E-2</v>
      </c>
      <c r="Y74" s="231">
        <f>Y73/Forecasts!Y48</f>
        <v>6.2109067217878434E-2</v>
      </c>
      <c r="Z74" s="232">
        <f>Z73/Forecasts!Z48</f>
        <v>6.2109067217878434E-2</v>
      </c>
      <c r="AA74" s="231">
        <f>AA73/Forecasts!AA48</f>
        <v>5.7566480245070793E-2</v>
      </c>
      <c r="AB74" s="231">
        <f>AB73/Forecasts!AB48</f>
        <v>5.4022129924601037E-2</v>
      </c>
      <c r="AC74" s="231">
        <f>AC73/Forecasts!AC48</f>
        <v>5.5989820047411445E-2</v>
      </c>
      <c r="AD74" s="231">
        <f>AD73/Forecasts!AD48</f>
        <v>6.5233335143453156E-2</v>
      </c>
      <c r="AE74" s="232">
        <f>AE73/Forecasts!AE48</f>
        <v>6.5233335143453156E-2</v>
      </c>
      <c r="AF74" s="231">
        <f>AF73/Forecasts!AF48</f>
        <v>5.8321492552592516E-2</v>
      </c>
      <c r="AG74" s="231">
        <f>AG73/Forecasts!AG48</f>
        <v>6.1847001124070447E-2</v>
      </c>
      <c r="AH74" s="231">
        <f>AH73/Forecasts!AH48</f>
        <v>5.7708792320286577E-2</v>
      </c>
      <c r="AI74" s="231">
        <f>AI73/Forecasts!AI48</f>
        <v>5.0889170331821214E-2</v>
      </c>
      <c r="AJ74" s="232">
        <f>AJ73/Forecasts!AJ48</f>
        <v>5.0889170331821214E-2</v>
      </c>
      <c r="AK74" s="231">
        <f>AK73/Forecasts!AK48</f>
        <v>5.2134048797974591E-2</v>
      </c>
      <c r="AL74" s="231">
        <f>AL73/Forecasts!AL48</f>
        <v>5.1646281821754507E-2</v>
      </c>
      <c r="AM74" s="231">
        <f>AM73/Forecasts!AM48</f>
        <v>5.7745321060705679E-2</v>
      </c>
      <c r="AN74" s="308">
        <f>AN73/Forecasts!AN48</f>
        <v>4.3240685863767343E-2</v>
      </c>
      <c r="AO74" s="232">
        <f>AO73/Forecasts!AO48</f>
        <v>4.3240685863767343E-2</v>
      </c>
      <c r="AP74" s="231">
        <f>AP73/Forecasts!AP48</f>
        <v>3.8582504770513205E-2</v>
      </c>
      <c r="AQ74" s="231">
        <f>AQ73/Forecasts!AQ48</f>
        <v>3.5638729051632276E-2</v>
      </c>
      <c r="AR74" s="231">
        <f>AR73/Forecasts!AR48</f>
        <v>3.2613412618568552E-2</v>
      </c>
      <c r="AS74" s="231">
        <f>AS73/Forecasts!AS48</f>
        <v>2.8484883007624223E-2</v>
      </c>
      <c r="AT74" s="232">
        <f>AT73/Forecasts!AT48</f>
        <v>2.8484883007624223E-2</v>
      </c>
      <c r="AU74" s="231">
        <f>AU73/Forecasts!AU48</f>
        <v>3.3412460366631438E-2</v>
      </c>
      <c r="AV74" s="231">
        <f>AV73/Forecasts!AV48</f>
        <v>3.4412054527411688E-2</v>
      </c>
      <c r="AW74" s="231">
        <f>AW73/Forecasts!AW48</f>
        <v>3.5192105836784657E-2</v>
      </c>
      <c r="AX74" s="231">
        <f>AX73/Forecasts!AX48</f>
        <v>4.6562791626572744E-2</v>
      </c>
      <c r="AY74" s="232">
        <f>AY73/Forecasts!AY48</f>
        <v>4.6562791626572744E-2</v>
      </c>
      <c r="AZ74" s="231">
        <f>AZ73/Forecasts!AZ48</f>
        <v>4.5885037607274012E-2</v>
      </c>
      <c r="BA74" s="231">
        <f>BA73/Forecasts!BA48</f>
        <v>4.3248590162680886E-2</v>
      </c>
      <c r="BB74" s="231">
        <f>BB73/Forecasts!BB48</f>
        <v>4.7543816575482824E-2</v>
      </c>
      <c r="BC74" s="231">
        <f>BC73/Forecasts!BC48</f>
        <v>4.5004383218534755E-2</v>
      </c>
      <c r="BD74" s="232">
        <f>BD73/Forecasts!BD48</f>
        <v>4.5004383218534755E-2</v>
      </c>
      <c r="BE74" s="231">
        <f>BE73/Forecasts!BE48</f>
        <v>4.3818334152960679E-2</v>
      </c>
      <c r="BF74" s="231">
        <f>BF73/Forecasts!BF48</f>
        <v>4.2774004293751854E-2</v>
      </c>
      <c r="BG74" s="231">
        <f>BG73/Forecasts!BG48</f>
        <v>4.2190534668430001E-2</v>
      </c>
      <c r="BH74" s="231">
        <f>BH73/Forecasts!BH48</f>
        <v>3.9434062772611689E-2</v>
      </c>
      <c r="BI74" s="232">
        <f>BI73/Forecasts!BI48</f>
        <v>3.9434062772611689E-2</v>
      </c>
      <c r="BJ74" s="231">
        <f>BJ73/Forecasts!BJ48</f>
        <v>3.8422475636797286E-2</v>
      </c>
      <c r="BK74" s="231">
        <f>BK73/Forecasts!BK48</f>
        <v>3.8586638629523884E-2</v>
      </c>
      <c r="BL74" s="231">
        <f>BL73/Forecasts!BL48</f>
        <v>3.9567445509692482E-2</v>
      </c>
      <c r="BM74" s="231">
        <f>BM73/Forecasts!BM48</f>
        <v>3.6036406145624582E-2</v>
      </c>
      <c r="BN74" s="232">
        <f>BN73/Forecasts!BN48</f>
        <v>3.6036406145624582E-2</v>
      </c>
      <c r="BO74" s="231">
        <f>BO73/Forecasts!BO48</f>
        <v>3.6008152228342513E-2</v>
      </c>
      <c r="BP74" s="231">
        <f>BP73/Forecasts!BP48</f>
        <v>4.0262994445882189E-2</v>
      </c>
      <c r="BQ74" s="231">
        <f>BQ73/Forecasts!BQ48</f>
        <v>4.2622474135569646E-2</v>
      </c>
      <c r="BR74" s="231">
        <f>BR73/Forecasts!BR48</f>
        <v>3.9213470043345286E-2</v>
      </c>
      <c r="BS74" s="232">
        <f>BS73/Forecasts!BS48</f>
        <v>3.9213470043345286E-2</v>
      </c>
      <c r="BT74" s="231">
        <f>BT73/Forecasts!BT48</f>
        <v>3.7830389085172098E-2</v>
      </c>
      <c r="BU74" s="231">
        <f>BU73/Forecasts!BU48</f>
        <v>4.6205099241687558E-2</v>
      </c>
      <c r="BV74" s="231">
        <f>BV73/Forecasts!BV48</f>
        <v>5.1065606224534425E-2</v>
      </c>
      <c r="BW74" s="231">
        <f>BW73/Forecasts!BW48</f>
        <v>4.9683056322877082E-2</v>
      </c>
      <c r="BX74" s="232">
        <f>BX73/Forecasts!BX48</f>
        <v>4.9683056322877082E-2</v>
      </c>
      <c r="BY74" s="231">
        <f>BY73/Forecasts!BY48</f>
        <v>5.3250681796045585E-2</v>
      </c>
      <c r="BZ74" s="231">
        <f>BZ73/Forecasts!BZ48</f>
        <v>5.5736903672057775E-2</v>
      </c>
      <c r="CA74" s="231">
        <f>CA73/Forecasts!CA48</f>
        <v>5.6984301330172529E-2</v>
      </c>
      <c r="CB74" s="231">
        <f>CB73/Forecasts!CB48</f>
        <v>5.9542211401048005E-2</v>
      </c>
      <c r="CC74" s="232">
        <f>CC73/Forecasts!CC48</f>
        <v>5.9542211401048005E-2</v>
      </c>
      <c r="CD74" s="231">
        <f>CD73/Forecasts!CD48</f>
        <v>6.7835084061689782E-2</v>
      </c>
      <c r="CE74" s="231">
        <f>CE73/Forecasts!CE48</f>
        <v>7.1244248640831301E-2</v>
      </c>
      <c r="CF74" s="231">
        <f>CF73/Forecasts!CF48</f>
        <v>5.8273693662379791E-2</v>
      </c>
      <c r="CG74" s="231">
        <f>CG73/Forecasts!CG48</f>
        <v>7.2114512153265309E-2</v>
      </c>
      <c r="CH74" s="232">
        <f>CH73/Forecasts!CH48</f>
        <v>7.2114512153265309E-2</v>
      </c>
      <c r="CI74" s="231">
        <f>CI73/Forecasts!CI48</f>
        <v>7.2636688741721855E-2</v>
      </c>
      <c r="CJ74" s="231">
        <f>CJ73/Forecasts!CJ48</f>
        <v>7.8515557772650749E-2</v>
      </c>
      <c r="CK74" s="231">
        <f>CK73/Forecasts!CK48</f>
        <v>9.3223900789177E-2</v>
      </c>
      <c r="CL74" s="231">
        <f>CL73/Forecasts!CL48</f>
        <v>9.3542372881355931E-2</v>
      </c>
      <c r="CM74" s="232">
        <f>CM73/Forecasts!CM48</f>
        <v>9.3542372881355931E-2</v>
      </c>
      <c r="CN74" s="231">
        <f>CN73/Forecasts!CN48</f>
        <v>9.1859809449737512E-2</v>
      </c>
      <c r="CO74" s="231">
        <f>CO73/Forecasts!CO48</f>
        <v>8.0071072924889186E-2</v>
      </c>
      <c r="CP74" s="231">
        <f>CP73/Forecasts!CP48</f>
        <v>8.9577415451245146E-2</v>
      </c>
      <c r="CQ74" s="231">
        <f>CQ73/Forecasts!CQ48</f>
        <v>9.8257632716157825E-2</v>
      </c>
      <c r="CR74" s="232">
        <f>CR73/Forecasts!CR48</f>
        <v>9.8257632716157825E-2</v>
      </c>
      <c r="CS74" s="231">
        <f>CS73/Forecasts!CS48</f>
        <v>9.3295011220438456E-2</v>
      </c>
      <c r="CT74" s="231">
        <f>CT73/Forecasts!CT48</f>
        <v>9.3392030896060005E-2</v>
      </c>
      <c r="CU74" s="231">
        <f>CU73/Forecasts!CU48</f>
        <v>9.1954492634104282E-2</v>
      </c>
      <c r="CV74" s="231">
        <f>CV73/Forecasts!CV48</f>
        <v>8.8618594802694906E-2</v>
      </c>
      <c r="CW74" s="232">
        <f>CW73/Forecasts!CW48</f>
        <v>8.8618594802694906E-2</v>
      </c>
      <c r="CX74" s="231">
        <f>CX73/Forecasts!CX48</f>
        <v>0.20070983957609251</v>
      </c>
      <c r="CY74" s="231">
        <f>CY73/Forecasts!CY48</f>
        <v>0.16642452922207399</v>
      </c>
      <c r="CZ74" s="231">
        <f>CZ73/Forecasts!CZ48</f>
        <v>0.17316609281882717</v>
      </c>
      <c r="DA74" s="231">
        <f>DA73/Forecasts!DA48</f>
        <v>0.15443623457470554</v>
      </c>
      <c r="DB74" s="232">
        <f>DB73/Forecasts!DB48</f>
        <v>0.15443623457470554</v>
      </c>
      <c r="DC74" s="231">
        <f>DC73/Forecasts!DC48</f>
        <v>0.18055013104351869</v>
      </c>
      <c r="DD74" s="231">
        <f>DD73/Forecasts!DD48</f>
        <v>0.19273600187371182</v>
      </c>
      <c r="DE74" s="231">
        <f>DE73/Forecasts!DE48</f>
        <v>0.22460085319105708</v>
      </c>
      <c r="DF74" s="231">
        <f>DF73/Forecasts!DF48</f>
        <v>0.16237961083993802</v>
      </c>
      <c r="DG74" s="232">
        <f>DG73/Forecasts!DG48</f>
        <v>0.16237961083993802</v>
      </c>
      <c r="DH74" s="231">
        <f>DH73/Forecasts!DH48</f>
        <v>0.17941415750837483</v>
      </c>
      <c r="DI74" s="231">
        <f>DI73/Forecasts!DI48</f>
        <v>0.18442250589924331</v>
      </c>
      <c r="DJ74" s="233">
        <f>DI74</f>
        <v>0.18442250589924331</v>
      </c>
      <c r="DK74" s="233">
        <v>0.19</v>
      </c>
      <c r="DL74" s="232">
        <f>DL73/Forecasts!DL48</f>
        <v>0.19</v>
      </c>
      <c r="DM74" s="233">
        <f>DK74</f>
        <v>0.19</v>
      </c>
      <c r="DN74" s="233">
        <f>DM74</f>
        <v>0.19</v>
      </c>
      <c r="DO74" s="233">
        <f>DN74</f>
        <v>0.19</v>
      </c>
      <c r="DP74" s="233">
        <f>DO74</f>
        <v>0.19</v>
      </c>
      <c r="DQ74" s="232">
        <f>DQ73/Forecasts!DQ48</f>
        <v>0.19</v>
      </c>
      <c r="DR74" s="233">
        <f>DP74</f>
        <v>0.19</v>
      </c>
      <c r="DS74" s="233">
        <f>DR74</f>
        <v>0.19</v>
      </c>
      <c r="DT74" s="233">
        <f>DS74</f>
        <v>0.19</v>
      </c>
      <c r="DU74" s="233">
        <f>DT74</f>
        <v>0.19</v>
      </c>
      <c r="DV74" s="232">
        <f>DV73/Forecasts!DV48</f>
        <v>0.19</v>
      </c>
      <c r="DW74" s="233">
        <f>DU74</f>
        <v>0.19</v>
      </c>
      <c r="DX74" s="233">
        <f>DW74</f>
        <v>0.19</v>
      </c>
      <c r="DY74" s="233">
        <f>DX74</f>
        <v>0.19</v>
      </c>
      <c r="DZ74" s="233">
        <f>DY74</f>
        <v>0.19</v>
      </c>
      <c r="EA74" s="232">
        <f>EA73/Forecasts!EA48</f>
        <v>0.19</v>
      </c>
      <c r="EB74" s="233">
        <f>DZ74</f>
        <v>0.19</v>
      </c>
      <c r="EC74" s="233">
        <f>EB74</f>
        <v>0.19</v>
      </c>
      <c r="ED74" s="233">
        <f>EC74</f>
        <v>0.19</v>
      </c>
      <c r="EE74" s="233">
        <f>ED74</f>
        <v>0.19</v>
      </c>
      <c r="EF74" s="232">
        <f>EF73/Forecasts!EF48</f>
        <v>0.19</v>
      </c>
    </row>
    <row r="75" spans="1:136" outlineLevel="1">
      <c r="A75" s="66" t="s">
        <v>111</v>
      </c>
      <c r="B75" s="107">
        <f t="shared" ref="B75:Q75" si="242">B13</f>
        <v>80913</v>
      </c>
      <c r="C75" s="107">
        <f t="shared" si="242"/>
        <v>79900</v>
      </c>
      <c r="D75" s="107">
        <f t="shared" si="242"/>
        <v>77804</v>
      </c>
      <c r="E75" s="107">
        <f t="shared" si="242"/>
        <v>0</v>
      </c>
      <c r="F75" s="106">
        <f t="shared" si="242"/>
        <v>0</v>
      </c>
      <c r="G75" s="107">
        <f t="shared" si="242"/>
        <v>0</v>
      </c>
      <c r="H75" s="107">
        <f t="shared" si="242"/>
        <v>0</v>
      </c>
      <c r="I75" s="107">
        <f t="shared" si="242"/>
        <v>0</v>
      </c>
      <c r="J75" s="107">
        <f t="shared" si="242"/>
        <v>0</v>
      </c>
      <c r="K75" s="106">
        <f t="shared" si="242"/>
        <v>0</v>
      </c>
      <c r="L75" s="107">
        <f t="shared" si="242"/>
        <v>171006</v>
      </c>
      <c r="M75" s="107">
        <f t="shared" si="242"/>
        <v>202109</v>
      </c>
      <c r="N75" s="107">
        <f t="shared" si="242"/>
        <v>216826</v>
      </c>
      <c r="O75" s="107">
        <f t="shared" si="242"/>
        <v>301501</v>
      </c>
      <c r="P75" s="106">
        <f t="shared" si="242"/>
        <v>301501</v>
      </c>
      <c r="Q75" s="107">
        <f t="shared" si="242"/>
        <v>276640</v>
      </c>
      <c r="R75" s="107">
        <f>R13</f>
        <v>302064</v>
      </c>
      <c r="S75" s="107">
        <f>S13</f>
        <v>397765</v>
      </c>
      <c r="T75" s="107">
        <f>T13</f>
        <v>570145</v>
      </c>
      <c r="U75" s="106">
        <f>T75</f>
        <v>570145</v>
      </c>
      <c r="V75" s="107">
        <f>V13</f>
        <v>664804</v>
      </c>
      <c r="W75" s="107">
        <f>W13</f>
        <v>592902</v>
      </c>
      <c r="X75" s="107">
        <f>X13</f>
        <v>638030</v>
      </c>
      <c r="Y75" s="107">
        <f>Y13</f>
        <v>741143</v>
      </c>
      <c r="Z75" s="106">
        <f>Y75</f>
        <v>741143</v>
      </c>
      <c r="AA75" s="107">
        <f>AA13</f>
        <v>883496</v>
      </c>
      <c r="AB75" s="107">
        <f>AB13</f>
        <v>928400</v>
      </c>
      <c r="AC75" s="107">
        <f>AC13</f>
        <v>962363</v>
      </c>
      <c r="AD75" s="107">
        <f>AD13</f>
        <v>963192</v>
      </c>
      <c r="AE75" s="106">
        <f>AD75</f>
        <v>963192</v>
      </c>
      <c r="AF75" s="107">
        <f>AF13</f>
        <v>820453</v>
      </c>
      <c r="AG75" s="107">
        <f>AG13</f>
        <v>850497</v>
      </c>
      <c r="AH75" s="107">
        <f>AH13</f>
        <v>943970</v>
      </c>
      <c r="AI75" s="107">
        <f>AI13</f>
        <v>1376495</v>
      </c>
      <c r="AJ75" s="106">
        <f>AI75</f>
        <v>1376495</v>
      </c>
      <c r="AK75" s="107">
        <f>AK13</f>
        <v>1415418</v>
      </c>
      <c r="AL75" s="107">
        <f>AL13</f>
        <v>1442083</v>
      </c>
      <c r="AM75" s="107">
        <f>AM13</f>
        <v>1323187</v>
      </c>
      <c r="AN75" s="107">
        <f>AN13</f>
        <v>1500978</v>
      </c>
      <c r="AO75" s="106">
        <f>AN75</f>
        <v>1500978</v>
      </c>
      <c r="AP75" s="107">
        <f>AP13</f>
        <v>1569172</v>
      </c>
      <c r="AQ75" s="107">
        <f>AQ13</f>
        <v>1887006</v>
      </c>
      <c r="AR75" s="107">
        <f>AR13</f>
        <v>1712936</v>
      </c>
      <c r="AS75" s="107">
        <f>AS13</f>
        <v>1772546</v>
      </c>
      <c r="AT75" s="106">
        <f>AS75</f>
        <v>1772546</v>
      </c>
      <c r="AU75" s="107">
        <f>AU13</f>
        <v>1646358</v>
      </c>
      <c r="AV75" s="107">
        <f>AV13</f>
        <v>1735015</v>
      </c>
      <c r="AW75" s="107">
        <f>AW13</f>
        <v>1829995</v>
      </c>
      <c r="AX75" s="107">
        <f>AX13</f>
        <v>1807447</v>
      </c>
      <c r="AY75" s="106">
        <f>AX75</f>
        <v>1807447</v>
      </c>
      <c r="AZ75" s="107">
        <f>AZ13</f>
        <v>1987089</v>
      </c>
      <c r="BA75" s="107">
        <f>BA13</f>
        <v>2044752</v>
      </c>
      <c r="BB75" s="107">
        <f>BB13</f>
        <v>2232095</v>
      </c>
      <c r="BC75" s="107">
        <f>BC13</f>
        <v>2047907</v>
      </c>
      <c r="BD75" s="106">
        <f>BC75</f>
        <v>2047907</v>
      </c>
      <c r="BE75" s="107">
        <f>BE13</f>
        <v>2076785</v>
      </c>
      <c r="BF75" s="107">
        <f>BF13</f>
        <v>2226144</v>
      </c>
      <c r="BG75" s="107">
        <f>BG13</f>
        <v>2236340</v>
      </c>
      <c r="BH75" s="107">
        <f>BH13</f>
        <v>2218252</v>
      </c>
      <c r="BI75" s="106">
        <f>BH75</f>
        <v>2218252</v>
      </c>
      <c r="BJ75" s="107">
        <f>BJ13</f>
        <v>2219961</v>
      </c>
      <c r="BK75" s="107">
        <f>BK13</f>
        <v>2373487</v>
      </c>
      <c r="BL75" s="107">
        <f>BL13</f>
        <v>2358509</v>
      </c>
      <c r="BM75" s="107">
        <f>BM13</f>
        <v>2303216</v>
      </c>
      <c r="BN75" s="106">
        <f>BM75</f>
        <v>2303216</v>
      </c>
      <c r="BO75" s="107">
        <f>BO13</f>
        <v>2206559</v>
      </c>
      <c r="BP75" s="107">
        <f>BP13</f>
        <v>2078814</v>
      </c>
      <c r="BQ75" s="107">
        <f>BQ13</f>
        <v>1987179</v>
      </c>
      <c r="BR75" s="107">
        <f>BR13</f>
        <v>1766257</v>
      </c>
      <c r="BS75" s="106">
        <f>BR75</f>
        <v>1766257</v>
      </c>
      <c r="BT75" s="107">
        <f>BT13</f>
        <v>1717662</v>
      </c>
      <c r="BU75" s="107">
        <f>BU13</f>
        <v>1119993</v>
      </c>
      <c r="BV75" s="107">
        <f>BV13</f>
        <v>757038</v>
      </c>
      <c r="BW75" s="107">
        <f>BW13</f>
        <v>1094648</v>
      </c>
      <c r="BX75" s="106">
        <f>BW75</f>
        <v>1094648</v>
      </c>
      <c r="BY75" s="107">
        <f>BY13</f>
        <v>1118238</v>
      </c>
      <c r="BZ75" s="107">
        <f>BZ13</f>
        <v>1200224</v>
      </c>
      <c r="CA75" s="107">
        <f>CA13</f>
        <v>1253025</v>
      </c>
      <c r="CB75" s="107">
        <f>CB13</f>
        <v>1222349</v>
      </c>
      <c r="CC75" s="106">
        <f>CB75</f>
        <v>1222349</v>
      </c>
      <c r="CD75" s="107">
        <f>CD13</f>
        <v>1237154</v>
      </c>
      <c r="CE75" s="107">
        <f>CE13</f>
        <v>1360836</v>
      </c>
      <c r="CF75" s="107">
        <f>CF13</f>
        <v>1016061</v>
      </c>
      <c r="CG75" s="107">
        <f>CG13</f>
        <v>916410</v>
      </c>
      <c r="CH75" s="106">
        <f>CG75</f>
        <v>916410</v>
      </c>
      <c r="CI75" s="107">
        <f>CI13</f>
        <v>1158145</v>
      </c>
      <c r="CJ75" s="107">
        <f>CJ13</f>
        <v>1263696</v>
      </c>
      <c r="CK75" s="107">
        <f>CK13</f>
        <v>1361912</v>
      </c>
      <c r="CL75" s="107">
        <f>CL13</f>
        <v>1685660</v>
      </c>
      <c r="CM75" s="106">
        <f>CL75</f>
        <v>1685660</v>
      </c>
      <c r="CN75" s="107">
        <f>CN13</f>
        <v>1835593</v>
      </c>
      <c r="CO75" s="107">
        <f>CO13</f>
        <v>1900345</v>
      </c>
      <c r="CP75" s="107">
        <f>CP13</f>
        <v>1957465</v>
      </c>
      <c r="CQ75" s="107">
        <f>CQ13</f>
        <v>2134572</v>
      </c>
      <c r="CR75" s="106">
        <f>CQ75</f>
        <v>2134572</v>
      </c>
      <c r="CS75" s="107">
        <f>CS13</f>
        <v>2198409</v>
      </c>
      <c r="CT75" s="107">
        <f>CT13</f>
        <v>2320232</v>
      </c>
      <c r="CU75" s="107">
        <f>CU13</f>
        <v>2233645</v>
      </c>
      <c r="CV75" s="107">
        <f>CV13</f>
        <v>2282025</v>
      </c>
      <c r="CW75" s="106">
        <f>CV75</f>
        <v>2282025</v>
      </c>
      <c r="CX75" s="107">
        <f>CX13</f>
        <v>2348379</v>
      </c>
      <c r="CY75" s="107">
        <f>CY13</f>
        <v>2324088</v>
      </c>
      <c r="CZ75" s="107">
        <f>CZ13</f>
        <v>2396709</v>
      </c>
      <c r="DA75" s="107">
        <f>DA13</f>
        <v>2600662</v>
      </c>
      <c r="DB75" s="106">
        <f>DA75</f>
        <v>2600662</v>
      </c>
      <c r="DC75" s="107">
        <f>DC13</f>
        <v>2624030</v>
      </c>
      <c r="DD75" s="107">
        <f>DD13</f>
        <v>2508323</v>
      </c>
      <c r="DE75" s="107">
        <f>DE13</f>
        <v>2423455</v>
      </c>
      <c r="DF75" s="107">
        <f>DF13</f>
        <v>3458433</v>
      </c>
      <c r="DG75" s="106">
        <f>DF75</f>
        <v>3458433</v>
      </c>
      <c r="DH75" s="107">
        <f>DH13</f>
        <v>3578165</v>
      </c>
      <c r="DI75" s="107">
        <f>DI13</f>
        <v>3693567</v>
      </c>
      <c r="DJ75" s="107">
        <f>DJ76*(Forecasts!DJ25+Forecasts!DJ26)</f>
        <v>3341754.8879400417</v>
      </c>
      <c r="DK75" s="107">
        <f>DK76*(Forecasts!DK25+Forecasts!DK26)</f>
        <v>3561109.0125835356</v>
      </c>
      <c r="DL75" s="106">
        <f>DK75</f>
        <v>3561109.0125835356</v>
      </c>
      <c r="DM75" s="107">
        <f>DM76*(Forecasts!DM25+Forecasts!DM26)</f>
        <v>3366876.6386933071</v>
      </c>
      <c r="DN75" s="107">
        <f>DN76*(Forecasts!DN25+Forecasts!DN26)</f>
        <v>3317940.0518041397</v>
      </c>
      <c r="DO75" s="107">
        <f>DO76*(Forecasts!DO25+Forecasts!DO26)</f>
        <v>3412172.7404872705</v>
      </c>
      <c r="DP75" s="107">
        <f>DP76*(Forecasts!DP25+Forecasts!DP26)</f>
        <v>3617285.6732209148</v>
      </c>
      <c r="DQ75" s="106">
        <f>DP75</f>
        <v>3617285.6732209148</v>
      </c>
      <c r="DR75" s="107">
        <f>DR76*(Forecasts!DR25+Forecasts!DR26)</f>
        <v>3417272.1785197887</v>
      </c>
      <c r="DS75" s="107">
        <f>DS76*(Forecasts!DS25+Forecasts!DS26)</f>
        <v>3378647.7760246159</v>
      </c>
      <c r="DT75" s="107">
        <f>DT76*(Forecasts!DT25+Forecasts!DT26)</f>
        <v>3492159.9234660268</v>
      </c>
      <c r="DU75" s="107">
        <f>DU76*(Forecasts!DU25+Forecasts!DU26)</f>
        <v>3708275.0966421496</v>
      </c>
      <c r="DV75" s="106">
        <f>DU75</f>
        <v>3708275.0966421496</v>
      </c>
      <c r="DW75" s="107">
        <f>DW76*(Forecasts!DW25+Forecasts!DW26)</f>
        <v>3513654.8238195074</v>
      </c>
      <c r="DX75" s="107">
        <f>DX76*(Forecasts!DX25+Forecasts!DX26)</f>
        <v>3481587.1480800272</v>
      </c>
      <c r="DY75" s="107">
        <f>DY76*(Forecasts!DY25+Forecasts!DY26)</f>
        <v>3614119.4128114888</v>
      </c>
      <c r="DZ75" s="107">
        <f>DZ76*(Forecasts!DZ25+Forecasts!DZ26)</f>
        <v>3860905.1027728477</v>
      </c>
      <c r="EA75" s="106">
        <f>DZ75</f>
        <v>3860905.1027728477</v>
      </c>
      <c r="EB75" s="107">
        <f>EB76*(Forecasts!EB25+Forecasts!EB26)</f>
        <v>3674069.9358239179</v>
      </c>
      <c r="EC75" s="107">
        <f>EC76*(Forecasts!EC25+Forecasts!EC26)</f>
        <v>3651709.8212168799</v>
      </c>
      <c r="ED75" s="107">
        <f>ED76*(Forecasts!ED25+Forecasts!ED26)</f>
        <v>3792194.0289219404</v>
      </c>
      <c r="EE75" s="107">
        <f>EE76*(Forecasts!EE25+Forecasts!EE26)</f>
        <v>4053499.938787262</v>
      </c>
      <c r="EF75" s="106">
        <f>EE75</f>
        <v>4053499.938787262</v>
      </c>
    </row>
    <row r="76" spans="1:136" outlineLevel="1">
      <c r="A76" s="216" t="s">
        <v>141</v>
      </c>
      <c r="B76" s="234" t="e">
        <f>-365/(B70/B75)</f>
        <v>#REF!</v>
      </c>
      <c r="C76" s="234" t="e">
        <f>-365/(C70/C75)</f>
        <v>#REF!</v>
      </c>
      <c r="D76" s="234" t="e">
        <f>-365/(D70/D75)</f>
        <v>#REF!</v>
      </c>
      <c r="E76" s="234" t="e">
        <f>-365/(E70/E75)</f>
        <v>#DIV/0!</v>
      </c>
      <c r="F76" s="232">
        <f>F75/Forecasts!F24</f>
        <v>0</v>
      </c>
      <c r="G76" s="231">
        <f>G75/Forecasts!G24</f>
        <v>0</v>
      </c>
      <c r="H76" s="231">
        <f>H75/Forecasts!H24</f>
        <v>0</v>
      </c>
      <c r="I76" s="231">
        <f>I75/Forecasts!I24</f>
        <v>0</v>
      </c>
      <c r="J76" s="231">
        <f>J75/Forecasts!J24</f>
        <v>0</v>
      </c>
      <c r="K76" s="232">
        <f>K75/Forecasts!K24</f>
        <v>0</v>
      </c>
      <c r="L76" s="231">
        <f>L75/Forecasts!L24</f>
        <v>0.109975779295436</v>
      </c>
      <c r="M76" s="231">
        <f>M75/Forecasts!M24</f>
        <v>0.1170592504255589</v>
      </c>
      <c r="N76" s="231">
        <f>N75/Forecasts!N24</f>
        <v>0.11713011606267439</v>
      </c>
      <c r="O76" s="231">
        <f>O75/Forecasts!O24</f>
        <v>0.13516393560210738</v>
      </c>
      <c r="P76" s="232">
        <f>P75/Forecasts!P24</f>
        <v>0.13516393560210738</v>
      </c>
      <c r="Q76" s="231">
        <f>Q75/Forecasts!Q24</f>
        <v>0.13186224437509622</v>
      </c>
      <c r="R76" s="231">
        <f>R75/Forecasts!R24</f>
        <v>0.14720761964542176</v>
      </c>
      <c r="S76" s="231">
        <f>S75/Forecasts!S24</f>
        <v>0.17520070791190215</v>
      </c>
      <c r="T76" s="231">
        <f>T75/Forecasts!T24</f>
        <v>0.19825537909132415</v>
      </c>
      <c r="U76" s="232">
        <f>U75/Forecasts!U24</f>
        <v>0.19825537909132415</v>
      </c>
      <c r="V76" s="231">
        <f>V75/Forecasts!V24</f>
        <v>0.24792705439221316</v>
      </c>
      <c r="W76" s="231">
        <f>W75/Forecasts!W24</f>
        <v>0.20282843625242458</v>
      </c>
      <c r="X76" s="231">
        <f>X75/Forecasts!X24</f>
        <v>0.21826527631153131</v>
      </c>
      <c r="Y76" s="231">
        <f>Y75/Forecasts!Y24</f>
        <v>0.23062515675439518</v>
      </c>
      <c r="Z76" s="232">
        <f>Z75/Forecasts!Z24</f>
        <v>0.23062515675439518</v>
      </c>
      <c r="AA76" s="231">
        <f>AA75/Forecasts!AA24</f>
        <v>0.27053056075252846</v>
      </c>
      <c r="AB76" s="231">
        <f>AB75/Forecasts!AB24</f>
        <v>0.30238796597516537</v>
      </c>
      <c r="AC76" s="231">
        <f>AC75/Forecasts!AC24</f>
        <v>0.2837851984287415</v>
      </c>
      <c r="AD76" s="231">
        <f>AD75/Forecasts!AD24</f>
        <v>0.26213400405940956</v>
      </c>
      <c r="AE76" s="232">
        <f>AE75/Forecasts!AE24</f>
        <v>0.26213400405940956</v>
      </c>
      <c r="AF76" s="231">
        <f>AF75/Forecasts!AF24</f>
        <v>0.25599413161067441</v>
      </c>
      <c r="AG76" s="231">
        <f>AG75/Forecasts!AG24</f>
        <v>0.30456210940353601</v>
      </c>
      <c r="AH76" s="231">
        <f>AH75/Forecasts!AH24</f>
        <v>0.30191997139345295</v>
      </c>
      <c r="AI76" s="231">
        <f>AI75/Forecasts!AI24</f>
        <v>0.26927267747804146</v>
      </c>
      <c r="AJ76" s="232">
        <f>AJ75/Forecasts!AJ24</f>
        <v>0.26927267747804146</v>
      </c>
      <c r="AK76" s="231">
        <f>AK75/Forecasts!AK24</f>
        <v>0.26884043381640677</v>
      </c>
      <c r="AL76" s="231">
        <f>AL75/Forecasts!AL24</f>
        <v>0.27463016568272708</v>
      </c>
      <c r="AM76" s="231">
        <f>AM75/Forecasts!AM24</f>
        <v>0.23015950600104365</v>
      </c>
      <c r="AN76" s="231">
        <f>AN75/Forecasts!AN24</f>
        <v>0.23038802762854951</v>
      </c>
      <c r="AO76" s="232">
        <f>AO75/Forecasts!AO24</f>
        <v>0.23038802762854951</v>
      </c>
      <c r="AP76" s="231">
        <f>AP75/Forecasts!AP24</f>
        <v>0.24499172521467602</v>
      </c>
      <c r="AQ76" s="231">
        <f>AQ75/Forecasts!AQ24</f>
        <v>0.30211431316042264</v>
      </c>
      <c r="AR76" s="231">
        <f>AR75/Forecasts!AR24</f>
        <v>0.27654762673555056</v>
      </c>
      <c r="AS76" s="231">
        <f>AS75/Forecasts!AS24</f>
        <v>0.26751373377603382</v>
      </c>
      <c r="AT76" s="232">
        <f>AT75/Forecasts!AT24</f>
        <v>0.26751373377603382</v>
      </c>
      <c r="AU76" s="231">
        <f>AU75/Forecasts!AU24</f>
        <v>0.25967791798107254</v>
      </c>
      <c r="AV76" s="231">
        <f>AV75/Forecasts!AV24</f>
        <v>0.28151660690237057</v>
      </c>
      <c r="AW76" s="231">
        <f>AW75/Forecasts!AW24</f>
        <v>0.29357423598299509</v>
      </c>
      <c r="AX76" s="231">
        <f>AX75/Forecasts!AX24</f>
        <v>0.2696072494033413</v>
      </c>
      <c r="AY76" s="232">
        <f>AY75/Forecasts!AY24</f>
        <v>0.2696072494033413</v>
      </c>
      <c r="AZ76" s="231">
        <f>AZ75/Forecasts!AZ24</f>
        <v>0.27648379017670793</v>
      </c>
      <c r="BA76" s="231">
        <f>BA75/Forecasts!BA24</f>
        <v>0.2912752136752137</v>
      </c>
      <c r="BB76" s="231">
        <f>BB75/Forecasts!BB24</f>
        <v>0.32325778421433743</v>
      </c>
      <c r="BC76" s="231">
        <f>BC75/Forecasts!BC24</f>
        <v>0.27934892920474697</v>
      </c>
      <c r="BD76" s="232">
        <f>BD75/Forecasts!BD24</f>
        <v>0.27934892920474697</v>
      </c>
      <c r="BE76" s="231">
        <f>BE75/Forecasts!BE24</f>
        <v>0.30015681456857929</v>
      </c>
      <c r="BF76" s="231">
        <f>BF75/Forecasts!BF24</f>
        <v>0.3070543448275862</v>
      </c>
      <c r="BG76" s="231">
        <f>BG75/Forecasts!BG24</f>
        <v>0.32633007441996204</v>
      </c>
      <c r="BH76" s="231">
        <f>BH75/Forecasts!BH24</f>
        <v>0.33799360048758192</v>
      </c>
      <c r="BI76" s="232">
        <f>BI75/(Forecasts!BI25+Forecasts!BI26)</f>
        <v>0.44940275526742302</v>
      </c>
      <c r="BJ76" s="231">
        <f>BJ75/Forecasts!BJ24</f>
        <v>0.34258657407407406</v>
      </c>
      <c r="BK76" s="231">
        <f>BK75/Forecasts!BK24</f>
        <v>0.36192238487343703</v>
      </c>
      <c r="BL76" s="231">
        <f>BL75/Forecasts!BL24</f>
        <v>0.36782735495945101</v>
      </c>
      <c r="BM76" s="231">
        <f>BM75/Forecasts!BM24</f>
        <v>0.35233532201315587</v>
      </c>
      <c r="BN76" s="232">
        <f>BN75/(Forecasts!BN25+Forecasts!BN26)</f>
        <v>0.55700507859733983</v>
      </c>
      <c r="BO76" s="231">
        <f>BO75/Forecasts!BO24</f>
        <v>0.33201309058080047</v>
      </c>
      <c r="BP76" s="231">
        <f>BP75/Forecasts!BP24</f>
        <v>0.32274708896134141</v>
      </c>
      <c r="BQ76" s="231">
        <f>BQ75/Forecasts!BQ24</f>
        <v>0.31989359304571796</v>
      </c>
      <c r="BR76" s="231">
        <f>BR75/Forecasts!BR24</f>
        <v>0.28598720854922277</v>
      </c>
      <c r="BS76" s="232">
        <f>BS75/(Forecasts!BS25+Forecasts!BS26)</f>
        <v>0.49223779262079598</v>
      </c>
      <c r="BT76" s="231">
        <f>BT75/Forecasts!BT24</f>
        <v>0.29049872108055669</v>
      </c>
      <c r="BU76" s="231">
        <f>BU75/Forecasts!BU24</f>
        <v>0.19345934063808126</v>
      </c>
      <c r="BV76" s="231">
        <f>BV75/Forecasts!BV24</f>
        <v>0.13581593110871906</v>
      </c>
      <c r="BW76" s="231">
        <f>BW75/Forecasts!BW24</f>
        <v>0.23683997459934925</v>
      </c>
      <c r="BX76" s="232">
        <f>BX75/(Forecasts!BX25+Forecasts!BX26)</f>
        <v>0.51408236914801886</v>
      </c>
      <c r="BY76" s="231">
        <f>BY75/Forecasts!BY24</f>
        <v>0.26954950503103114</v>
      </c>
      <c r="BZ76" s="231">
        <f>BZ75/Forecasts!BZ24</f>
        <v>0.27000676284005226</v>
      </c>
      <c r="CA76" s="231">
        <f>CA75/Forecasts!CA24</f>
        <v>0.29212321821018528</v>
      </c>
      <c r="CB76" s="231">
        <f>CB75/Forecasts!CB24</f>
        <v>0.28164444986714893</v>
      </c>
      <c r="CC76" s="232">
        <f>CC75/(Forecasts!CC25+Forecasts!CC26)</f>
        <v>0.47921936086333861</v>
      </c>
      <c r="CD76" s="231">
        <f>CD75/Forecasts!CD24</f>
        <v>0.27616636333333283</v>
      </c>
      <c r="CE76" s="231">
        <f>CE75/Forecasts!CE24</f>
        <v>0.32031338810683041</v>
      </c>
      <c r="CF76" s="231">
        <f>CF75/Forecasts!CF24</f>
        <v>0.23622728832472489</v>
      </c>
      <c r="CG76" s="231">
        <f>CG75/Forecasts!CG24</f>
        <v>0.16740022073503688</v>
      </c>
      <c r="CH76" s="232">
        <f>CH75/(Forecasts!CH25+Forecasts!CH26)</f>
        <v>0.23228384968574792</v>
      </c>
      <c r="CI76" s="231">
        <f>CI75/Forecasts!CI24</f>
        <v>0.23660604201274235</v>
      </c>
      <c r="CJ76" s="231">
        <f>CJ75/Forecasts!CJ24</f>
        <v>0.23051732944180955</v>
      </c>
      <c r="CK76" s="231">
        <f>CK75/Forecasts!CK24</f>
        <v>0.21013917605307822</v>
      </c>
      <c r="CL76" s="231">
        <f>CL75/Forecasts!CL24</f>
        <v>0.22556670681118693</v>
      </c>
      <c r="CM76" s="232">
        <f>CM75/(Forecasts!CM25+Forecasts!CM26)</f>
        <v>0.25989207523897628</v>
      </c>
      <c r="CN76" s="231">
        <f>CN75/Forecasts!CN24</f>
        <v>0.2544134442134442</v>
      </c>
      <c r="CO76" s="231">
        <f>CO75/Forecasts!CO24</f>
        <v>0.23342893993366909</v>
      </c>
      <c r="CP76" s="231">
        <f>CP75/Forecasts!CP24</f>
        <v>0.2196683873863764</v>
      </c>
      <c r="CQ76" s="231">
        <f>CQ75/Forecasts!CQ24</f>
        <v>0.23537016209063844</v>
      </c>
      <c r="CR76" s="232">
        <f>CR75/(Forecasts!CR25+Forecasts!CR26)</f>
        <v>0.27122897077509528</v>
      </c>
      <c r="CS76" s="231">
        <f>CS75/Forecasts!CS24</f>
        <v>0.25287587468407841</v>
      </c>
      <c r="CT76" s="231">
        <f>CT75/Forecasts!CT24</f>
        <v>0.23756166986386323</v>
      </c>
      <c r="CU76" s="231">
        <f>CU75/Forecasts!CU24</f>
        <v>0.22883269531863043</v>
      </c>
      <c r="CV76" s="231">
        <f>CV75/Forecasts!CV24</f>
        <v>0.22971844542689823</v>
      </c>
      <c r="CW76" s="232">
        <f>CW75/(Forecasts!CW25+Forecasts!CW26)</f>
        <v>0.27337746001755886</v>
      </c>
      <c r="CX76" s="231">
        <f>CX75/Forecasts!CX24</f>
        <v>0.24778145013456426</v>
      </c>
      <c r="CY76" s="231">
        <f>CY75/Forecasts!CY24</f>
        <v>0.26806642166031286</v>
      </c>
      <c r="CZ76" s="231">
        <f>CZ75/Forecasts!CZ24</f>
        <v>0.27570591268195449</v>
      </c>
      <c r="DA76" s="231">
        <f>DA75/Forecasts!DA24</f>
        <v>0.24640457821619394</v>
      </c>
      <c r="DB76" s="232">
        <f>DB75/(Forecasts!DB25+Forecasts!DB26)</f>
        <v>0.28768924534549811</v>
      </c>
      <c r="DC76" s="231">
        <f>DC75/Forecasts!DC24</f>
        <v>0.21147731294282751</v>
      </c>
      <c r="DD76" s="231">
        <f>DD75/Forecasts!DD24</f>
        <v>0.18742812397708691</v>
      </c>
      <c r="DE76" s="231">
        <f>DE75/Forecasts!DE24</f>
        <v>0.16109893443756587</v>
      </c>
      <c r="DF76" s="231">
        <f>DF75/Forecasts!DF24</f>
        <v>0.21276083340000659</v>
      </c>
      <c r="DG76" s="232">
        <f>DG75/(Forecasts!DG25+Forecasts!DG26)</f>
        <v>0.24682388202716271</v>
      </c>
      <c r="DH76" s="231">
        <f>DH75/Forecasts!DH24</f>
        <v>0.23210473715113047</v>
      </c>
      <c r="DI76" s="231">
        <f>DI75/Forecasts!DI24</f>
        <v>0.21497710216620516</v>
      </c>
      <c r="DJ76" s="233">
        <f>DI76</f>
        <v>0.21497710216620516</v>
      </c>
      <c r="DK76" s="233">
        <f>DJ76</f>
        <v>0.21497710216620516</v>
      </c>
      <c r="DL76" s="232">
        <f>DL75/(Forecasts!DL25+Forecasts!DL26)</f>
        <v>0.21497710216620516</v>
      </c>
      <c r="DM76" s="233">
        <f>DK76</f>
        <v>0.21497710216620516</v>
      </c>
      <c r="DN76" s="233">
        <f>DM76</f>
        <v>0.21497710216620516</v>
      </c>
      <c r="DO76" s="233">
        <f>DN76</f>
        <v>0.21497710216620516</v>
      </c>
      <c r="DP76" s="233">
        <f>DO76</f>
        <v>0.21497710216620516</v>
      </c>
      <c r="DQ76" s="232">
        <f>DQ75/(Forecasts!DQ25+Forecasts!DQ26)</f>
        <v>0.21497710216620516</v>
      </c>
      <c r="DR76" s="233">
        <f>DP76</f>
        <v>0.21497710216620516</v>
      </c>
      <c r="DS76" s="233">
        <f>DR76</f>
        <v>0.21497710216620516</v>
      </c>
      <c r="DT76" s="233">
        <f>DS76</f>
        <v>0.21497710216620516</v>
      </c>
      <c r="DU76" s="233">
        <f>DT76</f>
        <v>0.21497710216620516</v>
      </c>
      <c r="DV76" s="232">
        <f>DV75/(Forecasts!DV25+Forecasts!DV26)</f>
        <v>0.21497710216620516</v>
      </c>
      <c r="DW76" s="233">
        <f>DU76</f>
        <v>0.21497710216620516</v>
      </c>
      <c r="DX76" s="233">
        <f>DW76</f>
        <v>0.21497710216620516</v>
      </c>
      <c r="DY76" s="233">
        <f>DX76</f>
        <v>0.21497710216620516</v>
      </c>
      <c r="DZ76" s="233">
        <f>DY76</f>
        <v>0.21497710216620516</v>
      </c>
      <c r="EA76" s="232">
        <f>EA75/(Forecasts!EA25+Forecasts!EA26)</f>
        <v>0.21497710216620516</v>
      </c>
      <c r="EB76" s="233">
        <f>DZ76</f>
        <v>0.21497710216620516</v>
      </c>
      <c r="EC76" s="233">
        <f>EB76</f>
        <v>0.21497710216620516</v>
      </c>
      <c r="ED76" s="233">
        <f>EC76</f>
        <v>0.21497710216620516</v>
      </c>
      <c r="EE76" s="233">
        <f>ED76</f>
        <v>0.21497710216620516</v>
      </c>
      <c r="EF76" s="232">
        <f>EF75/(Forecasts!EF25+Forecasts!EF26)</f>
        <v>0.21497710216620516</v>
      </c>
    </row>
    <row r="77" spans="1:136" outlineLevel="1">
      <c r="A77" s="66" t="s">
        <v>112</v>
      </c>
      <c r="B77" s="107">
        <f t="shared" ref="B77:Q77" si="243">B14</f>
        <v>53925</v>
      </c>
      <c r="C77" s="107">
        <f t="shared" si="243"/>
        <v>29870</v>
      </c>
      <c r="D77" s="107">
        <f t="shared" si="243"/>
        <v>60020</v>
      </c>
      <c r="E77" s="107">
        <f t="shared" si="243"/>
        <v>0</v>
      </c>
      <c r="F77" s="106">
        <f t="shared" si="243"/>
        <v>0</v>
      </c>
      <c r="G77" s="107">
        <f t="shared" si="243"/>
        <v>0</v>
      </c>
      <c r="H77" s="107">
        <f t="shared" si="243"/>
        <v>0</v>
      </c>
      <c r="I77" s="107">
        <f t="shared" si="243"/>
        <v>0</v>
      </c>
      <c r="J77" s="107">
        <f t="shared" si="243"/>
        <v>0</v>
      </c>
      <c r="K77" s="106">
        <f t="shared" si="243"/>
        <v>0</v>
      </c>
      <c r="L77" s="107">
        <f t="shared" si="243"/>
        <v>77000</v>
      </c>
      <c r="M77" s="107">
        <f t="shared" si="243"/>
        <v>86637</v>
      </c>
      <c r="N77" s="107">
        <f t="shared" si="243"/>
        <v>76751</v>
      </c>
      <c r="O77" s="107">
        <f t="shared" si="243"/>
        <v>138070</v>
      </c>
      <c r="P77" s="106">
        <f t="shared" si="243"/>
        <v>138070</v>
      </c>
      <c r="Q77" s="107">
        <f t="shared" si="243"/>
        <v>33845</v>
      </c>
      <c r="R77" s="107">
        <f>R14</f>
        <v>30505</v>
      </c>
      <c r="S77" s="107">
        <f>S14</f>
        <v>42550</v>
      </c>
      <c r="T77" s="107">
        <f>T14</f>
        <v>31181</v>
      </c>
      <c r="U77" s="106">
        <f>T77</f>
        <v>31181</v>
      </c>
      <c r="V77" s="107">
        <f>V14</f>
        <v>25154</v>
      </c>
      <c r="W77" s="107">
        <f>W14</f>
        <v>35170</v>
      </c>
      <c r="X77" s="107">
        <f>X14</f>
        <v>35228</v>
      </c>
      <c r="Y77" s="107">
        <f>Y14</f>
        <v>32521</v>
      </c>
      <c r="Z77" s="106">
        <f>Y77</f>
        <v>32521</v>
      </c>
      <c r="AA77" s="107">
        <f>AA14</f>
        <v>33839</v>
      </c>
      <c r="AB77" s="107">
        <f>AB14</f>
        <v>36600</v>
      </c>
      <c r="AC77" s="107">
        <f>AC14</f>
        <v>106700</v>
      </c>
      <c r="AD77" s="107">
        <f>AD14</f>
        <v>142576</v>
      </c>
      <c r="AE77" s="106">
        <f>AD77</f>
        <v>142576</v>
      </c>
      <c r="AF77" s="107">
        <f>AF14</f>
        <v>153477</v>
      </c>
      <c r="AG77" s="107">
        <f>AG14</f>
        <v>201548</v>
      </c>
      <c r="AH77" s="107">
        <f>AH14</f>
        <v>213838</v>
      </c>
      <c r="AI77" s="107">
        <f>AI14</f>
        <v>242856</v>
      </c>
      <c r="AJ77" s="106">
        <f>AI77</f>
        <v>242856</v>
      </c>
      <c r="AK77" s="107">
        <f>AK14</f>
        <v>195205</v>
      </c>
      <c r="AL77" s="107">
        <f>AL14</f>
        <v>194556</v>
      </c>
      <c r="AM77" s="107">
        <f>AM14</f>
        <v>363492</v>
      </c>
      <c r="AN77" s="107">
        <f>AN14</f>
        <v>307240</v>
      </c>
      <c r="AO77" s="106">
        <f>AN77</f>
        <v>307240</v>
      </c>
      <c r="AP77" s="107">
        <f>AP14</f>
        <v>296499</v>
      </c>
      <c r="AQ77" s="107">
        <f>AQ14</f>
        <v>240966</v>
      </c>
      <c r="AR77" s="107">
        <f>AR14</f>
        <v>491173</v>
      </c>
      <c r="AS77" s="107">
        <f>AS14</f>
        <v>386493</v>
      </c>
      <c r="AT77" s="106">
        <f>AS77</f>
        <v>386493</v>
      </c>
      <c r="AU77" s="107">
        <f>AU14</f>
        <v>348965</v>
      </c>
      <c r="AV77" s="107">
        <f>AV14</f>
        <v>308484</v>
      </c>
      <c r="AW77" s="107">
        <f>AW14</f>
        <v>314945</v>
      </c>
      <c r="AX77" s="107">
        <f>AX14</f>
        <v>408533</v>
      </c>
      <c r="AY77" s="106">
        <f>AX77</f>
        <v>408533</v>
      </c>
      <c r="AZ77" s="107">
        <f>AZ14</f>
        <v>364057</v>
      </c>
      <c r="BA77" s="107">
        <f>BA14</f>
        <v>385837</v>
      </c>
      <c r="BB77" s="107">
        <f>BB14</f>
        <v>388259</v>
      </c>
      <c r="BC77" s="107">
        <f>BC14</f>
        <v>621394</v>
      </c>
      <c r="BD77" s="106">
        <f>BC77</f>
        <v>621394</v>
      </c>
      <c r="BE77" s="107">
        <f>BE14</f>
        <v>720673</v>
      </c>
      <c r="BF77" s="107">
        <f>BF14</f>
        <v>763195</v>
      </c>
      <c r="BG77" s="107">
        <f>BG14</f>
        <v>803169</v>
      </c>
      <c r="BH77" s="107">
        <f>BH14</f>
        <v>750773</v>
      </c>
      <c r="BI77" s="106">
        <f>BH77</f>
        <v>750773</v>
      </c>
      <c r="BJ77" s="107">
        <f>BJ14</f>
        <v>758576</v>
      </c>
      <c r="BK77" s="107">
        <f>BK14</f>
        <v>901932</v>
      </c>
      <c r="BL77" s="107">
        <f>BL14</f>
        <v>907489</v>
      </c>
      <c r="BM77" s="107">
        <f>BM14</f>
        <v>934463</v>
      </c>
      <c r="BN77" s="106">
        <f>BM77</f>
        <v>934463</v>
      </c>
      <c r="BO77" s="107">
        <f>BO14</f>
        <v>992045</v>
      </c>
      <c r="BP77" s="107">
        <f>BP14</f>
        <v>1008606</v>
      </c>
      <c r="BQ77" s="107">
        <f>BQ14</f>
        <v>1062722</v>
      </c>
      <c r="BR77" s="107">
        <f>BR14</f>
        <v>1201285</v>
      </c>
      <c r="BS77" s="106">
        <f>BR77</f>
        <v>1201285</v>
      </c>
      <c r="BT77" s="107">
        <f>BT14</f>
        <v>1149409</v>
      </c>
      <c r="BU77" s="107">
        <f>BU14</f>
        <v>1559702</v>
      </c>
      <c r="BV77" s="107">
        <f>BV14</f>
        <v>1710029</v>
      </c>
      <c r="BW77" s="107">
        <f>BW14</f>
        <v>1577958</v>
      </c>
      <c r="BX77" s="106">
        <f>BW77</f>
        <v>1577958</v>
      </c>
      <c r="BY77" s="107">
        <f>BY14</f>
        <v>1483310</v>
      </c>
      <c r="BZ77" s="107">
        <f>BZ14</f>
        <v>1376010</v>
      </c>
      <c r="CA77" s="107">
        <f>CA14</f>
        <v>1233120</v>
      </c>
      <c r="CB77" s="107">
        <f>CB14</f>
        <v>1161537</v>
      </c>
      <c r="CC77" s="106">
        <f>CB77</f>
        <v>1161537</v>
      </c>
      <c r="CD77" s="107">
        <f>CD14</f>
        <v>1094576</v>
      </c>
      <c r="CE77" s="107">
        <f>CE14</f>
        <v>983208</v>
      </c>
      <c r="CF77" s="107">
        <f>CF14</f>
        <v>867950</v>
      </c>
      <c r="CG77" s="107">
        <f>CG14</f>
        <v>813979</v>
      </c>
      <c r="CH77" s="106">
        <f>CG77</f>
        <v>813979</v>
      </c>
      <c r="CI77" s="107">
        <f>CI14</f>
        <v>703261</v>
      </c>
      <c r="CJ77" s="107">
        <f>CJ14</f>
        <v>620798</v>
      </c>
      <c r="CK77" s="107">
        <f>CK14</f>
        <v>525642</v>
      </c>
      <c r="CL77" s="107">
        <f>CL14</f>
        <v>540124</v>
      </c>
      <c r="CM77" s="106">
        <f>CL77</f>
        <v>540124</v>
      </c>
      <c r="CN77" s="107">
        <f>CN14</f>
        <v>571646</v>
      </c>
      <c r="CO77" s="107">
        <f>CO14</f>
        <v>589764</v>
      </c>
      <c r="CP77" s="107">
        <f>CP14</f>
        <v>646407</v>
      </c>
      <c r="CQ77" s="107">
        <f>CQ14</f>
        <v>621579</v>
      </c>
      <c r="CR77" s="106">
        <f>CQ77</f>
        <v>621579</v>
      </c>
      <c r="CS77" s="107">
        <f>CS14</f>
        <v>615397</v>
      </c>
      <c r="CT77" s="107">
        <f>CT14</f>
        <v>644211</v>
      </c>
      <c r="CU77" s="107">
        <f>CU14</f>
        <v>727826</v>
      </c>
      <c r="CV77" s="107">
        <f>CV14</f>
        <v>772612</v>
      </c>
      <c r="CW77" s="106">
        <f>CV77</f>
        <v>772612</v>
      </c>
      <c r="CX77" s="107">
        <f>CX14</f>
        <v>694610</v>
      </c>
      <c r="CY77" s="107">
        <f>CY14</f>
        <v>659491</v>
      </c>
      <c r="CZ77" s="107">
        <f>CZ14</f>
        <v>648297</v>
      </c>
      <c r="DA77" s="107">
        <f>DA14</f>
        <v>727268</v>
      </c>
      <c r="DB77" s="106">
        <f>DA77</f>
        <v>727268</v>
      </c>
      <c r="DC77" s="107">
        <f>DC14</f>
        <v>766733</v>
      </c>
      <c r="DD77" s="107">
        <f>DD14</f>
        <v>952126</v>
      </c>
      <c r="DE77" s="107">
        <f>DE14</f>
        <v>1037191</v>
      </c>
      <c r="DF77" s="107">
        <f>DF14</f>
        <v>1149936</v>
      </c>
      <c r="DG77" s="106">
        <f>DF77</f>
        <v>1149936</v>
      </c>
      <c r="DH77" s="107">
        <f>DH14</f>
        <v>1159712</v>
      </c>
      <c r="DI77" s="107">
        <f>DI14</f>
        <v>1175917</v>
      </c>
      <c r="DJ77" s="375">
        <f>Forecasts!DJ27*50%</f>
        <v>1088891.4935882825</v>
      </c>
      <c r="DK77" s="375">
        <f>Forecasts!DK27*50%</f>
        <v>1096739.5579843009</v>
      </c>
      <c r="DL77" s="106">
        <f>DK77</f>
        <v>1096739.5579843009</v>
      </c>
      <c r="DM77" s="375">
        <f>Forecasts!DM27*50%</f>
        <v>1101718.5251884433</v>
      </c>
      <c r="DN77" s="375">
        <f>Forecasts!DN27*50%</f>
        <v>1133973.8426575239</v>
      </c>
      <c r="DO77" s="375">
        <f>Forecasts!DO27*50%</f>
        <v>1184987.8744457057</v>
      </c>
      <c r="DP77" s="375">
        <f>Forecasts!DP27*50%</f>
        <v>1234725.3710713866</v>
      </c>
      <c r="DQ77" s="106">
        <f>DP77</f>
        <v>1234725.3710713866</v>
      </c>
      <c r="DR77" s="375">
        <f>Forecasts!DR27*50%</f>
        <v>1304535.5882209381</v>
      </c>
      <c r="DS77" s="375">
        <f>Forecasts!DS27*50%</f>
        <v>1371525.3817530461</v>
      </c>
      <c r="DT77" s="375">
        <f>Forecasts!DT27*50%</f>
        <v>1436368.7051206899</v>
      </c>
      <c r="DU77" s="375">
        <f>Forecasts!DU27*50%</f>
        <v>1516634.3046818292</v>
      </c>
      <c r="DV77" s="106">
        <f>DU77</f>
        <v>1516634.3046818292</v>
      </c>
      <c r="DW77" s="375">
        <f>Forecasts!DW27*50%</f>
        <v>1581483.3294226052</v>
      </c>
      <c r="DX77" s="375">
        <f>Forecasts!DX27*50%</f>
        <v>1646743.3002980212</v>
      </c>
      <c r="DY77" s="375">
        <f>Forecasts!DY27*50%</f>
        <v>1690232.211695723</v>
      </c>
      <c r="DZ77" s="375">
        <f>Forecasts!DZ27*50%</f>
        <v>1725792.7800186933</v>
      </c>
      <c r="EA77" s="106">
        <f>DZ77</f>
        <v>1725792.7800186933</v>
      </c>
      <c r="EB77" s="375">
        <f>Forecasts!EB27*50%</f>
        <v>1750892.2199114196</v>
      </c>
      <c r="EC77" s="375">
        <f>Forecasts!EC27*50%</f>
        <v>1784107.4107886653</v>
      </c>
      <c r="ED77" s="375">
        <f>Forecasts!ED27*50%</f>
        <v>1814649.1798878836</v>
      </c>
      <c r="EE77" s="375">
        <f>Forecasts!EE27*50%</f>
        <v>1834306.4324067354</v>
      </c>
      <c r="EF77" s="106">
        <f>EE77</f>
        <v>1834306.4324067354</v>
      </c>
    </row>
    <row r="78" spans="1:136" outlineLevel="1">
      <c r="AJ78" s="235"/>
      <c r="AO78" s="235"/>
      <c r="AT78" s="235"/>
      <c r="AY78" s="235"/>
      <c r="BD78" s="235"/>
      <c r="BI78" s="235"/>
      <c r="BN78" s="235"/>
      <c r="BS78" s="235"/>
      <c r="BT78" s="355"/>
      <c r="BX78" s="235"/>
      <c r="CC78" s="235"/>
      <c r="CH78" s="235"/>
      <c r="CM78" s="235"/>
      <c r="CR78" s="235"/>
      <c r="CW78" s="235"/>
      <c r="DB78" s="235"/>
      <c r="DG78" s="235"/>
      <c r="DL78" s="235"/>
      <c r="DQ78" s="235"/>
      <c r="DV78" s="235"/>
      <c r="EA78" s="235"/>
      <c r="EF78" s="235"/>
    </row>
    <row r="79" spans="1:136" outlineLevel="1">
      <c r="A79" s="68" t="s">
        <v>49</v>
      </c>
      <c r="B79" s="224">
        <f t="shared" ref="B79:AC79" si="244">B32</f>
        <v>73967</v>
      </c>
      <c r="C79" s="224">
        <f t="shared" si="244"/>
        <v>64166</v>
      </c>
      <c r="D79" s="224">
        <f t="shared" si="244"/>
        <v>53412</v>
      </c>
      <c r="E79" s="224">
        <f t="shared" si="244"/>
        <v>55570</v>
      </c>
      <c r="F79" s="225">
        <f t="shared" si="244"/>
        <v>55570</v>
      </c>
      <c r="G79" s="224">
        <f t="shared" si="244"/>
        <v>55674.5</v>
      </c>
      <c r="H79" s="224">
        <f t="shared" si="244"/>
        <v>54621</v>
      </c>
      <c r="I79" s="224">
        <f t="shared" si="244"/>
        <v>37890</v>
      </c>
      <c r="J79" s="224">
        <f t="shared" si="244"/>
        <v>25262</v>
      </c>
      <c r="K79" s="225">
        <f t="shared" si="244"/>
        <v>25262</v>
      </c>
      <c r="L79" s="224">
        <f t="shared" si="244"/>
        <v>24087</v>
      </c>
      <c r="M79" s="224">
        <f t="shared" si="244"/>
        <v>17917</v>
      </c>
      <c r="N79" s="224">
        <f t="shared" si="244"/>
        <v>17761</v>
      </c>
      <c r="O79" s="224">
        <f t="shared" si="244"/>
        <v>50144</v>
      </c>
      <c r="P79" s="225">
        <f t="shared" si="244"/>
        <v>50144</v>
      </c>
      <c r="Q79" s="224">
        <f t="shared" si="244"/>
        <v>21532</v>
      </c>
      <c r="R79" s="224">
        <f t="shared" si="244"/>
        <v>23227</v>
      </c>
      <c r="S79" s="224">
        <f t="shared" si="244"/>
        <v>20707</v>
      </c>
      <c r="T79" s="224">
        <f t="shared" si="244"/>
        <v>49570</v>
      </c>
      <c r="U79" s="225">
        <f t="shared" si="244"/>
        <v>49570</v>
      </c>
      <c r="V79" s="224">
        <f t="shared" si="244"/>
        <v>0</v>
      </c>
      <c r="W79" s="224">
        <f t="shared" si="244"/>
        <v>0</v>
      </c>
      <c r="X79" s="224">
        <f t="shared" si="244"/>
        <v>0</v>
      </c>
      <c r="Y79" s="224">
        <f t="shared" si="244"/>
        <v>93639</v>
      </c>
      <c r="Z79" s="225">
        <f t="shared" si="244"/>
        <v>93639</v>
      </c>
      <c r="AA79" s="224">
        <f t="shared" si="244"/>
        <v>319107</v>
      </c>
      <c r="AB79" s="224">
        <f t="shared" si="244"/>
        <v>342841</v>
      </c>
      <c r="AC79" s="224">
        <f t="shared" si="244"/>
        <v>465935</v>
      </c>
      <c r="AD79" s="224">
        <f t="shared" ref="AD79:AJ79" si="245">AD32</f>
        <v>595182</v>
      </c>
      <c r="AE79" s="225">
        <f t="shared" si="245"/>
        <v>595182</v>
      </c>
      <c r="AF79" s="224">
        <f t="shared" si="245"/>
        <v>512989</v>
      </c>
      <c r="AG79" s="224">
        <f t="shared" si="245"/>
        <v>531181</v>
      </c>
      <c r="AH79" s="224">
        <f t="shared" si="245"/>
        <v>507151</v>
      </c>
      <c r="AI79" s="224">
        <f t="shared" si="245"/>
        <v>417608</v>
      </c>
      <c r="AJ79" s="225">
        <f t="shared" si="245"/>
        <v>417608</v>
      </c>
      <c r="AK79" s="224">
        <f t="shared" ref="AK79:BP79" si="246">AK32</f>
        <v>253736</v>
      </c>
      <c r="AL79" s="224">
        <f t="shared" si="246"/>
        <v>482566</v>
      </c>
      <c r="AM79" s="224">
        <f t="shared" si="246"/>
        <v>305175</v>
      </c>
      <c r="AN79" s="224">
        <f t="shared" si="246"/>
        <v>286252</v>
      </c>
      <c r="AO79" s="225">
        <f t="shared" si="246"/>
        <v>286252</v>
      </c>
      <c r="AP79" s="224">
        <f t="shared" si="246"/>
        <v>288727</v>
      </c>
      <c r="AQ79" s="224">
        <f t="shared" si="246"/>
        <v>344421</v>
      </c>
      <c r="AR79" s="224">
        <f t="shared" si="246"/>
        <v>367833</v>
      </c>
      <c r="AS79" s="224">
        <f t="shared" si="246"/>
        <v>191222</v>
      </c>
      <c r="AT79" s="225">
        <f t="shared" si="246"/>
        <v>191222</v>
      </c>
      <c r="AU79" s="224">
        <f t="shared" si="246"/>
        <v>266966</v>
      </c>
      <c r="AV79" s="224">
        <f t="shared" si="246"/>
        <v>262004</v>
      </c>
      <c r="AW79" s="224">
        <f t="shared" si="246"/>
        <v>299910</v>
      </c>
      <c r="AX79" s="224">
        <f t="shared" si="246"/>
        <v>270627</v>
      </c>
      <c r="AY79" s="225">
        <f t="shared" si="246"/>
        <v>270627</v>
      </c>
      <c r="AZ79" s="224">
        <f t="shared" si="246"/>
        <v>308820</v>
      </c>
      <c r="BA79" s="224">
        <f t="shared" si="246"/>
        <v>301218</v>
      </c>
      <c r="BB79" s="224">
        <f t="shared" si="246"/>
        <v>278297</v>
      </c>
      <c r="BC79" s="224">
        <f t="shared" si="246"/>
        <v>252704</v>
      </c>
      <c r="BD79" s="225">
        <f t="shared" si="246"/>
        <v>252704</v>
      </c>
      <c r="BE79" s="224">
        <f t="shared" si="246"/>
        <v>238404</v>
      </c>
      <c r="BF79" s="224">
        <f t="shared" si="246"/>
        <v>257264</v>
      </c>
      <c r="BG79" s="224">
        <f t="shared" si="246"/>
        <v>293928</v>
      </c>
      <c r="BH79" s="224">
        <f t="shared" si="246"/>
        <v>197686</v>
      </c>
      <c r="BI79" s="225">
        <f t="shared" si="246"/>
        <v>197686</v>
      </c>
      <c r="BJ79" s="224">
        <f t="shared" si="246"/>
        <v>245242</v>
      </c>
      <c r="BK79" s="224">
        <f t="shared" si="246"/>
        <v>232207</v>
      </c>
      <c r="BL79" s="224">
        <f t="shared" si="246"/>
        <v>219423</v>
      </c>
      <c r="BM79" s="224">
        <f t="shared" si="246"/>
        <v>144511</v>
      </c>
      <c r="BN79" s="225">
        <f t="shared" si="246"/>
        <v>144511</v>
      </c>
      <c r="BO79" s="224">
        <f t="shared" si="246"/>
        <v>161910</v>
      </c>
      <c r="BP79" s="224">
        <f t="shared" si="246"/>
        <v>227284</v>
      </c>
      <c r="BQ79" s="224">
        <f t="shared" ref="BQ79:CX79" si="247">BQ32</f>
        <v>208580</v>
      </c>
      <c r="BR79" s="224">
        <f t="shared" si="247"/>
        <v>115242</v>
      </c>
      <c r="BS79" s="225">
        <f t="shared" si="247"/>
        <v>115242</v>
      </c>
      <c r="BT79" s="224">
        <f t="shared" si="247"/>
        <v>136587</v>
      </c>
      <c r="BU79" s="224">
        <f t="shared" si="247"/>
        <v>211216</v>
      </c>
      <c r="BV79" s="224">
        <f t="shared" si="247"/>
        <v>221710</v>
      </c>
      <c r="BW79" s="224">
        <f t="shared" si="247"/>
        <v>121887</v>
      </c>
      <c r="BX79" s="225">
        <f t="shared" si="247"/>
        <v>121887</v>
      </c>
      <c r="BY79" s="224">
        <f t="shared" si="247"/>
        <v>211342</v>
      </c>
      <c r="BZ79" s="224">
        <f t="shared" si="247"/>
        <v>161076</v>
      </c>
      <c r="CA79" s="224">
        <f t="shared" si="247"/>
        <v>171868</v>
      </c>
      <c r="CB79" s="224">
        <f t="shared" si="247"/>
        <v>134825</v>
      </c>
      <c r="CC79" s="225">
        <f t="shared" si="247"/>
        <v>134825</v>
      </c>
      <c r="CD79" s="224">
        <f t="shared" si="247"/>
        <v>168906</v>
      </c>
      <c r="CE79" s="224">
        <f t="shared" si="247"/>
        <v>157416</v>
      </c>
      <c r="CF79" s="224">
        <f t="shared" si="247"/>
        <v>138787</v>
      </c>
      <c r="CG79" s="224">
        <f t="shared" si="247"/>
        <v>151524</v>
      </c>
      <c r="CH79" s="225">
        <f t="shared" si="247"/>
        <v>151524</v>
      </c>
      <c r="CI79" s="224">
        <f t="shared" si="247"/>
        <v>196696</v>
      </c>
      <c r="CJ79" s="224">
        <f t="shared" si="247"/>
        <v>196906</v>
      </c>
      <c r="CK79" s="224">
        <f t="shared" si="247"/>
        <v>229818</v>
      </c>
      <c r="CL79" s="224">
        <f t="shared" si="247"/>
        <v>219163</v>
      </c>
      <c r="CM79" s="225">
        <f t="shared" si="247"/>
        <v>219163</v>
      </c>
      <c r="CN79" s="224">
        <f t="shared" si="247"/>
        <v>242571</v>
      </c>
      <c r="CO79" s="224">
        <f t="shared" si="247"/>
        <v>256101</v>
      </c>
      <c r="CP79" s="224">
        <f t="shared" si="247"/>
        <v>288172</v>
      </c>
      <c r="CQ79" s="224">
        <f t="shared" si="247"/>
        <v>247729</v>
      </c>
      <c r="CR79" s="225">
        <f t="shared" si="247"/>
        <v>247729</v>
      </c>
      <c r="CS79" s="224">
        <f t="shared" si="247"/>
        <v>261172</v>
      </c>
      <c r="CT79" s="224">
        <f t="shared" si="247"/>
        <v>262237</v>
      </c>
      <c r="CU79" s="224">
        <f t="shared" si="247"/>
        <v>259794</v>
      </c>
      <c r="CV79" s="224">
        <f t="shared" si="247"/>
        <v>319474</v>
      </c>
      <c r="CW79" s="225">
        <f t="shared" si="247"/>
        <v>319474</v>
      </c>
      <c r="CX79" s="224">
        <f t="shared" si="247"/>
        <v>248128</v>
      </c>
      <c r="CY79" s="224">
        <f t="shared" ref="CY79:DA79" si="248">CY32</f>
        <v>245535</v>
      </c>
      <c r="CZ79" s="224">
        <f t="shared" si="248"/>
        <v>261293</v>
      </c>
      <c r="DA79" s="224">
        <f t="shared" si="248"/>
        <v>248694</v>
      </c>
      <c r="DB79" s="225">
        <f>DB32</f>
        <v>248694</v>
      </c>
      <c r="DC79" s="224">
        <f t="shared" ref="DC79:DF79" si="249">DC32</f>
        <v>286988</v>
      </c>
      <c r="DD79" s="224">
        <f t="shared" si="249"/>
        <v>289242</v>
      </c>
      <c r="DE79" s="224">
        <f t="shared" si="249"/>
        <v>303844</v>
      </c>
      <c r="DF79" s="224">
        <f t="shared" si="249"/>
        <v>275581</v>
      </c>
      <c r="DG79" s="225">
        <f>DG32</f>
        <v>275581</v>
      </c>
      <c r="DH79" s="224">
        <f t="shared" ref="DH79:DI79" si="250">DH32</f>
        <v>350825</v>
      </c>
      <c r="DI79" s="224">
        <f t="shared" si="250"/>
        <v>308887</v>
      </c>
      <c r="DJ79" s="224">
        <f>-DJ81*DJ80/365</f>
        <v>326805.87666458939</v>
      </c>
      <c r="DK79" s="224">
        <f>-DK81*DK80/365</f>
        <v>318286.25507557346</v>
      </c>
      <c r="DL79" s="225">
        <f>DL32</f>
        <v>318286.25507557346</v>
      </c>
      <c r="DM79" s="224">
        <f>-DM81*DM80/365</f>
        <v>343962.22227164276</v>
      </c>
      <c r="DN79" s="224">
        <f>-DN81*DN80/365</f>
        <v>361015.17984763271</v>
      </c>
      <c r="DO79" s="224">
        <f>-DO81*DO80/365</f>
        <v>372911.41636169463</v>
      </c>
      <c r="DP79" s="224">
        <f>-DP81*DP80/365</f>
        <v>384103.14866666752</v>
      </c>
      <c r="DQ79" s="225">
        <f>DQ32</f>
        <v>384103.14866666752</v>
      </c>
      <c r="DR79" s="224">
        <f>-DR81*DR80/365</f>
        <v>393677.59327346861</v>
      </c>
      <c r="DS79" s="224">
        <f>-DS81*DS80/365</f>
        <v>402764.66847457853</v>
      </c>
      <c r="DT79" s="224">
        <f>-DT81*DT80/365</f>
        <v>411592.71441015298</v>
      </c>
      <c r="DU79" s="224">
        <f>-DU81*DU80/365</f>
        <v>420474.68271821568</v>
      </c>
      <c r="DV79" s="225">
        <f>DV32</f>
        <v>420474.68271821568</v>
      </c>
      <c r="DW79" s="224">
        <f>-DW81*DW80/365</f>
        <v>429308.74007302162</v>
      </c>
      <c r="DX79" s="224">
        <f>-DX81*DX80/365</f>
        <v>438054.96720248577</v>
      </c>
      <c r="DY79" s="224">
        <f>-DY81*DY80/365</f>
        <v>446638.80063688831</v>
      </c>
      <c r="DZ79" s="224">
        <f>-DZ81*DZ80/365</f>
        <v>455420.50492650416</v>
      </c>
      <c r="EA79" s="225">
        <f>EA32</f>
        <v>455420.50492650416</v>
      </c>
      <c r="EB79" s="224">
        <f>-EB81*EB80/365</f>
        <v>463569.39313182159</v>
      </c>
      <c r="EC79" s="224">
        <f>-EC81*EC80/365</f>
        <v>471713.44580240053</v>
      </c>
      <c r="ED79" s="224">
        <f>-ED81*ED80/365</f>
        <v>479762.20692873391</v>
      </c>
      <c r="EE79" s="224">
        <f>-EE81*EE80/365</f>
        <v>487983.59531397931</v>
      </c>
      <c r="EF79" s="225">
        <f>EF32</f>
        <v>487983.59531397931</v>
      </c>
    </row>
    <row r="80" spans="1:136" outlineLevel="1">
      <c r="A80" s="66" t="s">
        <v>751</v>
      </c>
      <c r="B80" s="107" t="e">
        <f t="shared" ref="B80:W80" si="251">B70</f>
        <v>#REF!</v>
      </c>
      <c r="C80" s="107" t="e">
        <f t="shared" si="251"/>
        <v>#REF!</v>
      </c>
      <c r="D80" s="107" t="e">
        <f t="shared" si="251"/>
        <v>#REF!</v>
      </c>
      <c r="E80" s="107">
        <f t="shared" si="251"/>
        <v>-311874</v>
      </c>
      <c r="F80" s="106">
        <f t="shared" si="251"/>
        <v>-311874</v>
      </c>
      <c r="G80" s="107">
        <f t="shared" si="251"/>
        <v>-404445</v>
      </c>
      <c r="H80" s="107">
        <f t="shared" si="251"/>
        <v>-342162</v>
      </c>
      <c r="I80" s="107">
        <f t="shared" si="251"/>
        <v>-404445</v>
      </c>
      <c r="J80" s="107">
        <f t="shared" si="251"/>
        <v>-370248</v>
      </c>
      <c r="K80" s="106">
        <f t="shared" si="251"/>
        <v>-370248</v>
      </c>
      <c r="L80" s="107">
        <f t="shared" si="251"/>
        <v>-410913</v>
      </c>
      <c r="M80" s="107">
        <f t="shared" si="251"/>
        <v>-485308</v>
      </c>
      <c r="N80" s="107">
        <f t="shared" si="251"/>
        <v>-486891</v>
      </c>
      <c r="O80" s="107">
        <f t="shared" si="251"/>
        <v>-645174</v>
      </c>
      <c r="P80" s="106">
        <f t="shared" si="251"/>
        <v>-645174</v>
      </c>
      <c r="Q80" s="107">
        <f t="shared" si="251"/>
        <v>-692628</v>
      </c>
      <c r="R80" s="107">
        <f t="shared" si="251"/>
        <v>-761110</v>
      </c>
      <c r="S80" s="107">
        <f t="shared" si="251"/>
        <v>-861767</v>
      </c>
      <c r="T80" s="107">
        <f t="shared" si="251"/>
        <v>-1221567</v>
      </c>
      <c r="U80" s="106">
        <f t="shared" si="251"/>
        <v>-1221567</v>
      </c>
      <c r="V80" s="107">
        <f t="shared" si="251"/>
        <v>-1377615</v>
      </c>
      <c r="W80" s="107">
        <f t="shared" si="251"/>
        <v>-1646783</v>
      </c>
      <c r="X80" s="107">
        <f>X70</f>
        <v>-1857492</v>
      </c>
      <c r="Y80" s="107">
        <f>Y70</f>
        <v>-1764861</v>
      </c>
      <c r="Z80" s="106">
        <f t="shared" ref="Z80:CC80" si="252">Z70</f>
        <v>-1764861</v>
      </c>
      <c r="AA80" s="107">
        <f t="shared" si="252"/>
        <v>-1852889</v>
      </c>
      <c r="AB80" s="107">
        <f t="shared" si="252"/>
        <v>-1944529</v>
      </c>
      <c r="AC80" s="107">
        <f t="shared" ref="AC80:AH80" si="253">AC70</f>
        <v>-2389779</v>
      </c>
      <c r="AD80" s="107">
        <f t="shared" si="253"/>
        <v>-2678571</v>
      </c>
      <c r="AE80" s="106">
        <f t="shared" si="253"/>
        <v>-2678571</v>
      </c>
      <c r="AF80" s="107">
        <f t="shared" si="253"/>
        <v>-2997033</v>
      </c>
      <c r="AG80" s="107">
        <f t="shared" si="253"/>
        <v>-3234095</v>
      </c>
      <c r="AH80" s="107">
        <f t="shared" si="253"/>
        <v>-3097384</v>
      </c>
      <c r="AI80" s="107">
        <f>AI70</f>
        <v>-3353475</v>
      </c>
      <c r="AJ80" s="106">
        <f t="shared" si="252"/>
        <v>-3353475</v>
      </c>
      <c r="AK80" s="107">
        <f t="shared" si="252"/>
        <v>-3487673</v>
      </c>
      <c r="AL80" s="107">
        <f t="shared" si="252"/>
        <v>-3675267</v>
      </c>
      <c r="AM80" s="107">
        <f t="shared" si="252"/>
        <v>-4035323</v>
      </c>
      <c r="AN80" s="107">
        <f>AN70</f>
        <v>-4393291</v>
      </c>
      <c r="AO80" s="106">
        <f t="shared" si="252"/>
        <v>-4393291</v>
      </c>
      <c r="AP80" s="107">
        <f>AP70</f>
        <v>-4527730</v>
      </c>
      <c r="AQ80" s="107">
        <f>AQ70</f>
        <v>-4501034</v>
      </c>
      <c r="AR80" s="107">
        <f>AR70</f>
        <v>-4309059</v>
      </c>
      <c r="AS80" s="107">
        <f>AS70</f>
        <v>-3813867</v>
      </c>
      <c r="AT80" s="106">
        <f t="shared" si="252"/>
        <v>-3813867</v>
      </c>
      <c r="AU80" s="107">
        <f t="shared" si="252"/>
        <v>-3625749</v>
      </c>
      <c r="AV80" s="107">
        <f t="shared" si="252"/>
        <v>-3576702</v>
      </c>
      <c r="AW80" s="107">
        <f t="shared" si="252"/>
        <v>-3592234</v>
      </c>
      <c r="AX80" s="107">
        <f>AX70</f>
        <v>-3612593</v>
      </c>
      <c r="AY80" s="106">
        <f t="shared" si="252"/>
        <v>-3612593</v>
      </c>
      <c r="AZ80" s="107">
        <f>AZ70</f>
        <v>-3671950</v>
      </c>
      <c r="BA80" s="107">
        <f>BA70</f>
        <v>-3652084</v>
      </c>
      <c r="BB80" s="107">
        <f>BB70</f>
        <v>-3845851</v>
      </c>
      <c r="BC80" s="107">
        <f>BC70</f>
        <v>-3949181</v>
      </c>
      <c r="BD80" s="106">
        <f t="shared" si="252"/>
        <v>-3949181</v>
      </c>
      <c r="BE80" s="107">
        <f t="shared" si="252"/>
        <v>-3746077</v>
      </c>
      <c r="BF80" s="107">
        <f t="shared" si="252"/>
        <v>-3579925</v>
      </c>
      <c r="BG80" s="107">
        <f t="shared" si="252"/>
        <v>-3192179</v>
      </c>
      <c r="BH80" s="107">
        <f>BH70</f>
        <v>-2838105</v>
      </c>
      <c r="BI80" s="106">
        <f t="shared" si="252"/>
        <v>-2838105</v>
      </c>
      <c r="BJ80" s="107">
        <f>BJ70</f>
        <v>-2691947</v>
      </c>
      <c r="BK80" s="107">
        <f>BK70</f>
        <v>-2340423</v>
      </c>
      <c r="BL80" s="107">
        <f>BL70</f>
        <v>-2160590</v>
      </c>
      <c r="BM80" s="107">
        <f>BM70</f>
        <v>-2132787</v>
      </c>
      <c r="BN80" s="106">
        <f t="shared" si="252"/>
        <v>-2132787</v>
      </c>
      <c r="BO80" s="107">
        <f t="shared" si="252"/>
        <v>-2081712</v>
      </c>
      <c r="BP80" s="107">
        <f t="shared" si="252"/>
        <v>-2115776</v>
      </c>
      <c r="BQ80" s="107">
        <f t="shared" si="252"/>
        <v>-2002885</v>
      </c>
      <c r="BR80" s="107">
        <f>BR70</f>
        <v>-1939257</v>
      </c>
      <c r="BS80" s="106">
        <f t="shared" si="252"/>
        <v>-1939257</v>
      </c>
      <c r="BT80" s="107">
        <f>BT70</f>
        <v>-1787726</v>
      </c>
      <c r="BU80" s="107">
        <f>BU70</f>
        <v>-1834801</v>
      </c>
      <c r="BV80" s="107">
        <f>BV70</f>
        <v>-1904355</v>
      </c>
      <c r="BW80" s="107">
        <f>BW70</f>
        <v>-2077230</v>
      </c>
      <c r="BX80" s="106">
        <f t="shared" si="252"/>
        <v>-2077230</v>
      </c>
      <c r="BY80" s="107">
        <f t="shared" si="252"/>
        <v>-2328738</v>
      </c>
      <c r="BZ80" s="107">
        <f t="shared" si="252"/>
        <v>-2504158</v>
      </c>
      <c r="CA80" s="107">
        <f t="shared" si="252"/>
        <v>-2629941</v>
      </c>
      <c r="CB80" s="107">
        <f>CB70</f>
        <v>-2715109</v>
      </c>
      <c r="CC80" s="106">
        <f t="shared" si="252"/>
        <v>-2715109</v>
      </c>
      <c r="CD80" s="107">
        <f>CD70</f>
        <v>-2641662</v>
      </c>
      <c r="CE80" s="107">
        <f>CE70</f>
        <v>-2561937</v>
      </c>
      <c r="CF80" s="107">
        <f>CF70</f>
        <v>-2701027</v>
      </c>
      <c r="CG80" s="107">
        <f>CG70</f>
        <v>-2573313</v>
      </c>
      <c r="CH80" s="106">
        <f t="shared" ref="CH80:DG80" si="254">CH70</f>
        <v>-2573313</v>
      </c>
      <c r="CI80" s="107">
        <f t="shared" si="254"/>
        <v>-2726605</v>
      </c>
      <c r="CJ80" s="107">
        <f t="shared" si="254"/>
        <v>-2912403</v>
      </c>
      <c r="CK80" s="107">
        <f>CK70</f>
        <v>-4821683</v>
      </c>
      <c r="CL80" s="107">
        <f>CL70</f>
        <v>-3125013</v>
      </c>
      <c r="CM80" s="106">
        <f t="shared" si="254"/>
        <v>-3125013</v>
      </c>
      <c r="CN80" s="107">
        <f>CN70</f>
        <v>-3315923</v>
      </c>
      <c r="CO80" s="107">
        <f>CO70</f>
        <v>-3424940</v>
      </c>
      <c r="CP80" s="107">
        <f>CP70</f>
        <v>-5863127</v>
      </c>
      <c r="CQ80" s="107">
        <f>CQ70</f>
        <v>-3678333</v>
      </c>
      <c r="CR80" s="106">
        <f t="shared" si="254"/>
        <v>-3678333</v>
      </c>
      <c r="CS80" s="107">
        <f t="shared" si="254"/>
        <v>-3719190</v>
      </c>
      <c r="CT80" s="107">
        <f t="shared" si="254"/>
        <v>-3966405</v>
      </c>
      <c r="CU80" s="107">
        <f>CU70</f>
        <v>-6753782</v>
      </c>
      <c r="CV80" s="107">
        <f>CV70</f>
        <v>-4209100</v>
      </c>
      <c r="CW80" s="106">
        <f t="shared" si="254"/>
        <v>-4209100</v>
      </c>
      <c r="CX80" s="107">
        <f>CX70</f>
        <v>-4399530</v>
      </c>
      <c r="CY80" s="107">
        <f t="shared" ref="CY80" si="255">CY70</f>
        <v>-4540393</v>
      </c>
      <c r="CZ80" s="107">
        <f>CZ70</f>
        <v>-7888805</v>
      </c>
      <c r="DA80" s="107">
        <f>DA70</f>
        <v>-5385823</v>
      </c>
      <c r="DB80" s="106">
        <f t="shared" si="254"/>
        <v>-5385823</v>
      </c>
      <c r="DC80" s="107">
        <f>DC70</f>
        <v>-5624839</v>
      </c>
      <c r="DD80" s="107">
        <f t="shared" ref="DD80" si="256">DD70</f>
        <v>-5795303</v>
      </c>
      <c r="DE80" s="107">
        <f>DE70</f>
        <v>-9547554</v>
      </c>
      <c r="DF80" s="107">
        <f>DF70</f>
        <v>-6353525</v>
      </c>
      <c r="DG80" s="106">
        <f t="shared" si="254"/>
        <v>-6353525</v>
      </c>
      <c r="DH80" s="107">
        <f>DH70</f>
        <v>-6394227</v>
      </c>
      <c r="DI80" s="107">
        <f t="shared" ref="DI80" si="257">DI70</f>
        <v>-6604885</v>
      </c>
      <c r="DJ80" s="107">
        <f>DJ70</f>
        <v>-6988041.687393114</v>
      </c>
      <c r="DK80" s="107">
        <f>DK70</f>
        <v>-6805867.8800170589</v>
      </c>
      <c r="DL80" s="106">
        <f>DL70</f>
        <v>-6805867.8800170589</v>
      </c>
      <c r="DM80" s="107">
        <f t="shared" ref="DM80:EF80" si="258">DM70</f>
        <v>-7354893.2860516617</v>
      </c>
      <c r="DN80" s="107">
        <f t="shared" si="258"/>
        <v>-7719534.1537453234</v>
      </c>
      <c r="DO80" s="107">
        <f t="shared" si="258"/>
        <v>-7973909.6182620553</v>
      </c>
      <c r="DP80" s="107">
        <f t="shared" si="258"/>
        <v>-8213220.7735555153</v>
      </c>
      <c r="DQ80" s="106">
        <f t="shared" si="258"/>
        <v>-8213220.7735555153</v>
      </c>
      <c r="DR80" s="107">
        <f t="shared" si="258"/>
        <v>-8417949.7053875178</v>
      </c>
      <c r="DS80" s="107">
        <f t="shared" si="258"/>
        <v>-8612257.2893573269</v>
      </c>
      <c r="DT80" s="107">
        <f t="shared" si="258"/>
        <v>-8801026.0888833255</v>
      </c>
      <c r="DU80" s="107">
        <f t="shared" si="258"/>
        <v>-8990947.9025187269</v>
      </c>
      <c r="DV80" s="106">
        <f t="shared" si="258"/>
        <v>-8990947.9025187269</v>
      </c>
      <c r="DW80" s="107">
        <f t="shared" si="258"/>
        <v>-9179845.2433323506</v>
      </c>
      <c r="DX80" s="107">
        <f t="shared" si="258"/>
        <v>-9366864.5234379899</v>
      </c>
      <c r="DY80" s="107">
        <f t="shared" si="258"/>
        <v>-9550411.3631994035</v>
      </c>
      <c r="DZ80" s="107">
        <f t="shared" si="258"/>
        <v>-9738189.2461692914</v>
      </c>
      <c r="EA80" s="106">
        <f t="shared" si="258"/>
        <v>-9738189.2461692914</v>
      </c>
      <c r="EB80" s="107">
        <f t="shared" si="258"/>
        <v>-9912435.7164771315</v>
      </c>
      <c r="EC80" s="107">
        <f t="shared" si="258"/>
        <v>-10086578.789261408</v>
      </c>
      <c r="ED80" s="107">
        <f t="shared" si="258"/>
        <v>-10258684.257059997</v>
      </c>
      <c r="EE80" s="107">
        <f t="shared" si="258"/>
        <v>-10434480.987983868</v>
      </c>
      <c r="EF80" s="106">
        <f t="shared" si="258"/>
        <v>-10434480.987983868</v>
      </c>
    </row>
    <row r="81" spans="1:136" outlineLevel="1">
      <c r="A81" s="216" t="s">
        <v>84</v>
      </c>
      <c r="B81" s="228" t="e">
        <f t="shared" ref="B81:AI81" si="259">-365/(B80/B79)</f>
        <v>#REF!</v>
      </c>
      <c r="C81" s="228" t="e">
        <f t="shared" si="259"/>
        <v>#REF!</v>
      </c>
      <c r="D81" s="228" t="e">
        <f t="shared" si="259"/>
        <v>#REF!</v>
      </c>
      <c r="E81" s="228">
        <f t="shared" si="259"/>
        <v>65.036040195720062</v>
      </c>
      <c r="F81" s="229">
        <f t="shared" si="259"/>
        <v>65.036040195720062</v>
      </c>
      <c r="G81" s="228">
        <f t="shared" si="259"/>
        <v>50.24463771340973</v>
      </c>
      <c r="H81" s="228">
        <f t="shared" si="259"/>
        <v>58.266742069546005</v>
      </c>
      <c r="I81" s="228">
        <f t="shared" si="259"/>
        <v>34.194637095278715</v>
      </c>
      <c r="J81" s="228">
        <f t="shared" si="259"/>
        <v>24.903929258226917</v>
      </c>
      <c r="K81" s="229">
        <f t="shared" si="259"/>
        <v>24.903929258226917</v>
      </c>
      <c r="L81" s="228">
        <f t="shared" si="259"/>
        <v>21.395660395266152</v>
      </c>
      <c r="M81" s="228">
        <f t="shared" si="259"/>
        <v>13.475370280316831</v>
      </c>
      <c r="N81" s="228">
        <f t="shared" si="259"/>
        <v>13.314612510808375</v>
      </c>
      <c r="O81" s="228">
        <f t="shared" si="259"/>
        <v>28.368409142339896</v>
      </c>
      <c r="P81" s="229">
        <f t="shared" si="259"/>
        <v>28.368409142339896</v>
      </c>
      <c r="Q81" s="228">
        <f t="shared" si="259"/>
        <v>11.346899056925219</v>
      </c>
      <c r="R81" s="228">
        <f t="shared" si="259"/>
        <v>11.138803852268396</v>
      </c>
      <c r="S81" s="228">
        <f t="shared" si="259"/>
        <v>8.7704159012819005</v>
      </c>
      <c r="T81" s="228">
        <f t="shared" si="259"/>
        <v>14.811344772738622</v>
      </c>
      <c r="U81" s="229">
        <f t="shared" si="259"/>
        <v>14.811344772738622</v>
      </c>
      <c r="V81" s="228" t="e">
        <f t="shared" si="259"/>
        <v>#DIV/0!</v>
      </c>
      <c r="W81" s="228" t="e">
        <f t="shared" si="259"/>
        <v>#DIV/0!</v>
      </c>
      <c r="X81" s="228" t="e">
        <f t="shared" si="259"/>
        <v>#DIV/0!</v>
      </c>
      <c r="Y81" s="228">
        <f t="shared" si="259"/>
        <v>19.365964231744027</v>
      </c>
      <c r="Z81" s="229">
        <f t="shared" si="259"/>
        <v>19.365964231744027</v>
      </c>
      <c r="AA81" s="228">
        <f>-365/(AA80/AA79)</f>
        <v>62.860783889374915</v>
      </c>
      <c r="AB81" s="228">
        <f t="shared" si="259"/>
        <v>64.353354976963573</v>
      </c>
      <c r="AC81" s="228">
        <f t="shared" si="259"/>
        <v>71.164017676948362</v>
      </c>
      <c r="AD81" s="228">
        <f t="shared" si="259"/>
        <v>81.103480176556829</v>
      </c>
      <c r="AE81" s="229">
        <f t="shared" si="259"/>
        <v>81.103480176556829</v>
      </c>
      <c r="AF81" s="228">
        <f>-365/(AF80/AF79)</f>
        <v>62.475449886604522</v>
      </c>
      <c r="AG81" s="228">
        <f t="shared" si="259"/>
        <v>59.949093950548757</v>
      </c>
      <c r="AH81" s="228">
        <f t="shared" si="259"/>
        <v>59.763372897903523</v>
      </c>
      <c r="AI81" s="228">
        <f t="shared" si="259"/>
        <v>45.453423687369067</v>
      </c>
      <c r="AJ81" s="229">
        <f t="shared" ref="AJ81:BO81" si="260">-365/(AJ80/AJ79)</f>
        <v>45.453423687369067</v>
      </c>
      <c r="AK81" s="228">
        <f t="shared" si="260"/>
        <v>26.554565178558885</v>
      </c>
      <c r="AL81" s="228">
        <f t="shared" si="260"/>
        <v>47.924841923049399</v>
      </c>
      <c r="AM81" s="228">
        <f t="shared" si="260"/>
        <v>27.603459500020197</v>
      </c>
      <c r="AN81" s="228">
        <f t="shared" si="260"/>
        <v>23.782166945007742</v>
      </c>
      <c r="AO81" s="229">
        <f t="shared" si="260"/>
        <v>23.782166945007742</v>
      </c>
      <c r="AP81" s="228">
        <f t="shared" si="260"/>
        <v>23.275538735746171</v>
      </c>
      <c r="AQ81" s="228">
        <f t="shared" si="260"/>
        <v>27.92995231762302</v>
      </c>
      <c r="AR81" s="228">
        <f t="shared" si="260"/>
        <v>31.157393064239777</v>
      </c>
      <c r="AS81" s="228">
        <f t="shared" si="260"/>
        <v>18.300593596997484</v>
      </c>
      <c r="AT81" s="229">
        <f t="shared" si="260"/>
        <v>18.300593596997484</v>
      </c>
      <c r="AU81" s="228">
        <f t="shared" si="260"/>
        <v>26.875161518351106</v>
      </c>
      <c r="AV81" s="228">
        <f t="shared" si="260"/>
        <v>26.737329528711086</v>
      </c>
      <c r="AW81" s="228">
        <f t="shared" si="260"/>
        <v>30.473279301960844</v>
      </c>
      <c r="AX81" s="228">
        <f t="shared" si="260"/>
        <v>27.342923766945241</v>
      </c>
      <c r="AY81" s="229">
        <f t="shared" si="260"/>
        <v>27.342923766945241</v>
      </c>
      <c r="AZ81" s="228">
        <f t="shared" si="260"/>
        <v>30.697395117035907</v>
      </c>
      <c r="BA81" s="228">
        <f t="shared" si="260"/>
        <v>30.104611504007028</v>
      </c>
      <c r="BB81" s="228">
        <f t="shared" si="260"/>
        <v>26.412465017495478</v>
      </c>
      <c r="BC81" s="228">
        <f t="shared" si="260"/>
        <v>23.355971782503765</v>
      </c>
      <c r="BD81" s="229">
        <f t="shared" si="260"/>
        <v>23.355971782503765</v>
      </c>
      <c r="BE81" s="228">
        <f t="shared" si="260"/>
        <v>23.228956585782939</v>
      </c>
      <c r="BF81" s="228">
        <f t="shared" si="260"/>
        <v>26.229979678345217</v>
      </c>
      <c r="BG81" s="228">
        <f t="shared" si="260"/>
        <v>33.608303293768927</v>
      </c>
      <c r="BH81" s="228">
        <f t="shared" si="260"/>
        <v>25.423791579240373</v>
      </c>
      <c r="BI81" s="229">
        <f t="shared" si="260"/>
        <v>25.423791579240373</v>
      </c>
      <c r="BJ81" s="228">
        <f t="shared" si="260"/>
        <v>33.252263138910237</v>
      </c>
      <c r="BK81" s="228">
        <f t="shared" si="260"/>
        <v>36.213776313085283</v>
      </c>
      <c r="BL81" s="228">
        <f t="shared" si="260"/>
        <v>37.068298474027927</v>
      </c>
      <c r="BM81" s="228">
        <f t="shared" si="260"/>
        <v>24.731262427987417</v>
      </c>
      <c r="BN81" s="229">
        <f t="shared" si="260"/>
        <v>24.731262427987417</v>
      </c>
      <c r="BO81" s="228">
        <f t="shared" si="260"/>
        <v>28.388725241531969</v>
      </c>
      <c r="BP81" s="228">
        <f t="shared" ref="BP81:CU81" si="261">-365/(BP80/BP79)</f>
        <v>39.209566608185369</v>
      </c>
      <c r="BQ81" s="228">
        <f t="shared" si="261"/>
        <v>38.01101910494112</v>
      </c>
      <c r="BR81" s="228">
        <f t="shared" si="261"/>
        <v>21.690436079385041</v>
      </c>
      <c r="BS81" s="229">
        <f t="shared" si="261"/>
        <v>21.690436079385041</v>
      </c>
      <c r="BT81" s="228">
        <f t="shared" si="261"/>
        <v>27.886966459065874</v>
      </c>
      <c r="BU81" s="228">
        <f t="shared" si="261"/>
        <v>42.017548497084974</v>
      </c>
      <c r="BV81" s="228">
        <f t="shared" si="261"/>
        <v>42.494256585563093</v>
      </c>
      <c r="BW81" s="228">
        <f t="shared" si="261"/>
        <v>21.417346658771535</v>
      </c>
      <c r="BX81" s="229">
        <f t="shared" si="261"/>
        <v>21.417346658771535</v>
      </c>
      <c r="BY81" s="228">
        <f t="shared" si="261"/>
        <v>33.125164788825536</v>
      </c>
      <c r="BZ81" s="228">
        <f t="shared" si="261"/>
        <v>23.478047311711162</v>
      </c>
      <c r="CA81" s="228">
        <f t="shared" si="261"/>
        <v>23.852938145760685</v>
      </c>
      <c r="CB81" s="228">
        <f t="shared" si="261"/>
        <v>18.124916900205481</v>
      </c>
      <c r="CC81" s="229">
        <f t="shared" si="261"/>
        <v>18.124916900205481</v>
      </c>
      <c r="CD81" s="228">
        <f t="shared" si="261"/>
        <v>23.33784185864808</v>
      </c>
      <c r="CE81" s="228">
        <f t="shared" si="261"/>
        <v>22.427108863332705</v>
      </c>
      <c r="CF81" s="228">
        <f t="shared" si="261"/>
        <v>18.754812521311337</v>
      </c>
      <c r="CG81" s="228">
        <f t="shared" si="261"/>
        <v>21.492239770288343</v>
      </c>
      <c r="CH81" s="229">
        <f t="shared" si="261"/>
        <v>21.492239770288343</v>
      </c>
      <c r="CI81" s="228">
        <f t="shared" si="261"/>
        <v>26.330928022210774</v>
      </c>
      <c r="CJ81" s="228">
        <f t="shared" si="261"/>
        <v>24.677453635365712</v>
      </c>
      <c r="CK81" s="228">
        <f t="shared" si="261"/>
        <v>17.397155723426863</v>
      </c>
      <c r="CL81" s="228">
        <f t="shared" si="261"/>
        <v>25.598131911771247</v>
      </c>
      <c r="CM81" s="229">
        <f t="shared" si="261"/>
        <v>25.598131911771247</v>
      </c>
      <c r="CN81" s="228">
        <f t="shared" si="261"/>
        <v>26.700986422181696</v>
      </c>
      <c r="CO81" s="228">
        <f t="shared" si="261"/>
        <v>27.292993453899921</v>
      </c>
      <c r="CP81" s="228">
        <f t="shared" si="261"/>
        <v>17.939706917486181</v>
      </c>
      <c r="CQ81" s="228">
        <f t="shared" si="261"/>
        <v>24.582082427012455</v>
      </c>
      <c r="CR81" s="229">
        <f t="shared" si="261"/>
        <v>24.582082427012455</v>
      </c>
      <c r="CS81" s="228">
        <f t="shared" si="261"/>
        <v>25.631328326866871</v>
      </c>
      <c r="CT81" s="228">
        <f t="shared" si="261"/>
        <v>24.131803232398106</v>
      </c>
      <c r="CU81" s="228">
        <f t="shared" si="261"/>
        <v>14.040253298078024</v>
      </c>
      <c r="CV81" s="228">
        <f t="shared" ref="CV81:CZ81" si="262">-365/(CV80/CV79)</f>
        <v>27.703787032857381</v>
      </c>
      <c r="CW81" s="229">
        <f t="shared" si="262"/>
        <v>27.703787032857381</v>
      </c>
      <c r="CX81" s="228">
        <f t="shared" si="262"/>
        <v>20.585544364966257</v>
      </c>
      <c r="CY81" s="228">
        <f t="shared" si="262"/>
        <v>19.738440042524953</v>
      </c>
      <c r="CZ81" s="228">
        <f t="shared" si="262"/>
        <v>12.089530036551798</v>
      </c>
      <c r="DA81" s="228">
        <f t="shared" ref="DA81" si="263">-365/(DA80/DA79)</f>
        <v>16.854120530882653</v>
      </c>
      <c r="DB81" s="229">
        <f>-365/(DB80/DB79)</f>
        <v>16.854120530882653</v>
      </c>
      <c r="DC81" s="228">
        <f t="shared" ref="DC81:DF81" si="264">-365/(DC80/DC79)</f>
        <v>18.622865472238406</v>
      </c>
      <c r="DD81" s="228">
        <f t="shared" si="264"/>
        <v>18.217050946257686</v>
      </c>
      <c r="DE81" s="228">
        <f t="shared" si="264"/>
        <v>11.615860983870842</v>
      </c>
      <c r="DF81" s="228">
        <f t="shared" si="264"/>
        <v>15.831694216989781</v>
      </c>
      <c r="DG81" s="229">
        <f>-365/(DG80/DG79)</f>
        <v>15.831694216989781</v>
      </c>
      <c r="DH81" s="228">
        <f t="shared" ref="DH81:DI81" si="265">-365/(DH80/DH79)</f>
        <v>20.026052406334653</v>
      </c>
      <c r="DI81" s="228">
        <f t="shared" si="265"/>
        <v>17.069752917726802</v>
      </c>
      <c r="DJ81" s="230">
        <f>DI81</f>
        <v>17.069752917726802</v>
      </c>
      <c r="DK81" s="230">
        <f>DJ81</f>
        <v>17.069752917726802</v>
      </c>
      <c r="DL81" s="229">
        <f>-365/(DL80/DL79)</f>
        <v>17.069752917726802</v>
      </c>
      <c r="DM81" s="230">
        <f>DK81</f>
        <v>17.069752917726802</v>
      </c>
      <c r="DN81" s="230">
        <f>DM81</f>
        <v>17.069752917726802</v>
      </c>
      <c r="DO81" s="230">
        <f>DN81</f>
        <v>17.069752917726802</v>
      </c>
      <c r="DP81" s="230">
        <f>DO81</f>
        <v>17.069752917726802</v>
      </c>
      <c r="DQ81" s="229">
        <f>-365/(DQ80/DQ79)</f>
        <v>17.069752917726802</v>
      </c>
      <c r="DR81" s="230">
        <f>DP81</f>
        <v>17.069752917726802</v>
      </c>
      <c r="DS81" s="230">
        <f>DR81</f>
        <v>17.069752917726802</v>
      </c>
      <c r="DT81" s="230">
        <f>DS81</f>
        <v>17.069752917726802</v>
      </c>
      <c r="DU81" s="230">
        <f>DT81</f>
        <v>17.069752917726802</v>
      </c>
      <c r="DV81" s="229">
        <f>-365/(DV80/DV79)</f>
        <v>17.069752917726802</v>
      </c>
      <c r="DW81" s="230">
        <f>DU81</f>
        <v>17.069752917726802</v>
      </c>
      <c r="DX81" s="230">
        <f>DW81</f>
        <v>17.069752917726802</v>
      </c>
      <c r="DY81" s="230">
        <f>DX81</f>
        <v>17.069752917726802</v>
      </c>
      <c r="DZ81" s="230">
        <f>DY81</f>
        <v>17.069752917726802</v>
      </c>
      <c r="EA81" s="229">
        <f>-365/(EA80/EA79)</f>
        <v>17.069752917726799</v>
      </c>
      <c r="EB81" s="230">
        <f>DZ81</f>
        <v>17.069752917726802</v>
      </c>
      <c r="EC81" s="230">
        <f>EB81</f>
        <v>17.069752917726802</v>
      </c>
      <c r="ED81" s="230">
        <f>EC81</f>
        <v>17.069752917726802</v>
      </c>
      <c r="EE81" s="230">
        <f>ED81</f>
        <v>17.069752917726802</v>
      </c>
      <c r="EF81" s="229">
        <f>-365/(EF80/EF79)</f>
        <v>17.069752917726799</v>
      </c>
    </row>
    <row r="82" spans="1:136" outlineLevel="1">
      <c r="F82" s="91"/>
      <c r="G82" s="131"/>
      <c r="H82" s="131"/>
      <c r="I82" s="131"/>
      <c r="J82" s="131"/>
      <c r="K82" s="91"/>
      <c r="L82" s="131"/>
      <c r="M82" s="131"/>
      <c r="N82" s="131"/>
      <c r="O82" s="131"/>
      <c r="P82" s="91"/>
      <c r="Q82" s="131"/>
      <c r="R82" s="131"/>
      <c r="S82" s="131"/>
      <c r="T82" s="131"/>
      <c r="U82" s="91"/>
      <c r="V82" s="131"/>
      <c r="W82" s="131"/>
      <c r="X82" s="131"/>
      <c r="Y82" s="131"/>
      <c r="Z82" s="91"/>
      <c r="AA82" s="131"/>
      <c r="AB82" s="131"/>
      <c r="AC82" s="131"/>
      <c r="AD82" s="131"/>
      <c r="AE82" s="91"/>
      <c r="AF82" s="131"/>
      <c r="AG82" s="131"/>
      <c r="AH82" s="131"/>
      <c r="AI82" s="131"/>
      <c r="AJ82" s="91"/>
      <c r="AK82" s="131"/>
      <c r="AL82" s="131"/>
      <c r="AM82" s="131"/>
      <c r="AN82" s="131"/>
      <c r="AO82" s="91"/>
      <c r="AP82" s="131"/>
      <c r="AQ82" s="131"/>
      <c r="AR82" s="131"/>
      <c r="AS82" s="131"/>
      <c r="AT82" s="91"/>
      <c r="AU82" s="131"/>
      <c r="AV82" s="131"/>
      <c r="AW82" s="131"/>
      <c r="AX82" s="131"/>
      <c r="AY82" s="91"/>
      <c r="AZ82" s="131"/>
      <c r="BA82" s="131"/>
      <c r="BB82" s="131"/>
      <c r="BC82" s="131"/>
      <c r="BD82" s="91"/>
      <c r="BE82" s="131"/>
      <c r="BF82" s="131"/>
      <c r="BG82" s="131"/>
      <c r="BH82" s="131"/>
      <c r="BI82" s="91"/>
      <c r="BJ82" s="131"/>
      <c r="BK82" s="131"/>
      <c r="BL82" s="131"/>
      <c r="BM82" s="131"/>
      <c r="BN82" s="91"/>
      <c r="BO82" s="131"/>
      <c r="BP82" s="131"/>
      <c r="BQ82" s="131"/>
      <c r="BR82" s="131"/>
      <c r="BS82" s="91"/>
      <c r="BT82" s="131"/>
      <c r="BU82" s="131"/>
      <c r="BV82" s="131"/>
      <c r="BW82" s="131"/>
      <c r="BX82" s="91"/>
      <c r="BY82" s="131"/>
      <c r="BZ82" s="131"/>
      <c r="CA82" s="131"/>
      <c r="CB82" s="131"/>
      <c r="CC82" s="91"/>
      <c r="CD82" s="131"/>
      <c r="CE82" s="131"/>
      <c r="CF82" s="131"/>
      <c r="CG82" s="131"/>
      <c r="CH82" s="91"/>
      <c r="CI82" s="131"/>
      <c r="CJ82" s="131"/>
      <c r="CK82" s="131"/>
      <c r="CL82" s="131"/>
      <c r="CM82" s="91"/>
      <c r="CN82" s="131"/>
      <c r="CO82" s="131"/>
      <c r="CP82" s="131"/>
      <c r="CQ82" s="131"/>
      <c r="CR82" s="91"/>
      <c r="CS82" s="131"/>
      <c r="CT82" s="131"/>
      <c r="CU82" s="131"/>
      <c r="CV82" s="131"/>
      <c r="CW82" s="91"/>
      <c r="CX82" s="131"/>
      <c r="CY82" s="131"/>
      <c r="CZ82" s="131"/>
      <c r="DA82" s="131"/>
      <c r="DB82" s="91"/>
      <c r="DC82" s="131"/>
      <c r="DD82" s="131"/>
      <c r="DE82" s="131"/>
      <c r="DF82" s="131"/>
      <c r="DG82" s="91"/>
      <c r="DH82" s="131"/>
      <c r="DI82" s="131"/>
      <c r="DJ82" s="131"/>
      <c r="DK82" s="131"/>
      <c r="DL82" s="91"/>
      <c r="DM82" s="131"/>
      <c r="DN82" s="131"/>
      <c r="DO82" s="131"/>
      <c r="DP82" s="131"/>
      <c r="DQ82" s="91"/>
      <c r="DR82" s="131"/>
      <c r="DS82" s="131"/>
      <c r="DT82" s="131"/>
      <c r="DU82" s="131"/>
      <c r="DV82" s="91"/>
      <c r="DW82" s="131"/>
      <c r="DX82" s="131"/>
      <c r="DY82" s="131"/>
      <c r="DZ82" s="131"/>
      <c r="EA82" s="91"/>
      <c r="EB82" s="131"/>
      <c r="EC82" s="131"/>
      <c r="ED82" s="131"/>
      <c r="EE82" s="131"/>
      <c r="EF82" s="91"/>
    </row>
    <row r="83" spans="1:136" s="68" customFormat="1" outlineLevel="1">
      <c r="A83" s="68" t="s">
        <v>50</v>
      </c>
      <c r="B83" s="236">
        <f t="shared" ref="B83:AC83" si="266">B34</f>
        <v>102569</v>
      </c>
      <c r="C83" s="236">
        <f t="shared" si="266"/>
        <v>52783</v>
      </c>
      <c r="D83" s="236">
        <f t="shared" si="266"/>
        <v>72105</v>
      </c>
      <c r="E83" s="236">
        <f t="shared" si="266"/>
        <v>133098</v>
      </c>
      <c r="F83" s="237">
        <f t="shared" si="266"/>
        <v>133098</v>
      </c>
      <c r="G83" s="236">
        <f t="shared" si="266"/>
        <v>173250</v>
      </c>
      <c r="H83" s="236">
        <f t="shared" si="266"/>
        <v>111281</v>
      </c>
      <c r="I83" s="236">
        <f t="shared" si="266"/>
        <v>88077</v>
      </c>
      <c r="J83" s="236">
        <f t="shared" si="266"/>
        <v>108104</v>
      </c>
      <c r="K83" s="237">
        <f t="shared" si="266"/>
        <v>108104</v>
      </c>
      <c r="L83" s="236">
        <f t="shared" si="266"/>
        <v>82530</v>
      </c>
      <c r="M83" s="236">
        <f t="shared" si="266"/>
        <v>92152</v>
      </c>
      <c r="N83" s="236">
        <f t="shared" si="266"/>
        <v>90168</v>
      </c>
      <c r="O83" s="236">
        <f t="shared" si="266"/>
        <v>101968</v>
      </c>
      <c r="P83" s="237">
        <f t="shared" si="266"/>
        <v>101968</v>
      </c>
      <c r="Q83" s="236">
        <f t="shared" si="266"/>
        <v>120960</v>
      </c>
      <c r="R83" s="236">
        <f t="shared" si="266"/>
        <v>89867</v>
      </c>
      <c r="S83" s="236">
        <f t="shared" si="266"/>
        <v>97691</v>
      </c>
      <c r="T83" s="236">
        <f t="shared" si="266"/>
        <v>87879</v>
      </c>
      <c r="U83" s="237">
        <f t="shared" si="266"/>
        <v>87879</v>
      </c>
      <c r="V83" s="236">
        <f t="shared" si="266"/>
        <v>102782</v>
      </c>
      <c r="W83" s="236">
        <f t="shared" si="266"/>
        <v>90026</v>
      </c>
      <c r="X83" s="236">
        <f t="shared" si="266"/>
        <v>111173</v>
      </c>
      <c r="Y83" s="236">
        <f t="shared" si="266"/>
        <v>0</v>
      </c>
      <c r="Z83" s="237">
        <f t="shared" si="266"/>
        <v>0</v>
      </c>
      <c r="AA83" s="236">
        <f t="shared" si="266"/>
        <v>0</v>
      </c>
      <c r="AB83" s="236">
        <f t="shared" si="266"/>
        <v>104737</v>
      </c>
      <c r="AC83" s="236">
        <f t="shared" si="266"/>
        <v>67615</v>
      </c>
      <c r="AD83" s="236">
        <f t="shared" ref="AD83:AJ83" si="267">AD34</f>
        <v>77045</v>
      </c>
      <c r="AE83" s="237">
        <f t="shared" si="267"/>
        <v>77045</v>
      </c>
      <c r="AF83" s="236">
        <f t="shared" si="267"/>
        <v>64152</v>
      </c>
      <c r="AG83" s="236">
        <f t="shared" si="267"/>
        <v>295526</v>
      </c>
      <c r="AH83" s="236">
        <f t="shared" si="267"/>
        <v>307047</v>
      </c>
      <c r="AI83" s="236">
        <f t="shared" si="267"/>
        <v>244776</v>
      </c>
      <c r="AJ83" s="237">
        <f t="shared" si="267"/>
        <v>244776</v>
      </c>
      <c r="AK83" s="236">
        <f t="shared" ref="AK83:BP83" si="268">AK34</f>
        <v>238525</v>
      </c>
      <c r="AL83" s="236">
        <f t="shared" si="268"/>
        <v>212901</v>
      </c>
      <c r="AM83" s="236">
        <f t="shared" si="268"/>
        <v>119249</v>
      </c>
      <c r="AN83" s="236">
        <f t="shared" si="268"/>
        <v>213156</v>
      </c>
      <c r="AO83" s="237">
        <f t="shared" si="268"/>
        <v>213156</v>
      </c>
      <c r="AP83" s="236">
        <f t="shared" si="268"/>
        <v>198149</v>
      </c>
      <c r="AQ83" s="236">
        <f t="shared" si="268"/>
        <v>188289</v>
      </c>
      <c r="AR83" s="236">
        <f t="shared" si="268"/>
        <v>181979</v>
      </c>
      <c r="AS83" s="236">
        <f t="shared" si="268"/>
        <v>287340</v>
      </c>
      <c r="AT83" s="237">
        <f t="shared" si="268"/>
        <v>287340</v>
      </c>
      <c r="AU83" s="236">
        <f t="shared" si="268"/>
        <v>261212</v>
      </c>
      <c r="AV83" s="236">
        <f t="shared" si="268"/>
        <v>296291</v>
      </c>
      <c r="AW83" s="236">
        <f t="shared" si="268"/>
        <v>305580</v>
      </c>
      <c r="AX83" s="236">
        <f t="shared" si="268"/>
        <v>286447</v>
      </c>
      <c r="AY83" s="237">
        <f t="shared" si="268"/>
        <v>286447</v>
      </c>
      <c r="AZ83" s="236">
        <f t="shared" si="268"/>
        <v>281168</v>
      </c>
      <c r="BA83" s="236">
        <f t="shared" si="268"/>
        <v>285467</v>
      </c>
      <c r="BB83" s="236">
        <f t="shared" si="268"/>
        <v>260444</v>
      </c>
      <c r="BC83" s="236">
        <f t="shared" si="268"/>
        <v>281602</v>
      </c>
      <c r="BD83" s="237">
        <f t="shared" si="268"/>
        <v>281602</v>
      </c>
      <c r="BE83" s="236">
        <f t="shared" si="268"/>
        <v>259910</v>
      </c>
      <c r="BF83" s="236">
        <f t="shared" si="268"/>
        <v>245594</v>
      </c>
      <c r="BG83" s="236">
        <f t="shared" si="268"/>
        <v>182832</v>
      </c>
      <c r="BH83" s="236">
        <f t="shared" si="268"/>
        <v>174693</v>
      </c>
      <c r="BI83" s="237">
        <f t="shared" si="268"/>
        <v>174693</v>
      </c>
      <c r="BJ83" s="236">
        <f t="shared" si="268"/>
        <v>137906</v>
      </c>
      <c r="BK83" s="236">
        <f t="shared" si="268"/>
        <v>127764</v>
      </c>
      <c r="BL83" s="236">
        <f t="shared" si="268"/>
        <v>72835</v>
      </c>
      <c r="BM83" s="236">
        <f t="shared" si="268"/>
        <v>74086</v>
      </c>
      <c r="BN83" s="237">
        <f t="shared" si="268"/>
        <v>74086</v>
      </c>
      <c r="BO83" s="236">
        <f t="shared" si="268"/>
        <v>82498</v>
      </c>
      <c r="BP83" s="236">
        <f t="shared" si="268"/>
        <v>118082</v>
      </c>
      <c r="BQ83" s="236">
        <f t="shared" ref="BQ83:CX83" si="269">BQ34</f>
        <v>102694</v>
      </c>
      <c r="BR83" s="236">
        <f t="shared" si="269"/>
        <v>124785</v>
      </c>
      <c r="BS83" s="237">
        <f t="shared" si="269"/>
        <v>124785</v>
      </c>
      <c r="BT83" s="236">
        <f t="shared" si="269"/>
        <v>153489</v>
      </c>
      <c r="BU83" s="236">
        <f t="shared" si="269"/>
        <v>185743</v>
      </c>
      <c r="BV83" s="236">
        <f t="shared" si="269"/>
        <v>139926</v>
      </c>
      <c r="BW83" s="236">
        <f t="shared" si="269"/>
        <v>134547</v>
      </c>
      <c r="BX83" s="237">
        <f t="shared" si="269"/>
        <v>134547</v>
      </c>
      <c r="BY83" s="236">
        <f t="shared" si="269"/>
        <v>134172</v>
      </c>
      <c r="BZ83" s="236">
        <f t="shared" si="269"/>
        <v>143328</v>
      </c>
      <c r="CA83" s="236">
        <f t="shared" si="269"/>
        <v>140901</v>
      </c>
      <c r="CB83" s="236">
        <f t="shared" si="269"/>
        <v>148366</v>
      </c>
      <c r="CC83" s="237">
        <f t="shared" si="269"/>
        <v>148366</v>
      </c>
      <c r="CD83" s="236">
        <f t="shared" si="269"/>
        <v>162167</v>
      </c>
      <c r="CE83" s="236">
        <f t="shared" si="269"/>
        <v>120706</v>
      </c>
      <c r="CF83" s="236">
        <f t="shared" si="269"/>
        <v>62370</v>
      </c>
      <c r="CG83" s="236">
        <f t="shared" si="269"/>
        <v>147066</v>
      </c>
      <c r="CH83" s="237">
        <f t="shared" si="269"/>
        <v>147066</v>
      </c>
      <c r="CI83" s="236">
        <f t="shared" si="269"/>
        <v>138922</v>
      </c>
      <c r="CJ83" s="236">
        <f t="shared" si="269"/>
        <v>197699</v>
      </c>
      <c r="CK83" s="236">
        <f t="shared" si="269"/>
        <v>206968</v>
      </c>
      <c r="CL83" s="236">
        <f t="shared" si="269"/>
        <v>180459</v>
      </c>
      <c r="CM83" s="237">
        <f t="shared" si="269"/>
        <v>180459</v>
      </c>
      <c r="CN83" s="236">
        <f t="shared" si="269"/>
        <v>187687</v>
      </c>
      <c r="CO83" s="236">
        <f t="shared" si="269"/>
        <v>181584</v>
      </c>
      <c r="CP83" s="236">
        <f t="shared" si="269"/>
        <v>160596</v>
      </c>
      <c r="CQ83" s="236">
        <f t="shared" si="269"/>
        <v>121544</v>
      </c>
      <c r="CR83" s="237">
        <f t="shared" si="269"/>
        <v>121544</v>
      </c>
      <c r="CS83" s="236">
        <f t="shared" si="269"/>
        <v>214119</v>
      </c>
      <c r="CT83" s="236">
        <f t="shared" si="269"/>
        <v>206770</v>
      </c>
      <c r="CU83" s="236">
        <f t="shared" si="269"/>
        <v>196348</v>
      </c>
      <c r="CV83" s="236">
        <f t="shared" si="269"/>
        <v>154563</v>
      </c>
      <c r="CW83" s="237">
        <f t="shared" si="269"/>
        <v>154563</v>
      </c>
      <c r="CX83" s="236">
        <f t="shared" si="269"/>
        <v>160111</v>
      </c>
      <c r="CY83" s="236">
        <f t="shared" ref="CY83:DA83" si="270">CY34</f>
        <v>139975</v>
      </c>
      <c r="CZ83" s="236">
        <f t="shared" si="270"/>
        <v>91715</v>
      </c>
      <c r="DA83" s="236">
        <f t="shared" si="270"/>
        <v>39579</v>
      </c>
      <c r="DB83" s="237">
        <f>DB34</f>
        <v>39579</v>
      </c>
      <c r="DC83" s="236">
        <f t="shared" ref="DC83:DF83" si="271">DC34</f>
        <v>40718</v>
      </c>
      <c r="DD83" s="236">
        <f t="shared" si="271"/>
        <v>31104</v>
      </c>
      <c r="DE83" s="236">
        <f t="shared" si="271"/>
        <v>50464</v>
      </c>
      <c r="DF83" s="236">
        <f t="shared" si="271"/>
        <v>38748</v>
      </c>
      <c r="DG83" s="237">
        <f>DG34</f>
        <v>38748</v>
      </c>
      <c r="DH83" s="236">
        <f t="shared" ref="DH83:DI83" si="272">DH34</f>
        <v>44164</v>
      </c>
      <c r="DI83" s="236">
        <f t="shared" si="272"/>
        <v>64162</v>
      </c>
      <c r="DJ83" s="226">
        <f>DJ85*DJ84</f>
        <v>65411.720458853546</v>
      </c>
      <c r="DK83" s="226">
        <f>DK85*DK84</f>
        <v>70569.585393682923</v>
      </c>
      <c r="DL83" s="237">
        <f>DL34</f>
        <v>70569.585393682923</v>
      </c>
      <c r="DM83" s="226">
        <f>DM85*DM84</f>
        <v>72380.614229967003</v>
      </c>
      <c r="DN83" s="226">
        <f>DN85*DN84</f>
        <v>73588.602364184422</v>
      </c>
      <c r="DO83" s="226">
        <f>DO85*DO84</f>
        <v>74443.406514235947</v>
      </c>
      <c r="DP83" s="226">
        <f>DP85*DP84</f>
        <v>75421.752870513461</v>
      </c>
      <c r="DQ83" s="237">
        <f>DQ34</f>
        <v>75421.752870513461</v>
      </c>
      <c r="DR83" s="226">
        <f>DR85*DR84</f>
        <v>75452.009579058184</v>
      </c>
      <c r="DS83" s="226">
        <f>DS85*DS84</f>
        <v>75657.181041296935</v>
      </c>
      <c r="DT83" s="226">
        <f>DT85*DT84</f>
        <v>76073.469351864216</v>
      </c>
      <c r="DU83" s="226">
        <f>DU85*DU84</f>
        <v>76760.166938001712</v>
      </c>
      <c r="DV83" s="237">
        <f>DV34</f>
        <v>76760.166938001712</v>
      </c>
      <c r="DW83" s="226">
        <f>DW85*DW84</f>
        <v>77237.234043433957</v>
      </c>
      <c r="DX83" s="226">
        <f>DX85*DX84</f>
        <v>77913.759610207024</v>
      </c>
      <c r="DY83" s="226">
        <f>DY85*DY84</f>
        <v>78719.966323995424</v>
      </c>
      <c r="DZ83" s="226">
        <f>DZ85*DZ84</f>
        <v>79746.797985934842</v>
      </c>
      <c r="EA83" s="237">
        <f>EA34</f>
        <v>79746.797985934842</v>
      </c>
      <c r="EB83" s="226">
        <f>EB85*EB84</f>
        <v>80530.930223912321</v>
      </c>
      <c r="EC83" s="226">
        <f>EC85*EC84</f>
        <v>81465.815541039236</v>
      </c>
      <c r="ED83" s="226">
        <f>ED85*ED84</f>
        <v>82485.69949185531</v>
      </c>
      <c r="EE83" s="226">
        <f>EE85*EE84</f>
        <v>83654.941606293884</v>
      </c>
      <c r="EF83" s="237">
        <f>EF34</f>
        <v>83654.941606293884</v>
      </c>
    </row>
    <row r="84" spans="1:136" outlineLevel="1">
      <c r="A84" s="66" t="s">
        <v>752</v>
      </c>
      <c r="B84" s="110" t="e">
        <f>Forecasts!B9+Forecasts!#REF!+Forecasts!#REF!+Forecasts!#REF!</f>
        <v>#REF!</v>
      </c>
      <c r="C84" s="110" t="e">
        <f>Forecasts!C9+Forecasts!B9+Forecasts!#REF!+Forecasts!#REF!</f>
        <v>#REF!</v>
      </c>
      <c r="D84" s="110" t="e">
        <f>Forecasts!D9+Forecasts!C9+Forecasts!B9+Forecasts!#REF!</f>
        <v>#REF!</v>
      </c>
      <c r="E84" s="110">
        <f>Forecasts!E9+Forecasts!D9+Forecasts!C9+Forecasts!B9</f>
        <v>807102</v>
      </c>
      <c r="F84" s="112">
        <f>Forecasts!F9</f>
        <v>807102.00000000012</v>
      </c>
      <c r="G84" s="110">
        <f>Forecasts!G9+Forecasts!E9+Forecasts!D9+Forecasts!C9</f>
        <v>783748.33333333337</v>
      </c>
      <c r="H84" s="110">
        <f>Forecasts!H9+Forecasts!G9+Forecasts!E9+Forecasts!D9</f>
        <v>827764.66666666674</v>
      </c>
      <c r="I84" s="110">
        <f>Forecasts!I9+Forecasts!H9+Forecasts!G9+Forecasts!E9</f>
        <v>909570.00000000012</v>
      </c>
      <c r="J84" s="110">
        <f>Forecasts!J9+Forecasts!I9+Forecasts!H9+Forecasts!G9</f>
        <v>983351</v>
      </c>
      <c r="K84" s="112">
        <f>Forecasts!K9</f>
        <v>983351</v>
      </c>
      <c r="L84" s="110">
        <f>Forecasts!L9+Forecasts!J9+Forecasts!I9+Forecasts!H9</f>
        <v>1009304</v>
      </c>
      <c r="M84" s="110">
        <f>Forecasts!M9+Forecasts!L9+Forecasts!J9+Forecasts!I9</f>
        <v>1374143</v>
      </c>
      <c r="N84" s="110">
        <f>Forecasts!N9+Forecasts!M9+Forecasts!L9+Forecasts!J9</f>
        <v>1523470</v>
      </c>
      <c r="O84" s="110">
        <f>Forecasts!O9+Forecasts!N9+Forecasts!M9+Forecasts!L9</f>
        <v>1915097</v>
      </c>
      <c r="P84" s="112">
        <f>Forecasts!P9</f>
        <v>1915097</v>
      </c>
      <c r="Q84" s="110">
        <f>Forecasts!Q9+Forecasts!O9+Forecasts!N9+Forecasts!M9</f>
        <v>2108296</v>
      </c>
      <c r="R84" s="110">
        <f>Forecasts!R9+Forecasts!Q9+Forecasts!O9+Forecasts!N9</f>
        <v>2204769</v>
      </c>
      <c r="S84" s="110">
        <f>Forecasts!S9+Forecasts!R9+Forecasts!Q9+Forecasts!O9</f>
        <v>2839166</v>
      </c>
      <c r="T84" s="110">
        <f>Forecasts!T9+Forecasts!S9+Forecasts!R9+Forecasts!Q9</f>
        <v>4392210</v>
      </c>
      <c r="U84" s="112">
        <f>Forecasts!U9</f>
        <v>4392210</v>
      </c>
      <c r="V84" s="110">
        <f>Forecasts!V9+Forecasts!T9+Forecasts!S9+Forecasts!R9</f>
        <v>5055435</v>
      </c>
      <c r="W84" s="110">
        <f>Forecasts!W9+Forecasts!V9+Forecasts!T9+Forecasts!S9</f>
        <v>6298021</v>
      </c>
      <c r="X84" s="110">
        <f>Forecasts!X9+Forecasts!W9+Forecasts!V9+Forecasts!T9</f>
        <v>6292046</v>
      </c>
      <c r="Y84" s="110">
        <f>Forecasts!Y9+Forecasts!X9+Forecasts!W9+Forecasts!V9</f>
        <v>4611525</v>
      </c>
      <c r="Z84" s="112">
        <f>Forecasts!Z9</f>
        <v>4611525</v>
      </c>
      <c r="AA84" s="110">
        <f>Forecasts!AA9+Forecasts!Y9+Forecasts!X9+Forecasts!W9</f>
        <v>4061305</v>
      </c>
      <c r="AB84" s="110">
        <f>Forecasts!AB9+Forecasts!AA9+Forecasts!Y9+Forecasts!X9</f>
        <v>2960232</v>
      </c>
      <c r="AC84" s="110">
        <f>Forecasts!AC9+Forecasts!AB9+Forecasts!AA9+Forecasts!Y9</f>
        <v>3538606</v>
      </c>
      <c r="AD84" s="110">
        <f>Forecasts!AD9+Forecasts!AC9+Forecasts!AB9+Forecasts!AA9</f>
        <v>5241088</v>
      </c>
      <c r="AE84" s="112">
        <f>Forecasts!AE9</f>
        <v>5241088</v>
      </c>
      <c r="AF84" s="110">
        <f>Forecasts!AF9+Forecasts!AD9+Forecasts!AC9+Forecasts!AB9</f>
        <v>5805048</v>
      </c>
      <c r="AG84" s="110">
        <f>Forecasts!AG9+Forecasts!AF9+Forecasts!AD9+Forecasts!AC9</f>
        <v>6505120</v>
      </c>
      <c r="AH84" s="110">
        <f>Forecasts!AH9+Forecasts!AG9+Forecasts!AF9+Forecasts!AD9</f>
        <v>5899572</v>
      </c>
      <c r="AI84" s="110">
        <f>Forecasts!AI9+Forecasts!AH9+Forecasts!AG9+Forecasts!AF9</f>
        <v>6172408</v>
      </c>
      <c r="AJ84" s="112">
        <f>Forecasts!AJ9</f>
        <v>6172408</v>
      </c>
      <c r="AK84" s="110">
        <f>Forecasts!AK9+Forecasts!AI9+Forecasts!AH9+Forecasts!AG9</f>
        <v>6105656</v>
      </c>
      <c r="AL84" s="110">
        <f>Forecasts!AL9+Forecasts!AK9+Forecasts!AI9+Forecasts!AH9</f>
        <v>6233754</v>
      </c>
      <c r="AM84" s="110">
        <f>Forecasts!AM9+Forecasts!AL9+Forecasts!AK9+Forecasts!AI9</f>
        <v>6657385</v>
      </c>
      <c r="AN84" s="110">
        <f>Forecasts!AN9+Forecasts!AM9+Forecasts!AL9+Forecasts!AK9</f>
        <v>6498000</v>
      </c>
      <c r="AO84" s="112">
        <f>Forecasts!AO9</f>
        <v>6498000</v>
      </c>
      <c r="AP84" s="110">
        <f>Forecasts!AP9+Forecasts!AN9+Forecasts!AM9+Forecasts!AL9</f>
        <v>6719000</v>
      </c>
      <c r="AQ84" s="110">
        <f>Forecasts!AQ9+Forecasts!AP9+Forecasts!AN9+Forecasts!AM9</f>
        <v>6365100</v>
      </c>
      <c r="AR84" s="110">
        <f>Forecasts!AR9+Forecasts!AQ9+Forecasts!AP9+Forecasts!AN9</f>
        <v>6671600</v>
      </c>
      <c r="AS84" s="110">
        <f>Forecasts!AS9+Forecasts!AR9+Forecasts!AQ9+Forecasts!AP9</f>
        <v>5443000</v>
      </c>
      <c r="AT84" s="112">
        <f>Forecasts!AT9</f>
        <v>5443000</v>
      </c>
      <c r="AU84" s="110">
        <f>Forecasts!AU9+Forecasts!AS9+Forecasts!AR9+Forecasts!AQ9</f>
        <v>5378600</v>
      </c>
      <c r="AV84" s="110">
        <f>Forecasts!AV9+Forecasts!AU9+Forecasts!AS9+Forecasts!AR9</f>
        <v>5754000</v>
      </c>
      <c r="AW84" s="110">
        <f>Forecasts!AW9+Forecasts!AV9+Forecasts!AU9+Forecasts!AS9</f>
        <v>5359100</v>
      </c>
      <c r="AX84" s="110">
        <f>Forecasts!AX9+Forecasts!AW9+Forecasts!AV9+Forecasts!AU9</f>
        <v>6011400</v>
      </c>
      <c r="AY84" s="112">
        <f>Forecasts!AY9</f>
        <v>6011400</v>
      </c>
      <c r="AZ84" s="110">
        <f>Forecasts!AZ9+Forecasts!AX9+Forecasts!AW9+Forecasts!AV9</f>
        <v>6403500</v>
      </c>
      <c r="BA84" s="110">
        <f>Forecasts!BA9+Forecasts!AZ9+Forecasts!AX9+Forecasts!AW9</f>
        <v>5971600</v>
      </c>
      <c r="BB84" s="110">
        <f>Forecasts!BB9+Forecasts!BA9+Forecasts!AZ9+Forecasts!AX9</f>
        <v>5603000</v>
      </c>
      <c r="BC84" s="110">
        <f>Forecasts!BC9+Forecasts!BB9+Forecasts!BA9+Forecasts!AZ9</f>
        <v>5578300</v>
      </c>
      <c r="BD84" s="112">
        <f>Forecasts!BD9</f>
        <v>5578300</v>
      </c>
      <c r="BE84" s="110">
        <f>Forecasts!BE9+Forecasts!BC9+Forecasts!BB9+Forecasts!BA9</f>
        <v>4753227</v>
      </c>
      <c r="BF84" s="110">
        <f>Forecasts!BF9+Forecasts!BE9+Forecasts!BC9+Forecasts!BB9</f>
        <v>4309284</v>
      </c>
      <c r="BG84" s="110">
        <f>Forecasts!BG9+Forecasts!BF9+Forecasts!BE9+Forecasts!BC9</f>
        <v>4326559</v>
      </c>
      <c r="BH84" s="110">
        <f>Forecasts!BH9+Forecasts!BG9+Forecasts!BF9+Forecasts!BE9</f>
        <v>3389586</v>
      </c>
      <c r="BI84" s="112">
        <f>Forecasts!BI9</f>
        <v>3389586</v>
      </c>
      <c r="BJ84" s="110">
        <f>Forecasts!BJ9+Forecasts!BH9+Forecasts!BG9+Forecasts!BF9</f>
        <v>3210524</v>
      </c>
      <c r="BK84" s="110">
        <f>Forecasts!BK9+Forecasts!BJ9+Forecasts!BH9+Forecasts!BG9</f>
        <v>2955246</v>
      </c>
      <c r="BL84" s="110">
        <f>Forecasts!BL9+Forecasts!BK9+Forecasts!BJ9+Forecasts!BH9</f>
        <v>2519321</v>
      </c>
      <c r="BM84" s="110">
        <f>Forecasts!BM9+Forecasts!BL9+Forecasts!BK9+Forecasts!BJ9</f>
        <v>2765562</v>
      </c>
      <c r="BN84" s="112">
        <f>Forecasts!BN9</f>
        <v>2765562</v>
      </c>
      <c r="BO84" s="110">
        <f>Forecasts!BO9+Forecasts!BM9+Forecasts!BL9+Forecasts!BK9</f>
        <v>2741997</v>
      </c>
      <c r="BP84" s="110">
        <f>Forecasts!BP9+Forecasts!BO9+Forecasts!BM9+Forecasts!BL9</f>
        <v>2939618</v>
      </c>
      <c r="BQ84" s="110">
        <f>Forecasts!BQ9+Forecasts!BP9+Forecasts!BO9+Forecasts!BM9</f>
        <v>3095898</v>
      </c>
      <c r="BR84" s="110">
        <f>Forecasts!BR9+Forecasts!BQ9+Forecasts!BP9+Forecasts!BO9</f>
        <v>3258921</v>
      </c>
      <c r="BS84" s="112">
        <f>Forecasts!BS9</f>
        <v>3258921</v>
      </c>
      <c r="BT84" s="110">
        <f>Forecasts!BT9+Forecasts!BR9+Forecasts!BQ9+Forecasts!BP9</f>
        <v>3352013</v>
      </c>
      <c r="BU84" s="110">
        <f>Forecasts!BU9+Forecasts!BT9+Forecasts!BR9+Forecasts!BQ9</f>
        <v>3656948</v>
      </c>
      <c r="BV84" s="110">
        <f>Forecasts!BV9+Forecasts!BU9+Forecasts!BT9+Forecasts!BR9</f>
        <v>3870318</v>
      </c>
      <c r="BW84" s="110">
        <f>Forecasts!BW9+Forecasts!BV9+Forecasts!BU9+Forecasts!BT9</f>
        <v>5056206.7254579794</v>
      </c>
      <c r="BX84" s="112">
        <f>Forecasts!BX9</f>
        <v>5056206.7254579794</v>
      </c>
      <c r="BY84" s="110">
        <f>Forecasts!BY9+Forecasts!BW9+Forecasts!BV9+Forecasts!BU9</f>
        <v>5216145.7920261603</v>
      </c>
      <c r="BZ84" s="110">
        <f>Forecasts!BZ9+Forecasts!BY9+Forecasts!BW9+Forecasts!BV9</f>
        <v>5460681.7288763039</v>
      </c>
      <c r="CA84" s="110">
        <f>Forecasts!CA9+Forecasts!BZ9+Forecasts!BY9+Forecasts!BW9</f>
        <v>5641048.0592075102</v>
      </c>
      <c r="CB84" s="110">
        <f>Forecasts!CB9+Forecasts!CA9+Forecasts!BZ9+Forecasts!BY9</f>
        <v>4589313.4433463402</v>
      </c>
      <c r="CC84" s="112">
        <f>Forecasts!CC9</f>
        <v>4589313.4433463402</v>
      </c>
      <c r="CD84" s="110">
        <f>Forecasts!CD9+Forecasts!CB9+Forecasts!CA9+Forecasts!BZ9</f>
        <v>4662471.3602240281</v>
      </c>
      <c r="CE84" s="110">
        <f>Forecasts!CE9+Forecasts!CD9+Forecasts!CB9+Forecasts!CA9</f>
        <v>3869378.512328282</v>
      </c>
      <c r="CF84" s="110">
        <f>Forecasts!CF9+Forecasts!CE9+Forecasts!CD9+Forecasts!CB9</f>
        <v>4457639.2845503371</v>
      </c>
      <c r="CG84" s="110">
        <f>Forecasts!CG9+Forecasts!CF9+Forecasts!CE9+Forecasts!CD9</f>
        <v>4930388.9416555772</v>
      </c>
      <c r="CH84" s="112">
        <f>Forecasts!CH9</f>
        <v>4930388.9416555772</v>
      </c>
      <c r="CI84" s="110">
        <f>Forecasts!CI9+Forecasts!CG9+Forecasts!CF9+Forecasts!CE9</f>
        <v>5115111.8526968835</v>
      </c>
      <c r="CJ84" s="110">
        <f>Forecasts!CJ9+Forecasts!CI9+Forecasts!CG9+Forecasts!CF9</f>
        <v>6162688.5831581578</v>
      </c>
      <c r="CK84" s="110">
        <f>Forecasts!CK9+Forecasts!CJ9+Forecasts!CI9+Forecasts!CH9</f>
        <v>8886859.3356911391</v>
      </c>
      <c r="CL84" s="110">
        <f>Forecasts!CL9+Forecasts!CK9+Forecasts!CJ9+Forecasts!CI9</f>
        <v>5530985.4925273918</v>
      </c>
      <c r="CM84" s="112">
        <f>Forecasts!CM9</f>
        <v>5530985.4925273918</v>
      </c>
      <c r="CN84" s="110">
        <f>Forecasts!CN9+Forecasts!CL9+Forecasts!CK9+Forecasts!CJ9</f>
        <v>5812560.9386183089</v>
      </c>
      <c r="CO84" s="110">
        <f>Forecasts!CO9+Forecasts!CN9+Forecasts!CL9+Forecasts!CK9</f>
        <v>5874646.989958154</v>
      </c>
      <c r="CP84" s="110">
        <f>Forecasts!CP9+Forecasts!CO9+Forecasts!CN9+Forecasts!CM9</f>
        <v>10751231.240185585</v>
      </c>
      <c r="CQ84" s="110">
        <f>Forecasts!CQ9+Forecasts!CP9+Forecasts!CO9+Forecasts!CN9</f>
        <v>7911182.0870935516</v>
      </c>
      <c r="CR84" s="112">
        <f>Forecasts!CR9</f>
        <v>7911182.0870935516</v>
      </c>
      <c r="CS84" s="110">
        <f>Forecasts!CS9+Forecasts!CQ9+Forecasts!CP9+Forecasts!CO9</f>
        <v>8143246.2056544833</v>
      </c>
      <c r="CT84" s="110">
        <f>Forecasts!CT9+Forecasts!CS9+Forecasts!CQ9+Forecasts!CP9</f>
        <v>9012438.7942087948</v>
      </c>
      <c r="CU84" s="110">
        <f>Forecasts!CU9+Forecasts!CT9+Forecasts!CS9+Forecasts!CR9</f>
        <v>14210155.98310478</v>
      </c>
      <c r="CV84" s="110">
        <f>Forecasts!CV9+Forecasts!CU9+Forecasts!CT9+Forecasts!CS9</f>
        <v>8891909.593476627</v>
      </c>
      <c r="CW84" s="112">
        <f>Forecasts!CW9</f>
        <v>8891909.593476627</v>
      </c>
      <c r="CX84" s="110">
        <f>Forecasts!CX9+Forecasts!CV9+Forecasts!CU9+Forecasts!CT9</f>
        <v>9494487.4766998049</v>
      </c>
      <c r="CY84" s="110">
        <f>Forecasts!CY9+Forecasts!CX9+Forecasts!CV9+Forecasts!CU9</f>
        <v>9374758.7361508142</v>
      </c>
      <c r="CZ84" s="110">
        <f>Forecasts!CZ9+Forecasts!CY9+Forecasts!CX9+Forecasts!CW9</f>
        <v>16611120.548292466</v>
      </c>
      <c r="DA84" s="110">
        <f>Forecasts!DA9+Forecasts!CZ9+Forecasts!CY9+Forecasts!CX9</f>
        <v>12624165.571773611</v>
      </c>
      <c r="DB84" s="112">
        <f>Forecasts!DB9</f>
        <v>12624165.571773611</v>
      </c>
      <c r="DC84" s="110">
        <f>Forecasts!DC9+Forecasts!DA9+Forecasts!CZ9+Forecasts!CY9</f>
        <v>13505887.816264279</v>
      </c>
      <c r="DD84" s="110">
        <f>Forecasts!DD9+Forecasts!DC9+Forecasts!DA9+Forecasts!CZ9</f>
        <v>14392265.332956146</v>
      </c>
      <c r="DE84" s="110">
        <f>Forecasts!DE9+Forecasts!DD9+Forecasts!DC9+Forecasts!DB9</f>
        <v>22457738.93763385</v>
      </c>
      <c r="DF84" s="110">
        <f>Forecasts!DF9+Forecasts!DE9+Forecasts!DD9+Forecasts!DC9</f>
        <v>13163163.917132407</v>
      </c>
      <c r="DG84" s="112">
        <f>Forecasts!DG9</f>
        <v>13163163.917132407</v>
      </c>
      <c r="DH84" s="110">
        <f>Forecasts!DH9+Forecasts!DF9+Forecasts!DE9+Forecasts!DD9</f>
        <v>13075890.933312595</v>
      </c>
      <c r="DI84" s="110">
        <f>Forecasts!DI9+Forecasts!DH9+Forecasts!DF9+Forecasts!DE9</f>
        <v>13284765.166300539</v>
      </c>
      <c r="DJ84" s="110">
        <f>Forecasts!DJ9+Forecasts!DI9+Forecasts!DH9+Forecasts!DF9</f>
        <v>13543520.236581869</v>
      </c>
      <c r="DK84" s="110">
        <f>Forecasts!DK9+Forecasts!DJ9+Forecasts!DI9+Forecasts!DH9</f>
        <v>14611458.025595684</v>
      </c>
      <c r="DL84" s="112">
        <f>Forecasts!DL9</f>
        <v>14611458.025595684</v>
      </c>
      <c r="DM84" s="110">
        <f>Forecasts!DM9+Forecasts!DK9+Forecasts!DJ9+Forecasts!DI9</f>
        <v>14986432.197214907</v>
      </c>
      <c r="DN84" s="110">
        <f>Forecasts!DN9+Forecasts!DM9+Forecasts!DK9+Forecasts!DJ9</f>
        <v>15236546.574677516</v>
      </c>
      <c r="DO84" s="110">
        <f>Forecasts!DO9+Forecasts!DN9+Forecasts!DM9+Forecasts!DK9</f>
        <v>15413534.081248596</v>
      </c>
      <c r="DP84" s="110">
        <f>Forecasts!DP9+Forecasts!DO9+Forecasts!DN9+Forecasts!DM9</f>
        <v>15616101.04603231</v>
      </c>
      <c r="DQ84" s="112">
        <f>Forecasts!DQ9</f>
        <v>15616101.04603231</v>
      </c>
      <c r="DR84" s="110">
        <f>Forecasts!DR9+Forecasts!DP9+Forecasts!DO9+Forecasts!DN9</f>
        <v>15622365.70841381</v>
      </c>
      <c r="DS84" s="110">
        <f>Forecasts!DS9+Forecasts!DR9+Forecasts!DP9+Forecasts!DO9</f>
        <v>15664846.53342968</v>
      </c>
      <c r="DT84" s="110">
        <f>Forecasts!DT9+Forecasts!DS9+Forecasts!DR9+Forecasts!DP9</f>
        <v>15751039.177788682</v>
      </c>
      <c r="DU84" s="110">
        <f>Forecasts!DU9+Forecasts!DT9+Forecasts!DS9+Forecasts!DR9</f>
        <v>15893220.159866892</v>
      </c>
      <c r="DV84" s="112">
        <f>Forecasts!DV9</f>
        <v>15893220.159866892</v>
      </c>
      <c r="DW84" s="110">
        <f>Forecasts!DW9+Forecasts!DU9+Forecasts!DT9+Forecasts!DS9</f>
        <v>15991997.075552721</v>
      </c>
      <c r="DX84" s="110">
        <f>Forecasts!DX9+Forecasts!DW9+Forecasts!DU9+Forecasts!DT9</f>
        <v>16132071.937364673</v>
      </c>
      <c r="DY84" s="110">
        <f>Forecasts!DY9+Forecasts!DX9+Forecasts!DW9+Forecasts!DU9</f>
        <v>16298997.327286649</v>
      </c>
      <c r="DZ84" s="110">
        <f>Forecasts!DZ9+Forecasts!DY9+Forecasts!DX9+Forecasts!DW9</f>
        <v>16511603.192038173</v>
      </c>
      <c r="EA84" s="112">
        <f>Forecasts!EA9</f>
        <v>16511603.192038171</v>
      </c>
      <c r="EB84" s="110">
        <f>Forecasts!EB9+Forecasts!DZ9+Forecasts!DY9+Forecasts!DX9</f>
        <v>16673958.053807702</v>
      </c>
      <c r="EC84" s="110">
        <f>Forecasts!EC9+Forecasts!EB9+Forecasts!DZ9+Forecasts!DY9</f>
        <v>16867526.394810997</v>
      </c>
      <c r="ED84" s="110">
        <f>Forecasts!ED9+Forecasts!EC9+Forecasts!EB9+Forecasts!DZ9</f>
        <v>17078693.733476724</v>
      </c>
      <c r="EE84" s="110">
        <f>Forecasts!EE9+Forecasts!ED9+Forecasts!EC9+Forecasts!EB9</f>
        <v>17320785.733614892</v>
      </c>
      <c r="EF84" s="112">
        <f>Forecasts!EF9</f>
        <v>17320785.733614892</v>
      </c>
    </row>
    <row r="85" spans="1:136" outlineLevel="1">
      <c r="A85" s="216" t="s">
        <v>51</v>
      </c>
      <c r="B85" s="231" t="e">
        <f t="shared" ref="B85:AI85" si="273">B83/B84</f>
        <v>#REF!</v>
      </c>
      <c r="C85" s="231" t="e">
        <f t="shared" si="273"/>
        <v>#REF!</v>
      </c>
      <c r="D85" s="231" t="e">
        <f t="shared" si="273"/>
        <v>#REF!</v>
      </c>
      <c r="E85" s="231">
        <f t="shared" si="273"/>
        <v>0.16490852457310229</v>
      </c>
      <c r="F85" s="232">
        <f t="shared" si="273"/>
        <v>0.16490852457310226</v>
      </c>
      <c r="G85" s="231">
        <f t="shared" si="273"/>
        <v>0.22105310165465528</v>
      </c>
      <c r="H85" s="231">
        <f t="shared" si="273"/>
        <v>0.13443555213357741</v>
      </c>
      <c r="I85" s="231">
        <f t="shared" si="273"/>
        <v>9.6833668656617952E-2</v>
      </c>
      <c r="J85" s="231">
        <f t="shared" si="273"/>
        <v>0.10993429609569727</v>
      </c>
      <c r="K85" s="232">
        <f t="shared" si="273"/>
        <v>0.10993429609569727</v>
      </c>
      <c r="L85" s="231">
        <f t="shared" si="273"/>
        <v>8.1769219184705505E-2</v>
      </c>
      <c r="M85" s="231">
        <f t="shared" si="273"/>
        <v>6.7061433926454528E-2</v>
      </c>
      <c r="N85" s="231">
        <f t="shared" si="273"/>
        <v>5.9185937366669508E-2</v>
      </c>
      <c r="O85" s="231">
        <f t="shared" si="273"/>
        <v>5.3244300419247693E-2</v>
      </c>
      <c r="P85" s="232">
        <f t="shared" si="273"/>
        <v>5.3244300419247693E-2</v>
      </c>
      <c r="Q85" s="231">
        <f t="shared" si="273"/>
        <v>5.7373347954936121E-2</v>
      </c>
      <c r="R85" s="231">
        <f t="shared" si="273"/>
        <v>4.0760279194781854E-2</v>
      </c>
      <c r="S85" s="231">
        <f t="shared" si="273"/>
        <v>3.440834385872471E-2</v>
      </c>
      <c r="T85" s="231">
        <f t="shared" si="273"/>
        <v>2.0007923118430131E-2</v>
      </c>
      <c r="U85" s="232">
        <f t="shared" si="273"/>
        <v>2.0007923118430131E-2</v>
      </c>
      <c r="V85" s="231">
        <f t="shared" si="273"/>
        <v>2.033099031042828E-2</v>
      </c>
      <c r="W85" s="231">
        <f t="shared" si="273"/>
        <v>1.4294331505087075E-2</v>
      </c>
      <c r="X85" s="231">
        <f t="shared" si="273"/>
        <v>1.7668815517241927E-2</v>
      </c>
      <c r="Y85" s="231">
        <f t="shared" si="273"/>
        <v>0</v>
      </c>
      <c r="Z85" s="232">
        <f>Z83/Z84</f>
        <v>0</v>
      </c>
      <c r="AA85" s="231">
        <f t="shared" si="273"/>
        <v>0</v>
      </c>
      <c r="AB85" s="231">
        <f t="shared" si="273"/>
        <v>3.5381348488902224E-2</v>
      </c>
      <c r="AC85" s="231">
        <f t="shared" si="273"/>
        <v>1.9107806859537342E-2</v>
      </c>
      <c r="AD85" s="231">
        <f t="shared" si="273"/>
        <v>1.4700192021198651E-2</v>
      </c>
      <c r="AE85" s="232">
        <f>AE83/AE84</f>
        <v>1.4700192021198651E-2</v>
      </c>
      <c r="AF85" s="231">
        <f t="shared" si="273"/>
        <v>1.1051071412329408E-2</v>
      </c>
      <c r="AG85" s="231">
        <f t="shared" si="273"/>
        <v>4.5429753793934623E-2</v>
      </c>
      <c r="AH85" s="231">
        <f t="shared" si="273"/>
        <v>5.2045639920997658E-2</v>
      </c>
      <c r="AI85" s="231">
        <f t="shared" si="273"/>
        <v>3.9656484146867801E-2</v>
      </c>
      <c r="AJ85" s="232">
        <f t="shared" ref="AJ85:BO85" si="274">AJ83/AJ84</f>
        <v>3.9656484146867801E-2</v>
      </c>
      <c r="AK85" s="231">
        <f t="shared" si="274"/>
        <v>3.906623628976149E-2</v>
      </c>
      <c r="AL85" s="231">
        <f t="shared" si="274"/>
        <v>3.4152935775136457E-2</v>
      </c>
      <c r="AM85" s="231">
        <f t="shared" si="274"/>
        <v>1.791228838350193E-2</v>
      </c>
      <c r="AN85" s="231">
        <f t="shared" si="274"/>
        <v>3.2803324099722989E-2</v>
      </c>
      <c r="AO85" s="232">
        <f t="shared" si="274"/>
        <v>3.2803324099722989E-2</v>
      </c>
      <c r="AP85" s="231">
        <f t="shared" si="274"/>
        <v>2.9490846852210151E-2</v>
      </c>
      <c r="AQ85" s="231">
        <f t="shared" si="274"/>
        <v>2.9581467691002498E-2</v>
      </c>
      <c r="AR85" s="231">
        <f t="shared" si="274"/>
        <v>2.7276665267701901E-2</v>
      </c>
      <c r="AS85" s="231">
        <f t="shared" si="274"/>
        <v>5.2790740400514423E-2</v>
      </c>
      <c r="AT85" s="232">
        <f t="shared" si="274"/>
        <v>5.2790740400514423E-2</v>
      </c>
      <c r="AU85" s="231">
        <f t="shared" si="274"/>
        <v>4.8565054103298255E-2</v>
      </c>
      <c r="AV85" s="231">
        <f t="shared" si="274"/>
        <v>5.1493048314216194E-2</v>
      </c>
      <c r="AW85" s="231">
        <f t="shared" si="274"/>
        <v>5.7020768412606594E-2</v>
      </c>
      <c r="AX85" s="231">
        <f t="shared" si="274"/>
        <v>4.765063046877599E-2</v>
      </c>
      <c r="AY85" s="232">
        <f t="shared" si="274"/>
        <v>4.765063046877599E-2</v>
      </c>
      <c r="AZ85" s="231">
        <f t="shared" si="274"/>
        <v>4.390848754587335E-2</v>
      </c>
      <c r="BA85" s="231">
        <f t="shared" si="274"/>
        <v>4.7804106102217164E-2</v>
      </c>
      <c r="BB85" s="231">
        <f t="shared" si="274"/>
        <v>4.6482955559521685E-2</v>
      </c>
      <c r="BC85" s="231">
        <f t="shared" si="274"/>
        <v>5.0481687969453057E-2</v>
      </c>
      <c r="BD85" s="232">
        <f t="shared" si="274"/>
        <v>5.0481687969453057E-2</v>
      </c>
      <c r="BE85" s="231">
        <f t="shared" si="274"/>
        <v>5.4680746364522463E-2</v>
      </c>
      <c r="BF85" s="231">
        <f t="shared" si="274"/>
        <v>5.6991834374341535E-2</v>
      </c>
      <c r="BG85" s="231">
        <f t="shared" si="274"/>
        <v>4.2258062353939932E-2</v>
      </c>
      <c r="BH85" s="231">
        <f t="shared" si="274"/>
        <v>5.1538152446935999E-2</v>
      </c>
      <c r="BI85" s="232">
        <f t="shared" si="274"/>
        <v>5.1538152446935999E-2</v>
      </c>
      <c r="BJ85" s="231">
        <f t="shared" si="274"/>
        <v>4.2954358852324417E-2</v>
      </c>
      <c r="BK85" s="231">
        <f t="shared" si="274"/>
        <v>4.32329491351989E-2</v>
      </c>
      <c r="BL85" s="231">
        <f t="shared" si="274"/>
        <v>2.891056756959514E-2</v>
      </c>
      <c r="BM85" s="231">
        <f t="shared" si="274"/>
        <v>2.6788768431154318E-2</v>
      </c>
      <c r="BN85" s="232">
        <f t="shared" si="274"/>
        <v>2.6788768431154318E-2</v>
      </c>
      <c r="BO85" s="231">
        <f t="shared" si="274"/>
        <v>3.0086830875453184E-2</v>
      </c>
      <c r="BP85" s="231">
        <f t="shared" ref="BP85:CU85" si="275">BP83/BP84</f>
        <v>4.0169164837063863E-2</v>
      </c>
      <c r="BQ85" s="231">
        <f t="shared" si="275"/>
        <v>3.3170989483503659E-2</v>
      </c>
      <c r="BR85" s="231">
        <f t="shared" si="275"/>
        <v>3.829028074015909E-2</v>
      </c>
      <c r="BS85" s="232">
        <f t="shared" si="275"/>
        <v>3.829028074015909E-2</v>
      </c>
      <c r="BT85" s="231">
        <f t="shared" si="275"/>
        <v>4.5790096876115932E-2</v>
      </c>
      <c r="BU85" s="231">
        <f t="shared" si="275"/>
        <v>5.0791807813510066E-2</v>
      </c>
      <c r="BV85" s="231">
        <f t="shared" si="275"/>
        <v>3.6153618384845897E-2</v>
      </c>
      <c r="BW85" s="231">
        <f t="shared" si="275"/>
        <v>2.6610264830066465E-2</v>
      </c>
      <c r="BX85" s="232">
        <f t="shared" si="275"/>
        <v>2.6610264830066465E-2</v>
      </c>
      <c r="BY85" s="231">
        <f t="shared" si="275"/>
        <v>2.5722440543189305E-2</v>
      </c>
      <c r="BZ85" s="231">
        <f t="shared" si="275"/>
        <v>2.624727224845861E-2</v>
      </c>
      <c r="CA85" s="231">
        <f t="shared" si="275"/>
        <v>2.4977805280353284E-2</v>
      </c>
      <c r="CB85" s="231">
        <f t="shared" si="275"/>
        <v>3.2328582876618155E-2</v>
      </c>
      <c r="CC85" s="232">
        <f t="shared" si="275"/>
        <v>3.2328582876618155E-2</v>
      </c>
      <c r="CD85" s="231">
        <f t="shared" si="275"/>
        <v>3.4781339652498799E-2</v>
      </c>
      <c r="CE85" s="231">
        <f t="shared" si="275"/>
        <v>3.1195190549442732E-2</v>
      </c>
      <c r="CF85" s="231">
        <f t="shared" si="275"/>
        <v>1.3991710862780489E-2</v>
      </c>
      <c r="CG85" s="231">
        <f t="shared" si="275"/>
        <v>2.9828478389905006E-2</v>
      </c>
      <c r="CH85" s="232">
        <f t="shared" si="275"/>
        <v>2.9828478389905006E-2</v>
      </c>
      <c r="CI85" s="231">
        <f t="shared" si="275"/>
        <v>2.7159132390576168E-2</v>
      </c>
      <c r="CJ85" s="231">
        <f t="shared" si="275"/>
        <v>3.2079991927595718E-2</v>
      </c>
      <c r="CK85" s="231">
        <f t="shared" si="275"/>
        <v>2.3289217504409154E-2</v>
      </c>
      <c r="CL85" s="231">
        <f t="shared" si="275"/>
        <v>3.2626916169606335E-2</v>
      </c>
      <c r="CM85" s="232">
        <f t="shared" si="275"/>
        <v>3.2626916169606335E-2</v>
      </c>
      <c r="CN85" s="231">
        <f t="shared" si="275"/>
        <v>3.228989802980279E-2</v>
      </c>
      <c r="CO85" s="231">
        <f t="shared" si="275"/>
        <v>3.0909772163398273E-2</v>
      </c>
      <c r="CP85" s="231">
        <f t="shared" si="275"/>
        <v>1.4937451945013494E-2</v>
      </c>
      <c r="CQ85" s="231">
        <f t="shared" si="275"/>
        <v>1.5363570028085831E-2</v>
      </c>
      <c r="CR85" s="232">
        <f t="shared" si="275"/>
        <v>1.5363570028085831E-2</v>
      </c>
      <c r="CS85" s="231">
        <f t="shared" si="275"/>
        <v>2.6294059468731361E-2</v>
      </c>
      <c r="CT85" s="231">
        <f t="shared" si="275"/>
        <v>2.2942735559310104E-2</v>
      </c>
      <c r="CU85" s="231">
        <f t="shared" si="275"/>
        <v>1.3817441570201532E-2</v>
      </c>
      <c r="CV85" s="231">
        <f t="shared" ref="CV85:CZ85" si="276">CV83/CV84</f>
        <v>1.73824304414197E-2</v>
      </c>
      <c r="CW85" s="232">
        <f t="shared" si="276"/>
        <v>1.73824304414197E-2</v>
      </c>
      <c r="CX85" s="231">
        <f t="shared" si="276"/>
        <v>1.6863574826226753E-2</v>
      </c>
      <c r="CY85" s="231">
        <f t="shared" si="276"/>
        <v>1.4931050914433707E-2</v>
      </c>
      <c r="CZ85" s="231">
        <f t="shared" si="276"/>
        <v>5.5213012110388792E-3</v>
      </c>
      <c r="DA85" s="231">
        <f t="shared" ref="DA85" si="277">DA83/DA84</f>
        <v>3.1351775113354612E-3</v>
      </c>
      <c r="DB85" s="232">
        <f>DB83/DB84</f>
        <v>3.1351775113354612E-3</v>
      </c>
      <c r="DC85" s="231">
        <f t="shared" ref="DC85:DF85" si="278">DC83/DC84</f>
        <v>3.0148332752302229E-3</v>
      </c>
      <c r="DD85" s="231">
        <f t="shared" si="278"/>
        <v>2.1611608235693421E-3</v>
      </c>
      <c r="DE85" s="231">
        <f t="shared" si="278"/>
        <v>2.2470650380316914E-3</v>
      </c>
      <c r="DF85" s="231">
        <f t="shared" si="278"/>
        <v>2.9436691850025405E-3</v>
      </c>
      <c r="DG85" s="232">
        <f>DG83/DG84</f>
        <v>2.9436691850025405E-3</v>
      </c>
      <c r="DH85" s="231">
        <f t="shared" ref="DH85:DI85" si="279">DH83/DH84</f>
        <v>3.3775136413447941E-3</v>
      </c>
      <c r="DI85" s="231">
        <f t="shared" si="279"/>
        <v>4.8297428819261126E-3</v>
      </c>
      <c r="DJ85" s="233">
        <f>DI85</f>
        <v>4.8297428819261126E-3</v>
      </c>
      <c r="DK85" s="233">
        <f>DJ85</f>
        <v>4.8297428819261126E-3</v>
      </c>
      <c r="DL85" s="232">
        <f>DL83/DL84</f>
        <v>4.8297428819261126E-3</v>
      </c>
      <c r="DM85" s="233">
        <f>DK85</f>
        <v>4.8297428819261126E-3</v>
      </c>
      <c r="DN85" s="233">
        <f>DM85</f>
        <v>4.8297428819261126E-3</v>
      </c>
      <c r="DO85" s="233">
        <f>DN85</f>
        <v>4.8297428819261126E-3</v>
      </c>
      <c r="DP85" s="233">
        <f>DO85</f>
        <v>4.8297428819261126E-3</v>
      </c>
      <c r="DQ85" s="232">
        <f>DQ83/DQ84</f>
        <v>4.8297428819261117E-3</v>
      </c>
      <c r="DR85" s="233">
        <f>DP85</f>
        <v>4.8297428819261126E-3</v>
      </c>
      <c r="DS85" s="233">
        <f>DR85</f>
        <v>4.8297428819261126E-3</v>
      </c>
      <c r="DT85" s="233">
        <f>DS85</f>
        <v>4.8297428819261126E-3</v>
      </c>
      <c r="DU85" s="233">
        <f>DT85</f>
        <v>4.8297428819261126E-3</v>
      </c>
      <c r="DV85" s="232">
        <f>DV83/DV84</f>
        <v>4.8297428819261126E-3</v>
      </c>
      <c r="DW85" s="233">
        <f>DU85</f>
        <v>4.8297428819261126E-3</v>
      </c>
      <c r="DX85" s="233">
        <f>DW85</f>
        <v>4.8297428819261126E-3</v>
      </c>
      <c r="DY85" s="233">
        <f>DX85</f>
        <v>4.8297428819261126E-3</v>
      </c>
      <c r="DZ85" s="233">
        <f>DY85</f>
        <v>4.8297428819261126E-3</v>
      </c>
      <c r="EA85" s="232">
        <f>EA83/EA84</f>
        <v>4.8297428819261126E-3</v>
      </c>
      <c r="EB85" s="233">
        <f>DZ85</f>
        <v>4.8297428819261126E-3</v>
      </c>
      <c r="EC85" s="233">
        <f>EB85</f>
        <v>4.8297428819261126E-3</v>
      </c>
      <c r="ED85" s="233">
        <f>EC85</f>
        <v>4.8297428819261126E-3</v>
      </c>
      <c r="EE85" s="233">
        <f>ED85</f>
        <v>4.8297428819261126E-3</v>
      </c>
      <c r="EF85" s="232">
        <f>EF83/EF84</f>
        <v>4.8297428819261126E-3</v>
      </c>
    </row>
    <row r="86" spans="1:136" outlineLevel="1">
      <c r="CH86" s="67"/>
      <c r="CM86" s="67"/>
      <c r="CR86" s="67"/>
      <c r="CW86" s="67"/>
      <c r="DB86" s="67"/>
      <c r="DG86" s="67"/>
      <c r="DL86" s="67"/>
      <c r="DQ86" s="67"/>
      <c r="DV86" s="67"/>
      <c r="EA86" s="67"/>
      <c r="EF86" s="67"/>
    </row>
    <row r="87" spans="1:136" s="68" customFormat="1" outlineLevel="1">
      <c r="A87" s="68" t="s">
        <v>106</v>
      </c>
      <c r="B87" s="236">
        <f t="shared" ref="B87:AF87" si="280">B35</f>
        <v>17429</v>
      </c>
      <c r="C87" s="236">
        <f t="shared" si="280"/>
        <v>14382</v>
      </c>
      <c r="D87" s="236">
        <f t="shared" si="280"/>
        <v>15958</v>
      </c>
      <c r="E87" s="236">
        <f t="shared" si="280"/>
        <v>116582</v>
      </c>
      <c r="F87" s="237">
        <f t="shared" si="280"/>
        <v>116582</v>
      </c>
      <c r="G87" s="236">
        <f t="shared" si="280"/>
        <v>115924</v>
      </c>
      <c r="H87" s="236">
        <f t="shared" si="280"/>
        <v>99001</v>
      </c>
      <c r="I87" s="236">
        <f t="shared" si="280"/>
        <v>93967</v>
      </c>
      <c r="J87" s="236">
        <f t="shared" si="280"/>
        <v>89743</v>
      </c>
      <c r="K87" s="237">
        <f t="shared" si="280"/>
        <v>89743</v>
      </c>
      <c r="L87" s="236">
        <f t="shared" si="280"/>
        <v>112050</v>
      </c>
      <c r="M87" s="236">
        <f t="shared" si="280"/>
        <v>153271</v>
      </c>
      <c r="N87" s="236">
        <f t="shared" si="280"/>
        <v>183027</v>
      </c>
      <c r="O87" s="236">
        <f t="shared" si="280"/>
        <v>350558</v>
      </c>
      <c r="P87" s="237">
        <f t="shared" si="280"/>
        <v>350558</v>
      </c>
      <c r="Q87" s="236">
        <f t="shared" si="280"/>
        <v>490999</v>
      </c>
      <c r="R87" s="236">
        <f t="shared" si="280"/>
        <v>577000</v>
      </c>
      <c r="S87" s="236">
        <f t="shared" si="280"/>
        <v>731224</v>
      </c>
      <c r="T87" s="236">
        <f t="shared" si="280"/>
        <v>1000728</v>
      </c>
      <c r="U87" s="237">
        <f t="shared" si="280"/>
        <v>1000728</v>
      </c>
      <c r="V87" s="236">
        <f t="shared" si="280"/>
        <v>758985</v>
      </c>
      <c r="W87" s="236">
        <f t="shared" si="280"/>
        <v>891620</v>
      </c>
      <c r="X87" s="236">
        <f t="shared" si="280"/>
        <v>1181000</v>
      </c>
      <c r="Y87" s="236">
        <f t="shared" si="280"/>
        <v>2108797</v>
      </c>
      <c r="Z87" s="237">
        <f t="shared" si="280"/>
        <v>2108797</v>
      </c>
      <c r="AA87" s="236">
        <f t="shared" si="280"/>
        <v>2203859</v>
      </c>
      <c r="AB87" s="236">
        <f t="shared" si="280"/>
        <v>1893772</v>
      </c>
      <c r="AC87" s="236">
        <f t="shared" si="280"/>
        <v>1878031</v>
      </c>
      <c r="AD87" s="236">
        <f t="shared" si="280"/>
        <v>2176268</v>
      </c>
      <c r="AE87" s="237">
        <f t="shared" si="280"/>
        <v>2176268</v>
      </c>
      <c r="AF87" s="236">
        <f t="shared" si="280"/>
        <v>2303379</v>
      </c>
      <c r="AG87" s="236">
        <f t="shared" ref="AG87:BL87" si="281">AG35</f>
        <v>2221716</v>
      </c>
      <c r="AH87" s="236">
        <f t="shared" si="281"/>
        <v>2150478</v>
      </c>
      <c r="AI87" s="236">
        <f t="shared" si="281"/>
        <v>2291239</v>
      </c>
      <c r="AJ87" s="237">
        <f t="shared" si="281"/>
        <v>2291239</v>
      </c>
      <c r="AK87" s="236">
        <f t="shared" si="281"/>
        <v>2254757</v>
      </c>
      <c r="AL87" s="236">
        <f t="shared" si="281"/>
        <v>2315718</v>
      </c>
      <c r="AM87" s="236">
        <f t="shared" si="281"/>
        <v>2437606</v>
      </c>
      <c r="AN87" s="236">
        <f t="shared" si="281"/>
        <v>2235517</v>
      </c>
      <c r="AO87" s="237">
        <f t="shared" si="281"/>
        <v>2235517</v>
      </c>
      <c r="AP87" s="236">
        <f t="shared" si="281"/>
        <v>2142752</v>
      </c>
      <c r="AQ87" s="236">
        <f t="shared" si="281"/>
        <v>2119825</v>
      </c>
      <c r="AR87" s="236">
        <f t="shared" si="281"/>
        <v>2073224</v>
      </c>
      <c r="AS87" s="236">
        <f t="shared" si="281"/>
        <v>1639607</v>
      </c>
      <c r="AT87" s="237">
        <f t="shared" si="281"/>
        <v>1639607</v>
      </c>
      <c r="AU87" s="236">
        <f t="shared" si="281"/>
        <v>1712089</v>
      </c>
      <c r="AV87" s="236">
        <f t="shared" si="281"/>
        <v>1600318</v>
      </c>
      <c r="AW87" s="236">
        <f t="shared" si="281"/>
        <v>1621468</v>
      </c>
      <c r="AX87" s="236">
        <f t="shared" si="281"/>
        <v>1763029</v>
      </c>
      <c r="AY87" s="237">
        <f t="shared" si="281"/>
        <v>1763029</v>
      </c>
      <c r="AZ87" s="236">
        <f t="shared" si="281"/>
        <v>1469292</v>
      </c>
      <c r="BA87" s="236">
        <f t="shared" si="281"/>
        <v>1294646</v>
      </c>
      <c r="BB87" s="236">
        <f t="shared" si="281"/>
        <v>1422563</v>
      </c>
      <c r="BC87" s="236">
        <f t="shared" si="281"/>
        <v>1376818</v>
      </c>
      <c r="BD87" s="237">
        <f t="shared" si="281"/>
        <v>1376818</v>
      </c>
      <c r="BE87" s="236">
        <f t="shared" si="281"/>
        <v>1356890</v>
      </c>
      <c r="BF87" s="236">
        <f t="shared" si="281"/>
        <v>1280007</v>
      </c>
      <c r="BG87" s="236">
        <f t="shared" si="281"/>
        <v>1165580</v>
      </c>
      <c r="BH87" s="236">
        <f t="shared" si="281"/>
        <v>919460</v>
      </c>
      <c r="BI87" s="237">
        <f t="shared" si="281"/>
        <v>919460</v>
      </c>
      <c r="BJ87" s="236">
        <f t="shared" si="281"/>
        <v>865716</v>
      </c>
      <c r="BK87" s="236">
        <f t="shared" si="281"/>
        <v>738434</v>
      </c>
      <c r="BL87" s="236">
        <f t="shared" si="281"/>
        <v>680082</v>
      </c>
      <c r="BM87" s="236">
        <f t="shared" ref="BM87:CR87" si="282">BM35</f>
        <v>641389</v>
      </c>
      <c r="BN87" s="237">
        <f t="shared" si="282"/>
        <v>641389</v>
      </c>
      <c r="BO87" s="236">
        <f t="shared" si="282"/>
        <v>560797</v>
      </c>
      <c r="BP87" s="236">
        <f t="shared" si="282"/>
        <v>621728</v>
      </c>
      <c r="BQ87" s="236">
        <f t="shared" si="282"/>
        <v>606003</v>
      </c>
      <c r="BR87" s="236">
        <f t="shared" si="282"/>
        <v>582267</v>
      </c>
      <c r="BS87" s="237">
        <f t="shared" si="282"/>
        <v>582267</v>
      </c>
      <c r="BT87" s="236">
        <f t="shared" si="282"/>
        <v>626850</v>
      </c>
      <c r="BU87" s="236">
        <f t="shared" si="282"/>
        <v>695825</v>
      </c>
      <c r="BV87" s="236">
        <f t="shared" si="282"/>
        <v>890484</v>
      </c>
      <c r="BW87" s="236">
        <f t="shared" si="282"/>
        <v>949867</v>
      </c>
      <c r="BX87" s="237">
        <f t="shared" si="282"/>
        <v>949867</v>
      </c>
      <c r="BY87" s="236">
        <f t="shared" si="282"/>
        <v>1002406</v>
      </c>
      <c r="BZ87" s="236">
        <f t="shared" si="282"/>
        <v>1053476</v>
      </c>
      <c r="CA87" s="236">
        <f t="shared" si="282"/>
        <v>1047612</v>
      </c>
      <c r="CB87" s="236">
        <f t="shared" si="282"/>
        <v>1257539</v>
      </c>
      <c r="CC87" s="237">
        <f t="shared" si="282"/>
        <v>1257539</v>
      </c>
      <c r="CD87" s="236">
        <f t="shared" si="282"/>
        <v>1485490</v>
      </c>
      <c r="CE87" s="236">
        <f t="shared" si="282"/>
        <v>1645313</v>
      </c>
      <c r="CF87" s="236">
        <f t="shared" si="282"/>
        <v>1104700</v>
      </c>
      <c r="CG87" s="236">
        <f t="shared" si="282"/>
        <v>1323568</v>
      </c>
      <c r="CH87" s="237">
        <f t="shared" si="282"/>
        <v>1323568</v>
      </c>
      <c r="CI87" s="236">
        <f t="shared" si="282"/>
        <v>1261372</v>
      </c>
      <c r="CJ87" s="236">
        <f t="shared" si="282"/>
        <v>1388413</v>
      </c>
      <c r="CK87" s="236">
        <f t="shared" si="282"/>
        <v>1703807</v>
      </c>
      <c r="CL87" s="236">
        <f t="shared" si="282"/>
        <v>1737800</v>
      </c>
      <c r="CM87" s="237">
        <f t="shared" si="282"/>
        <v>1737800</v>
      </c>
      <c r="CN87" s="236">
        <f t="shared" si="282"/>
        <v>1820109</v>
      </c>
      <c r="CO87" s="236">
        <f t="shared" si="282"/>
        <v>1709322</v>
      </c>
      <c r="CP87" s="236">
        <f t="shared" si="282"/>
        <v>1942774</v>
      </c>
      <c r="CQ87" s="236">
        <f t="shared" si="282"/>
        <v>1783518</v>
      </c>
      <c r="CR87" s="237">
        <f t="shared" si="282"/>
        <v>1783518</v>
      </c>
      <c r="CS87" s="236">
        <f t="shared" ref="CS87:CX87" si="283">CS35</f>
        <v>1643375</v>
      </c>
      <c r="CT87" s="236">
        <f t="shared" si="283"/>
        <v>1629422</v>
      </c>
      <c r="CU87" s="236">
        <f t="shared" si="283"/>
        <v>1591897</v>
      </c>
      <c r="CV87" s="236">
        <f t="shared" si="283"/>
        <v>1594859</v>
      </c>
      <c r="CW87" s="237">
        <f t="shared" si="283"/>
        <v>1594859</v>
      </c>
      <c r="CX87" s="236">
        <f t="shared" si="283"/>
        <v>1592042</v>
      </c>
      <c r="CY87" s="236">
        <f t="shared" ref="CY87:DA87" si="284">CY35</f>
        <v>1561450</v>
      </c>
      <c r="CZ87" s="236">
        <f t="shared" si="284"/>
        <v>2016569</v>
      </c>
      <c r="DA87" s="236">
        <f t="shared" si="284"/>
        <v>2900081</v>
      </c>
      <c r="DB87" s="237">
        <f>DB35</f>
        <v>2900081</v>
      </c>
      <c r="DC87" s="236">
        <f t="shared" ref="DC87:DF87" si="285">DC35</f>
        <v>2930996</v>
      </c>
      <c r="DD87" s="236">
        <f t="shared" si="285"/>
        <v>3085949</v>
      </c>
      <c r="DE87" s="236">
        <f t="shared" si="285"/>
        <v>3148577</v>
      </c>
      <c r="DF87" s="236">
        <f t="shared" si="285"/>
        <v>4010729</v>
      </c>
      <c r="DG87" s="237">
        <f>DG35</f>
        <v>4010729</v>
      </c>
      <c r="DH87" s="236">
        <f t="shared" ref="DH87:DI87" si="286">DH35</f>
        <v>3995356</v>
      </c>
      <c r="DI87" s="236">
        <f t="shared" si="286"/>
        <v>4149893</v>
      </c>
      <c r="DJ87" s="226">
        <f>DJ89*DJ88</f>
        <v>3938804.837523676</v>
      </c>
      <c r="DK87" s="226">
        <f>DK89*DK88</f>
        <v>4128900.1167849312</v>
      </c>
      <c r="DL87" s="237">
        <f>DL35</f>
        <v>4128900.1167849312</v>
      </c>
      <c r="DM87" s="226">
        <f>DM89*DM88</f>
        <v>3343619.3179026237</v>
      </c>
      <c r="DN87" s="226">
        <f>DN89*DN88</f>
        <v>3319151.0244580396</v>
      </c>
      <c r="DO87" s="226">
        <f>DO89*DO88</f>
        <v>3366267.3687996054</v>
      </c>
      <c r="DP87" s="226">
        <f>DP89*DP88</f>
        <v>3468823.8351664273</v>
      </c>
      <c r="DQ87" s="237">
        <f>DQ35</f>
        <v>3468823.8351664273</v>
      </c>
      <c r="DR87" s="226">
        <f>DR89*DR88</f>
        <v>3368817.087815864</v>
      </c>
      <c r="DS87" s="226">
        <f>DS89*DS88</f>
        <v>3349504.8865682781</v>
      </c>
      <c r="DT87" s="226">
        <f>DT89*DT88</f>
        <v>3406260.9602889833</v>
      </c>
      <c r="DU87" s="226">
        <f>DU89*DU88</f>
        <v>3514318.5468770447</v>
      </c>
      <c r="DV87" s="237">
        <f>DV35</f>
        <v>3514318.5468770447</v>
      </c>
      <c r="DW87" s="226">
        <f>DW89*DW88</f>
        <v>3417008.4104657238</v>
      </c>
      <c r="DX87" s="226">
        <f>DX89*DX88</f>
        <v>3400974.5725959837</v>
      </c>
      <c r="DY87" s="226">
        <f>DY89*DY88</f>
        <v>3467240.7049617143</v>
      </c>
      <c r="DZ87" s="226">
        <f>DZ89*DZ88</f>
        <v>3590633.5499423938</v>
      </c>
      <c r="EA87" s="237">
        <f>EA35</f>
        <v>3590633.5499423938</v>
      </c>
      <c r="EB87" s="226">
        <f>EB89*EB88</f>
        <v>3497215.9664679291</v>
      </c>
      <c r="EC87" s="226">
        <f>EC89*EC88</f>
        <v>3486035.9091644101</v>
      </c>
      <c r="ED87" s="226">
        <f>ED89*ED88</f>
        <v>3556278.0130169401</v>
      </c>
      <c r="EE87" s="226">
        <f>EE89*EE88</f>
        <v>3686930.9679496009</v>
      </c>
      <c r="EF87" s="237">
        <f>EF35</f>
        <v>3686930.9679496009</v>
      </c>
    </row>
    <row r="88" spans="1:136" outlineLevel="1">
      <c r="A88" s="66" t="s">
        <v>162</v>
      </c>
      <c r="B88" s="107">
        <f t="shared" ref="B88:AT88" si="287">B12+B13</f>
        <v>107822</v>
      </c>
      <c r="C88" s="107">
        <f t="shared" si="287"/>
        <v>135995</v>
      </c>
      <c r="D88" s="107">
        <f t="shared" si="287"/>
        <v>131273</v>
      </c>
      <c r="E88" s="107">
        <f t="shared" si="287"/>
        <v>428974</v>
      </c>
      <c r="F88" s="106">
        <f t="shared" si="287"/>
        <v>428974</v>
      </c>
      <c r="G88" s="107">
        <f t="shared" si="287"/>
        <v>422664.5</v>
      </c>
      <c r="H88" s="107">
        <f t="shared" si="287"/>
        <v>416355</v>
      </c>
      <c r="I88" s="107">
        <f t="shared" si="287"/>
        <v>420334</v>
      </c>
      <c r="J88" s="107">
        <f t="shared" si="287"/>
        <v>420914</v>
      </c>
      <c r="K88" s="106">
        <f t="shared" si="287"/>
        <v>420914</v>
      </c>
      <c r="L88" s="107">
        <f t="shared" si="287"/>
        <v>421366</v>
      </c>
      <c r="M88" s="107">
        <f t="shared" si="287"/>
        <v>516131</v>
      </c>
      <c r="N88" s="107">
        <f t="shared" si="287"/>
        <v>617785</v>
      </c>
      <c r="O88" s="107">
        <f t="shared" si="287"/>
        <v>838111</v>
      </c>
      <c r="P88" s="106">
        <f t="shared" si="287"/>
        <v>838111</v>
      </c>
      <c r="Q88" s="107">
        <f t="shared" si="287"/>
        <v>1021084</v>
      </c>
      <c r="R88" s="107">
        <f t="shared" si="287"/>
        <v>1076718</v>
      </c>
      <c r="S88" s="107">
        <f t="shared" si="287"/>
        <v>1272618</v>
      </c>
      <c r="T88" s="107">
        <f t="shared" si="287"/>
        <v>1569115</v>
      </c>
      <c r="U88" s="106">
        <f t="shared" si="287"/>
        <v>1569115</v>
      </c>
      <c r="V88" s="107">
        <f t="shared" si="287"/>
        <v>1468264</v>
      </c>
      <c r="W88" s="107">
        <f t="shared" si="287"/>
        <v>1604299</v>
      </c>
      <c r="X88" s="107">
        <f t="shared" si="287"/>
        <v>2043141</v>
      </c>
      <c r="Y88" s="107">
        <f t="shared" si="287"/>
        <v>2893340</v>
      </c>
      <c r="Z88" s="106">
        <f t="shared" si="287"/>
        <v>2893340</v>
      </c>
      <c r="AA88" s="107">
        <f t="shared" si="287"/>
        <v>3043255</v>
      </c>
      <c r="AB88" s="107">
        <f t="shared" si="287"/>
        <v>2956529</v>
      </c>
      <c r="AC88" s="107">
        <f t="shared" si="287"/>
        <v>3040926</v>
      </c>
      <c r="AD88" s="107">
        <f t="shared" si="287"/>
        <v>3219179</v>
      </c>
      <c r="AE88" s="106">
        <f t="shared" si="287"/>
        <v>3219179</v>
      </c>
      <c r="AF88" s="107">
        <f t="shared" si="287"/>
        <v>3099307</v>
      </c>
      <c r="AG88" s="107">
        <f t="shared" si="287"/>
        <v>3305583</v>
      </c>
      <c r="AH88" s="107">
        <f t="shared" si="287"/>
        <v>3391724</v>
      </c>
      <c r="AI88" s="107">
        <f>AI12+AI13</f>
        <v>3586459</v>
      </c>
      <c r="AJ88" s="106">
        <f t="shared" si="287"/>
        <v>3586459</v>
      </c>
      <c r="AK88" s="107">
        <f>AK12+AK13</f>
        <v>3742317</v>
      </c>
      <c r="AL88" s="107">
        <f>AL12+AL13</f>
        <v>3807586</v>
      </c>
      <c r="AM88" s="107">
        <f>AM12+AM13</f>
        <v>3958106</v>
      </c>
      <c r="AN88" s="107">
        <f>AN12+AN13</f>
        <v>3616788</v>
      </c>
      <c r="AO88" s="106">
        <f t="shared" si="287"/>
        <v>3616788</v>
      </c>
      <c r="AP88" s="107">
        <f t="shared" si="287"/>
        <v>3490002</v>
      </c>
      <c r="AQ88" s="107">
        <f t="shared" si="287"/>
        <v>3726499</v>
      </c>
      <c r="AR88" s="107">
        <f t="shared" si="287"/>
        <v>3528329</v>
      </c>
      <c r="AS88" s="107">
        <f>AS12+AS13</f>
        <v>3397751</v>
      </c>
      <c r="AT88" s="106">
        <f t="shared" si="287"/>
        <v>3397751</v>
      </c>
      <c r="AU88" s="107">
        <f>AU12+AU13</f>
        <v>3479967</v>
      </c>
      <c r="AV88" s="107">
        <f>AV12+AV13</f>
        <v>3711609</v>
      </c>
      <c r="AW88" s="107">
        <f>AW12+AW13</f>
        <v>3928817</v>
      </c>
      <c r="AX88" s="107">
        <f>AX12+AX13</f>
        <v>4372079</v>
      </c>
      <c r="AY88" s="106">
        <f t="shared" ref="AY88:CF88" si="288">AY12+AY13</f>
        <v>4372079</v>
      </c>
      <c r="AZ88" s="107">
        <f t="shared" si="288"/>
        <v>4323601</v>
      </c>
      <c r="BA88" s="107">
        <f t="shared" si="288"/>
        <v>4307129</v>
      </c>
      <c r="BB88" s="107">
        <f t="shared" si="288"/>
        <v>4691394</v>
      </c>
      <c r="BC88" s="107">
        <f>BC12+BC13</f>
        <v>4491555</v>
      </c>
      <c r="BD88" s="106">
        <f t="shared" si="288"/>
        <v>4491555</v>
      </c>
      <c r="BE88" s="107">
        <f>BE12+BE13</f>
        <v>4482543</v>
      </c>
      <c r="BF88" s="107">
        <f>BF12+BF13</f>
        <v>4537309</v>
      </c>
      <c r="BG88" s="107">
        <f>BG12+BG13</f>
        <v>4469485</v>
      </c>
      <c r="BH88" s="107">
        <f>BH12+BH13</f>
        <v>4342841</v>
      </c>
      <c r="BI88" s="106">
        <f t="shared" si="288"/>
        <v>4342841</v>
      </c>
      <c r="BJ88" s="107">
        <f t="shared" si="288"/>
        <v>4281980</v>
      </c>
      <c r="BK88" s="107">
        <f t="shared" si="288"/>
        <v>4373664</v>
      </c>
      <c r="BL88" s="107">
        <f t="shared" si="288"/>
        <v>4426185</v>
      </c>
      <c r="BM88" s="107">
        <f>BM12+BM13</f>
        <v>4137397</v>
      </c>
      <c r="BN88" s="106">
        <f t="shared" si="288"/>
        <v>4137397</v>
      </c>
      <c r="BO88" s="107">
        <f>BO12+BO13</f>
        <v>4004266</v>
      </c>
      <c r="BP88" s="107">
        <f>BP12+BP13</f>
        <v>4101345</v>
      </c>
      <c r="BQ88" s="107">
        <f>BQ12+BQ13</f>
        <v>4009999</v>
      </c>
      <c r="BR88" s="107">
        <f>BR12+BR13</f>
        <v>3548470</v>
      </c>
      <c r="BS88" s="106">
        <f t="shared" si="288"/>
        <v>3548470</v>
      </c>
      <c r="BT88" s="107">
        <f t="shared" si="288"/>
        <v>3420143</v>
      </c>
      <c r="BU88" s="107">
        <f t="shared" si="288"/>
        <v>3124005</v>
      </c>
      <c r="BV88" s="107">
        <f t="shared" si="288"/>
        <v>2975379</v>
      </c>
      <c r="BW88" s="107">
        <f>BW12+BW13</f>
        <v>3138964</v>
      </c>
      <c r="BX88" s="106">
        <f t="shared" si="288"/>
        <v>3138964</v>
      </c>
      <c r="BY88" s="107">
        <f>BY12+BY13</f>
        <v>3305137</v>
      </c>
      <c r="BZ88" s="107">
        <f>BZ12+BZ13</f>
        <v>3392022</v>
      </c>
      <c r="CA88" s="107">
        <f>CA12+CA13</f>
        <v>3416434</v>
      </c>
      <c r="CB88" s="107">
        <f>CB12+CB13</f>
        <v>3472211</v>
      </c>
      <c r="CC88" s="106">
        <f t="shared" si="288"/>
        <v>3472211</v>
      </c>
      <c r="CD88" s="107">
        <f t="shared" si="288"/>
        <v>3775068</v>
      </c>
      <c r="CE88" s="107">
        <f t="shared" si="288"/>
        <v>4021025</v>
      </c>
      <c r="CF88" s="107">
        <f t="shared" si="288"/>
        <v>3027902</v>
      </c>
      <c r="CG88" s="107">
        <f>CG12+CG13</f>
        <v>3227608</v>
      </c>
      <c r="CH88" s="106">
        <f t="shared" ref="CH88:DG88" si="289">CH12+CH13</f>
        <v>3227608</v>
      </c>
      <c r="CI88" s="107">
        <f t="shared" si="289"/>
        <v>3351773</v>
      </c>
      <c r="CJ88" s="107">
        <f t="shared" si="289"/>
        <v>3782004</v>
      </c>
      <c r="CK88" s="107">
        <f>CK12+CK13</f>
        <v>4256048</v>
      </c>
      <c r="CL88" s="107">
        <f>CL12+CL13</f>
        <v>4445160</v>
      </c>
      <c r="CM88" s="106">
        <f t="shared" si="289"/>
        <v>4445160</v>
      </c>
      <c r="CN88" s="107">
        <f>CN12+CN13</f>
        <v>4670203</v>
      </c>
      <c r="CO88" s="107">
        <f>CO12+CO13</f>
        <v>4537726</v>
      </c>
      <c r="CP88" s="107">
        <f>CP12+CP13</f>
        <v>4770375</v>
      </c>
      <c r="CQ88" s="107">
        <f>CQ12+CQ13</f>
        <v>4931279</v>
      </c>
      <c r="CR88" s="106">
        <f t="shared" si="289"/>
        <v>4931279</v>
      </c>
      <c r="CS88" s="107">
        <f t="shared" si="289"/>
        <v>4900699</v>
      </c>
      <c r="CT88" s="107">
        <f t="shared" si="289"/>
        <v>4835186</v>
      </c>
      <c r="CU88" s="107">
        <f>CU12+CU13</f>
        <v>4686715</v>
      </c>
      <c r="CV88" s="107">
        <f>CV12+CV13</f>
        <v>4583893</v>
      </c>
      <c r="CW88" s="106">
        <f t="shared" si="289"/>
        <v>4583893</v>
      </c>
      <c r="CX88" s="107">
        <f>CX12+CX13</f>
        <v>4419991</v>
      </c>
      <c r="CY88" s="107">
        <f t="shared" ref="CY88" si="290">CY12+CY13</f>
        <v>4275595</v>
      </c>
      <c r="CZ88" s="107">
        <f>CZ12+CZ13</f>
        <v>4941566</v>
      </c>
      <c r="DA88" s="107">
        <f>DA12+DA13</f>
        <v>5752530</v>
      </c>
      <c r="DB88" s="106">
        <f t="shared" si="289"/>
        <v>5752530</v>
      </c>
      <c r="DC88" s="107">
        <f>DC12+DC13</f>
        <v>6065128</v>
      </c>
      <c r="DD88" s="107">
        <f t="shared" ref="DD88" si="291">DD12+DD13</f>
        <v>6404376</v>
      </c>
      <c r="DE88" s="107">
        <f>DE12+DE13</f>
        <v>6563892</v>
      </c>
      <c r="DF88" s="107">
        <f>DF12+DF13</f>
        <v>6680252</v>
      </c>
      <c r="DG88" s="106">
        <f t="shared" si="289"/>
        <v>6680252</v>
      </c>
      <c r="DH88" s="107">
        <f>DH12+DH13</f>
        <v>6845071</v>
      </c>
      <c r="DI88" s="107">
        <f t="shared" ref="DI88" si="292">DI12+DI13</f>
        <v>6916459</v>
      </c>
      <c r="DJ88" s="107">
        <f>DJ12+DJ13</f>
        <v>6564646.8879400417</v>
      </c>
      <c r="DK88" s="107">
        <f>DK12+DK13</f>
        <v>6881471.0096954759</v>
      </c>
      <c r="DL88" s="106">
        <f>DL12+DL13</f>
        <v>6881471.0096954759</v>
      </c>
      <c r="DM88" s="107">
        <f t="shared" ref="DM88:EF88" si="293">DM12+DM13</f>
        <v>6687238.6358052474</v>
      </c>
      <c r="DN88" s="107">
        <f t="shared" si="293"/>
        <v>6638302.0489160791</v>
      </c>
      <c r="DO88" s="107">
        <f t="shared" si="293"/>
        <v>6732534.7375992108</v>
      </c>
      <c r="DP88" s="107">
        <f t="shared" si="293"/>
        <v>6937647.6703328546</v>
      </c>
      <c r="DQ88" s="106">
        <f t="shared" si="293"/>
        <v>6937647.6703328546</v>
      </c>
      <c r="DR88" s="107">
        <f t="shared" si="293"/>
        <v>6737634.175631728</v>
      </c>
      <c r="DS88" s="107">
        <f t="shared" si="293"/>
        <v>6699009.7731365561</v>
      </c>
      <c r="DT88" s="107">
        <f t="shared" si="293"/>
        <v>6812521.9205779666</v>
      </c>
      <c r="DU88" s="107">
        <f t="shared" si="293"/>
        <v>7028637.0937540894</v>
      </c>
      <c r="DV88" s="106">
        <f t="shared" si="293"/>
        <v>7028637.0937540894</v>
      </c>
      <c r="DW88" s="107">
        <f t="shared" si="293"/>
        <v>6834016.8209314477</v>
      </c>
      <c r="DX88" s="107">
        <f t="shared" si="293"/>
        <v>6801949.1451919675</v>
      </c>
      <c r="DY88" s="107">
        <f t="shared" si="293"/>
        <v>6934481.4099234287</v>
      </c>
      <c r="DZ88" s="107">
        <f t="shared" si="293"/>
        <v>7181267.0998847876</v>
      </c>
      <c r="EA88" s="106">
        <f t="shared" si="293"/>
        <v>7181267.0998847876</v>
      </c>
      <c r="EB88" s="107">
        <f t="shared" si="293"/>
        <v>6994431.9329358581</v>
      </c>
      <c r="EC88" s="107">
        <f t="shared" si="293"/>
        <v>6972071.8183288202</v>
      </c>
      <c r="ED88" s="107">
        <f t="shared" si="293"/>
        <v>7112556.0260338802</v>
      </c>
      <c r="EE88" s="107">
        <f t="shared" si="293"/>
        <v>7373861.9358992018</v>
      </c>
      <c r="EF88" s="106">
        <f t="shared" si="293"/>
        <v>7373861.9358992018</v>
      </c>
    </row>
    <row r="89" spans="1:136" outlineLevel="1">
      <c r="A89" s="216" t="s">
        <v>107</v>
      </c>
      <c r="B89" s="231">
        <f t="shared" ref="B89:AI89" si="294">B87/B88</f>
        <v>0.16164604626143086</v>
      </c>
      <c r="C89" s="231">
        <f t="shared" si="294"/>
        <v>0.10575388801058863</v>
      </c>
      <c r="D89" s="231">
        <f t="shared" si="294"/>
        <v>0.12156345935569386</v>
      </c>
      <c r="E89" s="231">
        <f t="shared" si="294"/>
        <v>0.27176938462470918</v>
      </c>
      <c r="F89" s="232">
        <f t="shared" si="294"/>
        <v>0.27176938462470918</v>
      </c>
      <c r="G89" s="231">
        <f t="shared" si="294"/>
        <v>0.27426954475713006</v>
      </c>
      <c r="H89" s="231">
        <f t="shared" si="294"/>
        <v>0.23778025963420638</v>
      </c>
      <c r="I89" s="231">
        <f t="shared" si="294"/>
        <v>0.2235531743803737</v>
      </c>
      <c r="J89" s="231">
        <f t="shared" si="294"/>
        <v>0.21320982433466218</v>
      </c>
      <c r="K89" s="232">
        <f t="shared" si="294"/>
        <v>0.21320982433466218</v>
      </c>
      <c r="L89" s="231">
        <f t="shared" si="294"/>
        <v>0.26592083841600889</v>
      </c>
      <c r="M89" s="231">
        <f t="shared" si="294"/>
        <v>0.29696143033454686</v>
      </c>
      <c r="N89" s="231">
        <f t="shared" si="294"/>
        <v>0.29626326310933415</v>
      </c>
      <c r="O89" s="231">
        <f t="shared" si="294"/>
        <v>0.41827156546089955</v>
      </c>
      <c r="P89" s="232">
        <f t="shared" si="294"/>
        <v>0.41827156546089955</v>
      </c>
      <c r="Q89" s="231">
        <f t="shared" si="294"/>
        <v>0.48086053644949878</v>
      </c>
      <c r="R89" s="231">
        <f t="shared" si="294"/>
        <v>0.53588776262679738</v>
      </c>
      <c r="S89" s="231">
        <f t="shared" si="294"/>
        <v>0.57458247486677072</v>
      </c>
      <c r="T89" s="231">
        <f t="shared" si="294"/>
        <v>0.63776587439416488</v>
      </c>
      <c r="U89" s="232">
        <f>U87/U88</f>
        <v>0.63776587439416488</v>
      </c>
      <c r="V89" s="231">
        <f t="shared" si="294"/>
        <v>0.5169267924569424</v>
      </c>
      <c r="W89" s="231">
        <f t="shared" si="294"/>
        <v>0.55576921758350528</v>
      </c>
      <c r="X89" s="231">
        <f t="shared" si="294"/>
        <v>0.57803157001890715</v>
      </c>
      <c r="Y89" s="231">
        <f t="shared" si="294"/>
        <v>0.72884521003407832</v>
      </c>
      <c r="Z89" s="232">
        <f>Z87/Z88</f>
        <v>0.72884521003407832</v>
      </c>
      <c r="AA89" s="231">
        <f t="shared" si="294"/>
        <v>0.72417822364540596</v>
      </c>
      <c r="AB89" s="231">
        <f t="shared" si="294"/>
        <v>0.64053895632344549</v>
      </c>
      <c r="AC89" s="231">
        <f t="shared" si="294"/>
        <v>0.61758523554996081</v>
      </c>
      <c r="AD89" s="231">
        <f t="shared" si="294"/>
        <v>0.67603199449300577</v>
      </c>
      <c r="AE89" s="232">
        <f>AE87/AE88</f>
        <v>0.67603199449300577</v>
      </c>
      <c r="AF89" s="231">
        <f t="shared" si="294"/>
        <v>0.74319162315962894</v>
      </c>
      <c r="AG89" s="231">
        <f t="shared" si="294"/>
        <v>0.67211018449695559</v>
      </c>
      <c r="AH89" s="231">
        <f>AH87/AH88</f>
        <v>0.63403684969649654</v>
      </c>
      <c r="AI89" s="231">
        <f t="shared" si="294"/>
        <v>0.63885827218434676</v>
      </c>
      <c r="AJ89" s="232">
        <f t="shared" ref="AJ89:BO89" si="295">AJ87/AJ88</f>
        <v>0.63885827218434676</v>
      </c>
      <c r="AK89" s="231">
        <f t="shared" si="295"/>
        <v>0.60250294135959082</v>
      </c>
      <c r="AL89" s="231">
        <f t="shared" si="295"/>
        <v>0.60818534367969623</v>
      </c>
      <c r="AM89" s="231">
        <f t="shared" si="295"/>
        <v>0.61585162196262555</v>
      </c>
      <c r="AN89" s="231">
        <f t="shared" si="295"/>
        <v>0.61809456346349301</v>
      </c>
      <c r="AO89" s="232">
        <f t="shared" si="295"/>
        <v>0.61809456346349301</v>
      </c>
      <c r="AP89" s="231">
        <f t="shared" si="295"/>
        <v>0.61396870259673209</v>
      </c>
      <c r="AQ89" s="231">
        <f t="shared" si="295"/>
        <v>0.56885162185740556</v>
      </c>
      <c r="AR89" s="231">
        <f t="shared" si="295"/>
        <v>0.58759373062999509</v>
      </c>
      <c r="AS89" s="231">
        <f t="shared" si="295"/>
        <v>0.48255654990609964</v>
      </c>
      <c r="AT89" s="232">
        <f t="shared" si="295"/>
        <v>0.48255654990609964</v>
      </c>
      <c r="AU89" s="231">
        <f t="shared" si="295"/>
        <v>0.49198426306916127</v>
      </c>
      <c r="AV89" s="231">
        <f t="shared" si="295"/>
        <v>0.4311655672782343</v>
      </c>
      <c r="AW89" s="231">
        <f t="shared" si="295"/>
        <v>0.41271151086955693</v>
      </c>
      <c r="AX89" s="231">
        <f t="shared" si="295"/>
        <v>0.40324728807507826</v>
      </c>
      <c r="AY89" s="232">
        <f t="shared" si="295"/>
        <v>0.40324728807507826</v>
      </c>
      <c r="AZ89" s="231">
        <f t="shared" si="295"/>
        <v>0.33983061804269171</v>
      </c>
      <c r="BA89" s="231">
        <f t="shared" si="295"/>
        <v>0.30058212790933359</v>
      </c>
      <c r="BB89" s="231">
        <f t="shared" si="295"/>
        <v>0.3032282089289452</v>
      </c>
      <c r="BC89" s="231">
        <f t="shared" si="295"/>
        <v>0.30653481923298281</v>
      </c>
      <c r="BD89" s="232">
        <f t="shared" si="295"/>
        <v>0.30653481923298281</v>
      </c>
      <c r="BE89" s="231">
        <f t="shared" si="295"/>
        <v>0.30270540628388842</v>
      </c>
      <c r="BF89" s="231">
        <f t="shared" si="295"/>
        <v>0.28210708153224739</v>
      </c>
      <c r="BG89" s="231">
        <f t="shared" si="295"/>
        <v>0.26078619796240504</v>
      </c>
      <c r="BH89" s="231">
        <f t="shared" si="295"/>
        <v>0.21171855013803176</v>
      </c>
      <c r="BI89" s="232">
        <f t="shared" si="295"/>
        <v>0.21171855013803176</v>
      </c>
      <c r="BJ89" s="231">
        <f t="shared" si="295"/>
        <v>0.20217656317871638</v>
      </c>
      <c r="BK89" s="231">
        <f t="shared" si="295"/>
        <v>0.16883647212040065</v>
      </c>
      <c r="BL89" s="231">
        <f t="shared" si="295"/>
        <v>0.15364970058865593</v>
      </c>
      <c r="BM89" s="231">
        <f t="shared" si="295"/>
        <v>0.15502234859260544</v>
      </c>
      <c r="BN89" s="232">
        <f t="shared" si="295"/>
        <v>0.15502234859260544</v>
      </c>
      <c r="BO89" s="231">
        <f t="shared" si="295"/>
        <v>0.14004988679573235</v>
      </c>
      <c r="BP89" s="231">
        <f t="shared" ref="BP89:CU89" si="296">BP87/BP88</f>
        <v>0.15159124628627926</v>
      </c>
      <c r="BQ89" s="231">
        <f t="shared" si="296"/>
        <v>0.15112298032992028</v>
      </c>
      <c r="BR89" s="231">
        <f t="shared" si="296"/>
        <v>0.16408959354313268</v>
      </c>
      <c r="BS89" s="232">
        <f t="shared" si="296"/>
        <v>0.16408959354313268</v>
      </c>
      <c r="BT89" s="231">
        <f t="shared" si="296"/>
        <v>0.1832818101465348</v>
      </c>
      <c r="BU89" s="231">
        <f t="shared" si="296"/>
        <v>0.22273491879814533</v>
      </c>
      <c r="BV89" s="231">
        <f t="shared" si="296"/>
        <v>0.29928422563982604</v>
      </c>
      <c r="BW89" s="231">
        <f t="shared" si="296"/>
        <v>0.30260525447249476</v>
      </c>
      <c r="BX89" s="232">
        <f t="shared" si="296"/>
        <v>0.30260525447249476</v>
      </c>
      <c r="BY89" s="231">
        <f t="shared" si="296"/>
        <v>0.30328727674526046</v>
      </c>
      <c r="BZ89" s="231">
        <f t="shared" si="296"/>
        <v>0.31057463660318241</v>
      </c>
      <c r="CA89" s="231">
        <f t="shared" si="296"/>
        <v>0.30663902771135049</v>
      </c>
      <c r="CB89" s="231">
        <f t="shared" si="296"/>
        <v>0.36217240254120503</v>
      </c>
      <c r="CC89" s="232">
        <f t="shared" si="296"/>
        <v>0.36217240254120503</v>
      </c>
      <c r="CD89" s="231">
        <f t="shared" si="296"/>
        <v>0.39350019655275081</v>
      </c>
      <c r="CE89" s="231">
        <f t="shared" si="296"/>
        <v>0.40917751070933406</v>
      </c>
      <c r="CF89" s="231">
        <f t="shared" si="296"/>
        <v>0.36484007738691676</v>
      </c>
      <c r="CG89" s="231">
        <f t="shared" si="296"/>
        <v>0.41007706016343992</v>
      </c>
      <c r="CH89" s="232">
        <f t="shared" si="296"/>
        <v>0.41007706016343992</v>
      </c>
      <c r="CI89" s="231">
        <f t="shared" si="296"/>
        <v>0.37632978128292099</v>
      </c>
      <c r="CJ89" s="231">
        <f t="shared" si="296"/>
        <v>0.36711039967170844</v>
      </c>
      <c r="CK89" s="231">
        <f t="shared" si="296"/>
        <v>0.40032607714950585</v>
      </c>
      <c r="CL89" s="231">
        <f t="shared" si="296"/>
        <v>0.39094205832860912</v>
      </c>
      <c r="CM89" s="232">
        <f t="shared" si="296"/>
        <v>0.39094205832860912</v>
      </c>
      <c r="CN89" s="231">
        <f t="shared" si="296"/>
        <v>0.3897280268116825</v>
      </c>
      <c r="CO89" s="231">
        <f t="shared" si="296"/>
        <v>0.37669132071879174</v>
      </c>
      <c r="CP89" s="231">
        <f t="shared" si="296"/>
        <v>0.4072581296019705</v>
      </c>
      <c r="CQ89" s="231">
        <f t="shared" si="296"/>
        <v>0.36167452703446712</v>
      </c>
      <c r="CR89" s="232">
        <f t="shared" si="296"/>
        <v>0.36167452703446712</v>
      </c>
      <c r="CS89" s="231">
        <f t="shared" si="296"/>
        <v>0.33533481652311231</v>
      </c>
      <c r="CT89" s="231">
        <f t="shared" si="296"/>
        <v>0.33699262034593913</v>
      </c>
      <c r="CU89" s="231">
        <f t="shared" si="296"/>
        <v>0.33966157532514779</v>
      </c>
      <c r="CV89" s="231">
        <f t="shared" ref="CV89:CZ89" si="297">CV87/CV88</f>
        <v>0.34792675134432677</v>
      </c>
      <c r="CW89" s="232">
        <f t="shared" si="297"/>
        <v>0.34792675134432677</v>
      </c>
      <c r="CX89" s="231">
        <f t="shared" si="297"/>
        <v>0.36019123115861545</v>
      </c>
      <c r="CY89" s="231">
        <f t="shared" si="297"/>
        <v>0.3652006328943691</v>
      </c>
      <c r="CZ89" s="231">
        <f t="shared" si="297"/>
        <v>0.40808298421998207</v>
      </c>
      <c r="DA89" s="231">
        <f t="shared" ref="DA89" si="298">DA87/DA88</f>
        <v>0.50414009140326088</v>
      </c>
      <c r="DB89" s="232">
        <f>DB87/DB88</f>
        <v>0.50414009140326088</v>
      </c>
      <c r="DC89" s="231">
        <f t="shared" ref="DC89:DF89" si="299">DC87/DC88</f>
        <v>0.48325377469362557</v>
      </c>
      <c r="DD89" s="231">
        <f t="shared" si="299"/>
        <v>0.48185006626718979</v>
      </c>
      <c r="DE89" s="231">
        <f t="shared" si="299"/>
        <v>0.4796814146241285</v>
      </c>
      <c r="DF89" s="231">
        <f t="shared" si="299"/>
        <v>0.60038588364630552</v>
      </c>
      <c r="DG89" s="232">
        <f>DG87/DG88</f>
        <v>0.60038588364630552</v>
      </c>
      <c r="DH89" s="231">
        <f t="shared" ref="DH89:DI89" si="300">DH87/DH88</f>
        <v>0.58368364623244962</v>
      </c>
      <c r="DI89" s="231">
        <f t="shared" si="300"/>
        <v>0.60000254465471425</v>
      </c>
      <c r="DJ89" s="233">
        <f>DI89</f>
        <v>0.60000254465471425</v>
      </c>
      <c r="DK89" s="233">
        <f>DJ89</f>
        <v>0.60000254465471425</v>
      </c>
      <c r="DL89" s="232">
        <f>DL87/DL88</f>
        <v>0.60000254465471425</v>
      </c>
      <c r="DM89" s="233">
        <v>0.5</v>
      </c>
      <c r="DN89" s="233">
        <f>DM89</f>
        <v>0.5</v>
      </c>
      <c r="DO89" s="233">
        <f>DN89</f>
        <v>0.5</v>
      </c>
      <c r="DP89" s="233">
        <f>DO89</f>
        <v>0.5</v>
      </c>
      <c r="DQ89" s="232">
        <f>DQ87/DQ88</f>
        <v>0.5</v>
      </c>
      <c r="DR89" s="233">
        <f>DP89</f>
        <v>0.5</v>
      </c>
      <c r="DS89" s="233">
        <f>DR89</f>
        <v>0.5</v>
      </c>
      <c r="DT89" s="233">
        <f>DS89</f>
        <v>0.5</v>
      </c>
      <c r="DU89" s="233">
        <f>DT89</f>
        <v>0.5</v>
      </c>
      <c r="DV89" s="232">
        <f>DV87/DV88</f>
        <v>0.5</v>
      </c>
      <c r="DW89" s="233">
        <f>DU89</f>
        <v>0.5</v>
      </c>
      <c r="DX89" s="233">
        <f>DW89</f>
        <v>0.5</v>
      </c>
      <c r="DY89" s="233">
        <f>DX89</f>
        <v>0.5</v>
      </c>
      <c r="DZ89" s="233">
        <f>DY89</f>
        <v>0.5</v>
      </c>
      <c r="EA89" s="232">
        <f>EA87/EA88</f>
        <v>0.5</v>
      </c>
      <c r="EB89" s="233">
        <f>DZ89</f>
        <v>0.5</v>
      </c>
      <c r="EC89" s="233">
        <f>EB89</f>
        <v>0.5</v>
      </c>
      <c r="ED89" s="233">
        <f>EC89</f>
        <v>0.5</v>
      </c>
      <c r="EE89" s="233">
        <f>ED89</f>
        <v>0.5</v>
      </c>
      <c r="EF89" s="232">
        <f>EF87/EF88</f>
        <v>0.5</v>
      </c>
    </row>
    <row r="90" spans="1:136" outlineLevel="1">
      <c r="CH90" s="67"/>
      <c r="CM90" s="67"/>
      <c r="CR90" s="67"/>
      <c r="CW90" s="67"/>
      <c r="DB90" s="67"/>
      <c r="DG90" s="67"/>
      <c r="DL90" s="67"/>
      <c r="DQ90" s="67"/>
      <c r="DV90" s="67"/>
      <c r="EA90" s="67"/>
      <c r="EF90" s="67"/>
    </row>
    <row r="91" spans="1:136" s="68" customFormat="1" outlineLevel="1">
      <c r="A91" s="68" t="s">
        <v>52</v>
      </c>
      <c r="B91" s="236">
        <f>B22+B23</f>
        <v>77300</v>
      </c>
      <c r="C91" s="236">
        <f>C22+C23</f>
        <v>76916</v>
      </c>
      <c r="D91" s="236">
        <f>D22+D23</f>
        <v>74686</v>
      </c>
      <c r="E91" s="236">
        <f>E22+E23</f>
        <v>88080</v>
      </c>
      <c r="F91" s="237">
        <f>F22</f>
        <v>88044</v>
      </c>
      <c r="G91" s="236">
        <f>G22+G23</f>
        <v>99495</v>
      </c>
      <c r="H91" s="236">
        <f>H22+H23</f>
        <v>110910</v>
      </c>
      <c r="I91" s="236">
        <f>I22+I23</f>
        <v>109990</v>
      </c>
      <c r="J91" s="236">
        <f>J22+J23</f>
        <v>110118</v>
      </c>
      <c r="K91" s="237">
        <f>K22</f>
        <v>110107</v>
      </c>
      <c r="L91" s="236">
        <f>L22+L23</f>
        <v>113068</v>
      </c>
      <c r="M91" s="236">
        <f>M22+M23</f>
        <v>144549</v>
      </c>
      <c r="N91" s="236">
        <f>N22+N23</f>
        <v>144859</v>
      </c>
      <c r="O91" s="236">
        <f>O22+O23</f>
        <v>144374</v>
      </c>
      <c r="P91" s="237">
        <f>O91</f>
        <v>144374</v>
      </c>
      <c r="Q91" s="236">
        <f>Q22+Q23</f>
        <v>446518</v>
      </c>
      <c r="R91" s="236">
        <f>R22+R23</f>
        <v>9917</v>
      </c>
      <c r="S91" s="236">
        <f>S22+S23</f>
        <v>12609</v>
      </c>
      <c r="T91" s="236">
        <f>T22+T23</f>
        <v>20430</v>
      </c>
      <c r="U91" s="237">
        <f>T91</f>
        <v>20430</v>
      </c>
      <c r="V91" s="236">
        <f>V22+V23</f>
        <v>23344</v>
      </c>
      <c r="W91" s="236">
        <f>W22+W23</f>
        <v>30459</v>
      </c>
      <c r="X91" s="236">
        <f>X22+X23</f>
        <v>36757</v>
      </c>
      <c r="Y91" s="236">
        <f>Y22+Y23</f>
        <v>116343</v>
      </c>
      <c r="Z91" s="237">
        <f>Y91</f>
        <v>116343</v>
      </c>
      <c r="AA91" s="236">
        <f>AA22+AA23</f>
        <v>117862</v>
      </c>
      <c r="AB91" s="236">
        <f>AB22+AB23</f>
        <v>129685</v>
      </c>
      <c r="AC91" s="236">
        <f>AC22+AC23</f>
        <v>253237</v>
      </c>
      <c r="AD91" s="236">
        <f>AD22+AD23</f>
        <v>241317</v>
      </c>
      <c r="AE91" s="237">
        <f>AD91</f>
        <v>241317</v>
      </c>
      <c r="AF91" s="236">
        <f>AF22+AF23</f>
        <v>242489</v>
      </c>
      <c r="AG91" s="236">
        <f>AG22+AG23</f>
        <v>253207</v>
      </c>
      <c r="AH91" s="236">
        <f>AH22+AH23</f>
        <v>255183</v>
      </c>
      <c r="AI91" s="236">
        <f>AI22+AI23</f>
        <v>259413</v>
      </c>
      <c r="AJ91" s="237">
        <f>AI91</f>
        <v>259413</v>
      </c>
      <c r="AK91" s="236">
        <f>AK22+AK23</f>
        <v>248891</v>
      </c>
      <c r="AL91" s="236">
        <f>AL22+AL23</f>
        <v>247380</v>
      </c>
      <c r="AM91" s="236">
        <f>AM22+AM23</f>
        <v>270880</v>
      </c>
      <c r="AN91" s="236">
        <f>AN22+AN23</f>
        <v>285743</v>
      </c>
      <c r="AO91" s="237">
        <f>AN91</f>
        <v>285743</v>
      </c>
      <c r="AP91" s="236">
        <f>AP22+AP23</f>
        <v>278157</v>
      </c>
      <c r="AQ91" s="236">
        <f>AQ22+AQ23</f>
        <v>273561</v>
      </c>
      <c r="AR91" s="236">
        <f>AR22+AR23</f>
        <v>260430</v>
      </c>
      <c r="AS91" s="236">
        <f>AS22+AS23</f>
        <v>252298</v>
      </c>
      <c r="AT91" s="237">
        <f>AS91</f>
        <v>252298</v>
      </c>
      <c r="AU91" s="236">
        <f>AU22+AU23</f>
        <v>257908</v>
      </c>
      <c r="AV91" s="236">
        <f>AV22+AV23</f>
        <v>234383</v>
      </c>
      <c r="AW91" s="236">
        <f>AW22+AW23</f>
        <v>245139</v>
      </c>
      <c r="AX91" s="236">
        <f>AX22+AX23</f>
        <v>247186</v>
      </c>
      <c r="AY91" s="237">
        <f>AX91</f>
        <v>247186</v>
      </c>
      <c r="AZ91" s="236">
        <f>AZ22+AZ23</f>
        <v>253040</v>
      </c>
      <c r="BA91" s="236">
        <f>BA22+BA23</f>
        <v>253612</v>
      </c>
      <c r="BB91" s="236">
        <f>BB22+BB23</f>
        <v>251904</v>
      </c>
      <c r="BC91" s="236">
        <f>BC22+BC23</f>
        <v>272210</v>
      </c>
      <c r="BD91" s="237">
        <f>BC91</f>
        <v>272210</v>
      </c>
      <c r="BE91" s="236">
        <f>BE22+BE23</f>
        <v>268998</v>
      </c>
      <c r="BF91" s="236">
        <f>BF22+BF23</f>
        <v>266085</v>
      </c>
      <c r="BG91" s="236">
        <f>BG22+BG23</f>
        <v>243502</v>
      </c>
      <c r="BH91" s="236">
        <f>BH22+BH23</f>
        <v>224761</v>
      </c>
      <c r="BI91" s="237">
        <f>BH91</f>
        <v>224761</v>
      </c>
      <c r="BJ91" s="236">
        <f>BJ22+BJ23</f>
        <v>193307</v>
      </c>
      <c r="BK91" s="236">
        <f>BK22+BK23</f>
        <v>185823</v>
      </c>
      <c r="BL91" s="236">
        <f>BL22+BL23</f>
        <v>167374</v>
      </c>
      <c r="BM91" s="236">
        <f>BM22+BM23</f>
        <v>151753</v>
      </c>
      <c r="BN91" s="237">
        <f>BM91</f>
        <v>151753</v>
      </c>
      <c r="BO91" s="236">
        <f>BO22+BO23</f>
        <v>135149</v>
      </c>
      <c r="BP91" s="236">
        <f>BP22+BP23</f>
        <v>110399</v>
      </c>
      <c r="BQ91" s="236">
        <f>BQ22+BQ23</f>
        <v>105743</v>
      </c>
      <c r="BR91" s="236">
        <f>BR22+BR23</f>
        <v>100968</v>
      </c>
      <c r="BS91" s="237">
        <f>BR91</f>
        <v>100968</v>
      </c>
      <c r="BT91" s="236">
        <f>BT22+BT23</f>
        <v>96256</v>
      </c>
      <c r="BU91" s="236">
        <f>BU22+BU23</f>
        <v>89432</v>
      </c>
      <c r="BV91" s="236">
        <f>BV22+BV23</f>
        <v>95495</v>
      </c>
      <c r="BW91" s="236">
        <f>BW22+BW23</f>
        <v>95976</v>
      </c>
      <c r="BX91" s="237">
        <f>BW91</f>
        <v>95976</v>
      </c>
      <c r="BY91" s="236">
        <f>BY22+BY23</f>
        <v>98081</v>
      </c>
      <c r="BZ91" s="236">
        <f>BZ22+BZ23</f>
        <v>98081</v>
      </c>
      <c r="CA91" s="236">
        <f>CA22+CA23</f>
        <v>114912</v>
      </c>
      <c r="CB91" s="236">
        <f>CB22+CB23</f>
        <v>120011</v>
      </c>
      <c r="CC91" s="237">
        <f>CB91</f>
        <v>120011</v>
      </c>
      <c r="CD91" s="236">
        <f>CD22+CD23</f>
        <v>116527</v>
      </c>
      <c r="CE91" s="236">
        <f>CE22+CE23</f>
        <v>108141</v>
      </c>
      <c r="CF91" s="236">
        <f>CF22+CF23</f>
        <v>92863</v>
      </c>
      <c r="CG91" s="236">
        <f>CG22+CG23</f>
        <v>94398</v>
      </c>
      <c r="CH91" s="237">
        <f>CG91</f>
        <v>94398</v>
      </c>
      <c r="CI91" s="236">
        <f>CI22+CI23</f>
        <v>90219</v>
      </c>
      <c r="CJ91" s="236">
        <f>CJ22+CJ23</f>
        <v>100668</v>
      </c>
      <c r="CK91" s="236">
        <f>CK22+CK23</f>
        <v>151132</v>
      </c>
      <c r="CL91" s="236">
        <f>CL22+CL23</f>
        <v>159901</v>
      </c>
      <c r="CM91" s="237">
        <f>CL91</f>
        <v>159901</v>
      </c>
      <c r="CN91" s="236">
        <f>CN22+CN23</f>
        <v>168244</v>
      </c>
      <c r="CO91" s="236">
        <f>CO22+CO23</f>
        <v>225971</v>
      </c>
      <c r="CP91" s="236">
        <f>CP22+CP23</f>
        <v>373202</v>
      </c>
      <c r="CQ91" s="236">
        <f>CQ22+CQ23</f>
        <v>344348</v>
      </c>
      <c r="CR91" s="237">
        <f>CQ91</f>
        <v>344348</v>
      </c>
      <c r="CS91" s="236">
        <f>CS22+CS23</f>
        <v>341655</v>
      </c>
      <c r="CT91" s="236">
        <f>CT22+CT23</f>
        <v>339635</v>
      </c>
      <c r="CU91" s="236">
        <f>CU22+CU23</f>
        <v>338506</v>
      </c>
      <c r="CV91" s="236">
        <f>CV22+CV23</f>
        <v>334168</v>
      </c>
      <c r="CW91" s="237">
        <f>CV91</f>
        <v>334168</v>
      </c>
      <c r="CX91" s="236">
        <f>CX22+CX23</f>
        <v>312386</v>
      </c>
      <c r="CY91" s="236">
        <f>CY22+CY23</f>
        <v>309681</v>
      </c>
      <c r="CZ91" s="236">
        <f>CZ22+CZ23</f>
        <v>300623</v>
      </c>
      <c r="DA91" s="236">
        <f>DA22+DA23</f>
        <v>307866</v>
      </c>
      <c r="DB91" s="237">
        <f>DA91</f>
        <v>307866</v>
      </c>
      <c r="DC91" s="236">
        <f>DC22+DC23</f>
        <v>304318</v>
      </c>
      <c r="DD91" s="236">
        <f>DD22+DD23</f>
        <v>308232</v>
      </c>
      <c r="DE91" s="236">
        <f>DE22+DE23</f>
        <v>306936</v>
      </c>
      <c r="DF91" s="236">
        <f>DF22+DF23</f>
        <v>748334</v>
      </c>
      <c r="DG91" s="237">
        <f>DF91</f>
        <v>748334</v>
      </c>
      <c r="DH91" s="236">
        <f>DH22+DH23</f>
        <v>659279</v>
      </c>
      <c r="DI91" s="236">
        <f>DI22+DI23</f>
        <v>683410</v>
      </c>
      <c r="DJ91" s="236">
        <f>DI91-DJ92+DJ95</f>
        <v>687677.27623054886</v>
      </c>
      <c r="DK91" s="236">
        <f>DJ91-DK92+DK95</f>
        <v>691971.19773469295</v>
      </c>
      <c r="DL91" s="237">
        <f>DK91</f>
        <v>691971.19773469295</v>
      </c>
      <c r="DM91" s="236">
        <f>DL91-DM92+DM95</f>
        <v>696291.93088802346</v>
      </c>
      <c r="DN91" s="236">
        <f>DM91-DN92+DN95</f>
        <v>700639.6431049963</v>
      </c>
      <c r="DO91" s="236">
        <f>DN91-DO92+DO95</f>
        <v>705014.50284541876</v>
      </c>
      <c r="DP91" s="236">
        <f>DO91-DP92+DP95</f>
        <v>709416.67962097726</v>
      </c>
      <c r="DQ91" s="237">
        <f>DP91</f>
        <v>709416.67962097726</v>
      </c>
      <c r="DR91" s="236">
        <f>DQ91-DR92+DR95</f>
        <v>713846.34400180506</v>
      </c>
      <c r="DS91" s="236">
        <f>DR91-DS92+DS95</f>
        <v>718303.66762309102</v>
      </c>
      <c r="DT91" s="236">
        <f>DS91-DT92+DT95</f>
        <v>722788.82319173077</v>
      </c>
      <c r="DU91" s="236">
        <f>DT91-DU92+DU95</f>
        <v>727301.98449301755</v>
      </c>
      <c r="DV91" s="237">
        <f>DU91</f>
        <v>727301.98449301755</v>
      </c>
      <c r="DW91" s="236">
        <f>DV91-DW92+DW95</f>
        <v>731843.3263973766</v>
      </c>
      <c r="DX91" s="236">
        <f>DW91-DX92+DX95</f>
        <v>736413.02486714046</v>
      </c>
      <c r="DY91" s="236">
        <f>DX91-DY92+DY95</f>
        <v>741011.25696336688</v>
      </c>
      <c r="DZ91" s="236">
        <f>DY91-DZ92+DZ95</f>
        <v>745638.20085269958</v>
      </c>
      <c r="EA91" s="237">
        <f>DZ91</f>
        <v>745638.20085269958</v>
      </c>
      <c r="EB91" s="236">
        <f>EA91-EB92+EB95</f>
        <v>750294.03581427154</v>
      </c>
      <c r="EC91" s="236">
        <f>EB91-EC92+EC95</f>
        <v>754978.94224665151</v>
      </c>
      <c r="ED91" s="236">
        <f>EC91-ED92+ED95</f>
        <v>759693.1016748338</v>
      </c>
      <c r="EE91" s="236">
        <f>ED91-EE92+EE95</f>
        <v>764436.69675727177</v>
      </c>
      <c r="EF91" s="237">
        <f>EE91</f>
        <v>764436.69675727177</v>
      </c>
    </row>
    <row r="92" spans="1:136" outlineLevel="1">
      <c r="A92" s="66" t="s">
        <v>11</v>
      </c>
      <c r="B92" s="114">
        <f>'Income Statement'!B68</f>
        <v>763</v>
      </c>
      <c r="C92" s="114">
        <f>'Income Statement'!C68</f>
        <v>1244</v>
      </c>
      <c r="D92" s="114">
        <f>'Income Statement'!D68</f>
        <v>1023</v>
      </c>
      <c r="E92" s="114">
        <f>'Income Statement'!E68</f>
        <v>470</v>
      </c>
      <c r="F92" s="130">
        <f>-'Income Statement'!F33</f>
        <v>3500</v>
      </c>
      <c r="G92" s="114">
        <f>'Income Statement'!G68</f>
        <v>1106</v>
      </c>
      <c r="H92" s="114">
        <f>'Income Statement'!H68</f>
        <v>651</v>
      </c>
      <c r="I92" s="114">
        <f>'Income Statement'!I68</f>
        <v>1017</v>
      </c>
      <c r="J92" s="114">
        <f>'Income Statement'!J68</f>
        <v>313</v>
      </c>
      <c r="K92" s="130">
        <f>-'Income Statement'!K33</f>
        <v>3087</v>
      </c>
      <c r="L92" s="114">
        <f>'Income Statement'!L68</f>
        <v>794</v>
      </c>
      <c r="M92" s="114">
        <f>'Income Statement'!M68</f>
        <v>1233</v>
      </c>
      <c r="N92" s="114">
        <f>'Income Statement'!N68</f>
        <v>1572</v>
      </c>
      <c r="O92" s="114">
        <f>'Income Statement'!O68</f>
        <v>1459</v>
      </c>
      <c r="P92" s="106">
        <f>SUM(L92:O92)</f>
        <v>5058</v>
      </c>
      <c r="Q92" s="114">
        <f>'Income Statement'!Q68</f>
        <v>5166</v>
      </c>
      <c r="R92" s="114">
        <f>'Income Statement'!R68</f>
        <v>9222</v>
      </c>
      <c r="S92" s="114">
        <f>'Income Statement'!S68</f>
        <v>1690</v>
      </c>
      <c r="T92" s="114">
        <f>'Income Statement'!T68</f>
        <v>5</v>
      </c>
      <c r="U92" s="106">
        <f>SUM(Q92:T92)</f>
        <v>16083</v>
      </c>
      <c r="V92" s="114">
        <f>'Income Statement'!V68</f>
        <v>1822</v>
      </c>
      <c r="W92" s="114">
        <f>'Income Statement'!W68</f>
        <v>12870</v>
      </c>
      <c r="X92" s="114">
        <f>'Income Statement'!X68</f>
        <v>3863</v>
      </c>
      <c r="Y92" s="114">
        <f>'Income Statement'!Y68</f>
        <v>3215</v>
      </c>
      <c r="Z92" s="106">
        <f>SUM(V92:Y92)</f>
        <v>21770</v>
      </c>
      <c r="AA92" s="114">
        <f>'Income Statement'!AA68</f>
        <v>2987</v>
      </c>
      <c r="AB92" s="114">
        <f>'Income Statement'!AB68</f>
        <v>3250</v>
      </c>
      <c r="AC92" s="114">
        <f>'Income Statement'!AC68</f>
        <v>3304</v>
      </c>
      <c r="AD92" s="114">
        <f>'Income Statement'!AD68</f>
        <v>26852</v>
      </c>
      <c r="AE92" s="106">
        <f>SUM(AA92:AD92)</f>
        <v>36393</v>
      </c>
      <c r="AF92" s="114">
        <f>'Income Statement'!AF68</f>
        <v>18320</v>
      </c>
      <c r="AG92" s="114">
        <f>'Income Statement'!AG68</f>
        <v>10916</v>
      </c>
      <c r="AH92" s="114">
        <f>'Income Statement'!AH68</f>
        <v>11322</v>
      </c>
      <c r="AI92" s="114">
        <f>'Income Statement'!AI68</f>
        <v>18975</v>
      </c>
      <c r="AJ92" s="106">
        <f>SUM(AF92:AI92)</f>
        <v>59533</v>
      </c>
      <c r="AK92" s="114">
        <f>'Income Statement'!AK68</f>
        <v>10409</v>
      </c>
      <c r="AL92" s="114">
        <f>'Income Statement'!AL68</f>
        <v>6201</v>
      </c>
      <c r="AM92" s="114">
        <f>'Income Statement'!AM68</f>
        <v>9000</v>
      </c>
      <c r="AN92" s="114">
        <f>'Income Statement'!AN68</f>
        <v>7507</v>
      </c>
      <c r="AO92" s="106">
        <f>SUM(AK92:AN92)</f>
        <v>33117</v>
      </c>
      <c r="AP92" s="114">
        <f>'Income Statement'!AP68</f>
        <v>22651</v>
      </c>
      <c r="AQ92" s="114">
        <f>'Income Statement'!AQ68</f>
        <v>32515</v>
      </c>
      <c r="AR92" s="114">
        <f>'Income Statement'!AR68</f>
        <v>30082</v>
      </c>
      <c r="AS92" s="114">
        <f>'Income Statement'!AS68</f>
        <v>-65386</v>
      </c>
      <c r="AT92" s="106">
        <f>SUM(AP92:AS92)</f>
        <v>19862</v>
      </c>
      <c r="AU92" s="114">
        <f>'Income Statement'!AU68</f>
        <v>26262</v>
      </c>
      <c r="AV92" s="114">
        <f>'Income Statement'!AV68</f>
        <v>25204</v>
      </c>
      <c r="AW92" s="114">
        <f>'Income Statement'!AW68</f>
        <v>25591</v>
      </c>
      <c r="AX92" s="114">
        <f>'Income Statement'!AX68</f>
        <v>18955</v>
      </c>
      <c r="AY92" s="106">
        <f>SUM(AU92:AX92)</f>
        <v>96012</v>
      </c>
      <c r="AZ92" s="114">
        <f>'Income Statement'!AZ68</f>
        <v>24639</v>
      </c>
      <c r="BA92" s="114">
        <f>'Income Statement'!BA68</f>
        <v>23136</v>
      </c>
      <c r="BB92" s="114">
        <f>'Income Statement'!BB68</f>
        <v>19917</v>
      </c>
      <c r="BC92" s="114">
        <f>'Income Statement'!BC68</f>
        <v>12408</v>
      </c>
      <c r="BD92" s="106">
        <f>SUM(AZ92:BC92)</f>
        <v>80100</v>
      </c>
      <c r="BE92" s="114">
        <f>'Income Statement'!BE68</f>
        <v>18848</v>
      </c>
      <c r="BF92" s="114">
        <f>'Income Statement'!BF68</f>
        <v>17303</v>
      </c>
      <c r="BG92" s="114">
        <f>'Income Statement'!BG68</f>
        <v>21106</v>
      </c>
      <c r="BH92" s="114">
        <f>'Income Statement'!BH68</f>
        <v>9932</v>
      </c>
      <c r="BI92" s="106">
        <f>SUM(BE92:BH92)</f>
        <v>67189</v>
      </c>
      <c r="BJ92" s="114">
        <f>'Income Statement'!BJ68</f>
        <v>29847</v>
      </c>
      <c r="BK92" s="114">
        <f>'Income Statement'!BK68</f>
        <v>17590</v>
      </c>
      <c r="BL92" s="114">
        <f>'Income Statement'!BL68</f>
        <v>25607</v>
      </c>
      <c r="BM92" s="114">
        <f>'Income Statement'!BM68</f>
        <v>15588</v>
      </c>
      <c r="BN92" s="106">
        <f>SUM(BJ92:BM92)</f>
        <v>88632</v>
      </c>
      <c r="BO92" s="114">
        <f>'Income Statement'!BO68</f>
        <v>21342</v>
      </c>
      <c r="BP92" s="114">
        <f>'Income Statement'!BP68</f>
        <v>28661</v>
      </c>
      <c r="BQ92" s="114">
        <f>'Income Statement'!BQ68</f>
        <v>761</v>
      </c>
      <c r="BR92" s="114">
        <f>'Income Statement'!BR68</f>
        <v>-6308</v>
      </c>
      <c r="BS92" s="106">
        <f>SUM(BO92:BR92)</f>
        <v>44456</v>
      </c>
      <c r="BT92" s="114">
        <f>'Income Statement'!BT68</f>
        <v>15867</v>
      </c>
      <c r="BU92" s="114">
        <f>'Income Statement'!BU68</f>
        <v>9584</v>
      </c>
      <c r="BV92" s="114">
        <f>'Income Statement'!BV68</f>
        <v>22894</v>
      </c>
      <c r="BW92" s="114">
        <f>'Income Statement'!BW68</f>
        <v>13024</v>
      </c>
      <c r="BX92" s="106">
        <f>SUM(BT92:BW92)</f>
        <v>61369</v>
      </c>
      <c r="BY92" s="114">
        <f>'Income Statement'!BY68</f>
        <v>24359</v>
      </c>
      <c r="BZ92" s="114">
        <f>'Income Statement'!BZ68</f>
        <v>-7881</v>
      </c>
      <c r="CA92" s="114">
        <f>'Income Statement'!CA68</f>
        <v>31538</v>
      </c>
      <c r="CB92" s="114">
        <f>'Income Statement'!CB68</f>
        <v>26662</v>
      </c>
      <c r="CC92" s="106">
        <f>SUM(BY92:CB92)</f>
        <v>74678</v>
      </c>
      <c r="CD92" s="114">
        <f>'Income Statement'!CD68</f>
        <v>17199</v>
      </c>
      <c r="CE92" s="114">
        <f>'Income Statement'!CE68</f>
        <v>13725</v>
      </c>
      <c r="CF92" s="114">
        <f>'Income Statement'!CF68</f>
        <v>8963</v>
      </c>
      <c r="CG92" s="114">
        <f>'Income Statement'!CG68</f>
        <v>11276</v>
      </c>
      <c r="CH92" s="106">
        <f>SUM(CD92:CG92)</f>
        <v>51163</v>
      </c>
      <c r="CI92" s="114">
        <f>'Income Statement'!CI68</f>
        <v>10932</v>
      </c>
      <c r="CJ92" s="114">
        <f>'Income Statement'!CJ68</f>
        <v>10462</v>
      </c>
      <c r="CK92" s="114">
        <f>'Income Statement'!CK68</f>
        <v>11020</v>
      </c>
      <c r="CL92" s="114">
        <f>'Income Statement'!CL68</f>
        <v>7758</v>
      </c>
      <c r="CM92" s="106">
        <f>SUM(CI92:CL92)</f>
        <v>40172</v>
      </c>
      <c r="CN92" s="114">
        <f>'Income Statement'!CN68</f>
        <v>8532</v>
      </c>
      <c r="CO92" s="114">
        <f>'Income Statement'!CO68</f>
        <v>9251</v>
      </c>
      <c r="CP92" s="114">
        <f>'Income Statement'!CP68</f>
        <v>22832</v>
      </c>
      <c r="CQ92" s="114">
        <f>'Income Statement'!CQ68</f>
        <v>22658</v>
      </c>
      <c r="CR92" s="106">
        <f>SUM(CN92:CQ92)</f>
        <v>63273</v>
      </c>
      <c r="CS92" s="114">
        <f>'Income Statement'!CS68</f>
        <v>29284</v>
      </c>
      <c r="CT92" s="114">
        <f>'Income Statement'!CT68</f>
        <v>16071</v>
      </c>
      <c r="CU92" s="114">
        <f>'Income Statement'!CU68</f>
        <v>42302</v>
      </c>
      <c r="CV92" s="114">
        <f>'Income Statement'!CV68</f>
        <v>3292</v>
      </c>
      <c r="CW92" s="106">
        <f>SUM(CS92:CV92)</f>
        <v>90949</v>
      </c>
      <c r="CX92" s="114">
        <f>'Income Statement'!CX68</f>
        <v>23638</v>
      </c>
      <c r="CY92" s="114">
        <f>'Income Statement'!CY68</f>
        <v>16365</v>
      </c>
      <c r="CZ92" s="114">
        <f>'Income Statement'!CZ68</f>
        <v>39999</v>
      </c>
      <c r="DA92" s="114">
        <f>'Income Statement'!DA68</f>
        <v>20057</v>
      </c>
      <c r="DB92" s="106">
        <f>SUM(CX92:DA92)</f>
        <v>100059</v>
      </c>
      <c r="DC92" s="114">
        <f>'Income Statement'!DC68</f>
        <v>30272</v>
      </c>
      <c r="DD92" s="114">
        <f>'Income Statement'!DD68</f>
        <v>23802</v>
      </c>
      <c r="DE92" s="114">
        <f>'Income Statement'!DE68</f>
        <v>28629</v>
      </c>
      <c r="DF92" s="114">
        <f>'Income Statement'!DF68</f>
        <v>49872</v>
      </c>
      <c r="DG92" s="106">
        <f>SUM(DC92:DF92)</f>
        <v>132575</v>
      </c>
      <c r="DH92" s="114">
        <f>'Income Statement'!DH68</f>
        <v>54583</v>
      </c>
      <c r="DI92" s="114">
        <f>'Income Statement'!DI68</f>
        <v>41166</v>
      </c>
      <c r="DJ92" s="114">
        <f>DJ93*DI91/4</f>
        <v>42672.762305488272</v>
      </c>
      <c r="DK92" s="114">
        <f>DK93*DJ91/4</f>
        <v>42939.215041441901</v>
      </c>
      <c r="DL92" s="106">
        <f>SUM(DH92:DK92)</f>
        <v>181360.97734693019</v>
      </c>
      <c r="DM92" s="114">
        <f>DM93*DL91/4</f>
        <v>43207.331533305885</v>
      </c>
      <c r="DN92" s="114">
        <f>DN93*DM91/4</f>
        <v>43477.122169728405</v>
      </c>
      <c r="DO92" s="114">
        <f>DO93*DN91/4</f>
        <v>43748.597404225344</v>
      </c>
      <c r="DP92" s="114">
        <f>DP93*DO91/4</f>
        <v>44021.767755585286</v>
      </c>
      <c r="DQ92" s="106">
        <f>SUM(DM92:DP92)</f>
        <v>174454.81886284493</v>
      </c>
      <c r="DR92" s="114">
        <f>DR93*DQ91/4</f>
        <v>44296.643808277149</v>
      </c>
      <c r="DS92" s="114">
        <f>DS93*DR91/4</f>
        <v>44573.236212860276</v>
      </c>
      <c r="DT92" s="114">
        <f>DT93*DS91/4</f>
        <v>44851.555686397056</v>
      </c>
      <c r="DU92" s="114">
        <f>DU93*DT91/4</f>
        <v>45131.613012868285</v>
      </c>
      <c r="DV92" s="106">
        <f>SUM(DR92:DU92)</f>
        <v>178853.04872040276</v>
      </c>
      <c r="DW92" s="114">
        <f>DW93*DV91/4</f>
        <v>45413.419043590897</v>
      </c>
      <c r="DX92" s="114">
        <f>DX93*DW91/4</f>
        <v>45696.984697638487</v>
      </c>
      <c r="DY92" s="114">
        <f>DY93*DX91/4</f>
        <v>45982.320962264392</v>
      </c>
      <c r="DZ92" s="114">
        <f>DZ93*DY91/4</f>
        <v>46269.438893327351</v>
      </c>
      <c r="EA92" s="106">
        <f>SUM(DW92:DZ92)</f>
        <v>183362.1635968211</v>
      </c>
      <c r="EB92" s="114">
        <f>EB93*EA91/4</f>
        <v>46558.349615719948</v>
      </c>
      <c r="EC92" s="114">
        <f>EC93*EB91/4</f>
        <v>46849.064323799641</v>
      </c>
      <c r="ED92" s="114">
        <f>ED93*EC91/4</f>
        <v>47141.594281822501</v>
      </c>
      <c r="EE92" s="114">
        <f>EE93*ED91/4</f>
        <v>47435.950824379681</v>
      </c>
      <c r="EF92" s="106">
        <f>SUM(EB92:EE92)</f>
        <v>187984.95904572177</v>
      </c>
    </row>
    <row r="93" spans="1:136" outlineLevel="1">
      <c r="A93" s="216" t="s">
        <v>74</v>
      </c>
      <c r="B93" s="231" t="e">
        <f>B92/#REF!*4</f>
        <v>#REF!</v>
      </c>
      <c r="C93" s="231">
        <f>C92/B91*4</f>
        <v>6.4372574385511E-2</v>
      </c>
      <c r="D93" s="231">
        <f>D92/C91*4</f>
        <v>5.3200894482292371E-2</v>
      </c>
      <c r="E93" s="231">
        <f>E92/D91*4</f>
        <v>2.5172053664676109E-2</v>
      </c>
      <c r="F93" s="232" t="e">
        <f>F92/AVERAGE(F91,#REF!)</f>
        <v>#REF!</v>
      </c>
      <c r="G93" s="231">
        <f>G92/E91*4</f>
        <v>5.022706630336058E-2</v>
      </c>
      <c r="H93" s="231">
        <f>H92/G91*4</f>
        <v>2.6172169455751546E-2</v>
      </c>
      <c r="I93" s="231">
        <f>I92/H91*4</f>
        <v>3.6678387882066538E-2</v>
      </c>
      <c r="J93" s="231">
        <f>J92/I91*4</f>
        <v>1.1382852986635149E-2</v>
      </c>
      <c r="K93" s="232">
        <f>K92/AVERAGE(K91,F91)</f>
        <v>3.1158056229844917E-2</v>
      </c>
      <c r="L93" s="231">
        <f>L92/J91*4</f>
        <v>2.8841787900252457E-2</v>
      </c>
      <c r="M93" s="231">
        <f>M92/L91*4</f>
        <v>4.3619768634803838E-2</v>
      </c>
      <c r="N93" s="231">
        <f>N92/M91*4</f>
        <v>4.3500819791212668E-2</v>
      </c>
      <c r="O93" s="231">
        <f>O92/N91*4</f>
        <v>4.0287451936020541E-2</v>
      </c>
      <c r="P93" s="232">
        <f>P92/AVERAGE(P91,K91)</f>
        <v>3.9751494217642964E-2</v>
      </c>
      <c r="Q93" s="231">
        <f>Q92/O91*4</f>
        <v>0.14312826409187249</v>
      </c>
      <c r="R93" s="231">
        <f>R92/Q91*4</f>
        <v>8.2612571049767311E-2</v>
      </c>
      <c r="S93" s="231">
        <f>S92/R91*4</f>
        <v>0.68165775940304529</v>
      </c>
      <c r="T93" s="231">
        <f>T92/S91*4</f>
        <v>1.5861686097232135E-3</v>
      </c>
      <c r="U93" s="232">
        <f>U92/AVERAGE(U91,P91)</f>
        <v>0.19517730152180773</v>
      </c>
      <c r="V93" s="231">
        <f>V92/T91*4</f>
        <v>0.35673029858051886</v>
      </c>
      <c r="W93" s="231">
        <f>W92/V91*4</f>
        <v>2.2052775873886223</v>
      </c>
      <c r="X93" s="231">
        <f>X92/W91*4</f>
        <v>0.50730490167109887</v>
      </c>
      <c r="Y93" s="231">
        <f>Y92/X91*4</f>
        <v>0.34986533177353973</v>
      </c>
      <c r="Z93" s="232">
        <f>Z92/AVERAGE(Z91,U91)</f>
        <v>0.31833768360714471</v>
      </c>
      <c r="AA93" s="231">
        <f>AA92/Y91*4</f>
        <v>0.10269633755361303</v>
      </c>
      <c r="AB93" s="231">
        <f>AB92/AA91*4</f>
        <v>0.11029848466851064</v>
      </c>
      <c r="AC93" s="231">
        <f>AC92/AB91*4</f>
        <v>0.10190847052473301</v>
      </c>
      <c r="AD93" s="231">
        <f>AD92/AC91*4</f>
        <v>0.42414023227253522</v>
      </c>
      <c r="AE93" s="232">
        <f>AE92/AVERAGE(AE91,Z91)</f>
        <v>0.20350612313370239</v>
      </c>
      <c r="AF93" s="231">
        <f>AF92/AD91*4</f>
        <v>0.30366696088547429</v>
      </c>
      <c r="AG93" s="231">
        <f>AG92/AF91*4</f>
        <v>0.18006589989649016</v>
      </c>
      <c r="AH93" s="231">
        <f>AH92/AG91*4</f>
        <v>0.17885761452092558</v>
      </c>
      <c r="AI93" s="231">
        <f>AI92/AH91*4</f>
        <v>0.29743360647065048</v>
      </c>
      <c r="AJ93" s="232">
        <f>AJ92/AVERAGE(AJ91,AE91)</f>
        <v>0.23778483414215246</v>
      </c>
      <c r="AK93" s="231">
        <f>AK92/AI91*4</f>
        <v>0.16050082301195392</v>
      </c>
      <c r="AL93" s="231">
        <f>AL92/AK91*4</f>
        <v>9.9658083257329513E-2</v>
      </c>
      <c r="AM93" s="231">
        <f>AM92/AL91*4</f>
        <v>0.14552510308028135</v>
      </c>
      <c r="AN93" s="231">
        <f>AN92/AM91*4</f>
        <v>0.11085351447135262</v>
      </c>
      <c r="AO93" s="232">
        <f>AO92/AVERAGE(AO91,AJ91)</f>
        <v>0.12149549853619881</v>
      </c>
      <c r="AP93" s="231">
        <f>AP92/AN91*4</f>
        <v>0.3170821332456088</v>
      </c>
      <c r="AQ93" s="231">
        <f>AQ92/AP91*4</f>
        <v>0.4675776629745072</v>
      </c>
      <c r="AR93" s="231">
        <f>AR92/AQ91*4</f>
        <v>0.43985802069739471</v>
      </c>
      <c r="AS93" s="231">
        <f>AS92/AR91*4</f>
        <v>-1.0042775409899014</v>
      </c>
      <c r="AT93" s="232">
        <f>AT92/AVERAGE(AT91,AO91)</f>
        <v>7.3830804715625767E-2</v>
      </c>
      <c r="AU93" s="231">
        <f>AU92/AS91*4</f>
        <v>0.41636477498830748</v>
      </c>
      <c r="AV93" s="231">
        <f>AV92/AU91*4</f>
        <v>0.39089908029219722</v>
      </c>
      <c r="AW93" s="231">
        <f>AW92/AV91*4</f>
        <v>0.4367381593374946</v>
      </c>
      <c r="AX93" s="231">
        <f>AX92/AW91*4</f>
        <v>0.30929391080162683</v>
      </c>
      <c r="AY93" s="232">
        <f>AY92/AVERAGE(AY91,AT91)</f>
        <v>0.3844447469788822</v>
      </c>
      <c r="AZ93" s="231">
        <f>AZ92/AX91*4</f>
        <v>0.39871190115945077</v>
      </c>
      <c r="BA93" s="231">
        <f>BA92/AZ91*4</f>
        <v>0.36572873853936139</v>
      </c>
      <c r="BB93" s="231">
        <f>BB92/BA91*4</f>
        <v>0.31413340062773054</v>
      </c>
      <c r="BC93" s="231">
        <f>BC92/BB91*4</f>
        <v>0.19702743902439024</v>
      </c>
      <c r="BD93" s="232">
        <f>BD92/AVERAGE(BD91,AY91)</f>
        <v>0.30843518240417717</v>
      </c>
      <c r="BE93" s="231">
        <f>BE92/BC91*4</f>
        <v>0.27696263913890012</v>
      </c>
      <c r="BF93" s="231">
        <f>BF92/BE91*4</f>
        <v>0.25729559327578644</v>
      </c>
      <c r="BG93" s="231">
        <f>BG92/BF91*4</f>
        <v>0.31728207151849974</v>
      </c>
      <c r="BH93" s="231">
        <f>BH92/BG91*4</f>
        <v>0.16315266404382717</v>
      </c>
      <c r="BI93" s="232">
        <f>BI92/AVERAGE(BI91,BD91)</f>
        <v>0.27039404713755932</v>
      </c>
      <c r="BJ93" s="231">
        <f>BJ92/BH91*4</f>
        <v>0.53117756194357557</v>
      </c>
      <c r="BK93" s="231">
        <f>BK92/BJ91*4</f>
        <v>0.36398061115220864</v>
      </c>
      <c r="BL93" s="231">
        <f>BL92/BK91*4</f>
        <v>0.55121271317328857</v>
      </c>
      <c r="BM93" s="231">
        <f>BM92/BL91*4</f>
        <v>0.37253097852713085</v>
      </c>
      <c r="BN93" s="232">
        <f>BN92/AVERAGE(BN91,BI91)</f>
        <v>0.47080321050478868</v>
      </c>
      <c r="BO93" s="231">
        <f>BO92/BM91*4</f>
        <v>0.56254571573543855</v>
      </c>
      <c r="BP93" s="231">
        <f>BP92/BO91*4</f>
        <v>0.84827856661906487</v>
      </c>
      <c r="BQ93" s="231">
        <f>BQ92/BP91*4</f>
        <v>2.7572713520955805E-2</v>
      </c>
      <c r="BR93" s="231">
        <f>BR92/BQ91*4</f>
        <v>-0.23861626774349129</v>
      </c>
      <c r="BS93" s="232">
        <f>BS92/AVERAGE(BS91,BN91)</f>
        <v>0.35181880413578609</v>
      </c>
      <c r="BT93" s="231">
        <f>BT92/BR91*4</f>
        <v>0.62859519847872591</v>
      </c>
      <c r="BU93" s="231">
        <f>BU92/BT91*4</f>
        <v>0.39827127659574468</v>
      </c>
      <c r="BV93" s="231">
        <f>BV92/BU91*4</f>
        <v>1.0239735217819126</v>
      </c>
      <c r="BW93" s="231">
        <f>BW92/BV91*4</f>
        <v>0.54553641551913712</v>
      </c>
      <c r="BX93" s="232">
        <f>BX92/AVERAGE(BX91,BS91)</f>
        <v>0.62321268990169798</v>
      </c>
      <c r="BY93" s="231">
        <f>BY92/BW91*4</f>
        <v>1.0152121363674251</v>
      </c>
      <c r="BZ93" s="231">
        <f>BZ92/BY91*4</f>
        <v>-0.32140781598882556</v>
      </c>
      <c r="CA93" s="231">
        <f>CA92/BZ91*4</f>
        <v>1.2862022206135746</v>
      </c>
      <c r="CB93" s="231">
        <f>CB92/CA91*4</f>
        <v>0.92808409913673073</v>
      </c>
      <c r="CC93" s="232">
        <f>CC92/AVERAGE(CC91,BX91)</f>
        <v>0.69150458129424452</v>
      </c>
      <c r="CD93" s="231">
        <f>CD92/CB91*4</f>
        <v>0.57324745231687091</v>
      </c>
      <c r="CE93" s="231">
        <f>CE92/CD91*4</f>
        <v>0.4711354450041621</v>
      </c>
      <c r="CF93" s="231">
        <f>CF92/CE91*4</f>
        <v>0.33153013195735198</v>
      </c>
      <c r="CG93" s="231">
        <f>CG92/CF91*4</f>
        <v>0.48570474785436613</v>
      </c>
      <c r="CH93" s="232">
        <f>CH92/AVERAGE(CH91,CC91)</f>
        <v>0.47724675736559569</v>
      </c>
      <c r="CI93" s="231">
        <f>CI92/CG91*4</f>
        <v>0.46323015318121147</v>
      </c>
      <c r="CJ93" s="231">
        <f>CJ92/CI91*4</f>
        <v>0.46384907835378358</v>
      </c>
      <c r="CK93" s="231">
        <f>CK92/CJ91*4</f>
        <v>0.43787499503317839</v>
      </c>
      <c r="CL93" s="231">
        <f>CL92/CK91*4</f>
        <v>0.20533043961570019</v>
      </c>
      <c r="CM93" s="232">
        <f>CM92/AVERAGE(CM91,CH91)</f>
        <v>0.31594304342525925</v>
      </c>
      <c r="CN93" s="231">
        <f>CN92/CL91*4</f>
        <v>0.21343206108779808</v>
      </c>
      <c r="CO93" s="231">
        <f>CO92/CN91*4</f>
        <v>0.21994246451582225</v>
      </c>
      <c r="CP93" s="231">
        <f>CP92/CO91*4</f>
        <v>0.40415805567971114</v>
      </c>
      <c r="CQ93" s="231">
        <f>CQ92/CP91*4</f>
        <v>0.24284971677536563</v>
      </c>
      <c r="CR93" s="232">
        <f>CR92/AVERAGE(CR91,CM91)</f>
        <v>0.2509593474652404</v>
      </c>
      <c r="CS93" s="231">
        <f>CS92/CQ91*4</f>
        <v>0.34016750496590659</v>
      </c>
      <c r="CT93" s="231">
        <f>CT92/CS91*4</f>
        <v>0.18815471747815779</v>
      </c>
      <c r="CU93" s="231">
        <f>CU92/CT91*4</f>
        <v>0.49820542641364995</v>
      </c>
      <c r="CV93" s="231">
        <f>CV92/CU91*4</f>
        <v>3.8900344454751171E-2</v>
      </c>
      <c r="CW93" s="232">
        <f>CW92/AVERAGE(CW91,CR91)</f>
        <v>0.26808210860171316</v>
      </c>
      <c r="CX93" s="231">
        <f>CX92/CV91*4</f>
        <v>0.28294749946134878</v>
      </c>
      <c r="CY93" s="231">
        <f>CY92/CX91*4</f>
        <v>0.20954844327210567</v>
      </c>
      <c r="CZ93" s="231">
        <f>CZ92/CY91*4</f>
        <v>0.51664777626008695</v>
      </c>
      <c r="DA93" s="231">
        <f>DA92/CZ91*4</f>
        <v>0.26687246152157351</v>
      </c>
      <c r="DB93" s="232">
        <f>DB92/AVERAGE(DB91,CW91)</f>
        <v>0.31169377322696307</v>
      </c>
      <c r="DC93" s="231">
        <f>DC92/DA91*4</f>
        <v>0.39331397426152936</v>
      </c>
      <c r="DD93" s="231">
        <f>DD92/DC91*4</f>
        <v>0.31285694569496381</v>
      </c>
      <c r="DE93" s="231">
        <f>DE92/DD91*4</f>
        <v>0.37152534454566688</v>
      </c>
      <c r="DF93" s="231">
        <f>DF92/DE91*4</f>
        <v>0.64993353663304398</v>
      </c>
      <c r="DG93" s="232">
        <f>DG92/AVERAGE(DG91,DB91)</f>
        <v>0.25104146941867073</v>
      </c>
      <c r="DH93" s="231">
        <f>DH92/DF91*4</f>
        <v>0.29175742382412134</v>
      </c>
      <c r="DI93" s="231">
        <f>DI92/DH91*4</f>
        <v>0.24976375707401571</v>
      </c>
      <c r="DJ93" s="233">
        <f>DI93</f>
        <v>0.24976375707401571</v>
      </c>
      <c r="DK93" s="233">
        <f>DJ93</f>
        <v>0.24976375707401571</v>
      </c>
      <c r="DL93" s="232">
        <f>DL92/AVERAGE(DL91,DG91)</f>
        <v>0.25183687128557763</v>
      </c>
      <c r="DM93" s="233">
        <f>DK93</f>
        <v>0.24976375707401571</v>
      </c>
      <c r="DN93" s="233">
        <f>DM93</f>
        <v>0.24976375707401571</v>
      </c>
      <c r="DO93" s="233">
        <f>DN93</f>
        <v>0.24976375707401571</v>
      </c>
      <c r="DP93" s="233">
        <f>DO93</f>
        <v>0.24976375707401571</v>
      </c>
      <c r="DQ93" s="232">
        <f>DQ92/AVERAGE(DQ91,DL91)</f>
        <v>0.24897435132952639</v>
      </c>
      <c r="DR93" s="233">
        <f>DP93</f>
        <v>0.24976375707401571</v>
      </c>
      <c r="DS93" s="233">
        <f>DR93</f>
        <v>0.24976375707401571</v>
      </c>
      <c r="DT93" s="233">
        <f>DS93</f>
        <v>0.24976375707401571</v>
      </c>
      <c r="DU93" s="233">
        <f>DT93</f>
        <v>0.24976375707401571</v>
      </c>
      <c r="DV93" s="232">
        <f>DV92/AVERAGE(DV91,DQ91)</f>
        <v>0.24897435132952639</v>
      </c>
      <c r="DW93" s="233">
        <f>DU93</f>
        <v>0.24976375707401571</v>
      </c>
      <c r="DX93" s="233">
        <f>DW93</f>
        <v>0.24976375707401571</v>
      </c>
      <c r="DY93" s="233">
        <f>DX93</f>
        <v>0.24976375707401571</v>
      </c>
      <c r="DZ93" s="233">
        <f>DY93</f>
        <v>0.24976375707401571</v>
      </c>
      <c r="EA93" s="232">
        <f>EA92/AVERAGE(EA91,DV91)</f>
        <v>0.24897435132952631</v>
      </c>
      <c r="EB93" s="233">
        <f>DZ93</f>
        <v>0.24976375707401571</v>
      </c>
      <c r="EC93" s="233">
        <f>EB93</f>
        <v>0.24976375707401571</v>
      </c>
      <c r="ED93" s="233">
        <f>EC93</f>
        <v>0.24976375707401571</v>
      </c>
      <c r="EE93" s="233">
        <f>ED93</f>
        <v>0.24976375707401571</v>
      </c>
      <c r="EF93" s="232">
        <f>EF92/AVERAGE(EF91,EA91)</f>
        <v>0.24897435132952633</v>
      </c>
    </row>
    <row r="94" spans="1:136" outlineLevel="1">
      <c r="CH94" s="67"/>
      <c r="CM94" s="67"/>
      <c r="CR94" s="67"/>
      <c r="CW94" s="67"/>
      <c r="DB94" s="67"/>
      <c r="DG94" s="67"/>
      <c r="DL94" s="67"/>
      <c r="DQ94" s="67"/>
      <c r="DV94" s="67"/>
      <c r="EA94" s="67"/>
      <c r="EF94" s="67"/>
    </row>
    <row r="95" spans="1:136" s="68" customFormat="1" outlineLevel="1">
      <c r="A95" s="68" t="s">
        <v>10</v>
      </c>
      <c r="B95" s="236" t="e">
        <f>B22-#REF!+B92</f>
        <v>#REF!</v>
      </c>
      <c r="C95" s="236">
        <f>C22-B22+C92</f>
        <v>875</v>
      </c>
      <c r="D95" s="236">
        <f>D22-C22+D92</f>
        <v>-1192</v>
      </c>
      <c r="E95" s="236">
        <f>E22-D22+E92</f>
        <v>13879</v>
      </c>
      <c r="F95" s="237" t="e">
        <f>SUM(B95:E95)</f>
        <v>#REF!</v>
      </c>
      <c r="G95" s="236">
        <f>G22-E22+G92</f>
        <v>12469.5</v>
      </c>
      <c r="H95" s="236">
        <f>H22-G22+H92</f>
        <v>12014.5</v>
      </c>
      <c r="I95" s="236">
        <f>I22-H22+I92</f>
        <v>219</v>
      </c>
      <c r="J95" s="236">
        <f>J22-I22+J92</f>
        <v>447</v>
      </c>
      <c r="K95" s="237">
        <f>SUM(G95:J95)</f>
        <v>25150</v>
      </c>
      <c r="L95" s="236">
        <f>L22-J22+L92</f>
        <v>3733</v>
      </c>
      <c r="M95" s="236">
        <f>M22-L22+M92</f>
        <v>32706</v>
      </c>
      <c r="N95" s="236">
        <f>N22-M22+N92</f>
        <v>1343</v>
      </c>
      <c r="O95" s="236">
        <f>O22-N22+O92</f>
        <v>1011</v>
      </c>
      <c r="P95" s="237">
        <f>SUM(L95:O95)</f>
        <v>38793</v>
      </c>
      <c r="Q95" s="236">
        <f>Q22-O22+Q92</f>
        <v>307255</v>
      </c>
      <c r="R95" s="236">
        <f>R22-Q22+R92</f>
        <v>-429238</v>
      </c>
      <c r="S95" s="236">
        <f>S22-R22+S92</f>
        <v>4478</v>
      </c>
      <c r="T95" s="236">
        <f>T22-S22+T92</f>
        <v>269</v>
      </c>
      <c r="U95" s="237">
        <f>SUM(Q95:T95)</f>
        <v>-117236</v>
      </c>
      <c r="V95" s="236">
        <f>V22-T22+V92</f>
        <v>1249</v>
      </c>
      <c r="W95" s="236">
        <f>W22-V22+W92</f>
        <v>20782</v>
      </c>
      <c r="X95" s="236">
        <f>X22-W22+X92</f>
        <v>7485</v>
      </c>
      <c r="Y95" s="236">
        <f>Y22-X22+Y92</f>
        <v>80848</v>
      </c>
      <c r="Z95" s="237">
        <f>SUM(V95:Y95)</f>
        <v>110364</v>
      </c>
      <c r="AA95" s="236">
        <f>AA22-Y22+AA92</f>
        <v>5145</v>
      </c>
      <c r="AB95" s="236">
        <f>AB22-AA22+AB92</f>
        <v>7810</v>
      </c>
      <c r="AC95" s="236">
        <f>AC22-AB22+AC92</f>
        <v>21904</v>
      </c>
      <c r="AD95" s="236">
        <f>AD22-AC22+AD92</f>
        <v>35556</v>
      </c>
      <c r="AE95" s="237">
        <f>SUM(AA95:AD95)</f>
        <v>70415</v>
      </c>
      <c r="AF95" s="236">
        <f>AF22-AD22+AF92</f>
        <v>29071</v>
      </c>
      <c r="AG95" s="236">
        <f>AG22-AF22+AG92</f>
        <v>21261</v>
      </c>
      <c r="AH95" s="236">
        <f>AH22-AG22+AH92</f>
        <v>16823</v>
      </c>
      <c r="AI95" s="236">
        <f>AI22-AH22+AI92</f>
        <v>27962</v>
      </c>
      <c r="AJ95" s="237">
        <f>SUM(AF95:AI95)</f>
        <v>95117</v>
      </c>
      <c r="AK95" s="236">
        <f>AK22-AI22+AK92</f>
        <v>6101</v>
      </c>
      <c r="AL95" s="236">
        <f>AL22-AK22+AL92</f>
        <v>5321</v>
      </c>
      <c r="AM95" s="236">
        <f>AM22-AL22+AM92</f>
        <v>27070</v>
      </c>
      <c r="AN95" s="236">
        <f>AN22-AM22+AN92</f>
        <v>23220</v>
      </c>
      <c r="AO95" s="237">
        <f>SUM(AK95:AN95)</f>
        <v>61712</v>
      </c>
      <c r="AP95" s="236">
        <f>AP22-AN22+AP92</f>
        <v>17204</v>
      </c>
      <c r="AQ95" s="236">
        <f>AQ22-AP22+AQ92</f>
        <v>29987</v>
      </c>
      <c r="AR95" s="236">
        <f>AR22-AQ22+AR92</f>
        <v>16691</v>
      </c>
      <c r="AS95" s="236">
        <f>AS22-AR22+AS92</f>
        <v>-74924</v>
      </c>
      <c r="AT95" s="237">
        <f>SUM(AP95:AS95)</f>
        <v>-11042</v>
      </c>
      <c r="AU95" s="236">
        <f>AU22-AS22+AU92</f>
        <v>27203</v>
      </c>
      <c r="AV95" s="236">
        <f>AV22-AU22+AV92</f>
        <v>10921</v>
      </c>
      <c r="AW95" s="236">
        <f>AW22-AV22+AW92</f>
        <v>27557</v>
      </c>
      <c r="AX95" s="236">
        <f>AX22-AW22+AX92</f>
        <v>20480</v>
      </c>
      <c r="AY95" s="237">
        <f>SUM(AU95:AX95)</f>
        <v>86161</v>
      </c>
      <c r="AZ95" s="236">
        <f>AZ22-AX22+AZ92</f>
        <v>32385</v>
      </c>
      <c r="BA95" s="236">
        <f>BA22-AZ22+BA92</f>
        <v>26103</v>
      </c>
      <c r="BB95" s="236">
        <f>BB22-BA22+BB92</f>
        <v>17404</v>
      </c>
      <c r="BC95" s="236">
        <f>BC22-BB22+BC92</f>
        <v>19087</v>
      </c>
      <c r="BD95" s="237">
        <f>SUM(AZ95:BC95)</f>
        <v>94979</v>
      </c>
      <c r="BE95" s="236">
        <f>BE22-BC22+BE92</f>
        <v>14713</v>
      </c>
      <c r="BF95" s="236">
        <f>BF22-BE22+BF92</f>
        <v>13099</v>
      </c>
      <c r="BG95" s="236">
        <f>BG22-BF22+BG92</f>
        <v>9387</v>
      </c>
      <c r="BH95" s="236">
        <f>BH22-BG22+BH92</f>
        <v>-1781</v>
      </c>
      <c r="BI95" s="237">
        <f>SUM(BE95:BH95)</f>
        <v>35418</v>
      </c>
      <c r="BJ95" s="236">
        <f>BJ22-BH22+BJ92</f>
        <v>4839</v>
      </c>
      <c r="BK95" s="236">
        <f>BK22-BJ22+BK92</f>
        <v>13969</v>
      </c>
      <c r="BL95" s="236">
        <f>BL22-BK22+BL92</f>
        <v>11096</v>
      </c>
      <c r="BM95" s="236">
        <f>BM22-BL22+BM92</f>
        <v>4747</v>
      </c>
      <c r="BN95" s="237">
        <f>SUM(BJ95:BM95)</f>
        <v>34651</v>
      </c>
      <c r="BO95" s="236">
        <f>BO22-BM22+BO92</f>
        <v>7948</v>
      </c>
      <c r="BP95" s="236">
        <f>BP22-BO22+BP92</f>
        <v>20452</v>
      </c>
      <c r="BQ95" s="236">
        <f>BQ22-BP22+BQ92</f>
        <v>-1436</v>
      </c>
      <c r="BR95" s="236">
        <f>BR22-BQ22+BR92</f>
        <v>-7039</v>
      </c>
      <c r="BS95" s="237">
        <f>SUM(BO95:BR95)</f>
        <v>19925</v>
      </c>
      <c r="BT95" s="236">
        <f>BT22-BR22+BT92</f>
        <v>15153</v>
      </c>
      <c r="BU95" s="236">
        <f>BU22-BT22+BU92</f>
        <v>5255</v>
      </c>
      <c r="BV95" s="236">
        <f>BV22-BU22+BV92</f>
        <v>31750</v>
      </c>
      <c r="BW95" s="236">
        <f>BW22-BV22+BW92</f>
        <v>16951</v>
      </c>
      <c r="BX95" s="237">
        <f>SUM(BT95:BW95)</f>
        <v>69109</v>
      </c>
      <c r="BY95" s="236">
        <f>BY22-BW22+BY92</f>
        <v>32341</v>
      </c>
      <c r="BZ95" s="236">
        <f>BZ22-BY22+BZ92</f>
        <v>-7881</v>
      </c>
      <c r="CA95" s="236">
        <f>CA22-BZ22+CA92</f>
        <v>39215</v>
      </c>
      <c r="CB95" s="236">
        <f>CB22-CA22+CB92</f>
        <v>34493</v>
      </c>
      <c r="CC95" s="237">
        <f>SUM(BY95:CB95)</f>
        <v>98168</v>
      </c>
      <c r="CD95" s="236">
        <f>CD22-CB22+CD92</f>
        <v>15655</v>
      </c>
      <c r="CE95" s="236">
        <f>CE22-CD22+CE92</f>
        <v>6753</v>
      </c>
      <c r="CF95" s="236">
        <f>CF22-CE22+CF92</f>
        <v>-3972</v>
      </c>
      <c r="CG95" s="236">
        <f>CG22-CF22+CG92</f>
        <v>13774</v>
      </c>
      <c r="CH95" s="237">
        <f>SUM(CD95:CG95)</f>
        <v>32210</v>
      </c>
      <c r="CI95" s="236">
        <f>CI22-CG22+CI92</f>
        <v>7623</v>
      </c>
      <c r="CJ95" s="236">
        <f>CJ22-CI22+CJ92</f>
        <v>21831</v>
      </c>
      <c r="CK95" s="236">
        <f>CK22-CJ22+CK92</f>
        <v>47447</v>
      </c>
      <c r="CL95" s="236">
        <f>CL22-CK22+CL92</f>
        <v>14023</v>
      </c>
      <c r="CM95" s="237">
        <f>SUM(CI95:CL95)</f>
        <v>90924</v>
      </c>
      <c r="CN95" s="236">
        <f>CN22-CL22+CN92</f>
        <v>10885</v>
      </c>
      <c r="CO95" s="236">
        <f>CO22-CN22+CO92</f>
        <v>17922</v>
      </c>
      <c r="CP95" s="236">
        <f>CP22-CO22+CP92</f>
        <v>34478</v>
      </c>
      <c r="CQ95" s="236">
        <f>CQ22-CP22+CQ92</f>
        <v>5157</v>
      </c>
      <c r="CR95" s="237">
        <f>SUM(CN95:CQ95)</f>
        <v>68442</v>
      </c>
      <c r="CS95" s="236">
        <f>CS22-CQ22+CS92</f>
        <v>37205</v>
      </c>
      <c r="CT95" s="236">
        <f>CT22-CS22+CT92</f>
        <v>15565</v>
      </c>
      <c r="CU95" s="236">
        <f>CU22-CT22+CU92</f>
        <v>54434</v>
      </c>
      <c r="CV95" s="236">
        <f>CV22-CU22+CV92</f>
        <v>826</v>
      </c>
      <c r="CW95" s="237">
        <f>SUM(CS95:CV95)</f>
        <v>108030</v>
      </c>
      <c r="CX95" s="236">
        <f>CX22-CV22+CX92</f>
        <v>-9571</v>
      </c>
      <c r="CY95" s="236">
        <f>CY22-CX22+CY92</f>
        <v>19163</v>
      </c>
      <c r="CZ95" s="236">
        <f>CZ22-CY22+CZ92</f>
        <v>52860</v>
      </c>
      <c r="DA95" s="236">
        <f>DA22-CZ22+DA92</f>
        <v>51471</v>
      </c>
      <c r="DB95" s="237">
        <f>SUM(CX95:DA95)</f>
        <v>113923</v>
      </c>
      <c r="DC95" s="236">
        <f>DC22-DA22+DC92</f>
        <v>34899</v>
      </c>
      <c r="DD95" s="236">
        <f>DD22-DC22+DD92</f>
        <v>38192</v>
      </c>
      <c r="DE95" s="236">
        <f>DE22-DD22+DE92</f>
        <v>44089</v>
      </c>
      <c r="DF95" s="236">
        <f>DF22-DE22+DF92</f>
        <v>494849</v>
      </c>
      <c r="DG95" s="237">
        <f>SUM(DC95:DF95)</f>
        <v>612029</v>
      </c>
      <c r="DH95" s="236">
        <f>DH22-DF22+DH92</f>
        <v>47497</v>
      </c>
      <c r="DI95" s="236">
        <f>DI22-DH22+DI92</f>
        <v>66212</v>
      </c>
      <c r="DJ95" s="238">
        <f>DJ92*1.1</f>
        <v>46940.0385360371</v>
      </c>
      <c r="DK95" s="238">
        <f>DK92*1.1</f>
        <v>47233.136545586094</v>
      </c>
      <c r="DL95" s="237">
        <f>SUM(DH95:DK95)</f>
        <v>207882.17508162319</v>
      </c>
      <c r="DM95" s="238">
        <f>DM92*1.1</f>
        <v>47528.064686636477</v>
      </c>
      <c r="DN95" s="238">
        <f>DN92*1.1</f>
        <v>47824.834386701252</v>
      </c>
      <c r="DO95" s="238">
        <f>DO92*1.1</f>
        <v>48123.45714464788</v>
      </c>
      <c r="DP95" s="238">
        <f>DP92*1.1</f>
        <v>48423.944531143818</v>
      </c>
      <c r="DQ95" s="237">
        <f>SUM(DM95:DP95)</f>
        <v>191900.30074912944</v>
      </c>
      <c r="DR95" s="238">
        <f>DR92*1.1</f>
        <v>48726.308189104871</v>
      </c>
      <c r="DS95" s="238">
        <f>DS92*1.1</f>
        <v>49030.559834146305</v>
      </c>
      <c r="DT95" s="238">
        <f>DT92*1.1</f>
        <v>49336.711255036767</v>
      </c>
      <c r="DU95" s="238">
        <f>DU92*1.1</f>
        <v>49644.774314155118</v>
      </c>
      <c r="DV95" s="237">
        <f>SUM(DR95:DU95)</f>
        <v>196738.35359244305</v>
      </c>
      <c r="DW95" s="238">
        <f>DW92*1.1</f>
        <v>49954.760947949988</v>
      </c>
      <c r="DX95" s="238">
        <f>DX92*1.1</f>
        <v>50266.683167402341</v>
      </c>
      <c r="DY95" s="238">
        <f>DY92*1.1</f>
        <v>50580.553058490834</v>
      </c>
      <c r="DZ95" s="238">
        <f>DZ92*1.1</f>
        <v>50896.38278266009</v>
      </c>
      <c r="EA95" s="237">
        <f>SUM(DW95:DZ95)</f>
        <v>201698.37995650322</v>
      </c>
      <c r="EB95" s="238">
        <f>EB92*1.1</f>
        <v>51214.184577291948</v>
      </c>
      <c r="EC95" s="238">
        <f>EC92*1.1</f>
        <v>51533.970756179609</v>
      </c>
      <c r="ED95" s="238">
        <f>ED92*1.1</f>
        <v>51855.753710004756</v>
      </c>
      <c r="EE95" s="238">
        <f>EE92*1.1</f>
        <v>52179.54590681765</v>
      </c>
      <c r="EF95" s="237">
        <f>SUM(EB95:EE95)</f>
        <v>206783.45495029396</v>
      </c>
    </row>
    <row r="96" spans="1:136" outlineLevel="1">
      <c r="CH96" s="67"/>
      <c r="CM96" s="67"/>
      <c r="CR96" s="67"/>
      <c r="CW96" s="67"/>
      <c r="DB96" s="67"/>
      <c r="DG96" s="67"/>
      <c r="DL96" s="67"/>
      <c r="DQ96" s="67"/>
      <c r="DV96" s="67"/>
      <c r="EA96" s="67"/>
      <c r="EF96" s="67"/>
    </row>
    <row r="97" spans="1:136" outlineLevel="1">
      <c r="A97" s="68" t="s">
        <v>108</v>
      </c>
      <c r="B97" s="236">
        <f t="shared" ref="B97:AF97" si="301">B17</f>
        <v>11550</v>
      </c>
      <c r="C97" s="236">
        <f t="shared" si="301"/>
        <v>11498</v>
      </c>
      <c r="D97" s="236">
        <f t="shared" si="301"/>
        <v>10061</v>
      </c>
      <c r="E97" s="236">
        <f t="shared" si="301"/>
        <v>0</v>
      </c>
      <c r="F97" s="237">
        <f t="shared" si="301"/>
        <v>0</v>
      </c>
      <c r="G97" s="236">
        <f t="shared" si="301"/>
        <v>21840</v>
      </c>
      <c r="H97" s="236">
        <f t="shared" si="301"/>
        <v>16100</v>
      </c>
      <c r="I97" s="236">
        <f t="shared" si="301"/>
        <v>17999</v>
      </c>
      <c r="J97" s="236">
        <f t="shared" si="301"/>
        <v>21058</v>
      </c>
      <c r="K97" s="237">
        <f t="shared" si="301"/>
        <v>21058</v>
      </c>
      <c r="L97" s="236">
        <f t="shared" si="301"/>
        <v>23896</v>
      </c>
      <c r="M97" s="236">
        <f t="shared" si="301"/>
        <v>29683</v>
      </c>
      <c r="N97" s="236">
        <f t="shared" si="301"/>
        <v>34694</v>
      </c>
      <c r="O97" s="236">
        <f t="shared" si="301"/>
        <v>32450</v>
      </c>
      <c r="P97" s="237">
        <f t="shared" si="301"/>
        <v>32450</v>
      </c>
      <c r="Q97" s="236">
        <f t="shared" si="301"/>
        <v>37953</v>
      </c>
      <c r="R97" s="236">
        <f t="shared" si="301"/>
        <v>39953</v>
      </c>
      <c r="S97" s="236">
        <f t="shared" si="301"/>
        <v>47685</v>
      </c>
      <c r="T97" s="236">
        <f t="shared" si="301"/>
        <v>51102</v>
      </c>
      <c r="U97" s="237">
        <f t="shared" si="301"/>
        <v>51102</v>
      </c>
      <c r="V97" s="236">
        <f t="shared" si="301"/>
        <v>52226</v>
      </c>
      <c r="W97" s="236">
        <f t="shared" si="301"/>
        <v>55382</v>
      </c>
      <c r="X97" s="236">
        <f t="shared" si="301"/>
        <v>63683</v>
      </c>
      <c r="Y97" s="236">
        <f t="shared" si="301"/>
        <v>68114</v>
      </c>
      <c r="Z97" s="237">
        <f t="shared" si="301"/>
        <v>68114</v>
      </c>
      <c r="AA97" s="236">
        <f t="shared" si="301"/>
        <v>69744</v>
      </c>
      <c r="AB97" s="236">
        <f t="shared" si="301"/>
        <v>79929</v>
      </c>
      <c r="AC97" s="236">
        <f t="shared" si="301"/>
        <v>84415</v>
      </c>
      <c r="AD97" s="236">
        <f t="shared" si="301"/>
        <v>86729</v>
      </c>
      <c r="AE97" s="237">
        <f t="shared" si="301"/>
        <v>86729</v>
      </c>
      <c r="AF97" s="236">
        <f t="shared" si="301"/>
        <v>100103</v>
      </c>
      <c r="AG97" s="236">
        <f t="shared" ref="AG97:BL97" si="302">AG17</f>
        <v>109860</v>
      </c>
      <c r="AH97" s="236">
        <f t="shared" si="302"/>
        <v>113805</v>
      </c>
      <c r="AI97" s="236">
        <f t="shared" si="302"/>
        <v>109608</v>
      </c>
      <c r="AJ97" s="237">
        <f t="shared" si="302"/>
        <v>109608</v>
      </c>
      <c r="AK97" s="236">
        <f t="shared" si="302"/>
        <v>102659</v>
      </c>
      <c r="AL97" s="236">
        <f t="shared" si="302"/>
        <v>94569</v>
      </c>
      <c r="AM97" s="236">
        <f t="shared" si="302"/>
        <v>93951</v>
      </c>
      <c r="AN97" s="236">
        <f t="shared" si="302"/>
        <v>116452</v>
      </c>
      <c r="AO97" s="237">
        <f t="shared" si="302"/>
        <v>116452</v>
      </c>
      <c r="AP97" s="236">
        <f t="shared" si="302"/>
        <v>106390</v>
      </c>
      <c r="AQ97" s="236">
        <f t="shared" si="302"/>
        <v>110060</v>
      </c>
      <c r="AR97" s="236">
        <f t="shared" si="302"/>
        <v>108865</v>
      </c>
      <c r="AS97" s="236">
        <f t="shared" si="302"/>
        <v>108401</v>
      </c>
      <c r="AT97" s="237">
        <f t="shared" si="302"/>
        <v>108401</v>
      </c>
      <c r="AU97" s="236">
        <f t="shared" si="302"/>
        <v>107330</v>
      </c>
      <c r="AV97" s="236">
        <f t="shared" si="302"/>
        <v>109310</v>
      </c>
      <c r="AW97" s="236">
        <f t="shared" si="302"/>
        <v>111070</v>
      </c>
      <c r="AX97" s="236">
        <f t="shared" si="302"/>
        <v>118173</v>
      </c>
      <c r="AY97" s="237">
        <f t="shared" si="302"/>
        <v>118173</v>
      </c>
      <c r="AZ97" s="236">
        <f t="shared" si="302"/>
        <v>98515</v>
      </c>
      <c r="BA97" s="236">
        <f t="shared" si="302"/>
        <v>98454</v>
      </c>
      <c r="BB97" s="236">
        <f t="shared" si="302"/>
        <v>105200</v>
      </c>
      <c r="BC97" s="236">
        <f t="shared" si="302"/>
        <v>112404</v>
      </c>
      <c r="BD97" s="237">
        <f t="shared" si="302"/>
        <v>112404</v>
      </c>
      <c r="BE97" s="236">
        <f t="shared" si="302"/>
        <v>118710</v>
      </c>
      <c r="BF97" s="236">
        <f t="shared" si="302"/>
        <v>129487</v>
      </c>
      <c r="BG97" s="236">
        <f t="shared" si="302"/>
        <v>127829</v>
      </c>
      <c r="BH97" s="236">
        <f t="shared" si="302"/>
        <v>118924</v>
      </c>
      <c r="BI97" s="237">
        <f t="shared" si="302"/>
        <v>118924</v>
      </c>
      <c r="BJ97" s="236">
        <f t="shared" si="302"/>
        <v>107310</v>
      </c>
      <c r="BK97" s="236">
        <f t="shared" si="302"/>
        <v>113193</v>
      </c>
      <c r="BL97" s="236">
        <f t="shared" si="302"/>
        <v>117713</v>
      </c>
      <c r="BM97" s="236">
        <f t="shared" ref="BM97:CR97" si="303">BM17</f>
        <v>129970</v>
      </c>
      <c r="BN97" s="237">
        <f t="shared" si="303"/>
        <v>129970</v>
      </c>
      <c r="BO97" s="236">
        <f t="shared" si="303"/>
        <v>129534</v>
      </c>
      <c r="BP97" s="236">
        <f t="shared" si="303"/>
        <v>130052</v>
      </c>
      <c r="BQ97" s="236">
        <f t="shared" si="303"/>
        <v>135298</v>
      </c>
      <c r="BR97" s="236">
        <f t="shared" si="303"/>
        <v>142711</v>
      </c>
      <c r="BS97" s="237">
        <f t="shared" si="303"/>
        <v>142711</v>
      </c>
      <c r="BT97" s="236">
        <f t="shared" si="303"/>
        <v>135147</v>
      </c>
      <c r="BU97" s="236">
        <f t="shared" si="303"/>
        <v>138354</v>
      </c>
      <c r="BV97" s="236">
        <f t="shared" si="303"/>
        <v>139775</v>
      </c>
      <c r="BW97" s="236">
        <f t="shared" si="303"/>
        <v>153177</v>
      </c>
      <c r="BX97" s="237">
        <f t="shared" si="303"/>
        <v>153177</v>
      </c>
      <c r="BY97" s="236">
        <f t="shared" si="303"/>
        <v>157048</v>
      </c>
      <c r="BZ97" s="236">
        <f t="shared" si="303"/>
        <v>156781</v>
      </c>
      <c r="CA97" s="236">
        <f t="shared" si="303"/>
        <v>155498</v>
      </c>
      <c r="CB97" s="236">
        <f t="shared" si="303"/>
        <v>157051</v>
      </c>
      <c r="CC97" s="237">
        <f t="shared" si="303"/>
        <v>157051</v>
      </c>
      <c r="CD97" s="236">
        <f t="shared" si="303"/>
        <v>155940</v>
      </c>
      <c r="CE97" s="236">
        <f t="shared" si="303"/>
        <v>157051</v>
      </c>
      <c r="CF97" s="236">
        <f t="shared" si="303"/>
        <v>151199</v>
      </c>
      <c r="CG97" s="236">
        <f t="shared" si="303"/>
        <v>140041</v>
      </c>
      <c r="CH97" s="237">
        <f t="shared" si="303"/>
        <v>140041</v>
      </c>
      <c r="CI97" s="236">
        <f t="shared" si="303"/>
        <v>135483</v>
      </c>
      <c r="CJ97" s="236">
        <f t="shared" si="303"/>
        <v>139495</v>
      </c>
      <c r="CK97" s="236">
        <f t="shared" si="303"/>
        <v>139011</v>
      </c>
      <c r="CL97" s="236">
        <f t="shared" si="303"/>
        <v>143745</v>
      </c>
      <c r="CM97" s="237">
        <f t="shared" si="303"/>
        <v>143745</v>
      </c>
      <c r="CN97" s="236">
        <f t="shared" si="303"/>
        <v>147491</v>
      </c>
      <c r="CO97" s="236">
        <f t="shared" si="303"/>
        <v>158897</v>
      </c>
      <c r="CP97" s="236">
        <f t="shared" si="303"/>
        <v>161891</v>
      </c>
      <c r="CQ97" s="236">
        <f t="shared" si="303"/>
        <v>168224</v>
      </c>
      <c r="CR97" s="237">
        <f t="shared" si="303"/>
        <v>168224</v>
      </c>
      <c r="CS97" s="236">
        <f t="shared" ref="CS97:CX97" si="304">CS17</f>
        <v>167485</v>
      </c>
      <c r="CT97" s="236">
        <f t="shared" si="304"/>
        <v>172061</v>
      </c>
      <c r="CU97" s="236">
        <f t="shared" si="304"/>
        <v>174844</v>
      </c>
      <c r="CV97" s="236">
        <f t="shared" si="304"/>
        <v>187860</v>
      </c>
      <c r="CW97" s="237">
        <f t="shared" si="304"/>
        <v>187860</v>
      </c>
      <c r="CX97" s="236">
        <f t="shared" si="304"/>
        <v>192892</v>
      </c>
      <c r="CY97" s="236">
        <f t="shared" ref="CY97:DA97" si="305">CY17</f>
        <v>193091</v>
      </c>
      <c r="CZ97" s="236">
        <f t="shared" si="305"/>
        <v>202104</v>
      </c>
      <c r="DA97" s="236">
        <f t="shared" si="305"/>
        <v>204919</v>
      </c>
      <c r="DB97" s="237">
        <f>DB17</f>
        <v>204919</v>
      </c>
      <c r="DC97" s="236">
        <f t="shared" ref="DC97:DF97" si="306">DC17</f>
        <v>210989</v>
      </c>
      <c r="DD97" s="236">
        <f t="shared" si="306"/>
        <v>222831</v>
      </c>
      <c r="DE97" s="236">
        <f t="shared" si="306"/>
        <v>231242</v>
      </c>
      <c r="DF97" s="236">
        <f t="shared" si="306"/>
        <v>241931</v>
      </c>
      <c r="DG97" s="237">
        <f>DG17</f>
        <v>241931</v>
      </c>
      <c r="DH97" s="236">
        <f t="shared" ref="DH97:DI97" si="307">DH17</f>
        <v>252470</v>
      </c>
      <c r="DI97" s="236">
        <f t="shared" si="307"/>
        <v>276923</v>
      </c>
      <c r="DJ97" s="236">
        <f>DJ98*DJ84</f>
        <v>282316.78976071667</v>
      </c>
      <c r="DK97" s="236">
        <f>DK98*DK84</f>
        <v>304578.11938491411</v>
      </c>
      <c r="DL97" s="237">
        <f>DL17</f>
        <v>304578.11938491411</v>
      </c>
      <c r="DM97" s="236">
        <f>DM98*DM84</f>
        <v>289358.832688911</v>
      </c>
      <c r="DN97" s="236">
        <f>DN98*DN84</f>
        <v>294188.05443755002</v>
      </c>
      <c r="DO97" s="236">
        <f>DO98*DO84</f>
        <v>297605.33866023819</v>
      </c>
      <c r="DP97" s="236">
        <f>DP98*DP84</f>
        <v>301516.51242727024</v>
      </c>
      <c r="DQ97" s="237">
        <f>DQ17</f>
        <v>301516.51242727024</v>
      </c>
      <c r="DR97" s="236">
        <f>DR98*DR84</f>
        <v>301637.47086287691</v>
      </c>
      <c r="DS97" s="236">
        <f>DS98*DS84</f>
        <v>302457.69289948273</v>
      </c>
      <c r="DT97" s="236">
        <f>DT98*DT84</f>
        <v>304121.90507686313</v>
      </c>
      <c r="DU97" s="236">
        <f>DU98*DU84</f>
        <v>306867.14306702063</v>
      </c>
      <c r="DV97" s="237">
        <f>DV17</f>
        <v>306867.14306702063</v>
      </c>
      <c r="DW97" s="236">
        <f>DW98*DW84</f>
        <v>308774.33302680129</v>
      </c>
      <c r="DX97" s="236">
        <f>DX98*DX84</f>
        <v>311478.90593445441</v>
      </c>
      <c r="DY97" s="236">
        <f>DY98*DY84</f>
        <v>314701.91027186706</v>
      </c>
      <c r="DZ97" s="236">
        <f>DZ98*DZ84</f>
        <v>318806.91565525311</v>
      </c>
      <c r="EA97" s="237">
        <f>EA17</f>
        <v>318806.91565525311</v>
      </c>
      <c r="EB97" s="236">
        <f>EB98*EB84</f>
        <v>321941.67199116945</v>
      </c>
      <c r="EC97" s="236">
        <f>EC98*EC84</f>
        <v>325679.09984999313</v>
      </c>
      <c r="ED97" s="236">
        <f>ED98*ED84</f>
        <v>329756.33009494055</v>
      </c>
      <c r="EE97" s="236">
        <f>EE98*EE84</f>
        <v>334430.65535404539</v>
      </c>
      <c r="EF97" s="237">
        <f>EF17</f>
        <v>334430.65535404539</v>
      </c>
    </row>
    <row r="98" spans="1:136" outlineLevel="1">
      <c r="A98" s="216" t="s">
        <v>101</v>
      </c>
      <c r="B98" s="231" t="e">
        <f t="shared" ref="B98:AK98" si="308">B97/B84</f>
        <v>#REF!</v>
      </c>
      <c r="C98" s="231" t="e">
        <f t="shared" si="308"/>
        <v>#REF!</v>
      </c>
      <c r="D98" s="231" t="e">
        <f t="shared" si="308"/>
        <v>#REF!</v>
      </c>
      <c r="E98" s="231">
        <f t="shared" si="308"/>
        <v>0</v>
      </c>
      <c r="F98" s="232">
        <f t="shared" si="308"/>
        <v>0</v>
      </c>
      <c r="G98" s="231">
        <f t="shared" si="308"/>
        <v>2.7866087966162606E-2</v>
      </c>
      <c r="H98" s="231">
        <f t="shared" si="308"/>
        <v>1.9449972496208664E-2</v>
      </c>
      <c r="I98" s="231">
        <f t="shared" si="308"/>
        <v>1.9788471475532393E-2</v>
      </c>
      <c r="J98" s="231">
        <f t="shared" si="308"/>
        <v>2.141453051860424E-2</v>
      </c>
      <c r="K98" s="232">
        <f t="shared" si="308"/>
        <v>2.141453051860424E-2</v>
      </c>
      <c r="L98" s="231">
        <f t="shared" si="308"/>
        <v>2.3675721090969618E-2</v>
      </c>
      <c r="M98" s="231">
        <f t="shared" si="308"/>
        <v>2.1601099739983393E-2</v>
      </c>
      <c r="N98" s="231">
        <f t="shared" si="308"/>
        <v>2.277301161164972E-2</v>
      </c>
      <c r="O98" s="231">
        <f t="shared" si="308"/>
        <v>1.694431143696638E-2</v>
      </c>
      <c r="P98" s="232">
        <f t="shared" si="308"/>
        <v>1.694431143696638E-2</v>
      </c>
      <c r="Q98" s="231">
        <f t="shared" si="308"/>
        <v>1.8001741690920059E-2</v>
      </c>
      <c r="R98" s="231">
        <f t="shared" si="308"/>
        <v>1.8121172784994709E-2</v>
      </c>
      <c r="S98" s="231">
        <f t="shared" si="308"/>
        <v>1.6795425135409481E-2</v>
      </c>
      <c r="T98" s="231">
        <f t="shared" si="308"/>
        <v>1.1634689598174951E-2</v>
      </c>
      <c r="U98" s="232">
        <f t="shared" si="308"/>
        <v>1.1634689598174951E-2</v>
      </c>
      <c r="V98" s="231">
        <f t="shared" si="308"/>
        <v>1.0330663929018966E-2</v>
      </c>
      <c r="W98" s="231">
        <f t="shared" si="308"/>
        <v>8.7935559440020915E-3</v>
      </c>
      <c r="X98" s="231">
        <f t="shared" si="308"/>
        <v>1.0121191103815834E-2</v>
      </c>
      <c r="Y98" s="231">
        <f t="shared" si="308"/>
        <v>1.4770385067846319E-2</v>
      </c>
      <c r="Z98" s="232">
        <f t="shared" si="308"/>
        <v>1.4770385067846319E-2</v>
      </c>
      <c r="AA98" s="231">
        <f t="shared" si="308"/>
        <v>1.7172805292879997E-2</v>
      </c>
      <c r="AB98" s="231">
        <f t="shared" si="308"/>
        <v>2.7000924251882961E-2</v>
      </c>
      <c r="AC98" s="231">
        <f t="shared" si="308"/>
        <v>2.3855439119246393E-2</v>
      </c>
      <c r="AD98" s="231">
        <f t="shared" si="308"/>
        <v>1.654789997801983E-2</v>
      </c>
      <c r="AE98" s="232">
        <f t="shared" si="308"/>
        <v>1.654789997801983E-2</v>
      </c>
      <c r="AF98" s="231">
        <f t="shared" si="308"/>
        <v>1.7244129592037825E-2</v>
      </c>
      <c r="AG98" s="231">
        <f t="shared" si="308"/>
        <v>1.6888235728164891E-2</v>
      </c>
      <c r="AH98" s="231">
        <f t="shared" si="308"/>
        <v>1.9290382420962062E-2</v>
      </c>
      <c r="AI98" s="231">
        <f t="shared" si="308"/>
        <v>1.7757737336870798E-2</v>
      </c>
      <c r="AJ98" s="232">
        <f t="shared" si="308"/>
        <v>1.7757737336870798E-2</v>
      </c>
      <c r="AK98" s="231">
        <f t="shared" si="308"/>
        <v>1.6813754328773189E-2</v>
      </c>
      <c r="AL98" s="231">
        <f t="shared" ref="AL98:BQ98" si="309">AL97/AL84</f>
        <v>1.5170473522054287E-2</v>
      </c>
      <c r="AM98" s="231">
        <f t="shared" si="309"/>
        <v>1.4112297846677037E-2</v>
      </c>
      <c r="AN98" s="231">
        <f t="shared" si="309"/>
        <v>1.7921206525084641E-2</v>
      </c>
      <c r="AO98" s="232">
        <f t="shared" si="309"/>
        <v>1.7921206525084641E-2</v>
      </c>
      <c r="AP98" s="231">
        <f t="shared" si="309"/>
        <v>1.5834201518083048E-2</v>
      </c>
      <c r="AQ98" s="231">
        <f t="shared" si="309"/>
        <v>1.7291165888988391E-2</v>
      </c>
      <c r="AR98" s="231">
        <f t="shared" si="309"/>
        <v>1.6317674920558786E-2</v>
      </c>
      <c r="AS98" s="231">
        <f t="shared" si="309"/>
        <v>1.9915671504684915E-2</v>
      </c>
      <c r="AT98" s="232">
        <f t="shared" si="309"/>
        <v>1.9915671504684915E-2</v>
      </c>
      <c r="AU98" s="231">
        <f t="shared" si="309"/>
        <v>1.9955006879113522E-2</v>
      </c>
      <c r="AV98" s="231">
        <f t="shared" si="309"/>
        <v>1.899721932568648E-2</v>
      </c>
      <c r="AW98" s="231">
        <f t="shared" si="309"/>
        <v>2.0725494952510682E-2</v>
      </c>
      <c r="AX98" s="231">
        <f t="shared" si="309"/>
        <v>1.9658149515919751E-2</v>
      </c>
      <c r="AY98" s="232">
        <f t="shared" si="309"/>
        <v>1.9658149515919751E-2</v>
      </c>
      <c r="AZ98" s="231">
        <f t="shared" si="309"/>
        <v>1.538455532130866E-2</v>
      </c>
      <c r="BA98" s="231">
        <f t="shared" si="309"/>
        <v>1.6487038649608144E-2</v>
      </c>
      <c r="BB98" s="231">
        <f t="shared" si="309"/>
        <v>1.8775655898625735E-2</v>
      </c>
      <c r="BC98" s="231">
        <f t="shared" si="309"/>
        <v>2.0150224978936235E-2</v>
      </c>
      <c r="BD98" s="232">
        <f t="shared" si="309"/>
        <v>2.0150224978936235E-2</v>
      </c>
      <c r="BE98" s="231">
        <f t="shared" si="309"/>
        <v>2.4974611984658002E-2</v>
      </c>
      <c r="BF98" s="231">
        <f t="shared" si="309"/>
        <v>3.0048379266718092E-2</v>
      </c>
      <c r="BG98" s="231">
        <f t="shared" si="309"/>
        <v>2.9545188220015027E-2</v>
      </c>
      <c r="BH98" s="231">
        <f t="shared" si="309"/>
        <v>3.5085110689033999E-2</v>
      </c>
      <c r="BI98" s="232">
        <f t="shared" si="309"/>
        <v>3.5085110689033999E-2</v>
      </c>
      <c r="BJ98" s="231">
        <f t="shared" si="309"/>
        <v>3.3424450338947788E-2</v>
      </c>
      <c r="BK98" s="231">
        <f t="shared" si="309"/>
        <v>3.8302395130557658E-2</v>
      </c>
      <c r="BL98" s="231">
        <f t="shared" si="309"/>
        <v>4.6724097484996951E-2</v>
      </c>
      <c r="BM98" s="231">
        <f t="shared" si="309"/>
        <v>4.6995872809938811E-2</v>
      </c>
      <c r="BN98" s="232">
        <f t="shared" si="309"/>
        <v>4.6995872809938811E-2</v>
      </c>
      <c r="BO98" s="231">
        <f t="shared" si="309"/>
        <v>4.7240751904542563E-2</v>
      </c>
      <c r="BP98" s="231">
        <f t="shared" si="309"/>
        <v>4.4241122485982873E-2</v>
      </c>
      <c r="BQ98" s="231">
        <f t="shared" si="309"/>
        <v>4.3702344198678383E-2</v>
      </c>
      <c r="BR98" s="231">
        <f t="shared" ref="BR98:CW98" si="310">BR97/BR84</f>
        <v>4.3790874341538194E-2</v>
      </c>
      <c r="BS98" s="232">
        <f t="shared" si="310"/>
        <v>4.3790874341538194E-2</v>
      </c>
      <c r="BT98" s="231">
        <f t="shared" si="310"/>
        <v>4.0318161057251271E-2</v>
      </c>
      <c r="BU98" s="231">
        <f t="shared" si="310"/>
        <v>3.7833187674530783E-2</v>
      </c>
      <c r="BV98" s="231">
        <f t="shared" si="310"/>
        <v>3.611460350286462E-2</v>
      </c>
      <c r="BW98" s="231">
        <f t="shared" si="310"/>
        <v>3.0294845190714702E-2</v>
      </c>
      <c r="BX98" s="232">
        <f t="shared" si="310"/>
        <v>3.0294845190714702E-2</v>
      </c>
      <c r="BY98" s="231">
        <f t="shared" si="310"/>
        <v>3.0108054157549968E-2</v>
      </c>
      <c r="BZ98" s="231">
        <f t="shared" si="310"/>
        <v>2.8710884058841184E-2</v>
      </c>
      <c r="CA98" s="231">
        <f t="shared" si="310"/>
        <v>2.7565444996730862E-2</v>
      </c>
      <c r="CB98" s="231">
        <f t="shared" si="310"/>
        <v>3.4221022804117908E-2</v>
      </c>
      <c r="CC98" s="232">
        <f t="shared" si="310"/>
        <v>3.4221022804117908E-2</v>
      </c>
      <c r="CD98" s="231">
        <f t="shared" si="310"/>
        <v>3.3445781850873872E-2</v>
      </c>
      <c r="CE98" s="231">
        <f t="shared" si="310"/>
        <v>4.0588171847137096E-2</v>
      </c>
      <c r="CF98" s="231">
        <f t="shared" si="310"/>
        <v>3.3919074727297535E-2</v>
      </c>
      <c r="CG98" s="231">
        <f t="shared" si="310"/>
        <v>2.8403641509259021E-2</v>
      </c>
      <c r="CH98" s="232">
        <f t="shared" si="310"/>
        <v>2.8403641509259021E-2</v>
      </c>
      <c r="CI98" s="231">
        <f t="shared" si="310"/>
        <v>2.6486810826740408E-2</v>
      </c>
      <c r="CJ98" s="231">
        <f t="shared" si="310"/>
        <v>2.263541279389357E-2</v>
      </c>
      <c r="CK98" s="231">
        <f t="shared" si="310"/>
        <v>1.5642309026059203E-2</v>
      </c>
      <c r="CL98" s="231">
        <f t="shared" si="310"/>
        <v>2.5989039420588955E-2</v>
      </c>
      <c r="CM98" s="232">
        <f t="shared" si="310"/>
        <v>2.5989039420588955E-2</v>
      </c>
      <c r="CN98" s="231">
        <f t="shared" si="310"/>
        <v>2.5374529670747808E-2</v>
      </c>
      <c r="CO98" s="231">
        <f t="shared" si="310"/>
        <v>2.7047923095908755E-2</v>
      </c>
      <c r="CP98" s="231">
        <f t="shared" si="310"/>
        <v>1.5057903265524543E-2</v>
      </c>
      <c r="CQ98" s="231">
        <f t="shared" si="310"/>
        <v>2.1264078888342582E-2</v>
      </c>
      <c r="CR98" s="232">
        <f t="shared" si="310"/>
        <v>2.1264078888342582E-2</v>
      </c>
      <c r="CS98" s="231">
        <f t="shared" si="310"/>
        <v>2.0567350632687768E-2</v>
      </c>
      <c r="CT98" s="231">
        <f t="shared" si="310"/>
        <v>1.9091502747354334E-2</v>
      </c>
      <c r="CU98" s="231">
        <f t="shared" si="310"/>
        <v>1.2304157688900913E-2</v>
      </c>
      <c r="CV98" s="231">
        <f t="shared" si="310"/>
        <v>2.1127070403169614E-2</v>
      </c>
      <c r="CW98" s="232">
        <f t="shared" si="310"/>
        <v>2.1127070403169614E-2</v>
      </c>
      <c r="CX98" s="231">
        <f t="shared" ref="CX98:DA98" si="311">CX97/CX84</f>
        <v>2.0316209850544505E-2</v>
      </c>
      <c r="CY98" s="231">
        <f t="shared" si="311"/>
        <v>2.0596903390740624E-2</v>
      </c>
      <c r="CZ98" s="231">
        <f t="shared" si="311"/>
        <v>1.2166789074369532E-2</v>
      </c>
      <c r="DA98" s="231">
        <f t="shared" si="311"/>
        <v>1.623228076619802E-2</v>
      </c>
      <c r="DB98" s="232">
        <f>DB97/DB84</f>
        <v>1.623228076619802E-2</v>
      </c>
      <c r="DC98" s="231">
        <f t="shared" ref="DC98:DF98" si="312">DC97/DC84</f>
        <v>1.56220015203976E-2</v>
      </c>
      <c r="DD98" s="231">
        <f t="shared" si="312"/>
        <v>1.5482691212602241E-2</v>
      </c>
      <c r="DE98" s="231">
        <f t="shared" si="312"/>
        <v>1.0296762316196187E-2</v>
      </c>
      <c r="DF98" s="231">
        <f t="shared" si="312"/>
        <v>1.8379395829380859E-2</v>
      </c>
      <c r="DG98" s="232">
        <f>DG97/DG84</f>
        <v>1.8379395829380859E-2</v>
      </c>
      <c r="DH98" s="231">
        <f t="shared" ref="DH98:DI98" si="313">DH97/DH84</f>
        <v>1.9308053369946565E-2</v>
      </c>
      <c r="DI98" s="231">
        <f t="shared" si="313"/>
        <v>2.0845155825747717E-2</v>
      </c>
      <c r="DJ98" s="233">
        <f>DI98</f>
        <v>2.0845155825747717E-2</v>
      </c>
      <c r="DK98" s="233">
        <f>DJ98</f>
        <v>2.0845155825747717E-2</v>
      </c>
      <c r="DL98" s="232">
        <f>DL97/DL84</f>
        <v>2.0845155825747717E-2</v>
      </c>
      <c r="DM98" s="233">
        <f>DH98</f>
        <v>1.9308053369946565E-2</v>
      </c>
      <c r="DN98" s="233">
        <f>DM98</f>
        <v>1.9308053369946565E-2</v>
      </c>
      <c r="DO98" s="233">
        <f>DN98</f>
        <v>1.9308053369946565E-2</v>
      </c>
      <c r="DP98" s="233">
        <f>DO98</f>
        <v>1.9308053369946565E-2</v>
      </c>
      <c r="DQ98" s="232">
        <f>DQ97/DQ84</f>
        <v>1.9308053369946565E-2</v>
      </c>
      <c r="DR98" s="233">
        <f>DM98</f>
        <v>1.9308053369946565E-2</v>
      </c>
      <c r="DS98" s="233">
        <f>DR98</f>
        <v>1.9308053369946565E-2</v>
      </c>
      <c r="DT98" s="233">
        <f>DS98</f>
        <v>1.9308053369946565E-2</v>
      </c>
      <c r="DU98" s="233">
        <f>DT98</f>
        <v>1.9308053369946565E-2</v>
      </c>
      <c r="DV98" s="232">
        <f>DV97/DV84</f>
        <v>1.9308053369946565E-2</v>
      </c>
      <c r="DW98" s="233">
        <f>DR98</f>
        <v>1.9308053369946565E-2</v>
      </c>
      <c r="DX98" s="233">
        <f>DW98</f>
        <v>1.9308053369946565E-2</v>
      </c>
      <c r="DY98" s="233">
        <f>DX98</f>
        <v>1.9308053369946565E-2</v>
      </c>
      <c r="DZ98" s="233">
        <f>DY98</f>
        <v>1.9308053369946565E-2</v>
      </c>
      <c r="EA98" s="232">
        <f>EA97/EA84</f>
        <v>1.9308053369946569E-2</v>
      </c>
      <c r="EB98" s="233">
        <f>DW98</f>
        <v>1.9308053369946565E-2</v>
      </c>
      <c r="EC98" s="233">
        <f>EB98</f>
        <v>1.9308053369946565E-2</v>
      </c>
      <c r="ED98" s="233">
        <f>EC98</f>
        <v>1.9308053369946565E-2</v>
      </c>
      <c r="EE98" s="233">
        <f>ED98</f>
        <v>1.9308053369946565E-2</v>
      </c>
      <c r="EF98" s="232">
        <f>EF97/EF84</f>
        <v>1.9308053369946565E-2</v>
      </c>
    </row>
    <row r="99" spans="1:136" outlineLevel="1">
      <c r="CH99" s="67"/>
      <c r="CM99" s="67"/>
      <c r="CR99" s="67"/>
      <c r="CW99" s="67"/>
      <c r="DB99" s="67"/>
      <c r="DG99" s="67"/>
      <c r="DL99" s="67"/>
      <c r="DQ99" s="67"/>
      <c r="DV99" s="67"/>
      <c r="EA99" s="67"/>
      <c r="EF99" s="67"/>
    </row>
    <row r="100" spans="1:136" s="68" customFormat="1" outlineLevel="1">
      <c r="A100" s="78" t="s">
        <v>85</v>
      </c>
      <c r="B100" s="236">
        <f t="shared" ref="B100:AC100" si="314">B15</f>
        <v>8893</v>
      </c>
      <c r="C100" s="236">
        <f t="shared" si="314"/>
        <v>13578</v>
      </c>
      <c r="D100" s="236">
        <f t="shared" si="314"/>
        <v>15782</v>
      </c>
      <c r="E100" s="236">
        <f t="shared" si="314"/>
        <v>16340</v>
      </c>
      <c r="F100" s="237">
        <f t="shared" si="314"/>
        <v>16340</v>
      </c>
      <c r="G100" s="236">
        <f t="shared" si="314"/>
        <v>29075</v>
      </c>
      <c r="H100" s="236">
        <f t="shared" si="314"/>
        <v>41810</v>
      </c>
      <c r="I100" s="236">
        <f t="shared" si="314"/>
        <v>47707</v>
      </c>
      <c r="J100" s="236">
        <f t="shared" si="314"/>
        <v>88849</v>
      </c>
      <c r="K100" s="237">
        <f t="shared" si="314"/>
        <v>88849</v>
      </c>
      <c r="L100" s="236">
        <f t="shared" si="314"/>
        <v>93435</v>
      </c>
      <c r="M100" s="236">
        <f t="shared" si="314"/>
        <v>97710</v>
      </c>
      <c r="N100" s="236">
        <f t="shared" si="314"/>
        <v>118978</v>
      </c>
      <c r="O100" s="236">
        <f t="shared" si="314"/>
        <v>142184</v>
      </c>
      <c r="P100" s="237">
        <f t="shared" si="314"/>
        <v>142184</v>
      </c>
      <c r="Q100" s="236">
        <f t="shared" si="314"/>
        <v>153888</v>
      </c>
      <c r="R100" s="236">
        <f t="shared" si="314"/>
        <v>157270</v>
      </c>
      <c r="S100" s="236">
        <f t="shared" si="314"/>
        <v>183345</v>
      </c>
      <c r="T100" s="236">
        <f t="shared" si="314"/>
        <v>225114</v>
      </c>
      <c r="U100" s="237">
        <f t="shared" si="314"/>
        <v>225114</v>
      </c>
      <c r="V100" s="236">
        <f t="shared" si="314"/>
        <v>263637</v>
      </c>
      <c r="W100" s="236">
        <f t="shared" si="314"/>
        <v>259394</v>
      </c>
      <c r="X100" s="236">
        <f t="shared" si="314"/>
        <v>291522</v>
      </c>
      <c r="Y100" s="236">
        <f t="shared" si="314"/>
        <v>86189</v>
      </c>
      <c r="Z100" s="237">
        <f t="shared" si="314"/>
        <v>86189</v>
      </c>
      <c r="AA100" s="236">
        <f t="shared" si="314"/>
        <v>65262</v>
      </c>
      <c r="AB100" s="236">
        <f t="shared" si="314"/>
        <v>67885</v>
      </c>
      <c r="AC100" s="236">
        <f t="shared" si="314"/>
        <v>30689</v>
      </c>
      <c r="AD100" s="236">
        <f t="shared" ref="AD100:AJ100" si="315">AD15</f>
        <v>26491</v>
      </c>
      <c r="AE100" s="237">
        <f t="shared" si="315"/>
        <v>26491</v>
      </c>
      <c r="AF100" s="236">
        <f t="shared" si="315"/>
        <v>28940</v>
      </c>
      <c r="AG100" s="236">
        <f t="shared" si="315"/>
        <v>32017</v>
      </c>
      <c r="AH100" s="236">
        <f t="shared" si="315"/>
        <v>32057</v>
      </c>
      <c r="AI100" s="236">
        <f t="shared" si="315"/>
        <v>30650</v>
      </c>
      <c r="AJ100" s="237">
        <f t="shared" si="315"/>
        <v>30650</v>
      </c>
      <c r="AK100" s="236">
        <f t="shared" ref="AK100:BP100" si="316">AK15</f>
        <v>31783</v>
      </c>
      <c r="AL100" s="236">
        <f t="shared" si="316"/>
        <v>34622</v>
      </c>
      <c r="AM100" s="236">
        <f t="shared" si="316"/>
        <v>38584</v>
      </c>
      <c r="AN100" s="236">
        <f t="shared" si="316"/>
        <v>39787</v>
      </c>
      <c r="AO100" s="237">
        <f t="shared" si="316"/>
        <v>39787</v>
      </c>
      <c r="AP100" s="236">
        <f t="shared" si="316"/>
        <v>46615</v>
      </c>
      <c r="AQ100" s="236">
        <f t="shared" si="316"/>
        <v>46485</v>
      </c>
      <c r="AR100" s="236">
        <f t="shared" si="316"/>
        <v>47026</v>
      </c>
      <c r="AS100" s="236">
        <f t="shared" si="316"/>
        <v>36618</v>
      </c>
      <c r="AT100" s="237">
        <f t="shared" si="316"/>
        <v>36618</v>
      </c>
      <c r="AU100" s="236">
        <f t="shared" si="316"/>
        <v>41558</v>
      </c>
      <c r="AV100" s="236">
        <f t="shared" si="316"/>
        <v>40636</v>
      </c>
      <c r="AW100" s="236">
        <f t="shared" si="316"/>
        <v>39909</v>
      </c>
      <c r="AX100" s="236">
        <f t="shared" si="316"/>
        <v>37008</v>
      </c>
      <c r="AY100" s="237">
        <f t="shared" si="316"/>
        <v>37008</v>
      </c>
      <c r="AZ100" s="236">
        <f t="shared" si="316"/>
        <v>34310</v>
      </c>
      <c r="BA100" s="236">
        <f t="shared" si="316"/>
        <v>32815</v>
      </c>
      <c r="BB100" s="236">
        <f t="shared" si="316"/>
        <v>30870</v>
      </c>
      <c r="BC100" s="236">
        <f t="shared" si="316"/>
        <v>31502</v>
      </c>
      <c r="BD100" s="237">
        <f t="shared" si="316"/>
        <v>31502</v>
      </c>
      <c r="BE100" s="236">
        <f t="shared" si="316"/>
        <v>31766</v>
      </c>
      <c r="BF100" s="236">
        <f t="shared" si="316"/>
        <v>31036</v>
      </c>
      <c r="BG100" s="236">
        <f t="shared" si="316"/>
        <v>30199</v>
      </c>
      <c r="BH100" s="236">
        <f t="shared" si="316"/>
        <v>26660</v>
      </c>
      <c r="BI100" s="237">
        <f t="shared" si="316"/>
        <v>26660</v>
      </c>
      <c r="BJ100" s="236">
        <f t="shared" si="316"/>
        <v>26960</v>
      </c>
      <c r="BK100" s="236">
        <f t="shared" si="316"/>
        <v>25958</v>
      </c>
      <c r="BL100" s="236">
        <f t="shared" si="316"/>
        <v>24472</v>
      </c>
      <c r="BM100" s="236">
        <f t="shared" si="316"/>
        <v>25968</v>
      </c>
      <c r="BN100" s="237">
        <f t="shared" si="316"/>
        <v>25968</v>
      </c>
      <c r="BO100" s="236">
        <f t="shared" si="316"/>
        <v>24173</v>
      </c>
      <c r="BP100" s="236">
        <f t="shared" si="316"/>
        <v>25239</v>
      </c>
      <c r="BQ100" s="236">
        <f t="shared" ref="BQ100:CX100" si="317">BQ15</f>
        <v>25762</v>
      </c>
      <c r="BR100" s="236">
        <f t="shared" si="317"/>
        <v>23482</v>
      </c>
      <c r="BS100" s="237">
        <f t="shared" si="317"/>
        <v>23482</v>
      </c>
      <c r="BT100" s="236">
        <f t="shared" si="317"/>
        <v>21169</v>
      </c>
      <c r="BU100" s="236">
        <f t="shared" si="317"/>
        <v>17508</v>
      </c>
      <c r="BV100" s="236">
        <f t="shared" si="317"/>
        <v>15193</v>
      </c>
      <c r="BW100" s="236">
        <f t="shared" si="317"/>
        <v>16206</v>
      </c>
      <c r="BX100" s="237">
        <f t="shared" si="317"/>
        <v>16206</v>
      </c>
      <c r="BY100" s="236">
        <f t="shared" si="317"/>
        <v>17802</v>
      </c>
      <c r="BZ100" s="236">
        <f t="shared" si="317"/>
        <v>11081</v>
      </c>
      <c r="CA100" s="236">
        <f t="shared" si="317"/>
        <v>16734</v>
      </c>
      <c r="CB100" s="236">
        <f t="shared" si="317"/>
        <v>25502</v>
      </c>
      <c r="CC100" s="237">
        <f t="shared" si="317"/>
        <v>25502</v>
      </c>
      <c r="CD100" s="236">
        <f t="shared" si="317"/>
        <v>23672</v>
      </c>
      <c r="CE100" s="236">
        <f t="shared" si="317"/>
        <v>28665</v>
      </c>
      <c r="CF100" s="236">
        <f t="shared" si="317"/>
        <v>33243</v>
      </c>
      <c r="CG100" s="236">
        <f t="shared" si="317"/>
        <v>46984</v>
      </c>
      <c r="CH100" s="237">
        <f t="shared" si="317"/>
        <v>46984</v>
      </c>
      <c r="CI100" s="236">
        <f t="shared" si="317"/>
        <v>51364</v>
      </c>
      <c r="CJ100" s="236">
        <f t="shared" si="317"/>
        <v>52502</v>
      </c>
      <c r="CK100" s="236">
        <f t="shared" si="317"/>
        <v>68623</v>
      </c>
      <c r="CL100" s="236">
        <f t="shared" si="317"/>
        <v>73916</v>
      </c>
      <c r="CM100" s="237">
        <f t="shared" si="317"/>
        <v>73916</v>
      </c>
      <c r="CN100" s="236">
        <f t="shared" si="317"/>
        <v>80838</v>
      </c>
      <c r="CO100" s="236">
        <f t="shared" si="317"/>
        <v>83693</v>
      </c>
      <c r="CP100" s="236">
        <f t="shared" si="317"/>
        <v>103632</v>
      </c>
      <c r="CQ100" s="236">
        <f t="shared" si="317"/>
        <v>115697</v>
      </c>
      <c r="CR100" s="237">
        <f t="shared" si="317"/>
        <v>115697</v>
      </c>
      <c r="CS100" s="236">
        <f t="shared" si="317"/>
        <v>129158</v>
      </c>
      <c r="CT100" s="236">
        <f t="shared" si="317"/>
        <v>112878</v>
      </c>
      <c r="CU100" s="236">
        <f t="shared" si="317"/>
        <v>125227</v>
      </c>
      <c r="CV100" s="236">
        <f t="shared" si="317"/>
        <v>137588</v>
      </c>
      <c r="CW100" s="237">
        <f t="shared" si="317"/>
        <v>137588</v>
      </c>
      <c r="CX100" s="236">
        <f t="shared" si="317"/>
        <v>150877</v>
      </c>
      <c r="CY100" s="236">
        <f t="shared" ref="CY100:DA100" si="318">CY15</f>
        <v>161730</v>
      </c>
      <c r="CZ100" s="236">
        <f t="shared" si="318"/>
        <v>168589</v>
      </c>
      <c r="DA100" s="236">
        <f t="shared" si="318"/>
        <v>210727</v>
      </c>
      <c r="DB100" s="237">
        <f>DB15</f>
        <v>210727</v>
      </c>
      <c r="DC100" s="236">
        <f t="shared" ref="DC100:DF100" si="319">DC15</f>
        <v>185462</v>
      </c>
      <c r="DD100" s="236">
        <f t="shared" si="319"/>
        <v>186352</v>
      </c>
      <c r="DE100" s="236">
        <f t="shared" si="319"/>
        <v>207576</v>
      </c>
      <c r="DF100" s="236">
        <f t="shared" si="319"/>
        <v>152807</v>
      </c>
      <c r="DG100" s="237">
        <f>DG15</f>
        <v>152807</v>
      </c>
      <c r="DH100" s="236">
        <f t="shared" ref="DH100:DI100" si="320">DH15</f>
        <v>142081</v>
      </c>
      <c r="DI100" s="236">
        <f t="shared" si="320"/>
        <v>148377</v>
      </c>
      <c r="DJ100" s="226">
        <f>DJ101*DJ84</f>
        <v>151267.02482035026</v>
      </c>
      <c r="DK100" s="226">
        <f>DK101*DK84</f>
        <v>163194.77840401625</v>
      </c>
      <c r="DL100" s="237">
        <f>DL15</f>
        <v>163194.77840401625</v>
      </c>
      <c r="DM100" s="226">
        <f>DM101*DM84</f>
        <v>167382.84962438539</v>
      </c>
      <c r="DN100" s="226">
        <f>DN101*DN84</f>
        <v>170176.36689926425</v>
      </c>
      <c r="DO100" s="226">
        <f>DO101*DO84</f>
        <v>172153.13313741449</v>
      </c>
      <c r="DP100" s="226">
        <f>DP101*DP84</f>
        <v>174415.59530046096</v>
      </c>
      <c r="DQ100" s="237">
        <f>DQ15</f>
        <v>174415.59530046096</v>
      </c>
      <c r="DR100" s="226">
        <f>DR101*DR84</f>
        <v>174485.56505894326</v>
      </c>
      <c r="DS100" s="226">
        <f>DS101*DS84</f>
        <v>174960.03165993135</v>
      </c>
      <c r="DT100" s="226">
        <f>DT101*DT84</f>
        <v>175922.71378731271</v>
      </c>
      <c r="DU100" s="226">
        <f>DU101*DU84</f>
        <v>177510.72737383313</v>
      </c>
      <c r="DV100" s="237">
        <f>DV15</f>
        <v>177510.72737383313</v>
      </c>
      <c r="DW100" s="226">
        <f>DW101*DW84</f>
        <v>178613.96271410806</v>
      </c>
      <c r="DX100" s="226">
        <f>DX101*DX84</f>
        <v>180178.45312932401</v>
      </c>
      <c r="DY100" s="226">
        <f>DY101*DY84</f>
        <v>182042.83599724868</v>
      </c>
      <c r="DZ100" s="226">
        <f>DZ101*DZ84</f>
        <v>184417.42222435484</v>
      </c>
      <c r="EA100" s="237">
        <f>EA15</f>
        <v>184417.42222435484</v>
      </c>
      <c r="EB100" s="226">
        <f>EB101*EB84</f>
        <v>186230.75704986503</v>
      </c>
      <c r="EC100" s="226">
        <f>EC101*EC84</f>
        <v>188392.71395113587</v>
      </c>
      <c r="ED100" s="226">
        <f>ED101*ED84</f>
        <v>190751.23333909505</v>
      </c>
      <c r="EE100" s="226">
        <f>EE101*EE84</f>
        <v>193455.14900902507</v>
      </c>
      <c r="EF100" s="237">
        <f>EF15</f>
        <v>193455.14900902507</v>
      </c>
    </row>
    <row r="101" spans="1:136" outlineLevel="1">
      <c r="A101" s="216" t="s">
        <v>86</v>
      </c>
      <c r="B101" s="231" t="e">
        <f t="shared" ref="B101:AK101" si="321">B100/B84</f>
        <v>#REF!</v>
      </c>
      <c r="C101" s="231" t="e">
        <f t="shared" si="321"/>
        <v>#REF!</v>
      </c>
      <c r="D101" s="231" t="e">
        <f t="shared" si="321"/>
        <v>#REF!</v>
      </c>
      <c r="E101" s="231">
        <f t="shared" si="321"/>
        <v>2.0245272592559552E-2</v>
      </c>
      <c r="F101" s="232">
        <f t="shared" si="321"/>
        <v>2.0245272592559548E-2</v>
      </c>
      <c r="G101" s="231">
        <f t="shared" si="321"/>
        <v>3.7097367564843303E-2</v>
      </c>
      <c r="H101" s="231">
        <f t="shared" si="321"/>
        <v>5.0509524848849949E-2</v>
      </c>
      <c r="I101" s="231">
        <f t="shared" si="321"/>
        <v>5.2450058819002381E-2</v>
      </c>
      <c r="J101" s="231">
        <f t="shared" si="321"/>
        <v>9.0353291957805504E-2</v>
      </c>
      <c r="K101" s="232">
        <f t="shared" si="321"/>
        <v>9.0353291957805504E-2</v>
      </c>
      <c r="L101" s="231">
        <f t="shared" si="321"/>
        <v>9.2573694347788185E-2</v>
      </c>
      <c r="M101" s="231">
        <f t="shared" si="321"/>
        <v>7.1106136697563493E-2</v>
      </c>
      <c r="N101" s="231">
        <f t="shared" si="321"/>
        <v>7.8096713423959782E-2</v>
      </c>
      <c r="O101" s="231">
        <f t="shared" si="321"/>
        <v>7.4243758932315176E-2</v>
      </c>
      <c r="P101" s="232">
        <f t="shared" si="321"/>
        <v>7.4243758932315176E-2</v>
      </c>
      <c r="Q101" s="231">
        <f t="shared" si="321"/>
        <v>7.2991648231557613E-2</v>
      </c>
      <c r="R101" s="231">
        <f t="shared" si="321"/>
        <v>7.1331735887070258E-2</v>
      </c>
      <c r="S101" s="231">
        <f t="shared" si="321"/>
        <v>6.4577062419034326E-2</v>
      </c>
      <c r="T101" s="231">
        <f t="shared" si="321"/>
        <v>5.1253013858626975E-2</v>
      </c>
      <c r="U101" s="232">
        <f t="shared" si="321"/>
        <v>5.1253013858626975E-2</v>
      </c>
      <c r="V101" s="231">
        <f t="shared" si="321"/>
        <v>5.2149221580338787E-2</v>
      </c>
      <c r="W101" s="231">
        <f t="shared" si="321"/>
        <v>4.1186588612518123E-2</v>
      </c>
      <c r="X101" s="231">
        <f t="shared" si="321"/>
        <v>4.6331829106144487E-2</v>
      </c>
      <c r="Y101" s="231">
        <f t="shared" si="321"/>
        <v>1.8689912772889661E-2</v>
      </c>
      <c r="Z101" s="232">
        <f t="shared" si="321"/>
        <v>1.8689912772889661E-2</v>
      </c>
      <c r="AA101" s="231">
        <f t="shared" si="321"/>
        <v>1.6069219130304176E-2</v>
      </c>
      <c r="AB101" s="231">
        <f t="shared" si="321"/>
        <v>2.2932324223236558E-2</v>
      </c>
      <c r="AC101" s="231">
        <f t="shared" si="321"/>
        <v>8.6726241915601795E-3</v>
      </c>
      <c r="AD101" s="231">
        <f t="shared" si="321"/>
        <v>5.0544848703170031E-3</v>
      </c>
      <c r="AE101" s="232">
        <f t="shared" si="321"/>
        <v>5.0544848703170031E-3</v>
      </c>
      <c r="AF101" s="231">
        <f t="shared" si="321"/>
        <v>4.9853162282206794E-3</v>
      </c>
      <c r="AG101" s="231">
        <f t="shared" si="321"/>
        <v>4.9218154315370044E-3</v>
      </c>
      <c r="AH101" s="231">
        <f t="shared" si="321"/>
        <v>5.4337840100942914E-3</v>
      </c>
      <c r="AI101" s="231">
        <f t="shared" si="321"/>
        <v>4.9656471185961781E-3</v>
      </c>
      <c r="AJ101" s="232">
        <f t="shared" si="321"/>
        <v>4.9656471185961781E-3</v>
      </c>
      <c r="AK101" s="231">
        <f t="shared" si="321"/>
        <v>5.205501259815489E-3</v>
      </c>
      <c r="AL101" s="231">
        <f t="shared" ref="AL101:BQ101" si="322">AL100/AL84</f>
        <v>5.5539567329734221E-3</v>
      </c>
      <c r="AM101" s="231">
        <f t="shared" si="322"/>
        <v>5.7956690201933642E-3</v>
      </c>
      <c r="AN101" s="231">
        <f t="shared" si="322"/>
        <v>6.1229609110495537E-3</v>
      </c>
      <c r="AO101" s="232">
        <f t="shared" si="322"/>
        <v>6.1229609110495537E-3</v>
      </c>
      <c r="AP101" s="231">
        <f t="shared" si="322"/>
        <v>6.9377883613632981E-3</v>
      </c>
      <c r="AQ101" s="231">
        <f t="shared" si="322"/>
        <v>7.3031059999057362E-3</v>
      </c>
      <c r="AR101" s="231">
        <f t="shared" si="322"/>
        <v>7.0486839738593439E-3</v>
      </c>
      <c r="AS101" s="231">
        <f t="shared" si="322"/>
        <v>6.7275399595811136E-3</v>
      </c>
      <c r="AT101" s="232">
        <f t="shared" si="322"/>
        <v>6.7275399595811136E-3</v>
      </c>
      <c r="AU101" s="231">
        <f t="shared" si="322"/>
        <v>7.7265459413230209E-3</v>
      </c>
      <c r="AV101" s="231">
        <f t="shared" si="322"/>
        <v>7.0622175877650328E-3</v>
      </c>
      <c r="AW101" s="231">
        <f t="shared" si="322"/>
        <v>7.4469593775074172E-3</v>
      </c>
      <c r="AX101" s="231">
        <f t="shared" si="322"/>
        <v>6.1563030242539176E-3</v>
      </c>
      <c r="AY101" s="232">
        <f t="shared" si="322"/>
        <v>6.1563030242539176E-3</v>
      </c>
      <c r="AZ101" s="231">
        <f t="shared" si="322"/>
        <v>5.3580073397360818E-3</v>
      </c>
      <c r="BA101" s="231">
        <f t="shared" si="322"/>
        <v>5.4951771719472164E-3</v>
      </c>
      <c r="BB101" s="231">
        <f t="shared" si="322"/>
        <v>5.5095484561841872E-3</v>
      </c>
      <c r="BC101" s="231">
        <f t="shared" si="322"/>
        <v>5.647240198626822E-3</v>
      </c>
      <c r="BD101" s="232">
        <f t="shared" si="322"/>
        <v>5.647240198626822E-3</v>
      </c>
      <c r="BE101" s="231">
        <f t="shared" si="322"/>
        <v>6.683038701917666E-3</v>
      </c>
      <c r="BF101" s="231">
        <f t="shared" si="322"/>
        <v>7.2021245292721485E-3</v>
      </c>
      <c r="BG101" s="231">
        <f t="shared" si="322"/>
        <v>6.9799117497299813E-3</v>
      </c>
      <c r="BH101" s="231">
        <f t="shared" si="322"/>
        <v>7.8652673217319159E-3</v>
      </c>
      <c r="BI101" s="232">
        <f t="shared" si="322"/>
        <v>7.8652673217319159E-3</v>
      </c>
      <c r="BJ101" s="231">
        <f t="shared" si="322"/>
        <v>8.397383106309126E-3</v>
      </c>
      <c r="BK101" s="231">
        <f t="shared" si="322"/>
        <v>8.7837019320895788E-3</v>
      </c>
      <c r="BL101" s="231">
        <f t="shared" si="322"/>
        <v>9.7137284212690644E-3</v>
      </c>
      <c r="BM101" s="231">
        <f t="shared" si="322"/>
        <v>9.3897732178848271E-3</v>
      </c>
      <c r="BN101" s="232">
        <f t="shared" si="322"/>
        <v>9.3897732178848271E-3</v>
      </c>
      <c r="BO101" s="231">
        <f t="shared" si="322"/>
        <v>8.8158375082102568E-3</v>
      </c>
      <c r="BP101" s="231">
        <f t="shared" si="322"/>
        <v>8.585809448710683E-3</v>
      </c>
      <c r="BQ101" s="231">
        <f t="shared" si="322"/>
        <v>8.3213335839875859E-3</v>
      </c>
      <c r="BR101" s="231">
        <f t="shared" ref="BR101:CW101" si="323">BR100/BR84</f>
        <v>7.2054523567769823E-3</v>
      </c>
      <c r="BS101" s="232">
        <f t="shared" si="323"/>
        <v>7.2054523567769823E-3</v>
      </c>
      <c r="BT101" s="231">
        <f t="shared" si="323"/>
        <v>6.3153096363289763E-3</v>
      </c>
      <c r="BU101" s="231">
        <f t="shared" si="323"/>
        <v>4.7875988392506539E-3</v>
      </c>
      <c r="BV101" s="231">
        <f t="shared" si="323"/>
        <v>3.9255172314006243E-3</v>
      </c>
      <c r="BW101" s="231">
        <f t="shared" si="323"/>
        <v>3.2051695826444079E-3</v>
      </c>
      <c r="BX101" s="232">
        <f t="shared" si="323"/>
        <v>3.2051695826444079E-3</v>
      </c>
      <c r="BY101" s="231">
        <f t="shared" si="323"/>
        <v>3.412864729972394E-3</v>
      </c>
      <c r="BZ101" s="231">
        <f t="shared" si="323"/>
        <v>2.0292338118523237E-3</v>
      </c>
      <c r="CA101" s="231">
        <f t="shared" si="323"/>
        <v>2.9664700290376353E-3</v>
      </c>
      <c r="CB101" s="231">
        <f t="shared" si="323"/>
        <v>5.5568224560850615E-3</v>
      </c>
      <c r="CC101" s="232">
        <f t="shared" si="323"/>
        <v>5.5568224560850615E-3</v>
      </c>
      <c r="CD101" s="231">
        <f t="shared" si="323"/>
        <v>5.0771357443496618E-3</v>
      </c>
      <c r="CE101" s="231">
        <f t="shared" si="323"/>
        <v>7.4081664300016227E-3</v>
      </c>
      <c r="CF101" s="231">
        <f t="shared" si="323"/>
        <v>7.4575347797244153E-3</v>
      </c>
      <c r="CG101" s="231">
        <f t="shared" si="323"/>
        <v>9.5294713167645602E-3</v>
      </c>
      <c r="CH101" s="232">
        <f t="shared" si="323"/>
        <v>9.5294713167645602E-3</v>
      </c>
      <c r="CI101" s="231">
        <f t="shared" si="323"/>
        <v>1.0041618146222731E-2</v>
      </c>
      <c r="CJ101" s="231">
        <f t="shared" si="323"/>
        <v>8.5193336141438768E-3</v>
      </c>
      <c r="CK101" s="231">
        <f t="shared" si="323"/>
        <v>7.7218505894875999E-3</v>
      </c>
      <c r="CL101" s="231">
        <f t="shared" si="323"/>
        <v>1.3363983705953273E-2</v>
      </c>
      <c r="CM101" s="232">
        <f t="shared" si="323"/>
        <v>1.3363983705953273E-2</v>
      </c>
      <c r="CN101" s="231">
        <f t="shared" si="323"/>
        <v>1.3907467096459521E-2</v>
      </c>
      <c r="CO101" s="231">
        <f t="shared" si="323"/>
        <v>1.4246473046475965E-2</v>
      </c>
      <c r="CP101" s="231">
        <f t="shared" si="323"/>
        <v>9.6390820441707038E-3</v>
      </c>
      <c r="CQ101" s="231">
        <f t="shared" si="323"/>
        <v>1.4624489580229763E-2</v>
      </c>
      <c r="CR101" s="232">
        <f t="shared" si="323"/>
        <v>1.4624489580229763E-2</v>
      </c>
      <c r="CS101" s="231">
        <f t="shared" si="323"/>
        <v>1.5860750950931049E-2</v>
      </c>
      <c r="CT101" s="231">
        <f t="shared" si="323"/>
        <v>1.2524689773486511E-2</v>
      </c>
      <c r="CU101" s="231">
        <f t="shared" si="323"/>
        <v>8.8125000280707064E-3</v>
      </c>
      <c r="CV101" s="231">
        <f t="shared" si="323"/>
        <v>1.5473391688658049E-2</v>
      </c>
      <c r="CW101" s="232">
        <f t="shared" si="323"/>
        <v>1.5473391688658049E-2</v>
      </c>
      <c r="CX101" s="231">
        <f t="shared" ref="CX101:DA101" si="324">CX100/CX84</f>
        <v>1.5891010480582932E-2</v>
      </c>
      <c r="CY101" s="231">
        <f t="shared" si="324"/>
        <v>1.7251643967789703E-2</v>
      </c>
      <c r="CZ101" s="231">
        <f t="shared" si="324"/>
        <v>1.0149164802571374E-2</v>
      </c>
      <c r="DA101" s="231">
        <f t="shared" si="324"/>
        <v>1.6692350777715144E-2</v>
      </c>
      <c r="DB101" s="232">
        <f>DB100/DB84</f>
        <v>1.6692350777715144E-2</v>
      </c>
      <c r="DC101" s="231">
        <f t="shared" ref="DC101:DF101" si="325">DC100/DC84</f>
        <v>1.3731936953945371E-2</v>
      </c>
      <c r="DD101" s="231">
        <f t="shared" si="325"/>
        <v>1.2948065901292247E-2</v>
      </c>
      <c r="DE101" s="231">
        <f t="shared" si="325"/>
        <v>9.242960770736889E-3</v>
      </c>
      <c r="DF101" s="231">
        <f t="shared" si="325"/>
        <v>1.1608683213396387E-2</v>
      </c>
      <c r="DG101" s="232">
        <f>DG100/DG84</f>
        <v>1.1608683213396387E-2</v>
      </c>
      <c r="DH101" s="231">
        <f t="shared" ref="DH101:DI101" si="326">DH100/DH84</f>
        <v>1.086587527569762E-2</v>
      </c>
      <c r="DI101" s="231">
        <f t="shared" si="326"/>
        <v>1.1168959190666607E-2</v>
      </c>
      <c r="DJ101" s="233">
        <f>DI101</f>
        <v>1.1168959190666607E-2</v>
      </c>
      <c r="DK101" s="233">
        <f>DJ101</f>
        <v>1.1168959190666607E-2</v>
      </c>
      <c r="DL101" s="232">
        <f>DL100/DL84</f>
        <v>1.1168959190666607E-2</v>
      </c>
      <c r="DM101" s="233">
        <f>DK101</f>
        <v>1.1168959190666607E-2</v>
      </c>
      <c r="DN101" s="233">
        <f>DM101</f>
        <v>1.1168959190666607E-2</v>
      </c>
      <c r="DO101" s="233">
        <f>DN101</f>
        <v>1.1168959190666607E-2</v>
      </c>
      <c r="DP101" s="233">
        <f>DO101</f>
        <v>1.1168959190666607E-2</v>
      </c>
      <c r="DQ101" s="232">
        <f>DQ100/DQ84</f>
        <v>1.1168959190666607E-2</v>
      </c>
      <c r="DR101" s="233">
        <f>DP101</f>
        <v>1.1168959190666607E-2</v>
      </c>
      <c r="DS101" s="233">
        <f>DR101</f>
        <v>1.1168959190666607E-2</v>
      </c>
      <c r="DT101" s="233">
        <f>DS101</f>
        <v>1.1168959190666607E-2</v>
      </c>
      <c r="DU101" s="233">
        <f>DT101</f>
        <v>1.1168959190666607E-2</v>
      </c>
      <c r="DV101" s="232">
        <f>DV100/DV84</f>
        <v>1.1168959190666607E-2</v>
      </c>
      <c r="DW101" s="233">
        <f>DU101</f>
        <v>1.1168959190666607E-2</v>
      </c>
      <c r="DX101" s="233">
        <f>DW101</f>
        <v>1.1168959190666607E-2</v>
      </c>
      <c r="DY101" s="233">
        <f>DX101</f>
        <v>1.1168959190666607E-2</v>
      </c>
      <c r="DZ101" s="233">
        <f>DY101</f>
        <v>1.1168959190666607E-2</v>
      </c>
      <c r="EA101" s="232">
        <f>EA100/EA84</f>
        <v>1.1168959190666608E-2</v>
      </c>
      <c r="EB101" s="233">
        <f>DZ101</f>
        <v>1.1168959190666607E-2</v>
      </c>
      <c r="EC101" s="233">
        <f>EB101</f>
        <v>1.1168959190666607E-2</v>
      </c>
      <c r="ED101" s="233">
        <f>EC101</f>
        <v>1.1168959190666607E-2</v>
      </c>
      <c r="EE101" s="233">
        <f>ED101</f>
        <v>1.1168959190666607E-2</v>
      </c>
      <c r="EF101" s="232">
        <f>EF100/EF84</f>
        <v>1.1168959190666607E-2</v>
      </c>
    </row>
    <row r="102" spans="1:136" outlineLevel="1">
      <c r="CH102" s="67"/>
      <c r="CM102" s="67"/>
      <c r="CR102" s="67"/>
      <c r="CW102" s="67"/>
      <c r="DB102" s="67"/>
      <c r="DG102" s="67"/>
      <c r="DL102" s="67"/>
      <c r="DQ102" s="67"/>
      <c r="DV102" s="67"/>
      <c r="EA102" s="67"/>
      <c r="EF102" s="67"/>
    </row>
    <row r="103" spans="1:136" s="68" customFormat="1" outlineLevel="1">
      <c r="A103" s="78" t="s">
        <v>42</v>
      </c>
      <c r="B103" s="236">
        <f t="shared" ref="B103:AC103" si="327">B36</f>
        <v>3464</v>
      </c>
      <c r="C103" s="236">
        <f t="shared" si="327"/>
        <v>3490</v>
      </c>
      <c r="D103" s="236">
        <f t="shared" si="327"/>
        <v>3740</v>
      </c>
      <c r="E103" s="236">
        <f t="shared" si="327"/>
        <v>0</v>
      </c>
      <c r="F103" s="237">
        <f t="shared" si="327"/>
        <v>0</v>
      </c>
      <c r="G103" s="236">
        <f t="shared" si="327"/>
        <v>25963</v>
      </c>
      <c r="H103" s="236">
        <f t="shared" si="327"/>
        <v>25963</v>
      </c>
      <c r="I103" s="236">
        <f t="shared" si="327"/>
        <v>31443</v>
      </c>
      <c r="J103" s="236">
        <f t="shared" si="327"/>
        <v>29570</v>
      </c>
      <c r="K103" s="237">
        <f t="shared" si="327"/>
        <v>29570</v>
      </c>
      <c r="L103" s="236">
        <f t="shared" si="327"/>
        <v>31777</v>
      </c>
      <c r="M103" s="236">
        <f t="shared" si="327"/>
        <v>41586</v>
      </c>
      <c r="N103" s="236">
        <f t="shared" si="327"/>
        <v>41995</v>
      </c>
      <c r="O103" s="236">
        <f t="shared" si="327"/>
        <v>43884</v>
      </c>
      <c r="P103" s="237">
        <f t="shared" si="327"/>
        <v>43884</v>
      </c>
      <c r="Q103" s="236">
        <f t="shared" si="327"/>
        <v>44862</v>
      </c>
      <c r="R103" s="236">
        <f t="shared" si="327"/>
        <v>50043</v>
      </c>
      <c r="S103" s="236">
        <f t="shared" si="327"/>
        <v>20081</v>
      </c>
      <c r="T103" s="236">
        <f t="shared" si="327"/>
        <v>101661</v>
      </c>
      <c r="U103" s="237">
        <f t="shared" si="327"/>
        <v>101661</v>
      </c>
      <c r="V103" s="236">
        <f t="shared" si="327"/>
        <v>107118</v>
      </c>
      <c r="W103" s="236">
        <f t="shared" si="327"/>
        <v>116925</v>
      </c>
      <c r="X103" s="236">
        <f t="shared" si="327"/>
        <v>146234</v>
      </c>
      <c r="Y103" s="236">
        <f t="shared" si="327"/>
        <v>164120</v>
      </c>
      <c r="Z103" s="237">
        <f t="shared" si="327"/>
        <v>164120</v>
      </c>
      <c r="AA103" s="236">
        <f t="shared" si="327"/>
        <v>171612</v>
      </c>
      <c r="AB103" s="236">
        <f t="shared" si="327"/>
        <v>182201</v>
      </c>
      <c r="AC103" s="236">
        <f t="shared" si="327"/>
        <v>207626</v>
      </c>
      <c r="AD103" s="236">
        <f t="shared" ref="AD103:AJ103" si="328">AD36</f>
        <v>109837</v>
      </c>
      <c r="AE103" s="237">
        <f t="shared" si="328"/>
        <v>109837</v>
      </c>
      <c r="AF103" s="236">
        <f t="shared" si="328"/>
        <v>120621</v>
      </c>
      <c r="AG103" s="236">
        <f t="shared" si="328"/>
        <v>126276</v>
      </c>
      <c r="AH103" s="236">
        <f t="shared" si="328"/>
        <v>114030</v>
      </c>
      <c r="AI103" s="236">
        <f>AI36</f>
        <v>118013</v>
      </c>
      <c r="AJ103" s="237">
        <f t="shared" si="328"/>
        <v>118013</v>
      </c>
      <c r="AK103" s="236">
        <f t="shared" ref="AK103:BP103" si="329">AK36</f>
        <v>108978</v>
      </c>
      <c r="AL103" s="236">
        <f t="shared" si="329"/>
        <v>108534</v>
      </c>
      <c r="AM103" s="236">
        <f t="shared" si="329"/>
        <v>105761</v>
      </c>
      <c r="AN103" s="236">
        <f t="shared" si="329"/>
        <v>140967</v>
      </c>
      <c r="AO103" s="237">
        <f t="shared" si="329"/>
        <v>140967</v>
      </c>
      <c r="AP103" s="236">
        <f t="shared" si="329"/>
        <v>106401</v>
      </c>
      <c r="AQ103" s="236">
        <f t="shared" si="329"/>
        <v>108912</v>
      </c>
      <c r="AR103" s="236">
        <f t="shared" si="329"/>
        <v>113034</v>
      </c>
      <c r="AS103" s="236">
        <f t="shared" si="329"/>
        <v>121985</v>
      </c>
      <c r="AT103" s="237">
        <f t="shared" si="329"/>
        <v>121985</v>
      </c>
      <c r="AU103" s="236">
        <f t="shared" si="329"/>
        <v>117144</v>
      </c>
      <c r="AV103" s="236">
        <f t="shared" si="329"/>
        <v>112303</v>
      </c>
      <c r="AW103" s="236">
        <f t="shared" si="329"/>
        <v>107494</v>
      </c>
      <c r="AX103" s="236">
        <f t="shared" si="329"/>
        <v>132121</v>
      </c>
      <c r="AY103" s="237">
        <f t="shared" si="329"/>
        <v>132121</v>
      </c>
      <c r="AZ103" s="236">
        <f t="shared" si="329"/>
        <v>125307</v>
      </c>
      <c r="BA103" s="236">
        <f t="shared" si="329"/>
        <v>104048</v>
      </c>
      <c r="BB103" s="236">
        <f t="shared" si="329"/>
        <v>115640</v>
      </c>
      <c r="BC103" s="236">
        <f t="shared" si="329"/>
        <v>117238</v>
      </c>
      <c r="BD103" s="237">
        <f t="shared" si="329"/>
        <v>117238</v>
      </c>
      <c r="BE103" s="236">
        <f t="shared" si="329"/>
        <v>140955</v>
      </c>
      <c r="BF103" s="236">
        <f t="shared" si="329"/>
        <v>111534</v>
      </c>
      <c r="BG103" s="236">
        <f t="shared" si="329"/>
        <v>112248</v>
      </c>
      <c r="BH103" s="236">
        <f t="shared" si="329"/>
        <v>131162</v>
      </c>
      <c r="BI103" s="237">
        <f t="shared" si="329"/>
        <v>131162</v>
      </c>
      <c r="BJ103" s="236">
        <f t="shared" si="329"/>
        <v>120358</v>
      </c>
      <c r="BK103" s="236">
        <f t="shared" si="329"/>
        <v>117610</v>
      </c>
      <c r="BL103" s="236">
        <f t="shared" si="329"/>
        <v>122577</v>
      </c>
      <c r="BM103" s="236">
        <f t="shared" si="329"/>
        <v>123055</v>
      </c>
      <c r="BN103" s="237">
        <f t="shared" si="329"/>
        <v>123055</v>
      </c>
      <c r="BO103" s="236">
        <f t="shared" si="329"/>
        <v>137659</v>
      </c>
      <c r="BP103" s="236">
        <f t="shared" si="329"/>
        <v>102818</v>
      </c>
      <c r="BQ103" s="236">
        <f t="shared" ref="BQ103:CX103" si="330">BQ36</f>
        <v>97687</v>
      </c>
      <c r="BR103" s="236">
        <f t="shared" si="330"/>
        <v>87844</v>
      </c>
      <c r="BS103" s="237">
        <f t="shared" si="330"/>
        <v>87844</v>
      </c>
      <c r="BT103" s="236">
        <f t="shared" si="330"/>
        <v>60778</v>
      </c>
      <c r="BU103" s="236">
        <f t="shared" si="330"/>
        <v>68726</v>
      </c>
      <c r="BV103" s="236">
        <f t="shared" si="330"/>
        <v>74975</v>
      </c>
      <c r="BW103" s="236">
        <f t="shared" si="330"/>
        <v>82710</v>
      </c>
      <c r="BX103" s="237">
        <f t="shared" si="330"/>
        <v>82710</v>
      </c>
      <c r="BY103" s="236">
        <f t="shared" si="330"/>
        <v>89115</v>
      </c>
      <c r="BZ103" s="236">
        <f t="shared" si="330"/>
        <v>82759</v>
      </c>
      <c r="CA103" s="236">
        <f t="shared" si="330"/>
        <v>75965</v>
      </c>
      <c r="CB103" s="236">
        <f t="shared" si="330"/>
        <v>93092</v>
      </c>
      <c r="CC103" s="237">
        <f t="shared" si="330"/>
        <v>93092</v>
      </c>
      <c r="CD103" s="236">
        <f t="shared" si="330"/>
        <v>111835</v>
      </c>
      <c r="CE103" s="236">
        <f t="shared" si="330"/>
        <v>111541</v>
      </c>
      <c r="CF103" s="236">
        <f t="shared" si="330"/>
        <v>222645</v>
      </c>
      <c r="CG103" s="236">
        <f t="shared" si="330"/>
        <v>114571</v>
      </c>
      <c r="CH103" s="237">
        <f t="shared" si="330"/>
        <v>114571</v>
      </c>
      <c r="CI103" s="236">
        <f t="shared" si="330"/>
        <v>120137</v>
      </c>
      <c r="CJ103" s="236">
        <f t="shared" si="330"/>
        <v>124781</v>
      </c>
      <c r="CK103" s="236">
        <f t="shared" si="330"/>
        <v>137310</v>
      </c>
      <c r="CL103" s="236">
        <f t="shared" si="330"/>
        <v>148053</v>
      </c>
      <c r="CM103" s="237">
        <f t="shared" si="330"/>
        <v>148053</v>
      </c>
      <c r="CN103" s="236">
        <f t="shared" si="330"/>
        <v>171404</v>
      </c>
      <c r="CO103" s="236">
        <f t="shared" si="330"/>
        <v>169363</v>
      </c>
      <c r="CP103" s="236">
        <f t="shared" si="330"/>
        <v>155012</v>
      </c>
      <c r="CQ103" s="236">
        <f t="shared" si="330"/>
        <v>164421</v>
      </c>
      <c r="CR103" s="237">
        <f t="shared" si="330"/>
        <v>164421</v>
      </c>
      <c r="CS103" s="236">
        <f t="shared" si="330"/>
        <v>174176</v>
      </c>
      <c r="CT103" s="236">
        <f t="shared" si="330"/>
        <v>167269</v>
      </c>
      <c r="CU103" s="236">
        <f t="shared" si="330"/>
        <v>160123</v>
      </c>
      <c r="CV103" s="236">
        <f t="shared" si="330"/>
        <v>148400</v>
      </c>
      <c r="CW103" s="237">
        <f t="shared" si="330"/>
        <v>148400</v>
      </c>
      <c r="CX103" s="236">
        <f t="shared" si="330"/>
        <v>150762</v>
      </c>
      <c r="CY103" s="236">
        <f t="shared" ref="CY103:DA103" si="331">CY36</f>
        <v>152593</v>
      </c>
      <c r="CZ103" s="236">
        <f t="shared" si="331"/>
        <v>175745</v>
      </c>
      <c r="DA103" s="236">
        <f t="shared" si="331"/>
        <v>165732</v>
      </c>
      <c r="DB103" s="237">
        <f>DB36</f>
        <v>165732</v>
      </c>
      <c r="DC103" s="236">
        <f t="shared" ref="DC103:DF103" si="332">DC36</f>
        <v>152880</v>
      </c>
      <c r="DD103" s="236">
        <f t="shared" si="332"/>
        <v>156042</v>
      </c>
      <c r="DE103" s="236">
        <f t="shared" si="332"/>
        <v>163328</v>
      </c>
      <c r="DF103" s="236">
        <f t="shared" si="332"/>
        <v>179220</v>
      </c>
      <c r="DG103" s="237">
        <f>DG36</f>
        <v>179220</v>
      </c>
      <c r="DH103" s="236">
        <f t="shared" ref="DH103:DI103" si="333">DH36</f>
        <v>138470</v>
      </c>
      <c r="DI103" s="236">
        <f t="shared" si="333"/>
        <v>135506</v>
      </c>
      <c r="DJ103" s="226">
        <f>DJ104*DJ84</f>
        <v>138145.32889400906</v>
      </c>
      <c r="DK103" s="226">
        <f>DK104*DK84</f>
        <v>149038.40650784576</v>
      </c>
      <c r="DL103" s="237">
        <f>DL36</f>
        <v>149038.40650784576</v>
      </c>
      <c r="DM103" s="226">
        <f>DM104*DM84</f>
        <v>152863.18244203596</v>
      </c>
      <c r="DN103" s="226">
        <f>DN104*DN84</f>
        <v>155414.37536175892</v>
      </c>
      <c r="DO103" s="226">
        <f>DO104*DO84</f>
        <v>157219.66651784634</v>
      </c>
      <c r="DP103" s="226">
        <f>DP104*DP84</f>
        <v>159285.87083432247</v>
      </c>
      <c r="DQ103" s="237">
        <f>DQ36</f>
        <v>159285.87083432247</v>
      </c>
      <c r="DR103" s="226">
        <f>DR104*DR84</f>
        <v>159349.77104859357</v>
      </c>
      <c r="DS103" s="226">
        <f>DS104*DS84</f>
        <v>159783.07992553199</v>
      </c>
      <c r="DT103" s="226">
        <f>DT104*DT84</f>
        <v>160662.25395083873</v>
      </c>
      <c r="DU103" s="226">
        <f>DU104*DU84</f>
        <v>162112.51490135689</v>
      </c>
      <c r="DV103" s="237">
        <f>DV36</f>
        <v>162112.51490135689</v>
      </c>
      <c r="DW103" s="226">
        <f>DW104*DW84</f>
        <v>163120.04981592786</v>
      </c>
      <c r="DX103" s="226">
        <f>DX104*DX84</f>
        <v>164548.82811852364</v>
      </c>
      <c r="DY103" s="226">
        <f>DY104*DY84</f>
        <v>166251.48462796243</v>
      </c>
      <c r="DZ103" s="226">
        <f>DZ104*DZ84</f>
        <v>168420.08677849956</v>
      </c>
      <c r="EA103" s="237">
        <f>EA36</f>
        <v>168420.08677849956</v>
      </c>
      <c r="EB103" s="226">
        <f>EB104*EB84</f>
        <v>170076.12342073914</v>
      </c>
      <c r="EC103" s="226">
        <f>EC104*EC84</f>
        <v>172050.54082952626</v>
      </c>
      <c r="ED103" s="226">
        <f>ED104*ED84</f>
        <v>174204.46986289934</v>
      </c>
      <c r="EE103" s="226">
        <f>EE104*EE84</f>
        <v>176673.8336913198</v>
      </c>
      <c r="EF103" s="237">
        <f>EF36</f>
        <v>176673.8336913198</v>
      </c>
    </row>
    <row r="104" spans="1:136" outlineLevel="1">
      <c r="A104" s="216" t="s">
        <v>101</v>
      </c>
      <c r="B104" s="231" t="e">
        <f t="shared" ref="B104:AK104" si="334">B103/B84</f>
        <v>#REF!</v>
      </c>
      <c r="C104" s="231" t="e">
        <f t="shared" si="334"/>
        <v>#REF!</v>
      </c>
      <c r="D104" s="231" t="e">
        <f t="shared" si="334"/>
        <v>#REF!</v>
      </c>
      <c r="E104" s="231">
        <f t="shared" si="334"/>
        <v>0</v>
      </c>
      <c r="F104" s="232">
        <f t="shared" si="334"/>
        <v>0</v>
      </c>
      <c r="G104" s="231">
        <f t="shared" si="334"/>
        <v>3.312670521362087E-2</v>
      </c>
      <c r="H104" s="231">
        <f t="shared" si="334"/>
        <v>3.1365194777581706E-2</v>
      </c>
      <c r="I104" s="231">
        <f t="shared" si="334"/>
        <v>3.4569082093736596E-2</v>
      </c>
      <c r="J104" s="231">
        <f t="shared" si="334"/>
        <v>3.0070646188390514E-2</v>
      </c>
      <c r="K104" s="232">
        <f t="shared" si="334"/>
        <v>3.0070646188390514E-2</v>
      </c>
      <c r="L104" s="231">
        <f t="shared" si="334"/>
        <v>3.1484072192322632E-2</v>
      </c>
      <c r="M104" s="231">
        <f t="shared" si="334"/>
        <v>3.0263225879693743E-2</v>
      </c>
      <c r="N104" s="231">
        <f t="shared" si="334"/>
        <v>2.7565360656921372E-2</v>
      </c>
      <c r="O104" s="231">
        <f t="shared" si="334"/>
        <v>2.2914766197221343E-2</v>
      </c>
      <c r="P104" s="232">
        <f t="shared" si="334"/>
        <v>2.2914766197221343E-2</v>
      </c>
      <c r="Q104" s="231">
        <f t="shared" si="334"/>
        <v>2.127879576681832E-2</v>
      </c>
      <c r="R104" s="231">
        <f t="shared" si="334"/>
        <v>2.2697615940717598E-2</v>
      </c>
      <c r="S104" s="231">
        <f t="shared" si="334"/>
        <v>7.0728516754568066E-3</v>
      </c>
      <c r="T104" s="231">
        <f t="shared" si="334"/>
        <v>2.3145751227741842E-2</v>
      </c>
      <c r="U104" s="232">
        <f t="shared" si="334"/>
        <v>2.3145751227741842E-2</v>
      </c>
      <c r="V104" s="231">
        <f t="shared" si="334"/>
        <v>2.1188681092724957E-2</v>
      </c>
      <c r="W104" s="231">
        <f t="shared" si="334"/>
        <v>1.8565355688715552E-2</v>
      </c>
      <c r="X104" s="231">
        <f t="shared" si="334"/>
        <v>2.3241088828657643E-2</v>
      </c>
      <c r="Y104" s="231">
        <f t="shared" si="334"/>
        <v>3.5589094713787739E-2</v>
      </c>
      <c r="Z104" s="232">
        <f t="shared" si="334"/>
        <v>3.5589094713787739E-2</v>
      </c>
      <c r="AA104" s="231">
        <f t="shared" si="334"/>
        <v>4.22553834297104E-2</v>
      </c>
      <c r="AB104" s="231">
        <f t="shared" si="334"/>
        <v>6.1549567736582808E-2</v>
      </c>
      <c r="AC104" s="231">
        <f t="shared" si="334"/>
        <v>5.8674517592520896E-2</v>
      </c>
      <c r="AD104" s="231">
        <f t="shared" si="334"/>
        <v>2.0956908183949591E-2</v>
      </c>
      <c r="AE104" s="232">
        <f t="shared" si="334"/>
        <v>2.0956908183949591E-2</v>
      </c>
      <c r="AF104" s="231">
        <f t="shared" si="334"/>
        <v>2.0778639556468782E-2</v>
      </c>
      <c r="AG104" s="231">
        <f t="shared" si="334"/>
        <v>1.9411786408244584E-2</v>
      </c>
      <c r="AH104" s="231">
        <f t="shared" si="334"/>
        <v>1.9328520780829524E-2</v>
      </c>
      <c r="AI104" s="231">
        <f t="shared" si="334"/>
        <v>1.9119442525510302E-2</v>
      </c>
      <c r="AJ104" s="232">
        <f t="shared" si="334"/>
        <v>1.9119442525510302E-2</v>
      </c>
      <c r="AK104" s="231">
        <f t="shared" si="334"/>
        <v>1.7848696356296521E-2</v>
      </c>
      <c r="AL104" s="231">
        <f t="shared" ref="AL104:BQ104" si="335">AL103/AL84</f>
        <v>1.7410696668492213E-2</v>
      </c>
      <c r="AM104" s="231">
        <f t="shared" si="335"/>
        <v>1.5886267656144266E-2</v>
      </c>
      <c r="AN104" s="231">
        <f t="shared" si="335"/>
        <v>2.1693905817174515E-2</v>
      </c>
      <c r="AO104" s="232">
        <f t="shared" si="335"/>
        <v>2.1693905817174515E-2</v>
      </c>
      <c r="AP104" s="231">
        <f t="shared" si="335"/>
        <v>1.5835838666468226E-2</v>
      </c>
      <c r="AQ104" s="231">
        <f t="shared" si="335"/>
        <v>1.7110807371447424E-2</v>
      </c>
      <c r="AR104" s="231">
        <f t="shared" si="335"/>
        <v>1.6942562503747226E-2</v>
      </c>
      <c r="AS104" s="231">
        <f t="shared" si="335"/>
        <v>2.2411354032702554E-2</v>
      </c>
      <c r="AT104" s="232">
        <f t="shared" si="335"/>
        <v>2.2411354032702554E-2</v>
      </c>
      <c r="AU104" s="231">
        <f t="shared" si="335"/>
        <v>2.1779645260848548E-2</v>
      </c>
      <c r="AV104" s="231">
        <f t="shared" si="335"/>
        <v>1.9517379214459507E-2</v>
      </c>
      <c r="AW104" s="231">
        <f t="shared" si="335"/>
        <v>2.005821873075703E-2</v>
      </c>
      <c r="AX104" s="231">
        <f t="shared" si="335"/>
        <v>2.1978407692051768E-2</v>
      </c>
      <c r="AY104" s="232">
        <f t="shared" si="335"/>
        <v>2.1978407692051768E-2</v>
      </c>
      <c r="AZ104" s="231">
        <f t="shared" si="335"/>
        <v>1.9568517217146874E-2</v>
      </c>
      <c r="BA104" s="231">
        <f t="shared" si="335"/>
        <v>1.7423806015138321E-2</v>
      </c>
      <c r="BB104" s="231">
        <f t="shared" si="335"/>
        <v>2.0638943423166162E-2</v>
      </c>
      <c r="BC104" s="231">
        <f t="shared" si="335"/>
        <v>2.1016797232131654E-2</v>
      </c>
      <c r="BD104" s="232">
        <f t="shared" si="335"/>
        <v>2.1016797232131654E-2</v>
      </c>
      <c r="BE104" s="231">
        <f t="shared" si="335"/>
        <v>2.9654590449814409E-2</v>
      </c>
      <c r="BF104" s="231">
        <f t="shared" si="335"/>
        <v>2.5882257934264716E-2</v>
      </c>
      <c r="BG104" s="231">
        <f t="shared" si="335"/>
        <v>2.5943942981015631E-2</v>
      </c>
      <c r="BH104" s="231">
        <f t="shared" si="335"/>
        <v>3.8695581112265627E-2</v>
      </c>
      <c r="BI104" s="232">
        <f t="shared" si="335"/>
        <v>3.8695581112265627E-2</v>
      </c>
      <c r="BJ104" s="231">
        <f t="shared" si="335"/>
        <v>3.7488584417995317E-2</v>
      </c>
      <c r="BK104" s="231">
        <f t="shared" si="335"/>
        <v>3.9797025357618282E-2</v>
      </c>
      <c r="BL104" s="231">
        <f t="shared" si="335"/>
        <v>4.8654776425870301E-2</v>
      </c>
      <c r="BM104" s="231">
        <f t="shared" si="335"/>
        <v>4.4495476868716015E-2</v>
      </c>
      <c r="BN104" s="232">
        <f t="shared" si="335"/>
        <v>4.4495476868716015E-2</v>
      </c>
      <c r="BO104" s="231">
        <f t="shared" si="335"/>
        <v>5.0203920719096337E-2</v>
      </c>
      <c r="BP104" s="231">
        <f t="shared" si="335"/>
        <v>3.4976653429119021E-2</v>
      </c>
      <c r="BQ104" s="231">
        <f t="shared" si="335"/>
        <v>3.1553688138304295E-2</v>
      </c>
      <c r="BR104" s="231">
        <f t="shared" ref="BR104:CW104" si="336">BR103/BR84</f>
        <v>2.6954933856942222E-2</v>
      </c>
      <c r="BS104" s="232">
        <f t="shared" si="336"/>
        <v>2.6954933856942222E-2</v>
      </c>
      <c r="BT104" s="231">
        <f t="shared" si="336"/>
        <v>1.8131791254986183E-2</v>
      </c>
      <c r="BU104" s="231">
        <f t="shared" si="336"/>
        <v>1.879326695375488E-2</v>
      </c>
      <c r="BV104" s="231">
        <f t="shared" si="336"/>
        <v>1.9371793222159005E-2</v>
      </c>
      <c r="BW104" s="231">
        <f t="shared" si="336"/>
        <v>1.6358112808868258E-2</v>
      </c>
      <c r="BX104" s="232">
        <f t="shared" si="336"/>
        <v>1.6358112808868258E-2</v>
      </c>
      <c r="BY104" s="231">
        <f t="shared" si="336"/>
        <v>1.7084453455313443E-2</v>
      </c>
      <c r="BZ104" s="231">
        <f t="shared" si="336"/>
        <v>1.5155433718535012E-2</v>
      </c>
      <c r="CA104" s="231">
        <f t="shared" si="336"/>
        <v>1.3466469209743277E-2</v>
      </c>
      <c r="CB104" s="231">
        <f t="shared" si="336"/>
        <v>2.0284515570616835E-2</v>
      </c>
      <c r="CC104" s="232">
        <f t="shared" si="336"/>
        <v>2.0284515570616835E-2</v>
      </c>
      <c r="CD104" s="231">
        <f t="shared" si="336"/>
        <v>2.3986206318407588E-2</v>
      </c>
      <c r="CE104" s="231">
        <f t="shared" si="336"/>
        <v>2.8826593119442214E-2</v>
      </c>
      <c r="CF104" s="231">
        <f t="shared" si="336"/>
        <v>4.9946840869709186E-2</v>
      </c>
      <c r="CG104" s="231">
        <f t="shared" si="336"/>
        <v>2.3237720462988092E-2</v>
      </c>
      <c r="CH104" s="232">
        <f t="shared" si="336"/>
        <v>2.3237720462988092E-2</v>
      </c>
      <c r="CI104" s="231">
        <f t="shared" si="336"/>
        <v>2.348668092891442E-2</v>
      </c>
      <c r="CJ104" s="231">
        <f t="shared" si="336"/>
        <v>2.0247818515608685E-2</v>
      </c>
      <c r="CK104" s="231">
        <f t="shared" si="336"/>
        <v>1.5450902823288726E-2</v>
      </c>
      <c r="CL104" s="231">
        <f t="shared" si="336"/>
        <v>2.6767924124918824E-2</v>
      </c>
      <c r="CM104" s="232">
        <f t="shared" si="336"/>
        <v>2.6767924124918824E-2</v>
      </c>
      <c r="CN104" s="231">
        <f t="shared" si="336"/>
        <v>2.9488551055215959E-2</v>
      </c>
      <c r="CO104" s="231">
        <f t="shared" si="336"/>
        <v>2.8829476952317502E-2</v>
      </c>
      <c r="CP104" s="231">
        <f t="shared" si="336"/>
        <v>1.4418069571473957E-2</v>
      </c>
      <c r="CQ104" s="231">
        <f t="shared" si="336"/>
        <v>2.0783366909003329E-2</v>
      </c>
      <c r="CR104" s="232">
        <f t="shared" si="336"/>
        <v>2.0783366909003329E-2</v>
      </c>
      <c r="CS104" s="231">
        <f t="shared" si="336"/>
        <v>2.1389013128334029E-2</v>
      </c>
      <c r="CT104" s="231">
        <f t="shared" si="336"/>
        <v>1.8559793172463326E-2</v>
      </c>
      <c r="CU104" s="231">
        <f t="shared" si="336"/>
        <v>1.1268208469377736E-2</v>
      </c>
      <c r="CV104" s="231">
        <f t="shared" si="336"/>
        <v>1.6689328477751363E-2</v>
      </c>
      <c r="CW104" s="232">
        <f t="shared" si="336"/>
        <v>1.6689328477751363E-2</v>
      </c>
      <c r="CX104" s="231">
        <f t="shared" ref="CX104:DA104" si="337">CX103/CX84</f>
        <v>1.5878898189078814E-2</v>
      </c>
      <c r="CY104" s="231">
        <f t="shared" si="337"/>
        <v>1.6277005552321363E-2</v>
      </c>
      <c r="CZ104" s="231">
        <f t="shared" si="337"/>
        <v>1.0579960544447776E-2</v>
      </c>
      <c r="DA104" s="231">
        <f t="shared" si="337"/>
        <v>1.3128154812113713E-2</v>
      </c>
      <c r="DB104" s="232">
        <f>DB103/DB84</f>
        <v>1.3128154812113713E-2</v>
      </c>
      <c r="DC104" s="231">
        <f t="shared" ref="DC104:DF104" si="338">DC103/DC84</f>
        <v>1.1319507616218786E-2</v>
      </c>
      <c r="DD104" s="231">
        <f t="shared" si="338"/>
        <v>1.0842073599260781E-2</v>
      </c>
      <c r="DE104" s="231">
        <f t="shared" si="338"/>
        <v>7.2726822790829121E-3</v>
      </c>
      <c r="DF104" s="231">
        <f t="shared" si="338"/>
        <v>1.3615267661199424E-2</v>
      </c>
      <c r="DG104" s="232">
        <f>DG103/DG84</f>
        <v>1.3615267661199424E-2</v>
      </c>
      <c r="DH104" s="231">
        <f t="shared" ref="DH104:DI104" si="339">DH103/DH84</f>
        <v>1.0589718184879396E-2</v>
      </c>
      <c r="DI104" s="231">
        <f t="shared" si="339"/>
        <v>1.0200105030365012E-2</v>
      </c>
      <c r="DJ104" s="233">
        <f>DI104</f>
        <v>1.0200105030365012E-2</v>
      </c>
      <c r="DK104" s="233">
        <f>DJ104</f>
        <v>1.0200105030365012E-2</v>
      </c>
      <c r="DL104" s="232">
        <f>DL103/DL84</f>
        <v>1.0200105030365012E-2</v>
      </c>
      <c r="DM104" s="233">
        <f>DK104</f>
        <v>1.0200105030365012E-2</v>
      </c>
      <c r="DN104" s="233">
        <f>DM104</f>
        <v>1.0200105030365012E-2</v>
      </c>
      <c r="DO104" s="233">
        <f>DN104</f>
        <v>1.0200105030365012E-2</v>
      </c>
      <c r="DP104" s="233">
        <f>DO104</f>
        <v>1.0200105030365012E-2</v>
      </c>
      <c r="DQ104" s="232">
        <f>DQ103/DQ84</f>
        <v>1.0200105030365012E-2</v>
      </c>
      <c r="DR104" s="233">
        <f>DP104</f>
        <v>1.0200105030365012E-2</v>
      </c>
      <c r="DS104" s="233">
        <f>DR104</f>
        <v>1.0200105030365012E-2</v>
      </c>
      <c r="DT104" s="233">
        <f>DS104</f>
        <v>1.0200105030365012E-2</v>
      </c>
      <c r="DU104" s="233">
        <f>DT104</f>
        <v>1.0200105030365012E-2</v>
      </c>
      <c r="DV104" s="232">
        <f>DV103/DV84</f>
        <v>1.0200105030365012E-2</v>
      </c>
      <c r="DW104" s="233">
        <f>DU104</f>
        <v>1.0200105030365012E-2</v>
      </c>
      <c r="DX104" s="233">
        <f>DW104</f>
        <v>1.0200105030365012E-2</v>
      </c>
      <c r="DY104" s="233">
        <f>DX104</f>
        <v>1.0200105030365012E-2</v>
      </c>
      <c r="DZ104" s="233">
        <f>DY104</f>
        <v>1.0200105030365012E-2</v>
      </c>
      <c r="EA104" s="232">
        <f>EA103/EA84</f>
        <v>1.0200105030365014E-2</v>
      </c>
      <c r="EB104" s="233">
        <f>DZ104</f>
        <v>1.0200105030365012E-2</v>
      </c>
      <c r="EC104" s="233">
        <f>EB104</f>
        <v>1.0200105030365012E-2</v>
      </c>
      <c r="ED104" s="233">
        <f>EC104</f>
        <v>1.0200105030365012E-2</v>
      </c>
      <c r="EE104" s="233">
        <f>ED104</f>
        <v>1.0200105030365012E-2</v>
      </c>
      <c r="EF104" s="232">
        <f>EF103/EF84</f>
        <v>1.0200105030365012E-2</v>
      </c>
    </row>
    <row r="105" spans="1:136">
      <c r="AU105" s="114"/>
      <c r="AV105" s="349"/>
      <c r="CH105" s="67"/>
      <c r="CM105" s="67"/>
      <c r="CR105" s="67"/>
      <c r="CW105" s="67"/>
      <c r="DB105" s="67"/>
      <c r="DG105" s="67"/>
      <c r="DL105" s="67"/>
      <c r="DQ105" s="67"/>
      <c r="DV105" s="67"/>
      <c r="EA105" s="67"/>
      <c r="EF105" s="67"/>
    </row>
    <row r="106" spans="1:136" s="70" customFormat="1" ht="12.75" customHeight="1" thickBot="1">
      <c r="A106" s="69" t="s">
        <v>755</v>
      </c>
      <c r="B106" s="93" t="str">
        <f>Macro!B$3</f>
        <v>1Q04</v>
      </c>
      <c r="C106" s="93" t="str">
        <f>Macro!C$3</f>
        <v>2Q04</v>
      </c>
      <c r="D106" s="93" t="str">
        <f>Macro!D$3</f>
        <v>3Q04</v>
      </c>
      <c r="E106" s="93" t="str">
        <f>Macro!E$3</f>
        <v>4Q04</v>
      </c>
      <c r="F106" s="92" t="str">
        <f>Macro!F$3</f>
        <v>2004</v>
      </c>
      <c r="G106" s="93" t="str">
        <f>Macro!G$3</f>
        <v>1Q05</v>
      </c>
      <c r="H106" s="93" t="str">
        <f>Macro!H$3</f>
        <v>2Q05</v>
      </c>
      <c r="I106" s="93" t="str">
        <f>Macro!I$3</f>
        <v>3Q05</v>
      </c>
      <c r="J106" s="93" t="str">
        <f>Macro!J$3</f>
        <v>4Q05</v>
      </c>
      <c r="K106" s="92" t="str">
        <f>Macro!K$3</f>
        <v>2005</v>
      </c>
      <c r="L106" s="93" t="str">
        <f>Macro!L$3</f>
        <v>1Q06</v>
      </c>
      <c r="M106" s="93" t="str">
        <f>Macro!M$3</f>
        <v>2Q06</v>
      </c>
      <c r="N106" s="93" t="str">
        <f>Macro!N$3</f>
        <v>3Q06</v>
      </c>
      <c r="O106" s="94" t="str">
        <f>Macro!O$3</f>
        <v>4Q06</v>
      </c>
      <c r="P106" s="92" t="str">
        <f>Macro!P$3</f>
        <v>2006</v>
      </c>
      <c r="Q106" s="93" t="str">
        <f>Macro!Q$3</f>
        <v>1Q07</v>
      </c>
      <c r="R106" s="93" t="str">
        <f>Macro!R$3</f>
        <v>2Q07</v>
      </c>
      <c r="S106" s="93" t="str">
        <f>Macro!S$3</f>
        <v>3Q07</v>
      </c>
      <c r="T106" s="94" t="str">
        <f>Macro!T$3</f>
        <v>4Q07</v>
      </c>
      <c r="U106" s="92" t="str">
        <f>Macro!U$3</f>
        <v>2007</v>
      </c>
      <c r="V106" s="93" t="str">
        <f>Macro!V$3</f>
        <v>1Q08</v>
      </c>
      <c r="W106" s="93" t="str">
        <f>Macro!W$3</f>
        <v>2Q08</v>
      </c>
      <c r="X106" s="93" t="str">
        <f>Macro!X$3</f>
        <v>3Q08</v>
      </c>
      <c r="Y106" s="94" t="str">
        <f>Macro!Y$3</f>
        <v>4Q08</v>
      </c>
      <c r="Z106" s="92" t="str">
        <f>Macro!Z$3</f>
        <v>2008</v>
      </c>
      <c r="AA106" s="93" t="str">
        <f>Macro!AA$3</f>
        <v>1Q09</v>
      </c>
      <c r="AB106" s="93" t="str">
        <f>Macro!AB$3</f>
        <v>2Q09</v>
      </c>
      <c r="AC106" s="93" t="str">
        <f>Macro!AC$3</f>
        <v>3Q09</v>
      </c>
      <c r="AD106" s="94" t="str">
        <f>Macro!AD$3</f>
        <v>4Q09</v>
      </c>
      <c r="AE106" s="92" t="str">
        <f>Macro!AE$3</f>
        <v>2009</v>
      </c>
      <c r="AF106" s="93" t="str">
        <f>Macro!AF$3</f>
        <v>1Q10</v>
      </c>
      <c r="AG106" s="93" t="str">
        <f>Macro!AG$3</f>
        <v>2Q10</v>
      </c>
      <c r="AH106" s="93" t="str">
        <f>Macro!AH$3</f>
        <v>3Q10</v>
      </c>
      <c r="AI106" s="94" t="str">
        <f>Macro!AI$3</f>
        <v>4Q10</v>
      </c>
      <c r="AJ106" s="92" t="str">
        <f>Macro!AJ$3</f>
        <v>2010</v>
      </c>
      <c r="AK106" s="93" t="str">
        <f>Macro!AK$3</f>
        <v>1Q11</v>
      </c>
      <c r="AL106" s="93" t="str">
        <f>Macro!AL$3</f>
        <v>2Q11</v>
      </c>
      <c r="AM106" s="93" t="str">
        <f>Macro!AM$3</f>
        <v>3Q11</v>
      </c>
      <c r="AN106" s="94" t="str">
        <f>Macro!AN$3</f>
        <v>4Q11</v>
      </c>
      <c r="AO106" s="92" t="str">
        <f>Macro!AO$3</f>
        <v>2011</v>
      </c>
      <c r="AP106" s="310" t="str">
        <f>Macro!AP$3</f>
        <v>1Q12</v>
      </c>
      <c r="AQ106" s="310" t="str">
        <f>Macro!AQ$3</f>
        <v>2Q12</v>
      </c>
      <c r="AR106" s="310" t="str">
        <f>Macro!AR$3</f>
        <v>3Q12</v>
      </c>
      <c r="AS106" s="310" t="str">
        <f>Macro!AS$3</f>
        <v>4Q12</v>
      </c>
      <c r="AT106" s="311" t="str">
        <f>Macro!AT$3</f>
        <v>2012</v>
      </c>
      <c r="AU106" s="310" t="str">
        <f>Macro!AU$3</f>
        <v>1Q13</v>
      </c>
      <c r="AV106" s="310" t="str">
        <f>Macro!AV$3</f>
        <v>2Q13</v>
      </c>
      <c r="AW106" s="310" t="str">
        <f>Macro!AW$3</f>
        <v>3Q13</v>
      </c>
      <c r="AX106" s="310" t="str">
        <f>Macro!AX$3</f>
        <v>4Q13</v>
      </c>
      <c r="AY106" s="311" t="str">
        <f>Macro!AY$3</f>
        <v>2013</v>
      </c>
      <c r="AZ106" s="310" t="str">
        <f>Macro!AZ$3</f>
        <v>1Q14</v>
      </c>
      <c r="BA106" s="310" t="str">
        <f>Macro!BA$3</f>
        <v>2Q14</v>
      </c>
      <c r="BB106" s="310" t="str">
        <f>Macro!BB$3</f>
        <v>3Q14</v>
      </c>
      <c r="BC106" s="310" t="str">
        <f>Macro!BC$3</f>
        <v>4Q14</v>
      </c>
      <c r="BD106" s="311" t="str">
        <f>Macro!BD$3</f>
        <v>2014</v>
      </c>
      <c r="BE106" s="310" t="str">
        <f>Macro!BE$3</f>
        <v>1Q15</v>
      </c>
      <c r="BF106" s="310" t="str">
        <f>Macro!BF$3</f>
        <v>2Q15</v>
      </c>
      <c r="BG106" s="310" t="str">
        <f>Macro!BG$3</f>
        <v>3Q15</v>
      </c>
      <c r="BH106" s="310" t="str">
        <f>Macro!BH$3</f>
        <v>4Q15</v>
      </c>
      <c r="BI106" s="311" t="str">
        <f>Macro!BI$3</f>
        <v>2015</v>
      </c>
      <c r="BJ106" s="310" t="str">
        <f>Macro!BJ$3</f>
        <v>1Q16</v>
      </c>
      <c r="BK106" s="310" t="str">
        <f>Macro!BK$3</f>
        <v>2Q16</v>
      </c>
      <c r="BL106" s="310" t="str">
        <f>Macro!BL$3</f>
        <v>3Q16</v>
      </c>
      <c r="BM106" s="310" t="str">
        <f>Macro!BM$3</f>
        <v>4Q16</v>
      </c>
      <c r="BN106" s="311" t="str">
        <f>Macro!BN$3</f>
        <v>2016</v>
      </c>
      <c r="BO106" s="310" t="str">
        <f>Macro!BO$3</f>
        <v>1Q17</v>
      </c>
      <c r="BP106" s="310" t="str">
        <f>Macro!BP$3</f>
        <v>2Q17</v>
      </c>
      <c r="BQ106" s="310" t="str">
        <f>Macro!BQ$3</f>
        <v>3Q17</v>
      </c>
      <c r="BR106" s="310" t="str">
        <f>Macro!BR$3</f>
        <v>4Q17</v>
      </c>
      <c r="BS106" s="311" t="str">
        <f>Macro!BS$3</f>
        <v>2017</v>
      </c>
      <c r="BT106" s="310" t="str">
        <f>Macro!BT$3</f>
        <v>1Q18</v>
      </c>
      <c r="BU106" s="310" t="str">
        <f>Macro!BU$3</f>
        <v>2Q18</v>
      </c>
      <c r="BV106" s="310" t="str">
        <f>Macro!BV$3</f>
        <v>3Q18</v>
      </c>
      <c r="BW106" s="310" t="str">
        <f>Macro!BW$3</f>
        <v>4Q18</v>
      </c>
      <c r="BX106" s="311" t="str">
        <f>Macro!BX$3</f>
        <v>2018</v>
      </c>
      <c r="BY106" s="310" t="str">
        <f>Macro!BY$3</f>
        <v>1Q19</v>
      </c>
      <c r="BZ106" s="310" t="str">
        <f>Macro!BZ$3</f>
        <v>2Q19</v>
      </c>
      <c r="CA106" s="310" t="str">
        <f>Macro!CA$3</f>
        <v>3Q19</v>
      </c>
      <c r="CB106" s="310" t="str">
        <f>Macro!CB$3</f>
        <v>4Q19</v>
      </c>
      <c r="CC106" s="311" t="str">
        <f>Macro!CC$3</f>
        <v>2019</v>
      </c>
      <c r="CD106" s="310" t="str">
        <f>Macro!CD$3</f>
        <v>1Q20</v>
      </c>
      <c r="CE106" s="310" t="str">
        <f>Macro!CE$3</f>
        <v>2Q20</v>
      </c>
      <c r="CF106" s="310" t="str">
        <f>Macro!CF$3</f>
        <v>3Q20</v>
      </c>
      <c r="CG106" s="310" t="str">
        <f>Macro!CG$3</f>
        <v>4Q20</v>
      </c>
      <c r="CH106" s="311" t="str">
        <f>Macro!CH$3</f>
        <v>2020</v>
      </c>
      <c r="CI106" s="310" t="str">
        <f>Macro!CI$3</f>
        <v>1Q21</v>
      </c>
      <c r="CJ106" s="310" t="str">
        <f>Macro!CJ$3</f>
        <v>2Q21</v>
      </c>
      <c r="CK106" s="310" t="str">
        <f>Macro!CK$3</f>
        <v>3Q21</v>
      </c>
      <c r="CL106" s="310" t="str">
        <f>Macro!CL$3</f>
        <v>4Q21</v>
      </c>
      <c r="CM106" s="311" t="str">
        <f>Macro!CM$3</f>
        <v>2021</v>
      </c>
      <c r="CN106" s="310" t="str">
        <f>Macro!CN$3</f>
        <v>1Q22</v>
      </c>
      <c r="CO106" s="310" t="str">
        <f>Macro!CO$3</f>
        <v>2Q22</v>
      </c>
      <c r="CP106" s="310" t="str">
        <f>Macro!CP$3</f>
        <v>3Q22</v>
      </c>
      <c r="CQ106" s="310" t="str">
        <f>Macro!CQ$3</f>
        <v>4Q22</v>
      </c>
      <c r="CR106" s="311" t="str">
        <f>Macro!CR$3</f>
        <v>2022</v>
      </c>
      <c r="CS106" s="310" t="str">
        <f>Macro!CS$3</f>
        <v>1Q23</v>
      </c>
      <c r="CT106" s="310" t="str">
        <f>Macro!CT$3</f>
        <v>2Q23</v>
      </c>
      <c r="CU106" s="310" t="str">
        <f>Macro!CU$3</f>
        <v>3Q23</v>
      </c>
      <c r="CV106" s="310" t="str">
        <f>Macro!CV$3</f>
        <v>4Q23</v>
      </c>
      <c r="CW106" s="311" t="str">
        <f>Macro!CW$3</f>
        <v>2023</v>
      </c>
      <c r="CX106" s="310" t="str">
        <f>Macro!CX$3</f>
        <v>1Q24</v>
      </c>
      <c r="CY106" s="310" t="str">
        <f>Macro!CY$3</f>
        <v>2Q24</v>
      </c>
      <c r="CZ106" s="310" t="str">
        <f>Macro!CZ$3</f>
        <v>3Q24</v>
      </c>
      <c r="DA106" s="310" t="str">
        <f>Macro!DA$3</f>
        <v>4Q24</v>
      </c>
      <c r="DB106" s="311" t="str">
        <f>Macro!DB$3</f>
        <v>2024</v>
      </c>
      <c r="DC106" s="310" t="str">
        <f>Macro!DC$3</f>
        <v>1Q25</v>
      </c>
      <c r="DD106" s="310" t="str">
        <f>Macro!DD$3</f>
        <v>2Q25</v>
      </c>
      <c r="DE106" s="310" t="str">
        <f>Macro!DE$3</f>
        <v>3Q25</v>
      </c>
      <c r="DF106" s="310" t="str">
        <f>Macro!DF$3</f>
        <v>4Q25</v>
      </c>
      <c r="DG106" s="311" t="str">
        <f>Macro!DG$3</f>
        <v>2025</v>
      </c>
      <c r="DH106" s="310" t="str">
        <f>Macro!DH$3</f>
        <v>1Q26</v>
      </c>
      <c r="DI106" s="310" t="str">
        <f>Macro!DI$3</f>
        <v>2Q26</v>
      </c>
      <c r="DJ106" s="310" t="str">
        <f>Macro!DJ$3</f>
        <v>3Q26E</v>
      </c>
      <c r="DK106" s="310" t="str">
        <f>Macro!DK$3</f>
        <v>4Q26E</v>
      </c>
      <c r="DL106" s="311" t="str">
        <f>Macro!DL$3</f>
        <v>2026E</v>
      </c>
      <c r="DM106" s="310" t="str">
        <f>Macro!DM$3</f>
        <v>1Q27E</v>
      </c>
      <c r="DN106" s="310" t="str">
        <f>Macro!DN$3</f>
        <v>2Q27E</v>
      </c>
      <c r="DO106" s="310" t="str">
        <f>Macro!DO$3</f>
        <v>3Q27E</v>
      </c>
      <c r="DP106" s="310" t="str">
        <f>Macro!DP$3</f>
        <v>4Q27E</v>
      </c>
      <c r="DQ106" s="311" t="str">
        <f>Macro!DQ$3</f>
        <v>2027E</v>
      </c>
      <c r="DR106" s="310" t="str">
        <f>Macro!DR$3</f>
        <v>1Q28E</v>
      </c>
      <c r="DS106" s="310" t="str">
        <f>Macro!DS$3</f>
        <v>2Q28E</v>
      </c>
      <c r="DT106" s="310" t="str">
        <f>Macro!DT$3</f>
        <v>3Q28E</v>
      </c>
      <c r="DU106" s="310" t="str">
        <f>Macro!DU$3</f>
        <v>4Q28E</v>
      </c>
      <c r="DV106" s="311" t="str">
        <f>Macro!DV$3</f>
        <v>2028E</v>
      </c>
      <c r="DW106" s="310" t="str">
        <f>Macro!DW$3</f>
        <v>1Q29E</v>
      </c>
      <c r="DX106" s="310" t="str">
        <f>Macro!DX$3</f>
        <v>2Q29E</v>
      </c>
      <c r="DY106" s="310" t="str">
        <f>Macro!DY$3</f>
        <v>3Q29E</v>
      </c>
      <c r="DZ106" s="310" t="str">
        <f>Macro!DZ$3</f>
        <v>4Q29E</v>
      </c>
      <c r="EA106" s="311" t="str">
        <f>Macro!EA$3</f>
        <v>2029E</v>
      </c>
      <c r="EB106" s="310" t="str">
        <f>Macro!EB$3</f>
        <v>1Q30E</v>
      </c>
      <c r="EC106" s="310" t="str">
        <f>Macro!EC$3</f>
        <v>2Q30E</v>
      </c>
      <c r="ED106" s="310" t="str">
        <f>Macro!ED$3</f>
        <v>3Q30E</v>
      </c>
      <c r="EE106" s="310" t="str">
        <f>Macro!EE$3</f>
        <v>4Q30E</v>
      </c>
      <c r="EF106" s="311" t="str">
        <f>Macro!EF$3</f>
        <v>2030E</v>
      </c>
    </row>
    <row r="107" spans="1:136" ht="12.75" customHeight="1">
      <c r="A107" s="71" t="s">
        <v>739</v>
      </c>
      <c r="B107" s="160"/>
      <c r="C107" s="160"/>
      <c r="D107" s="160"/>
      <c r="E107" s="160">
        <v>678686</v>
      </c>
      <c r="F107" s="89">
        <f>E107</f>
        <v>678686</v>
      </c>
      <c r="G107" s="160">
        <v>787581</v>
      </c>
      <c r="H107" s="160">
        <v>829557</v>
      </c>
      <c r="I107" s="160">
        <v>923700</v>
      </c>
      <c r="J107" s="160">
        <v>1019955</v>
      </c>
      <c r="K107" s="89">
        <f>J107</f>
        <v>1019955</v>
      </c>
      <c r="L107" s="160">
        <v>1073204</v>
      </c>
      <c r="M107" s="160">
        <v>1354948</v>
      </c>
      <c r="N107" s="160">
        <v>1405597</v>
      </c>
      <c r="O107" s="160">
        <v>1597155</v>
      </c>
      <c r="P107" s="89">
        <f>O107</f>
        <v>1597155</v>
      </c>
      <c r="Q107" s="160">
        <f>R107+'Income Statement'!Q5-Forecasts!Q4</f>
        <v>2105488</v>
      </c>
      <c r="R107" s="160">
        <f>S107+'Income Statement'!R5-Forecasts!R4</f>
        <v>2014566</v>
      </c>
      <c r="S107" s="160">
        <f>T107+'Income Statement'!S5-Forecasts!S4</f>
        <v>2288236</v>
      </c>
      <c r="T107" s="160">
        <v>3443482</v>
      </c>
      <c r="U107" s="89">
        <f>T107</f>
        <v>3443482</v>
      </c>
      <c r="V107" s="160">
        <v>3931943</v>
      </c>
      <c r="W107" s="160">
        <v>5050187</v>
      </c>
      <c r="X107" s="160">
        <v>5336883</v>
      </c>
      <c r="Y107" s="160">
        <v>5124185</v>
      </c>
      <c r="Z107" s="89">
        <f>Y107</f>
        <v>5124185</v>
      </c>
      <c r="AA107" s="160">
        <v>4920585</v>
      </c>
      <c r="AB107" s="160">
        <v>4331559</v>
      </c>
      <c r="AC107" s="160">
        <v>4520845</v>
      </c>
      <c r="AD107" s="160">
        <v>5224037</v>
      </c>
      <c r="AE107" s="89">
        <f>AD107</f>
        <v>5224037</v>
      </c>
      <c r="AF107" s="160">
        <v>5232174</v>
      </c>
      <c r="AG107" s="160">
        <v>5855621</v>
      </c>
      <c r="AH107" s="160">
        <v>5805608</v>
      </c>
      <c r="AI107" s="213">
        <v>6136163</v>
      </c>
      <c r="AJ107" s="239">
        <f>AI107</f>
        <v>6136163</v>
      </c>
      <c r="AK107" s="160">
        <v>5973998</v>
      </c>
      <c r="AL107" s="160">
        <v>6309143</v>
      </c>
      <c r="AM107" s="160">
        <v>6353160</v>
      </c>
      <c r="AN107" s="160">
        <v>6393107</v>
      </c>
      <c r="AO107" s="239">
        <f>AN107</f>
        <v>6393107</v>
      </c>
      <c r="AP107" s="160">
        <v>6364599</v>
      </c>
      <c r="AQ107" s="160">
        <v>6163228</v>
      </c>
      <c r="AR107" s="160">
        <v>5911000</v>
      </c>
      <c r="AS107" s="160">
        <v>5859663</v>
      </c>
      <c r="AT107" s="239">
        <f>AS107</f>
        <v>5859663</v>
      </c>
      <c r="AU107" s="160">
        <v>5615465</v>
      </c>
      <c r="AV107" s="160">
        <v>5537249</v>
      </c>
      <c r="AW107" s="160">
        <v>5563129</v>
      </c>
      <c r="AX107" s="160">
        <v>5174827</v>
      </c>
      <c r="AY107" s="239">
        <f>AX107</f>
        <v>5174827</v>
      </c>
      <c r="AZ107" s="160">
        <v>5341345</v>
      </c>
      <c r="BA107" s="160">
        <v>5084443</v>
      </c>
      <c r="BB107" s="160">
        <v>4778927</v>
      </c>
      <c r="BC107" s="160">
        <v>4526998</v>
      </c>
      <c r="BD107" s="239">
        <f>BC107</f>
        <v>4526998</v>
      </c>
      <c r="BE107" s="160">
        <v>4326712</v>
      </c>
      <c r="BF107" s="160">
        <v>4202747</v>
      </c>
      <c r="BG107" s="160">
        <v>3896118</v>
      </c>
      <c r="BH107" s="160">
        <v>3522505</v>
      </c>
      <c r="BI107" s="239">
        <f>BH107</f>
        <v>3522505</v>
      </c>
      <c r="BJ107" s="160">
        <v>3103436</v>
      </c>
      <c r="BK107" s="160">
        <v>2753979</v>
      </c>
      <c r="BL107" s="160">
        <v>2305948</v>
      </c>
      <c r="BM107" s="160">
        <v>2164418</v>
      </c>
      <c r="BN107" s="239">
        <f>BM107</f>
        <v>2164418</v>
      </c>
      <c r="BO107" s="160">
        <v>1978884</v>
      </c>
      <c r="BP107" s="160">
        <v>1788427</v>
      </c>
      <c r="BQ107" s="160">
        <v>1635741</v>
      </c>
      <c r="BR107" s="160">
        <v>1654031</v>
      </c>
      <c r="BS107" s="239">
        <f>BR107</f>
        <v>1654031</v>
      </c>
      <c r="BT107" s="160">
        <v>1586324</v>
      </c>
      <c r="BU107" s="160">
        <v>1524369</v>
      </c>
      <c r="BV107" s="160">
        <v>1478452</v>
      </c>
      <c r="BW107" s="160">
        <v>1741082</v>
      </c>
      <c r="BX107" s="239">
        <f>BW107</f>
        <v>1741082</v>
      </c>
      <c r="BY107" s="160">
        <v>1900930</v>
      </c>
      <c r="BZ107" s="160">
        <v>2340856</v>
      </c>
      <c r="CA107" s="160">
        <v>2550134</v>
      </c>
      <c r="CB107" s="160">
        <v>2965999</v>
      </c>
      <c r="CC107" s="239">
        <f>CB107</f>
        <v>2965999</v>
      </c>
      <c r="CD107" s="160">
        <v>3055603</v>
      </c>
      <c r="CE107" s="160">
        <v>3042962</v>
      </c>
      <c r="CF107" s="160">
        <v>3020133</v>
      </c>
      <c r="CG107" s="160">
        <v>3355329</v>
      </c>
      <c r="CH107" s="239">
        <f>CG107</f>
        <v>3355329</v>
      </c>
      <c r="CI107" s="160">
        <v>3595960</v>
      </c>
      <c r="CJ107" s="160">
        <v>3950785</v>
      </c>
      <c r="CK107" s="160">
        <v>3883986</v>
      </c>
      <c r="CL107" s="160">
        <v>4353240</v>
      </c>
      <c r="CM107" s="239">
        <f>CL107</f>
        <v>4353240</v>
      </c>
      <c r="CN107" s="160">
        <v>4470134</v>
      </c>
      <c r="CO107" s="160">
        <v>4661255</v>
      </c>
      <c r="CP107" s="160">
        <v>5108347</v>
      </c>
      <c r="CQ107" s="160">
        <v>5243826</v>
      </c>
      <c r="CR107" s="239">
        <f>CQ107</f>
        <v>5243826</v>
      </c>
      <c r="CS107" s="160">
        <v>5757631</v>
      </c>
      <c r="CT107" s="160">
        <v>6251830</v>
      </c>
      <c r="CU107" s="160">
        <v>6352544</v>
      </c>
      <c r="CV107" s="160">
        <v>6633654</v>
      </c>
      <c r="CW107" s="239">
        <f>CV107</f>
        <v>6633654</v>
      </c>
      <c r="CX107" s="160">
        <v>7105013</v>
      </c>
      <c r="CY107" s="160">
        <v>7265935</v>
      </c>
      <c r="CZ107" s="160">
        <v>7789363</v>
      </c>
      <c r="DA107" s="160">
        <v>8790289</v>
      </c>
      <c r="DB107" s="239">
        <f>DA107</f>
        <v>8790289</v>
      </c>
      <c r="DC107" s="160">
        <v>9436956</v>
      </c>
      <c r="DD107" s="160">
        <v>9849027</v>
      </c>
      <c r="DE107" s="160">
        <v>9631190</v>
      </c>
      <c r="DF107" s="160">
        <v>11217258</v>
      </c>
      <c r="DG107" s="239">
        <f>DF107</f>
        <v>11217258</v>
      </c>
      <c r="DH107" s="160">
        <v>11662105</v>
      </c>
      <c r="DI107" s="160">
        <v>12228757</v>
      </c>
      <c r="DJ107" s="307">
        <f>DI107-Forecasts!DJ40+DJ112</f>
        <v>13287646.29133299</v>
      </c>
      <c r="DK107" s="307">
        <f>DJ107-Forecasts!DK40+DK112</f>
        <v>14635898.182284229</v>
      </c>
      <c r="DL107" s="239">
        <f>DK107</f>
        <v>14635898.182284229</v>
      </c>
      <c r="DM107" s="307">
        <f>DL107-Forecasts!DM40+DM112</f>
        <v>15077028.030728379</v>
      </c>
      <c r="DN107" s="307">
        <f>DM107-Forecasts!DN40+DN112</f>
        <v>15793209.360161014</v>
      </c>
      <c r="DO107" s="307">
        <f>DN107-Forecasts!DO40+DO112</f>
        <v>16670921.773550915</v>
      </c>
      <c r="DP107" s="307">
        <f>DO107-Forecasts!DP40+DP112</f>
        <v>17891565.636004262</v>
      </c>
      <c r="DQ107" s="239">
        <f>DP107</f>
        <v>17891565.636004262</v>
      </c>
      <c r="DR107" s="307">
        <f>DQ107-Forecasts!DR40+DR112</f>
        <v>18013808.9889144</v>
      </c>
      <c r="DS107" s="307">
        <f>DR107-Forecasts!DS40+DS112</f>
        <v>18464077.235237479</v>
      </c>
      <c r="DT107" s="307">
        <f>DS107-Forecasts!DT40+DT112</f>
        <v>19128549.423532307</v>
      </c>
      <c r="DU107" s="307">
        <f>DT107-Forecasts!DU40+DU112</f>
        <v>20191598.970282041</v>
      </c>
      <c r="DV107" s="239">
        <f>DU107</f>
        <v>20191598.970282041</v>
      </c>
      <c r="DW107" s="307">
        <f>DV107-Forecasts!DW40+DW112</f>
        <v>20139474.173778206</v>
      </c>
      <c r="DX107" s="307">
        <f>DW107-Forecasts!DX40+DX112</f>
        <v>20458662.416751813</v>
      </c>
      <c r="DY107" s="307">
        <f>DX107-Forecasts!DY40+DY112</f>
        <v>21023312.224957764</v>
      </c>
      <c r="DZ107" s="307">
        <f>DY107-Forecasts!DZ40+DZ112</f>
        <v>22026012.605413582</v>
      </c>
      <c r="EA107" s="239">
        <f>DZ107</f>
        <v>22026012.605413582</v>
      </c>
      <c r="EB107" s="307">
        <f>EA107-Forecasts!EB40+EB112</f>
        <v>21881653.752962973</v>
      </c>
      <c r="EC107" s="307">
        <f>EB107-Forecasts!EC40+EC112</f>
        <v>22139521.462031644</v>
      </c>
      <c r="ED107" s="307">
        <f>EC107-Forecasts!ED40+ED112</f>
        <v>22663043.801678244</v>
      </c>
      <c r="EE107" s="307">
        <f>ED107-Forecasts!EE40+EE112</f>
        <v>23650142.818364345</v>
      </c>
      <c r="EF107" s="239">
        <f>EE107</f>
        <v>23650142.818364345</v>
      </c>
    </row>
    <row r="108" spans="1:136" ht="12.75" customHeight="1">
      <c r="A108" s="71" t="s">
        <v>740</v>
      </c>
      <c r="B108" s="213"/>
      <c r="C108" s="213"/>
      <c r="D108" s="213"/>
      <c r="E108" s="213">
        <v>-363000</v>
      </c>
      <c r="F108" s="89">
        <f>E108</f>
        <v>-363000</v>
      </c>
      <c r="G108" s="213">
        <v>-436122</v>
      </c>
      <c r="H108" s="213">
        <v>-462608</v>
      </c>
      <c r="I108" s="213">
        <v>-463000</v>
      </c>
      <c r="J108" s="213">
        <v>-546088</v>
      </c>
      <c r="K108" s="89">
        <f>J108</f>
        <v>-546088</v>
      </c>
      <c r="L108" s="213">
        <v>-601570</v>
      </c>
      <c r="M108" s="213">
        <v>-758537</v>
      </c>
      <c r="N108" s="213">
        <v>-792064</v>
      </c>
      <c r="O108" s="213">
        <v>-925539</v>
      </c>
      <c r="P108" s="89">
        <f>O108</f>
        <v>-925539</v>
      </c>
      <c r="Q108" s="304">
        <v>0</v>
      </c>
      <c r="R108" s="304">
        <v>0</v>
      </c>
      <c r="S108" s="304">
        <v>0</v>
      </c>
      <c r="T108" s="213">
        <v>-2134958.84</v>
      </c>
      <c r="U108" s="89">
        <f>T108</f>
        <v>-2134958.84</v>
      </c>
      <c r="V108" s="213">
        <v>-2437804.66</v>
      </c>
      <c r="W108" s="213">
        <v>-3131115.94</v>
      </c>
      <c r="X108" s="213">
        <v>-3308867.46</v>
      </c>
      <c r="Y108" s="213">
        <v>-3217283</v>
      </c>
      <c r="Z108" s="89">
        <f>Y108</f>
        <v>-3217283</v>
      </c>
      <c r="AA108" s="213">
        <v>-3095139</v>
      </c>
      <c r="AB108" s="213">
        <v>-2770626</v>
      </c>
      <c r="AC108" s="213">
        <v>-2876553</v>
      </c>
      <c r="AD108" s="213">
        <v>-3300771</v>
      </c>
      <c r="AE108" s="89">
        <f>AD108</f>
        <v>-3300771</v>
      </c>
      <c r="AF108" s="213">
        <v>-3309648</v>
      </c>
      <c r="AG108" s="213">
        <v>-3754922</v>
      </c>
      <c r="AH108" s="213">
        <v>-3672819</v>
      </c>
      <c r="AI108" s="213">
        <v>-4079003</v>
      </c>
      <c r="AJ108" s="239">
        <f>AI108</f>
        <v>-4079003</v>
      </c>
      <c r="AK108" s="213">
        <v>-3975747</v>
      </c>
      <c r="AL108" s="213">
        <v>-4154186</v>
      </c>
      <c r="AM108" s="213">
        <v>-4095556</v>
      </c>
      <c r="AN108" s="213">
        <v>-4084845</v>
      </c>
      <c r="AO108" s="239">
        <f>AN108</f>
        <v>-4084845</v>
      </c>
      <c r="AP108" s="213">
        <v>-4041286</v>
      </c>
      <c r="AQ108" s="213">
        <v>-3926939</v>
      </c>
      <c r="AR108" s="213">
        <v>-3770000</v>
      </c>
      <c r="AS108" s="213">
        <v>-3579267</v>
      </c>
      <c r="AT108" s="239">
        <f>AS108</f>
        <v>-3579267</v>
      </c>
      <c r="AU108" s="304">
        <v>-3386000</v>
      </c>
      <c r="AV108" s="213">
        <v>-3344525</v>
      </c>
      <c r="AW108" s="213">
        <v>-3356297</v>
      </c>
      <c r="AX108" s="213">
        <v>-3129742</v>
      </c>
      <c r="AY108" s="239">
        <f>AX108</f>
        <v>-3129742</v>
      </c>
      <c r="AZ108" s="213">
        <v>-3258395</v>
      </c>
      <c r="BA108" s="213">
        <v>-3094884</v>
      </c>
      <c r="BB108" s="213">
        <v>-2937296</v>
      </c>
      <c r="BC108" s="213">
        <v>-2793351</v>
      </c>
      <c r="BD108" s="239">
        <f>BC108</f>
        <v>-2793351</v>
      </c>
      <c r="BE108" s="213">
        <v>-2673742</v>
      </c>
      <c r="BF108" s="213">
        <v>-2578506</v>
      </c>
      <c r="BG108" s="213">
        <v>-2388287</v>
      </c>
      <c r="BH108" s="213">
        <v>-2159093</v>
      </c>
      <c r="BI108" s="239">
        <f>BH108</f>
        <v>-2159093</v>
      </c>
      <c r="BJ108" s="213">
        <v>-1898665</v>
      </c>
      <c r="BK108" s="213">
        <v>-1689180</v>
      </c>
      <c r="BL108" s="213">
        <v>-1411730</v>
      </c>
      <c r="BM108" s="213">
        <v>-1330574</v>
      </c>
      <c r="BN108" s="239">
        <f>BM108</f>
        <v>-1330574</v>
      </c>
      <c r="BO108" s="213">
        <v>-1208247</v>
      </c>
      <c r="BP108" s="213">
        <v>-1075856</v>
      </c>
      <c r="BQ108" s="213">
        <v>-999953</v>
      </c>
      <c r="BR108" s="213">
        <v>-1009394</v>
      </c>
      <c r="BS108" s="239">
        <f>BR108</f>
        <v>-1009394</v>
      </c>
      <c r="BT108" s="213">
        <v>-943573</v>
      </c>
      <c r="BU108" s="213">
        <v>-914740</v>
      </c>
      <c r="BV108" s="213">
        <v>-881176</v>
      </c>
      <c r="BW108" s="213">
        <v>-1037246</v>
      </c>
      <c r="BX108" s="239">
        <f>BW108</f>
        <v>-1037246</v>
      </c>
      <c r="BY108" s="213">
        <v>-1156463</v>
      </c>
      <c r="BZ108" s="213">
        <v>-1437794</v>
      </c>
      <c r="CA108" s="213">
        <v>-1573050</v>
      </c>
      <c r="CB108" s="213">
        <v>-1834490</v>
      </c>
      <c r="CC108" s="239">
        <f>CB108</f>
        <v>-1834490</v>
      </c>
      <c r="CD108" s="213">
        <v>-1894692</v>
      </c>
      <c r="CE108" s="213">
        <v>-1905803</v>
      </c>
      <c r="CF108" s="213">
        <v>-1905989</v>
      </c>
      <c r="CG108" s="213">
        <v>-2125833</v>
      </c>
      <c r="CH108" s="239">
        <f>CG108</f>
        <v>-2125833</v>
      </c>
      <c r="CI108" s="213">
        <v>-2289257</v>
      </c>
      <c r="CJ108" s="213">
        <v>-2494414</v>
      </c>
      <c r="CK108" s="213">
        <v>-2467581</v>
      </c>
      <c r="CL108" s="213">
        <v>-2743073</v>
      </c>
      <c r="CM108" s="239">
        <f>CL108</f>
        <v>-2743073</v>
      </c>
      <c r="CN108" s="213">
        <v>-2840642</v>
      </c>
      <c r="CO108" s="213">
        <v>-2994830</v>
      </c>
      <c r="CP108" s="213">
        <v>-3271111</v>
      </c>
      <c r="CQ108" s="213">
        <v>-3356137</v>
      </c>
      <c r="CR108" s="239">
        <f>CQ108</f>
        <v>-3356137</v>
      </c>
      <c r="CS108" s="213">
        <v>-3743304</v>
      </c>
      <c r="CT108" s="213">
        <v>-4077387</v>
      </c>
      <c r="CU108" s="213">
        <v>-4135445</v>
      </c>
      <c r="CV108" s="213">
        <v>-4250769</v>
      </c>
      <c r="CW108" s="239">
        <f>CV108</f>
        <v>-4250769</v>
      </c>
      <c r="CX108" s="213">
        <v>-4539892</v>
      </c>
      <c r="CY108" s="213">
        <v>-4628406</v>
      </c>
      <c r="CZ108" s="213">
        <v>-4955681</v>
      </c>
      <c r="DA108" s="213">
        <v>-5592610</v>
      </c>
      <c r="DB108" s="239">
        <f>DA108</f>
        <v>-5592610</v>
      </c>
      <c r="DC108" s="213">
        <v>-6010824</v>
      </c>
      <c r="DD108" s="213">
        <v>-6275909</v>
      </c>
      <c r="DE108" s="213">
        <v>-6130286</v>
      </c>
      <c r="DF108" s="213">
        <v>-7184517</v>
      </c>
      <c r="DG108" s="239">
        <f>DF108</f>
        <v>-7184517</v>
      </c>
      <c r="DH108" s="213">
        <v>-7468268</v>
      </c>
      <c r="DI108" s="213">
        <v>-7804846</v>
      </c>
      <c r="DJ108" s="307">
        <f>DI108+DJ114+Forecasts!DJ40*(1-'Income Statement'!DJ71)</f>
        <v>-8483494.9633328114</v>
      </c>
      <c r="DK108" s="307">
        <f>DJ108+DK114+Forecasts!DK40*(1-'Income Statement'!DK71)</f>
        <v>-9347273.7889404185</v>
      </c>
      <c r="DL108" s="239">
        <f>DK108</f>
        <v>-9347273.7889404185</v>
      </c>
      <c r="DM108" s="307">
        <f>DL108+DM114+Forecasts!DM40*(1-'Income Statement'!DM71)</f>
        <v>-9642460.6433271077</v>
      </c>
      <c r="DN108" s="307">
        <f>DM108+DN114+Forecasts!DN40*(1-'Income Statement'!DN71)</f>
        <v>-10115897.533528524</v>
      </c>
      <c r="DO108" s="307">
        <f>DN108+DO114+Forecasts!DO40*(1-'Income Statement'!DO71)</f>
        <v>-10694024.64997356</v>
      </c>
      <c r="DP108" s="307">
        <f>DO108+DP114+Forecasts!DP40*(1-'Income Statement'!DP71)</f>
        <v>-11494451.732707793</v>
      </c>
      <c r="DQ108" s="239">
        <f>DP108</f>
        <v>-11494451.732707793</v>
      </c>
      <c r="DR108" s="307">
        <f>DQ108+DR114+Forecasts!DR40*(1-'Income Statement'!DR71)</f>
        <v>-11581460.248072557</v>
      </c>
      <c r="DS108" s="307">
        <f>DR108+DS114+Forecasts!DS40*(1-'Income Statement'!DS71)</f>
        <v>-11881076.233012421</v>
      </c>
      <c r="DT108" s="307">
        <f>DS108+DT114+Forecasts!DT40*(1-'Income Statement'!DT71)</f>
        <v>-12319522.782956649</v>
      </c>
      <c r="DU108" s="307">
        <f>DT108+DU114+Forecasts!DU40*(1-'Income Statement'!DU71)</f>
        <v>-13016433.711163547</v>
      </c>
      <c r="DV108" s="239">
        <f>DU108</f>
        <v>-13016433.711163547</v>
      </c>
      <c r="DW108" s="307">
        <f>DV108+DW114+Forecasts!DW40*(1-'Income Statement'!DW71)</f>
        <v>-12988836.421293195</v>
      </c>
      <c r="DX108" s="307">
        <f>DW108+DX114+Forecasts!DX40*(1-'Income Statement'!DX71)</f>
        <v>-13202036.435257722</v>
      </c>
      <c r="DY108" s="307">
        <f>DX108+DY114+Forecasts!DY40*(1-'Income Statement'!DY71)</f>
        <v>-13574414.110289363</v>
      </c>
      <c r="DZ108" s="307">
        <f>DY108+DZ114+Forecasts!DZ40*(1-'Income Statement'!DZ71)</f>
        <v>-14230996.136790326</v>
      </c>
      <c r="EA108" s="239">
        <f>DZ108</f>
        <v>-14230996.136790326</v>
      </c>
      <c r="EB108" s="307">
        <f>EA108+EB114+Forecasts!EB40*(1-'Income Statement'!EB71)</f>
        <v>-14142238.37541553</v>
      </c>
      <c r="EC108" s="307">
        <f>EB108+EC114+Forecasts!EC40*(1-'Income Statement'!EC71)</f>
        <v>-14314464.587231565</v>
      </c>
      <c r="ED108" s="307">
        <f>EC108+ED114+Forecasts!ED40*(1-'Income Statement'!ED71)</f>
        <v>-14659055.465278422</v>
      </c>
      <c r="EE108" s="307">
        <f>ED108+EE114+Forecasts!EE40*(1-'Income Statement'!EE71)</f>
        <v>-15304541.661223218</v>
      </c>
      <c r="EF108" s="239">
        <f>EE108</f>
        <v>-15304541.661223218</v>
      </c>
    </row>
    <row r="109" spans="1:136" s="68" customFormat="1" ht="12.75" customHeight="1">
      <c r="A109" s="78" t="s">
        <v>741</v>
      </c>
      <c r="B109" s="240">
        <f>B107+B108</f>
        <v>0</v>
      </c>
      <c r="C109" s="240">
        <f>C107+C108</f>
        <v>0</v>
      </c>
      <c r="D109" s="240">
        <f>D107+D108</f>
        <v>0</v>
      </c>
      <c r="E109" s="240">
        <f>E107+E108</f>
        <v>315686</v>
      </c>
      <c r="F109" s="241">
        <f>E109</f>
        <v>315686</v>
      </c>
      <c r="G109" s="240">
        <f>G107+G108</f>
        <v>351459</v>
      </c>
      <c r="H109" s="240">
        <f>H107+H108</f>
        <v>366949</v>
      </c>
      <c r="I109" s="240">
        <f>I107+I108</f>
        <v>460700</v>
      </c>
      <c r="J109" s="240">
        <f>J107+J108</f>
        <v>473867</v>
      </c>
      <c r="K109" s="241">
        <f>J109</f>
        <v>473867</v>
      </c>
      <c r="L109" s="240">
        <f>L107+L108</f>
        <v>471634</v>
      </c>
      <c r="M109" s="240">
        <f>M107+M108</f>
        <v>596411</v>
      </c>
      <c r="N109" s="240">
        <f>N107+N108</f>
        <v>613533</v>
      </c>
      <c r="O109" s="240">
        <f>O107+O108</f>
        <v>671616</v>
      </c>
      <c r="P109" s="241">
        <f>O109</f>
        <v>671616</v>
      </c>
      <c r="Q109" s="240">
        <f>Q107+Q108</f>
        <v>2105488</v>
      </c>
      <c r="R109" s="240">
        <f>R107+R108</f>
        <v>2014566</v>
      </c>
      <c r="S109" s="240">
        <f>S107+S108</f>
        <v>2288236</v>
      </c>
      <c r="T109" s="240">
        <f>T107+T108</f>
        <v>1308523.1600000001</v>
      </c>
      <c r="U109" s="241">
        <f>T109</f>
        <v>1308523.1600000001</v>
      </c>
      <c r="V109" s="240">
        <f>V107+V108</f>
        <v>1494138.3399999999</v>
      </c>
      <c r="W109" s="240">
        <f>W107+W108</f>
        <v>1919071.06</v>
      </c>
      <c r="X109" s="240">
        <f>X107+X108</f>
        <v>2028015.54</v>
      </c>
      <c r="Y109" s="240">
        <f>Y107+Y108</f>
        <v>1906902</v>
      </c>
      <c r="Z109" s="241">
        <f>Y109</f>
        <v>1906902</v>
      </c>
      <c r="AA109" s="240">
        <f>AA107+AA108</f>
        <v>1825446</v>
      </c>
      <c r="AB109" s="240">
        <f>AB107+AB108</f>
        <v>1560933</v>
      </c>
      <c r="AC109" s="240">
        <f>AC107+AC108</f>
        <v>1644292</v>
      </c>
      <c r="AD109" s="240">
        <f>AD107+AD108</f>
        <v>1923266</v>
      </c>
      <c r="AE109" s="241">
        <f>AD109</f>
        <v>1923266</v>
      </c>
      <c r="AF109" s="240">
        <f>AF107+AF108</f>
        <v>1922526</v>
      </c>
      <c r="AG109" s="240">
        <f>AG107+AG108</f>
        <v>2100699</v>
      </c>
      <c r="AH109" s="240">
        <f>AH107+AH108</f>
        <v>2132789</v>
      </c>
      <c r="AI109" s="240">
        <f>AI107+AI108</f>
        <v>2057160</v>
      </c>
      <c r="AJ109" s="241">
        <f>AI109</f>
        <v>2057160</v>
      </c>
      <c r="AK109" s="240">
        <f>AK107+AK108</f>
        <v>1998251</v>
      </c>
      <c r="AL109" s="240">
        <f>AL107+AL108</f>
        <v>2154957</v>
      </c>
      <c r="AM109" s="240">
        <f>AM107+AM108</f>
        <v>2257604</v>
      </c>
      <c r="AN109" s="240">
        <f>AN107+AN108</f>
        <v>2308262</v>
      </c>
      <c r="AO109" s="241">
        <f>AN109</f>
        <v>2308262</v>
      </c>
      <c r="AP109" s="240">
        <f>AP107+AP108</f>
        <v>2323313</v>
      </c>
      <c r="AQ109" s="240">
        <f>AQ107+AQ108</f>
        <v>2236289</v>
      </c>
      <c r="AR109" s="240">
        <f>AR107+AR108</f>
        <v>2141000</v>
      </c>
      <c r="AS109" s="240">
        <f>AS107+AS108</f>
        <v>2280396</v>
      </c>
      <c r="AT109" s="241">
        <f>AS109</f>
        <v>2280396</v>
      </c>
      <c r="AU109" s="240">
        <f>AU107+AU108</f>
        <v>2229465</v>
      </c>
      <c r="AV109" s="240">
        <f>AV107+AV108</f>
        <v>2192724</v>
      </c>
      <c r="AW109" s="240">
        <f>AW107+AW108</f>
        <v>2206832</v>
      </c>
      <c r="AX109" s="240">
        <f>AX107+AX108</f>
        <v>2045085</v>
      </c>
      <c r="AY109" s="241">
        <f>AX109</f>
        <v>2045085</v>
      </c>
      <c r="AZ109" s="240">
        <f>AZ107+AZ108</f>
        <v>2082950</v>
      </c>
      <c r="BA109" s="240">
        <f>BA107+BA108</f>
        <v>1989559</v>
      </c>
      <c r="BB109" s="240">
        <f>BB107+BB108</f>
        <v>1841631</v>
      </c>
      <c r="BC109" s="240">
        <f>BC107+BC108</f>
        <v>1733647</v>
      </c>
      <c r="BD109" s="241">
        <f>BC109</f>
        <v>1733647</v>
      </c>
      <c r="BE109" s="240">
        <f>BE107+BE108</f>
        <v>1652970</v>
      </c>
      <c r="BF109" s="240">
        <f>BF107+BF108</f>
        <v>1624241</v>
      </c>
      <c r="BG109" s="240">
        <f>BG107+BG108</f>
        <v>1507831</v>
      </c>
      <c r="BH109" s="240">
        <f>BH107+BH108</f>
        <v>1363412</v>
      </c>
      <c r="BI109" s="241">
        <f>BH109</f>
        <v>1363412</v>
      </c>
      <c r="BJ109" s="240">
        <f>BJ107+BJ108</f>
        <v>1204771</v>
      </c>
      <c r="BK109" s="240">
        <f>BK107+BK108</f>
        <v>1064799</v>
      </c>
      <c r="BL109" s="240">
        <f>BL107+BL108</f>
        <v>894218</v>
      </c>
      <c r="BM109" s="240">
        <f>BM107+BM108</f>
        <v>833844</v>
      </c>
      <c r="BN109" s="241">
        <f>BM109</f>
        <v>833844</v>
      </c>
      <c r="BO109" s="240">
        <f>BO107+BO108</f>
        <v>770637</v>
      </c>
      <c r="BP109" s="240">
        <f>BP107+BP108</f>
        <v>712571</v>
      </c>
      <c r="BQ109" s="240">
        <f>BQ107+BQ108</f>
        <v>635788</v>
      </c>
      <c r="BR109" s="240">
        <f>BR107+BR108</f>
        <v>644637</v>
      </c>
      <c r="BS109" s="241">
        <f>BR109</f>
        <v>644637</v>
      </c>
      <c r="BT109" s="240">
        <f>BT107+BT108</f>
        <v>642751</v>
      </c>
      <c r="BU109" s="240">
        <f>BU107+BU108</f>
        <v>609629</v>
      </c>
      <c r="BV109" s="240">
        <f>BV107+BV108</f>
        <v>597276</v>
      </c>
      <c r="BW109" s="240">
        <f>BW107+BW108</f>
        <v>703836</v>
      </c>
      <c r="BX109" s="241">
        <f>BW109</f>
        <v>703836</v>
      </c>
      <c r="BY109" s="240">
        <f>BY107+BY108</f>
        <v>744467</v>
      </c>
      <c r="BZ109" s="240">
        <f>BZ107+BZ108</f>
        <v>903062</v>
      </c>
      <c r="CA109" s="240">
        <f>CA107+CA108</f>
        <v>977084</v>
      </c>
      <c r="CB109" s="240">
        <f>CB107+CB108</f>
        <v>1131509</v>
      </c>
      <c r="CC109" s="241">
        <f>CB109</f>
        <v>1131509</v>
      </c>
      <c r="CD109" s="240">
        <f>CD107+CD108</f>
        <v>1160911</v>
      </c>
      <c r="CE109" s="240">
        <f>CE107+CE108</f>
        <v>1137159</v>
      </c>
      <c r="CF109" s="240">
        <f>CF107+CF108</f>
        <v>1114144</v>
      </c>
      <c r="CG109" s="240">
        <f>CG107+CG108</f>
        <v>1229496</v>
      </c>
      <c r="CH109" s="241">
        <f>CG109</f>
        <v>1229496</v>
      </c>
      <c r="CI109" s="240">
        <f>CI107+CI108</f>
        <v>1306703</v>
      </c>
      <c r="CJ109" s="240">
        <f>CJ107+CJ108</f>
        <v>1456371</v>
      </c>
      <c r="CK109" s="240">
        <f>CK107+CK108</f>
        <v>1416405</v>
      </c>
      <c r="CL109" s="240">
        <f>CL107+CL108</f>
        <v>1610167</v>
      </c>
      <c r="CM109" s="241">
        <f>CL109</f>
        <v>1610167</v>
      </c>
      <c r="CN109" s="240">
        <f>CN107+CN108</f>
        <v>1629492</v>
      </c>
      <c r="CO109" s="240">
        <f>CO107+CO108</f>
        <v>1666425</v>
      </c>
      <c r="CP109" s="240">
        <f>CP107+CP108</f>
        <v>1837236</v>
      </c>
      <c r="CQ109" s="240">
        <f>CQ107+CQ108</f>
        <v>1887689</v>
      </c>
      <c r="CR109" s="241">
        <f>CQ109</f>
        <v>1887689</v>
      </c>
      <c r="CS109" s="240">
        <f>CS107+CS108</f>
        <v>2014327</v>
      </c>
      <c r="CT109" s="240">
        <f>CT107+CT108</f>
        <v>2174443</v>
      </c>
      <c r="CU109" s="240">
        <f>CU107+CU108</f>
        <v>2217099</v>
      </c>
      <c r="CV109" s="240">
        <f>CV107+CV108</f>
        <v>2382885</v>
      </c>
      <c r="CW109" s="241">
        <f>CV109</f>
        <v>2382885</v>
      </c>
      <c r="CX109" s="240">
        <f>CX107+CX108</f>
        <v>2565121</v>
      </c>
      <c r="CY109" s="240">
        <f>CY107+CY108</f>
        <v>2637529</v>
      </c>
      <c r="CZ109" s="240">
        <f>CZ107+CZ108</f>
        <v>2833682</v>
      </c>
      <c r="DA109" s="240">
        <f>DA107+DA108</f>
        <v>3197679</v>
      </c>
      <c r="DB109" s="241">
        <f>DA109</f>
        <v>3197679</v>
      </c>
      <c r="DC109" s="240">
        <f>DC107+DC108</f>
        <v>3426132</v>
      </c>
      <c r="DD109" s="240">
        <f>DD107+DD108</f>
        <v>3573118</v>
      </c>
      <c r="DE109" s="240">
        <f>DE107+DE108</f>
        <v>3500904</v>
      </c>
      <c r="DF109" s="240">
        <f>DF107+DF108</f>
        <v>4032741</v>
      </c>
      <c r="DG109" s="241">
        <f>DF109</f>
        <v>4032741</v>
      </c>
      <c r="DH109" s="240">
        <f>DH107+DH108</f>
        <v>4193837</v>
      </c>
      <c r="DI109" s="240">
        <f>DI107+DI108</f>
        <v>4423911</v>
      </c>
      <c r="DJ109" s="240">
        <f>DJ107+DJ108</f>
        <v>4804151.3280001786</v>
      </c>
      <c r="DK109" s="240">
        <f>DK107+DK108</f>
        <v>5288624.39334381</v>
      </c>
      <c r="DL109" s="241">
        <f>DK109</f>
        <v>5288624.39334381</v>
      </c>
      <c r="DM109" s="240">
        <f>DM107+DM108</f>
        <v>5434567.3874012716</v>
      </c>
      <c r="DN109" s="240">
        <f>DN107+DN108</f>
        <v>5677311.8266324904</v>
      </c>
      <c r="DO109" s="240">
        <f>DO107+DO108</f>
        <v>5976897.1235773545</v>
      </c>
      <c r="DP109" s="240">
        <f>DP107+DP108</f>
        <v>6397113.9032964688</v>
      </c>
      <c r="DQ109" s="241">
        <f>DP109</f>
        <v>6397113.9032964688</v>
      </c>
      <c r="DR109" s="240">
        <f>DR107+DR108</f>
        <v>6432348.7408418432</v>
      </c>
      <c r="DS109" s="240">
        <f>DS107+DS108</f>
        <v>6583001.0022250582</v>
      </c>
      <c r="DT109" s="240">
        <f>DT107+DT108</f>
        <v>6809026.6405756585</v>
      </c>
      <c r="DU109" s="240">
        <f>DU107+DU108</f>
        <v>7175165.2591184936</v>
      </c>
      <c r="DV109" s="241">
        <f>DU109</f>
        <v>7175165.2591184936</v>
      </c>
      <c r="DW109" s="240">
        <f>DW107+DW108</f>
        <v>7150637.7524850108</v>
      </c>
      <c r="DX109" s="240">
        <f>DX107+DX108</f>
        <v>7256625.9814940915</v>
      </c>
      <c r="DY109" s="240">
        <f>DY107+DY108</f>
        <v>7448898.114668401</v>
      </c>
      <c r="DZ109" s="240">
        <f>DZ107+DZ108</f>
        <v>7795016.4686232563</v>
      </c>
      <c r="EA109" s="241">
        <f>DZ109</f>
        <v>7795016.4686232563</v>
      </c>
      <c r="EB109" s="240">
        <f>EB107+EB108</f>
        <v>7739415.3775474429</v>
      </c>
      <c r="EC109" s="240">
        <f>EC107+EC108</f>
        <v>7825056.8748000786</v>
      </c>
      <c r="ED109" s="240">
        <f>ED107+ED108</f>
        <v>8003988.3363998216</v>
      </c>
      <c r="EE109" s="240">
        <f>EE107+EE108</f>
        <v>8345601.1571411267</v>
      </c>
      <c r="EF109" s="241">
        <f>EE109</f>
        <v>8345601.1571411267</v>
      </c>
    </row>
    <row r="110" spans="1:136" s="96" customFormat="1" ht="12.75" customHeight="1">
      <c r="A110" s="96" t="s">
        <v>124</v>
      </c>
      <c r="B110" s="242" t="e">
        <f t="shared" ref="B110:BM110" si="340">(B109)/B107</f>
        <v>#DIV/0!</v>
      </c>
      <c r="C110" s="242" t="e">
        <f t="shared" si="340"/>
        <v>#DIV/0!</v>
      </c>
      <c r="D110" s="242" t="e">
        <f t="shared" si="340"/>
        <v>#DIV/0!</v>
      </c>
      <c r="E110" s="242">
        <f t="shared" si="340"/>
        <v>0.46514293797131517</v>
      </c>
      <c r="F110" s="243">
        <f t="shared" si="340"/>
        <v>0.46514293797131517</v>
      </c>
      <c r="G110" s="242">
        <f t="shared" si="340"/>
        <v>0.44625124272931926</v>
      </c>
      <c r="H110" s="242">
        <f t="shared" si="340"/>
        <v>0.44234332300251822</v>
      </c>
      <c r="I110" s="242">
        <f t="shared" si="340"/>
        <v>0.49875500703691678</v>
      </c>
      <c r="J110" s="242">
        <f t="shared" si="340"/>
        <v>0.46459598707786126</v>
      </c>
      <c r="K110" s="243">
        <f t="shared" si="340"/>
        <v>0.46459598707786126</v>
      </c>
      <c r="L110" s="242">
        <f t="shared" si="340"/>
        <v>0.43946351299473352</v>
      </c>
      <c r="M110" s="242">
        <f t="shared" si="340"/>
        <v>0.44017261179026795</v>
      </c>
      <c r="N110" s="242">
        <f t="shared" si="340"/>
        <v>0.43649282119981758</v>
      </c>
      <c r="O110" s="242">
        <f t="shared" si="340"/>
        <v>0.42050771528123443</v>
      </c>
      <c r="P110" s="243">
        <f t="shared" si="340"/>
        <v>0.42050771528123443</v>
      </c>
      <c r="Q110" s="242">
        <f t="shared" si="340"/>
        <v>1</v>
      </c>
      <c r="R110" s="242">
        <f t="shared" si="340"/>
        <v>1</v>
      </c>
      <c r="S110" s="242">
        <f t="shared" si="340"/>
        <v>1</v>
      </c>
      <c r="T110" s="242">
        <f t="shared" si="340"/>
        <v>0.38000000000000006</v>
      </c>
      <c r="U110" s="243">
        <f t="shared" si="340"/>
        <v>0.38000000000000006</v>
      </c>
      <c r="V110" s="242">
        <f t="shared" si="340"/>
        <v>0.37999999999999995</v>
      </c>
      <c r="W110" s="242">
        <f t="shared" si="340"/>
        <v>0.38</v>
      </c>
      <c r="X110" s="242">
        <f>(X109)/X107</f>
        <v>0.38</v>
      </c>
      <c r="Y110" s="242">
        <f t="shared" si="340"/>
        <v>0.3721376179821767</v>
      </c>
      <c r="Z110" s="243">
        <f t="shared" si="340"/>
        <v>0.3721376179821767</v>
      </c>
      <c r="AA110" s="242">
        <f t="shared" si="340"/>
        <v>0.37098149915101558</v>
      </c>
      <c r="AB110" s="242">
        <f>(AB109)/AB107</f>
        <v>0.36036286242436039</v>
      </c>
      <c r="AC110" s="242">
        <f>(AC109)/AC107</f>
        <v>0.36371342083172503</v>
      </c>
      <c r="AD110" s="242">
        <f t="shared" si="340"/>
        <v>0.36815704023535822</v>
      </c>
      <c r="AE110" s="243">
        <f t="shared" si="340"/>
        <v>0.36815704023535822</v>
      </c>
      <c r="AF110" s="242">
        <f t="shared" si="340"/>
        <v>0.36744305521949383</v>
      </c>
      <c r="AG110" s="242">
        <f>(AG109)/AG107</f>
        <v>0.3587491403559076</v>
      </c>
      <c r="AH110" s="242">
        <f>(AH109)/AH107</f>
        <v>0.36736703545950744</v>
      </c>
      <c r="AI110" s="242">
        <f>(AI109)/AI107</f>
        <v>0.33525185038272287</v>
      </c>
      <c r="AJ110" s="243">
        <f t="shared" si="340"/>
        <v>0.33525185038272287</v>
      </c>
      <c r="AK110" s="242">
        <f>(AK109)/AK107</f>
        <v>0.33449140759672163</v>
      </c>
      <c r="AL110" s="242">
        <f>(AL109)/AL107</f>
        <v>0.3415609695326291</v>
      </c>
      <c r="AM110" s="242">
        <f t="shared" si="340"/>
        <v>0.35535135271266582</v>
      </c>
      <c r="AN110" s="242">
        <f>(AN109)/AN107</f>
        <v>0.3610548048077406</v>
      </c>
      <c r="AO110" s="243">
        <f t="shared" si="340"/>
        <v>0.3610548048077406</v>
      </c>
      <c r="AP110" s="242">
        <f>(AP109)/AP107</f>
        <v>0.36503682321541386</v>
      </c>
      <c r="AQ110" s="242">
        <f>(AQ109)/AQ107</f>
        <v>0.36284378900147779</v>
      </c>
      <c r="AR110" s="242">
        <f>(AR109)/AR107</f>
        <v>0.36220605650482152</v>
      </c>
      <c r="AS110" s="242">
        <f t="shared" si="340"/>
        <v>0.38916845559207075</v>
      </c>
      <c r="AT110" s="243">
        <f t="shared" si="340"/>
        <v>0.38916845559207075</v>
      </c>
      <c r="AU110" s="242">
        <f>(AU109)/AU107</f>
        <v>0.39702233029677864</v>
      </c>
      <c r="AV110" s="242">
        <f t="shared" si="340"/>
        <v>0.39599519544813677</v>
      </c>
      <c r="AW110" s="242">
        <f>(AW109)/AW107</f>
        <v>0.39668898564099447</v>
      </c>
      <c r="AX110" s="242">
        <f>(AX109)/AX107</f>
        <v>0.39519871872045192</v>
      </c>
      <c r="AY110" s="243">
        <f t="shared" si="340"/>
        <v>0.39519871872045192</v>
      </c>
      <c r="AZ110" s="242">
        <f>(AZ109)/AZ107</f>
        <v>0.38996732096503783</v>
      </c>
      <c r="BA110" s="242">
        <f t="shared" si="340"/>
        <v>0.39130323616569207</v>
      </c>
      <c r="BB110" s="242">
        <f>(BB109)/BB107</f>
        <v>0.38536495744756094</v>
      </c>
      <c r="BC110" s="242">
        <f>(BC109)/BC107</f>
        <v>0.38295731520093446</v>
      </c>
      <c r="BD110" s="243">
        <f t="shared" si="340"/>
        <v>0.38295731520093446</v>
      </c>
      <c r="BE110" s="242">
        <f>(BE109)/BE107</f>
        <v>0.38203837001399676</v>
      </c>
      <c r="BF110" s="242">
        <f>(BF109)/BF107</f>
        <v>0.38647127700049516</v>
      </c>
      <c r="BG110" s="242">
        <f>(BG109)/BG107</f>
        <v>0.38700855569569503</v>
      </c>
      <c r="BH110" s="242">
        <f>(BH109)/BH107</f>
        <v>0.38705750595102068</v>
      </c>
      <c r="BI110" s="243">
        <f t="shared" si="340"/>
        <v>0.38705750595102068</v>
      </c>
      <c r="BJ110" s="242">
        <f t="shared" si="340"/>
        <v>0.38820552445740786</v>
      </c>
      <c r="BK110" s="242">
        <f t="shared" si="340"/>
        <v>0.38664020313880387</v>
      </c>
      <c r="BL110" s="242">
        <f t="shared" si="340"/>
        <v>0.38778758237393035</v>
      </c>
      <c r="BM110" s="242">
        <f t="shared" si="340"/>
        <v>0.38525090809631041</v>
      </c>
      <c r="BN110" s="243">
        <f t="shared" ref="BN110:BY110" si="341">(BN109)/BN107</f>
        <v>0.38525090809631041</v>
      </c>
      <c r="BO110" s="242">
        <f t="shared" si="341"/>
        <v>0.38943010302776715</v>
      </c>
      <c r="BP110" s="242">
        <f>(BP109)/BP107</f>
        <v>0.39843449019725158</v>
      </c>
      <c r="BQ110" s="242">
        <f t="shared" si="341"/>
        <v>0.38868500575580117</v>
      </c>
      <c r="BR110" s="242">
        <f t="shared" si="341"/>
        <v>0.38973695172581407</v>
      </c>
      <c r="BS110" s="243">
        <f t="shared" si="341"/>
        <v>0.38973695172581407</v>
      </c>
      <c r="BT110" s="242">
        <f>(BT109)/BT107</f>
        <v>0.40518267390520474</v>
      </c>
      <c r="BU110" s="242">
        <f>(BU109)/BU107</f>
        <v>0.3999221973157418</v>
      </c>
      <c r="BV110" s="242">
        <f>(BV109)/BV107</f>
        <v>0.40398741386260767</v>
      </c>
      <c r="BW110" s="242">
        <f>(BW109)/BW107</f>
        <v>0.40425206854128637</v>
      </c>
      <c r="BX110" s="243">
        <f t="shared" si="341"/>
        <v>0.40425206854128637</v>
      </c>
      <c r="BY110" s="242">
        <f t="shared" si="341"/>
        <v>0.39163304277380018</v>
      </c>
      <c r="BZ110" s="242">
        <f t="shared" ref="BZ110:DB110" si="342">(BZ109)/BZ107</f>
        <v>0.38578280765668627</v>
      </c>
      <c r="CA110" s="242">
        <f t="shared" si="342"/>
        <v>0.38315006191831485</v>
      </c>
      <c r="CB110" s="242">
        <f t="shared" si="342"/>
        <v>0.38149338553384543</v>
      </c>
      <c r="CC110" s="243">
        <f t="shared" si="342"/>
        <v>0.38149338553384543</v>
      </c>
      <c r="CD110" s="242">
        <f t="shared" si="342"/>
        <v>0.37992860983576726</v>
      </c>
      <c r="CE110" s="242">
        <f t="shared" si="342"/>
        <v>0.37370134756858614</v>
      </c>
      <c r="CF110" s="242">
        <f t="shared" si="342"/>
        <v>0.36890560779939163</v>
      </c>
      <c r="CG110" s="242">
        <f t="shared" si="342"/>
        <v>0.36643083286318567</v>
      </c>
      <c r="CH110" s="243">
        <f t="shared" si="342"/>
        <v>0.36643083286318567</v>
      </c>
      <c r="CI110" s="242">
        <f t="shared" si="342"/>
        <v>0.36338084962012923</v>
      </c>
      <c r="CJ110" s="242">
        <f t="shared" si="342"/>
        <v>0.36862825995340165</v>
      </c>
      <c r="CK110" s="242">
        <f t="shared" si="342"/>
        <v>0.36467819399966939</v>
      </c>
      <c r="CL110" s="242">
        <f t="shared" si="342"/>
        <v>0.36987783811597796</v>
      </c>
      <c r="CM110" s="243">
        <f t="shared" si="342"/>
        <v>0.36987783811597796</v>
      </c>
      <c r="CN110" s="242">
        <f t="shared" si="342"/>
        <v>0.36452866961035174</v>
      </c>
      <c r="CO110" s="242">
        <f t="shared" si="342"/>
        <v>0.35750565030233272</v>
      </c>
      <c r="CP110" s="242">
        <f t="shared" si="342"/>
        <v>0.35965371968662269</v>
      </c>
      <c r="CQ110" s="242">
        <f t="shared" si="342"/>
        <v>0.35998314970786599</v>
      </c>
      <c r="CR110" s="243">
        <f t="shared" si="342"/>
        <v>0.35998314970786599</v>
      </c>
      <c r="CS110" s="242">
        <f t="shared" si="342"/>
        <v>0.34985343798517132</v>
      </c>
      <c r="CT110" s="242">
        <f t="shared" si="342"/>
        <v>0.34780904151264508</v>
      </c>
      <c r="CU110" s="242">
        <f t="shared" si="342"/>
        <v>0.34900962512026679</v>
      </c>
      <c r="CV110" s="242">
        <f t="shared" si="342"/>
        <v>0.359211529573294</v>
      </c>
      <c r="CW110" s="243">
        <f t="shared" si="342"/>
        <v>0.359211529573294</v>
      </c>
      <c r="CX110" s="242">
        <f t="shared" si="342"/>
        <v>0.3610297405507914</v>
      </c>
      <c r="CY110" s="242">
        <f t="shared" ref="CY110:DA110" si="343">(CY109)/CY107</f>
        <v>0.36299925611776046</v>
      </c>
      <c r="CZ110" s="242">
        <f t="shared" si="343"/>
        <v>0.36378866924034736</v>
      </c>
      <c r="DA110" s="242">
        <f t="shared" si="343"/>
        <v>0.36377404656433937</v>
      </c>
      <c r="DB110" s="243">
        <f t="shared" si="342"/>
        <v>0.36377404656433937</v>
      </c>
      <c r="DC110" s="242">
        <f t="shared" ref="DC110:DF110" si="344">(DC109)/DC107</f>
        <v>0.36305478164781102</v>
      </c>
      <c r="DD110" s="242">
        <f t="shared" si="344"/>
        <v>0.36278893336367135</v>
      </c>
      <c r="DE110" s="242">
        <f t="shared" si="344"/>
        <v>0.36349651496855528</v>
      </c>
      <c r="DF110" s="242">
        <f t="shared" si="344"/>
        <v>0.35951219094719938</v>
      </c>
      <c r="DG110" s="243">
        <f t="shared" ref="DG110:EF110" si="345">(DG109)/DG107</f>
        <v>0.35951219094719938</v>
      </c>
      <c r="DH110" s="242">
        <f t="shared" si="345"/>
        <v>0.35961235128649588</v>
      </c>
      <c r="DI110" s="242">
        <f t="shared" si="345"/>
        <v>0.36176293306016305</v>
      </c>
      <c r="DJ110" s="242">
        <f t="shared" si="345"/>
        <v>0.3615502115776319</v>
      </c>
      <c r="DK110" s="242">
        <f t="shared" si="345"/>
        <v>0.36134607712325673</v>
      </c>
      <c r="DL110" s="243">
        <f t="shared" si="345"/>
        <v>0.36134607712325673</v>
      </c>
      <c r="DM110" s="242">
        <f t="shared" si="345"/>
        <v>0.36045349098808599</v>
      </c>
      <c r="DN110" s="242">
        <f t="shared" si="345"/>
        <v>0.35947803243549287</v>
      </c>
      <c r="DO110" s="242">
        <f t="shared" si="345"/>
        <v>0.35852229437366451</v>
      </c>
      <c r="DP110" s="242">
        <f t="shared" si="345"/>
        <v>0.35754913982615227</v>
      </c>
      <c r="DQ110" s="243">
        <f t="shared" si="345"/>
        <v>0.35754913982615227</v>
      </c>
      <c r="DR110" s="242">
        <f t="shared" si="345"/>
        <v>0.35707876911542002</v>
      </c>
      <c r="DS110" s="242">
        <f t="shared" si="345"/>
        <v>0.35653019202399311</v>
      </c>
      <c r="DT110" s="242">
        <f t="shared" si="345"/>
        <v>0.35596147359710734</v>
      </c>
      <c r="DU110" s="242">
        <f t="shared" si="345"/>
        <v>0.35535399002718354</v>
      </c>
      <c r="DV110" s="243">
        <f t="shared" si="345"/>
        <v>0.35535399002718354</v>
      </c>
      <c r="DW110" s="242">
        <f t="shared" si="345"/>
        <v>0.35505583168577515</v>
      </c>
      <c r="DX110" s="242">
        <f t="shared" si="345"/>
        <v>0.35469699013911454</v>
      </c>
      <c r="DY110" s="242">
        <f t="shared" si="345"/>
        <v>0.35431610561467392</v>
      </c>
      <c r="DZ110" s="242">
        <f t="shared" si="345"/>
        <v>0.35390048159272308</v>
      </c>
      <c r="EA110" s="243">
        <f t="shared" si="345"/>
        <v>0.35390048159272308</v>
      </c>
      <c r="EB110" s="242">
        <f t="shared" si="345"/>
        <v>0.35369426209385368</v>
      </c>
      <c r="EC110" s="242">
        <f t="shared" si="345"/>
        <v>0.353442909243532</v>
      </c>
      <c r="ED110" s="242">
        <f t="shared" si="345"/>
        <v>0.35317358102653051</v>
      </c>
      <c r="EE110" s="242">
        <f t="shared" si="345"/>
        <v>0.3528774105609529</v>
      </c>
      <c r="EF110" s="243">
        <f t="shared" si="345"/>
        <v>0.3528774105609529</v>
      </c>
    </row>
    <row r="111" spans="1:136" outlineLevel="1">
      <c r="A111" s="66" t="s">
        <v>121</v>
      </c>
      <c r="B111" s="114"/>
      <c r="C111" s="114">
        <f>B107-('Income Statement'!C5+36600)</f>
        <v>-142255</v>
      </c>
      <c r="D111" s="114">
        <f>C107-'Income Statement'!D5</f>
        <v>-113887</v>
      </c>
      <c r="E111" s="114">
        <f>D107-('Income Statement'!E5+267000)</f>
        <v>-455437</v>
      </c>
      <c r="F111" s="89">
        <f>E111</f>
        <v>-455437</v>
      </c>
      <c r="G111" s="114">
        <f>F107-'Income Statement'!G5</f>
        <v>510930</v>
      </c>
      <c r="H111" s="114">
        <f>G107-('Income Statement'!H5+36600)</f>
        <v>607781</v>
      </c>
      <c r="I111" s="114">
        <f>H107-'Income Statement'!I5</f>
        <v>583747</v>
      </c>
      <c r="J111" s="114">
        <f>I107-('Income Statement'!J5+267000)</f>
        <v>542293</v>
      </c>
      <c r="K111" s="89">
        <f>J111</f>
        <v>542293</v>
      </c>
      <c r="L111" s="114">
        <f>K107-'Income Statement'!L5</f>
        <v>792907</v>
      </c>
      <c r="M111" s="114">
        <f>L107-('Income Statement'!M5+36600)</f>
        <v>782483</v>
      </c>
      <c r="N111" s="114">
        <f>M107-'Income Statement'!N5</f>
        <v>1138015</v>
      </c>
      <c r="O111" s="114">
        <f>N107-('Income Statement'!O5+267000)</f>
        <v>754191</v>
      </c>
      <c r="P111" s="89">
        <f>O111</f>
        <v>754191</v>
      </c>
      <c r="Q111" s="114">
        <f>P107-'Income Statement'!Q5</f>
        <v>1303760</v>
      </c>
      <c r="R111" s="114">
        <f>Q107-('Income Statement'!R5+36600)</f>
        <v>1694218</v>
      </c>
      <c r="S111" s="114">
        <f>R107-'Income Statement'!S5</f>
        <v>1596261</v>
      </c>
      <c r="T111" s="114">
        <f>S107-('Income Statement'!T5+267000)</f>
        <v>1077281</v>
      </c>
      <c r="U111" s="89">
        <f>T111</f>
        <v>1077281</v>
      </c>
      <c r="V111" s="114">
        <f>U107-'Income Statement'!V5</f>
        <v>2879931</v>
      </c>
      <c r="W111" s="114">
        <f>V107-('Income Statement'!W5+36600)</f>
        <v>3072684</v>
      </c>
      <c r="X111" s="114">
        <f>W107-'Income Statement'!X5</f>
        <v>4284340</v>
      </c>
      <c r="Y111" s="114">
        <f>X107-('Income Statement'!Y5+267000)</f>
        <v>4291118</v>
      </c>
      <c r="Z111" s="89">
        <f>Y111</f>
        <v>4291118</v>
      </c>
      <c r="AA111" s="114">
        <f>Z107-'Income Statement'!AA5</f>
        <v>4433943</v>
      </c>
      <c r="AB111" s="114">
        <f>AA107-('Income Statement'!AB5+36600)</f>
        <v>3983066</v>
      </c>
      <c r="AC111" s="114">
        <f>AB107-'Income Statement'!AC5</f>
        <v>2947924</v>
      </c>
      <c r="AD111" s="114">
        <f>AC107-('Income Statement'!AD5+267000)</f>
        <v>3036325</v>
      </c>
      <c r="AE111" s="89">
        <f>AD111</f>
        <v>3036325</v>
      </c>
      <c r="AF111" s="114">
        <f>AE107-'Income Statement'!AF5</f>
        <v>4065390</v>
      </c>
      <c r="AG111" s="297">
        <f>AF107-('Income Statement'!AG5+36600)</f>
        <v>3977177</v>
      </c>
      <c r="AH111" s="114">
        <f>AG107-'Income Statement'!AH5</f>
        <v>4669992</v>
      </c>
      <c r="AI111" s="297">
        <f>AH107-('Income Statement'!AI5+267000)</f>
        <v>4124734</v>
      </c>
      <c r="AJ111" s="89">
        <f>AI111</f>
        <v>4124734</v>
      </c>
      <c r="AK111" s="114">
        <f>AJ107-'Income Statement'!AK5</f>
        <v>4910372</v>
      </c>
      <c r="AL111" s="114">
        <f>AK107-'Income Statement'!AL5</f>
        <v>4561553</v>
      </c>
      <c r="AM111" s="114">
        <f>AL107-'Income Statement'!AM5</f>
        <v>4722241</v>
      </c>
      <c r="AN111" s="114">
        <f>AM107-'Income Statement'!AN5</f>
        <v>4311647</v>
      </c>
      <c r="AO111" s="89">
        <f>AN111</f>
        <v>4311647</v>
      </c>
      <c r="AP111" s="114">
        <f>AO107-'Income Statement'!AP5</f>
        <v>4887531</v>
      </c>
      <c r="AQ111" s="114">
        <f>AP107-'Income Statement'!AQ5</f>
        <v>4950351</v>
      </c>
      <c r="AR111" s="114">
        <f>AQ107-'Income Statement'!AR5</f>
        <v>4768498</v>
      </c>
      <c r="AS111" s="114">
        <f>AR107-'Income Statement'!AS5</f>
        <v>4509600</v>
      </c>
      <c r="AT111" s="89">
        <f>AS111</f>
        <v>4509600</v>
      </c>
      <c r="AU111" s="307">
        <f>AT107-Forecasts!AU40</f>
        <v>4922116.92</v>
      </c>
      <c r="AV111" s="307">
        <f>AU107-Forecasts!AV40</f>
        <v>4716990.5999999996</v>
      </c>
      <c r="AW111" s="307">
        <f>AV107-Forecasts!AW40</f>
        <v>4651289.16</v>
      </c>
      <c r="AX111" s="307">
        <f>AW107-Forecasts!AX40</f>
        <v>4617397.07</v>
      </c>
      <c r="AY111" s="89">
        <f>AX111</f>
        <v>4617397.07</v>
      </c>
      <c r="AZ111" s="307">
        <f>AY107-Forecasts!AZ40</f>
        <v>4346854.68</v>
      </c>
      <c r="BA111" s="307">
        <f>AZ107-Forecasts!BA40</f>
        <v>4486729.8</v>
      </c>
      <c r="BB111" s="307">
        <f>BA107-Forecasts!BB40</f>
        <v>3965865.54</v>
      </c>
      <c r="BC111" s="307">
        <f>BB107-Forecasts!BC40</f>
        <v>3966509.41</v>
      </c>
      <c r="BD111" s="89">
        <f>BC111</f>
        <v>3966509.41</v>
      </c>
      <c r="BE111" s="307">
        <f>BD107-Forecasts!BE40</f>
        <v>3757408.34</v>
      </c>
      <c r="BF111" s="307">
        <f>BE107-Forecasts!BF40</f>
        <v>3591170.96</v>
      </c>
      <c r="BG111" s="307">
        <f>BF107-Forecasts!BG40</f>
        <v>3488280.01</v>
      </c>
      <c r="BH111" s="307">
        <f>BG107-Forecasts!BH40</f>
        <v>3194816.76</v>
      </c>
      <c r="BI111" s="89">
        <f>BH111</f>
        <v>3194816.76</v>
      </c>
      <c r="BJ111" s="307">
        <f>BI107-Forecasts!BJ40</f>
        <v>2923679.15</v>
      </c>
      <c r="BK111" s="307">
        <f>BJ107-Forecasts!BK40</f>
        <v>2575851.88</v>
      </c>
      <c r="BL111" s="307">
        <f>BK107-Forecasts!BL40</f>
        <v>2285802.5699999998</v>
      </c>
      <c r="BM111" s="307">
        <f>BL107-Forecasts!BM40</f>
        <v>1890877.36</v>
      </c>
      <c r="BN111" s="89">
        <f>BM111</f>
        <v>1890877.36</v>
      </c>
      <c r="BO111" s="307">
        <f>BN107-Forecasts!BO40</f>
        <v>1796466.94</v>
      </c>
      <c r="BP111" s="307">
        <f>BO107-Forecasts!BP40</f>
        <v>1622684.88</v>
      </c>
      <c r="BQ111" s="307">
        <f>BP107-Forecasts!BQ40</f>
        <v>1466510.1400000001</v>
      </c>
      <c r="BR111" s="307">
        <f>BQ107-Forecasts!BR40</f>
        <v>1341307.6200000001</v>
      </c>
      <c r="BS111" s="89">
        <f>BR111</f>
        <v>1341307.6200000001</v>
      </c>
      <c r="BT111" s="307">
        <f>BS107-Forecasts!BT40</f>
        <v>1389386.04</v>
      </c>
      <c r="BU111" s="307">
        <f>BT107-Forecasts!BU40</f>
        <v>1332512.1599999999</v>
      </c>
      <c r="BV111" s="307">
        <f>BU107-Forecasts!BV40</f>
        <v>1280469.96</v>
      </c>
      <c r="BW111" s="307">
        <f>BV107-Forecasts!BW40</f>
        <v>1241899.68</v>
      </c>
      <c r="BX111" s="89">
        <f>BW111</f>
        <v>1241899.68</v>
      </c>
      <c r="BY111" s="307">
        <f>BX107-Forecasts!BY40</f>
        <v>1462508.88</v>
      </c>
      <c r="BZ111" s="307">
        <f>BY107-Forecasts!BZ40</f>
        <v>1596781.2</v>
      </c>
      <c r="CA111" s="307">
        <f>BZ107-Forecasts!CA40</f>
        <v>1966319.04</v>
      </c>
      <c r="CB111" s="307">
        <f>CA107-Forecasts!CB40</f>
        <v>2142112.56</v>
      </c>
      <c r="CC111" s="89">
        <f>CB111</f>
        <v>2142112.56</v>
      </c>
      <c r="CD111" s="307">
        <f>CC107-Forecasts!CD40</f>
        <v>2491439.16</v>
      </c>
      <c r="CE111" s="307">
        <f>CD107-Forecasts!CE40</f>
        <v>2566706.52</v>
      </c>
      <c r="CF111" s="307">
        <f>CE107-Forecasts!CF40</f>
        <v>2556088.08</v>
      </c>
      <c r="CG111" s="307">
        <f>CF107-Forecasts!CG40</f>
        <v>2536911.7199999997</v>
      </c>
      <c r="CH111" s="89">
        <f>CG111</f>
        <v>2536911.7199999997</v>
      </c>
      <c r="CI111" s="307">
        <f>CH107-Forecasts!CI40</f>
        <v>2852029.65</v>
      </c>
      <c r="CJ111" s="307">
        <f>CI107-Forecasts!CJ40</f>
        <v>3056566</v>
      </c>
      <c r="CK111" s="307">
        <f>CJ107-Forecasts!CK40</f>
        <v>3358167.25</v>
      </c>
      <c r="CL111" s="307">
        <f>CK107-Forecasts!CL40</f>
        <v>3301388.1</v>
      </c>
      <c r="CM111" s="89">
        <f>CL111</f>
        <v>3301388.1</v>
      </c>
      <c r="CN111" s="307">
        <f>CM107-Forecasts!CN40</f>
        <v>3809085</v>
      </c>
      <c r="CO111" s="307">
        <f>CN107-Forecasts!CO40</f>
        <v>3911367.25</v>
      </c>
      <c r="CP111" s="307">
        <f>CO107-Forecasts!CP40</f>
        <v>4078598.125</v>
      </c>
      <c r="CQ111" s="307">
        <f>CP107-Forecasts!CQ40</f>
        <v>4469803.625</v>
      </c>
      <c r="CR111" s="89">
        <f>CQ111</f>
        <v>4469803.625</v>
      </c>
      <c r="CS111" s="307">
        <f>CR107-Forecasts!CS40</f>
        <v>4588347.75</v>
      </c>
      <c r="CT111" s="307">
        <f>CS107-Forecasts!CT40</f>
        <v>5037927.125</v>
      </c>
      <c r="CU111" s="307">
        <f>CT107-Forecasts!CU40</f>
        <v>5470351.25</v>
      </c>
      <c r="CV111" s="307">
        <f>CU107-Forecasts!CV40</f>
        <v>5558476</v>
      </c>
      <c r="CW111" s="89">
        <f>CV111</f>
        <v>5558476</v>
      </c>
      <c r="CX111" s="307">
        <f>CW107-Forecasts!CX40</f>
        <v>5804447.25</v>
      </c>
      <c r="CY111" s="307">
        <f>CX107-Forecasts!CY40</f>
        <v>6216886.375</v>
      </c>
      <c r="CZ111" s="307">
        <f>CY107-Forecasts!CZ40</f>
        <v>6357693.125</v>
      </c>
      <c r="DA111" s="307">
        <f>CZ107-Forecasts!DA40</f>
        <v>6815692.625</v>
      </c>
      <c r="DB111" s="89">
        <f>DA111</f>
        <v>6815692.625</v>
      </c>
      <c r="DC111" s="307">
        <f>DB107-Forecasts!DC40</f>
        <v>7911260.0999999996</v>
      </c>
      <c r="DD111" s="307">
        <f>DC107-Forecasts!DD40</f>
        <v>8493260.4000000004</v>
      </c>
      <c r="DE111" s="307">
        <f>DD107-Forecasts!DE40</f>
        <v>8864124.3000000007</v>
      </c>
      <c r="DF111" s="307">
        <f>DE107-Forecasts!DF40</f>
        <v>8427291.25</v>
      </c>
      <c r="DG111" s="89">
        <f>DF111</f>
        <v>8427291.25</v>
      </c>
      <c r="DH111" s="307">
        <f>DG107-Forecasts!DH40</f>
        <v>10095532.199999999</v>
      </c>
      <c r="DI111" s="307">
        <f>DH107-Forecasts!DI40</f>
        <v>10495894.5</v>
      </c>
      <c r="DJ111" s="307">
        <f>DI107-Forecasts!DJ40</f>
        <v>11005881.300000001</v>
      </c>
      <c r="DK111" s="307">
        <f>DJ107-Forecasts!DK40</f>
        <v>11958881.662199691</v>
      </c>
      <c r="DL111" s="89">
        <f>DK111</f>
        <v>11958881.662199691</v>
      </c>
      <c r="DM111" s="307">
        <f>DL107-Forecasts!DM40</f>
        <v>13172308.364055805</v>
      </c>
      <c r="DN111" s="307">
        <f>DM107-Forecasts!DN40</f>
        <v>13569325.227655541</v>
      </c>
      <c r="DO111" s="307">
        <f>DN107-Forecasts!DO40</f>
        <v>14213888.424144913</v>
      </c>
      <c r="DP111" s="307">
        <f>DO107-Forecasts!DP40</f>
        <v>15003829.596195823</v>
      </c>
      <c r="DQ111" s="89">
        <f>DP111</f>
        <v>15003829.596195823</v>
      </c>
      <c r="DR111" s="307">
        <f>DQ107-Forecasts!DR40</f>
        <v>16102409.072403835</v>
      </c>
      <c r="DS111" s="307">
        <f>DR107-Forecasts!DS40</f>
        <v>16212428.090022961</v>
      </c>
      <c r="DT111" s="307">
        <f>DS107-Forecasts!DT40</f>
        <v>16617669.511713732</v>
      </c>
      <c r="DU111" s="307">
        <f>DT107-Forecasts!DU40</f>
        <v>17215694.481179077</v>
      </c>
      <c r="DV111" s="89">
        <f>DU111</f>
        <v>17215694.481179077</v>
      </c>
      <c r="DW111" s="307">
        <f>DV107-Forecasts!DW40</f>
        <v>18172439.073253836</v>
      </c>
      <c r="DX111" s="307">
        <f>DW107-Forecasts!DX40</f>
        <v>18125526.756400384</v>
      </c>
      <c r="DY111" s="307">
        <f>DX107-Forecasts!DY40</f>
        <v>18412796.175076634</v>
      </c>
      <c r="DZ111" s="307">
        <f>DY107-Forecasts!DZ40</f>
        <v>18920981.002461988</v>
      </c>
      <c r="EA111" s="89">
        <f>DZ111</f>
        <v>18920981.002461988</v>
      </c>
      <c r="EB111" s="307">
        <f>EA107-Forecasts!EB40</f>
        <v>19823411.344872225</v>
      </c>
      <c r="EC111" s="307">
        <f>EB107-Forecasts!EC40</f>
        <v>19693488.377666675</v>
      </c>
      <c r="ED111" s="307">
        <f>EC107-Forecasts!ED40</f>
        <v>19925569.31582848</v>
      </c>
      <c r="EE111" s="307">
        <f>ED107-Forecasts!EE40</f>
        <v>20396739.421510421</v>
      </c>
      <c r="EF111" s="89">
        <f>EE111</f>
        <v>20396739.421510421</v>
      </c>
    </row>
    <row r="112" spans="1:136" s="157" customFormat="1" outlineLevel="1">
      <c r="A112" s="348" t="s">
        <v>742</v>
      </c>
      <c r="B112" s="244"/>
      <c r="C112" s="244">
        <f>C107-C111</f>
        <v>142255</v>
      </c>
      <c r="D112" s="244">
        <f>D107-D111</f>
        <v>113887</v>
      </c>
      <c r="E112" s="244">
        <f>E107-E111</f>
        <v>1134123</v>
      </c>
      <c r="F112" s="207">
        <f>SUM(B112:E112)</f>
        <v>1390265</v>
      </c>
      <c r="G112" s="244">
        <f>G107-G111</f>
        <v>276651</v>
      </c>
      <c r="H112" s="244">
        <f>H107-H111</f>
        <v>221776</v>
      </c>
      <c r="I112" s="244">
        <f>I107-I111</f>
        <v>339953</v>
      </c>
      <c r="J112" s="244">
        <f>J107-J111</f>
        <v>477662</v>
      </c>
      <c r="K112" s="207">
        <f>SUM(G112:J112)</f>
        <v>1316042</v>
      </c>
      <c r="L112" s="244">
        <f>L107-L111</f>
        <v>280297</v>
      </c>
      <c r="M112" s="244">
        <f>M107-M111</f>
        <v>572465</v>
      </c>
      <c r="N112" s="244">
        <f>N107-N111</f>
        <v>267582</v>
      </c>
      <c r="O112" s="244">
        <f>O107-O111</f>
        <v>842964</v>
      </c>
      <c r="P112" s="207">
        <f>SUM(L112:O112)</f>
        <v>1963308</v>
      </c>
      <c r="Q112" s="244">
        <f>Q107-Q111</f>
        <v>801728</v>
      </c>
      <c r="R112" s="244">
        <f>R107-R111</f>
        <v>320348</v>
      </c>
      <c r="S112" s="244">
        <f>S107-S111</f>
        <v>691975</v>
      </c>
      <c r="T112" s="244">
        <f>T107-T111</f>
        <v>2366201</v>
      </c>
      <c r="U112" s="207">
        <f>SUM(Q112:T112)</f>
        <v>4180252</v>
      </c>
      <c r="V112" s="244">
        <f>V107-V111</f>
        <v>1052012</v>
      </c>
      <c r="W112" s="244">
        <f>W107-W111</f>
        <v>1977503</v>
      </c>
      <c r="X112" s="244">
        <f>X107-X111</f>
        <v>1052543</v>
      </c>
      <c r="Y112" s="244">
        <f>Y107-Y111</f>
        <v>833067</v>
      </c>
      <c r="Z112" s="207">
        <f>SUM(V112:Y112)</f>
        <v>4915125</v>
      </c>
      <c r="AA112" s="244">
        <f>AA107-AA111</f>
        <v>486642</v>
      </c>
      <c r="AB112" s="244">
        <f>AB107-AB111</f>
        <v>348493</v>
      </c>
      <c r="AC112" s="244">
        <f>AC107-AC111</f>
        <v>1572921</v>
      </c>
      <c r="AD112" s="244">
        <f>AD107-AD111</f>
        <v>2187712</v>
      </c>
      <c r="AE112" s="207">
        <f>SUM(AA112:AD112)</f>
        <v>4595768</v>
      </c>
      <c r="AF112" s="244">
        <f>AF107-AF111</f>
        <v>1166784</v>
      </c>
      <c r="AG112" s="244">
        <f>AG107-AG111</f>
        <v>1878444</v>
      </c>
      <c r="AH112" s="244">
        <f>AH107-AH111</f>
        <v>1135616</v>
      </c>
      <c r="AI112" s="244">
        <f>AI107-AI111</f>
        <v>2011429</v>
      </c>
      <c r="AJ112" s="207">
        <f>SUM(AF112:AI112)</f>
        <v>6192273</v>
      </c>
      <c r="AK112" s="244">
        <f>AK107-AK111</f>
        <v>1063626</v>
      </c>
      <c r="AL112" s="244">
        <f>AL107-AL111</f>
        <v>1747590</v>
      </c>
      <c r="AM112" s="244">
        <f>AM107-AM111</f>
        <v>1630919</v>
      </c>
      <c r="AN112" s="244">
        <f>AN107-AN111</f>
        <v>2081460</v>
      </c>
      <c r="AO112" s="207">
        <f>SUM(AK112:AN112)</f>
        <v>6523595</v>
      </c>
      <c r="AP112" s="244">
        <f>AP107-AP111</f>
        <v>1477068</v>
      </c>
      <c r="AQ112" s="244">
        <f>AQ107-AQ111</f>
        <v>1212877</v>
      </c>
      <c r="AR112" s="244">
        <f>AR107-AR111</f>
        <v>1142502</v>
      </c>
      <c r="AS112" s="244">
        <f>AS107-AS111</f>
        <v>1350063</v>
      </c>
      <c r="AT112" s="207">
        <f>SUM(AP112:AS112)</f>
        <v>5182510</v>
      </c>
      <c r="AU112" s="244">
        <f>AU107-AU111</f>
        <v>693348.08000000007</v>
      </c>
      <c r="AV112" s="244">
        <f>AV107-AV111</f>
        <v>820258.40000000037</v>
      </c>
      <c r="AW112" s="244">
        <f>AW107-AW111</f>
        <v>911839.83999999985</v>
      </c>
      <c r="AX112" s="244">
        <f>AX107-AX111</f>
        <v>557429.9299999997</v>
      </c>
      <c r="AY112" s="207">
        <f>SUM(AU112:AX112)</f>
        <v>2982876.25</v>
      </c>
      <c r="AZ112" s="244">
        <f>AZ107-AZ111</f>
        <v>994490.3200000003</v>
      </c>
      <c r="BA112" s="244">
        <f>BA107-BA111</f>
        <v>597713.20000000019</v>
      </c>
      <c r="BB112" s="244">
        <f>BB107-BB111</f>
        <v>813061.46</v>
      </c>
      <c r="BC112" s="244">
        <f>BC107-BC111</f>
        <v>560488.58999999985</v>
      </c>
      <c r="BD112" s="207">
        <f>SUM(AZ112:BC112)</f>
        <v>2965753.5700000003</v>
      </c>
      <c r="BE112" s="244">
        <f>BE107-BE111</f>
        <v>569303.66000000015</v>
      </c>
      <c r="BF112" s="244">
        <f>BF107-BF111</f>
        <v>611576.04</v>
      </c>
      <c r="BG112" s="244">
        <f>BG107-BG111</f>
        <v>407837.99000000022</v>
      </c>
      <c r="BH112" s="244">
        <f>BH107-BH111</f>
        <v>327688.24000000022</v>
      </c>
      <c r="BI112" s="207">
        <f>SUM(BE112:BH112)</f>
        <v>1916405.9300000006</v>
      </c>
      <c r="BJ112" s="244">
        <f>BJ107-BJ111</f>
        <v>179756.85000000009</v>
      </c>
      <c r="BK112" s="244">
        <f>BK107-BK111</f>
        <v>178127.12000000011</v>
      </c>
      <c r="BL112" s="244">
        <f>BL107-BL111</f>
        <v>20145.430000000168</v>
      </c>
      <c r="BM112" s="244">
        <f>BM107-BM111</f>
        <v>273540.6399999999</v>
      </c>
      <c r="BN112" s="207">
        <f>SUM(BJ112:BM112)</f>
        <v>651570.04000000027</v>
      </c>
      <c r="BO112" s="244">
        <f>BO107-BO111</f>
        <v>182417.06000000006</v>
      </c>
      <c r="BP112" s="244">
        <f>BP107-BP111</f>
        <v>165742.12000000011</v>
      </c>
      <c r="BQ112" s="244">
        <f>BQ107-BQ111</f>
        <v>169230.85999999987</v>
      </c>
      <c r="BR112" s="244">
        <f>BR107-BR111</f>
        <v>312723.37999999989</v>
      </c>
      <c r="BS112" s="207">
        <f>SUM(BO112:BR112)</f>
        <v>830113.41999999993</v>
      </c>
      <c r="BT112" s="244">
        <f>BT107-BT111</f>
        <v>196937.95999999996</v>
      </c>
      <c r="BU112" s="244">
        <f>BU107-BU111</f>
        <v>191856.84000000008</v>
      </c>
      <c r="BV112" s="244">
        <f>BV107-BV111</f>
        <v>197982.04000000004</v>
      </c>
      <c r="BW112" s="244">
        <f>BW107-BW111</f>
        <v>499182.32000000007</v>
      </c>
      <c r="BX112" s="207">
        <f>SUM(BT112:BW112)</f>
        <v>1085959.1600000001</v>
      </c>
      <c r="BY112" s="244">
        <f>BY107-BY111</f>
        <v>438421.12000000011</v>
      </c>
      <c r="BZ112" s="244">
        <f>BZ107-BZ111</f>
        <v>744074.8</v>
      </c>
      <c r="CA112" s="244">
        <f>CA107-CA111</f>
        <v>583814.96</v>
      </c>
      <c r="CB112" s="244">
        <f>CB107-CB111</f>
        <v>823886.44</v>
      </c>
      <c r="CC112" s="207">
        <f>SUM(BY112:CB112)</f>
        <v>2590197.3200000003</v>
      </c>
      <c r="CD112" s="244">
        <f>CD107-CD111</f>
        <v>564163.83999999985</v>
      </c>
      <c r="CE112" s="244">
        <f>CE107-CE111</f>
        <v>476255.48</v>
      </c>
      <c r="CF112" s="244">
        <f>CF107-CF111</f>
        <v>464044.91999999993</v>
      </c>
      <c r="CG112" s="244">
        <f>CG107-CG111</f>
        <v>818417.28000000026</v>
      </c>
      <c r="CH112" s="207">
        <f>SUM(CD112:CG112)</f>
        <v>2322881.52</v>
      </c>
      <c r="CI112" s="244">
        <f>CI107-CI111</f>
        <v>743930.35000000009</v>
      </c>
      <c r="CJ112" s="244">
        <f>CJ107-CJ111</f>
        <v>894219</v>
      </c>
      <c r="CK112" s="244">
        <f>CK107-CK111</f>
        <v>525818.75</v>
      </c>
      <c r="CL112" s="244">
        <f>CL107-CL111</f>
        <v>1051851.8999999999</v>
      </c>
      <c r="CM112" s="207">
        <f>SUM(CI112:CL112)</f>
        <v>3215820</v>
      </c>
      <c r="CN112" s="244">
        <f>CN107-CN111</f>
        <v>661049</v>
      </c>
      <c r="CO112" s="244">
        <f>CO107-CO111</f>
        <v>749887.75</v>
      </c>
      <c r="CP112" s="244">
        <f>CP107-CP111</f>
        <v>1029748.875</v>
      </c>
      <c r="CQ112" s="244">
        <f>CQ107-CQ111</f>
        <v>774022.375</v>
      </c>
      <c r="CR112" s="207">
        <f>SUM(CN112:CQ112)</f>
        <v>3214708</v>
      </c>
      <c r="CS112" s="244">
        <f>CS107-CS111</f>
        <v>1169283.25</v>
      </c>
      <c r="CT112" s="244">
        <f>CT107-CT111</f>
        <v>1213902.875</v>
      </c>
      <c r="CU112" s="244">
        <f>CU107-CU111</f>
        <v>882192.75</v>
      </c>
      <c r="CV112" s="244">
        <f>CV107-CV111</f>
        <v>1075178</v>
      </c>
      <c r="CW112" s="207">
        <f>SUM(CS112:CV112)</f>
        <v>4340556.875</v>
      </c>
      <c r="CX112" s="244">
        <f>CX107-CX111</f>
        <v>1300565.75</v>
      </c>
      <c r="CY112" s="244">
        <f>CY107-CY111</f>
        <v>1049048.625</v>
      </c>
      <c r="CZ112" s="244">
        <f>CZ107-CZ111</f>
        <v>1431669.875</v>
      </c>
      <c r="DA112" s="244">
        <f>DA107-DA111</f>
        <v>1974596.375</v>
      </c>
      <c r="DB112" s="207">
        <f>SUM(CX112:DA112)</f>
        <v>5755880.625</v>
      </c>
      <c r="DC112" s="244">
        <f>DC107-DC111</f>
        <v>1525695.9000000004</v>
      </c>
      <c r="DD112" s="244">
        <f>DD107-DD111</f>
        <v>1355766.5999999996</v>
      </c>
      <c r="DE112" s="244">
        <f>DE107-DE111</f>
        <v>767065.69999999925</v>
      </c>
      <c r="DF112" s="244">
        <f>DF107-DF111</f>
        <v>2789966.75</v>
      </c>
      <c r="DG112" s="207">
        <f>SUM(DC112:DF112)</f>
        <v>6438494.9499999993</v>
      </c>
      <c r="DH112" s="244">
        <f>DH107-DH111</f>
        <v>1566572.8000000007</v>
      </c>
      <c r="DI112" s="244">
        <f>DI107-DI111</f>
        <v>1732862.5</v>
      </c>
      <c r="DJ112" s="397">
        <f>Forecasts!DJ9-Forecasts!DJ38</f>
        <v>2281764.9913329901</v>
      </c>
      <c r="DK112" s="397">
        <f>Forecasts!DK9-Forecasts!DK38</f>
        <v>2677016.5200845366</v>
      </c>
      <c r="DL112" s="207">
        <f>SUM(DH112:DK112)</f>
        <v>8258216.8114175275</v>
      </c>
      <c r="DM112" s="397">
        <f>Forecasts!DM9-Forecasts!DM38</f>
        <v>1904719.6666725741</v>
      </c>
      <c r="DN112" s="397">
        <f>Forecasts!DN9-Forecasts!DN38</f>
        <v>2223884.1325054723</v>
      </c>
      <c r="DO112" s="397">
        <f>Forecasts!DO9-Forecasts!DO38</f>
        <v>2457033.3494060021</v>
      </c>
      <c r="DP112" s="397">
        <f>Forecasts!DP9-Forecasts!DP38</f>
        <v>2887736.0398084382</v>
      </c>
      <c r="DQ112" s="207">
        <f>SUM(DM112:DP112)</f>
        <v>9473373.1883924864</v>
      </c>
      <c r="DR112" s="397">
        <f>Forecasts!DR9-Forecasts!DR38</f>
        <v>1911399.9165105636</v>
      </c>
      <c r="DS112" s="397">
        <f>Forecasts!DS9-Forecasts!DS38</f>
        <v>2251649.145214519</v>
      </c>
      <c r="DT112" s="397">
        <f>Forecasts!DT9-Forecasts!DT38</f>
        <v>2510879.911818576</v>
      </c>
      <c r="DU112" s="397">
        <f>Forecasts!DU9-Forecasts!DU38</f>
        <v>2975904.4891029615</v>
      </c>
      <c r="DV112" s="207">
        <f>SUM(DR112:DU112)</f>
        <v>9649833.4626466203</v>
      </c>
      <c r="DW112" s="397">
        <f>Forecasts!DW9-Forecasts!DW38</f>
        <v>1967035.1005243703</v>
      </c>
      <c r="DX112" s="397">
        <f>Forecasts!DX9-Forecasts!DX38</f>
        <v>2333135.6603514305</v>
      </c>
      <c r="DY112" s="397">
        <f>Forecasts!DY9-Forecasts!DY38</f>
        <v>2610516.0498811314</v>
      </c>
      <c r="DZ112" s="397">
        <f>Forecasts!DZ9-Forecasts!DZ38</f>
        <v>3105031.6029515946</v>
      </c>
      <c r="EA112" s="207">
        <f>SUM(DW112:DZ112)</f>
        <v>10015718.413708527</v>
      </c>
      <c r="EB112" s="397">
        <f>Forecasts!EB9-Forecasts!EB38</f>
        <v>2058242.4080907491</v>
      </c>
      <c r="EC112" s="397">
        <f>Forecasts!EC9-Forecasts!EC38</f>
        <v>2446033.0843649679</v>
      </c>
      <c r="ED112" s="397">
        <f>Forecasts!ED9-Forecasts!ED38</f>
        <v>2737474.4858497633</v>
      </c>
      <c r="EE112" s="397">
        <f>Forecasts!EE9-Forecasts!EE38</f>
        <v>3253403.3968539238</v>
      </c>
      <c r="EF112" s="207">
        <f>SUM(EB112:EE112)</f>
        <v>10495153.375159405</v>
      </c>
    </row>
    <row r="113" spans="1:136" outlineLevel="1">
      <c r="A113" s="66" t="s">
        <v>122</v>
      </c>
      <c r="B113" s="114"/>
      <c r="C113" s="114">
        <f>B108-'Income Statement'!C12</f>
        <v>61275.5</v>
      </c>
      <c r="D113" s="114">
        <f>C108-'Income Statement'!D12</f>
        <v>64072</v>
      </c>
      <c r="E113" s="114">
        <f>D108-'Income Statement'!E12</f>
        <v>116555</v>
      </c>
      <c r="F113" s="89">
        <f>E113</f>
        <v>116555</v>
      </c>
      <c r="G113" s="114">
        <f>F108-'Income Statement'!G12</f>
        <v>-278767</v>
      </c>
      <c r="H113" s="114">
        <f>G108-'Income Statement'!H12</f>
        <v>-365482</v>
      </c>
      <c r="I113" s="114">
        <f>H108-'Income Statement'!I12</f>
        <v>-335151</v>
      </c>
      <c r="J113" s="114">
        <f>I108-'Income Statement'!J12</f>
        <v>-384522</v>
      </c>
      <c r="K113" s="89">
        <f>J113</f>
        <v>-384522</v>
      </c>
      <c r="L113" s="114">
        <f>K108-'Income Statement'!L12</f>
        <v>-422455</v>
      </c>
      <c r="M113" s="114">
        <f>L108-'Income Statement'!M12</f>
        <v>-456986</v>
      </c>
      <c r="N113" s="114">
        <f>M108-'Income Statement'!N12</f>
        <v>-631368</v>
      </c>
      <c r="O113" s="114">
        <f>N108-'Income Statement'!O12</f>
        <v>-558073</v>
      </c>
      <c r="P113" s="89">
        <f>O113</f>
        <v>-558073</v>
      </c>
      <c r="Q113" s="114">
        <f>P108-'Income Statement'!Q12</f>
        <v>-754644</v>
      </c>
      <c r="R113" s="114">
        <f>Q108-'Income Statement'!R12</f>
        <v>211123</v>
      </c>
      <c r="S113" s="114">
        <f>R108-'Income Statement'!S12</f>
        <v>230348</v>
      </c>
      <c r="T113" s="114">
        <f>S108-'Income Statement'!T12</f>
        <v>589347</v>
      </c>
      <c r="U113" s="89">
        <f>T113</f>
        <v>589347</v>
      </c>
      <c r="V113" s="114">
        <f>U108-'Income Statement'!V12</f>
        <v>-1810566.8399999999</v>
      </c>
      <c r="W113" s="114">
        <f>V108-'Income Statement'!W12</f>
        <v>-1959359.6600000001</v>
      </c>
      <c r="X113" s="114">
        <f>W108-'Income Statement'!X12</f>
        <v>-2700847.94</v>
      </c>
      <c r="Y113" s="114">
        <f>X108-'Income Statement'!Y12</f>
        <v>-2821585.46</v>
      </c>
      <c r="Z113" s="89">
        <f>Y113</f>
        <v>-2821585.46</v>
      </c>
      <c r="AA113" s="114">
        <f>Z108-'Income Statement'!AA12</f>
        <v>-2813069</v>
      </c>
      <c r="AB113" s="114">
        <f>AA108-'Income Statement'!AB12</f>
        <v>-2536953</v>
      </c>
      <c r="AC113" s="114">
        <f>AB108-'Income Statement'!AC12</f>
        <v>-1900187</v>
      </c>
      <c r="AD113" s="114">
        <f>AC108-'Income Statement'!AD12</f>
        <v>-2098629</v>
      </c>
      <c r="AE113" s="89">
        <f>AD113</f>
        <v>-2098629</v>
      </c>
      <c r="AF113" s="114">
        <f>AE108-'Income Statement'!AF12</f>
        <v>-2581065</v>
      </c>
      <c r="AG113" s="114">
        <f>AF108-'Income Statement'!AG12</f>
        <v>-2528999</v>
      </c>
      <c r="AH113" s="114">
        <f>AG108-'Income Statement'!AH12</f>
        <v>-3031633</v>
      </c>
      <c r="AI113" s="114">
        <f>AH108-'Income Statement'!AI12</f>
        <v>-2693295</v>
      </c>
      <c r="AJ113" s="89">
        <f>AI113</f>
        <v>-2693295</v>
      </c>
      <c r="AK113" s="114">
        <f>AJ108-'Income Statement'!AK12</f>
        <v>-3264706</v>
      </c>
      <c r="AL113" s="114">
        <f>AK108-'Income Statement'!AL12</f>
        <v>-3037278</v>
      </c>
      <c r="AM113" s="114">
        <f>AL108-'Income Statement'!AM12</f>
        <v>-3120338</v>
      </c>
      <c r="AN113" s="114">
        <f>AM108-'Income Statement'!AN12</f>
        <v>-2743989</v>
      </c>
      <c r="AO113" s="89">
        <f>AN113</f>
        <v>-2743989</v>
      </c>
      <c r="AP113" s="114">
        <f>AO108-'Income Statement'!AP12</f>
        <v>-3131256</v>
      </c>
      <c r="AQ113" s="114">
        <f>AP108-'Income Statement'!AQ12</f>
        <v>-3120454</v>
      </c>
      <c r="AR113" s="114">
        <f>AQ108-'Income Statement'!AR12</f>
        <v>-3057271</v>
      </c>
      <c r="AS113" s="114">
        <f>AR108-'Income Statement'!AS12</f>
        <v>-2933281</v>
      </c>
      <c r="AT113" s="89">
        <f>AS113</f>
        <v>-2933281</v>
      </c>
      <c r="AU113" s="307">
        <f>AT108+Forecasts!AU40*(1-'Income Statement'!AU71)</f>
        <v>-2989524.8187552663</v>
      </c>
      <c r="AV113" s="307">
        <f>AU108+Forecasts!AV40*(1-'Income Statement'!AV71)</f>
        <v>-2818297.9085811237</v>
      </c>
      <c r="AW113" s="307">
        <f>AV108+Forecasts!AW40*(1-'Income Statement'!AW71)</f>
        <v>-2797981.1462602969</v>
      </c>
      <c r="AX113" s="307">
        <f>AW108+Forecasts!AX40*(1-'Income Statement'!AX71)</f>
        <v>-2792863.3441050868</v>
      </c>
      <c r="AY113" s="89">
        <f>AX113</f>
        <v>-2792863.3441050868</v>
      </c>
      <c r="AZ113" s="307">
        <f>AY108+Forecasts!AZ40*(1-'Income Statement'!AZ71)</f>
        <v>-2622590.5396797401</v>
      </c>
      <c r="BA113" s="307">
        <f>AZ108+Forecasts!BA40*(1-'Income Statement'!BA71)</f>
        <v>-2737471.2892409805</v>
      </c>
      <c r="BB113" s="307">
        <f>BA108+Forecasts!BB40*(1-'Income Statement'!BB71)</f>
        <v>-2353558.798567859</v>
      </c>
      <c r="BC113" s="307">
        <f>BB108+Forecasts!BC40*(1-'Income Statement'!BC71)</f>
        <v>-2431025.1420179047</v>
      </c>
      <c r="BD113" s="89">
        <f>BC113</f>
        <v>-2431025.1420179047</v>
      </c>
      <c r="BE113" s="307">
        <f>BD108+Forecasts!BE40*(1-'Income Statement'!BE71)</f>
        <v>-2341123.9375679977</v>
      </c>
      <c r="BF113" s="307">
        <f>BE108+Forecasts!BF40*(1-'Income Statement'!BF71)</f>
        <v>-2234713.8257832406</v>
      </c>
      <c r="BG113" s="307">
        <f>BF108+Forecasts!BG40*(1-'Income Statement'!BG71)</f>
        <v>-2153183.6543659749</v>
      </c>
      <c r="BH113" s="307">
        <f>BG108+Forecasts!BH40*(1-'Income Statement'!BH71)</f>
        <v>-1967060.2928172396</v>
      </c>
      <c r="BI113" s="89">
        <f>BH113</f>
        <v>-1967060.2928172396</v>
      </c>
      <c r="BJ113" s="307">
        <f>BI108+Forecasts!BJ40*(1-'Income Statement'!BJ71)</f>
        <v>-1817804.8331691013</v>
      </c>
      <c r="BK113" s="307">
        <f>BJ108+Forecasts!BK40*(1-'Income Statement'!BK71)</f>
        <v>-1635605.7303008509</v>
      </c>
      <c r="BL113" s="307">
        <f>BK108+Forecasts!BL40*(1-'Income Statement'!BL71)</f>
        <v>-1409624.1257210937</v>
      </c>
      <c r="BM113" s="307">
        <f>BL108+Forecasts!BM40*(1-'Income Statement'!BM71)</f>
        <v>-1147515.3829311756</v>
      </c>
      <c r="BN113" s="89">
        <f>BM113</f>
        <v>-1147515.3829311756</v>
      </c>
      <c r="BO113" s="307">
        <f>BN108+Forecasts!BO40*(1-'Income Statement'!BO71)</f>
        <v>-1105524.9310386078</v>
      </c>
      <c r="BP113" s="307">
        <f>BO108+Forecasts!BP40*(1-'Income Statement'!BP71)</f>
        <v>-983245.72561502061</v>
      </c>
      <c r="BQ113" s="307">
        <f>BP108+Forecasts!BQ40*(1-'Income Statement'!BQ71)</f>
        <v>-860345.46867084003</v>
      </c>
      <c r="BR113" s="307">
        <f>BQ108+Forecasts!BR40*(1-'Income Statement'!BR71)</f>
        <v>-805725.17098175641</v>
      </c>
      <c r="BS113" s="89">
        <f>BR113</f>
        <v>-805725.17098175641</v>
      </c>
      <c r="BT113" s="307">
        <f>BS108+Forecasts!BT40*(1-'Income Statement'!BT71)</f>
        <v>-838052.53784566687</v>
      </c>
      <c r="BU113" s="307">
        <f>BT108+Forecasts!BU40*(1-'Income Statement'!BU71)</f>
        <v>-774197.78967565624</v>
      </c>
      <c r="BV113" s="307">
        <f>BU108+Forecasts!BV40*(1-'Income Statement'!BV71)</f>
        <v>-755634.48795999889</v>
      </c>
      <c r="BW113" s="307">
        <f>BV108+Forecasts!BW40*(1-'Income Statement'!BW71)</f>
        <v>-723593.15197761089</v>
      </c>
      <c r="BX113" s="89">
        <f>BW113</f>
        <v>-723593.15197761089</v>
      </c>
      <c r="BY113" s="307">
        <f>BX108+Forecasts!BY40*(1-'Income Statement'!BY71)</f>
        <v>-856002.85555828502</v>
      </c>
      <c r="BZ113" s="307">
        <f>BY108+Forecasts!BZ40*(1-'Income Statement'!BZ71)</f>
        <v>-958448.75219439506</v>
      </c>
      <c r="CA113" s="307">
        <f>BZ108+Forecasts!CA40*(1-'Income Statement'!CA71)</f>
        <v>-1192253.765477434</v>
      </c>
      <c r="CB113" s="307">
        <f>CA108+Forecasts!CB40*(1-'Income Statement'!CB71)</f>
        <v>-1305602.0212384504</v>
      </c>
      <c r="CC113" s="89">
        <f>CB113</f>
        <v>-1305602.0212384504</v>
      </c>
      <c r="CD113" s="307">
        <f>CC108+Forecasts!CD40*(1-'Income Statement'!CD71)</f>
        <v>-1535066.573069891</v>
      </c>
      <c r="CE113" s="307">
        <f>CD108+Forecasts!CE40*(1-'Income Statement'!CE71)</f>
        <v>-1586926.0579306632</v>
      </c>
      <c r="CF113" s="307">
        <f>CE108+Forecasts!CF40*(1-'Income Statement'!CF71)</f>
        <v>-1591676.3283982202</v>
      </c>
      <c r="CG113" s="307">
        <f>CF108+Forecasts!CG40*(1-'Income Statement'!CG71)</f>
        <v>-1590941.6047360329</v>
      </c>
      <c r="CH113" s="89">
        <f>CG113</f>
        <v>-1590941.6047360329</v>
      </c>
      <c r="CI113" s="307">
        <f>CH108+Forecasts!CI40*(1-'Income Statement'!CI71)</f>
        <v>-1808517.2597365088</v>
      </c>
      <c r="CJ113" s="307">
        <f>CI108+Forecasts!CJ40*(1-'Income Statement'!CJ71)</f>
        <v>-1960858.7477793391</v>
      </c>
      <c r="CK113" s="307">
        <f>CJ108+Forecasts!CK40*(1-'Income Statement'!CK71)</f>
        <v>-2125174.6555680847</v>
      </c>
      <c r="CL113" s="307">
        <f>CK108+Forecasts!CL40*(1-'Income Statement'!CL71)</f>
        <v>-2090588.4491011531</v>
      </c>
      <c r="CM113" s="89">
        <f>CL113</f>
        <v>-2090588.4491011531</v>
      </c>
      <c r="CN113" s="307">
        <f>CM108+Forecasts!CN40*(1-'Income Statement'!CN71)</f>
        <v>-2385178.0838725921</v>
      </c>
      <c r="CO113" s="307">
        <f>CN108+Forecasts!CO40*(1-'Income Statement'!CO71)</f>
        <v>-2477131.891774646</v>
      </c>
      <c r="CP113" s="307">
        <f>CO108+Forecasts!CP40*(1-'Income Statement'!CP71)</f>
        <v>-2628713.2432254888</v>
      </c>
      <c r="CQ113" s="307">
        <f>CP108+Forecasts!CQ40*(1-'Income Statement'!CQ71)</f>
        <v>-2856872.9376462623</v>
      </c>
      <c r="CR113" s="89">
        <f>CQ113</f>
        <v>-2856872.9376462623</v>
      </c>
      <c r="CS113" s="307">
        <f>CR108+Forecasts!CS40*(1-'Income Statement'!CS71)</f>
        <v>-2925801.6560928738</v>
      </c>
      <c r="CT113" s="307">
        <f>CS108+Forecasts!CT40*(1-'Income Statement'!CT71)</f>
        <v>-3279398.8563020206</v>
      </c>
      <c r="CU113" s="307">
        <f>CT108+Forecasts!CU40*(1-'Income Statement'!CU71)</f>
        <v>-3582213.4551528539</v>
      </c>
      <c r="CV113" s="307">
        <f>CU108+Forecasts!CV40*(1-'Income Statement'!CV71)</f>
        <v>-3632706.000480026</v>
      </c>
      <c r="CW113" s="89">
        <f>CV113</f>
        <v>-3632706.000480026</v>
      </c>
      <c r="CX113" s="307">
        <f>CW108+Forecasts!CX40*(1-'Income Statement'!CX71)</f>
        <v>-3709672.6263081413</v>
      </c>
      <c r="CY113" s="307">
        <f>CX108+Forecasts!CY40*(1-'Income Statement'!CY71)</f>
        <v>-3973084.0338691268</v>
      </c>
      <c r="CZ113" s="307">
        <f>CY108+Forecasts!CZ40*(1-'Income Statement'!CZ71)</f>
        <v>-4051715.9033627426</v>
      </c>
      <c r="DA113" s="307">
        <f>CZ108+Forecasts!DA40*(1-'Income Statement'!DA71)</f>
        <v>-4320227.1375296395</v>
      </c>
      <c r="DB113" s="89">
        <f>DA113</f>
        <v>-4320227.1375296395</v>
      </c>
      <c r="DC113" s="307">
        <f>DB108+Forecasts!DC40*(1-'Income Statement'!DC71)</f>
        <v>-5026649.278969612</v>
      </c>
      <c r="DD113" s="307">
        <f>DC108+Forecasts!DD40*(1-'Income Statement'!DD71)</f>
        <v>-5408195.9018846815</v>
      </c>
      <c r="DE113" s="307">
        <f>DD108+Forecasts!DE40*(1-'Income Statement'!DE71)</f>
        <v>-5651158.5003904654</v>
      </c>
      <c r="DF113" s="307">
        <f>DE108+Forecasts!DF40*(1-'Income Statement'!DF71)</f>
        <v>-5346251.396739874</v>
      </c>
      <c r="DG113" s="89">
        <f>DF113</f>
        <v>-5346251.396739874</v>
      </c>
      <c r="DH113" s="307">
        <f>DG108+Forecasts!DH40*(1-'Income Statement'!DH71)</f>
        <v>-6480727.2624737993</v>
      </c>
      <c r="DI113" s="307">
        <f>DH108+Forecasts!DI40*(1-'Income Statement'!DI71)</f>
        <v>-6747494.1722226813</v>
      </c>
      <c r="DJ113" s="307">
        <f>DI108+Forecasts!DJ40*(1-'Income Statement'!DJ71)</f>
        <v>-7023165.3688796982</v>
      </c>
      <c r="DK113" s="307">
        <f>DJ108+Forecasts!DK40*(1-'Income Statement'!DK71)</f>
        <v>-7633983.2160863159</v>
      </c>
      <c r="DL113" s="89">
        <f>DK113</f>
        <v>-7633983.2160863159</v>
      </c>
      <c r="DM113" s="307">
        <f>DL108+Forecasts!DM40*(1-'Income Statement'!DM71)</f>
        <v>-8404392.8599899355</v>
      </c>
      <c r="DN113" s="307">
        <f>DM108+Forecasts!DN40*(1-'Income Statement'!DN71)</f>
        <v>-8670372.8473999668</v>
      </c>
      <c r="DO113" s="307">
        <f>DN108+Forecasts!DO40*(1-'Income Statement'!DO71)</f>
        <v>-9096952.9728596583</v>
      </c>
      <c r="DP113" s="307">
        <f>DO108+Forecasts!DP40*(1-'Income Statement'!DP71)</f>
        <v>-9617423.3068323079</v>
      </c>
      <c r="DQ113" s="89">
        <f>DP113</f>
        <v>-9617423.3068323079</v>
      </c>
      <c r="DR113" s="307">
        <f>DQ108+Forecasts!DR40*(1-'Income Statement'!DR71)</f>
        <v>-10339050.30234069</v>
      </c>
      <c r="DS113" s="307">
        <f>DR108+Forecasts!DS40*(1-'Income Statement'!DS71)</f>
        <v>-10417504.288622985</v>
      </c>
      <c r="DT113" s="307">
        <f>DS108+Forecasts!DT40*(1-'Income Statement'!DT71)</f>
        <v>-10687450.840274572</v>
      </c>
      <c r="DU113" s="307">
        <f>DT108+Forecasts!DU40*(1-'Income Statement'!DU71)</f>
        <v>-11082095.793246621</v>
      </c>
      <c r="DV113" s="89">
        <f>DU113</f>
        <v>-11082095.793246621</v>
      </c>
      <c r="DW113" s="307">
        <f>DV108+Forecasts!DW40*(1-'Income Statement'!DW71)</f>
        <v>-11710263.605952354</v>
      </c>
      <c r="DX113" s="307">
        <f>DW108+Forecasts!DX40*(1-'Income Statement'!DX71)</f>
        <v>-11685498.256029289</v>
      </c>
      <c r="DY113" s="307">
        <f>DX108+Forecasts!DY40*(1-'Income Statement'!DY71)</f>
        <v>-11877578.677866628</v>
      </c>
      <c r="DZ113" s="307">
        <f>DY108+Forecasts!DZ40*(1-'Income Statement'!DZ71)</f>
        <v>-12212725.594871789</v>
      </c>
      <c r="EA113" s="89">
        <f>DZ113</f>
        <v>-12212725.594871789</v>
      </c>
      <c r="EB113" s="307">
        <f>EA108+Forecasts!EB40*(1-'Income Statement'!EB71)</f>
        <v>-12804380.810156543</v>
      </c>
      <c r="EC113" s="307">
        <f>EB108+Forecasts!EC40*(1-'Income Statement'!EC71)</f>
        <v>-12724543.082394335</v>
      </c>
      <c r="ED113" s="307">
        <f>EC108+Forecasts!ED40*(1-'Income Statement'!ED71)</f>
        <v>-12879697.049476076</v>
      </c>
      <c r="EE113" s="307">
        <f>ED108+Forecasts!EE40*(1-'Income Statement'!EE71)</f>
        <v>-13189829.453268168</v>
      </c>
      <c r="EF113" s="89">
        <f>EE113</f>
        <v>-13189829.453268168</v>
      </c>
    </row>
    <row r="114" spans="1:136" s="157" customFormat="1" outlineLevel="1">
      <c r="A114" s="157" t="s">
        <v>743</v>
      </c>
      <c r="B114" s="244"/>
      <c r="C114" s="244">
        <f>C108-C113</f>
        <v>-61275.5</v>
      </c>
      <c r="D114" s="244">
        <f>D108-D113</f>
        <v>-64072</v>
      </c>
      <c r="E114" s="244">
        <f>E108-E113</f>
        <v>-479555</v>
      </c>
      <c r="F114" s="207">
        <f>SUM(B114:E114)</f>
        <v>-604902.5</v>
      </c>
      <c r="G114" s="244">
        <f>G108-G113</f>
        <v>-157355</v>
      </c>
      <c r="H114" s="244">
        <f>H108-H113</f>
        <v>-97126</v>
      </c>
      <c r="I114" s="244">
        <f>I108-I113</f>
        <v>-127849</v>
      </c>
      <c r="J114" s="244">
        <f>J108-J113</f>
        <v>-161566</v>
      </c>
      <c r="K114" s="207">
        <f>SUM(G114:J114)</f>
        <v>-543896</v>
      </c>
      <c r="L114" s="244">
        <f>L108-L113</f>
        <v>-179115</v>
      </c>
      <c r="M114" s="244">
        <f>M108-M113</f>
        <v>-301551</v>
      </c>
      <c r="N114" s="244">
        <f>N108-N113</f>
        <v>-160696</v>
      </c>
      <c r="O114" s="244">
        <f>O108-O113</f>
        <v>-367466</v>
      </c>
      <c r="P114" s="207">
        <f>SUM(L114:O114)</f>
        <v>-1008828</v>
      </c>
      <c r="Q114" s="244">
        <f>Q108-Q113</f>
        <v>754644</v>
      </c>
      <c r="R114" s="244">
        <f>R108-R113</f>
        <v>-211123</v>
      </c>
      <c r="S114" s="244">
        <f>S108-S113</f>
        <v>-230348</v>
      </c>
      <c r="T114" s="244">
        <f>T108-T113</f>
        <v>-2724305.84</v>
      </c>
      <c r="U114" s="207">
        <f>SUM(Q114:T114)</f>
        <v>-2411132.84</v>
      </c>
      <c r="V114" s="244">
        <f>V108-V113</f>
        <v>-627237.8200000003</v>
      </c>
      <c r="W114" s="244">
        <f>W108-W113</f>
        <v>-1171756.2799999998</v>
      </c>
      <c r="X114" s="244">
        <f>X108-X113</f>
        <v>-608019.52</v>
      </c>
      <c r="Y114" s="244">
        <f>Y108-Y113</f>
        <v>-395697.54000000004</v>
      </c>
      <c r="Z114" s="207">
        <f>SUM(V114:Y114)</f>
        <v>-2802711.16</v>
      </c>
      <c r="AA114" s="244">
        <f>AA108-AA113</f>
        <v>-282070</v>
      </c>
      <c r="AB114" s="244">
        <f>AB108-AB113</f>
        <v>-233673</v>
      </c>
      <c r="AC114" s="244">
        <f>AC108-AC113</f>
        <v>-976366</v>
      </c>
      <c r="AD114" s="244">
        <f>AD108-AD113</f>
        <v>-1202142</v>
      </c>
      <c r="AE114" s="207">
        <f>SUM(AA114:AD114)</f>
        <v>-2694251</v>
      </c>
      <c r="AF114" s="244">
        <f>AF108-AF113</f>
        <v>-728583</v>
      </c>
      <c r="AG114" s="244">
        <f>AG108-AG113</f>
        <v>-1225923</v>
      </c>
      <c r="AH114" s="244">
        <f>AH108-AH113</f>
        <v>-641186</v>
      </c>
      <c r="AI114" s="244">
        <f>AI108-AI113</f>
        <v>-1385708</v>
      </c>
      <c r="AJ114" s="207">
        <f>SUM(AF114:AI114)</f>
        <v>-3981400</v>
      </c>
      <c r="AK114" s="244">
        <f>AK108-AK113</f>
        <v>-711041</v>
      </c>
      <c r="AL114" s="244">
        <f>AL108-AL113</f>
        <v>-1116908</v>
      </c>
      <c r="AM114" s="244">
        <f>AM108-AM113</f>
        <v>-975218</v>
      </c>
      <c r="AN114" s="244">
        <f>AN108-AN113</f>
        <v>-1340856</v>
      </c>
      <c r="AO114" s="207">
        <f>SUM(AK114:AN114)</f>
        <v>-4144023</v>
      </c>
      <c r="AP114" s="244">
        <f>AP108-AP113</f>
        <v>-910030</v>
      </c>
      <c r="AQ114" s="244">
        <f>AQ108-AQ113</f>
        <v>-806485</v>
      </c>
      <c r="AR114" s="244">
        <f>AR108-AR113</f>
        <v>-712729</v>
      </c>
      <c r="AS114" s="244">
        <f>AS108-AS113</f>
        <v>-645986</v>
      </c>
      <c r="AT114" s="207">
        <f>SUM(AP114:AS114)</f>
        <v>-3075230</v>
      </c>
      <c r="AU114" s="244">
        <f>AU108-AU113</f>
        <v>-396475.18124473374</v>
      </c>
      <c r="AV114" s="244">
        <f>AV108-AV113</f>
        <v>-526227.09141887631</v>
      </c>
      <c r="AW114" s="244">
        <f>AW108-AW113</f>
        <v>-558315.85373970307</v>
      </c>
      <c r="AX114" s="244">
        <f>AX108-AX113</f>
        <v>-336878.65589491324</v>
      </c>
      <c r="AY114" s="207">
        <f>SUM(AU114:AX114)</f>
        <v>-1817896.7822982264</v>
      </c>
      <c r="AZ114" s="244">
        <f>AZ108-AZ113</f>
        <v>-635804.46032025991</v>
      </c>
      <c r="BA114" s="244">
        <f>BA108-BA113</f>
        <v>-357412.71075901948</v>
      </c>
      <c r="BB114" s="244">
        <f>BB108-BB113</f>
        <v>-583737.20143214101</v>
      </c>
      <c r="BC114" s="244">
        <f>BC108-BC113</f>
        <v>-362325.85798209533</v>
      </c>
      <c r="BD114" s="207">
        <f>SUM(AZ114:BC114)</f>
        <v>-1939280.2304935157</v>
      </c>
      <c r="BE114" s="244">
        <f>BE108-BE113</f>
        <v>-332618.06243200228</v>
      </c>
      <c r="BF114" s="244">
        <f>BF108-BF113</f>
        <v>-343792.17421675939</v>
      </c>
      <c r="BG114" s="244">
        <f>BG108-BG113</f>
        <v>-235103.34563402506</v>
      </c>
      <c r="BH114" s="244">
        <f>BH108-BH113</f>
        <v>-192032.70718276035</v>
      </c>
      <c r="BI114" s="207">
        <f>SUM(BE114:BH114)</f>
        <v>-1103546.2894655471</v>
      </c>
      <c r="BJ114" s="244">
        <f>BJ108-BJ113</f>
        <v>-80860.166830898728</v>
      </c>
      <c r="BK114" s="244">
        <f>BK108-BK113</f>
        <v>-53574.269699149067</v>
      </c>
      <c r="BL114" s="244">
        <f>BL108-BL113</f>
        <v>-2105.8742789062671</v>
      </c>
      <c r="BM114" s="244">
        <f>BM108-BM113</f>
        <v>-183058.61706882436</v>
      </c>
      <c r="BN114" s="207">
        <f>SUM(BJ114:BM114)</f>
        <v>-319598.92787777842</v>
      </c>
      <c r="BO114" s="244">
        <f>BO108-BO113</f>
        <v>-102722.06896139216</v>
      </c>
      <c r="BP114" s="244">
        <f>BP108-BP113</f>
        <v>-92610.274384979391</v>
      </c>
      <c r="BQ114" s="244">
        <f>BQ108-BQ113</f>
        <v>-139607.53132915997</v>
      </c>
      <c r="BR114" s="244">
        <f>BR108-BR113</f>
        <v>-203668.82901824359</v>
      </c>
      <c r="BS114" s="207">
        <f>SUM(BO114:BR114)</f>
        <v>-538608.70369377511</v>
      </c>
      <c r="BT114" s="244">
        <f>BT108-BT113</f>
        <v>-105520.46215433313</v>
      </c>
      <c r="BU114" s="244">
        <f>BU108-BU113</f>
        <v>-140542.21032434376</v>
      </c>
      <c r="BV114" s="244">
        <f>BV108-BV113</f>
        <v>-125541.51204000111</v>
      </c>
      <c r="BW114" s="244">
        <f>BW108-BW113</f>
        <v>-313652.84802238911</v>
      </c>
      <c r="BX114" s="207">
        <f>SUM(BT114:BW114)</f>
        <v>-685257.03254106711</v>
      </c>
      <c r="BY114" s="244">
        <f>BY108-BY113</f>
        <v>-300460.14444171498</v>
      </c>
      <c r="BZ114" s="244">
        <f>BZ108-BZ113</f>
        <v>-479345.24780560494</v>
      </c>
      <c r="CA114" s="244">
        <f>CA108-CA113</f>
        <v>-380796.23452256597</v>
      </c>
      <c r="CB114" s="244">
        <f>CB108-CB113</f>
        <v>-528887.97876154957</v>
      </c>
      <c r="CC114" s="207">
        <f>SUM(BY114:CB114)</f>
        <v>-1689489.6055314355</v>
      </c>
      <c r="CD114" s="244">
        <f>CD108-CD113</f>
        <v>-359625.42693010904</v>
      </c>
      <c r="CE114" s="244">
        <f>CE108-CE113</f>
        <v>-318876.94206933677</v>
      </c>
      <c r="CF114" s="244">
        <f>CF108-CF113</f>
        <v>-314312.67160177976</v>
      </c>
      <c r="CG114" s="244">
        <f>CG108-CG113</f>
        <v>-534891.3952639671</v>
      </c>
      <c r="CH114" s="207">
        <f>SUM(CD114:CG114)</f>
        <v>-1527706.4358651927</v>
      </c>
      <c r="CI114" s="244">
        <f>CI108-CI113</f>
        <v>-480739.74026349117</v>
      </c>
      <c r="CJ114" s="244">
        <f>CJ108-CJ113</f>
        <v>-533555.25222066091</v>
      </c>
      <c r="CK114" s="244">
        <f>CK108-CK113</f>
        <v>-342406.34443191532</v>
      </c>
      <c r="CL114" s="244">
        <f>CL108-CL113</f>
        <v>-652484.55089884694</v>
      </c>
      <c r="CM114" s="207">
        <f>SUM(CI114:CL114)</f>
        <v>-2009185.8878149143</v>
      </c>
      <c r="CN114" s="244">
        <f>CN108-CN113</f>
        <v>-455463.91612740792</v>
      </c>
      <c r="CO114" s="244">
        <f>CO108-CO113</f>
        <v>-517698.10822535399</v>
      </c>
      <c r="CP114" s="244">
        <f>CP108-CP113</f>
        <v>-642397.75677451119</v>
      </c>
      <c r="CQ114" s="244">
        <f>CQ108-CQ113</f>
        <v>-499264.06235373765</v>
      </c>
      <c r="CR114" s="207">
        <f>SUM(CN114:CQ114)</f>
        <v>-2114823.8434810108</v>
      </c>
      <c r="CS114" s="244">
        <f>CS108-CS113</f>
        <v>-817502.34390712623</v>
      </c>
      <c r="CT114" s="244">
        <f>CT108-CT113</f>
        <v>-797988.14369797939</v>
      </c>
      <c r="CU114" s="244">
        <f>CU108-CU113</f>
        <v>-553231.54484714614</v>
      </c>
      <c r="CV114" s="244">
        <f>CV108-CV113</f>
        <v>-618062.99951997399</v>
      </c>
      <c r="CW114" s="207">
        <f>SUM(CS114:CV114)</f>
        <v>-2786785.0319722258</v>
      </c>
      <c r="CX114" s="244">
        <f>CX108-CX113</f>
        <v>-830219.37369185872</v>
      </c>
      <c r="CY114" s="244">
        <f>CY108-CY113</f>
        <v>-655321.96613087319</v>
      </c>
      <c r="CZ114" s="244">
        <f>CZ108-CZ113</f>
        <v>-903965.09663725737</v>
      </c>
      <c r="DA114" s="244">
        <f>DA108-DA113</f>
        <v>-1272382.8624703605</v>
      </c>
      <c r="DB114" s="207">
        <f>SUM(CX114:DA114)</f>
        <v>-3661889.2989303498</v>
      </c>
      <c r="DC114" s="244">
        <f>DC108-DC113</f>
        <v>-984174.72103038803</v>
      </c>
      <c r="DD114" s="244">
        <f>DD108-DD113</f>
        <v>-867713.09811531845</v>
      </c>
      <c r="DE114" s="244">
        <f>DE108-DE113</f>
        <v>-479127.49960953463</v>
      </c>
      <c r="DF114" s="244">
        <f>DF108-DF113</f>
        <v>-1838265.603260126</v>
      </c>
      <c r="DG114" s="207">
        <f>SUM(DC114:DF114)</f>
        <v>-4169280.9220153671</v>
      </c>
      <c r="DH114" s="244">
        <f>DH108-DH113</f>
        <v>-987540.73752620071</v>
      </c>
      <c r="DI114" s="244">
        <f>DI108-DI113</f>
        <v>-1057351.8277773187</v>
      </c>
      <c r="DJ114" s="397">
        <f>DJ116-DJ112</f>
        <v>-1460329.5944531136</v>
      </c>
      <c r="DK114" s="397">
        <f>DK116-DK112</f>
        <v>-1713290.5728541035</v>
      </c>
      <c r="DL114" s="207">
        <f>SUM(DH114:DK114)</f>
        <v>-5218512.732610736</v>
      </c>
      <c r="DM114" s="397">
        <f>DM116-DM112</f>
        <v>-1238067.7833371731</v>
      </c>
      <c r="DN114" s="397">
        <f>DN116-DN112</f>
        <v>-1445524.6861285572</v>
      </c>
      <c r="DO114" s="397">
        <f>DO116-DO112</f>
        <v>-1597071.6771139014</v>
      </c>
      <c r="DP114" s="397">
        <f>DP116-DP112</f>
        <v>-1877028.4258754849</v>
      </c>
      <c r="DQ114" s="207">
        <f>SUM(DM114:DP114)</f>
        <v>-6157692.5724551165</v>
      </c>
      <c r="DR114" s="397">
        <f>DR116-DR112</f>
        <v>-1242409.9457318664</v>
      </c>
      <c r="DS114" s="397">
        <f>DS116-DS112</f>
        <v>-1463571.9443894373</v>
      </c>
      <c r="DT114" s="397">
        <f>DT116-DT112</f>
        <v>-1632071.9426820744</v>
      </c>
      <c r="DU114" s="397">
        <f>DU116-DU112</f>
        <v>-1934337.9179169252</v>
      </c>
      <c r="DV114" s="207">
        <f>SUM(DR114:DU114)</f>
        <v>-6272391.7507203035</v>
      </c>
      <c r="DW114" s="397">
        <f>DW116-DW112</f>
        <v>-1278572.8153408407</v>
      </c>
      <c r="DX114" s="397">
        <f>DX116-DX112</f>
        <v>-1516538.1792284299</v>
      </c>
      <c r="DY114" s="397">
        <f>DY116-DY112</f>
        <v>-1696835.4324227355</v>
      </c>
      <c r="DZ114" s="397">
        <f>DZ116-DZ112</f>
        <v>-2018270.5419185366</v>
      </c>
      <c r="EA114" s="207">
        <f>SUM(DW114:DZ114)</f>
        <v>-6510216.9689105432</v>
      </c>
      <c r="EB114" s="397">
        <f>EB116-EB112</f>
        <v>-1337857.5652589868</v>
      </c>
      <c r="EC114" s="397">
        <f>EC116-EC112</f>
        <v>-1589921.5048372291</v>
      </c>
      <c r="ED114" s="397">
        <f>ED116-ED112</f>
        <v>-1779358.4158023461</v>
      </c>
      <c r="EE114" s="397">
        <f>EE116-EE112</f>
        <v>-2114712.2079550503</v>
      </c>
      <c r="EF114" s="207">
        <f>SUM(EB114:EE114)</f>
        <v>-6821849.6938536121</v>
      </c>
    </row>
    <row r="115" spans="1:136" outlineLevel="1">
      <c r="A115" s="66" t="s">
        <v>744</v>
      </c>
      <c r="B115" s="114"/>
      <c r="C115" s="114">
        <f t="shared" ref="C115:E116" si="346">C111+C113</f>
        <v>-80979.5</v>
      </c>
      <c r="D115" s="114">
        <f t="shared" si="346"/>
        <v>-49815</v>
      </c>
      <c r="E115" s="114">
        <f t="shared" si="346"/>
        <v>-338882</v>
      </c>
      <c r="F115" s="89">
        <f>E115</f>
        <v>-338882</v>
      </c>
      <c r="G115" s="114">
        <f t="shared" ref="G115:J116" si="347">G111+G113</f>
        <v>232163</v>
      </c>
      <c r="H115" s="114">
        <f t="shared" si="347"/>
        <v>242299</v>
      </c>
      <c r="I115" s="114">
        <f t="shared" si="347"/>
        <v>248596</v>
      </c>
      <c r="J115" s="114">
        <f t="shared" si="347"/>
        <v>157771</v>
      </c>
      <c r="K115" s="89">
        <f>J115</f>
        <v>157771</v>
      </c>
      <c r="L115" s="114">
        <f t="shared" ref="L115:O116" si="348">L111+L113</f>
        <v>370452</v>
      </c>
      <c r="M115" s="114">
        <f t="shared" si="348"/>
        <v>325497</v>
      </c>
      <c r="N115" s="114">
        <f t="shared" si="348"/>
        <v>506647</v>
      </c>
      <c r="O115" s="114">
        <f t="shared" si="348"/>
        <v>196118</v>
      </c>
      <c r="P115" s="89">
        <f>O115</f>
        <v>196118</v>
      </c>
      <c r="Q115" s="114">
        <f t="shared" ref="Q115:T116" si="349">Q111+Q113</f>
        <v>549116</v>
      </c>
      <c r="R115" s="114">
        <f t="shared" si="349"/>
        <v>1905341</v>
      </c>
      <c r="S115" s="114">
        <f t="shared" si="349"/>
        <v>1826609</v>
      </c>
      <c r="T115" s="114">
        <f t="shared" si="349"/>
        <v>1666628</v>
      </c>
      <c r="U115" s="89">
        <f>T115</f>
        <v>1666628</v>
      </c>
      <c r="V115" s="114">
        <f t="shared" ref="V115:Y116" si="350">V111+V113</f>
        <v>1069364.1600000001</v>
      </c>
      <c r="W115" s="114">
        <f t="shared" si="350"/>
        <v>1113324.3399999999</v>
      </c>
      <c r="X115" s="114">
        <f t="shared" si="350"/>
        <v>1583492.06</v>
      </c>
      <c r="Y115" s="114">
        <f t="shared" si="350"/>
        <v>1469532.54</v>
      </c>
      <c r="Z115" s="89">
        <f>Y115</f>
        <v>1469532.54</v>
      </c>
      <c r="AA115" s="114">
        <f t="shared" ref="AA115:AD116" si="351">AA111+AA113</f>
        <v>1620874</v>
      </c>
      <c r="AB115" s="114">
        <f t="shared" si="351"/>
        <v>1446113</v>
      </c>
      <c r="AC115" s="114">
        <f t="shared" si="351"/>
        <v>1047737</v>
      </c>
      <c r="AD115" s="114">
        <f t="shared" si="351"/>
        <v>937696</v>
      </c>
      <c r="AE115" s="89">
        <f>AD115</f>
        <v>937696</v>
      </c>
      <c r="AF115" s="114">
        <f t="shared" ref="AF115:AH116" si="352">AF111+AF113</f>
        <v>1484325</v>
      </c>
      <c r="AG115" s="114">
        <f t="shared" si="352"/>
        <v>1448178</v>
      </c>
      <c r="AH115" s="114">
        <f t="shared" si="352"/>
        <v>1638359</v>
      </c>
      <c r="AI115" s="114">
        <f>AI111+AI113</f>
        <v>1431439</v>
      </c>
      <c r="AJ115" s="89">
        <f>AI115</f>
        <v>1431439</v>
      </c>
      <c r="AK115" s="114">
        <f t="shared" ref="AK115:AN116" si="353">AK111+AK113</f>
        <v>1645666</v>
      </c>
      <c r="AL115" s="114">
        <f t="shared" si="353"/>
        <v>1524275</v>
      </c>
      <c r="AM115" s="114">
        <f t="shared" si="353"/>
        <v>1601903</v>
      </c>
      <c r="AN115" s="114">
        <f t="shared" si="353"/>
        <v>1567658</v>
      </c>
      <c r="AO115" s="89">
        <f>AN115</f>
        <v>1567658</v>
      </c>
      <c r="AP115" s="114">
        <f t="shared" ref="AP115:AS116" si="354">AP111+AP113</f>
        <v>1756275</v>
      </c>
      <c r="AQ115" s="114">
        <f t="shared" si="354"/>
        <v>1829897</v>
      </c>
      <c r="AR115" s="114">
        <f t="shared" si="354"/>
        <v>1711227</v>
      </c>
      <c r="AS115" s="114">
        <f t="shared" si="354"/>
        <v>1576319</v>
      </c>
      <c r="AT115" s="89">
        <f>AS115</f>
        <v>1576319</v>
      </c>
      <c r="AU115" s="114">
        <f t="shared" ref="AU115:AX116" si="355">AU111+AU113</f>
        <v>1932592.1012447337</v>
      </c>
      <c r="AV115" s="114">
        <f t="shared" si="355"/>
        <v>1898692.6914188759</v>
      </c>
      <c r="AW115" s="114">
        <f t="shared" si="355"/>
        <v>1853308.0137397032</v>
      </c>
      <c r="AX115" s="114">
        <f t="shared" si="355"/>
        <v>1824533.7258949135</v>
      </c>
      <c r="AY115" s="89">
        <f>AX115</f>
        <v>1824533.7258949135</v>
      </c>
      <c r="AZ115" s="114">
        <f t="shared" ref="AZ115:BC116" si="356">AZ111+AZ113</f>
        <v>1724264.1403202596</v>
      </c>
      <c r="BA115" s="114">
        <f t="shared" si="356"/>
        <v>1749258.5107590193</v>
      </c>
      <c r="BB115" s="114">
        <f t="shared" si="356"/>
        <v>1612306.741432141</v>
      </c>
      <c r="BC115" s="114">
        <f t="shared" si="356"/>
        <v>1535484.2679820955</v>
      </c>
      <c r="BD115" s="89">
        <f>BC115</f>
        <v>1535484.2679820955</v>
      </c>
      <c r="BE115" s="114">
        <f t="shared" ref="BE115:BH116" si="357">BE111+BE113</f>
        <v>1416284.4024320021</v>
      </c>
      <c r="BF115" s="114">
        <f t="shared" si="357"/>
        <v>1356457.1342167594</v>
      </c>
      <c r="BG115" s="114">
        <f t="shared" si="357"/>
        <v>1335096.3556340248</v>
      </c>
      <c r="BH115" s="114">
        <f t="shared" si="357"/>
        <v>1227756.4671827601</v>
      </c>
      <c r="BI115" s="89">
        <f>BH115</f>
        <v>1227756.4671827601</v>
      </c>
      <c r="BJ115" s="114">
        <f t="shared" ref="BJ115:BM116" si="358">BJ111+BJ113</f>
        <v>1105874.3168308986</v>
      </c>
      <c r="BK115" s="114">
        <f t="shared" si="358"/>
        <v>940246.14969914895</v>
      </c>
      <c r="BL115" s="114">
        <f t="shared" si="358"/>
        <v>876178.4442789061</v>
      </c>
      <c r="BM115" s="114">
        <f t="shared" si="358"/>
        <v>743361.97706882446</v>
      </c>
      <c r="BN115" s="89">
        <f>BM115</f>
        <v>743361.97706882446</v>
      </c>
      <c r="BO115" s="114">
        <f t="shared" ref="BO115:BR116" si="359">BO111+BO113</f>
        <v>690942.0089613921</v>
      </c>
      <c r="BP115" s="114">
        <f t="shared" si="359"/>
        <v>639439.15438497928</v>
      </c>
      <c r="BQ115" s="114">
        <f t="shared" si="359"/>
        <v>606164.6713291601</v>
      </c>
      <c r="BR115" s="114">
        <f t="shared" si="359"/>
        <v>535582.4490182437</v>
      </c>
      <c r="BS115" s="89">
        <f>BR115</f>
        <v>535582.4490182437</v>
      </c>
      <c r="BT115" s="114">
        <f t="shared" ref="BT115:BW116" si="360">BT111+BT113</f>
        <v>551333.50215433317</v>
      </c>
      <c r="BU115" s="114">
        <f t="shared" si="360"/>
        <v>558314.37032434368</v>
      </c>
      <c r="BV115" s="114">
        <f t="shared" si="360"/>
        <v>524835.47204000107</v>
      </c>
      <c r="BW115" s="114">
        <f t="shared" si="360"/>
        <v>518306.52802238904</v>
      </c>
      <c r="BX115" s="89">
        <f>BW115</f>
        <v>518306.52802238904</v>
      </c>
      <c r="BY115" s="114">
        <f t="shared" ref="BY115:CB116" si="361">BY111+BY113</f>
        <v>606506.02444171486</v>
      </c>
      <c r="BZ115" s="114">
        <f t="shared" si="361"/>
        <v>638332.4478056049</v>
      </c>
      <c r="CA115" s="114">
        <f t="shared" si="361"/>
        <v>774065.274522566</v>
      </c>
      <c r="CB115" s="114">
        <f t="shared" si="361"/>
        <v>836510.53876154963</v>
      </c>
      <c r="CC115" s="89">
        <f>CB115</f>
        <v>836510.53876154963</v>
      </c>
      <c r="CD115" s="114">
        <f t="shared" ref="CD115:CG116" si="362">CD111+CD113</f>
        <v>956372.58693010919</v>
      </c>
      <c r="CE115" s="114">
        <f t="shared" si="362"/>
        <v>979780.46206933679</v>
      </c>
      <c r="CF115" s="114">
        <f t="shared" si="362"/>
        <v>964411.75160177983</v>
      </c>
      <c r="CG115" s="114">
        <f t="shared" si="362"/>
        <v>945970.11526396684</v>
      </c>
      <c r="CH115" s="89">
        <f>CG115</f>
        <v>945970.11526396684</v>
      </c>
      <c r="CI115" s="114">
        <f t="shared" ref="CI115:CL116" si="363">CI111+CI113</f>
        <v>1043512.3902634911</v>
      </c>
      <c r="CJ115" s="114">
        <f t="shared" si="363"/>
        <v>1095707.2522206609</v>
      </c>
      <c r="CK115" s="114">
        <f t="shared" si="363"/>
        <v>1232992.5944319153</v>
      </c>
      <c r="CL115" s="114">
        <f t="shared" si="363"/>
        <v>1210799.650898847</v>
      </c>
      <c r="CM115" s="89">
        <f>CL115</f>
        <v>1210799.650898847</v>
      </c>
      <c r="CN115" s="114">
        <f t="shared" ref="CN115:CQ116" si="364">CN111+CN113</f>
        <v>1423906.9161274079</v>
      </c>
      <c r="CO115" s="114">
        <f t="shared" si="364"/>
        <v>1434235.358225354</v>
      </c>
      <c r="CP115" s="114">
        <f t="shared" si="364"/>
        <v>1449884.8817745112</v>
      </c>
      <c r="CQ115" s="114">
        <f t="shared" si="364"/>
        <v>1612930.6873537377</v>
      </c>
      <c r="CR115" s="89">
        <f>CQ115</f>
        <v>1612930.6873537377</v>
      </c>
      <c r="CS115" s="114">
        <f t="shared" ref="CS115:CV116" si="365">CS111+CS113</f>
        <v>1662546.0939071262</v>
      </c>
      <c r="CT115" s="114">
        <f t="shared" si="365"/>
        <v>1758528.2686979794</v>
      </c>
      <c r="CU115" s="114">
        <f t="shared" si="365"/>
        <v>1888137.7948471461</v>
      </c>
      <c r="CV115" s="114">
        <f t="shared" si="365"/>
        <v>1925769.999519974</v>
      </c>
      <c r="CW115" s="89">
        <f>CV115</f>
        <v>1925769.999519974</v>
      </c>
      <c r="CX115" s="114">
        <f>CX111+CX113</f>
        <v>2094774.6236918587</v>
      </c>
      <c r="CY115" s="114">
        <f t="shared" ref="CY115:DA115" si="366">CY111+CY113</f>
        <v>2243802.3411308732</v>
      </c>
      <c r="CZ115" s="114">
        <f t="shared" si="366"/>
        <v>2305977.2216372574</v>
      </c>
      <c r="DA115" s="114">
        <f t="shared" si="366"/>
        <v>2495465.4874703605</v>
      </c>
      <c r="DB115" s="89">
        <f>DA115</f>
        <v>2495465.4874703605</v>
      </c>
      <c r="DC115" s="114">
        <f>DC111+DC113</f>
        <v>2884610.8210303877</v>
      </c>
      <c r="DD115" s="114">
        <f t="shared" ref="DD115:DF115" si="367">DD111+DD113</f>
        <v>3085064.4981153188</v>
      </c>
      <c r="DE115" s="114">
        <f t="shared" si="367"/>
        <v>3212965.7996095354</v>
      </c>
      <c r="DF115" s="114">
        <f t="shared" si="367"/>
        <v>3081039.853260126</v>
      </c>
      <c r="DG115" s="89">
        <f>DF115</f>
        <v>3081039.853260126</v>
      </c>
      <c r="DH115" s="114">
        <f t="shared" ref="DH115:DI115" si="368">DH111+DH113</f>
        <v>3614804.9375262</v>
      </c>
      <c r="DI115" s="114">
        <f t="shared" si="368"/>
        <v>3748400.3277773187</v>
      </c>
      <c r="DJ115" s="114">
        <f>DJ111+DJ113</f>
        <v>3982715.9311203025</v>
      </c>
      <c r="DK115" s="114">
        <f>DK111+DK113</f>
        <v>4324898.446113375</v>
      </c>
      <c r="DL115" s="89">
        <f>DK115</f>
        <v>4324898.446113375</v>
      </c>
      <c r="DM115" s="114">
        <f>DM111+DM113</f>
        <v>4767915.5040658694</v>
      </c>
      <c r="DN115" s="114">
        <f>DN111+DN113</f>
        <v>4898952.3802555744</v>
      </c>
      <c r="DO115" s="114">
        <f>DO111+DO113</f>
        <v>5116935.4512852542</v>
      </c>
      <c r="DP115" s="114">
        <f>DP111+DP113</f>
        <v>5386406.2893635146</v>
      </c>
      <c r="DQ115" s="89">
        <f>DP115</f>
        <v>5386406.2893635146</v>
      </c>
      <c r="DR115" s="114">
        <f>DR111+DR113</f>
        <v>5763358.7700631451</v>
      </c>
      <c r="DS115" s="114">
        <f>DS111+DS113</f>
        <v>5794923.801399976</v>
      </c>
      <c r="DT115" s="114">
        <f>DT111+DT113</f>
        <v>5930218.6714391597</v>
      </c>
      <c r="DU115" s="114">
        <f>DU111+DU113</f>
        <v>6133598.6879324559</v>
      </c>
      <c r="DV115" s="89">
        <f>DU115</f>
        <v>6133598.6879324559</v>
      </c>
      <c r="DW115" s="114">
        <f>DW111+DW113</f>
        <v>6462175.4673014823</v>
      </c>
      <c r="DX115" s="114">
        <f>DX111+DX113</f>
        <v>6440028.5003710948</v>
      </c>
      <c r="DY115" s="114">
        <f>DY111+DY113</f>
        <v>6535217.4972100053</v>
      </c>
      <c r="DZ115" s="114">
        <f>DZ111+DZ113</f>
        <v>6708255.4075901993</v>
      </c>
      <c r="EA115" s="89">
        <f>DZ115</f>
        <v>6708255.4075901993</v>
      </c>
      <c r="EB115" s="114">
        <f>EB111+EB113</f>
        <v>7019030.5347156823</v>
      </c>
      <c r="EC115" s="114">
        <f>EC111+EC113</f>
        <v>6968945.2952723391</v>
      </c>
      <c r="ED115" s="114">
        <f>ED111+ED113</f>
        <v>7045872.2663524039</v>
      </c>
      <c r="EE115" s="114">
        <f>EE111+EE113</f>
        <v>7206909.9682422522</v>
      </c>
      <c r="EF115" s="89">
        <f>EE115</f>
        <v>7206909.9682422522</v>
      </c>
    </row>
    <row r="116" spans="1:136" s="157" customFormat="1" outlineLevel="1">
      <c r="A116" s="157" t="s">
        <v>745</v>
      </c>
      <c r="B116" s="244"/>
      <c r="C116" s="244">
        <f t="shared" si="346"/>
        <v>80979.5</v>
      </c>
      <c r="D116" s="244">
        <f t="shared" si="346"/>
        <v>49815</v>
      </c>
      <c r="E116" s="244">
        <f t="shared" si="346"/>
        <v>654568</v>
      </c>
      <c r="F116" s="207">
        <f>SUM(B116:E116)</f>
        <v>785362.5</v>
      </c>
      <c r="G116" s="244">
        <f t="shared" si="347"/>
        <v>119296</v>
      </c>
      <c r="H116" s="244">
        <f t="shared" si="347"/>
        <v>124650</v>
      </c>
      <c r="I116" s="244">
        <f t="shared" si="347"/>
        <v>212104</v>
      </c>
      <c r="J116" s="244">
        <f t="shared" si="347"/>
        <v>316096</v>
      </c>
      <c r="K116" s="207">
        <f>SUM(G116:J116)</f>
        <v>772146</v>
      </c>
      <c r="L116" s="244">
        <f t="shared" si="348"/>
        <v>101182</v>
      </c>
      <c r="M116" s="244">
        <f t="shared" si="348"/>
        <v>270914</v>
      </c>
      <c r="N116" s="244">
        <f t="shared" si="348"/>
        <v>106886</v>
      </c>
      <c r="O116" s="244">
        <f t="shared" si="348"/>
        <v>475498</v>
      </c>
      <c r="P116" s="207">
        <f>SUM(L116:O116)</f>
        <v>954480</v>
      </c>
      <c r="Q116" s="244">
        <f t="shared" si="349"/>
        <v>1556372</v>
      </c>
      <c r="R116" s="244">
        <f t="shared" si="349"/>
        <v>109225</v>
      </c>
      <c r="S116" s="244">
        <f t="shared" si="349"/>
        <v>461627</v>
      </c>
      <c r="T116" s="244">
        <f t="shared" si="349"/>
        <v>-358104.83999999985</v>
      </c>
      <c r="U116" s="207">
        <f>SUM(Q116:T116)</f>
        <v>1769119.1600000001</v>
      </c>
      <c r="V116" s="244">
        <f t="shared" si="350"/>
        <v>424774.1799999997</v>
      </c>
      <c r="W116" s="244">
        <f t="shared" si="350"/>
        <v>805746.7200000002</v>
      </c>
      <c r="X116" s="244">
        <f t="shared" si="350"/>
        <v>444523.48</v>
      </c>
      <c r="Y116" s="244">
        <f t="shared" si="350"/>
        <v>437369.45999999996</v>
      </c>
      <c r="Z116" s="207">
        <f>SUM(V116:Y116)</f>
        <v>2112413.84</v>
      </c>
      <c r="AA116" s="244">
        <f t="shared" si="351"/>
        <v>204572</v>
      </c>
      <c r="AB116" s="244">
        <f t="shared" si="351"/>
        <v>114820</v>
      </c>
      <c r="AC116" s="244">
        <f t="shared" si="351"/>
        <v>596555</v>
      </c>
      <c r="AD116" s="244">
        <f t="shared" si="351"/>
        <v>985570</v>
      </c>
      <c r="AE116" s="207">
        <f>SUM(AA116:AD116)</f>
        <v>1901517</v>
      </c>
      <c r="AF116" s="244">
        <f t="shared" si="352"/>
        <v>438201</v>
      </c>
      <c r="AG116" s="244">
        <f t="shared" si="352"/>
        <v>652521</v>
      </c>
      <c r="AH116" s="244">
        <f t="shared" si="352"/>
        <v>494430</v>
      </c>
      <c r="AI116" s="244">
        <f>AI112+AI114</f>
        <v>625721</v>
      </c>
      <c r="AJ116" s="207">
        <f>SUM(AF116:AI116)</f>
        <v>2210873</v>
      </c>
      <c r="AK116" s="244">
        <f t="shared" si="353"/>
        <v>352585</v>
      </c>
      <c r="AL116" s="244">
        <f t="shared" si="353"/>
        <v>630682</v>
      </c>
      <c r="AM116" s="244">
        <f t="shared" si="353"/>
        <v>655701</v>
      </c>
      <c r="AN116" s="244">
        <f t="shared" si="353"/>
        <v>740604</v>
      </c>
      <c r="AO116" s="207">
        <f>SUM(AK116:AN116)</f>
        <v>2379572</v>
      </c>
      <c r="AP116" s="244">
        <f t="shared" si="354"/>
        <v>567038</v>
      </c>
      <c r="AQ116" s="244">
        <f t="shared" si="354"/>
        <v>406392</v>
      </c>
      <c r="AR116" s="244">
        <f t="shared" si="354"/>
        <v>429773</v>
      </c>
      <c r="AS116" s="244">
        <f t="shared" si="354"/>
        <v>704077</v>
      </c>
      <c r="AT116" s="207">
        <f>SUM(AP116:AS116)</f>
        <v>2107280</v>
      </c>
      <c r="AU116" s="244">
        <f t="shared" si="355"/>
        <v>296872.89875526633</v>
      </c>
      <c r="AV116" s="244">
        <f t="shared" si="355"/>
        <v>294031.30858112406</v>
      </c>
      <c r="AW116" s="244">
        <f t="shared" si="355"/>
        <v>353523.98626029678</v>
      </c>
      <c r="AX116" s="244">
        <f t="shared" si="355"/>
        <v>220551.27410508646</v>
      </c>
      <c r="AY116" s="207">
        <f>SUM(AU116:AX116)</f>
        <v>1164979.4677017736</v>
      </c>
      <c r="AZ116" s="244">
        <f t="shared" si="356"/>
        <v>358685.85967974039</v>
      </c>
      <c r="BA116" s="244">
        <f t="shared" si="356"/>
        <v>240300.48924098071</v>
      </c>
      <c r="BB116" s="244">
        <f t="shared" si="356"/>
        <v>229324.25856785895</v>
      </c>
      <c r="BC116" s="244">
        <f t="shared" si="356"/>
        <v>198162.73201790452</v>
      </c>
      <c r="BD116" s="207">
        <f>SUM(AZ116:BC116)</f>
        <v>1026473.3395064846</v>
      </c>
      <c r="BE116" s="244">
        <f t="shared" si="357"/>
        <v>236685.59756799787</v>
      </c>
      <c r="BF116" s="244">
        <f t="shared" si="357"/>
        <v>267783.86578324065</v>
      </c>
      <c r="BG116" s="244">
        <f t="shared" si="357"/>
        <v>172734.64436597517</v>
      </c>
      <c r="BH116" s="244">
        <f t="shared" si="357"/>
        <v>135655.53281723987</v>
      </c>
      <c r="BI116" s="207">
        <f>SUM(BE116:BH116)</f>
        <v>812859.64053445356</v>
      </c>
      <c r="BJ116" s="244">
        <f t="shared" si="358"/>
        <v>98896.683169101365</v>
      </c>
      <c r="BK116" s="244">
        <f t="shared" si="358"/>
        <v>124552.85030085105</v>
      </c>
      <c r="BL116" s="244">
        <f t="shared" si="358"/>
        <v>18039.555721093901</v>
      </c>
      <c r="BM116" s="244">
        <f t="shared" si="358"/>
        <v>90482.022931175539</v>
      </c>
      <c r="BN116" s="207">
        <f>SUM(BJ116:BM116)</f>
        <v>331971.11212222185</v>
      </c>
      <c r="BO116" s="244">
        <f t="shared" si="359"/>
        <v>79694.991038607899</v>
      </c>
      <c r="BP116" s="244">
        <f t="shared" si="359"/>
        <v>73131.84561502072</v>
      </c>
      <c r="BQ116" s="244">
        <f t="shared" si="359"/>
        <v>29623.328670839895</v>
      </c>
      <c r="BR116" s="244">
        <f t="shared" si="359"/>
        <v>109054.5509817563</v>
      </c>
      <c r="BS116" s="207">
        <f>SUM(BO116:BR116)</f>
        <v>291504.71630622481</v>
      </c>
      <c r="BT116" s="244">
        <f t="shared" si="360"/>
        <v>91417.497845666832</v>
      </c>
      <c r="BU116" s="244">
        <f t="shared" si="360"/>
        <v>51314.629675656324</v>
      </c>
      <c r="BV116" s="244">
        <f t="shared" si="360"/>
        <v>72440.52795999893</v>
      </c>
      <c r="BW116" s="244">
        <f t="shared" si="360"/>
        <v>185529.47197761096</v>
      </c>
      <c r="BX116" s="207">
        <f>SUM(BT116:BW116)</f>
        <v>400702.12745893304</v>
      </c>
      <c r="BY116" s="244">
        <f t="shared" si="361"/>
        <v>137960.97555828514</v>
      </c>
      <c r="BZ116" s="244">
        <f t="shared" si="361"/>
        <v>264729.5521943951</v>
      </c>
      <c r="CA116" s="244">
        <f t="shared" si="361"/>
        <v>203018.725477434</v>
      </c>
      <c r="CB116" s="244">
        <f t="shared" si="361"/>
        <v>294998.46123845037</v>
      </c>
      <c r="CC116" s="207">
        <f>SUM(BY116:CB116)</f>
        <v>900707.71446856461</v>
      </c>
      <c r="CD116" s="244">
        <f t="shared" si="362"/>
        <v>204538.41306989081</v>
      </c>
      <c r="CE116" s="244">
        <f t="shared" si="362"/>
        <v>157378.53793066321</v>
      </c>
      <c r="CF116" s="244">
        <f t="shared" si="362"/>
        <v>149732.24839822017</v>
      </c>
      <c r="CG116" s="244">
        <f t="shared" si="362"/>
        <v>283525.88473603316</v>
      </c>
      <c r="CH116" s="207">
        <f>SUM(CD116:CG116)</f>
        <v>795175.08413480734</v>
      </c>
      <c r="CI116" s="244">
        <f t="shared" si="363"/>
        <v>263190.60973650892</v>
      </c>
      <c r="CJ116" s="244">
        <f t="shared" si="363"/>
        <v>360663.74777933909</v>
      </c>
      <c r="CK116" s="244">
        <f t="shared" si="363"/>
        <v>183412.40556808468</v>
      </c>
      <c r="CL116" s="244">
        <f t="shared" si="363"/>
        <v>399367.34910115297</v>
      </c>
      <c r="CM116" s="207">
        <f>SUM(CI116:CL116)</f>
        <v>1206634.1121850857</v>
      </c>
      <c r="CN116" s="244">
        <f t="shared" si="364"/>
        <v>205585.08387259208</v>
      </c>
      <c r="CO116" s="244">
        <f t="shared" si="364"/>
        <v>232189.64177464601</v>
      </c>
      <c r="CP116" s="244">
        <f t="shared" si="364"/>
        <v>387351.11822548881</v>
      </c>
      <c r="CQ116" s="244">
        <f t="shared" si="364"/>
        <v>274758.31264626235</v>
      </c>
      <c r="CR116" s="207">
        <f>SUM(CN116:CQ116)</f>
        <v>1099884.1565189892</v>
      </c>
      <c r="CS116" s="244">
        <f t="shared" si="365"/>
        <v>351780.90609287377</v>
      </c>
      <c r="CT116" s="244">
        <f t="shared" si="365"/>
        <v>415914.73130202061</v>
      </c>
      <c r="CU116" s="244">
        <f t="shared" si="365"/>
        <v>328961.20515285386</v>
      </c>
      <c r="CV116" s="244">
        <f t="shared" si="365"/>
        <v>457115.00048002601</v>
      </c>
      <c r="CW116" s="207">
        <f>SUM(CS116:CV116)</f>
        <v>1553771.8430277742</v>
      </c>
      <c r="CX116" s="244">
        <f>CX112+CX114</f>
        <v>470346.37630814128</v>
      </c>
      <c r="CY116" s="244">
        <f t="shared" ref="CY116:DA116" si="369">CY112+CY114</f>
        <v>393726.65886912681</v>
      </c>
      <c r="CZ116" s="244">
        <f t="shared" si="369"/>
        <v>527704.77836274263</v>
      </c>
      <c r="DA116" s="244">
        <f t="shared" si="369"/>
        <v>702213.51252963953</v>
      </c>
      <c r="DB116" s="207">
        <f>SUM(CX116:DA116)</f>
        <v>2093991.3260696502</v>
      </c>
      <c r="DC116" s="244">
        <f>DC112+DC114</f>
        <v>541521.17896961235</v>
      </c>
      <c r="DD116" s="244">
        <f t="shared" ref="DD116:DF116" si="370">DD112+DD114</f>
        <v>488053.50188468117</v>
      </c>
      <c r="DE116" s="244">
        <f t="shared" si="370"/>
        <v>287938.20039046463</v>
      </c>
      <c r="DF116" s="244">
        <f t="shared" si="370"/>
        <v>951701.14673987404</v>
      </c>
      <c r="DG116" s="207">
        <f>SUM(DC116:DF116)</f>
        <v>2269214.0279846322</v>
      </c>
      <c r="DH116" s="244">
        <f t="shared" ref="DH116:DI116" si="371">DH112+DH114</f>
        <v>579032.06247380003</v>
      </c>
      <c r="DI116" s="244">
        <f t="shared" si="371"/>
        <v>675510.67222268134</v>
      </c>
      <c r="DJ116" s="244">
        <f>DJ118*DJ112</f>
        <v>821435.39687987638</v>
      </c>
      <c r="DK116" s="244">
        <f>DK118*DK112</f>
        <v>963725.94723043311</v>
      </c>
      <c r="DL116" s="207">
        <f>SUM(DH116:DK116)</f>
        <v>3039704.078806791</v>
      </c>
      <c r="DM116" s="244">
        <f>DM118*DM112</f>
        <v>666651.88333540095</v>
      </c>
      <c r="DN116" s="244">
        <f>DN118*DN112</f>
        <v>778359.44637691521</v>
      </c>
      <c r="DO116" s="244">
        <f>DO118*DO112</f>
        <v>859961.67229210073</v>
      </c>
      <c r="DP116" s="244">
        <f>DP118*DP112</f>
        <v>1010707.6139329533</v>
      </c>
      <c r="DQ116" s="207">
        <f>SUM(DM116:DP116)</f>
        <v>3315680.6159373699</v>
      </c>
      <c r="DR116" s="244">
        <f>DR118*DR112</f>
        <v>668989.97077869717</v>
      </c>
      <c r="DS116" s="244">
        <f>DS118*DS112</f>
        <v>788077.20082508156</v>
      </c>
      <c r="DT116" s="244">
        <f>DT118*DT112</f>
        <v>878807.96913650155</v>
      </c>
      <c r="DU116" s="244">
        <f>DU118*DU112</f>
        <v>1041566.5711860365</v>
      </c>
      <c r="DV116" s="207">
        <f>SUM(DR116:DU116)</f>
        <v>3377441.7119263168</v>
      </c>
      <c r="DW116" s="244">
        <f>DW118*DW112</f>
        <v>688462.2851835296</v>
      </c>
      <c r="DX116" s="244">
        <f>DX118*DX112</f>
        <v>816597.48112300062</v>
      </c>
      <c r="DY116" s="244">
        <f>DY118*DY112</f>
        <v>913680.61745839589</v>
      </c>
      <c r="DZ116" s="244">
        <f>DZ118*DZ112</f>
        <v>1086761.061033058</v>
      </c>
      <c r="EA116" s="207">
        <f>SUM(DW116:DZ116)</f>
        <v>3505501.4447979843</v>
      </c>
      <c r="EB116" s="244">
        <f>EB118*EB112</f>
        <v>720384.84283176216</v>
      </c>
      <c r="EC116" s="244">
        <f>EC118*EC112</f>
        <v>856111.57952773874</v>
      </c>
      <c r="ED116" s="244">
        <f>ED118*ED112</f>
        <v>958116.07004741707</v>
      </c>
      <c r="EE116" s="244">
        <f>EE118*EE112</f>
        <v>1138691.1888988733</v>
      </c>
      <c r="EF116" s="207">
        <f>SUM(EB116:EE116)</f>
        <v>3673303.6813057913</v>
      </c>
    </row>
    <row r="117" spans="1:136" outlineLevel="1">
      <c r="A117" s="66" t="s">
        <v>123</v>
      </c>
      <c r="B117" s="122"/>
      <c r="C117" s="122">
        <f t="shared" ref="C117:AD117" si="372">C115/C111</f>
        <v>0.56925591367614492</v>
      </c>
      <c r="D117" s="122">
        <f t="shared" si="372"/>
        <v>0.43740725455934393</v>
      </c>
      <c r="E117" s="122">
        <f t="shared" si="372"/>
        <v>0.7440809596058291</v>
      </c>
      <c r="F117" s="111">
        <f t="shared" si="372"/>
        <v>0.7440809596058291</v>
      </c>
      <c r="G117" s="122">
        <f t="shared" si="372"/>
        <v>0.4543929696827354</v>
      </c>
      <c r="H117" s="122">
        <f t="shared" si="372"/>
        <v>0.39866168899652998</v>
      </c>
      <c r="I117" s="122">
        <f t="shared" si="372"/>
        <v>0.42586257402607636</v>
      </c>
      <c r="J117" s="122">
        <f t="shared" si="372"/>
        <v>0.29093313024508893</v>
      </c>
      <c r="K117" s="111">
        <f t="shared" si="372"/>
        <v>0.29093313024508893</v>
      </c>
      <c r="L117" s="122">
        <f t="shared" si="372"/>
        <v>0.46720737740996104</v>
      </c>
      <c r="M117" s="122">
        <f t="shared" si="372"/>
        <v>0.41597964428620177</v>
      </c>
      <c r="N117" s="122">
        <f t="shared" si="372"/>
        <v>0.44520239188411398</v>
      </c>
      <c r="O117" s="122">
        <f t="shared" si="372"/>
        <v>0.26003757668813338</v>
      </c>
      <c r="P117" s="111">
        <f t="shared" si="372"/>
        <v>0.26003757668813338</v>
      </c>
      <c r="Q117" s="122">
        <f t="shared" si="372"/>
        <v>0.42117874455421245</v>
      </c>
      <c r="R117" s="122">
        <f t="shared" si="372"/>
        <v>1.1246138336388825</v>
      </c>
      <c r="S117" s="122">
        <f t="shared" si="372"/>
        <v>1.1443047220974514</v>
      </c>
      <c r="T117" s="122">
        <f t="shared" si="372"/>
        <v>1.5470689634366521</v>
      </c>
      <c r="U117" s="111">
        <f t="shared" si="372"/>
        <v>1.5470689634366521</v>
      </c>
      <c r="V117" s="122">
        <f t="shared" si="372"/>
        <v>0.37131589611001103</v>
      </c>
      <c r="W117" s="122">
        <f t="shared" si="372"/>
        <v>0.36232959197886921</v>
      </c>
      <c r="X117" s="122">
        <f t="shared" si="372"/>
        <v>0.36959999906636731</v>
      </c>
      <c r="Y117" s="122">
        <f t="shared" si="372"/>
        <v>0.34245913069740802</v>
      </c>
      <c r="Z117" s="111">
        <f t="shared" si="372"/>
        <v>0.34245913069740802</v>
      </c>
      <c r="AA117" s="122">
        <f t="shared" si="372"/>
        <v>0.36556040526456923</v>
      </c>
      <c r="AB117" s="122">
        <f t="shared" si="372"/>
        <v>0.36306528689205753</v>
      </c>
      <c r="AC117" s="122">
        <f t="shared" si="372"/>
        <v>0.35541520066324639</v>
      </c>
      <c r="AD117" s="122">
        <f t="shared" si="372"/>
        <v>0.3088259655998617</v>
      </c>
      <c r="AE117" s="111">
        <f t="shared" ref="AE117:AG118" si="373">AE115/AE111</f>
        <v>0.3088259655998617</v>
      </c>
      <c r="AF117" s="122">
        <f t="shared" si="373"/>
        <v>0.36511257222554294</v>
      </c>
      <c r="AG117" s="122">
        <f t="shared" si="373"/>
        <v>0.36412208961280829</v>
      </c>
      <c r="AH117" s="122">
        <f t="shared" ref="AH117:AK118" si="374">AH115/AH111</f>
        <v>0.35082693931809733</v>
      </c>
      <c r="AI117" s="122">
        <f t="shared" si="374"/>
        <v>0.34703789383751776</v>
      </c>
      <c r="AJ117" s="111">
        <f t="shared" si="374"/>
        <v>0.34703789383751776</v>
      </c>
      <c r="AK117" s="122">
        <f t="shared" si="374"/>
        <v>0.33514079992310153</v>
      </c>
      <c r="AL117" s="122">
        <f t="shared" ref="AL117:BW117" si="375">AL115/AL111</f>
        <v>0.33415702941520137</v>
      </c>
      <c r="AM117" s="122">
        <f t="shared" si="375"/>
        <v>0.33922516872815256</v>
      </c>
      <c r="AN117" s="122">
        <f t="shared" si="375"/>
        <v>0.36358681496885065</v>
      </c>
      <c r="AO117" s="111">
        <f t="shared" si="375"/>
        <v>0.36358681496885065</v>
      </c>
      <c r="AP117" s="122">
        <f t="shared" si="375"/>
        <v>0.35933787427639846</v>
      </c>
      <c r="AQ117" s="122">
        <f t="shared" si="375"/>
        <v>0.36964995007424728</v>
      </c>
      <c r="AR117" s="122">
        <f t="shared" si="375"/>
        <v>0.35886079851559127</v>
      </c>
      <c r="AS117" s="122">
        <f t="shared" si="375"/>
        <v>0.34954740996984213</v>
      </c>
      <c r="AT117" s="111">
        <f t="shared" si="375"/>
        <v>0.34954740996984213</v>
      </c>
      <c r="AU117" s="122">
        <f t="shared" si="375"/>
        <v>0.39263433450596164</v>
      </c>
      <c r="AV117" s="122">
        <f t="shared" si="375"/>
        <v>0.40252204263855773</v>
      </c>
      <c r="AW117" s="122">
        <f t="shared" si="375"/>
        <v>0.39845039729581189</v>
      </c>
      <c r="AX117" s="122">
        <f t="shared" si="375"/>
        <v>0.39514334553318226</v>
      </c>
      <c r="AY117" s="111">
        <f t="shared" si="375"/>
        <v>0.39514334553318226</v>
      </c>
      <c r="AZ117" s="122">
        <f t="shared" si="375"/>
        <v>0.39666937757400711</v>
      </c>
      <c r="BA117" s="122">
        <f t="shared" si="375"/>
        <v>0.38987382542158422</v>
      </c>
      <c r="BB117" s="122">
        <f t="shared" si="375"/>
        <v>0.4065459923364273</v>
      </c>
      <c r="BC117" s="122">
        <f t="shared" si="375"/>
        <v>0.38711222116629124</v>
      </c>
      <c r="BD117" s="111">
        <f t="shared" si="375"/>
        <v>0.38711222116629124</v>
      </c>
      <c r="BE117" s="122">
        <f t="shared" si="375"/>
        <v>0.37693119146906512</v>
      </c>
      <c r="BF117" s="122">
        <f t="shared" si="375"/>
        <v>0.37772001091720775</v>
      </c>
      <c r="BG117" s="122">
        <f t="shared" si="375"/>
        <v>0.38273772512718235</v>
      </c>
      <c r="BH117" s="122">
        <f t="shared" si="375"/>
        <v>0.38429636483525903</v>
      </c>
      <c r="BI117" s="111">
        <f t="shared" si="375"/>
        <v>0.38429636483525903</v>
      </c>
      <c r="BJ117" s="122">
        <f t="shared" si="375"/>
        <v>0.3782474957386821</v>
      </c>
      <c r="BK117" s="122">
        <f t="shared" si="375"/>
        <v>0.36502337614969887</v>
      </c>
      <c r="BL117" s="122">
        <f t="shared" si="375"/>
        <v>0.38331326413676498</v>
      </c>
      <c r="BM117" s="122">
        <f t="shared" si="375"/>
        <v>0.39313071952420248</v>
      </c>
      <c r="BN117" s="111">
        <f t="shared" si="375"/>
        <v>0.39313071952420248</v>
      </c>
      <c r="BO117" s="122">
        <f t="shared" si="375"/>
        <v>0.38461159155057545</v>
      </c>
      <c r="BP117" s="122">
        <f t="shared" si="375"/>
        <v>0.39406243458987511</v>
      </c>
      <c r="BQ117" s="122">
        <f t="shared" si="375"/>
        <v>0.41333820666876536</v>
      </c>
      <c r="BR117" s="122">
        <f t="shared" si="375"/>
        <v>0.39929874477134758</v>
      </c>
      <c r="BS117" s="111">
        <f t="shared" si="375"/>
        <v>0.39929874477134758</v>
      </c>
      <c r="BT117" s="122">
        <f t="shared" si="375"/>
        <v>0.39681808099520932</v>
      </c>
      <c r="BU117" s="122">
        <f t="shared" si="375"/>
        <v>0.41899382766183818</v>
      </c>
      <c r="BV117" s="122">
        <f t="shared" si="375"/>
        <v>0.40987722354689293</v>
      </c>
      <c r="BW117" s="122">
        <f t="shared" si="375"/>
        <v>0.41734975567623067</v>
      </c>
      <c r="BX117" s="111">
        <f t="shared" ref="BX117:CC118" si="376">BX115/BX111</f>
        <v>0.41734975567623067</v>
      </c>
      <c r="BY117" s="122">
        <f t="shared" si="376"/>
        <v>0.41470245598899536</v>
      </c>
      <c r="BZ117" s="122">
        <f t="shared" si="376"/>
        <v>0.39976200108418419</v>
      </c>
      <c r="CA117" s="122">
        <f t="shared" si="376"/>
        <v>0.39366209591428558</v>
      </c>
      <c r="CB117" s="122">
        <f t="shared" si="376"/>
        <v>0.39050727509928312</v>
      </c>
      <c r="CC117" s="111">
        <f t="shared" si="376"/>
        <v>0.39050727509928312</v>
      </c>
      <c r="CD117" s="122">
        <f t="shared" ref="CD117:CG118" si="377">CD115/CD111</f>
        <v>0.38386351241669858</v>
      </c>
      <c r="CE117" s="122">
        <f t="shared" si="377"/>
        <v>0.38172672038458716</v>
      </c>
      <c r="CF117" s="122">
        <f t="shared" si="377"/>
        <v>0.37729989007334197</v>
      </c>
      <c r="CG117" s="122">
        <f t="shared" si="377"/>
        <v>0.37288255157099709</v>
      </c>
      <c r="CH117" s="111">
        <f t="shared" ref="CH117:DI117" si="378">CH115/CH111</f>
        <v>0.37288255157099709</v>
      </c>
      <c r="CI117" s="122">
        <f t="shared" si="378"/>
        <v>0.36588413106556977</v>
      </c>
      <c r="CJ117" s="122">
        <f t="shared" si="378"/>
        <v>0.35847655578864024</v>
      </c>
      <c r="CK117" s="122">
        <f t="shared" si="378"/>
        <v>0.36716235453487772</v>
      </c>
      <c r="CL117" s="122">
        <f t="shared" si="378"/>
        <v>0.36675471475130322</v>
      </c>
      <c r="CM117" s="111">
        <f t="shared" si="378"/>
        <v>0.36675471475130322</v>
      </c>
      <c r="CN117" s="122">
        <f t="shared" ref="CN117:CQ118" si="379">CN115/CN111</f>
        <v>0.37381862471627908</v>
      </c>
      <c r="CO117" s="122">
        <f t="shared" si="379"/>
        <v>0.36668388994292317</v>
      </c>
      <c r="CP117" s="122">
        <f t="shared" si="379"/>
        <v>0.35548608549770055</v>
      </c>
      <c r="CQ117" s="122">
        <f t="shared" si="379"/>
        <v>0.36085045847036235</v>
      </c>
      <c r="CR117" s="111">
        <f t="shared" si="378"/>
        <v>0.36085045847036235</v>
      </c>
      <c r="CS117" s="122">
        <f t="shared" si="378"/>
        <v>0.3623409088613927</v>
      </c>
      <c r="CT117" s="122">
        <f t="shared" si="378"/>
        <v>0.34905790120931524</v>
      </c>
      <c r="CU117" s="122">
        <f t="shared" si="378"/>
        <v>0.34515842010092973</v>
      </c>
      <c r="CV117" s="122">
        <f t="shared" si="378"/>
        <v>0.34645647467398871</v>
      </c>
      <c r="CW117" s="111">
        <f t="shared" si="378"/>
        <v>0.34645647467398871</v>
      </c>
      <c r="CX117" s="122">
        <f>CX115/CX111</f>
        <v>0.36089131892651083</v>
      </c>
      <c r="CY117" s="122">
        <f t="shared" ref="CY117:DA117" si="380">CY115/CY111</f>
        <v>0.36092059686885836</v>
      </c>
      <c r="CZ117" s="122">
        <f t="shared" si="380"/>
        <v>0.36270659440443775</v>
      </c>
      <c r="DA117" s="122">
        <f t="shared" si="380"/>
        <v>0.36613527410508195</v>
      </c>
      <c r="DB117" s="111">
        <f t="shared" si="378"/>
        <v>0.36613527410508195</v>
      </c>
      <c r="DC117" s="122">
        <f>DC115/DC111</f>
        <v>0.36462090546490661</v>
      </c>
      <c r="DD117" s="122">
        <f t="shared" ref="DD117:DF117" si="381">DD115/DD111</f>
        <v>0.36323677278460914</v>
      </c>
      <c r="DE117" s="122">
        <f t="shared" si="381"/>
        <v>0.36246849557485733</v>
      </c>
      <c r="DF117" s="122">
        <f t="shared" si="381"/>
        <v>0.36560263100674562</v>
      </c>
      <c r="DG117" s="111">
        <f t="shared" si="378"/>
        <v>0.36560263100674562</v>
      </c>
      <c r="DH117" s="122">
        <f t="shared" si="378"/>
        <v>0.35805986905041026</v>
      </c>
      <c r="DI117" s="122">
        <f t="shared" si="378"/>
        <v>0.3571301452941737</v>
      </c>
      <c r="DJ117" s="122">
        <f t="shared" ref="DJ117:DL118" si="382">DJ115/DJ111</f>
        <v>0.36187160505904259</v>
      </c>
      <c r="DK117" s="122">
        <f t="shared" si="382"/>
        <v>0.36164739883527391</v>
      </c>
      <c r="DL117" s="111">
        <f t="shared" si="382"/>
        <v>0.36164739883527391</v>
      </c>
      <c r="DM117" s="122">
        <f t="shared" ref="DM117:EF117" si="383">DM115/DM111</f>
        <v>0.36196506886191737</v>
      </c>
      <c r="DN117" s="122">
        <f t="shared" si="383"/>
        <v>0.36103139235479859</v>
      </c>
      <c r="DO117" s="122">
        <f t="shared" si="383"/>
        <v>0.35999547052819092</v>
      </c>
      <c r="DP117" s="122">
        <f t="shared" si="383"/>
        <v>0.35900209708654796</v>
      </c>
      <c r="DQ117" s="111">
        <f t="shared" si="383"/>
        <v>0.35900209708654796</v>
      </c>
      <c r="DR117" s="122">
        <f t="shared" si="383"/>
        <v>0.35791903833447741</v>
      </c>
      <c r="DS117" s="122">
        <f t="shared" si="383"/>
        <v>0.35743713213236333</v>
      </c>
      <c r="DT117" s="122">
        <f t="shared" si="383"/>
        <v>0.35686223433791187</v>
      </c>
      <c r="DU117" s="122">
        <f t="shared" si="383"/>
        <v>0.35627948060056275</v>
      </c>
      <c r="DV117" s="111">
        <f t="shared" si="383"/>
        <v>0.35627948060056275</v>
      </c>
      <c r="DW117" s="122">
        <f t="shared" si="383"/>
        <v>0.35560308890029524</v>
      </c>
      <c r="DX117" s="122">
        <f t="shared" si="383"/>
        <v>0.35530159133703676</v>
      </c>
      <c r="DY117" s="122">
        <f t="shared" si="383"/>
        <v>0.35492803130336104</v>
      </c>
      <c r="DZ117" s="122">
        <f t="shared" si="383"/>
        <v>0.35454057095228436</v>
      </c>
      <c r="EA117" s="111">
        <f t="shared" si="383"/>
        <v>0.35454057095228436</v>
      </c>
      <c r="EB117" s="122">
        <f t="shared" si="383"/>
        <v>0.35407783315414648</v>
      </c>
      <c r="EC117" s="122">
        <f t="shared" si="383"/>
        <v>0.35387053637360888</v>
      </c>
      <c r="ED117" s="122">
        <f t="shared" si="383"/>
        <v>0.35360958347901766</v>
      </c>
      <c r="EE117" s="122">
        <f t="shared" si="383"/>
        <v>0.35333637496206077</v>
      </c>
      <c r="EF117" s="111">
        <f t="shared" si="383"/>
        <v>0.35333637496206077</v>
      </c>
    </row>
    <row r="118" spans="1:136" s="157" customFormat="1" outlineLevel="1">
      <c r="A118" s="157" t="s">
        <v>746</v>
      </c>
      <c r="B118" s="172"/>
      <c r="C118" s="172">
        <f t="shared" ref="C118:AD118" si="384">C116/C112</f>
        <v>0.56925591367614492</v>
      </c>
      <c r="D118" s="172">
        <f t="shared" si="384"/>
        <v>0.43740725455934393</v>
      </c>
      <c r="E118" s="172">
        <f t="shared" si="384"/>
        <v>0.57715785677567599</v>
      </c>
      <c r="F118" s="171">
        <f t="shared" si="384"/>
        <v>0.56490129579612525</v>
      </c>
      <c r="G118" s="172">
        <f t="shared" si="384"/>
        <v>0.43121477963209964</v>
      </c>
      <c r="H118" s="172">
        <f t="shared" si="384"/>
        <v>0.56205360363610124</v>
      </c>
      <c r="I118" s="172">
        <f t="shared" si="384"/>
        <v>0.62392154209552497</v>
      </c>
      <c r="J118" s="172">
        <f t="shared" si="384"/>
        <v>0.66175663963220854</v>
      </c>
      <c r="K118" s="171">
        <f t="shared" si="384"/>
        <v>0.58671835701292208</v>
      </c>
      <c r="L118" s="172">
        <f t="shared" si="384"/>
        <v>0.36098138759958187</v>
      </c>
      <c r="M118" s="172">
        <f t="shared" si="384"/>
        <v>0.47324115884813917</v>
      </c>
      <c r="N118" s="172">
        <f t="shared" si="384"/>
        <v>0.39945138312741513</v>
      </c>
      <c r="O118" s="172">
        <f t="shared" si="384"/>
        <v>0.56407865579075733</v>
      </c>
      <c r="P118" s="171">
        <f t="shared" si="384"/>
        <v>0.48615907437854888</v>
      </c>
      <c r="Q118" s="172">
        <f t="shared" si="384"/>
        <v>1.9412718527979564</v>
      </c>
      <c r="R118" s="172">
        <f t="shared" si="384"/>
        <v>0.34095733389938443</v>
      </c>
      <c r="S118" s="172">
        <f t="shared" si="384"/>
        <v>0.66711514144297124</v>
      </c>
      <c r="T118" s="172">
        <f t="shared" si="384"/>
        <v>-0.15134168230002432</v>
      </c>
      <c r="U118" s="171">
        <f t="shared" si="384"/>
        <v>0.42320873478441018</v>
      </c>
      <c r="V118" s="172">
        <f t="shared" si="384"/>
        <v>0.40377313186541569</v>
      </c>
      <c r="W118" s="172">
        <f t="shared" si="384"/>
        <v>0.40745663596970533</v>
      </c>
      <c r="X118" s="172">
        <f t="shared" si="384"/>
        <v>0.42233284530893273</v>
      </c>
      <c r="Y118" s="172">
        <f t="shared" si="384"/>
        <v>0.52501114556212158</v>
      </c>
      <c r="Z118" s="171">
        <f t="shared" si="384"/>
        <v>0.42977825385926094</v>
      </c>
      <c r="AA118" s="172">
        <f t="shared" si="384"/>
        <v>0.42037473132199848</v>
      </c>
      <c r="AB118" s="172">
        <f t="shared" si="384"/>
        <v>0.32947577139282569</v>
      </c>
      <c r="AC118" s="172">
        <f t="shared" si="384"/>
        <v>0.37926571010241455</v>
      </c>
      <c r="AD118" s="172">
        <f t="shared" si="384"/>
        <v>0.4505026255741158</v>
      </c>
      <c r="AE118" s="171">
        <f t="shared" si="373"/>
        <v>0.41375391447087845</v>
      </c>
      <c r="AF118" s="172">
        <f t="shared" si="373"/>
        <v>0.3755630862267566</v>
      </c>
      <c r="AG118" s="172">
        <f t="shared" si="373"/>
        <v>0.34737314500725069</v>
      </c>
      <c r="AH118" s="172">
        <f t="shared" si="374"/>
        <v>0.43538484839945896</v>
      </c>
      <c r="AI118" s="172">
        <f t="shared" si="374"/>
        <v>0.311082817240877</v>
      </c>
      <c r="AJ118" s="171">
        <f t="shared" si="374"/>
        <v>0.35703739160079023</v>
      </c>
      <c r="AK118" s="172">
        <f t="shared" si="374"/>
        <v>0.33149340087587176</v>
      </c>
      <c r="AL118" s="172">
        <f t="shared" ref="AL118:BW118" si="385">AL116/AL112</f>
        <v>0.36088670683627166</v>
      </c>
      <c r="AM118" s="172">
        <f t="shared" si="385"/>
        <v>0.4020438783287214</v>
      </c>
      <c r="AN118" s="172">
        <f t="shared" si="385"/>
        <v>0.35580986422991556</v>
      </c>
      <c r="AO118" s="171">
        <f t="shared" si="385"/>
        <v>0.36476390701752637</v>
      </c>
      <c r="AP118" s="172">
        <f t="shared" si="385"/>
        <v>0.38389430953754328</v>
      </c>
      <c r="AQ118" s="172">
        <f t="shared" si="385"/>
        <v>0.33506447892078089</v>
      </c>
      <c r="AR118" s="172">
        <f t="shared" si="385"/>
        <v>0.37616826928968178</v>
      </c>
      <c r="AS118" s="340">
        <f t="shared" si="385"/>
        <v>0.52151418119006299</v>
      </c>
      <c r="AT118" s="171">
        <f t="shared" si="385"/>
        <v>0.40661378366853129</v>
      </c>
      <c r="AU118" s="172">
        <f t="shared" si="385"/>
        <v>0.42817295860293764</v>
      </c>
      <c r="AV118" s="172">
        <f t="shared" si="385"/>
        <v>0.35846180737816757</v>
      </c>
      <c r="AW118" s="172">
        <f t="shared" si="385"/>
        <v>0.38770403611701904</v>
      </c>
      <c r="AX118" s="172">
        <f t="shared" si="385"/>
        <v>0.39565739519061449</v>
      </c>
      <c r="AY118" s="171">
        <f t="shared" si="385"/>
        <v>0.39055574890234673</v>
      </c>
      <c r="AZ118" s="172">
        <f t="shared" si="385"/>
        <v>0.36067305278520989</v>
      </c>
      <c r="BA118" s="172">
        <f t="shared" si="385"/>
        <v>0.40203309754742012</v>
      </c>
      <c r="BB118" s="172">
        <f t="shared" si="385"/>
        <v>0.28205033672098906</v>
      </c>
      <c r="BC118" s="172">
        <f t="shared" si="385"/>
        <v>0.35355355229961877</v>
      </c>
      <c r="BD118" s="171">
        <f t="shared" si="385"/>
        <v>0.34610877649773325</v>
      </c>
      <c r="BE118" s="172">
        <f t="shared" si="385"/>
        <v>0.41574578594488187</v>
      </c>
      <c r="BF118" s="172">
        <f t="shared" si="385"/>
        <v>0.43785866068795082</v>
      </c>
      <c r="BG118" s="172">
        <f t="shared" si="385"/>
        <v>0.42353740603217244</v>
      </c>
      <c r="BH118" s="172">
        <f t="shared" si="385"/>
        <v>0.41397742200708754</v>
      </c>
      <c r="BI118" s="171">
        <f t="shared" si="385"/>
        <v>0.42415838304907211</v>
      </c>
      <c r="BJ118" s="172">
        <f t="shared" si="385"/>
        <v>0.55016920450653928</v>
      </c>
      <c r="BK118" s="172">
        <f t="shared" si="385"/>
        <v>0.69923574973227531</v>
      </c>
      <c r="BL118" s="172">
        <f t="shared" si="385"/>
        <v>0.89546640211173201</v>
      </c>
      <c r="BM118" s="172">
        <f t="shared" si="385"/>
        <v>0.33078091405787297</v>
      </c>
      <c r="BN118" s="171">
        <f t="shared" si="385"/>
        <v>0.50949413223821916</v>
      </c>
      <c r="BO118" s="172">
        <f t="shared" si="385"/>
        <v>0.43688343096094123</v>
      </c>
      <c r="BP118" s="172">
        <f t="shared" si="385"/>
        <v>0.44123874857532092</v>
      </c>
      <c r="BQ118" s="172">
        <f t="shared" si="385"/>
        <v>0.17504684825710817</v>
      </c>
      <c r="BR118" s="172">
        <f t="shared" si="385"/>
        <v>0.34872528872563457</v>
      </c>
      <c r="BS118" s="171">
        <f t="shared" si="385"/>
        <v>0.35116251500454582</v>
      </c>
      <c r="BT118" s="172">
        <f t="shared" si="385"/>
        <v>0.46419439830526754</v>
      </c>
      <c r="BU118" s="172">
        <f t="shared" si="385"/>
        <v>0.26746312341877571</v>
      </c>
      <c r="BV118" s="172">
        <f t="shared" si="385"/>
        <v>0.36589444153620659</v>
      </c>
      <c r="BW118" s="172">
        <f t="shared" si="385"/>
        <v>0.37166675289623824</v>
      </c>
      <c r="BX118" s="171">
        <f t="shared" si="376"/>
        <v>0.36898452742820731</v>
      </c>
      <c r="BY118" s="172">
        <f t="shared" si="376"/>
        <v>0.31467684667719725</v>
      </c>
      <c r="BZ118" s="172">
        <f t="shared" si="376"/>
        <v>0.35578352095030646</v>
      </c>
      <c r="CA118" s="172">
        <f t="shared" si="376"/>
        <v>0.34774498666055764</v>
      </c>
      <c r="CB118" s="172">
        <f t="shared" si="376"/>
        <v>0.35805718715124185</v>
      </c>
      <c r="CC118" s="171">
        <f t="shared" si="376"/>
        <v>0.34773710385452972</v>
      </c>
      <c r="CD118" s="172">
        <f t="shared" si="377"/>
        <v>0.36255144085429308</v>
      </c>
      <c r="CE118" s="172">
        <f t="shared" si="377"/>
        <v>0.33044982061028089</v>
      </c>
      <c r="CF118" s="172">
        <f t="shared" si="377"/>
        <v>0.32266757364399162</v>
      </c>
      <c r="CG118" s="172">
        <f t="shared" si="377"/>
        <v>0.34643193840681502</v>
      </c>
      <c r="CH118" s="171">
        <f t="shared" ref="CH118:CM118" si="386">CH116/CH112</f>
        <v>0.34232270448938235</v>
      </c>
      <c r="CI118" s="172">
        <f t="shared" si="386"/>
        <v>0.35378393923101659</v>
      </c>
      <c r="CJ118" s="172">
        <f t="shared" si="386"/>
        <v>0.40332820906214145</v>
      </c>
      <c r="CK118" s="172">
        <f t="shared" si="386"/>
        <v>0.34881298083813989</v>
      </c>
      <c r="CL118" s="172">
        <f t="shared" si="386"/>
        <v>0.37968020887841053</v>
      </c>
      <c r="CM118" s="171">
        <f t="shared" si="386"/>
        <v>0.37521817520417361</v>
      </c>
      <c r="CN118" s="172">
        <f t="shared" si="379"/>
        <v>0.31099825258428965</v>
      </c>
      <c r="CO118" s="172">
        <f t="shared" si="379"/>
        <v>0.309632530701623</v>
      </c>
      <c r="CP118" s="172">
        <f t="shared" si="379"/>
        <v>0.37616075883111677</v>
      </c>
      <c r="CQ118" s="172">
        <f t="shared" si="379"/>
        <v>0.35497463835753112</v>
      </c>
      <c r="CR118" s="171">
        <f t="shared" ref="CR118:CW118" si="387">CR116/CR112</f>
        <v>0.34214123227334775</v>
      </c>
      <c r="CS118" s="172">
        <f t="shared" si="387"/>
        <v>0.30085174494107719</v>
      </c>
      <c r="CT118" s="172">
        <f t="shared" si="387"/>
        <v>0.34262603694881322</v>
      </c>
      <c r="CU118" s="172">
        <f t="shared" si="387"/>
        <v>0.37289039742488689</v>
      </c>
      <c r="CV118" s="172">
        <f t="shared" si="387"/>
        <v>0.42515285885688325</v>
      </c>
      <c r="CW118" s="171">
        <f t="shared" si="387"/>
        <v>0.35796601398703576</v>
      </c>
      <c r="CX118" s="172">
        <f>CX116/CX112</f>
        <v>0.36164751863421074</v>
      </c>
      <c r="CY118" s="172">
        <f t="shared" ref="CY118:DA118" si="388">CY116/CY112</f>
        <v>0.37531783511858358</v>
      </c>
      <c r="CZ118" s="172">
        <f t="shared" si="388"/>
        <v>0.36859389694341554</v>
      </c>
      <c r="DA118" s="172">
        <f t="shared" si="388"/>
        <v>0.35562382339005333</v>
      </c>
      <c r="DB118" s="171">
        <f>DB116/DB112</f>
        <v>0.3638003395995813</v>
      </c>
      <c r="DC118" s="172">
        <f>DC116/DC112</f>
        <v>0.35493388883696431</v>
      </c>
      <c r="DD118" s="172">
        <f t="shared" ref="DD118:DF118" si="389">DD116/DD112</f>
        <v>0.35998342331540051</v>
      </c>
      <c r="DE118" s="172">
        <f t="shared" si="389"/>
        <v>0.3753761905798485</v>
      </c>
      <c r="DF118" s="172">
        <f t="shared" si="389"/>
        <v>0.34111558739539605</v>
      </c>
      <c r="DG118" s="171">
        <f>DG116/DG112</f>
        <v>0.35244479425811032</v>
      </c>
      <c r="DH118" s="172">
        <f t="shared" ref="DH118:DI118" si="390">DH116/DH112</f>
        <v>0.36961707906188579</v>
      </c>
      <c r="DI118" s="172">
        <f t="shared" si="390"/>
        <v>0.38982358509268988</v>
      </c>
      <c r="DJ118" s="173">
        <v>0.36</v>
      </c>
      <c r="DK118" s="173">
        <v>0.36</v>
      </c>
      <c r="DL118" s="171">
        <f t="shared" si="382"/>
        <v>0.36808237761500767</v>
      </c>
      <c r="DM118" s="173">
        <v>0.35</v>
      </c>
      <c r="DN118" s="173">
        <f>DM118</f>
        <v>0.35</v>
      </c>
      <c r="DO118" s="173">
        <f>DN118</f>
        <v>0.35</v>
      </c>
      <c r="DP118" s="173">
        <f>DO118</f>
        <v>0.35</v>
      </c>
      <c r="DQ118" s="171">
        <f>DQ116/DQ112</f>
        <v>0.35</v>
      </c>
      <c r="DR118" s="173">
        <f>DP118</f>
        <v>0.35</v>
      </c>
      <c r="DS118" s="173">
        <f>DR118</f>
        <v>0.35</v>
      </c>
      <c r="DT118" s="173">
        <f>DS118</f>
        <v>0.35</v>
      </c>
      <c r="DU118" s="173">
        <f>DT118</f>
        <v>0.35</v>
      </c>
      <c r="DV118" s="171">
        <f>DV116/DV112</f>
        <v>0.35</v>
      </c>
      <c r="DW118" s="173">
        <f>DU118</f>
        <v>0.35</v>
      </c>
      <c r="DX118" s="173">
        <f>DW118</f>
        <v>0.35</v>
      </c>
      <c r="DY118" s="173">
        <f>DX118</f>
        <v>0.35</v>
      </c>
      <c r="DZ118" s="173">
        <f>DY118</f>
        <v>0.35</v>
      </c>
      <c r="EA118" s="171">
        <f>EA116/EA112</f>
        <v>0.35</v>
      </c>
      <c r="EB118" s="173">
        <f>DZ118</f>
        <v>0.35</v>
      </c>
      <c r="EC118" s="173">
        <f>EB118</f>
        <v>0.35</v>
      </c>
      <c r="ED118" s="173">
        <f>EC118</f>
        <v>0.35</v>
      </c>
      <c r="EE118" s="173">
        <f>ED118</f>
        <v>0.35</v>
      </c>
      <c r="EF118" s="171">
        <f>EF116/EF112</f>
        <v>0.34999999999999992</v>
      </c>
    </row>
    <row r="119" spans="1:136" ht="12.75" customHeight="1">
      <c r="B119" s="132"/>
      <c r="C119" s="132"/>
      <c r="D119" s="132"/>
      <c r="E119" s="132"/>
      <c r="F119" s="126"/>
      <c r="G119" s="132"/>
      <c r="H119" s="132"/>
      <c r="I119" s="132"/>
      <c r="J119" s="132"/>
      <c r="K119" s="126"/>
      <c r="L119" s="132"/>
      <c r="M119" s="132"/>
      <c r="N119" s="132"/>
      <c r="O119" s="132"/>
      <c r="P119" s="126"/>
      <c r="Q119" s="132"/>
      <c r="R119" s="132"/>
      <c r="S119" s="132"/>
      <c r="T119" s="132"/>
      <c r="U119" s="126"/>
      <c r="V119" s="132"/>
      <c r="W119" s="132"/>
      <c r="X119" s="132"/>
      <c r="Y119" s="132"/>
      <c r="Z119" s="126"/>
      <c r="AA119" s="132"/>
      <c r="AB119" s="132"/>
      <c r="AC119" s="132"/>
      <c r="AD119" s="132"/>
      <c r="AE119" s="126"/>
      <c r="AF119" s="132"/>
      <c r="AG119" s="132"/>
      <c r="AH119" s="122"/>
      <c r="AI119" s="132"/>
      <c r="AJ119" s="126"/>
      <c r="AK119" s="132"/>
      <c r="AL119" s="132"/>
      <c r="AM119" s="122"/>
      <c r="AN119" s="132"/>
      <c r="AO119" s="126"/>
      <c r="AP119" s="132">
        <f>AQ112+AP112</f>
        <v>2689945</v>
      </c>
      <c r="AQ119" s="132">
        <f>AQ116+AP116</f>
        <v>973430</v>
      </c>
      <c r="AR119" s="122"/>
      <c r="AS119" s="132"/>
      <c r="AT119" s="126"/>
      <c r="AU119" s="132"/>
      <c r="AV119" s="122"/>
      <c r="AW119" s="122"/>
      <c r="AX119" s="132"/>
      <c r="AY119" s="126"/>
      <c r="AZ119" s="132"/>
      <c r="BA119" s="132"/>
      <c r="BB119" s="132"/>
      <c r="BC119" s="132"/>
      <c r="BD119" s="126"/>
      <c r="BE119" s="132"/>
      <c r="BF119" s="132"/>
      <c r="BG119" s="132"/>
      <c r="BH119" s="132"/>
      <c r="BI119" s="126"/>
      <c r="BJ119" s="132"/>
      <c r="BK119" s="132"/>
      <c r="BL119" s="132"/>
      <c r="BM119" s="132"/>
      <c r="BN119" s="126"/>
      <c r="BO119" s="132"/>
      <c r="BP119" s="132"/>
      <c r="BQ119" s="132"/>
      <c r="BR119" s="132"/>
      <c r="BS119" s="126"/>
      <c r="BT119" s="132"/>
      <c r="BU119" s="132"/>
      <c r="BV119" s="132"/>
      <c r="BW119" s="132"/>
      <c r="BX119" s="126"/>
      <c r="BY119" s="132"/>
      <c r="BZ119" s="132"/>
      <c r="CA119" s="132"/>
      <c r="CB119" s="132"/>
      <c r="CC119" s="126"/>
      <c r="CD119" s="132"/>
      <c r="CE119" s="132"/>
      <c r="CF119" s="132"/>
      <c r="CG119" s="132"/>
      <c r="CH119" s="126"/>
      <c r="CI119" s="132"/>
      <c r="CJ119" s="132"/>
      <c r="CK119" s="132"/>
      <c r="CL119" s="132"/>
      <c r="CM119" s="126"/>
      <c r="CN119" s="132"/>
      <c r="CO119" s="132"/>
      <c r="CP119" s="132"/>
      <c r="CQ119" s="132"/>
      <c r="CR119" s="126"/>
      <c r="CS119" s="132"/>
      <c r="CT119" s="132"/>
      <c r="CU119" s="132"/>
      <c r="CV119" s="132"/>
      <c r="CW119" s="126"/>
      <c r="CX119" s="132"/>
      <c r="CY119" s="132"/>
      <c r="CZ119" s="132"/>
      <c r="DA119" s="132"/>
      <c r="DB119" s="126"/>
      <c r="DC119" s="132"/>
      <c r="DD119" s="132"/>
      <c r="DE119" s="132"/>
      <c r="DF119" s="132"/>
      <c r="DG119" s="126"/>
      <c r="DH119" s="132"/>
      <c r="DI119" s="132"/>
      <c r="DJ119" s="132"/>
      <c r="DK119" s="132"/>
      <c r="DL119" s="126"/>
      <c r="DM119" s="132"/>
      <c r="DN119" s="132"/>
      <c r="DO119" s="132"/>
      <c r="DP119" s="132"/>
      <c r="DQ119" s="126"/>
      <c r="DR119" s="132"/>
      <c r="DS119" s="132"/>
      <c r="DT119" s="132"/>
      <c r="DU119" s="132"/>
      <c r="DV119" s="126"/>
      <c r="DW119" s="132"/>
      <c r="DX119" s="132"/>
      <c r="DY119" s="132"/>
      <c r="DZ119" s="132"/>
      <c r="EA119" s="126"/>
      <c r="EB119" s="132"/>
      <c r="EC119" s="132"/>
      <c r="ED119" s="132"/>
      <c r="EE119" s="132"/>
      <c r="EF119" s="126"/>
    </row>
    <row r="120" spans="1:136" s="68" customFormat="1">
      <c r="A120" s="78" t="s">
        <v>155</v>
      </c>
      <c r="B120" s="224"/>
      <c r="C120" s="224"/>
      <c r="D120" s="224"/>
      <c r="E120" s="224"/>
      <c r="F120" s="225">
        <f>F43-(F12-F34-F35)</f>
        <v>263059</v>
      </c>
      <c r="G120" s="224"/>
      <c r="H120" s="224"/>
      <c r="I120" s="224"/>
      <c r="J120" s="224"/>
      <c r="K120" s="225">
        <f>K43-(K12-K34-K35)</f>
        <v>795726</v>
      </c>
      <c r="L120" s="224"/>
      <c r="M120" s="224"/>
      <c r="N120" s="224"/>
      <c r="O120" s="224"/>
      <c r="P120" s="225">
        <f t="shared" ref="P120:AU120" si="391">P43-(P12-P34-P35)</f>
        <v>1864465</v>
      </c>
      <c r="Q120" s="224">
        <f t="shared" si="391"/>
        <v>1872923</v>
      </c>
      <c r="R120" s="224">
        <f t="shared" si="391"/>
        <v>1856090</v>
      </c>
      <c r="S120" s="224">
        <f t="shared" si="391"/>
        <v>1948021</v>
      </c>
      <c r="T120" s="224">
        <f t="shared" si="391"/>
        <v>2160391</v>
      </c>
      <c r="U120" s="225">
        <f t="shared" si="391"/>
        <v>2160391</v>
      </c>
      <c r="V120" s="224">
        <f t="shared" si="391"/>
        <v>2214909</v>
      </c>
      <c r="W120" s="224">
        <f t="shared" si="391"/>
        <v>2246931</v>
      </c>
      <c r="X120" s="224">
        <f t="shared" si="391"/>
        <v>2236130</v>
      </c>
      <c r="Y120" s="224">
        <f t="shared" si="391"/>
        <v>2077550</v>
      </c>
      <c r="Z120" s="225">
        <f t="shared" si="391"/>
        <v>2077550</v>
      </c>
      <c r="AA120" s="224">
        <f t="shared" si="391"/>
        <v>2268117</v>
      </c>
      <c r="AB120" s="224">
        <f t="shared" si="391"/>
        <v>2395696</v>
      </c>
      <c r="AC120" s="224">
        <f t="shared" si="391"/>
        <v>2561719</v>
      </c>
      <c r="AD120" s="224">
        <f t="shared" si="391"/>
        <v>3850130</v>
      </c>
      <c r="AE120" s="225">
        <f t="shared" si="391"/>
        <v>3850130</v>
      </c>
      <c r="AF120" s="224">
        <f t="shared" si="391"/>
        <v>4119623</v>
      </c>
      <c r="AG120" s="224">
        <f t="shared" si="391"/>
        <v>4263891</v>
      </c>
      <c r="AH120" s="224">
        <f t="shared" si="391"/>
        <v>4390502</v>
      </c>
      <c r="AI120" s="224">
        <f t="shared" si="391"/>
        <v>4652531</v>
      </c>
      <c r="AJ120" s="225">
        <f t="shared" si="391"/>
        <v>4652531</v>
      </c>
      <c r="AK120" s="224">
        <f t="shared" si="391"/>
        <v>4561409</v>
      </c>
      <c r="AL120" s="224">
        <f t="shared" si="391"/>
        <v>4645947</v>
      </c>
      <c r="AM120" s="224">
        <f t="shared" si="391"/>
        <v>4426104</v>
      </c>
      <c r="AN120" s="224">
        <f t="shared" si="391"/>
        <v>4877582</v>
      </c>
      <c r="AO120" s="225">
        <f t="shared" si="391"/>
        <v>4877582</v>
      </c>
      <c r="AP120" s="224">
        <f t="shared" si="391"/>
        <v>5089549</v>
      </c>
      <c r="AQ120" s="224">
        <f>AQ43-(AQ12-AQ34-AQ35)</f>
        <v>5295178</v>
      </c>
      <c r="AR120" s="224">
        <f t="shared" si="391"/>
        <v>5422954</v>
      </c>
      <c r="AS120" s="224">
        <f t="shared" si="391"/>
        <v>5363991</v>
      </c>
      <c r="AT120" s="225">
        <f t="shared" si="391"/>
        <v>5363991</v>
      </c>
      <c r="AU120" s="224">
        <f t="shared" si="391"/>
        <v>5386167</v>
      </c>
      <c r="AV120" s="224">
        <f t="shared" ref="AV120:CC120" si="392">AV43-(AV12-AV34-AV35)</f>
        <v>5296685</v>
      </c>
      <c r="AW120" s="224">
        <f t="shared" si="392"/>
        <v>5382787</v>
      </c>
      <c r="AX120" s="224">
        <f t="shared" si="392"/>
        <v>4946466</v>
      </c>
      <c r="AY120" s="225">
        <f t="shared" si="392"/>
        <v>4946466</v>
      </c>
      <c r="AZ120" s="224">
        <f t="shared" si="392"/>
        <v>4994333</v>
      </c>
      <c r="BA120" s="224">
        <f t="shared" si="392"/>
        <v>4969430</v>
      </c>
      <c r="BB120" s="224">
        <f t="shared" si="392"/>
        <v>4977176</v>
      </c>
      <c r="BC120" s="224">
        <f t="shared" si="392"/>
        <v>4873863</v>
      </c>
      <c r="BD120" s="225">
        <f t="shared" si="392"/>
        <v>4873863</v>
      </c>
      <c r="BE120" s="224">
        <f t="shared" si="392"/>
        <v>4909919</v>
      </c>
      <c r="BF120" s="224">
        <f t="shared" si="392"/>
        <v>4790814</v>
      </c>
      <c r="BG120" s="224">
        <f t="shared" si="392"/>
        <v>5042983</v>
      </c>
      <c r="BH120" s="224">
        <f t="shared" si="392"/>
        <v>4856607</v>
      </c>
      <c r="BI120" s="225">
        <f t="shared" si="392"/>
        <v>4856607</v>
      </c>
      <c r="BJ120" s="224">
        <f t="shared" si="392"/>
        <v>4894102</v>
      </c>
      <c r="BK120" s="224">
        <f t="shared" si="392"/>
        <v>4866913</v>
      </c>
      <c r="BL120" s="224">
        <f t="shared" si="392"/>
        <v>4701918</v>
      </c>
      <c r="BM120" s="224">
        <f t="shared" si="392"/>
        <v>4894850</v>
      </c>
      <c r="BN120" s="225">
        <f t="shared" si="392"/>
        <v>4894850</v>
      </c>
      <c r="BO120" s="224">
        <f t="shared" si="392"/>
        <v>4864878</v>
      </c>
      <c r="BP120" s="224">
        <f t="shared" si="392"/>
        <v>4597148</v>
      </c>
      <c r="BQ120" s="224">
        <f t="shared" si="392"/>
        <v>4560260</v>
      </c>
      <c r="BR120" s="224">
        <f>BR43-(BR12-BR34-BR35)</f>
        <v>4849430</v>
      </c>
      <c r="BS120" s="225">
        <f t="shared" si="392"/>
        <v>4849430</v>
      </c>
      <c r="BT120" s="224">
        <f t="shared" si="392"/>
        <v>4756347</v>
      </c>
      <c r="BU120" s="224">
        <f>BU43-(BU12-BU34-BU35)</f>
        <v>4320835</v>
      </c>
      <c r="BV120" s="224">
        <f t="shared" si="392"/>
        <v>4133990</v>
      </c>
      <c r="BW120" s="224">
        <f t="shared" si="392"/>
        <v>4188646</v>
      </c>
      <c r="BX120" s="225">
        <f t="shared" si="392"/>
        <v>4188646</v>
      </c>
      <c r="BY120" s="224">
        <f t="shared" si="392"/>
        <v>4144215</v>
      </c>
      <c r="BZ120" s="224">
        <f t="shared" si="392"/>
        <v>4150539</v>
      </c>
      <c r="CA120" s="224">
        <f>CA43-(CA12-CA34-CA35)</f>
        <v>4137289</v>
      </c>
      <c r="CB120" s="224">
        <f t="shared" si="392"/>
        <v>3918419</v>
      </c>
      <c r="CC120" s="225">
        <f t="shared" si="392"/>
        <v>3918419</v>
      </c>
      <c r="CD120" s="224">
        <f>CD43-(CD12-CD34-CD35)</f>
        <v>3900140</v>
      </c>
      <c r="CE120" s="224">
        <f>CE43-(CE12-CE34-CE35)</f>
        <v>3963505</v>
      </c>
      <c r="CF120" s="224">
        <f t="shared" ref="CF120:DG120" si="393">CF43-(CF12-CF34-CF35)</f>
        <v>5416425</v>
      </c>
      <c r="CG120" s="224">
        <f t="shared" si="393"/>
        <v>4664169</v>
      </c>
      <c r="CH120" s="225">
        <f t="shared" si="393"/>
        <v>4664169</v>
      </c>
      <c r="CI120" s="224">
        <f t="shared" si="393"/>
        <v>4902839</v>
      </c>
      <c r="CJ120" s="224">
        <f t="shared" si="393"/>
        <v>5030018</v>
      </c>
      <c r="CK120" s="224">
        <f>CK43-(CK12-CK34-CK35)</f>
        <v>5215324</v>
      </c>
      <c r="CL120" s="224">
        <f>CL43-(CL12-CL34-CL35)</f>
        <v>5356811</v>
      </c>
      <c r="CM120" s="225">
        <f t="shared" si="393"/>
        <v>5356811</v>
      </c>
      <c r="CN120" s="224">
        <f>CN43-(CN12-CN34-CN35)</f>
        <v>5530281</v>
      </c>
      <c r="CO120" s="224">
        <f>CO43-(CO12-CO34-CO35)</f>
        <v>5737924</v>
      </c>
      <c r="CP120" s="224">
        <f>CP43-(CP12-CP34-CP35)</f>
        <v>5422071</v>
      </c>
      <c r="CQ120" s="224">
        <f t="shared" si="393"/>
        <v>6230099</v>
      </c>
      <c r="CR120" s="225">
        <f t="shared" si="393"/>
        <v>6230099</v>
      </c>
      <c r="CS120" s="224">
        <f t="shared" si="393"/>
        <v>6377487</v>
      </c>
      <c r="CT120" s="224">
        <f t="shared" si="393"/>
        <v>6841218</v>
      </c>
      <c r="CU120" s="224">
        <f t="shared" si="393"/>
        <v>7117531</v>
      </c>
      <c r="CV120" s="224">
        <f>CV43-(CV12-CV34-CV35)</f>
        <v>7137895</v>
      </c>
      <c r="CW120" s="225">
        <f t="shared" si="393"/>
        <v>7137895</v>
      </c>
      <c r="CX120" s="224">
        <f>CX43-(CX12-CX34-CX35)</f>
        <v>7399036</v>
      </c>
      <c r="CY120" s="224">
        <f t="shared" si="393"/>
        <v>8248694</v>
      </c>
      <c r="CZ120" s="224">
        <f t="shared" ref="CZ120" si="394">CZ43-(CZ12-CZ34-CZ35)</f>
        <v>8508118</v>
      </c>
      <c r="DA120" s="224">
        <f>DA43-(DA12-DA34-DA35)</f>
        <v>8682454</v>
      </c>
      <c r="DB120" s="225">
        <f t="shared" si="393"/>
        <v>8682454</v>
      </c>
      <c r="DC120" s="224">
        <f t="shared" si="393"/>
        <v>8880844</v>
      </c>
      <c r="DD120" s="224">
        <f t="shared" ref="DD120:DE120" si="395">DD43-(DD12-DD34-DD35)</f>
        <v>9007076</v>
      </c>
      <c r="DE120" s="224">
        <f t="shared" si="395"/>
        <v>9492388</v>
      </c>
      <c r="DF120" s="224">
        <f t="shared" si="393"/>
        <v>11054968</v>
      </c>
      <c r="DG120" s="225">
        <f t="shared" si="393"/>
        <v>11054968</v>
      </c>
      <c r="DH120" s="224">
        <f>DH43-(DH12-DH34-DH35)</f>
        <v>11393625</v>
      </c>
      <c r="DI120" s="224">
        <f>DI43-(DI12-DI34-DI35)</f>
        <v>12159199</v>
      </c>
      <c r="DJ120" s="224">
        <f ca="1">DJ43-(DJ12-DJ34-DJ35)</f>
        <v>12473890.639180366</v>
      </c>
      <c r="DK120" s="224">
        <f ca="1">DK43-(DK12-DK34-DK35)</f>
        <v>12687172.82663751</v>
      </c>
      <c r="DL120" s="225">
        <f ca="1">DL43-(DL12-DL34-DL35)</f>
        <v>12687172.82663751</v>
      </c>
      <c r="DM120" s="224">
        <f t="shared" ref="DM120:EF120" ca="1" si="396">DM43-(DM12-DM34-DM35)</f>
        <v>12441360.041944548</v>
      </c>
      <c r="DN120" s="224">
        <f t="shared" ca="1" si="396"/>
        <v>12973749.163235251</v>
      </c>
      <c r="DO120" s="224">
        <f t="shared" ca="1" si="396"/>
        <v>12623832.575016219</v>
      </c>
      <c r="DP120" s="224">
        <f t="shared" ca="1" si="396"/>
        <v>13304649.692715261</v>
      </c>
      <c r="DQ120" s="225">
        <f t="shared" ca="1" si="396"/>
        <v>13304649.692715261</v>
      </c>
      <c r="DR120" s="224">
        <f t="shared" ca="1" si="396"/>
        <v>12041957.770958409</v>
      </c>
      <c r="DS120" s="224">
        <f t="shared" ca="1" si="396"/>
        <v>12590703.213709237</v>
      </c>
      <c r="DT120" s="224">
        <f t="shared" ca="1" si="396"/>
        <v>13209543.441213751</v>
      </c>
      <c r="DU120" s="224">
        <f t="shared" ca="1" si="396"/>
        <v>13938122.349278688</v>
      </c>
      <c r="DV120" s="225">
        <f t="shared" ca="1" si="396"/>
        <v>13938122.349278688</v>
      </c>
      <c r="DW120" s="224">
        <f t="shared" ca="1" si="396"/>
        <v>12598294.414641945</v>
      </c>
      <c r="DX120" s="224">
        <f t="shared" ca="1" si="396"/>
        <v>13175394.221917635</v>
      </c>
      <c r="DY120" s="224">
        <f t="shared" ca="1" si="396"/>
        <v>13823347.980548568</v>
      </c>
      <c r="DZ120" s="224">
        <f t="shared" ca="1" si="396"/>
        <v>14602135.623550493</v>
      </c>
      <c r="EA120" s="225">
        <f t="shared" ca="1" si="396"/>
        <v>14602135.623550493</v>
      </c>
      <c r="EB120" s="224">
        <f t="shared" ca="1" si="396"/>
        <v>13230970.453212323</v>
      </c>
      <c r="EC120" s="224">
        <f t="shared" ca="1" si="396"/>
        <v>13875013.796853425</v>
      </c>
      <c r="ED120" s="224">
        <f t="shared" ca="1" si="396"/>
        <v>14591281.445603494</v>
      </c>
      <c r="EE120" s="224">
        <f t="shared" ca="1" si="396"/>
        <v>15441186.094167411</v>
      </c>
      <c r="EF120" s="225">
        <f t="shared" ca="1" si="396"/>
        <v>15441186.094167411</v>
      </c>
    </row>
    <row r="121" spans="1:136">
      <c r="A121" s="78" t="s">
        <v>156</v>
      </c>
      <c r="B121" s="224"/>
      <c r="C121" s="224"/>
      <c r="D121" s="224"/>
      <c r="E121" s="224"/>
      <c r="F121" s="225">
        <f>F43+F109*(1-4%)*(1-F42/F43)</f>
        <v>695761.95020149066</v>
      </c>
      <c r="G121" s="224"/>
      <c r="H121" s="224"/>
      <c r="I121" s="224"/>
      <c r="J121" s="224"/>
      <c r="K121" s="225">
        <f>K43+K109*(1-4%)*(1-K42/K43)</f>
        <v>1438638.251283509</v>
      </c>
      <c r="L121" s="224"/>
      <c r="M121" s="224"/>
      <c r="N121" s="224"/>
      <c r="O121" s="224"/>
      <c r="P121" s="225">
        <f t="shared" ref="P121:AU121" si="397">P43+P109*(1-4%)*(1-P42/P43)</f>
        <v>2560111.6380788577</v>
      </c>
      <c r="Q121" s="224">
        <f t="shared" si="397"/>
        <v>3888314.7840954857</v>
      </c>
      <c r="R121" s="224">
        <f t="shared" si="397"/>
        <v>3782262.1648413418</v>
      </c>
      <c r="S121" s="224">
        <f t="shared" si="397"/>
        <v>4027112.2158818515</v>
      </c>
      <c r="T121" s="224">
        <f t="shared" si="397"/>
        <v>3206356.9246186153</v>
      </c>
      <c r="U121" s="225">
        <f t="shared" si="397"/>
        <v>3206356.9246186153</v>
      </c>
      <c r="V121" s="224">
        <f t="shared" si="397"/>
        <v>3444210.1244704444</v>
      </c>
      <c r="W121" s="224">
        <f t="shared" si="397"/>
        <v>3915767.4569546273</v>
      </c>
      <c r="X121" s="224">
        <f t="shared" si="397"/>
        <v>4078739.992695828</v>
      </c>
      <c r="Y121" s="224">
        <f t="shared" si="397"/>
        <v>3702370.1581339682</v>
      </c>
      <c r="Z121" s="225">
        <f t="shared" si="397"/>
        <v>3702370.1581339682</v>
      </c>
      <c r="AA121" s="224">
        <f t="shared" si="397"/>
        <v>3856383.4737955509</v>
      </c>
      <c r="AB121" s="224">
        <f t="shared" si="397"/>
        <v>3816278.8120609107</v>
      </c>
      <c r="AC121" s="224">
        <f t="shared" si="397"/>
        <v>4158628.1342998757</v>
      </c>
      <c r="AD121" s="224">
        <f t="shared" si="397"/>
        <v>5578098.8038509097</v>
      </c>
      <c r="AE121" s="225">
        <f t="shared" si="397"/>
        <v>5578098.8038509097</v>
      </c>
      <c r="AF121" s="224">
        <f t="shared" si="397"/>
        <v>5755981.9512189142</v>
      </c>
      <c r="AG121" s="224">
        <f t="shared" si="397"/>
        <v>6086021.6187392781</v>
      </c>
      <c r="AH121" s="224">
        <f t="shared" si="397"/>
        <v>6278366.9809303423</v>
      </c>
      <c r="AI121" s="224">
        <f t="shared" si="397"/>
        <v>6139100.9962123483</v>
      </c>
      <c r="AJ121" s="225">
        <f t="shared" si="397"/>
        <v>6139100.9962123483</v>
      </c>
      <c r="AK121" s="224">
        <f t="shared" si="397"/>
        <v>6148017.0423811646</v>
      </c>
      <c r="AL121" s="224">
        <f t="shared" si="397"/>
        <v>6384467.5860491991</v>
      </c>
      <c r="AM121" s="224">
        <f t="shared" si="397"/>
        <v>6500081.9093883885</v>
      </c>
      <c r="AN121" s="224">
        <f t="shared" si="397"/>
        <v>6576320.9138480155</v>
      </c>
      <c r="AO121" s="225">
        <f t="shared" si="397"/>
        <v>6576320.9138480155</v>
      </c>
      <c r="AP121" s="224">
        <f t="shared" si="397"/>
        <v>6730403.2170929592</v>
      </c>
      <c r="AQ121" s="224">
        <f t="shared" si="397"/>
        <v>6820518.2010390675</v>
      </c>
      <c r="AR121" s="224">
        <f t="shared" si="397"/>
        <v>6883555.4524324406</v>
      </c>
      <c r="AS121" s="224">
        <f t="shared" si="397"/>
        <v>7006439.4291546624</v>
      </c>
      <c r="AT121" s="225">
        <f t="shared" si="397"/>
        <v>7006439.4291546624</v>
      </c>
      <c r="AU121" s="224">
        <f t="shared" si="397"/>
        <v>6999093.7788861664</v>
      </c>
      <c r="AV121" s="224">
        <f t="shared" ref="AV121:CC121" si="398">AV43+AV109*(1-4%)*(1-AV42/AV43)</f>
        <v>7193344.0953726675</v>
      </c>
      <c r="AW121" s="224">
        <f t="shared" si="398"/>
        <v>7380295.7457257118</v>
      </c>
      <c r="AX121" s="224">
        <f t="shared" si="398"/>
        <v>7161619.4530631378</v>
      </c>
      <c r="AY121" s="225">
        <f t="shared" si="398"/>
        <v>7161619.4530631378</v>
      </c>
      <c r="AZ121" s="224">
        <f t="shared" si="398"/>
        <v>7353632.70789399</v>
      </c>
      <c r="BA121" s="224">
        <f t="shared" si="398"/>
        <v>7335709.7244102173</v>
      </c>
      <c r="BB121" s="224">
        <f t="shared" si="398"/>
        <v>7309227.2156155417</v>
      </c>
      <c r="BC121" s="224">
        <f t="shared" si="398"/>
        <v>7114952.2705604909</v>
      </c>
      <c r="BD121" s="225">
        <f t="shared" si="398"/>
        <v>7114952.2705604909</v>
      </c>
      <c r="BE121" s="224">
        <f t="shared" si="398"/>
        <v>7085877.2554678749</v>
      </c>
      <c r="BF121" s="224">
        <f t="shared" si="398"/>
        <v>6900788.2878863951</v>
      </c>
      <c r="BG121" s="224">
        <f t="shared" si="398"/>
        <v>7161550.8063285081</v>
      </c>
      <c r="BH121" s="224">
        <f t="shared" si="398"/>
        <v>7019866.5993228657</v>
      </c>
      <c r="BI121" s="225">
        <f t="shared" si="398"/>
        <v>7019866.5993228657</v>
      </c>
      <c r="BJ121" s="224">
        <f t="shared" si="398"/>
        <v>6957410.4293352086</v>
      </c>
      <c r="BK121" s="224">
        <f t="shared" si="398"/>
        <v>6893842.2873393623</v>
      </c>
      <c r="BL121" s="224">
        <f t="shared" si="398"/>
        <v>6769565.1648520334</v>
      </c>
      <c r="BM121" s="224">
        <f t="shared" si="398"/>
        <v>6713786.420035799</v>
      </c>
      <c r="BN121" s="225">
        <f t="shared" si="398"/>
        <v>6713786.420035799</v>
      </c>
      <c r="BO121" s="224">
        <f t="shared" si="398"/>
        <v>6665649.9683760712</v>
      </c>
      <c r="BP121" s="224">
        <f t="shared" si="398"/>
        <v>6513325.2263359809</v>
      </c>
      <c r="BQ121" s="224">
        <f t="shared" si="398"/>
        <v>6438462.2224963475</v>
      </c>
      <c r="BR121" s="224">
        <f>BR43+BR109*(1-4%)*(1-BR42/BR43)</f>
        <v>6497387.7008354971</v>
      </c>
      <c r="BS121" s="225">
        <f t="shared" si="398"/>
        <v>6497387.7008354971</v>
      </c>
      <c r="BT121" s="224">
        <f t="shared" si="398"/>
        <v>6256774.9097484555</v>
      </c>
      <c r="BU121" s="224">
        <f>BU43+BU109*(1-4%)*(1-BU42/BU43)</f>
        <v>5992147.5473801512</v>
      </c>
      <c r="BV121" s="224">
        <f t="shared" si="398"/>
        <v>5860104.643093748</v>
      </c>
      <c r="BW121" s="224">
        <f t="shared" si="398"/>
        <v>5773144.6576536922</v>
      </c>
      <c r="BX121" s="225">
        <f t="shared" si="398"/>
        <v>5773144.6576536922</v>
      </c>
      <c r="BY121" s="224">
        <f t="shared" si="398"/>
        <v>5857842.9267111747</v>
      </c>
      <c r="BZ121" s="224">
        <f t="shared" si="398"/>
        <v>5949658.8540439485</v>
      </c>
      <c r="CA121" s="224">
        <f>CA43+CA109*(1-4%)*(1-CA42/CA43)</f>
        <v>5982598.6442736713</v>
      </c>
      <c r="CB121" s="224">
        <f t="shared" si="398"/>
        <v>5754408.3355799206</v>
      </c>
      <c r="CC121" s="225">
        <f t="shared" si="398"/>
        <v>5754408.3355799206</v>
      </c>
      <c r="CD121" s="224">
        <f>CD43+CD109*(1-4%)*(1-CD42/CD43)</f>
        <v>5807089.0586766899</v>
      </c>
      <c r="CE121" s="224">
        <f>CE43+CE109*(1-4%)*(1-CE42/CE43)</f>
        <v>5849544.1514799483</v>
      </c>
      <c r="CF121" s="224">
        <f t="shared" ref="CF121:DG121" si="399">CF43+CF109*(1-4%)*(1-CF42/CF43)</f>
        <v>7282009.9345911546</v>
      </c>
      <c r="CG121" s="224">
        <f t="shared" si="399"/>
        <v>6622461.4948901385</v>
      </c>
      <c r="CH121" s="225">
        <f t="shared" si="399"/>
        <v>6622461.4948901385</v>
      </c>
      <c r="CI121" s="224">
        <f t="shared" si="399"/>
        <v>6883467.0410472509</v>
      </c>
      <c r="CJ121" s="224">
        <f t="shared" si="399"/>
        <v>7282753.2094719177</v>
      </c>
      <c r="CK121" s="224">
        <f>CK43+CK109*(1-4%)*(1-CK42/CK43)</f>
        <v>7469406.1997138103</v>
      </c>
      <c r="CL121" s="224">
        <f>CL43+CL109*(1-4%)*(1-CL42/CL43)</f>
        <v>7593209.9410656122</v>
      </c>
      <c r="CM121" s="225">
        <f t="shared" si="399"/>
        <v>7593209.9410656122</v>
      </c>
      <c r="CN121" s="224">
        <f>CN43+CN109*(1-4%)*(1-CN42/CN43)</f>
        <v>7766770.824732095</v>
      </c>
      <c r="CO121" s="224">
        <f>CO43+CO109*(1-4%)*(1-CO42/CO43)</f>
        <v>7938586.2145511098</v>
      </c>
      <c r="CP121" s="224">
        <f>CP43+CP109*(1-4%)*(1-CP42/CP43)</f>
        <v>7713113.1846181434</v>
      </c>
      <c r="CQ121" s="224">
        <f t="shared" si="399"/>
        <v>8786954.0743646622</v>
      </c>
      <c r="CR121" s="225">
        <f t="shared" si="399"/>
        <v>8786954.0743646622</v>
      </c>
      <c r="CS121" s="224">
        <f t="shared" si="399"/>
        <v>8982369.4889261629</v>
      </c>
      <c r="CT121" s="224">
        <f t="shared" si="399"/>
        <v>9406547.0316312537</v>
      </c>
      <c r="CU121" s="224">
        <f t="shared" si="399"/>
        <v>9703576.4972004257</v>
      </c>
      <c r="CV121" s="224">
        <f>CV43+CV109*(1-4%)*(1-CV42/CV43)</f>
        <v>9737121.1112561338</v>
      </c>
      <c r="CW121" s="225">
        <f t="shared" si="399"/>
        <v>9737121.1112561338</v>
      </c>
      <c r="CX121" s="224">
        <f>CX43+CX109*(1-4%)*(1-CX42/CX43)</f>
        <v>9918954.7327262796</v>
      </c>
      <c r="CY121" s="224">
        <f t="shared" si="399"/>
        <v>10811795.683852866</v>
      </c>
      <c r="CZ121" s="224">
        <f t="shared" ref="CZ121" si="400">CZ43+CZ109*(1-4%)*(1-CZ42/CZ43)</f>
        <v>11389249.674105514</v>
      </c>
      <c r="DA121" s="224">
        <f>DA43+DA109*(1-4%)*(1-DA42/DA43)</f>
        <v>11600460.681747772</v>
      </c>
      <c r="DB121" s="225">
        <f t="shared" si="399"/>
        <v>11600460.681747772</v>
      </c>
      <c r="DC121" s="224">
        <f t="shared" si="399"/>
        <v>12263890.279589161</v>
      </c>
      <c r="DD121" s="224">
        <f t="shared" ref="DD121:DE121" si="401">DD43+DD109*(1-4%)*(1-DD42/DD43)</f>
        <v>12834628.364712017</v>
      </c>
      <c r="DE121" s="224">
        <f t="shared" si="401"/>
        <v>13454768.427194674</v>
      </c>
      <c r="DF121" s="224">
        <f t="shared" si="399"/>
        <v>13629552.637500668</v>
      </c>
      <c r="DG121" s="225">
        <f t="shared" si="399"/>
        <v>13629552.637500668</v>
      </c>
      <c r="DH121" s="224">
        <f>DH43+DH109*(1-4%)*(1-DH42/DH43)</f>
        <v>14151657.423885725</v>
      </c>
      <c r="DI121" s="224">
        <f>DI43+DI109*(1-4%)*(1-DI42/DI43)</f>
        <v>14926915.595957693</v>
      </c>
      <c r="DJ121" s="224">
        <f ca="1">DJ43+DJ109*(1-4%)*(1-DJ42/DJ43)</f>
        <v>15804171.944639906</v>
      </c>
      <c r="DK121" s="224">
        <f ca="1">DK43+DK109*(1-4%)*(1-DK42/DK43)</f>
        <v>16317212.863238573</v>
      </c>
      <c r="DL121" s="225">
        <f ca="1">DL43+DL109*(1-4%)*(1-DL42/DL43)</f>
        <v>16317212.863238573</v>
      </c>
      <c r="DM121" s="224">
        <f t="shared" ref="DM121:EF121" ca="1" si="402">DM43+DM109*(1-4%)*(1-DM42/DM43)</f>
        <v>17007111.511583753</v>
      </c>
      <c r="DN121" s="224">
        <f t="shared" ca="1" si="402"/>
        <v>17774028.031658508</v>
      </c>
      <c r="DO121" s="224">
        <f t="shared" ca="1" si="402"/>
        <v>17582718.214123577</v>
      </c>
      <c r="DP121" s="224">
        <f t="shared" ca="1" si="402"/>
        <v>18517720.625729185</v>
      </c>
      <c r="DQ121" s="225">
        <f t="shared" ca="1" si="402"/>
        <v>18517720.625729185</v>
      </c>
      <c r="DR121" s="224">
        <f t="shared" ca="1" si="402"/>
        <v>17294374.449874483</v>
      </c>
      <c r="DS121" s="224">
        <f t="shared" ca="1" si="402"/>
        <v>18003148.386858195</v>
      </c>
      <c r="DT121" s="224">
        <f t="shared" ca="1" si="402"/>
        <v>18765003.955972619</v>
      </c>
      <c r="DU121" s="224">
        <f t="shared" ca="1" si="402"/>
        <v>19695785.720990308</v>
      </c>
      <c r="DV121" s="225">
        <f t="shared" ca="1" si="402"/>
        <v>19695785.720990308</v>
      </c>
      <c r="DW121" s="224">
        <f t="shared" ca="1" si="402"/>
        <v>18338724.673908312</v>
      </c>
      <c r="DX121" s="224">
        <f t="shared" ca="1" si="402"/>
        <v>19047439.608920932</v>
      </c>
      <c r="DY121" s="224">
        <f t="shared" ca="1" si="402"/>
        <v>19817496.181510083</v>
      </c>
      <c r="DZ121" s="224">
        <f t="shared" ca="1" si="402"/>
        <v>20790123.459714226</v>
      </c>
      <c r="EA121" s="225">
        <f t="shared" ca="1" si="402"/>
        <v>20790123.459714226</v>
      </c>
      <c r="EB121" s="224">
        <f t="shared" ca="1" si="402"/>
        <v>19380732.456758477</v>
      </c>
      <c r="EC121" s="224">
        <f t="shared" ca="1" si="402"/>
        <v>20148377.863629267</v>
      </c>
      <c r="ED121" s="224">
        <f t="shared" ca="1" si="402"/>
        <v>20974096.410139166</v>
      </c>
      <c r="EE121" s="224">
        <f t="shared" ca="1" si="402"/>
        <v>22011994.257725753</v>
      </c>
      <c r="EF121" s="225">
        <f t="shared" ca="1" si="402"/>
        <v>22011994.257725753</v>
      </c>
    </row>
    <row r="122" spans="1:136" ht="12" customHeight="1">
      <c r="A122" s="78" t="s">
        <v>784</v>
      </c>
      <c r="B122" s="224">
        <f t="shared" ref="B122:Z122" si="403">B52+B42+B53</f>
        <v>271641</v>
      </c>
      <c r="C122" s="224">
        <f t="shared" si="403"/>
        <v>280860</v>
      </c>
      <c r="D122" s="224">
        <f t="shared" si="403"/>
        <v>308858</v>
      </c>
      <c r="E122" s="224">
        <f t="shared" si="403"/>
        <v>612000</v>
      </c>
      <c r="F122" s="225">
        <f t="shared" si="403"/>
        <v>612000</v>
      </c>
      <c r="G122" s="224">
        <f t="shared" si="403"/>
        <v>910703</v>
      </c>
      <c r="H122" s="224">
        <f t="shared" si="403"/>
        <v>609518</v>
      </c>
      <c r="I122" s="224">
        <f t="shared" si="403"/>
        <v>748946</v>
      </c>
      <c r="J122" s="224">
        <f t="shared" si="403"/>
        <v>781117</v>
      </c>
      <c r="K122" s="225">
        <f t="shared" si="403"/>
        <v>791384</v>
      </c>
      <c r="L122" s="224">
        <f t="shared" si="403"/>
        <v>968164</v>
      </c>
      <c r="M122" s="224">
        <f t="shared" si="403"/>
        <v>1248061</v>
      </c>
      <c r="N122" s="224">
        <f t="shared" si="403"/>
        <v>1387794</v>
      </c>
      <c r="O122" s="224">
        <f t="shared" si="403"/>
        <v>1636357</v>
      </c>
      <c r="P122" s="225">
        <f t="shared" si="403"/>
        <v>1736659</v>
      </c>
      <c r="Q122" s="224">
        <f t="shared" si="403"/>
        <v>2213595</v>
      </c>
      <c r="R122" s="224">
        <f t="shared" si="403"/>
        <v>2260345</v>
      </c>
      <c r="S122" s="224">
        <f t="shared" si="403"/>
        <v>2235031</v>
      </c>
      <c r="T122" s="224">
        <f t="shared" si="403"/>
        <v>2685236</v>
      </c>
      <c r="U122" s="225">
        <f t="shared" si="403"/>
        <v>2685236</v>
      </c>
      <c r="V122" s="224">
        <f t="shared" si="403"/>
        <v>3024740</v>
      </c>
      <c r="W122" s="224">
        <f t="shared" si="403"/>
        <v>3505105</v>
      </c>
      <c r="X122" s="224">
        <f t="shared" si="403"/>
        <v>3865518</v>
      </c>
      <c r="Y122" s="224">
        <f t="shared" si="403"/>
        <v>4041920</v>
      </c>
      <c r="Z122" s="225">
        <f t="shared" si="403"/>
        <v>4041920</v>
      </c>
      <c r="AA122" s="224">
        <f>AA52+AA53</f>
        <v>3988951</v>
      </c>
      <c r="AB122" s="224">
        <f t="shared" ref="AB122:CG122" si="404">AB52+AB53</f>
        <v>4619299</v>
      </c>
      <c r="AC122" s="224">
        <f t="shared" si="404"/>
        <v>5055478</v>
      </c>
      <c r="AD122" s="224">
        <f t="shared" si="404"/>
        <v>5187229</v>
      </c>
      <c r="AE122" s="225">
        <f>AE52+AE42+AE53</f>
        <v>5439808</v>
      </c>
      <c r="AF122" s="224">
        <f t="shared" si="404"/>
        <v>5743149</v>
      </c>
      <c r="AG122" s="224">
        <f t="shared" si="404"/>
        <v>6396766</v>
      </c>
      <c r="AH122" s="224">
        <f t="shared" si="404"/>
        <v>6824934</v>
      </c>
      <c r="AI122" s="224">
        <f t="shared" si="404"/>
        <v>7090450</v>
      </c>
      <c r="AJ122" s="225">
        <f>AJ52+AJ42+AJ53</f>
        <v>7445907</v>
      </c>
      <c r="AK122" s="224">
        <f t="shared" si="404"/>
        <v>7363216</v>
      </c>
      <c r="AL122" s="224">
        <f t="shared" si="404"/>
        <v>7604269</v>
      </c>
      <c r="AM122" s="224">
        <f t="shared" si="404"/>
        <v>7864552</v>
      </c>
      <c r="AN122" s="224">
        <f t="shared" si="404"/>
        <v>7863501</v>
      </c>
      <c r="AO122" s="225">
        <f>AO52+AO42+AO53</f>
        <v>8241548</v>
      </c>
      <c r="AP122" s="224">
        <f t="shared" si="404"/>
        <v>7992655</v>
      </c>
      <c r="AQ122" s="224">
        <f t="shared" si="404"/>
        <v>8189378</v>
      </c>
      <c r="AR122" s="224">
        <f t="shared" si="404"/>
        <v>8234896</v>
      </c>
      <c r="AS122" s="224">
        <f t="shared" si="404"/>
        <v>8251121</v>
      </c>
      <c r="AT122" s="225">
        <f>AT52+AT42+AT53</f>
        <v>8817634</v>
      </c>
      <c r="AU122" s="224">
        <f t="shared" si="404"/>
        <v>8677907</v>
      </c>
      <c r="AV122" s="224">
        <f t="shared" si="404"/>
        <v>8611847</v>
      </c>
      <c r="AW122" s="224">
        <f t="shared" si="404"/>
        <v>8884678</v>
      </c>
      <c r="AX122" s="224">
        <f t="shared" si="404"/>
        <v>8849697</v>
      </c>
      <c r="AY122" s="225">
        <f>AY52+AY42+AY53</f>
        <v>9582123</v>
      </c>
      <c r="AZ122" s="224">
        <f t="shared" si="404"/>
        <v>8777277</v>
      </c>
      <c r="BA122" s="224">
        <f t="shared" si="404"/>
        <v>8993064</v>
      </c>
      <c r="BB122" s="224">
        <f t="shared" si="404"/>
        <v>9040364</v>
      </c>
      <c r="BC122" s="224">
        <f t="shared" si="404"/>
        <v>8637283</v>
      </c>
      <c r="BD122" s="225">
        <f>BD52+BD42+BD53</f>
        <v>9346037</v>
      </c>
      <c r="BE122" s="224">
        <f t="shared" si="404"/>
        <v>8347891</v>
      </c>
      <c r="BF122" s="224">
        <f t="shared" si="404"/>
        <v>8249904</v>
      </c>
      <c r="BG122" s="224">
        <f t="shared" si="404"/>
        <v>8430788</v>
      </c>
      <c r="BH122" s="224">
        <f t="shared" si="404"/>
        <v>8319725</v>
      </c>
      <c r="BI122" s="225">
        <f>BI52+BI42+BI53</f>
        <v>9111569</v>
      </c>
      <c r="BJ122" s="224">
        <f t="shared" si="404"/>
        <v>8415311</v>
      </c>
      <c r="BK122" s="224">
        <f t="shared" si="404"/>
        <v>8522715</v>
      </c>
      <c r="BL122" s="224">
        <f t="shared" si="404"/>
        <v>8767296</v>
      </c>
      <c r="BM122" s="224">
        <f t="shared" si="404"/>
        <v>8556927</v>
      </c>
      <c r="BN122" s="225">
        <f>BN52+BN42+BN53</f>
        <v>9310113</v>
      </c>
      <c r="BO122" s="224">
        <f t="shared" si="404"/>
        <v>8432304</v>
      </c>
      <c r="BP122" s="224">
        <f t="shared" si="404"/>
        <v>8131619</v>
      </c>
      <c r="BQ122" s="224">
        <f t="shared" si="404"/>
        <v>7844350</v>
      </c>
      <c r="BR122" s="224">
        <f t="shared" si="404"/>
        <v>7626959</v>
      </c>
      <c r="BS122" s="225">
        <f>BS52+BS42+BS53</f>
        <v>8067866</v>
      </c>
      <c r="BT122" s="224">
        <f t="shared" si="404"/>
        <v>7089768</v>
      </c>
      <c r="BU122" s="224">
        <f t="shared" si="404"/>
        <v>6648115</v>
      </c>
      <c r="BV122" s="224">
        <f t="shared" si="404"/>
        <v>6448326</v>
      </c>
      <c r="BW122" s="224">
        <f t="shared" si="404"/>
        <v>6390025</v>
      </c>
      <c r="BX122" s="225">
        <f>BX52+BX42+BX53</f>
        <v>6779288</v>
      </c>
      <c r="BY122" s="224">
        <f t="shared" si="404"/>
        <v>6301389</v>
      </c>
      <c r="BZ122" s="224">
        <f t="shared" si="404"/>
        <v>6059233</v>
      </c>
      <c r="CA122" s="224">
        <f t="shared" si="404"/>
        <v>6218106</v>
      </c>
      <c r="CB122" s="224">
        <f t="shared" si="404"/>
        <v>6127197</v>
      </c>
      <c r="CC122" s="225">
        <f>CC52+CC42+CC53</f>
        <v>6540264</v>
      </c>
      <c r="CD122" s="224">
        <f t="shared" si="404"/>
        <v>6135257</v>
      </c>
      <c r="CE122" s="224">
        <f t="shared" si="404"/>
        <v>6310295</v>
      </c>
      <c r="CF122" s="224">
        <f t="shared" si="404"/>
        <v>6672077</v>
      </c>
      <c r="CG122" s="224">
        <f t="shared" si="404"/>
        <v>6188088</v>
      </c>
      <c r="CH122" s="225">
        <f>CH52+CH42+CH53</f>
        <v>6479983</v>
      </c>
      <c r="CI122" s="224">
        <f>CI52+CI53</f>
        <v>6379927</v>
      </c>
      <c r="CJ122" s="224">
        <f>CJ52+CJ53</f>
        <v>6947840</v>
      </c>
      <c r="CK122" s="224">
        <f>CK52+CK53</f>
        <v>7085660</v>
      </c>
      <c r="CL122" s="224">
        <f>CL52+CL53</f>
        <v>7247419</v>
      </c>
      <c r="CM122" s="225">
        <f>CM52+CM42+CM53</f>
        <v>7851291</v>
      </c>
      <c r="CN122" s="224">
        <f t="shared" ref="CN122:DF122" si="405">CN52+CN53</f>
        <v>7515666</v>
      </c>
      <c r="CO122" s="224">
        <f t="shared" si="405"/>
        <v>7652615</v>
      </c>
      <c r="CP122" s="224">
        <f t="shared" si="405"/>
        <v>7330453</v>
      </c>
      <c r="CQ122" s="224">
        <f t="shared" si="405"/>
        <v>8167494</v>
      </c>
      <c r="CR122" s="225">
        <f>CR52+CR42+CR53</f>
        <v>8745081</v>
      </c>
      <c r="CS122" s="224">
        <f>CS52+CS53</f>
        <v>8348046</v>
      </c>
      <c r="CT122" s="224">
        <f>CT52+CT53</f>
        <v>8640809</v>
      </c>
      <c r="CU122" s="224">
        <f>CU52+CU53</f>
        <v>9040430</v>
      </c>
      <c r="CV122" s="224">
        <f>CV52+CV53</f>
        <v>9110705</v>
      </c>
      <c r="CW122" s="225">
        <f>CW52+CW42+CW53</f>
        <v>9920190</v>
      </c>
      <c r="CX122" s="224">
        <f>CX52+CX53</f>
        <v>9076306</v>
      </c>
      <c r="CY122" s="224">
        <f t="shared" si="405"/>
        <v>9750735</v>
      </c>
      <c r="CZ122" s="224">
        <f>CZ52+CZ53</f>
        <v>10293866</v>
      </c>
      <c r="DA122" s="224">
        <f>DA52+DA53</f>
        <v>10743954</v>
      </c>
      <c r="DB122" s="225">
        <f>DB52+DB42+DB53</f>
        <v>11798566</v>
      </c>
      <c r="DC122" s="224">
        <f t="shared" si="405"/>
        <v>11110175</v>
      </c>
      <c r="DD122" s="224">
        <f t="shared" ref="DD122" si="406">DD52+DD53</f>
        <v>11905370</v>
      </c>
      <c r="DE122" s="224">
        <f>DE52+DE53</f>
        <v>12141880</v>
      </c>
      <c r="DF122" s="224">
        <f t="shared" si="405"/>
        <v>13303958</v>
      </c>
      <c r="DG122" s="225">
        <f>DG52+DG42+DG53</f>
        <v>14543432</v>
      </c>
      <c r="DH122" s="224">
        <f>DH52+DH53</f>
        <v>13640200</v>
      </c>
      <c r="DI122" s="224">
        <f>DI52+DI53</f>
        <v>13794080</v>
      </c>
      <c r="DJ122" s="224">
        <f ca="1">DJ52+DJ53</f>
        <v>13791077.626315882</v>
      </c>
      <c r="DK122" s="224">
        <f ca="1">DK52+DK53</f>
        <v>14346667.950217258</v>
      </c>
      <c r="DL122" s="225">
        <f ca="1">DL52+DL42+DL53</f>
        <v>15667540.377555925</v>
      </c>
      <c r="DM122" s="224">
        <f ca="1">DM52+DM53</f>
        <v>15018668.517444564</v>
      </c>
      <c r="DN122" s="224">
        <f ca="1">DN52+DN53</f>
        <v>15747956.231448093</v>
      </c>
      <c r="DO122" s="224">
        <f ca="1">DO52+DO53</f>
        <v>16628327.875726046</v>
      </c>
      <c r="DP122" s="224">
        <f ca="1">DP52+DP53</f>
        <v>16466923.679382421</v>
      </c>
      <c r="DQ122" s="225">
        <f ca="1">DQ52+DQ42+DQ53</f>
        <v>17967023.042753085</v>
      </c>
      <c r="DR122" s="224">
        <f ca="1">DR52+DR53</f>
        <v>17133537.798092768</v>
      </c>
      <c r="DS122" s="224">
        <f ca="1">DS52+DS53</f>
        <v>18696134.745819524</v>
      </c>
      <c r="DT122" s="224">
        <f ca="1">DT52+DT53</f>
        <v>19320081.725722495</v>
      </c>
      <c r="DU122" s="224">
        <f ca="1">DU52+DU53</f>
        <v>18404905.317730822</v>
      </c>
      <c r="DV122" s="225">
        <f ca="1">DV52+DV42+DV53</f>
        <v>20110868.106562842</v>
      </c>
      <c r="DW122" s="224">
        <f ca="1">DW52+DW53</f>
        <v>18694371.128076836</v>
      </c>
      <c r="DX122" s="224">
        <f ca="1">DX52+DX53</f>
        <v>20876093.551875755</v>
      </c>
      <c r="DY122" s="224">
        <f ca="1">DY52+DY53</f>
        <v>21112047.627347194</v>
      </c>
      <c r="DZ122" s="224">
        <f ca="1">DZ52+DZ53</f>
        <v>19502656.567069773</v>
      </c>
      <c r="EA122" s="225">
        <f ca="1">EA52+EA42+EA53</f>
        <v>21302850.325357366</v>
      </c>
      <c r="EB122" s="224">
        <f ca="1">EB52+EB53</f>
        <v>19400212.469174325</v>
      </c>
      <c r="EC122" s="224">
        <f ca="1">EC52+EC53</f>
        <v>21479995.733910225</v>
      </c>
      <c r="ED122" s="224">
        <f ca="1">ED52+ED53</f>
        <v>21772162.8868449</v>
      </c>
      <c r="EE122" s="224">
        <f ca="1">EE52+EE53</f>
        <v>20054124.395750523</v>
      </c>
      <c r="EF122" s="225">
        <f ca="1">EF52+EF42+EF53</f>
        <v>21907923.015421368</v>
      </c>
    </row>
    <row r="123" spans="1:136">
      <c r="A123" s="66" t="s">
        <v>809</v>
      </c>
      <c r="U123" s="134">
        <f>('Income Statement'!U57+'Income Statement'!U64)/AVERAGE(Q122:T122)</f>
        <v>0.13196260205890714</v>
      </c>
      <c r="Z123" s="134">
        <f>('Income Statement'!Z57+'Income Statement'!Z64)/AVERAGE(V122:Y122)</f>
        <v>0.10950536884260009</v>
      </c>
      <c r="AE123" s="134">
        <f>('Income Statement'!AE57+'Income Statement'!AE64)/AVERAGE(AA122:AD122)</f>
        <v>0.16345037549022046</v>
      </c>
      <c r="AJ123" s="134">
        <f>('Income Statement'!AJ57+'Income Statement'!AJ64)/AVERAGE(AF122:AI122)</f>
        <v>0.11506358073265634</v>
      </c>
      <c r="AO123" s="134">
        <f>('Income Statement'!AO57+'Income Statement'!AO64)/AVERAGE(AK122:AN122)</f>
        <v>0.1074282522756239</v>
      </c>
      <c r="AT123" s="134">
        <f>('Income Statement'!AT57+'Income Statement'!AT64)/AVERAGE(AP122:AS122)</f>
        <v>0.11890627080587914</v>
      </c>
      <c r="AY123" s="134">
        <f>('Income Statement'!AY57+'Income Statement'!AY64)/AVERAGE(AU122:AX122)</f>
        <v>0.1080246135457073</v>
      </c>
      <c r="BD123" s="134">
        <f>('Income Statement'!BD57+'Income Statement'!BD64)/AVERAGE(AZ122:BC122)</f>
        <v>0.10204392982755467</v>
      </c>
      <c r="BI123" s="134">
        <f>('Income Statement'!BI57+'Income Statement'!BI64)/AVERAGE(BE122:BH122)</f>
        <v>8.071246073413979E-2</v>
      </c>
      <c r="BN123" s="134">
        <f>('Income Statement'!BN57+'Income Statement'!BN64)/AVERAGE(BJ122:BM122)</f>
        <v>3.6016666623373148E-2</v>
      </c>
      <c r="BS123" s="134">
        <f>('Income Statement'!BS57+'Income Statement'!BS64)/AVERAGE(BO122:BR122)</f>
        <v>-2.1850942112733879E-4</v>
      </c>
      <c r="BX123" s="134">
        <f>('Income Statement'!BX57+'Income Statement'!BX64)/AVERAGE(BT122:BW122)</f>
        <v>-5.1214178803512941E-3</v>
      </c>
      <c r="CC123" s="134">
        <f>('Income Statement'!CC57+'Income Statement'!CC64)/AVERAGE(BY122:CB122)</f>
        <v>7.7862941784207634E-2</v>
      </c>
      <c r="CH123" s="134">
        <f>('Income Statement'!CH57+'Income Statement'!CH64)/AVERAGE(CD122:CG122)</f>
        <v>7.9608414177713277E-2</v>
      </c>
      <c r="CM123" s="134">
        <f>('Income Statement'!CM57+'Income Statement'!CM64)/AVERAGE(CI122:CL122)</f>
        <v>0.1046098156216914</v>
      </c>
      <c r="CR123" s="134">
        <f>('Income Statement'!CR57+'Income Statement'!CR64)/AVERAGE(CN122:CQ122)</f>
        <v>8.5461178988169004E-2</v>
      </c>
      <c r="CW123" s="134">
        <f>('Income Statement'!CW57+'Income Statement'!CW64)/AVERAGE(CS122:CV122)</f>
        <v>9.351806873024153E-2</v>
      </c>
      <c r="DB123" s="134">
        <f>('Income Statement'!DB57+'Income Statement'!DB64)/AVERAGE(CX122:DA122)</f>
        <v>0.14453591096178661</v>
      </c>
      <c r="DG123" s="134">
        <f>('Income Statement'!DG57+'Income Statement'!DG64)/AVERAGE(DC122:DF122)</f>
        <v>0.12919763350542432</v>
      </c>
      <c r="DL123" s="134">
        <f ca="1">('Income Statement'!DL57+'Income Statement'!DL64)/AVERAGE(DH122:DK122)</f>
        <v>0.12113986434930525</v>
      </c>
      <c r="DQ123" s="134">
        <f ca="1">('Income Statement'!DQ57+'Income Statement'!DQ64)/AVERAGE(DM122:DP122)</f>
        <v>0.12987799801106836</v>
      </c>
      <c r="DV123" s="134">
        <f ca="1">('Income Statement'!DV57+'Income Statement'!DV64)/AVERAGE(DR122:DU122)</f>
        <v>0.12951950569443935</v>
      </c>
      <c r="EA123" s="134">
        <f ca="1">('Income Statement'!EA57+'Income Statement'!EA64)/AVERAGE(DW122:DZ122)</f>
        <v>0.13101726728226779</v>
      </c>
      <c r="EF123" s="134">
        <f ca="1">('Income Statement'!EF57+'Income Statement'!EF64)/AVERAGE(EB122:EE122)</f>
        <v>0.13769626445283525</v>
      </c>
    </row>
    <row r="124" spans="1:136">
      <c r="CH124" s="67"/>
      <c r="CM124" s="67"/>
      <c r="CR124" s="67"/>
      <c r="CW124" s="67"/>
      <c r="DB124" s="67"/>
      <c r="DG124" s="67"/>
      <c r="DL124" s="67"/>
      <c r="DQ124" s="67"/>
      <c r="DV124" s="67"/>
      <c r="EA124" s="67"/>
      <c r="EF124" s="67"/>
    </row>
    <row r="125" spans="1:136">
      <c r="CH125" s="67"/>
      <c r="CM125" s="67"/>
      <c r="CR125" s="67"/>
      <c r="CW125" s="67"/>
      <c r="DB125" s="67"/>
      <c r="DG125" s="67"/>
      <c r="DL125" s="67"/>
      <c r="DQ125" s="67"/>
      <c r="DV125" s="67"/>
      <c r="EA125" s="67"/>
      <c r="EF125" s="67"/>
    </row>
    <row r="126" spans="1:136" hidden="1">
      <c r="CH126" s="67"/>
      <c r="CM126" s="67"/>
      <c r="CR126" s="67"/>
      <c r="CW126" s="67"/>
      <c r="DB126" s="67"/>
      <c r="DG126" s="67"/>
      <c r="DL126" s="67"/>
      <c r="DQ126" s="67"/>
      <c r="DV126" s="67"/>
      <c r="EA126" s="67"/>
      <c r="EF126" s="67"/>
    </row>
    <row r="127" spans="1:136" hidden="1">
      <c r="CH127" s="67"/>
      <c r="CM127" s="67"/>
      <c r="CR127" s="67"/>
      <c r="CW127" s="67"/>
      <c r="DB127" s="67"/>
      <c r="DG127" s="67"/>
      <c r="DL127" s="67"/>
      <c r="DQ127" s="67"/>
      <c r="DV127" s="67"/>
      <c r="EA127" s="67"/>
      <c r="EF127" s="67"/>
    </row>
    <row r="128" spans="1:136" hidden="1">
      <c r="AB128" s="66">
        <f>137116*0.75</f>
        <v>102837</v>
      </c>
      <c r="CH128" s="67"/>
      <c r="CM128" s="67"/>
      <c r="CR128" s="67"/>
      <c r="CW128" s="67"/>
      <c r="DB128" s="67"/>
      <c r="DG128" s="67"/>
      <c r="DL128" s="67"/>
      <c r="DQ128" s="67"/>
      <c r="DV128" s="67"/>
      <c r="EA128" s="67"/>
      <c r="EF128" s="67"/>
    </row>
    <row r="129" spans="1:136">
      <c r="CH129" s="67"/>
      <c r="CM129" s="67"/>
      <c r="CR129" s="67"/>
      <c r="CW129" s="67"/>
      <c r="DB129" s="67"/>
      <c r="DG129" s="67"/>
      <c r="DL129" s="67"/>
      <c r="DQ129" s="67"/>
      <c r="DV129" s="67"/>
      <c r="EA129" s="67"/>
      <c r="EF129" s="67"/>
    </row>
    <row r="130" spans="1:136" s="70" customFormat="1" ht="12.75" customHeight="1" thickBot="1">
      <c r="A130" s="69" t="s">
        <v>808</v>
      </c>
      <c r="B130" s="93" t="str">
        <f>Macro!B$3</f>
        <v>1Q04</v>
      </c>
      <c r="C130" s="93" t="str">
        <f>Macro!C$3</f>
        <v>2Q04</v>
      </c>
      <c r="D130" s="93" t="str">
        <f>Macro!D$3</f>
        <v>3Q04</v>
      </c>
      <c r="E130" s="93" t="str">
        <f>Macro!E$3</f>
        <v>4Q04</v>
      </c>
      <c r="F130" s="92" t="str">
        <f>Macro!F$3</f>
        <v>2004</v>
      </c>
      <c r="G130" s="93" t="str">
        <f>Macro!G$3</f>
        <v>1Q05</v>
      </c>
      <c r="H130" s="93" t="str">
        <f>Macro!H$3</f>
        <v>2Q05</v>
      </c>
      <c r="I130" s="93" t="str">
        <f>Macro!I$3</f>
        <v>3Q05</v>
      </c>
      <c r="J130" s="93" t="str">
        <f>Macro!J$3</f>
        <v>4Q05</v>
      </c>
      <c r="K130" s="92" t="str">
        <f>Macro!K$3</f>
        <v>2005</v>
      </c>
      <c r="L130" s="93" t="str">
        <f>Macro!L$3</f>
        <v>1Q06</v>
      </c>
      <c r="M130" s="93" t="str">
        <f>Macro!M$3</f>
        <v>2Q06</v>
      </c>
      <c r="N130" s="93" t="str">
        <f>Macro!N$3</f>
        <v>3Q06</v>
      </c>
      <c r="O130" s="94" t="str">
        <f>Macro!O$3</f>
        <v>4Q06</v>
      </c>
      <c r="P130" s="92" t="str">
        <f>Macro!P$3</f>
        <v>2006</v>
      </c>
      <c r="Q130" s="93" t="str">
        <f>Macro!Q$3</f>
        <v>1Q07</v>
      </c>
      <c r="R130" s="93" t="str">
        <f>Macro!R$3</f>
        <v>2Q07</v>
      </c>
      <c r="S130" s="93" t="str">
        <f>Macro!S$3</f>
        <v>3Q07</v>
      </c>
      <c r="T130" s="94" t="str">
        <f>Macro!T$3</f>
        <v>4Q07</v>
      </c>
      <c r="U130" s="92" t="str">
        <f>Macro!U$3</f>
        <v>2007</v>
      </c>
      <c r="V130" s="93" t="str">
        <f>Macro!V$3</f>
        <v>1Q08</v>
      </c>
      <c r="W130" s="93" t="str">
        <f>Macro!W$3</f>
        <v>2Q08</v>
      </c>
      <c r="X130" s="93" t="str">
        <f>Macro!X$3</f>
        <v>3Q08</v>
      </c>
      <c r="Y130" s="94" t="str">
        <f>Macro!Y$3</f>
        <v>4Q08</v>
      </c>
      <c r="Z130" s="92" t="str">
        <f>Macro!Z$3</f>
        <v>2008</v>
      </c>
      <c r="AA130" s="93" t="str">
        <f>Macro!AA$3</f>
        <v>1Q09</v>
      </c>
      <c r="AB130" s="93" t="str">
        <f>Macro!AB$3</f>
        <v>2Q09</v>
      </c>
      <c r="AC130" s="93" t="str">
        <f>Macro!AC$3</f>
        <v>3Q09</v>
      </c>
      <c r="AD130" s="94" t="str">
        <f>Macro!AD$3</f>
        <v>4Q09</v>
      </c>
      <c r="AE130" s="92" t="str">
        <f>Macro!AE$3</f>
        <v>2009</v>
      </c>
      <c r="AF130" s="93" t="str">
        <f>Macro!AF$3</f>
        <v>1Q10</v>
      </c>
      <c r="AG130" s="93" t="str">
        <f>Macro!AG$3</f>
        <v>2Q10</v>
      </c>
      <c r="AH130" s="93" t="str">
        <f>Macro!AH$3</f>
        <v>3Q10</v>
      </c>
      <c r="AI130" s="94" t="str">
        <f>Macro!AI$3</f>
        <v>4Q10</v>
      </c>
      <c r="AJ130" s="92" t="str">
        <f>Macro!AJ$3</f>
        <v>2010</v>
      </c>
      <c r="AK130" s="93" t="str">
        <f>Macro!AK$3</f>
        <v>1Q11</v>
      </c>
      <c r="AL130" s="93" t="str">
        <f>Macro!AL$3</f>
        <v>2Q11</v>
      </c>
      <c r="AM130" s="93" t="str">
        <f>Macro!AM$3</f>
        <v>3Q11</v>
      </c>
      <c r="AN130" s="94" t="str">
        <f>Macro!AN$3</f>
        <v>4Q11</v>
      </c>
      <c r="AO130" s="92" t="str">
        <f>Macro!AO$3</f>
        <v>2011</v>
      </c>
      <c r="AP130" s="310" t="str">
        <f>Macro!AP$3</f>
        <v>1Q12</v>
      </c>
      <c r="AQ130" s="310" t="str">
        <f>Macro!AQ$3</f>
        <v>2Q12</v>
      </c>
      <c r="AR130" s="310" t="str">
        <f>Macro!AR$3</f>
        <v>3Q12</v>
      </c>
      <c r="AS130" s="310" t="str">
        <f>Macro!AS$3</f>
        <v>4Q12</v>
      </c>
      <c r="AT130" s="311" t="str">
        <f>Macro!AT$3</f>
        <v>2012</v>
      </c>
      <c r="AU130" s="310" t="str">
        <f>Macro!AU$3</f>
        <v>1Q13</v>
      </c>
      <c r="AV130" s="310" t="str">
        <f>Macro!AV$3</f>
        <v>2Q13</v>
      </c>
      <c r="AW130" s="310" t="str">
        <f>Macro!AW$3</f>
        <v>3Q13</v>
      </c>
      <c r="AX130" s="310" t="str">
        <f>Macro!AX$3</f>
        <v>4Q13</v>
      </c>
      <c r="AY130" s="311" t="str">
        <f>Macro!AY$3</f>
        <v>2013</v>
      </c>
      <c r="AZ130" s="310" t="str">
        <f>Macro!AZ$3</f>
        <v>1Q14</v>
      </c>
      <c r="BA130" s="310" t="str">
        <f>Macro!BA$3</f>
        <v>2Q14</v>
      </c>
      <c r="BB130" s="310" t="str">
        <f>Macro!BB$3</f>
        <v>3Q14</v>
      </c>
      <c r="BC130" s="310" t="str">
        <f>Macro!BC$3</f>
        <v>4Q14</v>
      </c>
      <c r="BD130" s="311" t="str">
        <f>Macro!BD$3</f>
        <v>2014</v>
      </c>
      <c r="BE130" s="310" t="str">
        <f>Macro!BE$3</f>
        <v>1Q15</v>
      </c>
      <c r="BF130" s="310" t="str">
        <f>Macro!BF$3</f>
        <v>2Q15</v>
      </c>
      <c r="BG130" s="310" t="str">
        <f>Macro!BG$3</f>
        <v>3Q15</v>
      </c>
      <c r="BH130" s="310" t="str">
        <f>Macro!BH$3</f>
        <v>4Q15</v>
      </c>
      <c r="BI130" s="311" t="str">
        <f>Macro!BI$3</f>
        <v>2015</v>
      </c>
      <c r="BJ130" s="310" t="str">
        <f>Macro!BJ$3</f>
        <v>1Q16</v>
      </c>
      <c r="BK130" s="310" t="str">
        <f>Macro!BK$3</f>
        <v>2Q16</v>
      </c>
      <c r="BL130" s="310" t="str">
        <f>Macro!BL$3</f>
        <v>3Q16</v>
      </c>
      <c r="BM130" s="310" t="str">
        <f>Macro!BM$3</f>
        <v>4Q16</v>
      </c>
      <c r="BN130" s="311" t="str">
        <f>Macro!BN$3</f>
        <v>2016</v>
      </c>
      <c r="BO130" s="310" t="str">
        <f>Macro!BO$3</f>
        <v>1Q17</v>
      </c>
      <c r="BP130" s="310" t="str">
        <f>Macro!BP$3</f>
        <v>2Q17</v>
      </c>
      <c r="BQ130" s="310" t="str">
        <f>Macro!BQ$3</f>
        <v>3Q17</v>
      </c>
      <c r="BR130" s="310" t="str">
        <f>Macro!BR$3</f>
        <v>4Q17</v>
      </c>
      <c r="BS130" s="311" t="str">
        <f>Macro!BS$3</f>
        <v>2017</v>
      </c>
      <c r="BT130" s="310" t="str">
        <f>Macro!BT$3</f>
        <v>1Q18</v>
      </c>
      <c r="BU130" s="310" t="str">
        <f>Macro!BU$3</f>
        <v>2Q18</v>
      </c>
      <c r="BV130" s="310" t="str">
        <f>Macro!BV$3</f>
        <v>3Q18</v>
      </c>
      <c r="BW130" s="310" t="str">
        <f>Macro!BW$3</f>
        <v>4Q18</v>
      </c>
      <c r="BX130" s="311" t="str">
        <f>Macro!BX$3</f>
        <v>2018</v>
      </c>
      <c r="BY130" s="310" t="str">
        <f>Macro!BY$3</f>
        <v>1Q19</v>
      </c>
      <c r="BZ130" s="310" t="str">
        <f>Macro!BZ$3</f>
        <v>2Q19</v>
      </c>
      <c r="CA130" s="310" t="str">
        <f>Macro!CA$3</f>
        <v>3Q19</v>
      </c>
      <c r="CB130" s="310" t="str">
        <f>Macro!CB$3</f>
        <v>4Q19</v>
      </c>
      <c r="CC130" s="311" t="str">
        <f>Macro!CC$3</f>
        <v>2019</v>
      </c>
      <c r="CD130" s="310" t="str">
        <f>Macro!CD$3</f>
        <v>1Q20</v>
      </c>
      <c r="CE130" s="310" t="str">
        <f>Macro!CE$3</f>
        <v>2Q20</v>
      </c>
      <c r="CF130" s="310" t="str">
        <f>Macro!CF$3</f>
        <v>3Q20</v>
      </c>
      <c r="CG130" s="310" t="str">
        <f>Macro!CG$3</f>
        <v>4Q20</v>
      </c>
      <c r="CH130" s="311" t="str">
        <f>Macro!CH$3</f>
        <v>2020</v>
      </c>
      <c r="CI130" s="310" t="str">
        <f>Macro!CI$3</f>
        <v>1Q21</v>
      </c>
      <c r="CJ130" s="310" t="str">
        <f>Macro!CJ$3</f>
        <v>2Q21</v>
      </c>
      <c r="CK130" s="310" t="str">
        <f>Macro!CK$3</f>
        <v>3Q21</v>
      </c>
      <c r="CL130" s="310" t="str">
        <f>Macro!CL$3</f>
        <v>4Q21</v>
      </c>
      <c r="CM130" s="311" t="str">
        <f>Macro!CM$3</f>
        <v>2021</v>
      </c>
      <c r="CN130" s="310" t="str">
        <f>Macro!CN$3</f>
        <v>1Q22</v>
      </c>
      <c r="CO130" s="310" t="str">
        <f>Macro!CO$3</f>
        <v>2Q22</v>
      </c>
      <c r="CP130" s="310" t="str">
        <f>Macro!CP$3</f>
        <v>3Q22</v>
      </c>
      <c r="CQ130" s="310" t="str">
        <f>Macro!CQ$3</f>
        <v>4Q22</v>
      </c>
      <c r="CR130" s="311" t="str">
        <f>Macro!CR$3</f>
        <v>2022</v>
      </c>
      <c r="CS130" s="310" t="str">
        <f>Macro!CS$3</f>
        <v>1Q23</v>
      </c>
      <c r="CT130" s="310" t="str">
        <f>Macro!CT$3</f>
        <v>2Q23</v>
      </c>
      <c r="CU130" s="310" t="str">
        <f>Macro!CU$3</f>
        <v>3Q23</v>
      </c>
      <c r="CV130" s="310" t="str">
        <f>Macro!CV$3</f>
        <v>4Q23</v>
      </c>
      <c r="CW130" s="311" t="str">
        <f>Macro!CW$3</f>
        <v>2023</v>
      </c>
      <c r="CX130" s="310" t="str">
        <f>Macro!CX$3</f>
        <v>1Q24</v>
      </c>
      <c r="CY130" s="310" t="str">
        <f>Macro!CY$3</f>
        <v>2Q24</v>
      </c>
      <c r="CZ130" s="310" t="str">
        <f>Macro!CZ$3</f>
        <v>3Q24</v>
      </c>
      <c r="DA130" s="310" t="str">
        <f>Macro!DA$3</f>
        <v>4Q24</v>
      </c>
      <c r="DB130" s="311" t="str">
        <f>Macro!DB$3</f>
        <v>2024</v>
      </c>
      <c r="DC130" s="310" t="str">
        <f>Macro!DC$3</f>
        <v>1Q25</v>
      </c>
      <c r="DD130" s="310" t="str">
        <f>Macro!DD$3</f>
        <v>2Q25</v>
      </c>
      <c r="DE130" s="310" t="str">
        <f>Macro!DE$3</f>
        <v>3Q25</v>
      </c>
      <c r="DF130" s="310" t="str">
        <f>Macro!DF$3</f>
        <v>4Q25</v>
      </c>
      <c r="DG130" s="311" t="str">
        <f>Macro!DG$3</f>
        <v>2025</v>
      </c>
      <c r="DH130" s="310" t="str">
        <f>Macro!DH$3</f>
        <v>1Q26</v>
      </c>
      <c r="DI130" s="310" t="str">
        <f>Macro!DI$3</f>
        <v>2Q26</v>
      </c>
      <c r="DJ130" s="310" t="str">
        <f>Macro!DJ$3</f>
        <v>3Q26E</v>
      </c>
      <c r="DK130" s="310" t="str">
        <f>Macro!DK$3</f>
        <v>4Q26E</v>
      </c>
      <c r="DL130" s="311" t="str">
        <f>Macro!DL$3</f>
        <v>2026E</v>
      </c>
      <c r="DM130" s="310" t="str">
        <f>Macro!DM$3</f>
        <v>1Q27E</v>
      </c>
      <c r="DN130" s="310" t="str">
        <f>Macro!DN$3</f>
        <v>2Q27E</v>
      </c>
      <c r="DO130" s="310" t="str">
        <f>Macro!DO$3</f>
        <v>3Q27E</v>
      </c>
      <c r="DP130" s="310" t="str">
        <f>Macro!DP$3</f>
        <v>4Q27E</v>
      </c>
      <c r="DQ130" s="311" t="str">
        <f>Macro!DQ$3</f>
        <v>2027E</v>
      </c>
      <c r="DR130" s="310" t="str">
        <f>Macro!DR$3</f>
        <v>1Q28E</v>
      </c>
      <c r="DS130" s="310" t="str">
        <f>Macro!DS$3</f>
        <v>2Q28E</v>
      </c>
      <c r="DT130" s="310" t="str">
        <f>Macro!DT$3</f>
        <v>3Q28E</v>
      </c>
      <c r="DU130" s="310" t="str">
        <f>Macro!DU$3</f>
        <v>4Q28E</v>
      </c>
      <c r="DV130" s="311" t="str">
        <f>Macro!DV$3</f>
        <v>2028E</v>
      </c>
      <c r="DW130" s="310" t="str">
        <f>Macro!DW$3</f>
        <v>1Q29E</v>
      </c>
      <c r="DX130" s="310" t="str">
        <f>Macro!DX$3</f>
        <v>2Q29E</v>
      </c>
      <c r="DY130" s="310" t="str">
        <f>Macro!DY$3</f>
        <v>3Q29E</v>
      </c>
      <c r="DZ130" s="310" t="str">
        <f>Macro!DZ$3</f>
        <v>4Q29E</v>
      </c>
      <c r="EA130" s="311" t="str">
        <f>Macro!EA$3</f>
        <v>2029E</v>
      </c>
      <c r="EB130" s="310" t="str">
        <f>Macro!EB$3</f>
        <v>1Q30E</v>
      </c>
      <c r="EC130" s="310" t="str">
        <f>Macro!EC$3</f>
        <v>2Q30E</v>
      </c>
      <c r="ED130" s="310" t="str">
        <f>Macro!ED$3</f>
        <v>3Q30E</v>
      </c>
      <c r="EE130" s="310" t="str">
        <f>Macro!EE$3</f>
        <v>4Q30E</v>
      </c>
      <c r="EF130" s="311" t="str">
        <f>Macro!EF$3</f>
        <v>2030E</v>
      </c>
    </row>
    <row r="131" spans="1:136" hidden="1">
      <c r="CH131" s="67"/>
      <c r="CM131" s="67"/>
      <c r="CR131" s="67"/>
      <c r="CW131" s="67"/>
      <c r="DB131" s="67"/>
      <c r="DG131" s="67"/>
      <c r="DL131" s="67"/>
      <c r="DQ131" s="67"/>
      <c r="DV131" s="67"/>
      <c r="EA131" s="67"/>
      <c r="EF131" s="67"/>
    </row>
    <row r="132" spans="1:136">
      <c r="A132" s="66" t="s">
        <v>352</v>
      </c>
      <c r="Q132" s="114">
        <f>Q21</f>
        <v>0</v>
      </c>
      <c r="R132" s="114">
        <f>R21</f>
        <v>0</v>
      </c>
      <c r="S132" s="114">
        <f>S21</f>
        <v>40557</v>
      </c>
      <c r="T132" s="114">
        <f>T21</f>
        <v>58978</v>
      </c>
      <c r="U132" s="130">
        <f>T132</f>
        <v>58978</v>
      </c>
      <c r="V132" s="114">
        <f>V21</f>
        <v>75136</v>
      </c>
      <c r="W132" s="114">
        <f>W21</f>
        <v>72082</v>
      </c>
      <c r="X132" s="114">
        <f>X21</f>
        <v>74287</v>
      </c>
      <c r="Y132" s="114">
        <f>Y21</f>
        <v>66221</v>
      </c>
      <c r="Z132" s="130">
        <f>Y132</f>
        <v>66221</v>
      </c>
      <c r="AA132" s="114">
        <f>AA21</f>
        <v>76244</v>
      </c>
      <c r="AB132" s="114">
        <f>AB21</f>
        <v>89991</v>
      </c>
      <c r="AC132" s="307">
        <f>AB132</f>
        <v>89991</v>
      </c>
      <c r="AD132" s="169">
        <v>72836</v>
      </c>
      <c r="AE132" s="130">
        <f>AD132</f>
        <v>72836</v>
      </c>
      <c r="AF132" s="169">
        <v>56881</v>
      </c>
      <c r="AG132" s="169">
        <v>53623</v>
      </c>
      <c r="AH132" s="169">
        <v>45195</v>
      </c>
      <c r="AI132" s="160">
        <v>36919</v>
      </c>
      <c r="AJ132" s="130">
        <f>AI132</f>
        <v>36919</v>
      </c>
      <c r="AK132" s="169">
        <v>29887</v>
      </c>
      <c r="AL132" s="169">
        <v>27278</v>
      </c>
      <c r="AM132" s="160">
        <v>25980</v>
      </c>
      <c r="AN132" s="160">
        <v>19861</v>
      </c>
      <c r="AO132" s="130">
        <f>AN132</f>
        <v>19861</v>
      </c>
      <c r="AP132" s="160">
        <v>17386</v>
      </c>
      <c r="AQ132" s="160">
        <v>14844</v>
      </c>
      <c r="AR132" s="160">
        <v>11268</v>
      </c>
      <c r="AS132" s="160">
        <v>9703</v>
      </c>
      <c r="AT132" s="130">
        <f>AS132</f>
        <v>9703</v>
      </c>
      <c r="AU132" s="160">
        <v>16234</v>
      </c>
      <c r="AV132" s="160">
        <v>16234</v>
      </c>
      <c r="AW132" s="160">
        <v>16716</v>
      </c>
      <c r="AX132" s="160">
        <v>16316</v>
      </c>
      <c r="AY132" s="130">
        <f>AX132</f>
        <v>16316</v>
      </c>
      <c r="AZ132" s="160">
        <v>15651</v>
      </c>
      <c r="BA132" s="160">
        <v>14482</v>
      </c>
      <c r="BB132" s="160">
        <v>16550</v>
      </c>
      <c r="BC132" s="160">
        <v>28723</v>
      </c>
      <c r="BD132" s="130">
        <f>BC132</f>
        <v>28723</v>
      </c>
      <c r="BE132" s="160">
        <v>28083</v>
      </c>
      <c r="BF132" s="160">
        <v>32415</v>
      </c>
      <c r="BG132" s="160">
        <v>25029</v>
      </c>
      <c r="BH132" s="160">
        <v>18174</v>
      </c>
      <c r="BI132" s="130">
        <f>BH132</f>
        <v>18174</v>
      </c>
      <c r="BJ132" s="160">
        <v>13995</v>
      </c>
      <c r="BK132" s="160">
        <v>14246</v>
      </c>
      <c r="BL132" s="160">
        <v>13518</v>
      </c>
      <c r="BM132" s="160">
        <v>13069</v>
      </c>
      <c r="BN132" s="130">
        <f>BM132</f>
        <v>13069</v>
      </c>
      <c r="BO132" s="160">
        <v>13029</v>
      </c>
      <c r="BP132" s="160">
        <v>2129</v>
      </c>
      <c r="BQ132" s="160">
        <v>2650</v>
      </c>
      <c r="BR132" s="160">
        <v>2775</v>
      </c>
      <c r="BS132" s="130">
        <f>BR132</f>
        <v>2775</v>
      </c>
      <c r="BT132" s="160">
        <v>2888</v>
      </c>
      <c r="BU132" s="160">
        <v>3170</v>
      </c>
      <c r="BV132" s="160">
        <v>4948</v>
      </c>
      <c r="BW132" s="160">
        <v>4422</v>
      </c>
      <c r="BX132" s="130">
        <f>BW132</f>
        <v>4422</v>
      </c>
      <c r="BY132" s="160">
        <v>4225</v>
      </c>
      <c r="BZ132" s="160">
        <v>3910</v>
      </c>
      <c r="CA132" s="160">
        <v>3636</v>
      </c>
      <c r="CB132" s="160">
        <v>3418</v>
      </c>
      <c r="CC132" s="130">
        <f>CB132</f>
        <v>3418</v>
      </c>
      <c r="CD132" s="160">
        <v>3360</v>
      </c>
      <c r="CE132" s="160">
        <v>3223</v>
      </c>
      <c r="CF132" s="160">
        <v>3103</v>
      </c>
      <c r="CG132" s="160">
        <v>3072</v>
      </c>
      <c r="CH132" s="130">
        <f>CG132</f>
        <v>3072</v>
      </c>
      <c r="CI132" s="160">
        <v>3037</v>
      </c>
      <c r="CJ132" s="160">
        <v>2996</v>
      </c>
      <c r="CK132" s="160">
        <v>17832</v>
      </c>
      <c r="CL132" s="160">
        <v>21079</v>
      </c>
      <c r="CM132" s="130">
        <f>CL132</f>
        <v>21079</v>
      </c>
      <c r="CN132" s="160">
        <v>27648</v>
      </c>
      <c r="CO132" s="160">
        <v>77151</v>
      </c>
      <c r="CP132" s="160">
        <v>213022</v>
      </c>
      <c r="CQ132" s="160">
        <v>202080</v>
      </c>
      <c r="CR132" s="130">
        <f>CQ132</f>
        <v>202080</v>
      </c>
      <c r="CS132" s="160">
        <v>191548</v>
      </c>
      <c r="CT132" s="160">
        <v>186784</v>
      </c>
      <c r="CU132" s="160">
        <v>184270</v>
      </c>
      <c r="CV132" s="160">
        <v>181854</v>
      </c>
      <c r="CW132" s="130">
        <f>CV132</f>
        <v>181854</v>
      </c>
      <c r="CX132" s="160">
        <v>192760</v>
      </c>
      <c r="CY132" s="160">
        <v>187464</v>
      </c>
      <c r="CZ132" s="160">
        <v>165717</v>
      </c>
      <c r="DA132" s="160">
        <v>141949</v>
      </c>
      <c r="DB132" s="130">
        <f>DA132</f>
        <v>141949</v>
      </c>
      <c r="DC132" s="160">
        <v>133050</v>
      </c>
      <c r="DD132" s="160">
        <v>123003</v>
      </c>
      <c r="DE132" s="160">
        <v>106675</v>
      </c>
      <c r="DF132" s="160">
        <v>101661</v>
      </c>
      <c r="DG132" s="130">
        <f>DF132</f>
        <v>101661</v>
      </c>
      <c r="DH132" s="160">
        <v>12182</v>
      </c>
      <c r="DI132" s="160">
        <v>12183</v>
      </c>
      <c r="DJ132" s="114">
        <f>DI132</f>
        <v>12183</v>
      </c>
      <c r="DK132" s="114">
        <f>DJ132</f>
        <v>12183</v>
      </c>
      <c r="DL132" s="130">
        <f>DK132</f>
        <v>12183</v>
      </c>
      <c r="DM132" s="114">
        <f>DK132</f>
        <v>12183</v>
      </c>
      <c r="DN132" s="114">
        <f>DM132</f>
        <v>12183</v>
      </c>
      <c r="DO132" s="114">
        <f>DN132</f>
        <v>12183</v>
      </c>
      <c r="DP132" s="114">
        <f>DO132</f>
        <v>12183</v>
      </c>
      <c r="DQ132" s="130">
        <f>DP132</f>
        <v>12183</v>
      </c>
      <c r="DR132" s="114">
        <f>DP132</f>
        <v>12183</v>
      </c>
      <c r="DS132" s="114">
        <f>DR132</f>
        <v>12183</v>
      </c>
      <c r="DT132" s="114">
        <f>DS132</f>
        <v>12183</v>
      </c>
      <c r="DU132" s="114">
        <f>DT132</f>
        <v>12183</v>
      </c>
      <c r="DV132" s="130">
        <f>DU132</f>
        <v>12183</v>
      </c>
      <c r="DW132" s="114">
        <f>DU132</f>
        <v>12183</v>
      </c>
      <c r="DX132" s="114">
        <f>DW132</f>
        <v>12183</v>
      </c>
      <c r="DY132" s="114">
        <f>DX132</f>
        <v>12183</v>
      </c>
      <c r="DZ132" s="114">
        <f>DY132</f>
        <v>12183</v>
      </c>
      <c r="EA132" s="130">
        <f>DZ132</f>
        <v>12183</v>
      </c>
      <c r="EB132" s="114">
        <f>DZ132</f>
        <v>12183</v>
      </c>
      <c r="EC132" s="114">
        <f>EB132</f>
        <v>12183</v>
      </c>
      <c r="ED132" s="114">
        <f>EC132</f>
        <v>12183</v>
      </c>
      <c r="EE132" s="114">
        <f>ED132</f>
        <v>12183</v>
      </c>
      <c r="EF132" s="130">
        <f>EE132</f>
        <v>12183</v>
      </c>
    </row>
    <row r="133" spans="1:136">
      <c r="A133" s="66" t="s">
        <v>785</v>
      </c>
      <c r="Q133" s="307">
        <f>R133-'Income Statement'!Q13-'Income Statement'!Q84</f>
        <v>-30102.200612379158</v>
      </c>
      <c r="R133" s="307">
        <f>S133-'Income Statement'!R13-'Income Statement'!R84</f>
        <v>-21331.3758866711</v>
      </c>
      <c r="S133" s="307">
        <f>T133-'Income Statement'!S13-'Income Statement'!S84</f>
        <v>-12224.788300352111</v>
      </c>
      <c r="T133" s="307">
        <f>V133-'Income Statement'!T13-'Income Statement'!T84</f>
        <v>-674.05364105838817</v>
      </c>
      <c r="U133" s="130">
        <f>T133</f>
        <v>-674.05364105838817</v>
      </c>
      <c r="V133" s="307">
        <f>W133-'Income Statement'!V13-'Income Statement'!V84</f>
        <v>14877</v>
      </c>
      <c r="W133" s="307">
        <f>X133-'Income Statement'!W13-'Income Statement'!W84</f>
        <v>14877</v>
      </c>
      <c r="X133" s="307">
        <f>Y133-'Income Statement'!X13-'Income Statement'!X84</f>
        <v>14877</v>
      </c>
      <c r="Y133" s="307">
        <f>AA133-'Income Statement'!Y13-'Income Statement'!Y84</f>
        <v>19073</v>
      </c>
      <c r="Z133" s="130">
        <f>Y133</f>
        <v>19073</v>
      </c>
      <c r="AA133" s="307">
        <f>AB133-'Income Statement'!AA13-'Income Statement'!AA84</f>
        <v>43471</v>
      </c>
      <c r="AB133" s="307">
        <f>AC133-'Income Statement'!AB13-'Income Statement'!AB84</f>
        <v>45762</v>
      </c>
      <c r="AC133" s="307">
        <f>AD133-'Income Statement'!AC13-'Income Statement'!AC84</f>
        <v>46888</v>
      </c>
      <c r="AD133" s="169">
        <v>50843</v>
      </c>
      <c r="AE133" s="130">
        <f>AD133</f>
        <v>50843</v>
      </c>
      <c r="AF133" s="169">
        <v>51131</v>
      </c>
      <c r="AG133" s="169">
        <v>54513</v>
      </c>
      <c r="AH133" s="169">
        <v>63976</v>
      </c>
      <c r="AI133" s="160">
        <v>114510</v>
      </c>
      <c r="AJ133" s="130">
        <f>AI133</f>
        <v>114510</v>
      </c>
      <c r="AK133" s="169">
        <v>121956</v>
      </c>
      <c r="AL133" s="169">
        <v>135328</v>
      </c>
      <c r="AM133" s="160">
        <v>134935</v>
      </c>
      <c r="AN133" s="160">
        <v>177509</v>
      </c>
      <c r="AO133" s="130">
        <f>AN133</f>
        <v>177509</v>
      </c>
      <c r="AP133" s="160">
        <v>174167</v>
      </c>
      <c r="AQ133" s="160">
        <v>174669</v>
      </c>
      <c r="AR133" s="160">
        <v>168776</v>
      </c>
      <c r="AS133" s="160">
        <v>161933</v>
      </c>
      <c r="AT133" s="130">
        <f>AS133</f>
        <v>161933</v>
      </c>
      <c r="AU133" s="160">
        <v>173844</v>
      </c>
      <c r="AV133" s="160">
        <v>177435</v>
      </c>
      <c r="AW133" s="160">
        <v>180455</v>
      </c>
      <c r="AX133" s="160">
        <v>163151</v>
      </c>
      <c r="AY133" s="130">
        <f>AX133</f>
        <v>163151</v>
      </c>
      <c r="AZ133" s="160">
        <v>166899</v>
      </c>
      <c r="BA133" s="160">
        <v>166001</v>
      </c>
      <c r="BB133" s="160">
        <v>173127</v>
      </c>
      <c r="BC133" s="160">
        <v>166293</v>
      </c>
      <c r="BD133" s="130">
        <f>BC133</f>
        <v>166293</v>
      </c>
      <c r="BE133" s="160">
        <v>174258</v>
      </c>
      <c r="BF133" s="160">
        <v>188077</v>
      </c>
      <c r="BG133" s="160">
        <v>197869</v>
      </c>
      <c r="BH133" s="160">
        <v>201655</v>
      </c>
      <c r="BI133" s="130">
        <f>BH133</f>
        <v>201655</v>
      </c>
      <c r="BJ133" s="160">
        <v>198555</v>
      </c>
      <c r="BK133" s="160">
        <v>211916</v>
      </c>
      <c r="BL133" s="160">
        <v>215734</v>
      </c>
      <c r="BM133" s="160">
        <v>219194</v>
      </c>
      <c r="BN133" s="130">
        <f>BM133</f>
        <v>219194</v>
      </c>
      <c r="BO133" s="160">
        <v>223725</v>
      </c>
      <c r="BP133" s="169">
        <v>222839</v>
      </c>
      <c r="BQ133" s="160">
        <v>226266</v>
      </c>
      <c r="BR133" s="160">
        <v>217916</v>
      </c>
      <c r="BS133" s="130">
        <f>BR133</f>
        <v>217916</v>
      </c>
      <c r="BT133" s="160">
        <v>211954</v>
      </c>
      <c r="BU133" s="169">
        <v>201510</v>
      </c>
      <c r="BV133" s="160">
        <v>195200</v>
      </c>
      <c r="BW133" s="160">
        <v>179676</v>
      </c>
      <c r="BX133" s="130">
        <f>BW133</f>
        <v>179676</v>
      </c>
      <c r="BY133" s="160">
        <v>168481</v>
      </c>
      <c r="BZ133" s="169">
        <v>157535</v>
      </c>
      <c r="CA133" s="160">
        <v>140832</v>
      </c>
      <c r="CB133" s="160">
        <v>127328</v>
      </c>
      <c r="CC133" s="130">
        <f>CB133</f>
        <v>127328</v>
      </c>
      <c r="CD133" s="160">
        <v>121053</v>
      </c>
      <c r="CE133" s="169">
        <v>115012</v>
      </c>
      <c r="CF133" s="160">
        <v>91495</v>
      </c>
      <c r="CG133" s="160">
        <v>74272</v>
      </c>
      <c r="CH133" s="130">
        <f>CG133</f>
        <v>74272</v>
      </c>
      <c r="CI133" s="160">
        <v>70229</v>
      </c>
      <c r="CJ133" s="169">
        <v>67150</v>
      </c>
      <c r="CK133" s="160">
        <v>63939</v>
      </c>
      <c r="CL133" s="160">
        <v>83935</v>
      </c>
      <c r="CM133" s="130">
        <f>CL133</f>
        <v>83935</v>
      </c>
      <c r="CN133" s="160">
        <v>87627</v>
      </c>
      <c r="CO133" s="169">
        <v>89204</v>
      </c>
      <c r="CP133" s="160">
        <v>91840</v>
      </c>
      <c r="CQ133" s="160">
        <v>94046</v>
      </c>
      <c r="CR133" s="130">
        <f>CQ133</f>
        <v>94046</v>
      </c>
      <c r="CS133" s="160">
        <v>98085</v>
      </c>
      <c r="CT133" s="169">
        <v>101959</v>
      </c>
      <c r="CU133" s="160">
        <v>106351</v>
      </c>
      <c r="CV133" s="160">
        <v>113981</v>
      </c>
      <c r="CW133" s="130">
        <f>CV133</f>
        <v>113981</v>
      </c>
      <c r="CX133" s="160">
        <v>114064</v>
      </c>
      <c r="CY133" s="160">
        <v>117766</v>
      </c>
      <c r="CZ133" s="160">
        <v>118583</v>
      </c>
      <c r="DA133" s="160">
        <v>124331</v>
      </c>
      <c r="DB133" s="130">
        <f>DA133</f>
        <v>124331</v>
      </c>
      <c r="DC133" s="160">
        <v>135324</v>
      </c>
      <c r="DD133" s="160">
        <v>156539</v>
      </c>
      <c r="DE133" s="160">
        <v>165401</v>
      </c>
      <c r="DF133" s="160">
        <v>164750</v>
      </c>
      <c r="DG133" s="130">
        <f>DF133</f>
        <v>164750</v>
      </c>
      <c r="DH133" s="160">
        <v>173181</v>
      </c>
      <c r="DI133" s="160">
        <v>182523</v>
      </c>
      <c r="DJ133" s="114">
        <f>DI133+'Income Statement'!DJ13+'Income Statement'!DJ84</f>
        <v>190866.24829623083</v>
      </c>
      <c r="DK133" s="114">
        <f>DJ133+'Income Statement'!DK13+'Income Statement'!DK84</f>
        <v>191567.28686834613</v>
      </c>
      <c r="DL133" s="130">
        <f>DK133</f>
        <v>191567.28686834613</v>
      </c>
      <c r="DM133" s="114">
        <f>DK133+'Income Statement'!DM13+'Income Statement'!DM84</f>
        <v>197695.5082767572</v>
      </c>
      <c r="DN133" s="114">
        <f>DM133+'Income Statement'!DN13+'Income Statement'!DN84</f>
        <v>203413.36610494411</v>
      </c>
      <c r="DO133" s="114">
        <f>DN133+'Income Statement'!DO13+'Income Statement'!DO84</f>
        <v>206929.41665558526</v>
      </c>
      <c r="DP133" s="114">
        <f>DO133+'Income Statement'!DP13+'Income Statement'!DP84</f>
        <v>205004.25845129116</v>
      </c>
      <c r="DQ133" s="130">
        <f>DP133</f>
        <v>205004.25845129116</v>
      </c>
      <c r="DR133" s="114">
        <f>DP133+'Income Statement'!DR13+'Income Statement'!DR84</f>
        <v>224600.89373801305</v>
      </c>
      <c r="DS133" s="114">
        <f>DR133+'Income Statement'!DS13+'Income Statement'!DS84</f>
        <v>243184.19612618914</v>
      </c>
      <c r="DT133" s="114">
        <f>DS133+'Income Statement'!DT13+'Income Statement'!DT84</f>
        <v>259159.65782353992</v>
      </c>
      <c r="DU133" s="114">
        <f>DT133+'Income Statement'!DU13+'Income Statement'!DU84</f>
        <v>268656.88912150753</v>
      </c>
      <c r="DV133" s="130">
        <f>DU133</f>
        <v>268656.88912150753</v>
      </c>
      <c r="DW133" s="114">
        <f>DU133+'Income Statement'!DW13+'Income Statement'!DW84</f>
        <v>283216.17497524997</v>
      </c>
      <c r="DX133" s="114">
        <f>DW133+'Income Statement'!DX13+'Income Statement'!DX84</f>
        <v>297214.93236703612</v>
      </c>
      <c r="DY133" s="114">
        <f>DX133+'Income Statement'!DY13+'Income Statement'!DY84</f>
        <v>309081.26294665638</v>
      </c>
      <c r="DZ133" s="114">
        <f>DY133+'Income Statement'!DZ13+'Income Statement'!DZ84</f>
        <v>314170.12495800527</v>
      </c>
      <c r="EA133" s="130">
        <f>DZ133</f>
        <v>314170.12495800527</v>
      </c>
      <c r="EB133" s="114">
        <f>DZ133+'Income Statement'!EB13+'Income Statement'!EB84</f>
        <v>325758.37087842927</v>
      </c>
      <c r="EC133" s="114">
        <f>EB133+'Income Statement'!EC13+'Income Statement'!EC84</f>
        <v>336964.37441429251</v>
      </c>
      <c r="ED133" s="114">
        <f>EC133+'Income Statement'!ED13+'Income Statement'!ED84</f>
        <v>346271.3814493859</v>
      </c>
      <c r="EE133" s="114">
        <f>ED133+'Income Statement'!EE13+'Income Statement'!EE84</f>
        <v>348526.82078433945</v>
      </c>
      <c r="EF133" s="130">
        <f>EE133</f>
        <v>348526.82078433945</v>
      </c>
    </row>
    <row r="134" spans="1:136">
      <c r="A134" s="66" t="s">
        <v>786</v>
      </c>
      <c r="Q134" s="307">
        <f>156594-45861</f>
        <v>110733</v>
      </c>
      <c r="R134" s="307">
        <f>156594-45861</f>
        <v>110733</v>
      </c>
      <c r="S134" s="307">
        <f>156594-45861</f>
        <v>110733</v>
      </c>
      <c r="T134" s="307">
        <f>156594-45861</f>
        <v>110733</v>
      </c>
      <c r="U134" s="130">
        <f>T134</f>
        <v>110733</v>
      </c>
      <c r="V134" s="307">
        <f>156594-45861</f>
        <v>110733</v>
      </c>
      <c r="W134" s="307">
        <f>156594-45861</f>
        <v>110733</v>
      </c>
      <c r="X134" s="307">
        <f>156594-45861</f>
        <v>110733</v>
      </c>
      <c r="Y134" s="307">
        <f>156594-45861</f>
        <v>110733</v>
      </c>
      <c r="Z134" s="130">
        <f>Y134</f>
        <v>110733</v>
      </c>
      <c r="AA134" s="307">
        <v>74535</v>
      </c>
      <c r="AB134" s="307">
        <f>156594-45861</f>
        <v>110733</v>
      </c>
      <c r="AC134" s="307">
        <f>156594-45861</f>
        <v>110733</v>
      </c>
      <c r="AD134" s="169">
        <v>110733</v>
      </c>
      <c r="AE134" s="130">
        <f>AD134</f>
        <v>110733</v>
      </c>
      <c r="AF134" s="169">
        <v>123337</v>
      </c>
      <c r="AG134" s="169">
        <v>130625</v>
      </c>
      <c r="AH134" s="169">
        <v>132004</v>
      </c>
      <c r="AI134" s="160">
        <v>140095</v>
      </c>
      <c r="AJ134" s="130">
        <f>AI134</f>
        <v>140095</v>
      </c>
      <c r="AK134" s="169">
        <v>133382</v>
      </c>
      <c r="AL134" s="169">
        <v>132881</v>
      </c>
      <c r="AM134" s="160">
        <v>151238</v>
      </c>
      <c r="AN134" s="160">
        <v>161370</v>
      </c>
      <c r="AO134" s="130">
        <f>AN134</f>
        <v>161370</v>
      </c>
      <c r="AP134" s="160">
        <v>156879</v>
      </c>
      <c r="AQ134" s="160">
        <v>156203</v>
      </c>
      <c r="AR134" s="160">
        <v>144056</v>
      </c>
      <c r="AS134" s="160">
        <v>136646</v>
      </c>
      <c r="AT134" s="130">
        <f>AS134</f>
        <v>136646</v>
      </c>
      <c r="AU134" s="160">
        <v>136435</v>
      </c>
      <c r="AV134" s="160">
        <v>126439</v>
      </c>
      <c r="AW134" s="160">
        <f>422352-292600</f>
        <v>129752</v>
      </c>
      <c r="AX134" s="160">
        <f>441698-309954</f>
        <v>131744</v>
      </c>
      <c r="AY134" s="130">
        <f>AX134</f>
        <v>131744</v>
      </c>
      <c r="AZ134" s="160">
        <f>467932-328540</f>
        <v>139392</v>
      </c>
      <c r="BA134" s="160">
        <f>487188-343255</f>
        <v>143933</v>
      </c>
      <c r="BB134" s="160">
        <v>142602</v>
      </c>
      <c r="BC134" s="160">
        <v>150253</v>
      </c>
      <c r="BD134" s="130">
        <f>BC134</f>
        <v>150253</v>
      </c>
      <c r="BE134" s="160">
        <v>147585</v>
      </c>
      <c r="BF134" s="160">
        <v>144481</v>
      </c>
      <c r="BG134" s="160">
        <v>131580</v>
      </c>
      <c r="BH134" s="160">
        <v>123123</v>
      </c>
      <c r="BI134" s="130">
        <f>BH134</f>
        <v>123123</v>
      </c>
      <c r="BJ134" s="160">
        <v>99362</v>
      </c>
      <c r="BK134" s="160">
        <v>94332</v>
      </c>
      <c r="BL134" s="160">
        <v>76990</v>
      </c>
      <c r="BM134" s="160">
        <v>63695</v>
      </c>
      <c r="BN134" s="130">
        <f>BM134</f>
        <v>63695</v>
      </c>
      <c r="BO134" s="160">
        <v>50136</v>
      </c>
      <c r="BP134" s="160">
        <v>44444</v>
      </c>
      <c r="BQ134" s="160">
        <v>38662</v>
      </c>
      <c r="BR134" s="160">
        <v>37659</v>
      </c>
      <c r="BS134" s="130">
        <f>BR134</f>
        <v>37659</v>
      </c>
      <c r="BT134" s="160">
        <v>35849</v>
      </c>
      <c r="BU134" s="160">
        <v>31842</v>
      </c>
      <c r="BV134" s="160">
        <v>40464</v>
      </c>
      <c r="BW134" s="160">
        <v>52375</v>
      </c>
      <c r="BX134" s="130">
        <f>BW134</f>
        <v>52375</v>
      </c>
      <c r="BY134" s="160">
        <v>45562</v>
      </c>
      <c r="BZ134" s="160">
        <v>50646</v>
      </c>
      <c r="CA134" s="160">
        <v>59435</v>
      </c>
      <c r="CB134" s="160">
        <v>67219</v>
      </c>
      <c r="CC134" s="130">
        <f>CB134</f>
        <v>67219</v>
      </c>
      <c r="CD134" s="160">
        <v>66889</v>
      </c>
      <c r="CE134" s="160">
        <v>57733</v>
      </c>
      <c r="CF134" s="160">
        <v>48728</v>
      </c>
      <c r="CG134" s="160">
        <v>53230</v>
      </c>
      <c r="CH134" s="130">
        <f>CG134</f>
        <v>53230</v>
      </c>
      <c r="CI134" s="160">
        <v>52530</v>
      </c>
      <c r="CJ134" s="160">
        <v>63670</v>
      </c>
      <c r="CK134" s="160">
        <v>71666</v>
      </c>
      <c r="CL134" s="160">
        <v>78724</v>
      </c>
      <c r="CM134" s="130">
        <f>CL134</f>
        <v>78724</v>
      </c>
      <c r="CN134" s="160">
        <v>80853</v>
      </c>
      <c r="CO134" s="160">
        <v>90556</v>
      </c>
      <c r="CP134" s="160">
        <v>95160</v>
      </c>
      <c r="CQ134" s="160">
        <v>80343</v>
      </c>
      <c r="CR134" s="130">
        <f>CQ134</f>
        <v>80343</v>
      </c>
      <c r="CS134" s="160">
        <v>94074</v>
      </c>
      <c r="CT134" s="160">
        <v>97323</v>
      </c>
      <c r="CU134" s="160">
        <v>107051</v>
      </c>
      <c r="CV134" s="160">
        <v>88347</v>
      </c>
      <c r="CW134" s="130">
        <f>CV134</f>
        <v>88347</v>
      </c>
      <c r="CX134" s="160">
        <v>82877</v>
      </c>
      <c r="CY134" s="160">
        <v>87896</v>
      </c>
      <c r="CZ134" s="160">
        <v>102197</v>
      </c>
      <c r="DA134" s="160">
        <v>135783</v>
      </c>
      <c r="DB134" s="130">
        <f>DA134</f>
        <v>135783</v>
      </c>
      <c r="DC134" s="160">
        <v>136052</v>
      </c>
      <c r="DD134" s="160">
        <v>150567</v>
      </c>
      <c r="DE134" s="160">
        <v>166928</v>
      </c>
      <c r="DF134" s="160">
        <v>182747</v>
      </c>
      <c r="DG134" s="130">
        <f>DF134</f>
        <v>182747</v>
      </c>
      <c r="DH134" s="160">
        <v>148026</v>
      </c>
      <c r="DI134" s="160">
        <v>130764</v>
      </c>
      <c r="DJ134" s="114">
        <f>DI134*DJ22/DI22</f>
        <v>131612.39977894942</v>
      </c>
      <c r="DK134" s="114">
        <f>DJ134*DK22/DJ22</f>
        <v>132466.09704580609</v>
      </c>
      <c r="DL134" s="130">
        <f>DK134</f>
        <v>132466.09704580609</v>
      </c>
      <c r="DM134" s="114">
        <f>DL134*DM22/DL22</f>
        <v>133325.12487858211</v>
      </c>
      <c r="DN134" s="114">
        <f>DM134*DN22/DM22</f>
        <v>134189.51656183178</v>
      </c>
      <c r="DO134" s="114">
        <f>DN134*DO22/DN22</f>
        <v>135059.30558794123</v>
      </c>
      <c r="DP134" s="114">
        <f>DO134*DP22/DO22</f>
        <v>135934.52565842625</v>
      </c>
      <c r="DQ134" s="130">
        <f>DP134</f>
        <v>135934.52565842625</v>
      </c>
      <c r="DR134" s="114">
        <f>DQ134*DR22/DQ22</f>
        <v>136815.21068523807</v>
      </c>
      <c r="DS134" s="114">
        <f>DR134*DS22/DR22</f>
        <v>137701.39479207725</v>
      </c>
      <c r="DT134" s="114">
        <f>DS134*DT22/DS22</f>
        <v>138593.11231571602</v>
      </c>
      <c r="DU134" s="114">
        <f>DT134*DU22/DT22</f>
        <v>139490.39780732861</v>
      </c>
      <c r="DV134" s="130">
        <f>DU134</f>
        <v>139490.39780732861</v>
      </c>
      <c r="DW134" s="114">
        <f>DV134*DW22/DV22</f>
        <v>140393.28603383002</v>
      </c>
      <c r="DX134" s="114">
        <f>DW134*DX22/DW22</f>
        <v>141301.81197922319</v>
      </c>
      <c r="DY134" s="114">
        <f>DX134*DY22/DX22</f>
        <v>142216.01084595436</v>
      </c>
      <c r="DZ134" s="114">
        <f>DY134*DZ22/DY22</f>
        <v>143135.91805627721</v>
      </c>
      <c r="EA134" s="130">
        <f>DZ134</f>
        <v>143135.91805627721</v>
      </c>
      <c r="EB134" s="114">
        <f>EA134*EB22/EA22</f>
        <v>144061.56925362529</v>
      </c>
      <c r="EC134" s="114">
        <f>EB134*EC22/EB22</f>
        <v>144993.00030399312</v>
      </c>
      <c r="ED134" s="114">
        <f>EC134*ED22/EC22</f>
        <v>145930.24729732584</v>
      </c>
      <c r="EE134" s="114">
        <f>ED134*EE22/ED22</f>
        <v>146873.34654891759</v>
      </c>
      <c r="EF134" s="130">
        <f>EE134</f>
        <v>146873.34654891759</v>
      </c>
    </row>
    <row r="135" spans="1:136">
      <c r="A135" s="66" t="s">
        <v>977</v>
      </c>
      <c r="AD135" s="114"/>
      <c r="AE135" s="130"/>
      <c r="AF135" s="114"/>
      <c r="AG135" s="114"/>
      <c r="AH135" s="114"/>
      <c r="AI135" s="114"/>
      <c r="AJ135" s="130"/>
      <c r="AK135" s="114"/>
      <c r="AL135" s="114"/>
      <c r="AM135" s="114"/>
      <c r="AN135" s="114"/>
      <c r="AO135" s="130"/>
      <c r="AP135" s="114"/>
      <c r="AQ135" s="114"/>
      <c r="AR135" s="114"/>
      <c r="AS135" s="114"/>
      <c r="AT135" s="130"/>
      <c r="AU135" s="114"/>
      <c r="AV135" s="114"/>
      <c r="AW135" s="114"/>
      <c r="AX135" s="114"/>
      <c r="AY135" s="130"/>
      <c r="AZ135" s="114"/>
      <c r="BA135" s="114"/>
      <c r="BB135" s="114"/>
      <c r="BC135" s="114"/>
      <c r="BD135" s="130"/>
      <c r="BE135" s="114"/>
      <c r="BF135" s="114"/>
      <c r="BG135" s="114"/>
      <c r="BH135" s="114"/>
      <c r="BI135" s="130"/>
      <c r="BJ135" s="114"/>
      <c r="BK135" s="114"/>
      <c r="BL135" s="114"/>
      <c r="BM135" s="114"/>
      <c r="BN135" s="130"/>
      <c r="BO135" s="114"/>
      <c r="BP135" s="114"/>
      <c r="BQ135" s="114"/>
      <c r="BR135" s="114"/>
      <c r="BS135" s="130"/>
      <c r="BT135" s="114"/>
      <c r="BU135" s="114"/>
      <c r="BV135" s="114"/>
      <c r="BW135" s="114"/>
      <c r="BX135" s="130"/>
      <c r="BY135" s="114"/>
      <c r="BZ135" s="114"/>
      <c r="CA135" s="114"/>
      <c r="CB135" s="114"/>
      <c r="CC135" s="130"/>
      <c r="CD135" s="114"/>
      <c r="CE135" s="114"/>
      <c r="CF135" s="114"/>
      <c r="CG135" s="114"/>
      <c r="CH135" s="130">
        <f>CG135</f>
        <v>0</v>
      </c>
      <c r="CI135" s="114"/>
      <c r="CJ135" s="114"/>
      <c r="CK135" s="114"/>
      <c r="CL135" s="114"/>
      <c r="CM135" s="130">
        <f>CL135</f>
        <v>0</v>
      </c>
      <c r="CN135" s="114"/>
      <c r="CO135" s="114"/>
      <c r="CP135" s="114"/>
      <c r="CQ135" s="114"/>
      <c r="CR135" s="130">
        <f>CQ135</f>
        <v>0</v>
      </c>
      <c r="CS135" s="114"/>
      <c r="CT135" s="114"/>
      <c r="CU135" s="114"/>
      <c r="CV135" s="114"/>
      <c r="CW135" s="130">
        <f>CV135</f>
        <v>0</v>
      </c>
      <c r="CX135" s="114"/>
      <c r="CY135" s="114"/>
      <c r="CZ135" s="114"/>
      <c r="DA135" s="307">
        <f t="shared" ref="DA135:DI135" si="407">CZ135</f>
        <v>0</v>
      </c>
      <c r="DB135" s="130">
        <f>DA135</f>
        <v>0</v>
      </c>
      <c r="DC135" s="114"/>
      <c r="DD135" s="114"/>
      <c r="DE135" s="114"/>
      <c r="DF135" s="307">
        <f t="shared" si="407"/>
        <v>0</v>
      </c>
      <c r="DG135" s="130">
        <f>DF135</f>
        <v>0</v>
      </c>
      <c r="DH135" s="307">
        <f t="shared" si="407"/>
        <v>0</v>
      </c>
      <c r="DI135" s="307">
        <f t="shared" si="407"/>
        <v>0</v>
      </c>
      <c r="DJ135" s="307">
        <f>DI135</f>
        <v>0</v>
      </c>
      <c r="DK135" s="307">
        <f>DJ135</f>
        <v>0</v>
      </c>
      <c r="DL135" s="130">
        <f>DK135</f>
        <v>0</v>
      </c>
      <c r="DM135" s="307">
        <f>DL135</f>
        <v>0</v>
      </c>
      <c r="DN135" s="307">
        <f>DM135</f>
        <v>0</v>
      </c>
      <c r="DO135" s="307">
        <f>DN135</f>
        <v>0</v>
      </c>
      <c r="DP135" s="307">
        <f>DO135</f>
        <v>0</v>
      </c>
      <c r="DQ135" s="130">
        <f>DP135</f>
        <v>0</v>
      </c>
      <c r="DR135" s="307">
        <f>DQ135</f>
        <v>0</v>
      </c>
      <c r="DS135" s="307">
        <f>DR135</f>
        <v>0</v>
      </c>
      <c r="DT135" s="307">
        <f>DS135</f>
        <v>0</v>
      </c>
      <c r="DU135" s="307">
        <f>DT135</f>
        <v>0</v>
      </c>
      <c r="DV135" s="130">
        <f>DU135</f>
        <v>0</v>
      </c>
      <c r="DW135" s="307">
        <f>DV135</f>
        <v>0</v>
      </c>
      <c r="DX135" s="307">
        <f>DW135</f>
        <v>0</v>
      </c>
      <c r="DY135" s="307">
        <f>DX135</f>
        <v>0</v>
      </c>
      <c r="DZ135" s="307">
        <f>DY135</f>
        <v>0</v>
      </c>
      <c r="EA135" s="130">
        <f>DZ135</f>
        <v>0</v>
      </c>
      <c r="EB135" s="307">
        <f>EA135</f>
        <v>0</v>
      </c>
      <c r="EC135" s="307">
        <f>EB135</f>
        <v>0</v>
      </c>
      <c r="ED135" s="307">
        <f>EC135</f>
        <v>0</v>
      </c>
      <c r="EE135" s="307">
        <f>ED135</f>
        <v>0</v>
      </c>
      <c r="EF135" s="130">
        <f>EE135</f>
        <v>0</v>
      </c>
    </row>
    <row r="136" spans="1:136" outlineLevel="1">
      <c r="AD136" s="114"/>
      <c r="AE136" s="130"/>
      <c r="AF136" s="114"/>
      <c r="AG136" s="114"/>
      <c r="AH136" s="114"/>
      <c r="AI136" s="114"/>
      <c r="AJ136" s="130"/>
      <c r="AK136" s="114"/>
      <c r="AL136" s="114"/>
      <c r="AM136" s="114"/>
      <c r="AN136" s="114"/>
      <c r="AO136" s="130"/>
      <c r="AP136" s="114"/>
      <c r="AQ136" s="114"/>
      <c r="AR136" s="114"/>
      <c r="AS136" s="114"/>
      <c r="AT136" s="130"/>
      <c r="AU136" s="114"/>
      <c r="AV136" s="114"/>
      <c r="AW136" s="114"/>
      <c r="AX136" s="114"/>
      <c r="AY136" s="130"/>
      <c r="AZ136" s="114"/>
      <c r="BA136" s="114"/>
      <c r="BB136" s="114"/>
      <c r="BC136" s="114"/>
      <c r="BD136" s="130"/>
      <c r="BE136" s="114"/>
      <c r="BF136" s="114"/>
      <c r="BG136" s="114"/>
      <c r="BH136" s="114"/>
      <c r="BI136" s="130"/>
      <c r="BJ136" s="114"/>
      <c r="BK136" s="114"/>
      <c r="BL136" s="114"/>
      <c r="BM136" s="114"/>
      <c r="BN136" s="130"/>
      <c r="BO136" s="114"/>
      <c r="BP136" s="114"/>
      <c r="BQ136" s="114"/>
      <c r="BR136" s="114"/>
      <c r="BS136" s="130"/>
      <c r="BT136" s="114"/>
      <c r="BU136" s="114"/>
      <c r="BV136" s="114"/>
      <c r="BW136" s="114"/>
      <c r="BX136" s="130"/>
      <c r="BY136" s="114"/>
      <c r="BZ136" s="114"/>
      <c r="CA136" s="114"/>
      <c r="CB136" s="114"/>
      <c r="CC136" s="130"/>
      <c r="CD136" s="114"/>
      <c r="CE136" s="114"/>
      <c r="CF136" s="114"/>
      <c r="CG136" s="114"/>
      <c r="CH136" s="130"/>
      <c r="CI136" s="114"/>
      <c r="CJ136" s="114"/>
      <c r="CK136" s="114"/>
      <c r="CL136" s="114"/>
      <c r="CM136" s="130"/>
      <c r="CN136" s="114"/>
      <c r="CO136" s="114"/>
      <c r="CP136" s="114"/>
      <c r="CQ136" s="114"/>
      <c r="CR136" s="130"/>
      <c r="CS136" s="114"/>
      <c r="CT136" s="114"/>
      <c r="CU136" s="114"/>
      <c r="CV136" s="114"/>
      <c r="CW136" s="130"/>
      <c r="CX136" s="114"/>
      <c r="CY136" s="114"/>
      <c r="CZ136" s="114"/>
      <c r="DA136" s="114"/>
      <c r="DB136" s="130"/>
      <c r="DC136" s="114"/>
      <c r="DD136" s="114"/>
      <c r="DE136" s="114"/>
      <c r="DF136" s="114"/>
      <c r="DG136" s="130"/>
      <c r="DH136" s="114"/>
      <c r="DI136" s="114"/>
      <c r="DJ136" s="114"/>
      <c r="DK136" s="114"/>
      <c r="DL136" s="130"/>
      <c r="DM136" s="114"/>
      <c r="DN136" s="114"/>
      <c r="DO136" s="114"/>
      <c r="DP136" s="114"/>
      <c r="DQ136" s="130"/>
      <c r="DR136" s="114"/>
      <c r="DS136" s="114"/>
      <c r="DT136" s="114"/>
      <c r="DU136" s="114"/>
      <c r="DV136" s="130"/>
      <c r="DW136" s="114"/>
      <c r="DX136" s="114"/>
      <c r="DY136" s="114"/>
      <c r="DZ136" s="114"/>
      <c r="EA136" s="130"/>
      <c r="EB136" s="114"/>
      <c r="EC136" s="114"/>
      <c r="ED136" s="114"/>
      <c r="EE136" s="114"/>
      <c r="EF136" s="130"/>
    </row>
    <row r="137" spans="1:136" outlineLevel="1">
      <c r="CH137" s="67"/>
      <c r="CM137" s="67"/>
      <c r="CR137" s="67"/>
      <c r="CW137" s="67"/>
      <c r="DB137" s="67"/>
      <c r="DG137" s="67"/>
      <c r="DL137" s="67"/>
      <c r="DQ137" s="67"/>
      <c r="DV137" s="67"/>
      <c r="EA137" s="67"/>
      <c r="EF137" s="67"/>
    </row>
    <row r="138" spans="1:136">
      <c r="A138" s="66" t="s">
        <v>782</v>
      </c>
      <c r="B138" s="114">
        <f t="shared" ref="B138:BM138" si="408">SUM(B139:B144)</f>
        <v>682708</v>
      </c>
      <c r="C138" s="114">
        <f t="shared" si="408"/>
        <v>616845</v>
      </c>
      <c r="D138" s="114">
        <f t="shared" si="408"/>
        <v>642426</v>
      </c>
      <c r="E138" s="114">
        <f t="shared" si="408"/>
        <v>1312288</v>
      </c>
      <c r="F138" s="130">
        <f t="shared" si="408"/>
        <v>1312288</v>
      </c>
      <c r="G138" s="114">
        <f t="shared" si="408"/>
        <v>1368446</v>
      </c>
      <c r="H138" s="114">
        <f t="shared" si="408"/>
        <v>1372681</v>
      </c>
      <c r="I138" s="114">
        <f t="shared" si="408"/>
        <v>1751937</v>
      </c>
      <c r="J138" s="114">
        <f t="shared" si="408"/>
        <v>1775189</v>
      </c>
      <c r="K138" s="130">
        <f t="shared" si="408"/>
        <v>1775189</v>
      </c>
      <c r="L138" s="114">
        <f t="shared" si="408"/>
        <v>1883871</v>
      </c>
      <c r="M138" s="114">
        <f t="shared" si="408"/>
        <v>2069342</v>
      </c>
      <c r="N138" s="114">
        <f t="shared" si="408"/>
        <v>2773257</v>
      </c>
      <c r="O138" s="114">
        <f t="shared" si="408"/>
        <v>3042485</v>
      </c>
      <c r="P138" s="106">
        <f t="shared" si="408"/>
        <v>3042485</v>
      </c>
      <c r="Q138" s="114">
        <f t="shared" si="408"/>
        <v>3245509.2006123792</v>
      </c>
      <c r="R138" s="114">
        <f t="shared" si="408"/>
        <v>3648746.3758866712</v>
      </c>
      <c r="S138" s="114">
        <f t="shared" si="408"/>
        <v>3893310.7883003522</v>
      </c>
      <c r="T138" s="114">
        <f t="shared" si="408"/>
        <v>4554530.0536410585</v>
      </c>
      <c r="U138" s="106">
        <f t="shared" si="408"/>
        <v>4554530.0536410585</v>
      </c>
      <c r="V138" s="114">
        <f t="shared" si="408"/>
        <v>4935582</v>
      </c>
      <c r="W138" s="114">
        <f t="shared" si="408"/>
        <v>5403939</v>
      </c>
      <c r="X138" s="114">
        <f t="shared" si="408"/>
        <v>5940780</v>
      </c>
      <c r="Y138" s="114">
        <f t="shared" si="408"/>
        <v>7361476</v>
      </c>
      <c r="Z138" s="106">
        <f t="shared" si="408"/>
        <v>7361476</v>
      </c>
      <c r="AA138" s="114">
        <f t="shared" si="408"/>
        <v>7572476</v>
      </c>
      <c r="AB138" s="114">
        <f t="shared" si="408"/>
        <v>7649738</v>
      </c>
      <c r="AC138" s="114">
        <f t="shared" si="408"/>
        <v>8616327</v>
      </c>
      <c r="AD138" s="114">
        <f t="shared" si="408"/>
        <v>10316278</v>
      </c>
      <c r="AE138" s="106">
        <f t="shared" si="408"/>
        <v>10316278</v>
      </c>
      <c r="AF138" s="114">
        <f t="shared" si="408"/>
        <v>10648293</v>
      </c>
      <c r="AG138" s="114">
        <f t="shared" si="408"/>
        <v>10993364</v>
      </c>
      <c r="AH138" s="114">
        <f t="shared" si="408"/>
        <v>11361417</v>
      </c>
      <c r="AI138" s="114">
        <f t="shared" si="408"/>
        <v>11751037</v>
      </c>
      <c r="AJ138" s="106">
        <f t="shared" si="408"/>
        <v>11751037</v>
      </c>
      <c r="AK138" s="114">
        <f t="shared" si="408"/>
        <v>12203814</v>
      </c>
      <c r="AL138" s="114">
        <f t="shared" si="408"/>
        <v>12636470</v>
      </c>
      <c r="AM138" s="114">
        <f t="shared" si="408"/>
        <v>13184515</v>
      </c>
      <c r="AN138" s="114">
        <f>SUM(AN139:AN144)</f>
        <v>13285937</v>
      </c>
      <c r="AO138" s="106">
        <f t="shared" si="408"/>
        <v>13285937</v>
      </c>
      <c r="AP138" s="114">
        <f t="shared" si="408"/>
        <v>13183028</v>
      </c>
      <c r="AQ138" s="114">
        <f t="shared" si="408"/>
        <v>13257838</v>
      </c>
      <c r="AR138" s="114">
        <f t="shared" si="408"/>
        <v>13292773</v>
      </c>
      <c r="AS138" s="114">
        <f t="shared" si="408"/>
        <v>13299621</v>
      </c>
      <c r="AT138" s="106">
        <f t="shared" si="408"/>
        <v>13299621</v>
      </c>
      <c r="AU138" s="114">
        <f t="shared" si="408"/>
        <v>13571780</v>
      </c>
      <c r="AV138" s="114">
        <f t="shared" si="408"/>
        <v>13300316</v>
      </c>
      <c r="AW138" s="114">
        <f t="shared" si="408"/>
        <v>13712550</v>
      </c>
      <c r="AX138" s="114">
        <f t="shared" si="408"/>
        <v>14075888</v>
      </c>
      <c r="AY138" s="106">
        <f t="shared" si="408"/>
        <v>14075888</v>
      </c>
      <c r="AZ138" s="114">
        <f t="shared" si="408"/>
        <v>14094507</v>
      </c>
      <c r="BA138" s="114">
        <f t="shared" si="408"/>
        <v>13572519</v>
      </c>
      <c r="BB138" s="114">
        <f t="shared" si="408"/>
        <v>13633154</v>
      </c>
      <c r="BC138" s="114">
        <f t="shared" si="408"/>
        <v>13075343</v>
      </c>
      <c r="BD138" s="106">
        <f t="shared" si="408"/>
        <v>13075343</v>
      </c>
      <c r="BE138" s="114">
        <f t="shared" si="408"/>
        <v>12976322</v>
      </c>
      <c r="BF138" s="114">
        <f t="shared" si="408"/>
        <v>12949400</v>
      </c>
      <c r="BG138" s="114">
        <f t="shared" si="408"/>
        <v>13062215</v>
      </c>
      <c r="BH138" s="114">
        <f t="shared" si="408"/>
        <v>12386636</v>
      </c>
      <c r="BI138" s="106">
        <f t="shared" si="408"/>
        <v>12386636</v>
      </c>
      <c r="BJ138" s="114">
        <f t="shared" si="408"/>
        <v>12354932</v>
      </c>
      <c r="BK138" s="114">
        <f t="shared" si="408"/>
        <v>11923040</v>
      </c>
      <c r="BL138" s="114">
        <f t="shared" si="408"/>
        <v>11773176</v>
      </c>
      <c r="BM138" s="114">
        <f t="shared" si="408"/>
        <v>11583741</v>
      </c>
      <c r="BN138" s="106">
        <f t="shared" ref="BN138:CC138" si="409">SUM(BN139:BN144)</f>
        <v>11583741</v>
      </c>
      <c r="BO138" s="114">
        <f t="shared" si="409"/>
        <v>11654040</v>
      </c>
      <c r="BP138" s="114">
        <f t="shared" si="409"/>
        <v>11070761</v>
      </c>
      <c r="BQ138" s="114">
        <f t="shared" si="409"/>
        <v>10663808</v>
      </c>
      <c r="BR138" s="114">
        <f t="shared" si="409"/>
        <v>10143191</v>
      </c>
      <c r="BS138" s="106">
        <f t="shared" si="409"/>
        <v>10143191</v>
      </c>
      <c r="BT138" s="114">
        <f t="shared" si="409"/>
        <v>9401578</v>
      </c>
      <c r="BU138" s="114">
        <f>SUM(BU139:BU144)</f>
        <v>9773549</v>
      </c>
      <c r="BV138" s="114">
        <f t="shared" si="409"/>
        <v>10258988</v>
      </c>
      <c r="BW138" s="114">
        <f t="shared" si="409"/>
        <v>9592795</v>
      </c>
      <c r="BX138" s="106">
        <f t="shared" si="409"/>
        <v>9592795</v>
      </c>
      <c r="BY138" s="114">
        <f t="shared" si="409"/>
        <v>9524259</v>
      </c>
      <c r="BZ138" s="114">
        <f t="shared" si="409"/>
        <v>9560242</v>
      </c>
      <c r="CA138" s="114">
        <f>SUM(CA139:CA144)</f>
        <v>9767469</v>
      </c>
      <c r="CB138" s="114">
        <f t="shared" si="409"/>
        <v>9789813</v>
      </c>
      <c r="CC138" s="106">
        <f t="shared" si="409"/>
        <v>9789813</v>
      </c>
      <c r="CD138" s="114">
        <f>SUM(CD139:CD144)</f>
        <v>10099522</v>
      </c>
      <c r="CE138" s="114">
        <f>SUM(CE139:CE144)</f>
        <v>10732758</v>
      </c>
      <c r="CF138" s="114">
        <f>SUM(CF139:CF144)</f>
        <v>11248457</v>
      </c>
      <c r="CG138" s="114">
        <f>SUM(CG139:CG144)</f>
        <v>11303352</v>
      </c>
      <c r="CH138" s="106">
        <f t="shared" ref="CH138:DG138" si="410">SUM(CH139:CH144)</f>
        <v>11303352</v>
      </c>
      <c r="CI138" s="114">
        <f t="shared" si="410"/>
        <v>11531278</v>
      </c>
      <c r="CJ138" s="114">
        <f t="shared" si="410"/>
        <v>12242842</v>
      </c>
      <c r="CK138" s="114">
        <f t="shared" si="410"/>
        <v>13009530</v>
      </c>
      <c r="CL138" s="114">
        <f t="shared" si="410"/>
        <v>13657432</v>
      </c>
      <c r="CM138" s="106">
        <f t="shared" si="410"/>
        <v>13657432</v>
      </c>
      <c r="CN138" s="114">
        <f>SUM(CN139:CN144)</f>
        <v>14020958</v>
      </c>
      <c r="CO138" s="114">
        <f>SUM(CO139:CO144)</f>
        <v>14486351</v>
      </c>
      <c r="CP138" s="114">
        <f>SUM(CP139:CP144)</f>
        <v>15285494</v>
      </c>
      <c r="CQ138" s="114">
        <f t="shared" si="410"/>
        <v>16183670</v>
      </c>
      <c r="CR138" s="106">
        <f t="shared" si="410"/>
        <v>16183670</v>
      </c>
      <c r="CS138" s="114">
        <f t="shared" si="410"/>
        <v>15937433</v>
      </c>
      <c r="CT138" s="114">
        <f t="shared" si="410"/>
        <v>16439083</v>
      </c>
      <c r="CU138" s="114">
        <f t="shared" si="410"/>
        <v>16625577</v>
      </c>
      <c r="CV138" s="114">
        <f>SUM(CV139:CV144)</f>
        <v>16987018</v>
      </c>
      <c r="CW138" s="106">
        <f t="shared" si="410"/>
        <v>16987018</v>
      </c>
      <c r="CX138" s="114">
        <f>SUM(CX139:CX144)</f>
        <v>17072958</v>
      </c>
      <c r="CY138" s="114">
        <f t="shared" si="410"/>
        <v>17866910</v>
      </c>
      <c r="CZ138" s="114">
        <f t="shared" ref="CZ138" si="411">SUM(CZ139:CZ144)</f>
        <v>19187508</v>
      </c>
      <c r="DA138" s="114">
        <f t="shared" si="410"/>
        <v>20838899</v>
      </c>
      <c r="DB138" s="106">
        <f t="shared" si="410"/>
        <v>20838899</v>
      </c>
      <c r="DC138" s="114">
        <f t="shared" si="410"/>
        <v>21443289</v>
      </c>
      <c r="DD138" s="114">
        <f t="shared" ref="DD138:DE138" si="412">SUM(DD139:DD144)</f>
        <v>22984678</v>
      </c>
      <c r="DE138" s="114">
        <f t="shared" si="412"/>
        <v>24511410</v>
      </c>
      <c r="DF138" s="114">
        <f t="shared" si="410"/>
        <v>25660659</v>
      </c>
      <c r="DG138" s="106">
        <f t="shared" si="410"/>
        <v>25660659</v>
      </c>
      <c r="DH138" s="114">
        <f>SUM(DH139:DH144)</f>
        <v>26380701</v>
      </c>
      <c r="DI138" s="114">
        <f>SUM(DI139:DI144)</f>
        <v>27415425</v>
      </c>
      <c r="DJ138" s="114">
        <f ca="1">SUM(DJ139:DJ144)</f>
        <v>27723840.002386861</v>
      </c>
      <c r="DK138" s="114">
        <f ca="1">SUM(DK139:DK144)</f>
        <v>28102380.305460937</v>
      </c>
      <c r="DL138" s="106">
        <f ca="1">SUM(DL139:DL144)</f>
        <v>28102380.305460937</v>
      </c>
      <c r="DM138" s="114">
        <f t="shared" ref="DM138:EF138" ca="1" si="413">SUM(DM139:DM144)</f>
        <v>28369678.565584727</v>
      </c>
      <c r="DN138" s="114">
        <f t="shared" ca="1" si="413"/>
        <v>28978247.827183109</v>
      </c>
      <c r="DO138" s="114">
        <f t="shared" ca="1" si="413"/>
        <v>28721834.307413165</v>
      </c>
      <c r="DP138" s="114">
        <f t="shared" ca="1" si="413"/>
        <v>30443255.694084149</v>
      </c>
      <c r="DQ138" s="106">
        <f t="shared" ca="1" si="413"/>
        <v>30443255.694084149</v>
      </c>
      <c r="DR138" s="114">
        <f t="shared" ca="1" si="413"/>
        <v>29718212.807453025</v>
      </c>
      <c r="DS138" s="114">
        <f t="shared" ca="1" si="413"/>
        <v>29364782.023267612</v>
      </c>
      <c r="DT138" s="114">
        <f t="shared" ca="1" si="413"/>
        <v>30038094.675636586</v>
      </c>
      <c r="DU138" s="114">
        <f t="shared" ca="1" si="413"/>
        <v>32629025.339034263</v>
      </c>
      <c r="DV138" s="106">
        <f t="shared" ca="1" si="413"/>
        <v>32629025.339034263</v>
      </c>
      <c r="DW138" s="114">
        <f t="shared" ca="1" si="413"/>
        <v>31798018.709781654</v>
      </c>
      <c r="DX138" s="114">
        <f t="shared" ca="1" si="413"/>
        <v>30630098.233294994</v>
      </c>
      <c r="DY138" s="114">
        <f t="shared" ca="1" si="413"/>
        <v>31303051.305798873</v>
      </c>
      <c r="DZ138" s="114">
        <f t="shared" ca="1" si="413"/>
        <v>34012914.15085014</v>
      </c>
      <c r="EA138" s="106">
        <f t="shared" ca="1" si="413"/>
        <v>34012914.15085014</v>
      </c>
      <c r="EB138" s="114">
        <f t="shared" ca="1" si="413"/>
        <v>33118252.477507699</v>
      </c>
      <c r="EC138" s="114">
        <f t="shared" ca="1" si="413"/>
        <v>31886120.689221445</v>
      </c>
      <c r="ED138" s="114">
        <f t="shared" ca="1" si="413"/>
        <v>32634847.226952009</v>
      </c>
      <c r="EE138" s="114">
        <f t="shared" ca="1" si="413"/>
        <v>35507135.930169567</v>
      </c>
      <c r="EF138" s="106">
        <f t="shared" ca="1" si="413"/>
        <v>35507135.930169567</v>
      </c>
    </row>
    <row r="139" spans="1:136">
      <c r="A139" s="66" t="s">
        <v>14</v>
      </c>
      <c r="B139" s="114">
        <f t="shared" ref="B139:AM139" si="414">B6</f>
        <v>129993</v>
      </c>
      <c r="C139" s="114">
        <f t="shared" si="414"/>
        <v>137040</v>
      </c>
      <c r="D139" s="114">
        <f t="shared" si="414"/>
        <v>125100</v>
      </c>
      <c r="E139" s="114">
        <f t="shared" si="414"/>
        <v>167841</v>
      </c>
      <c r="F139" s="130">
        <f t="shared" si="414"/>
        <v>167841</v>
      </c>
      <c r="G139" s="114">
        <f t="shared" si="414"/>
        <v>202800.5</v>
      </c>
      <c r="H139" s="114">
        <f t="shared" si="414"/>
        <v>237760</v>
      </c>
      <c r="I139" s="114">
        <f t="shared" si="414"/>
        <v>555257</v>
      </c>
      <c r="J139" s="114">
        <f t="shared" si="414"/>
        <v>520044</v>
      </c>
      <c r="K139" s="130">
        <f t="shared" si="414"/>
        <v>520044</v>
      </c>
      <c r="L139" s="114">
        <f t="shared" si="414"/>
        <v>429222</v>
      </c>
      <c r="M139" s="114">
        <f t="shared" si="414"/>
        <v>299584</v>
      </c>
      <c r="N139" s="114">
        <f t="shared" si="414"/>
        <v>828885</v>
      </c>
      <c r="O139" s="114">
        <f t="shared" si="414"/>
        <v>560639</v>
      </c>
      <c r="P139" s="106">
        <f t="shared" si="414"/>
        <v>560639</v>
      </c>
      <c r="Q139" s="114">
        <f t="shared" si="414"/>
        <v>339470</v>
      </c>
      <c r="R139" s="114">
        <f t="shared" si="414"/>
        <v>640186</v>
      </c>
      <c r="S139" s="114">
        <f t="shared" si="414"/>
        <v>800740</v>
      </c>
      <c r="T139" s="114">
        <f t="shared" si="414"/>
        <v>682859</v>
      </c>
      <c r="U139" s="106">
        <f t="shared" si="414"/>
        <v>682859</v>
      </c>
      <c r="V139" s="114">
        <f t="shared" si="414"/>
        <v>1064793</v>
      </c>
      <c r="W139" s="114">
        <f t="shared" si="414"/>
        <v>969048</v>
      </c>
      <c r="X139" s="114">
        <f t="shared" si="414"/>
        <v>818209</v>
      </c>
      <c r="Y139" s="114">
        <f t="shared" si="414"/>
        <v>863633</v>
      </c>
      <c r="Z139" s="106">
        <f t="shared" si="414"/>
        <v>863633</v>
      </c>
      <c r="AA139" s="114">
        <f t="shared" si="414"/>
        <v>725742</v>
      </c>
      <c r="AB139" s="114">
        <f t="shared" si="414"/>
        <v>498361</v>
      </c>
      <c r="AC139" s="114">
        <f t="shared" si="414"/>
        <v>865091</v>
      </c>
      <c r="AD139" s="114">
        <f t="shared" si="414"/>
        <v>1665756</v>
      </c>
      <c r="AE139" s="106">
        <f t="shared" si="414"/>
        <v>1665756</v>
      </c>
      <c r="AF139" s="114">
        <f t="shared" si="414"/>
        <v>1286115</v>
      </c>
      <c r="AG139" s="114">
        <f t="shared" si="414"/>
        <v>997117</v>
      </c>
      <c r="AH139" s="114">
        <f t="shared" si="414"/>
        <v>986209</v>
      </c>
      <c r="AI139" s="114">
        <f t="shared" si="414"/>
        <v>1154595</v>
      </c>
      <c r="AJ139" s="106">
        <f t="shared" si="414"/>
        <v>1154595</v>
      </c>
      <c r="AK139" s="114">
        <f t="shared" si="414"/>
        <v>1213607</v>
      </c>
      <c r="AL139" s="114">
        <f t="shared" si="414"/>
        <v>1568342</v>
      </c>
      <c r="AM139" s="114">
        <f t="shared" si="414"/>
        <v>1776518</v>
      </c>
      <c r="AN139" s="114">
        <f>AN6</f>
        <v>1827664</v>
      </c>
      <c r="AO139" s="106">
        <f t="shared" ref="AO139:CC139" si="415">AO6</f>
        <v>1827664</v>
      </c>
      <c r="AP139" s="114">
        <f t="shared" si="415"/>
        <v>1856748</v>
      </c>
      <c r="AQ139" s="114">
        <f t="shared" si="415"/>
        <v>1633589</v>
      </c>
      <c r="AR139" s="114">
        <f t="shared" si="415"/>
        <v>1651512</v>
      </c>
      <c r="AS139" s="114">
        <f t="shared" si="415"/>
        <v>1712329</v>
      </c>
      <c r="AT139" s="106">
        <f t="shared" si="415"/>
        <v>1712329</v>
      </c>
      <c r="AU139" s="114">
        <f t="shared" si="415"/>
        <v>1640668</v>
      </c>
      <c r="AV139" s="114">
        <f t="shared" si="415"/>
        <v>1524041</v>
      </c>
      <c r="AW139" s="114">
        <f t="shared" si="415"/>
        <v>1581381</v>
      </c>
      <c r="AX139" s="114">
        <f t="shared" si="415"/>
        <v>1727420</v>
      </c>
      <c r="AY139" s="106">
        <f t="shared" si="415"/>
        <v>1727420</v>
      </c>
      <c r="AZ139" s="114">
        <f t="shared" si="415"/>
        <v>2188853</v>
      </c>
      <c r="BA139" s="114">
        <f t="shared" si="415"/>
        <v>1758589</v>
      </c>
      <c r="BB139" s="114">
        <f t="shared" si="415"/>
        <v>1782930</v>
      </c>
      <c r="BC139" s="114">
        <f t="shared" si="415"/>
        <v>1754264</v>
      </c>
      <c r="BD139" s="106">
        <f t="shared" si="415"/>
        <v>1754264</v>
      </c>
      <c r="BE139" s="114">
        <f t="shared" si="415"/>
        <v>2021742</v>
      </c>
      <c r="BF139" s="114">
        <f t="shared" si="415"/>
        <v>2241113</v>
      </c>
      <c r="BG139" s="114">
        <f t="shared" si="415"/>
        <v>2524156</v>
      </c>
      <c r="BH139" s="114">
        <f t="shared" si="415"/>
        <v>2233585</v>
      </c>
      <c r="BI139" s="106">
        <f t="shared" si="415"/>
        <v>2233585</v>
      </c>
      <c r="BJ139" s="114">
        <f t="shared" si="415"/>
        <v>2140837</v>
      </c>
      <c r="BK139" s="114">
        <f t="shared" si="415"/>
        <v>1880383</v>
      </c>
      <c r="BL139" s="114">
        <f t="shared" si="415"/>
        <v>1582074</v>
      </c>
      <c r="BM139" s="114">
        <f t="shared" si="415"/>
        <v>1698291</v>
      </c>
      <c r="BN139" s="106">
        <f t="shared" si="415"/>
        <v>1698291</v>
      </c>
      <c r="BO139" s="114">
        <f t="shared" si="415"/>
        <v>1976947</v>
      </c>
      <c r="BP139" s="114">
        <f t="shared" si="415"/>
        <v>1631905</v>
      </c>
      <c r="BQ139" s="114">
        <f t="shared" si="415"/>
        <v>1614038</v>
      </c>
      <c r="BR139" s="114">
        <f t="shared" si="415"/>
        <v>1362761</v>
      </c>
      <c r="BS139" s="106">
        <f t="shared" si="415"/>
        <v>1362761</v>
      </c>
      <c r="BT139" s="114">
        <f t="shared" si="415"/>
        <v>1115540</v>
      </c>
      <c r="BU139" s="114">
        <f>BU6</f>
        <v>1527124</v>
      </c>
      <c r="BV139" s="114">
        <f t="shared" si="415"/>
        <v>2139828</v>
      </c>
      <c r="BW139" s="114">
        <f t="shared" si="415"/>
        <v>1548657</v>
      </c>
      <c r="BX139" s="106">
        <f t="shared" si="415"/>
        <v>1548657</v>
      </c>
      <c r="BY139" s="114">
        <f t="shared" si="415"/>
        <v>1436195</v>
      </c>
      <c r="BZ139" s="114">
        <f t="shared" si="415"/>
        <v>1528116</v>
      </c>
      <c r="CA139" s="114">
        <f>CA6</f>
        <v>1761413</v>
      </c>
      <c r="CB139" s="114">
        <f t="shared" si="415"/>
        <v>1663168</v>
      </c>
      <c r="CC139" s="106">
        <f t="shared" si="415"/>
        <v>1663168</v>
      </c>
      <c r="CD139" s="114">
        <f>CD6</f>
        <v>1672370</v>
      </c>
      <c r="CE139" s="114">
        <f>CE6</f>
        <v>1993944</v>
      </c>
      <c r="CF139" s="114">
        <f>CF6</f>
        <v>2396197</v>
      </c>
      <c r="CG139" s="114">
        <f>CG6</f>
        <v>2401338</v>
      </c>
      <c r="CH139" s="106">
        <f t="shared" ref="CH139:DG139" si="416">CH6</f>
        <v>2401338</v>
      </c>
      <c r="CI139" s="114">
        <f t="shared" si="416"/>
        <v>2443970</v>
      </c>
      <c r="CJ139" s="114">
        <f t="shared" si="416"/>
        <v>2780948</v>
      </c>
      <c r="CK139" s="114">
        <f t="shared" si="416"/>
        <v>2994496</v>
      </c>
      <c r="CL139" s="114">
        <f t="shared" si="416"/>
        <v>3298793</v>
      </c>
      <c r="CM139" s="106">
        <f t="shared" si="416"/>
        <v>3298793</v>
      </c>
      <c r="CN139" s="114">
        <f>CN6</f>
        <v>3241434</v>
      </c>
      <c r="CO139" s="114">
        <f>CO6</f>
        <v>3563910</v>
      </c>
      <c r="CP139" s="114">
        <f>CP6</f>
        <v>3980309</v>
      </c>
      <c r="CQ139" s="114">
        <f t="shared" si="416"/>
        <v>4615752</v>
      </c>
      <c r="CR139" s="106">
        <f t="shared" si="416"/>
        <v>4615752</v>
      </c>
      <c r="CS139" s="114">
        <f t="shared" si="416"/>
        <v>4418721</v>
      </c>
      <c r="CT139" s="114">
        <f t="shared" si="416"/>
        <v>4646251</v>
      </c>
      <c r="CU139" s="114">
        <f t="shared" si="416"/>
        <v>4553797</v>
      </c>
      <c r="CV139" s="114">
        <f>CV6</f>
        <v>4602606</v>
      </c>
      <c r="CW139" s="106">
        <f t="shared" si="416"/>
        <v>4602606</v>
      </c>
      <c r="CX139" s="114">
        <f>CX6</f>
        <v>4477983</v>
      </c>
      <c r="CY139" s="114">
        <f t="shared" si="416"/>
        <v>4835215</v>
      </c>
      <c r="CZ139" s="114">
        <f t="shared" ref="CZ139" si="417">CZ6</f>
        <v>5106723</v>
      </c>
      <c r="DA139" s="114">
        <f t="shared" si="416"/>
        <v>5309056</v>
      </c>
      <c r="DB139" s="106">
        <f t="shared" si="416"/>
        <v>5309056</v>
      </c>
      <c r="DC139" s="114">
        <f t="shared" si="416"/>
        <v>5502704</v>
      </c>
      <c r="DD139" s="114">
        <f t="shared" ref="DD139:DE139" si="418">DD6</f>
        <v>6081348</v>
      </c>
      <c r="DE139" s="114">
        <f t="shared" si="418"/>
        <v>7071491</v>
      </c>
      <c r="DF139" s="114">
        <f t="shared" si="416"/>
        <v>7007404</v>
      </c>
      <c r="DG139" s="106">
        <f t="shared" si="416"/>
        <v>7007404</v>
      </c>
      <c r="DH139" s="114">
        <f>DH6</f>
        <v>7212046</v>
      </c>
      <c r="DI139" s="114">
        <f>DI6</f>
        <v>7712294</v>
      </c>
      <c r="DJ139" s="114">
        <f ca="1">DJ6</f>
        <v>8224946.6574087553</v>
      </c>
      <c r="DK139" s="114">
        <f ca="1">DK6</f>
        <v>7837137.5986922449</v>
      </c>
      <c r="DL139" s="106">
        <f ca="1">DL6</f>
        <v>7837137.5986922449</v>
      </c>
      <c r="DM139" s="114">
        <f t="shared" ref="DM139:EF139" ca="1" si="419">DM6</f>
        <v>8197131.7209733557</v>
      </c>
      <c r="DN139" s="114">
        <f t="shared" ca="1" si="419"/>
        <v>8075449.0065243747</v>
      </c>
      <c r="DO139" s="114">
        <f t="shared" ca="1" si="419"/>
        <v>6865173.1365756132</v>
      </c>
      <c r="DP139" s="114">
        <f t="shared" ca="1" si="419"/>
        <v>7668809.7857785029</v>
      </c>
      <c r="DQ139" s="106">
        <f t="shared" ca="1" si="419"/>
        <v>7668809.7857785029</v>
      </c>
      <c r="DR139" s="114">
        <f t="shared" ca="1" si="419"/>
        <v>6380956.9387444919</v>
      </c>
      <c r="DS139" s="114">
        <f t="shared" ca="1" si="419"/>
        <v>5430022.5457976414</v>
      </c>
      <c r="DT139" s="114">
        <f t="shared" ca="1" si="419"/>
        <v>5417594.0500148116</v>
      </c>
      <c r="DU139" s="114">
        <f t="shared" ca="1" si="419"/>
        <v>7023331.1036767773</v>
      </c>
      <c r="DV139" s="106">
        <f t="shared" ca="1" si="419"/>
        <v>7023331.1036767773</v>
      </c>
      <c r="DW139" s="114">
        <f t="shared" ca="1" si="419"/>
        <v>6004873.2333696503</v>
      </c>
      <c r="DX139" s="114">
        <f t="shared" ca="1" si="419"/>
        <v>4444194.3766004015</v>
      </c>
      <c r="DY139" s="114">
        <f t="shared" ca="1" si="419"/>
        <v>4811267.8767383806</v>
      </c>
      <c r="DZ139" s="114">
        <f t="shared" ca="1" si="419"/>
        <v>7104522.4639519267</v>
      </c>
      <c r="EA139" s="106">
        <f t="shared" ca="1" si="419"/>
        <v>7104522.4639519267</v>
      </c>
      <c r="EB139" s="114">
        <f t="shared" ca="1" si="419"/>
        <v>6414010.7028983226</v>
      </c>
      <c r="EC139" s="114">
        <f t="shared" ca="1" si="419"/>
        <v>5001552.4183269609</v>
      </c>
      <c r="ED139" s="114">
        <f t="shared" ca="1" si="419"/>
        <v>5380808.3110957127</v>
      </c>
      <c r="EE139" s="114">
        <f t="shared" ca="1" si="419"/>
        <v>7845504.4056437807</v>
      </c>
      <c r="EF139" s="106">
        <f t="shared" ca="1" si="419"/>
        <v>7845504.4056437807</v>
      </c>
    </row>
    <row r="140" spans="1:136">
      <c r="A140" s="66" t="s">
        <v>48</v>
      </c>
      <c r="B140" s="114">
        <f t="shared" ref="B140:AM140" si="420">B8</f>
        <v>239835</v>
      </c>
      <c r="C140" s="114">
        <f t="shared" si="420"/>
        <v>170650</v>
      </c>
      <c r="D140" s="114">
        <f t="shared" si="420"/>
        <v>179516</v>
      </c>
      <c r="E140" s="114">
        <f t="shared" si="420"/>
        <v>433076</v>
      </c>
      <c r="F140" s="130">
        <f t="shared" si="420"/>
        <v>433076</v>
      </c>
      <c r="G140" s="114">
        <f t="shared" si="420"/>
        <v>427218</v>
      </c>
      <c r="H140" s="114">
        <f t="shared" si="420"/>
        <v>421360</v>
      </c>
      <c r="I140" s="114">
        <f t="shared" si="420"/>
        <v>484606</v>
      </c>
      <c r="J140" s="114">
        <f t="shared" si="420"/>
        <v>461220</v>
      </c>
      <c r="K140" s="130">
        <f t="shared" si="420"/>
        <v>461220</v>
      </c>
      <c r="L140" s="114">
        <f t="shared" si="420"/>
        <v>537025</v>
      </c>
      <c r="M140" s="114">
        <f t="shared" si="420"/>
        <v>645779</v>
      </c>
      <c r="N140" s="114">
        <f t="shared" si="420"/>
        <v>685837</v>
      </c>
      <c r="O140" s="114">
        <f t="shared" si="420"/>
        <v>865273</v>
      </c>
      <c r="P140" s="106">
        <f t="shared" si="420"/>
        <v>865273</v>
      </c>
      <c r="Q140" s="114">
        <f t="shared" si="420"/>
        <v>938256</v>
      </c>
      <c r="R140" s="114">
        <f t="shared" si="420"/>
        <v>1016199</v>
      </c>
      <c r="S140" s="114">
        <f t="shared" si="420"/>
        <v>1166943</v>
      </c>
      <c r="T140" s="114">
        <f t="shared" si="420"/>
        <v>1466592</v>
      </c>
      <c r="U140" s="106">
        <f t="shared" si="420"/>
        <v>1466592</v>
      </c>
      <c r="V140" s="114">
        <f t="shared" si="420"/>
        <v>1647762</v>
      </c>
      <c r="W140" s="114">
        <f t="shared" si="420"/>
        <v>2010282</v>
      </c>
      <c r="X140" s="114">
        <f t="shared" si="420"/>
        <v>2259078</v>
      </c>
      <c r="Y140" s="114">
        <f t="shared" si="420"/>
        <v>2661032</v>
      </c>
      <c r="Z140" s="106">
        <f t="shared" si="420"/>
        <v>2661032</v>
      </c>
      <c r="AA140" s="114">
        <f t="shared" si="420"/>
        <v>2838677</v>
      </c>
      <c r="AB140" s="114">
        <f t="shared" si="420"/>
        <v>3241387</v>
      </c>
      <c r="AC140" s="114">
        <f t="shared" si="420"/>
        <v>3879132</v>
      </c>
      <c r="AD140" s="114">
        <f t="shared" si="420"/>
        <v>4548956</v>
      </c>
      <c r="AE140" s="106">
        <f t="shared" si="420"/>
        <v>4548956</v>
      </c>
      <c r="AF140" s="114">
        <f t="shared" si="420"/>
        <v>5226703</v>
      </c>
      <c r="AG140" s="114">
        <f t="shared" si="420"/>
        <v>5535211</v>
      </c>
      <c r="AH140" s="114">
        <f t="shared" si="420"/>
        <v>5835349</v>
      </c>
      <c r="AI140" s="114">
        <f t="shared" si="420"/>
        <v>6005084</v>
      </c>
      <c r="AJ140" s="106">
        <f t="shared" si="420"/>
        <v>6005084</v>
      </c>
      <c r="AK140" s="114">
        <f t="shared" si="420"/>
        <v>6134788</v>
      </c>
      <c r="AL140" s="114">
        <f t="shared" si="420"/>
        <v>6208435</v>
      </c>
      <c r="AM140" s="114">
        <f t="shared" si="420"/>
        <v>6235639</v>
      </c>
      <c r="AN140" s="114">
        <f>AN8</f>
        <v>6409068</v>
      </c>
      <c r="AO140" s="106">
        <f t="shared" ref="AO140:CC140" si="421">AO8</f>
        <v>6409068</v>
      </c>
      <c r="AP140" s="114">
        <f t="shared" si="421"/>
        <v>6566617</v>
      </c>
      <c r="AQ140" s="114">
        <f t="shared" si="421"/>
        <v>6502734</v>
      </c>
      <c r="AR140" s="114">
        <f t="shared" si="421"/>
        <v>6433064</v>
      </c>
      <c r="AS140" s="114">
        <f t="shared" si="421"/>
        <v>5900650</v>
      </c>
      <c r="AT140" s="106">
        <f t="shared" si="421"/>
        <v>5900650</v>
      </c>
      <c r="AU140" s="114">
        <f t="shared" si="421"/>
        <v>5708739</v>
      </c>
      <c r="AV140" s="114">
        <f t="shared" si="421"/>
        <v>5746013</v>
      </c>
      <c r="AW140" s="114">
        <f t="shared" si="421"/>
        <v>5818501</v>
      </c>
      <c r="AX140" s="114">
        <f t="shared" si="421"/>
        <v>5622358</v>
      </c>
      <c r="AY140" s="106">
        <f t="shared" si="421"/>
        <v>5622358</v>
      </c>
      <c r="AZ140" s="114">
        <f t="shared" si="421"/>
        <v>5382715</v>
      </c>
      <c r="BA140" s="114">
        <f t="shared" si="421"/>
        <v>5352790</v>
      </c>
      <c r="BB140" s="114">
        <f t="shared" si="421"/>
        <v>5075277</v>
      </c>
      <c r="BC140" s="114">
        <f t="shared" si="421"/>
        <v>4929986</v>
      </c>
      <c r="BD140" s="106">
        <f t="shared" si="421"/>
        <v>4929986</v>
      </c>
      <c r="BE140" s="114">
        <f t="shared" si="421"/>
        <v>4496726</v>
      </c>
      <c r="BF140" s="114">
        <f t="shared" si="421"/>
        <v>4157027</v>
      </c>
      <c r="BG140" s="114">
        <f t="shared" si="421"/>
        <v>4025882</v>
      </c>
      <c r="BH140" s="114">
        <f t="shared" si="421"/>
        <v>3846292</v>
      </c>
      <c r="BI140" s="106">
        <f t="shared" si="421"/>
        <v>3846292</v>
      </c>
      <c r="BJ140" s="114">
        <f t="shared" si="421"/>
        <v>3933676</v>
      </c>
      <c r="BK140" s="114">
        <f t="shared" si="421"/>
        <v>3580176</v>
      </c>
      <c r="BL140" s="114">
        <f t="shared" si="421"/>
        <v>3566502</v>
      </c>
      <c r="BM140" s="114">
        <f t="shared" si="421"/>
        <v>3379792</v>
      </c>
      <c r="BN140" s="106">
        <f t="shared" si="421"/>
        <v>3379792</v>
      </c>
      <c r="BO140" s="114">
        <f t="shared" si="421"/>
        <v>3261831</v>
      </c>
      <c r="BP140" s="114">
        <f t="shared" si="421"/>
        <v>2939202</v>
      </c>
      <c r="BQ140" s="114">
        <f t="shared" si="421"/>
        <v>2699093</v>
      </c>
      <c r="BR140" s="114">
        <f t="shared" si="421"/>
        <v>2667234</v>
      </c>
      <c r="BS140" s="106">
        <f t="shared" si="421"/>
        <v>2667234</v>
      </c>
      <c r="BT140" s="114">
        <f t="shared" si="421"/>
        <v>2270779</v>
      </c>
      <c r="BU140" s="114">
        <f>BU8</f>
        <v>2141537</v>
      </c>
      <c r="BV140" s="114">
        <f t="shared" si="421"/>
        <v>2125099</v>
      </c>
      <c r="BW140" s="114">
        <f t="shared" si="421"/>
        <v>1948816</v>
      </c>
      <c r="BX140" s="106">
        <f t="shared" si="421"/>
        <v>1948816</v>
      </c>
      <c r="BY140" s="114">
        <f t="shared" si="421"/>
        <v>1969463</v>
      </c>
      <c r="BZ140" s="114">
        <f t="shared" si="421"/>
        <v>1951187</v>
      </c>
      <c r="CA140" s="114">
        <f>CA8</f>
        <v>1949967</v>
      </c>
      <c r="CB140" s="114">
        <f t="shared" si="421"/>
        <v>2069474</v>
      </c>
      <c r="CC140" s="106">
        <f t="shared" si="421"/>
        <v>2069474</v>
      </c>
      <c r="CD140" s="114">
        <f>CD8</f>
        <v>2064344</v>
      </c>
      <c r="CE140" s="114">
        <f>CE8</f>
        <v>2184470</v>
      </c>
      <c r="CF140" s="114">
        <f>CF8</f>
        <v>2066837</v>
      </c>
      <c r="CG140" s="114">
        <f>CG8</f>
        <v>2063554</v>
      </c>
      <c r="CH140" s="106">
        <f t="shared" ref="CH140:DG140" si="422">CH8</f>
        <v>2063554</v>
      </c>
      <c r="CI140" s="114">
        <f t="shared" si="422"/>
        <v>2129231</v>
      </c>
      <c r="CJ140" s="114">
        <f t="shared" si="422"/>
        <v>2161399</v>
      </c>
      <c r="CK140" s="114">
        <f t="shared" si="422"/>
        <v>2261540</v>
      </c>
      <c r="CL140" s="114">
        <f t="shared" si="422"/>
        <v>2333644</v>
      </c>
      <c r="CM140" s="106">
        <f t="shared" si="422"/>
        <v>2333644</v>
      </c>
      <c r="CN140" s="114">
        <f>CN8</f>
        <v>2402290</v>
      </c>
      <c r="CO140" s="114">
        <f>CO8</f>
        <v>2499984</v>
      </c>
      <c r="CP140" s="114">
        <f>CP8</f>
        <v>2711354</v>
      </c>
      <c r="CQ140" s="114">
        <f t="shared" si="422"/>
        <v>2709008</v>
      </c>
      <c r="CR140" s="106">
        <f t="shared" si="422"/>
        <v>2709008</v>
      </c>
      <c r="CS140" s="114">
        <f t="shared" si="422"/>
        <v>2666053</v>
      </c>
      <c r="CT140" s="114">
        <f t="shared" si="422"/>
        <v>2960288</v>
      </c>
      <c r="CU140" s="114">
        <f t="shared" si="422"/>
        <v>3198894</v>
      </c>
      <c r="CV140" s="114">
        <f>CV8</f>
        <v>3454712</v>
      </c>
      <c r="CW140" s="106">
        <f t="shared" si="422"/>
        <v>3454712</v>
      </c>
      <c r="CX140" s="114">
        <f>CX8</f>
        <v>3635115</v>
      </c>
      <c r="CY140" s="114">
        <f t="shared" si="422"/>
        <v>3993057</v>
      </c>
      <c r="CZ140" s="114">
        <f t="shared" ref="CZ140" si="423">CZ8</f>
        <v>4314766</v>
      </c>
      <c r="DA140" s="114">
        <f t="shared" si="422"/>
        <v>4776699</v>
      </c>
      <c r="DB140" s="106">
        <f t="shared" si="422"/>
        <v>4776699</v>
      </c>
      <c r="DC140" s="114">
        <f t="shared" si="422"/>
        <v>4892181</v>
      </c>
      <c r="DD140" s="114">
        <f t="shared" ref="DD140:DE140" si="424">DD8</f>
        <v>5289499</v>
      </c>
      <c r="DE140" s="114">
        <f t="shared" si="424"/>
        <v>5369048</v>
      </c>
      <c r="DF140" s="114">
        <f t="shared" si="422"/>
        <v>6114370</v>
      </c>
      <c r="DG140" s="106">
        <f t="shared" si="422"/>
        <v>6114370</v>
      </c>
      <c r="DH140" s="114">
        <f>DH8</f>
        <v>6311433</v>
      </c>
      <c r="DI140" s="114">
        <f>DI8</f>
        <v>6524467</v>
      </c>
      <c r="DJ140" s="114">
        <f>DJ8</f>
        <v>6793845.5243459679</v>
      </c>
      <c r="DK140" s="114">
        <f>DK8</f>
        <v>7064591.2846721997</v>
      </c>
      <c r="DL140" s="106">
        <f>DL8</f>
        <v>7064591.2846721997</v>
      </c>
      <c r="DM140" s="114">
        <f t="shared" ref="DM140:EF140" si="425">DM8</f>
        <v>7189359.4370237608</v>
      </c>
      <c r="DN140" s="114">
        <f t="shared" si="425"/>
        <v>7797738.566803718</v>
      </c>
      <c r="DO140" s="114">
        <f t="shared" si="425"/>
        <v>8426724.4403611775</v>
      </c>
      <c r="DP140" s="114">
        <f t="shared" si="425"/>
        <v>8911561.0425937902</v>
      </c>
      <c r="DQ140" s="106">
        <f t="shared" si="425"/>
        <v>8911561.0425937902</v>
      </c>
      <c r="DR140" s="114">
        <f t="shared" si="425"/>
        <v>9514123.2010355871</v>
      </c>
      <c r="DS140" s="114">
        <f t="shared" si="425"/>
        <v>9984690.4644227475</v>
      </c>
      <c r="DT140" s="114">
        <f t="shared" si="425"/>
        <v>10374060.508206636</v>
      </c>
      <c r="DU140" s="114">
        <f t="shared" si="425"/>
        <v>10883145.509010106</v>
      </c>
      <c r="DV140" s="106">
        <f t="shared" si="425"/>
        <v>10883145.509010106</v>
      </c>
      <c r="DW140" s="114">
        <f t="shared" si="425"/>
        <v>11172388.195964018</v>
      </c>
      <c r="DX140" s="114">
        <f t="shared" si="425"/>
        <v>11464753.657783177</v>
      </c>
      <c r="DY140" s="114">
        <f t="shared" si="425"/>
        <v>11540944.754752226</v>
      </c>
      <c r="DZ140" s="114">
        <f t="shared" si="425"/>
        <v>11594509.720063563</v>
      </c>
      <c r="EA140" s="106">
        <f t="shared" si="425"/>
        <v>11594509.720063563</v>
      </c>
      <c r="EB140" s="114">
        <f t="shared" si="425"/>
        <v>11591975.625807997</v>
      </c>
      <c r="EC140" s="114">
        <f t="shared" si="425"/>
        <v>11729586.782027084</v>
      </c>
      <c r="ED140" s="114">
        <f t="shared" si="425"/>
        <v>11859416.115794403</v>
      </c>
      <c r="EE140" s="114">
        <f t="shared" si="425"/>
        <v>11903882.071007378</v>
      </c>
      <c r="EF140" s="106">
        <f t="shared" si="425"/>
        <v>11903882.071007378</v>
      </c>
    </row>
    <row r="141" spans="1:136">
      <c r="A141" s="66" t="s">
        <v>162</v>
      </c>
      <c r="B141" s="114">
        <f t="shared" ref="B141:AM141" si="426">B11-B133</f>
        <v>161747</v>
      </c>
      <c r="C141" s="114">
        <f t="shared" si="426"/>
        <v>165865</v>
      </c>
      <c r="D141" s="114">
        <f t="shared" si="426"/>
        <v>191293</v>
      </c>
      <c r="E141" s="114">
        <f t="shared" si="426"/>
        <v>428974</v>
      </c>
      <c r="F141" s="130">
        <f t="shared" si="426"/>
        <v>428974</v>
      </c>
      <c r="G141" s="114">
        <f t="shared" si="426"/>
        <v>422664.5</v>
      </c>
      <c r="H141" s="114">
        <f t="shared" si="426"/>
        <v>416355</v>
      </c>
      <c r="I141" s="114">
        <f t="shared" si="426"/>
        <v>420334</v>
      </c>
      <c r="J141" s="114">
        <f t="shared" si="426"/>
        <v>420914</v>
      </c>
      <c r="K141" s="130">
        <f t="shared" si="426"/>
        <v>420914</v>
      </c>
      <c r="L141" s="114">
        <f t="shared" si="426"/>
        <v>498366</v>
      </c>
      <c r="M141" s="114">
        <f t="shared" si="426"/>
        <v>602768</v>
      </c>
      <c r="N141" s="114">
        <f t="shared" si="426"/>
        <v>694536</v>
      </c>
      <c r="O141" s="114">
        <f t="shared" si="426"/>
        <v>976181</v>
      </c>
      <c r="P141" s="106">
        <f t="shared" si="426"/>
        <v>976181</v>
      </c>
      <c r="Q141" s="114">
        <f t="shared" si="426"/>
        <v>1085031.2006123792</v>
      </c>
      <c r="R141" s="114">
        <f t="shared" si="426"/>
        <v>1128554.375886671</v>
      </c>
      <c r="S141" s="114">
        <f t="shared" si="426"/>
        <v>1327392.7883003522</v>
      </c>
      <c r="T141" s="114">
        <f t="shared" si="426"/>
        <v>1600970.0536410585</v>
      </c>
      <c r="U141" s="106">
        <f t="shared" si="426"/>
        <v>1600970.0536410585</v>
      </c>
      <c r="V141" s="114">
        <f t="shared" si="426"/>
        <v>1478541</v>
      </c>
      <c r="W141" s="114">
        <f t="shared" si="426"/>
        <v>1624592</v>
      </c>
      <c r="X141" s="114">
        <f t="shared" si="426"/>
        <v>2063492</v>
      </c>
      <c r="Y141" s="114">
        <f t="shared" si="426"/>
        <v>2906788</v>
      </c>
      <c r="Z141" s="106">
        <f t="shared" si="426"/>
        <v>2906788</v>
      </c>
      <c r="AA141" s="114">
        <f t="shared" si="426"/>
        <v>3033623</v>
      </c>
      <c r="AB141" s="114">
        <f t="shared" si="426"/>
        <v>2947367</v>
      </c>
      <c r="AC141" s="114">
        <f t="shared" si="426"/>
        <v>3100738</v>
      </c>
      <c r="AD141" s="114">
        <f t="shared" si="426"/>
        <v>3310912</v>
      </c>
      <c r="AE141" s="106">
        <f t="shared" si="426"/>
        <v>3310912</v>
      </c>
      <c r="AF141" s="114">
        <f t="shared" si="426"/>
        <v>3201653</v>
      </c>
      <c r="AG141" s="114">
        <f t="shared" si="426"/>
        <v>3452618</v>
      </c>
      <c r="AH141" s="114">
        <f t="shared" si="426"/>
        <v>3541586</v>
      </c>
      <c r="AI141" s="114">
        <f t="shared" si="426"/>
        <v>3714805</v>
      </c>
      <c r="AJ141" s="106">
        <f t="shared" si="426"/>
        <v>3714805</v>
      </c>
      <c r="AK141" s="114">
        <f t="shared" si="426"/>
        <v>3815566</v>
      </c>
      <c r="AL141" s="114">
        <f t="shared" si="426"/>
        <v>3866814</v>
      </c>
      <c r="AM141" s="114">
        <f t="shared" si="426"/>
        <v>4186663</v>
      </c>
      <c r="AN141" s="114">
        <f>AN11-AN133</f>
        <v>3746519</v>
      </c>
      <c r="AO141" s="106">
        <f t="shared" ref="AO141:CC141" si="427">AO11-AO133</f>
        <v>3746519</v>
      </c>
      <c r="AP141" s="114">
        <f t="shared" si="427"/>
        <v>3612334</v>
      </c>
      <c r="AQ141" s="114">
        <f t="shared" si="427"/>
        <v>3792796</v>
      </c>
      <c r="AR141" s="114">
        <f t="shared" si="427"/>
        <v>3850726</v>
      </c>
      <c r="AS141" s="114">
        <f t="shared" si="427"/>
        <v>3622311</v>
      </c>
      <c r="AT141" s="106">
        <f t="shared" si="427"/>
        <v>3622311</v>
      </c>
      <c r="AU141" s="114">
        <f t="shared" si="427"/>
        <v>3655088</v>
      </c>
      <c r="AV141" s="114">
        <f t="shared" si="427"/>
        <v>3842658</v>
      </c>
      <c r="AW141" s="114">
        <f t="shared" si="427"/>
        <v>4063307</v>
      </c>
      <c r="AX141" s="114">
        <f t="shared" si="427"/>
        <v>4617461</v>
      </c>
      <c r="AY141" s="106">
        <f t="shared" si="427"/>
        <v>4617461</v>
      </c>
      <c r="AZ141" s="114">
        <f t="shared" si="427"/>
        <v>4520759</v>
      </c>
      <c r="BA141" s="114">
        <f t="shared" si="427"/>
        <v>4526965</v>
      </c>
      <c r="BB141" s="114">
        <f t="shared" si="427"/>
        <v>4906526</v>
      </c>
      <c r="BC141" s="114">
        <f t="shared" si="427"/>
        <v>4946656</v>
      </c>
      <c r="BD141" s="106">
        <f t="shared" si="427"/>
        <v>4946656</v>
      </c>
      <c r="BE141" s="114">
        <f t="shared" si="427"/>
        <v>5028958</v>
      </c>
      <c r="BF141" s="114">
        <f t="shared" si="427"/>
        <v>5112427</v>
      </c>
      <c r="BG141" s="114">
        <f t="shared" si="427"/>
        <v>5074785</v>
      </c>
      <c r="BH141" s="114">
        <f t="shared" si="427"/>
        <v>4891959</v>
      </c>
      <c r="BI141" s="106">
        <f t="shared" si="427"/>
        <v>4891959</v>
      </c>
      <c r="BJ141" s="114">
        <f t="shared" si="427"/>
        <v>4842001</v>
      </c>
      <c r="BK141" s="114">
        <f t="shared" si="427"/>
        <v>5063680</v>
      </c>
      <c r="BL141" s="114">
        <f t="shared" si="427"/>
        <v>5117940</v>
      </c>
      <c r="BM141" s="114">
        <f t="shared" si="427"/>
        <v>4852666</v>
      </c>
      <c r="BN141" s="106">
        <f t="shared" si="427"/>
        <v>4852666</v>
      </c>
      <c r="BO141" s="114">
        <f t="shared" si="427"/>
        <v>4772586</v>
      </c>
      <c r="BP141" s="114">
        <f t="shared" si="427"/>
        <v>4887112</v>
      </c>
      <c r="BQ141" s="114">
        <f t="shared" si="427"/>
        <v>4846455</v>
      </c>
      <c r="BR141" s="114">
        <f t="shared" si="427"/>
        <v>4531839</v>
      </c>
      <c r="BS141" s="106">
        <f t="shared" si="427"/>
        <v>4531839</v>
      </c>
      <c r="BT141" s="114">
        <f t="shared" si="427"/>
        <v>4357598</v>
      </c>
      <c r="BU141" s="114">
        <f>BU11-BU133</f>
        <v>4482197</v>
      </c>
      <c r="BV141" s="114">
        <f t="shared" si="427"/>
        <v>4490208</v>
      </c>
      <c r="BW141" s="114">
        <f t="shared" si="427"/>
        <v>4537246</v>
      </c>
      <c r="BX141" s="106">
        <f t="shared" si="427"/>
        <v>4537246</v>
      </c>
      <c r="BY141" s="114">
        <f t="shared" si="427"/>
        <v>4619966</v>
      </c>
      <c r="BZ141" s="114">
        <f t="shared" si="427"/>
        <v>4610497</v>
      </c>
      <c r="CA141" s="114">
        <f>CA11-CA133</f>
        <v>4508722</v>
      </c>
      <c r="CB141" s="114">
        <f t="shared" si="427"/>
        <v>4506420</v>
      </c>
      <c r="CC141" s="106">
        <f t="shared" si="427"/>
        <v>4506420</v>
      </c>
      <c r="CD141" s="114">
        <f>CD11-CD133</f>
        <v>4748591</v>
      </c>
      <c r="CE141" s="114">
        <f>CE11-CE133</f>
        <v>4889221</v>
      </c>
      <c r="CF141" s="114">
        <f>CF11-CF133</f>
        <v>3804357</v>
      </c>
      <c r="CG141" s="114">
        <f>CG11-CG133</f>
        <v>3967315</v>
      </c>
      <c r="CH141" s="106">
        <f t="shared" ref="CH141:DG141" si="428">CH11-CH133</f>
        <v>3967315</v>
      </c>
      <c r="CI141" s="114">
        <f t="shared" si="428"/>
        <v>3984805</v>
      </c>
      <c r="CJ141" s="114">
        <f t="shared" si="428"/>
        <v>4335652</v>
      </c>
      <c r="CK141" s="114">
        <f t="shared" si="428"/>
        <v>4717751</v>
      </c>
      <c r="CL141" s="114">
        <f t="shared" si="428"/>
        <v>4901349</v>
      </c>
      <c r="CM141" s="106">
        <f t="shared" si="428"/>
        <v>4901349</v>
      </c>
      <c r="CN141" s="114">
        <f>CN11-CN133</f>
        <v>5154222</v>
      </c>
      <c r="CO141" s="114">
        <f>CO11-CO133</f>
        <v>5038286</v>
      </c>
      <c r="CP141" s="114">
        <f>CP11-CP133</f>
        <v>5324942</v>
      </c>
      <c r="CQ141" s="114">
        <f t="shared" si="428"/>
        <v>5458812</v>
      </c>
      <c r="CR141" s="106">
        <f t="shared" si="428"/>
        <v>5458812</v>
      </c>
      <c r="CS141" s="114">
        <f t="shared" si="428"/>
        <v>5418011</v>
      </c>
      <c r="CT141" s="114">
        <f t="shared" si="428"/>
        <v>5377438</v>
      </c>
      <c r="CU141" s="114">
        <f t="shared" si="428"/>
        <v>5308190</v>
      </c>
      <c r="CV141" s="114">
        <f>CV11-CV133</f>
        <v>5242524</v>
      </c>
      <c r="CW141" s="106">
        <f t="shared" si="428"/>
        <v>5242524</v>
      </c>
      <c r="CX141" s="114">
        <f>CX11-CX133</f>
        <v>5000537</v>
      </c>
      <c r="CY141" s="114">
        <f t="shared" si="428"/>
        <v>4817320</v>
      </c>
      <c r="CZ141" s="114">
        <f t="shared" ref="CZ141" si="429">CZ11-CZ133</f>
        <v>5471280</v>
      </c>
      <c r="DA141" s="114">
        <f t="shared" si="428"/>
        <v>6355467</v>
      </c>
      <c r="DB141" s="106">
        <f t="shared" si="428"/>
        <v>6355467</v>
      </c>
      <c r="DC141" s="114">
        <f t="shared" si="428"/>
        <v>6696537</v>
      </c>
      <c r="DD141" s="114">
        <f t="shared" ref="DD141:DE141" si="430">DD11-DD133</f>
        <v>7199963</v>
      </c>
      <c r="DE141" s="114">
        <f t="shared" si="430"/>
        <v>7435682</v>
      </c>
      <c r="DF141" s="114">
        <f t="shared" si="428"/>
        <v>7665438</v>
      </c>
      <c r="DG141" s="106">
        <f t="shared" si="428"/>
        <v>7665438</v>
      </c>
      <c r="DH141" s="114">
        <f>DH11-DH133</f>
        <v>7831602</v>
      </c>
      <c r="DI141" s="114">
        <f>DI11-DI133</f>
        <v>7909853</v>
      </c>
      <c r="DJ141" s="114">
        <f>DJ11-DJ133</f>
        <v>7462672.1332320934</v>
      </c>
      <c r="DK141" s="114">
        <f>DK11-DK133</f>
        <v>7786643.2808114309</v>
      </c>
      <c r="DL141" s="106">
        <f>DL11-DL133</f>
        <v>7786643.2808114309</v>
      </c>
      <c r="DM141" s="114">
        <f t="shared" ref="DM141:EF141" si="431">DM11-DM133</f>
        <v>7591261.6527169337</v>
      </c>
      <c r="DN141" s="114">
        <f t="shared" si="431"/>
        <v>7568862.5254686596</v>
      </c>
      <c r="DO141" s="114">
        <f t="shared" si="431"/>
        <v>7710593.1953893313</v>
      </c>
      <c r="DP141" s="114">
        <f t="shared" si="431"/>
        <v>7967368.7829529503</v>
      </c>
      <c r="DQ141" s="106">
        <f t="shared" si="431"/>
        <v>7967368.7829529503</v>
      </c>
      <c r="DR141" s="114">
        <f t="shared" si="431"/>
        <v>7817568.8701146534</v>
      </c>
      <c r="DS141" s="114">
        <f t="shared" si="431"/>
        <v>7827350.9587634131</v>
      </c>
      <c r="DT141" s="114">
        <f t="shared" si="431"/>
        <v>7989730.9678751165</v>
      </c>
      <c r="DU141" s="114">
        <f t="shared" si="431"/>
        <v>8276614.5093144113</v>
      </c>
      <c r="DV141" s="106">
        <f t="shared" si="431"/>
        <v>8276614.5093144113</v>
      </c>
      <c r="DW141" s="114">
        <f t="shared" si="431"/>
        <v>8132283.9753788039</v>
      </c>
      <c r="DX141" s="114">
        <f t="shared" si="431"/>
        <v>8151477.5131229516</v>
      </c>
      <c r="DY141" s="114">
        <f t="shared" si="431"/>
        <v>8315632.3586724959</v>
      </c>
      <c r="DZ141" s="114">
        <f t="shared" si="431"/>
        <v>8592889.7549454756</v>
      </c>
      <c r="EA141" s="106">
        <f t="shared" si="431"/>
        <v>8592889.7549454756</v>
      </c>
      <c r="EB141" s="114">
        <f t="shared" si="431"/>
        <v>8419565.7819688469</v>
      </c>
      <c r="EC141" s="114">
        <f t="shared" si="431"/>
        <v>8419214.8547031917</v>
      </c>
      <c r="ED141" s="114">
        <f t="shared" si="431"/>
        <v>8580933.8244723771</v>
      </c>
      <c r="EE141" s="114">
        <f t="shared" si="431"/>
        <v>8859641.5475215968</v>
      </c>
      <c r="EF141" s="106">
        <f t="shared" si="431"/>
        <v>8859641.5475215968</v>
      </c>
    </row>
    <row r="142" spans="1:136">
      <c r="A142" s="66" t="s">
        <v>8</v>
      </c>
      <c r="B142" s="114">
        <f t="shared" ref="B142:AM142" si="432">B16+B17</f>
        <v>22455</v>
      </c>
      <c r="C142" s="114">
        <f t="shared" si="432"/>
        <v>20646</v>
      </c>
      <c r="D142" s="114">
        <f t="shared" si="432"/>
        <v>19324</v>
      </c>
      <c r="E142" s="114">
        <f t="shared" si="432"/>
        <v>0</v>
      </c>
      <c r="F142" s="130">
        <f t="shared" si="432"/>
        <v>0</v>
      </c>
      <c r="G142" s="114">
        <f t="shared" si="432"/>
        <v>54621</v>
      </c>
      <c r="H142" s="114">
        <f t="shared" si="432"/>
        <v>48881</v>
      </c>
      <c r="I142" s="114">
        <f t="shared" si="432"/>
        <v>52833</v>
      </c>
      <c r="J142" s="114">
        <f t="shared" si="432"/>
        <v>58138</v>
      </c>
      <c r="K142" s="130">
        <f t="shared" si="432"/>
        <v>58138</v>
      </c>
      <c r="L142" s="114">
        <f t="shared" si="432"/>
        <v>58973</v>
      </c>
      <c r="M142" s="114">
        <f t="shared" si="432"/>
        <v>67699</v>
      </c>
      <c r="N142" s="114">
        <f t="shared" si="432"/>
        <v>68978</v>
      </c>
      <c r="O142" s="114">
        <f t="shared" si="432"/>
        <v>64849</v>
      </c>
      <c r="P142" s="106">
        <f t="shared" si="432"/>
        <v>64849</v>
      </c>
      <c r="Q142" s="114">
        <f t="shared" si="432"/>
        <v>65346</v>
      </c>
      <c r="R142" s="114">
        <f t="shared" si="432"/>
        <v>65222</v>
      </c>
      <c r="S142" s="114">
        <f t="shared" si="432"/>
        <v>69420</v>
      </c>
      <c r="T142" s="114">
        <f t="shared" si="432"/>
        <v>68682</v>
      </c>
      <c r="U142" s="106">
        <f t="shared" si="432"/>
        <v>68682</v>
      </c>
      <c r="V142" s="114">
        <f t="shared" si="432"/>
        <v>74269</v>
      </c>
      <c r="W142" s="114">
        <f t="shared" si="432"/>
        <v>80765</v>
      </c>
      <c r="X142" s="114">
        <f t="shared" si="432"/>
        <v>94194</v>
      </c>
      <c r="Y142" s="114">
        <f t="shared" si="432"/>
        <v>102834</v>
      </c>
      <c r="Z142" s="106">
        <f t="shared" si="432"/>
        <v>102834</v>
      </c>
      <c r="AA142" s="114">
        <f t="shared" si="432"/>
        <v>105354</v>
      </c>
      <c r="AB142" s="114">
        <f t="shared" si="432"/>
        <v>114549</v>
      </c>
      <c r="AC142" s="114">
        <f t="shared" si="432"/>
        <v>114963</v>
      </c>
      <c r="AD142" s="114">
        <f t="shared" si="432"/>
        <v>103936</v>
      </c>
      <c r="AE142" s="106">
        <f t="shared" si="432"/>
        <v>103936</v>
      </c>
      <c r="AF142" s="114">
        <f t="shared" si="432"/>
        <v>136067</v>
      </c>
      <c r="AG142" s="114">
        <f t="shared" si="432"/>
        <v>137210</v>
      </c>
      <c r="AH142" s="114">
        <f t="shared" si="432"/>
        <v>140333</v>
      </c>
      <c r="AI142" s="114">
        <f t="shared" si="432"/>
        <v>137850</v>
      </c>
      <c r="AJ142" s="106">
        <f t="shared" si="432"/>
        <v>137850</v>
      </c>
      <c r="AK142" s="114">
        <f t="shared" si="432"/>
        <v>130723</v>
      </c>
      <c r="AL142" s="114">
        <f t="shared" si="432"/>
        <v>124223</v>
      </c>
      <c r="AM142" s="114">
        <f t="shared" si="432"/>
        <v>122131</v>
      </c>
      <c r="AN142" s="114">
        <f>AN16+AN17</f>
        <v>152849</v>
      </c>
      <c r="AO142" s="106">
        <f t="shared" ref="AO142:CC142" si="433">AO16+AO17</f>
        <v>152849</v>
      </c>
      <c r="AP142" s="114">
        <f t="shared" si="433"/>
        <v>155321</v>
      </c>
      <c r="AQ142" s="114">
        <f t="shared" si="433"/>
        <v>143209</v>
      </c>
      <c r="AR142" s="114">
        <f t="shared" si="433"/>
        <v>140825</v>
      </c>
      <c r="AS142" s="114">
        <f t="shared" si="433"/>
        <v>141062</v>
      </c>
      <c r="AT142" s="106">
        <f t="shared" si="433"/>
        <v>141062</v>
      </c>
      <c r="AU142" s="114">
        <f t="shared" si="433"/>
        <v>119646</v>
      </c>
      <c r="AV142" s="114">
        <f t="shared" si="433"/>
        <v>121579</v>
      </c>
      <c r="AW142" s="114">
        <f t="shared" si="433"/>
        <v>124404</v>
      </c>
      <c r="AX142" s="114">
        <f t="shared" si="433"/>
        <v>124602</v>
      </c>
      <c r="AY142" s="106">
        <f t="shared" si="433"/>
        <v>124602</v>
      </c>
      <c r="AZ142" s="114">
        <f t="shared" si="433"/>
        <v>102007</v>
      </c>
      <c r="BA142" s="114">
        <f t="shared" si="433"/>
        <v>101411</v>
      </c>
      <c r="BB142" s="114">
        <f t="shared" si="433"/>
        <v>108394</v>
      </c>
      <c r="BC142" s="114">
        <f t="shared" si="433"/>
        <v>115264</v>
      </c>
      <c r="BD142" s="106">
        <f t="shared" si="433"/>
        <v>115264</v>
      </c>
      <c r="BE142" s="114">
        <f t="shared" si="433"/>
        <v>123685</v>
      </c>
      <c r="BF142" s="114">
        <f t="shared" si="433"/>
        <v>133118</v>
      </c>
      <c r="BG142" s="114">
        <f t="shared" si="433"/>
        <v>130669</v>
      </c>
      <c r="BH142" s="114">
        <f t="shared" si="433"/>
        <v>121500</v>
      </c>
      <c r="BI142" s="106">
        <f t="shared" si="433"/>
        <v>121500</v>
      </c>
      <c r="BJ142" s="114">
        <f t="shared" si="433"/>
        <v>109212</v>
      </c>
      <c r="BK142" s="114">
        <f t="shared" si="433"/>
        <v>114941</v>
      </c>
      <c r="BL142" s="114">
        <f t="shared" si="433"/>
        <v>118011</v>
      </c>
      <c r="BM142" s="114">
        <f t="shared" si="433"/>
        <v>130461</v>
      </c>
      <c r="BN142" s="106">
        <f t="shared" si="433"/>
        <v>130461</v>
      </c>
      <c r="BO142" s="114">
        <f t="shared" si="433"/>
        <v>130372</v>
      </c>
      <c r="BP142" s="114">
        <f t="shared" si="433"/>
        <v>131407</v>
      </c>
      <c r="BQ142" s="114">
        <f t="shared" si="433"/>
        <v>136391</v>
      </c>
      <c r="BR142" s="114">
        <f t="shared" si="433"/>
        <v>144938</v>
      </c>
      <c r="BS142" s="106">
        <f t="shared" si="433"/>
        <v>144938</v>
      </c>
      <c r="BT142" s="114">
        <f t="shared" si="433"/>
        <v>138277</v>
      </c>
      <c r="BU142" s="114">
        <f>BU16+BU17</f>
        <v>141834</v>
      </c>
      <c r="BV142" s="114">
        <f t="shared" si="433"/>
        <v>140963</v>
      </c>
      <c r="BW142" s="114">
        <f t="shared" si="433"/>
        <v>155766</v>
      </c>
      <c r="BX142" s="106">
        <f t="shared" si="433"/>
        <v>155766</v>
      </c>
      <c r="BY142" s="114">
        <f t="shared" si="433"/>
        <v>159007</v>
      </c>
      <c r="BZ142" s="114">
        <f t="shared" si="433"/>
        <v>158483</v>
      </c>
      <c r="CA142" s="114">
        <f>CA16+CA17</f>
        <v>156638</v>
      </c>
      <c r="CB142" s="114">
        <f t="shared" si="433"/>
        <v>157888</v>
      </c>
      <c r="CC142" s="106">
        <f t="shared" si="433"/>
        <v>157888</v>
      </c>
      <c r="CD142" s="114">
        <f>CD16+CD17</f>
        <v>156442</v>
      </c>
      <c r="CE142" s="114">
        <f>CE16+CE17</f>
        <v>157301</v>
      </c>
      <c r="CF142" s="114">
        <f>CF16+CF17</f>
        <v>151572</v>
      </c>
      <c r="CG142" s="114">
        <f>CG16+CG17</f>
        <v>141081</v>
      </c>
      <c r="CH142" s="106">
        <f t="shared" ref="CH142:DG142" si="434">CH16+CH17</f>
        <v>141081</v>
      </c>
      <c r="CI142" s="114">
        <f t="shared" si="434"/>
        <v>136713</v>
      </c>
      <c r="CJ142" s="114">
        <f t="shared" si="434"/>
        <v>142750</v>
      </c>
      <c r="CK142" s="114">
        <f t="shared" si="434"/>
        <v>142280</v>
      </c>
      <c r="CL142" s="114">
        <f t="shared" si="434"/>
        <v>147143</v>
      </c>
      <c r="CM142" s="106">
        <f t="shared" si="434"/>
        <v>147143</v>
      </c>
      <c r="CN142" s="114">
        <f>CN16+CN17</f>
        <v>150299</v>
      </c>
      <c r="CO142" s="114">
        <f>CO16+CO17</f>
        <v>161840</v>
      </c>
      <c r="CP142" s="114">
        <f>CP16+CP17</f>
        <v>163837</v>
      </c>
      <c r="CQ142" s="114">
        <f t="shared" si="434"/>
        <v>169580</v>
      </c>
      <c r="CR142" s="106">
        <f t="shared" si="434"/>
        <v>169580</v>
      </c>
      <c r="CS142" s="114">
        <f t="shared" si="434"/>
        <v>176081</v>
      </c>
      <c r="CT142" s="114">
        <f t="shared" si="434"/>
        <v>180389</v>
      </c>
      <c r="CU142" s="114">
        <f t="shared" si="434"/>
        <v>182520</v>
      </c>
      <c r="CV142" s="114">
        <f>CV16+CV17</f>
        <v>194679</v>
      </c>
      <c r="CW142" s="106">
        <f t="shared" si="434"/>
        <v>194679</v>
      </c>
      <c r="CX142" s="114">
        <f>CX16+CX17</f>
        <v>199912</v>
      </c>
      <c r="CY142" s="114">
        <f t="shared" si="434"/>
        <v>199352</v>
      </c>
      <c r="CZ142" s="114">
        <f t="shared" ref="CZ142" si="435">CZ16+CZ17</f>
        <v>206408</v>
      </c>
      <c r="DA142" s="114">
        <f t="shared" si="434"/>
        <v>207002</v>
      </c>
      <c r="DB142" s="106">
        <f t="shared" si="434"/>
        <v>207002</v>
      </c>
      <c r="DC142" s="114">
        <f t="shared" si="434"/>
        <v>212765</v>
      </c>
      <c r="DD142" s="114">
        <f t="shared" ref="DD142:DE142" si="436">DD16+DD17</f>
        <v>224321</v>
      </c>
      <c r="DE142" s="114">
        <f t="shared" si="436"/>
        <v>234278</v>
      </c>
      <c r="DF142" s="114">
        <f t="shared" si="434"/>
        <v>244549</v>
      </c>
      <c r="DG142" s="106">
        <f t="shared" si="434"/>
        <v>244549</v>
      </c>
      <c r="DH142" s="114">
        <f>DH16+DH17</f>
        <v>255204</v>
      </c>
      <c r="DI142" s="114">
        <f>DI16+DI17</f>
        <v>280970</v>
      </c>
      <c r="DJ142" s="114">
        <f>DJ16+DJ17</f>
        <v>286363.78976071667</v>
      </c>
      <c r="DK142" s="114">
        <f>DK16+DK17</f>
        <v>308625.11938491411</v>
      </c>
      <c r="DL142" s="106">
        <f>DL16+DL17</f>
        <v>308625.11938491411</v>
      </c>
      <c r="DM142" s="114">
        <f t="shared" ref="DM142:EF142" si="437">DM16+DM17</f>
        <v>293405.832688911</v>
      </c>
      <c r="DN142" s="114">
        <f t="shared" si="437"/>
        <v>298235.05443755002</v>
      </c>
      <c r="DO142" s="114">
        <f t="shared" si="437"/>
        <v>301652.33866023819</v>
      </c>
      <c r="DP142" s="114">
        <f t="shared" si="437"/>
        <v>305563.51242727024</v>
      </c>
      <c r="DQ142" s="106">
        <f t="shared" si="437"/>
        <v>305563.51242727024</v>
      </c>
      <c r="DR142" s="114">
        <f t="shared" si="437"/>
        <v>305684.47086287691</v>
      </c>
      <c r="DS142" s="114">
        <f t="shared" si="437"/>
        <v>306504.69289948273</v>
      </c>
      <c r="DT142" s="114">
        <f t="shared" si="437"/>
        <v>308168.90507686313</v>
      </c>
      <c r="DU142" s="114">
        <f t="shared" si="437"/>
        <v>310914.14306702063</v>
      </c>
      <c r="DV142" s="106">
        <f t="shared" si="437"/>
        <v>310914.14306702063</v>
      </c>
      <c r="DW142" s="114">
        <f t="shared" si="437"/>
        <v>312821.33302680129</v>
      </c>
      <c r="DX142" s="114">
        <f t="shared" si="437"/>
        <v>315525.90593445441</v>
      </c>
      <c r="DY142" s="114">
        <f t="shared" si="437"/>
        <v>318748.91027186706</v>
      </c>
      <c r="DZ142" s="114">
        <f t="shared" si="437"/>
        <v>322853.91565525311</v>
      </c>
      <c r="EA142" s="106">
        <f t="shared" si="437"/>
        <v>322853.91565525311</v>
      </c>
      <c r="EB142" s="114">
        <f t="shared" si="437"/>
        <v>325988.67199116945</v>
      </c>
      <c r="EC142" s="114">
        <f t="shared" si="437"/>
        <v>329726.09984999313</v>
      </c>
      <c r="ED142" s="114">
        <f t="shared" si="437"/>
        <v>333803.33009494055</v>
      </c>
      <c r="EE142" s="114">
        <f t="shared" si="437"/>
        <v>338477.65535404539</v>
      </c>
      <c r="EF142" s="106">
        <f t="shared" si="437"/>
        <v>338477.65535404539</v>
      </c>
    </row>
    <row r="143" spans="1:136">
      <c r="A143" s="66" t="s">
        <v>52</v>
      </c>
      <c r="B143" s="114">
        <f t="shared" ref="B143:AM143" si="438">B19-B132-B134</f>
        <v>78445</v>
      </c>
      <c r="C143" s="114">
        <f t="shared" si="438"/>
        <v>77930</v>
      </c>
      <c r="D143" s="114">
        <f t="shared" si="438"/>
        <v>75577</v>
      </c>
      <c r="E143" s="114">
        <f t="shared" si="438"/>
        <v>88838</v>
      </c>
      <c r="F143" s="130">
        <f t="shared" si="438"/>
        <v>88838</v>
      </c>
      <c r="G143" s="114">
        <f t="shared" si="438"/>
        <v>100142.5</v>
      </c>
      <c r="H143" s="114">
        <f t="shared" si="438"/>
        <v>111447</v>
      </c>
      <c r="I143" s="114">
        <f t="shared" si="438"/>
        <v>110363</v>
      </c>
      <c r="J143" s="114">
        <f t="shared" si="438"/>
        <v>111932</v>
      </c>
      <c r="K143" s="130">
        <f t="shared" si="438"/>
        <v>111932</v>
      </c>
      <c r="L143" s="114">
        <f t="shared" si="438"/>
        <v>114787</v>
      </c>
      <c r="M143" s="114">
        <f t="shared" si="438"/>
        <v>184655</v>
      </c>
      <c r="N143" s="114">
        <f t="shared" si="438"/>
        <v>183548</v>
      </c>
      <c r="O143" s="114">
        <f t="shared" si="438"/>
        <v>212233</v>
      </c>
      <c r="P143" s="106">
        <f t="shared" si="438"/>
        <v>212233</v>
      </c>
      <c r="Q143" s="114">
        <f t="shared" si="438"/>
        <v>403245</v>
      </c>
      <c r="R143" s="114">
        <f t="shared" si="438"/>
        <v>85959</v>
      </c>
      <c r="S143" s="114">
        <f t="shared" si="438"/>
        <v>55835</v>
      </c>
      <c r="T143" s="114">
        <f t="shared" si="438"/>
        <v>62280</v>
      </c>
      <c r="U143" s="106">
        <f t="shared" si="438"/>
        <v>62280</v>
      </c>
      <c r="V143" s="114">
        <f t="shared" si="438"/>
        <v>65194</v>
      </c>
      <c r="W143" s="114">
        <f t="shared" si="438"/>
        <v>72309</v>
      </c>
      <c r="X143" s="114">
        <f t="shared" si="438"/>
        <v>78607</v>
      </c>
      <c r="Y143" s="114">
        <f t="shared" si="438"/>
        <v>228380</v>
      </c>
      <c r="Z143" s="106">
        <f t="shared" si="438"/>
        <v>228380</v>
      </c>
      <c r="AA143" s="114">
        <f t="shared" si="438"/>
        <v>264456</v>
      </c>
      <c r="AB143" s="114">
        <f t="shared" si="438"/>
        <v>244182</v>
      </c>
      <c r="AC143" s="114">
        <f t="shared" si="438"/>
        <v>63632</v>
      </c>
      <c r="AD143" s="114">
        <f t="shared" si="438"/>
        <v>69958</v>
      </c>
      <c r="AE143" s="106">
        <f t="shared" si="438"/>
        <v>69958</v>
      </c>
      <c r="AF143" s="114">
        <f t="shared" si="438"/>
        <v>76156</v>
      </c>
      <c r="AG143" s="114">
        <f t="shared" si="438"/>
        <v>81624</v>
      </c>
      <c r="AH143" s="114">
        <f t="shared" si="438"/>
        <v>93187</v>
      </c>
      <c r="AI143" s="114">
        <f t="shared" si="438"/>
        <v>88578</v>
      </c>
      <c r="AJ143" s="106">
        <f t="shared" si="438"/>
        <v>88578</v>
      </c>
      <c r="AK143" s="114">
        <f t="shared" si="438"/>
        <v>91946</v>
      </c>
      <c r="AL143" s="114">
        <f t="shared" si="438"/>
        <v>94036</v>
      </c>
      <c r="AM143" s="114">
        <f t="shared" si="438"/>
        <v>100123</v>
      </c>
      <c r="AN143" s="114">
        <f>AN19-AN132-AN134</f>
        <v>111398</v>
      </c>
      <c r="AO143" s="106">
        <f t="shared" ref="AO143:CC143" si="439">AO19-AO132-AO134</f>
        <v>111398</v>
      </c>
      <c r="AP143" s="114">
        <f t="shared" si="439"/>
        <v>110629</v>
      </c>
      <c r="AQ143" s="114">
        <f t="shared" si="439"/>
        <v>109850</v>
      </c>
      <c r="AR143" s="114">
        <f t="shared" si="439"/>
        <v>113105</v>
      </c>
      <c r="AS143" s="114">
        <f t="shared" si="439"/>
        <v>771278</v>
      </c>
      <c r="AT143" s="106">
        <f t="shared" si="439"/>
        <v>771278</v>
      </c>
      <c r="AU143" s="114">
        <f t="shared" si="439"/>
        <v>1144994</v>
      </c>
      <c r="AV143" s="114">
        <f t="shared" si="439"/>
        <v>773161</v>
      </c>
      <c r="AW143" s="114">
        <f t="shared" si="439"/>
        <v>782399</v>
      </c>
      <c r="AX143" s="114">
        <f t="shared" si="439"/>
        <v>807213</v>
      </c>
      <c r="AY143" s="106">
        <f t="shared" si="439"/>
        <v>807213</v>
      </c>
      <c r="AZ143" s="114">
        <f t="shared" si="439"/>
        <v>816231</v>
      </c>
      <c r="BA143" s="114">
        <f t="shared" si="439"/>
        <v>815364</v>
      </c>
      <c r="BB143" s="114">
        <f t="shared" si="439"/>
        <v>832005</v>
      </c>
      <c r="BC143" s="114">
        <f t="shared" si="439"/>
        <v>787848</v>
      </c>
      <c r="BD143" s="106">
        <f t="shared" si="439"/>
        <v>787848</v>
      </c>
      <c r="BE143" s="114">
        <f t="shared" si="439"/>
        <v>743220</v>
      </c>
      <c r="BF143" s="114">
        <f t="shared" si="439"/>
        <v>846556</v>
      </c>
      <c r="BG143" s="114">
        <f t="shared" si="439"/>
        <v>840098</v>
      </c>
      <c r="BH143" s="114">
        <f t="shared" si="439"/>
        <v>829305</v>
      </c>
      <c r="BI143" s="106">
        <f t="shared" si="439"/>
        <v>829305</v>
      </c>
      <c r="BJ143" s="114">
        <f t="shared" si="439"/>
        <v>796634</v>
      </c>
      <c r="BK143" s="114">
        <f t="shared" si="439"/>
        <v>788195</v>
      </c>
      <c r="BL143" s="114">
        <f t="shared" si="439"/>
        <v>841216</v>
      </c>
      <c r="BM143" s="114">
        <f t="shared" si="439"/>
        <v>978334</v>
      </c>
      <c r="BN143" s="106">
        <f t="shared" si="439"/>
        <v>978334</v>
      </c>
      <c r="BO143" s="114">
        <f t="shared" si="439"/>
        <v>979907</v>
      </c>
      <c r="BP143" s="114">
        <f t="shared" si="439"/>
        <v>977527</v>
      </c>
      <c r="BQ143" s="114">
        <f t="shared" si="439"/>
        <v>877940</v>
      </c>
      <c r="BR143" s="114">
        <f t="shared" si="439"/>
        <v>897356</v>
      </c>
      <c r="BS143" s="106">
        <f t="shared" si="439"/>
        <v>897356</v>
      </c>
      <c r="BT143" s="114">
        <f t="shared" si="439"/>
        <v>979609</v>
      </c>
      <c r="BU143" s="114">
        <f>BU19-BU132-BU134</f>
        <v>943304</v>
      </c>
      <c r="BV143" s="114">
        <f t="shared" si="439"/>
        <v>913687</v>
      </c>
      <c r="BW143" s="114">
        <f t="shared" si="439"/>
        <v>915574</v>
      </c>
      <c r="BX143" s="106">
        <f t="shared" si="439"/>
        <v>915574</v>
      </c>
      <c r="BY143" s="114">
        <f t="shared" si="439"/>
        <v>834244</v>
      </c>
      <c r="BZ143" s="114">
        <f t="shared" si="439"/>
        <v>829475</v>
      </c>
      <c r="CA143" s="114">
        <f>CA19-CA132-CA134</f>
        <v>884373</v>
      </c>
      <c r="CB143" s="114">
        <f t="shared" si="439"/>
        <v>864464</v>
      </c>
      <c r="CC143" s="106">
        <f t="shared" si="439"/>
        <v>864464</v>
      </c>
      <c r="CD143" s="114">
        <f>CD19-CD132-CD134</f>
        <v>833433</v>
      </c>
      <c r="CE143" s="114">
        <f>CE19-CE132-CE134</f>
        <v>833275</v>
      </c>
      <c r="CF143" s="114">
        <f>CF19-CF132-CF134</f>
        <v>2119426</v>
      </c>
      <c r="CG143" s="114">
        <f>CG19-CG132-CG134</f>
        <v>2104120</v>
      </c>
      <c r="CH143" s="106">
        <f t="shared" ref="CH143:DG143" si="440">CH19-CH132-CH134</f>
        <v>2104120</v>
      </c>
      <c r="CI143" s="114">
        <f t="shared" si="440"/>
        <v>2179467</v>
      </c>
      <c r="CJ143" s="114">
        <f t="shared" si="440"/>
        <v>2149508</v>
      </c>
      <c r="CK143" s="114">
        <f t="shared" si="440"/>
        <v>2184814</v>
      </c>
      <c r="CL143" s="114">
        <f t="shared" si="440"/>
        <v>2130306</v>
      </c>
      <c r="CM143" s="106">
        <f t="shared" si="440"/>
        <v>2130306</v>
      </c>
      <c r="CN143" s="114">
        <f>CN19-CN132-CN134</f>
        <v>2243869</v>
      </c>
      <c r="CO143" s="114">
        <f>CO19-CO132-CO134</f>
        <v>2321046</v>
      </c>
      <c r="CP143" s="114">
        <f>CP19-CP132-CP134</f>
        <v>2327083</v>
      </c>
      <c r="CQ143" s="114">
        <f t="shared" si="440"/>
        <v>2307629</v>
      </c>
      <c r="CR143" s="106">
        <f t="shared" si="440"/>
        <v>2307629</v>
      </c>
      <c r="CS143" s="114">
        <f t="shared" si="440"/>
        <v>2353238</v>
      </c>
      <c r="CT143" s="114">
        <f t="shared" si="440"/>
        <v>2379459</v>
      </c>
      <c r="CU143" s="114">
        <f t="shared" si="440"/>
        <v>2413941</v>
      </c>
      <c r="CV143" s="114">
        <f>CV19-CV132-CV134</f>
        <v>2503123</v>
      </c>
      <c r="CW143" s="106">
        <f t="shared" si="440"/>
        <v>2503123</v>
      </c>
      <c r="CX143" s="114">
        <f>CX19-CX132-CX134</f>
        <v>2609287</v>
      </c>
      <c r="CY143" s="114">
        <f t="shared" si="440"/>
        <v>2793383</v>
      </c>
      <c r="CZ143" s="114">
        <f t="shared" ref="CZ143" si="441">CZ19-CZ132-CZ134</f>
        <v>2929731</v>
      </c>
      <c r="DA143" s="114">
        <f t="shared" si="440"/>
        <v>3156459</v>
      </c>
      <c r="DB143" s="106">
        <f t="shared" si="440"/>
        <v>3156459</v>
      </c>
      <c r="DC143" s="114">
        <f t="shared" si="440"/>
        <v>3102175</v>
      </c>
      <c r="DD143" s="114">
        <f t="shared" ref="DD143:DE143" si="442">DD19-DD132-DD134</f>
        <v>3150184</v>
      </c>
      <c r="DE143" s="114">
        <f t="shared" si="442"/>
        <v>3232248</v>
      </c>
      <c r="DF143" s="114">
        <f t="shared" si="440"/>
        <v>3620686</v>
      </c>
      <c r="DG143" s="106">
        <f t="shared" si="440"/>
        <v>3620686</v>
      </c>
      <c r="DH143" s="114">
        <f>DH19-DH132-DH134</f>
        <v>3687241</v>
      </c>
      <c r="DI143" s="114">
        <f>DI19-DI132-DI134</f>
        <v>3830090</v>
      </c>
      <c r="DJ143" s="114">
        <f>DJ19-DJ132-DJ134</f>
        <v>3795370.8728189771</v>
      </c>
      <c r="DK143" s="114">
        <f>DK19-DK132-DK134</f>
        <v>3932814.2434961312</v>
      </c>
      <c r="DL143" s="106">
        <f>DL19-DL132-DL134</f>
        <v>3932814.2434961312</v>
      </c>
      <c r="DM143" s="114">
        <f t="shared" ref="DM143:EF143" si="443">DM19-DM132-DM134</f>
        <v>3921763.0725573781</v>
      </c>
      <c r="DN143" s="114">
        <f t="shared" si="443"/>
        <v>4058412.3070495441</v>
      </c>
      <c r="DO143" s="114">
        <f t="shared" si="443"/>
        <v>4236164.0632893909</v>
      </c>
      <c r="DP143" s="114">
        <f t="shared" si="443"/>
        <v>4406162.9750311766</v>
      </c>
      <c r="DQ143" s="106">
        <f t="shared" si="443"/>
        <v>4406162.9750311766</v>
      </c>
      <c r="DR143" s="114">
        <f t="shared" si="443"/>
        <v>4516019.7616364742</v>
      </c>
      <c r="DS143" s="114">
        <f t="shared" si="443"/>
        <v>4631879.3297243947</v>
      </c>
      <c r="DT143" s="114">
        <f t="shared" si="443"/>
        <v>4763243.5306758471</v>
      </c>
      <c r="DU143" s="114">
        <f t="shared" si="443"/>
        <v>4948135.3465921143</v>
      </c>
      <c r="DV143" s="106">
        <f t="shared" si="443"/>
        <v>4948135.3465921143</v>
      </c>
      <c r="DW143" s="114">
        <f t="shared" si="443"/>
        <v>4987664.0093282722</v>
      </c>
      <c r="DX143" s="114">
        <f t="shared" si="443"/>
        <v>5064594.3267246848</v>
      </c>
      <c r="DY143" s="114">
        <f t="shared" si="443"/>
        <v>5125040.5693666525</v>
      </c>
      <c r="DZ143" s="114">
        <f t="shared" si="443"/>
        <v>5204346.8740095682</v>
      </c>
      <c r="EA143" s="106">
        <f t="shared" si="443"/>
        <v>5204346.8740095682</v>
      </c>
      <c r="EB143" s="114">
        <f t="shared" si="443"/>
        <v>5171106.9377914974</v>
      </c>
      <c r="EC143" s="114">
        <f t="shared" si="443"/>
        <v>5208273.8203630829</v>
      </c>
      <c r="ED143" s="114">
        <f t="shared" si="443"/>
        <v>5279760.4121554866</v>
      </c>
      <c r="EE143" s="114">
        <f t="shared" si="443"/>
        <v>5356801.1016337397</v>
      </c>
      <c r="EF143" s="106">
        <f t="shared" si="443"/>
        <v>5356801.1016337397</v>
      </c>
    </row>
    <row r="144" spans="1:136">
      <c r="A144" s="66" t="s">
        <v>783</v>
      </c>
      <c r="B144" s="114">
        <f t="shared" ref="B144:AM144" si="444">B18+B7+B15</f>
        <v>50233</v>
      </c>
      <c r="C144" s="114">
        <f t="shared" si="444"/>
        <v>44714</v>
      </c>
      <c r="D144" s="114">
        <f t="shared" si="444"/>
        <v>51616</v>
      </c>
      <c r="E144" s="114">
        <f t="shared" si="444"/>
        <v>193559</v>
      </c>
      <c r="F144" s="130">
        <f t="shared" si="444"/>
        <v>193559</v>
      </c>
      <c r="G144" s="114">
        <f t="shared" si="444"/>
        <v>160999.5</v>
      </c>
      <c r="H144" s="114">
        <f t="shared" si="444"/>
        <v>136878</v>
      </c>
      <c r="I144" s="114">
        <f t="shared" si="444"/>
        <v>128544</v>
      </c>
      <c r="J144" s="114">
        <f t="shared" si="444"/>
        <v>202941</v>
      </c>
      <c r="K144" s="130">
        <f t="shared" si="444"/>
        <v>202941</v>
      </c>
      <c r="L144" s="114">
        <f t="shared" si="444"/>
        <v>245498</v>
      </c>
      <c r="M144" s="114">
        <f t="shared" si="444"/>
        <v>268857</v>
      </c>
      <c r="N144" s="114">
        <f t="shared" si="444"/>
        <v>311473</v>
      </c>
      <c r="O144" s="114">
        <f t="shared" si="444"/>
        <v>363310</v>
      </c>
      <c r="P144" s="106">
        <f t="shared" si="444"/>
        <v>363310</v>
      </c>
      <c r="Q144" s="114">
        <f t="shared" si="444"/>
        <v>414161</v>
      </c>
      <c r="R144" s="114">
        <f t="shared" si="444"/>
        <v>712626</v>
      </c>
      <c r="S144" s="114">
        <f t="shared" si="444"/>
        <v>472980</v>
      </c>
      <c r="T144" s="114">
        <f t="shared" si="444"/>
        <v>673147</v>
      </c>
      <c r="U144" s="106">
        <f t="shared" si="444"/>
        <v>673147</v>
      </c>
      <c r="V144" s="114">
        <f t="shared" si="444"/>
        <v>605023</v>
      </c>
      <c r="W144" s="114">
        <f t="shared" si="444"/>
        <v>646943</v>
      </c>
      <c r="X144" s="114">
        <f t="shared" si="444"/>
        <v>627200</v>
      </c>
      <c r="Y144" s="114">
        <f t="shared" si="444"/>
        <v>598809</v>
      </c>
      <c r="Z144" s="106">
        <f t="shared" si="444"/>
        <v>598809</v>
      </c>
      <c r="AA144" s="114">
        <f t="shared" si="444"/>
        <v>604624</v>
      </c>
      <c r="AB144" s="114">
        <f t="shared" si="444"/>
        <v>603892</v>
      </c>
      <c r="AC144" s="114">
        <f t="shared" si="444"/>
        <v>592771</v>
      </c>
      <c r="AD144" s="114">
        <f t="shared" si="444"/>
        <v>616760</v>
      </c>
      <c r="AE144" s="106">
        <f t="shared" si="444"/>
        <v>616760</v>
      </c>
      <c r="AF144" s="114">
        <f t="shared" si="444"/>
        <v>721599</v>
      </c>
      <c r="AG144" s="114">
        <f t="shared" si="444"/>
        <v>789584</v>
      </c>
      <c r="AH144" s="114">
        <f t="shared" si="444"/>
        <v>764753</v>
      </c>
      <c r="AI144" s="114">
        <f t="shared" si="444"/>
        <v>650125</v>
      </c>
      <c r="AJ144" s="106">
        <f t="shared" si="444"/>
        <v>650125</v>
      </c>
      <c r="AK144" s="114">
        <f t="shared" si="444"/>
        <v>817184</v>
      </c>
      <c r="AL144" s="114">
        <f t="shared" si="444"/>
        <v>774620</v>
      </c>
      <c r="AM144" s="114">
        <f t="shared" si="444"/>
        <v>763441</v>
      </c>
      <c r="AN144" s="114">
        <f>AN18+AN7+AN15</f>
        <v>1038439</v>
      </c>
      <c r="AO144" s="106">
        <f t="shared" ref="AO144:CC144" si="445">AO18+AO7+AO15</f>
        <v>1038439</v>
      </c>
      <c r="AP144" s="114">
        <f t="shared" si="445"/>
        <v>881379</v>
      </c>
      <c r="AQ144" s="114">
        <f t="shared" si="445"/>
        <v>1075660</v>
      </c>
      <c r="AR144" s="114">
        <f t="shared" si="445"/>
        <v>1103541</v>
      </c>
      <c r="AS144" s="114">
        <f t="shared" si="445"/>
        <v>1151991</v>
      </c>
      <c r="AT144" s="106">
        <f t="shared" si="445"/>
        <v>1151991</v>
      </c>
      <c r="AU144" s="114">
        <f t="shared" si="445"/>
        <v>1302645</v>
      </c>
      <c r="AV144" s="114">
        <f t="shared" si="445"/>
        <v>1292864</v>
      </c>
      <c r="AW144" s="114">
        <f t="shared" si="445"/>
        <v>1342558</v>
      </c>
      <c r="AX144" s="114">
        <f t="shared" si="445"/>
        <v>1176834</v>
      </c>
      <c r="AY144" s="106">
        <f t="shared" si="445"/>
        <v>1176834</v>
      </c>
      <c r="AZ144" s="114">
        <f t="shared" si="445"/>
        <v>1083942</v>
      </c>
      <c r="BA144" s="114">
        <f t="shared" si="445"/>
        <v>1017400</v>
      </c>
      <c r="BB144" s="114">
        <f t="shared" si="445"/>
        <v>928022</v>
      </c>
      <c r="BC144" s="114">
        <f t="shared" si="445"/>
        <v>541325</v>
      </c>
      <c r="BD144" s="106">
        <f t="shared" si="445"/>
        <v>541325</v>
      </c>
      <c r="BE144" s="114">
        <f t="shared" si="445"/>
        <v>561991</v>
      </c>
      <c r="BF144" s="114">
        <f t="shared" si="445"/>
        <v>459159</v>
      </c>
      <c r="BG144" s="114">
        <f t="shared" si="445"/>
        <v>466625</v>
      </c>
      <c r="BH144" s="114">
        <f t="shared" si="445"/>
        <v>463995</v>
      </c>
      <c r="BI144" s="106">
        <f t="shared" si="445"/>
        <v>463995</v>
      </c>
      <c r="BJ144" s="114">
        <f t="shared" si="445"/>
        <v>532572</v>
      </c>
      <c r="BK144" s="114">
        <f t="shared" si="445"/>
        <v>495665</v>
      </c>
      <c r="BL144" s="114">
        <f t="shared" si="445"/>
        <v>547433</v>
      </c>
      <c r="BM144" s="114">
        <f t="shared" si="445"/>
        <v>544197</v>
      </c>
      <c r="BN144" s="106">
        <f t="shared" si="445"/>
        <v>544197</v>
      </c>
      <c r="BO144" s="114">
        <f t="shared" si="445"/>
        <v>532397</v>
      </c>
      <c r="BP144" s="114">
        <f t="shared" si="445"/>
        <v>503608</v>
      </c>
      <c r="BQ144" s="114">
        <f t="shared" si="445"/>
        <v>489891</v>
      </c>
      <c r="BR144" s="114">
        <f t="shared" si="445"/>
        <v>539063</v>
      </c>
      <c r="BS144" s="106">
        <f t="shared" si="445"/>
        <v>539063</v>
      </c>
      <c r="BT144" s="114">
        <f t="shared" si="445"/>
        <v>539775</v>
      </c>
      <c r="BU144" s="114">
        <f>BU18+BU7+BU15</f>
        <v>537553</v>
      </c>
      <c r="BV144" s="114">
        <f t="shared" si="445"/>
        <v>449203</v>
      </c>
      <c r="BW144" s="114">
        <f t="shared" si="445"/>
        <v>486736</v>
      </c>
      <c r="BX144" s="106">
        <f t="shared" si="445"/>
        <v>486736</v>
      </c>
      <c r="BY144" s="114">
        <f t="shared" si="445"/>
        <v>505384</v>
      </c>
      <c r="BZ144" s="114">
        <f t="shared" si="445"/>
        <v>482484</v>
      </c>
      <c r="CA144" s="114">
        <f>CA18+CA7+CA15</f>
        <v>506356</v>
      </c>
      <c r="CB144" s="114">
        <f t="shared" si="445"/>
        <v>528399</v>
      </c>
      <c r="CC144" s="106">
        <f t="shared" si="445"/>
        <v>528399</v>
      </c>
      <c r="CD144" s="114">
        <f>CD18+CD7+CD15</f>
        <v>624342</v>
      </c>
      <c r="CE144" s="114">
        <f>CE18+CE7+CE15</f>
        <v>674547</v>
      </c>
      <c r="CF144" s="114">
        <f>CF18+CF7+CF15</f>
        <v>710068</v>
      </c>
      <c r="CG144" s="114">
        <f>CG18+CG7+CG15</f>
        <v>625944</v>
      </c>
      <c r="CH144" s="106">
        <f t="shared" ref="CH144:DG144" si="446">CH18+CH7+CH15</f>
        <v>625944</v>
      </c>
      <c r="CI144" s="114">
        <f t="shared" si="446"/>
        <v>657092</v>
      </c>
      <c r="CJ144" s="114">
        <f t="shared" si="446"/>
        <v>672585</v>
      </c>
      <c r="CK144" s="114">
        <f t="shared" si="446"/>
        <v>708649</v>
      </c>
      <c r="CL144" s="114">
        <f t="shared" si="446"/>
        <v>846197</v>
      </c>
      <c r="CM144" s="106">
        <f t="shared" si="446"/>
        <v>846197</v>
      </c>
      <c r="CN144" s="114">
        <f>CN18+CN7+CN15</f>
        <v>828844</v>
      </c>
      <c r="CO144" s="114">
        <f>CO18+CO7+CO15</f>
        <v>901285</v>
      </c>
      <c r="CP144" s="114">
        <f>CP18+CP7+CP15</f>
        <v>777969</v>
      </c>
      <c r="CQ144" s="114">
        <f t="shared" si="446"/>
        <v>922889</v>
      </c>
      <c r="CR144" s="106">
        <f t="shared" si="446"/>
        <v>922889</v>
      </c>
      <c r="CS144" s="114">
        <f t="shared" si="446"/>
        <v>905329</v>
      </c>
      <c r="CT144" s="114">
        <f t="shared" si="446"/>
        <v>895258</v>
      </c>
      <c r="CU144" s="114">
        <f t="shared" si="446"/>
        <v>968235</v>
      </c>
      <c r="CV144" s="114">
        <f>CV18+CV7+CV15</f>
        <v>989374</v>
      </c>
      <c r="CW144" s="106">
        <f t="shared" si="446"/>
        <v>989374</v>
      </c>
      <c r="CX144" s="114">
        <f>CX18+CX7+CX15</f>
        <v>1150124</v>
      </c>
      <c r="CY144" s="114">
        <f t="shared" si="446"/>
        <v>1228583</v>
      </c>
      <c r="CZ144" s="114">
        <f t="shared" ref="CZ144" si="447">CZ18+CZ7+CZ15</f>
        <v>1158600</v>
      </c>
      <c r="DA144" s="114">
        <f t="shared" si="446"/>
        <v>1034216</v>
      </c>
      <c r="DB144" s="106">
        <f t="shared" si="446"/>
        <v>1034216</v>
      </c>
      <c r="DC144" s="114">
        <f t="shared" si="446"/>
        <v>1036927</v>
      </c>
      <c r="DD144" s="114">
        <f t="shared" ref="DD144:DE144" si="448">DD18+DD7+DD15</f>
        <v>1039363</v>
      </c>
      <c r="DE144" s="114">
        <f t="shared" si="448"/>
        <v>1168663</v>
      </c>
      <c r="DF144" s="114">
        <f t="shared" si="446"/>
        <v>1008212</v>
      </c>
      <c r="DG144" s="106">
        <f t="shared" si="446"/>
        <v>1008212</v>
      </c>
      <c r="DH144" s="114">
        <f>DH18+DH7+DH15</f>
        <v>1083175</v>
      </c>
      <c r="DI144" s="114">
        <f>DI18+DI7+DI15</f>
        <v>1157751</v>
      </c>
      <c r="DJ144" s="114">
        <f>DJ18+DJ7+DJ15</f>
        <v>1160641.0248203503</v>
      </c>
      <c r="DK144" s="114">
        <f>DK18+DK7+DK15</f>
        <v>1172568.7784040163</v>
      </c>
      <c r="DL144" s="106">
        <f>DL18+DL7+DL15</f>
        <v>1172568.7784040163</v>
      </c>
      <c r="DM144" s="114">
        <f t="shared" ref="DM144:EF144" si="449">DM18+DM7+DM15</f>
        <v>1176756.8496243854</v>
      </c>
      <c r="DN144" s="114">
        <f t="shared" si="449"/>
        <v>1179550.3668992643</v>
      </c>
      <c r="DO144" s="114">
        <f t="shared" si="449"/>
        <v>1181527.1331374145</v>
      </c>
      <c r="DP144" s="114">
        <f t="shared" si="449"/>
        <v>1183789.5953004609</v>
      </c>
      <c r="DQ144" s="106">
        <f t="shared" si="449"/>
        <v>1183789.5953004609</v>
      </c>
      <c r="DR144" s="114">
        <f t="shared" si="449"/>
        <v>1183859.5650589433</v>
      </c>
      <c r="DS144" s="114">
        <f t="shared" si="449"/>
        <v>1184334.0316599314</v>
      </c>
      <c r="DT144" s="114">
        <f t="shared" si="449"/>
        <v>1185296.7137873126</v>
      </c>
      <c r="DU144" s="114">
        <f t="shared" si="449"/>
        <v>1186884.7273738331</v>
      </c>
      <c r="DV144" s="106">
        <f t="shared" si="449"/>
        <v>1186884.7273738331</v>
      </c>
      <c r="DW144" s="114">
        <f t="shared" si="449"/>
        <v>1187987.9627141082</v>
      </c>
      <c r="DX144" s="114">
        <f t="shared" si="449"/>
        <v>1189552.4531293241</v>
      </c>
      <c r="DY144" s="114">
        <f t="shared" si="449"/>
        <v>1191416.8359972488</v>
      </c>
      <c r="DZ144" s="114">
        <f t="shared" si="449"/>
        <v>1193791.4222243549</v>
      </c>
      <c r="EA144" s="106">
        <f t="shared" si="449"/>
        <v>1193791.4222243549</v>
      </c>
      <c r="EB144" s="114">
        <f t="shared" si="449"/>
        <v>1195604.7570498651</v>
      </c>
      <c r="EC144" s="114">
        <f t="shared" si="449"/>
        <v>1197766.713951136</v>
      </c>
      <c r="ED144" s="114">
        <f t="shared" si="449"/>
        <v>1200125.233339095</v>
      </c>
      <c r="EE144" s="114">
        <f t="shared" si="449"/>
        <v>1202829.1490090252</v>
      </c>
      <c r="EF144" s="106">
        <f t="shared" si="449"/>
        <v>1202829.1490090252</v>
      </c>
    </row>
    <row r="145" spans="1:136">
      <c r="A145" s="66" t="s">
        <v>717</v>
      </c>
      <c r="B145" s="114">
        <f t="shared" ref="B145:BM145" si="450">SUM(B146:B149)</f>
        <v>342438</v>
      </c>
      <c r="C145" s="114">
        <f t="shared" si="450"/>
        <v>265730</v>
      </c>
      <c r="D145" s="114">
        <f t="shared" si="450"/>
        <v>284428</v>
      </c>
      <c r="E145" s="114">
        <f t="shared" si="450"/>
        <v>758267</v>
      </c>
      <c r="F145" s="130">
        <f t="shared" si="450"/>
        <v>758267</v>
      </c>
      <c r="G145" s="114">
        <f t="shared" si="450"/>
        <v>1172297.5</v>
      </c>
      <c r="H145" s="114">
        <f t="shared" si="450"/>
        <v>807174</v>
      </c>
      <c r="I145" s="114">
        <f t="shared" si="450"/>
        <v>636400</v>
      </c>
      <c r="J145" s="114">
        <f t="shared" si="450"/>
        <v>635478</v>
      </c>
      <c r="K145" s="130">
        <f t="shared" si="450"/>
        <v>635478</v>
      </c>
      <c r="L145" s="114">
        <f t="shared" si="450"/>
        <v>675748</v>
      </c>
      <c r="M145" s="114">
        <f t="shared" si="450"/>
        <v>735192</v>
      </c>
      <c r="N145" s="114">
        <f t="shared" si="450"/>
        <v>699801</v>
      </c>
      <c r="O145" s="114">
        <f t="shared" si="450"/>
        <v>966866</v>
      </c>
      <c r="P145" s="106">
        <f t="shared" si="450"/>
        <v>966866</v>
      </c>
      <c r="Q145" s="114">
        <f t="shared" si="450"/>
        <v>1183456</v>
      </c>
      <c r="R145" s="114">
        <f t="shared" si="450"/>
        <v>1656886</v>
      </c>
      <c r="S145" s="114">
        <f t="shared" si="450"/>
        <v>1890059</v>
      </c>
      <c r="T145" s="114">
        <f t="shared" si="450"/>
        <v>2454044</v>
      </c>
      <c r="U145" s="106">
        <f t="shared" si="450"/>
        <v>2454044</v>
      </c>
      <c r="V145" s="114">
        <f t="shared" si="450"/>
        <v>2760063</v>
      </c>
      <c r="W145" s="114">
        <f t="shared" si="450"/>
        <v>3073811</v>
      </c>
      <c r="X145" s="114">
        <f t="shared" si="450"/>
        <v>3529514</v>
      </c>
      <c r="Y145" s="114">
        <f t="shared" si="450"/>
        <v>5147825</v>
      </c>
      <c r="Z145" s="106">
        <f t="shared" si="450"/>
        <v>5147825</v>
      </c>
      <c r="AA145" s="114">
        <f t="shared" si="450"/>
        <v>5390338</v>
      </c>
      <c r="AB145" s="114">
        <f t="shared" si="450"/>
        <v>5296866</v>
      </c>
      <c r="AC145" s="114">
        <f t="shared" si="450"/>
        <v>5973796</v>
      </c>
      <c r="AD145" s="114">
        <f t="shared" si="450"/>
        <v>6445307</v>
      </c>
      <c r="AE145" s="106">
        <f t="shared" si="450"/>
        <v>6445307</v>
      </c>
      <c r="AF145" s="114">
        <f t="shared" si="450"/>
        <v>6585323</v>
      </c>
      <c r="AG145" s="114">
        <f t="shared" si="450"/>
        <v>6754567</v>
      </c>
      <c r="AH145" s="114">
        <f t="shared" si="450"/>
        <v>6901264</v>
      </c>
      <c r="AI145" s="114">
        <f t="shared" si="450"/>
        <v>7360624</v>
      </c>
      <c r="AJ145" s="106">
        <f t="shared" si="450"/>
        <v>7360624</v>
      </c>
      <c r="AK145" s="114">
        <f t="shared" si="450"/>
        <v>7715229</v>
      </c>
      <c r="AL145" s="114">
        <f t="shared" si="450"/>
        <v>8086986</v>
      </c>
      <c r="AM145" s="114">
        <f t="shared" si="450"/>
        <v>8636319</v>
      </c>
      <c r="AN145" s="114">
        <f>SUM(AN146:AN149)</f>
        <v>8721911</v>
      </c>
      <c r="AO145" s="106">
        <f t="shared" si="450"/>
        <v>8721911</v>
      </c>
      <c r="AP145" s="114">
        <f t="shared" si="450"/>
        <v>8507214</v>
      </c>
      <c r="AQ145" s="114">
        <f t="shared" si="450"/>
        <v>8433298</v>
      </c>
      <c r="AR145" s="114">
        <f t="shared" si="450"/>
        <v>8258062</v>
      </c>
      <c r="AS145" s="114">
        <f t="shared" si="450"/>
        <v>7979141</v>
      </c>
      <c r="AT145" s="106">
        <f t="shared" si="450"/>
        <v>7979141</v>
      </c>
      <c r="AU145" s="114">
        <f t="shared" si="450"/>
        <v>7701530</v>
      </c>
      <c r="AV145" s="114">
        <f t="shared" si="450"/>
        <v>7507268</v>
      </c>
      <c r="AW145" s="114">
        <f t="shared" si="450"/>
        <v>7717169</v>
      </c>
      <c r="AX145" s="114">
        <f t="shared" si="450"/>
        <v>8193051</v>
      </c>
      <c r="AY145" s="106">
        <f t="shared" si="450"/>
        <v>8193051</v>
      </c>
      <c r="AZ145" s="114">
        <f t="shared" si="450"/>
        <v>8204292</v>
      </c>
      <c r="BA145" s="114">
        <f t="shared" si="450"/>
        <v>7576614</v>
      </c>
      <c r="BB145" s="114">
        <f t="shared" si="450"/>
        <v>7521384</v>
      </c>
      <c r="BC145" s="114">
        <f t="shared" si="450"/>
        <v>7052767</v>
      </c>
      <c r="BD145" s="106">
        <f t="shared" si="450"/>
        <v>7052767</v>
      </c>
      <c r="BE145" s="114">
        <f t="shared" si="450"/>
        <v>6909644</v>
      </c>
      <c r="BF145" s="114">
        <f t="shared" si="450"/>
        <v>6898068</v>
      </c>
      <c r="BG145" s="114">
        <f t="shared" si="450"/>
        <v>6613926</v>
      </c>
      <c r="BH145" s="114">
        <f t="shared" si="450"/>
        <v>6050701</v>
      </c>
      <c r="BI145" s="106">
        <f t="shared" si="450"/>
        <v>6050701</v>
      </c>
      <c r="BJ145" s="114">
        <f t="shared" si="450"/>
        <v>5933761</v>
      </c>
      <c r="BK145" s="114">
        <f t="shared" si="450"/>
        <v>5483837</v>
      </c>
      <c r="BL145" s="114">
        <f t="shared" si="450"/>
        <v>5322887</v>
      </c>
      <c r="BM145" s="114">
        <f t="shared" si="450"/>
        <v>5112957</v>
      </c>
      <c r="BN145" s="106">
        <f t="shared" ref="BN145:CC145" si="451">SUM(BN146:BN149)</f>
        <v>5112957</v>
      </c>
      <c r="BO145" s="114">
        <f t="shared" si="451"/>
        <v>5161295</v>
      </c>
      <c r="BP145" s="114">
        <f t="shared" si="451"/>
        <v>5025272</v>
      </c>
      <c r="BQ145" s="114">
        <f t="shared" si="451"/>
        <v>4611607</v>
      </c>
      <c r="BR145" s="114">
        <f t="shared" si="451"/>
        <v>4036043</v>
      </c>
      <c r="BS145" s="106">
        <f t="shared" si="451"/>
        <v>4036043</v>
      </c>
      <c r="BT145" s="114">
        <f t="shared" si="451"/>
        <v>3617126</v>
      </c>
      <c r="BU145" s="114">
        <f>SUM(BU146:BU149)</f>
        <v>4228470</v>
      </c>
      <c r="BV145" s="114">
        <f t="shared" si="451"/>
        <v>4850955</v>
      </c>
      <c r="BW145" s="114">
        <f t="shared" si="451"/>
        <v>4291457</v>
      </c>
      <c r="BX145" s="106">
        <f t="shared" si="451"/>
        <v>4291457</v>
      </c>
      <c r="BY145" s="114">
        <f t="shared" si="451"/>
        <v>4174538</v>
      </c>
      <c r="BZ145" s="114">
        <f t="shared" si="451"/>
        <v>4253983</v>
      </c>
      <c r="CA145" s="114">
        <f>SUM(CA146:CA149)</f>
        <v>4490832</v>
      </c>
      <c r="CB145" s="114">
        <f t="shared" si="451"/>
        <v>4812335</v>
      </c>
      <c r="CC145" s="106">
        <f t="shared" si="451"/>
        <v>4812335</v>
      </c>
      <c r="CD145" s="114">
        <f>SUM(CD146:CD149)</f>
        <v>5080124</v>
      </c>
      <c r="CE145" s="114">
        <f>SUM(CE146:CE149)</f>
        <v>5606950</v>
      </c>
      <c r="CF145" s="114">
        <f>SUM(CF146:CF149)</f>
        <v>4845126</v>
      </c>
      <c r="CG145" s="114">
        <f>SUM(CG146:CG149)</f>
        <v>5637298</v>
      </c>
      <c r="CH145" s="106">
        <f t="shared" ref="CH145:DG145" si="452">SUM(CH146:CH149)</f>
        <v>5637298</v>
      </c>
      <c r="CI145" s="114">
        <f t="shared" si="452"/>
        <v>5656026</v>
      </c>
      <c r="CJ145" s="114">
        <f t="shared" si="452"/>
        <v>6083620</v>
      </c>
      <c r="CK145" s="114">
        <f t="shared" si="452"/>
        <v>6558432</v>
      </c>
      <c r="CL145" s="114">
        <f t="shared" si="452"/>
        <v>7039246</v>
      </c>
      <c r="CM145" s="106">
        <f t="shared" si="452"/>
        <v>7039246</v>
      </c>
      <c r="CN145" s="114">
        <f>SUM(CN146:CN149)</f>
        <v>7231575</v>
      </c>
      <c r="CO145" s="114">
        <f>SUM(CO146:CO149)</f>
        <v>7668775</v>
      </c>
      <c r="CP145" s="114">
        <f>SUM(CP146:CP149)</f>
        <v>8920338</v>
      </c>
      <c r="CQ145" s="114">
        <f t="shared" si="452"/>
        <v>8860808</v>
      </c>
      <c r="CR145" s="106">
        <f t="shared" si="452"/>
        <v>8860808</v>
      </c>
      <c r="CS145" s="114">
        <f t="shared" si="452"/>
        <v>8450235</v>
      </c>
      <c r="CT145" s="114">
        <f t="shared" si="452"/>
        <v>8581444</v>
      </c>
      <c r="CU145" s="114">
        <f t="shared" si="452"/>
        <v>8483305</v>
      </c>
      <c r="CV145" s="114">
        <f>SUM(CV146:CV149)</f>
        <v>8871374</v>
      </c>
      <c r="CW145" s="106">
        <f t="shared" si="452"/>
        <v>8871374</v>
      </c>
      <c r="CX145" s="114">
        <f>SUM(CX146:CX149)</f>
        <v>8922776</v>
      </c>
      <c r="CY145" s="114">
        <f t="shared" si="452"/>
        <v>9026157</v>
      </c>
      <c r="CZ145" s="114">
        <f t="shared" ref="CZ145" si="453">SUM(CZ146:CZ149)</f>
        <v>9722539</v>
      </c>
      <c r="DA145" s="114">
        <f t="shared" si="452"/>
        <v>11291688</v>
      </c>
      <c r="DB145" s="106">
        <f t="shared" si="452"/>
        <v>11291688</v>
      </c>
      <c r="DC145" s="114">
        <f t="shared" si="452"/>
        <v>11430229</v>
      </c>
      <c r="DD145" s="114">
        <f t="shared" ref="DD145:DE145" si="454">SUM(DD146:DD149)</f>
        <v>12539919</v>
      </c>
      <c r="DE145" s="114">
        <f t="shared" si="454"/>
        <v>13461465</v>
      </c>
      <c r="DF145" s="114">
        <f t="shared" si="452"/>
        <v>14643033</v>
      </c>
      <c r="DG145" s="106">
        <f t="shared" si="452"/>
        <v>14643033</v>
      </c>
      <c r="DH145" s="114">
        <f>SUM(DH146:DH149)</f>
        <v>14786091</v>
      </c>
      <c r="DI145" s="114">
        <f>SUM(DI146:DI149)</f>
        <v>15289389</v>
      </c>
      <c r="DJ145" s="114">
        <f>SUM(DJ146:DJ149)</f>
        <v>15097345.366737403</v>
      </c>
      <c r="DK145" s="114">
        <f>SUM(DK146:DK149)</f>
        <v>15309659.140465586</v>
      </c>
      <c r="DL145" s="106">
        <f>SUM(DL146:DL149)</f>
        <v>15309659.140465586</v>
      </c>
      <c r="DM145" s="114">
        <f t="shared" ref="DM145:EF145" si="455">SUM(DM146:DM149)</f>
        <v>15051949.960322144</v>
      </c>
      <c r="DN145" s="114">
        <f t="shared" si="455"/>
        <v>15059496.471877418</v>
      </c>
      <c r="DO145" s="114">
        <f t="shared" si="455"/>
        <v>15137373.017355032</v>
      </c>
      <c r="DP145" s="114">
        <f t="shared" ca="1" si="455"/>
        <v>16215512.013032945</v>
      </c>
      <c r="DQ145" s="106">
        <f t="shared" ca="1" si="455"/>
        <v>16215512.013032945</v>
      </c>
      <c r="DR145" s="114">
        <f t="shared" ca="1" si="455"/>
        <v>16632185.175039018</v>
      </c>
      <c r="DS145" s="114">
        <f t="shared" si="455"/>
        <v>15686561.322568711</v>
      </c>
      <c r="DT145" s="114">
        <f t="shared" si="455"/>
        <v>15765222.670038536</v>
      </c>
      <c r="DU145" s="114">
        <f t="shared" ca="1" si="455"/>
        <v>17675987.2045555</v>
      </c>
      <c r="DV145" s="106">
        <f t="shared" ca="1" si="455"/>
        <v>17675987.2045555</v>
      </c>
      <c r="DW145" s="114">
        <f t="shared" ca="1" si="455"/>
        <v>18089434.809344247</v>
      </c>
      <c r="DX145" s="114">
        <f t="shared" si="455"/>
        <v>16315378.049165098</v>
      </c>
      <c r="DY145" s="114">
        <f t="shared" si="455"/>
        <v>16398084.07550591</v>
      </c>
      <c r="DZ145" s="114">
        <f t="shared" ca="1" si="455"/>
        <v>18430092.162842728</v>
      </c>
      <c r="EA145" s="106">
        <f t="shared" ca="1" si="455"/>
        <v>18430092.162842728</v>
      </c>
      <c r="EB145" s="114">
        <f t="shared" ca="1" si="455"/>
        <v>18840900.245567106</v>
      </c>
      <c r="EC145" s="114">
        <f t="shared" si="455"/>
        <v>16953580.911702551</v>
      </c>
      <c r="ED145" s="114">
        <f t="shared" si="455"/>
        <v>17041128.657758117</v>
      </c>
      <c r="EE145" s="114">
        <f t="shared" ca="1" si="455"/>
        <v>19169958.296108522</v>
      </c>
      <c r="EF145" s="106">
        <f t="shared" ca="1" si="455"/>
        <v>19169958.296108522</v>
      </c>
    </row>
    <row r="146" spans="1:136">
      <c r="A146" s="66" t="s">
        <v>787</v>
      </c>
      <c r="B146" s="114">
        <f t="shared" ref="B146:AM146" si="456">B28</f>
        <v>86320</v>
      </c>
      <c r="C146" s="114">
        <f t="shared" si="456"/>
        <v>93822</v>
      </c>
      <c r="D146" s="114">
        <f t="shared" si="456"/>
        <v>104447</v>
      </c>
      <c r="E146" s="114">
        <f t="shared" si="456"/>
        <v>265018</v>
      </c>
      <c r="F146" s="130">
        <f t="shared" si="456"/>
        <v>265018</v>
      </c>
      <c r="G146" s="114">
        <f t="shared" si="456"/>
        <v>546789</v>
      </c>
      <c r="H146" s="114">
        <f t="shared" si="456"/>
        <v>281771</v>
      </c>
      <c r="I146" s="114">
        <f t="shared" si="456"/>
        <v>188666</v>
      </c>
      <c r="J146" s="114">
        <f t="shared" si="456"/>
        <v>203834</v>
      </c>
      <c r="K146" s="130">
        <f t="shared" si="456"/>
        <v>203834</v>
      </c>
      <c r="L146" s="114">
        <f t="shared" si="456"/>
        <v>219135</v>
      </c>
      <c r="M146" s="114">
        <f t="shared" si="456"/>
        <v>252961</v>
      </c>
      <c r="N146" s="114">
        <f t="shared" si="456"/>
        <v>161904</v>
      </c>
      <c r="O146" s="114">
        <f t="shared" si="456"/>
        <v>124729</v>
      </c>
      <c r="P146" s="106">
        <f t="shared" si="456"/>
        <v>124729</v>
      </c>
      <c r="Q146" s="114">
        <f t="shared" si="456"/>
        <v>249163</v>
      </c>
      <c r="R146" s="114">
        <f t="shared" si="456"/>
        <v>681223</v>
      </c>
      <c r="S146" s="114">
        <f t="shared" si="456"/>
        <v>719470</v>
      </c>
      <c r="T146" s="114">
        <f t="shared" si="456"/>
        <v>818799</v>
      </c>
      <c r="U146" s="106">
        <f t="shared" si="456"/>
        <v>818799</v>
      </c>
      <c r="V146" s="114">
        <f t="shared" si="456"/>
        <v>1420227</v>
      </c>
      <c r="W146" s="114">
        <f t="shared" si="456"/>
        <v>1608985</v>
      </c>
      <c r="X146" s="114">
        <f t="shared" si="456"/>
        <v>1762073</v>
      </c>
      <c r="Y146" s="114">
        <f t="shared" si="456"/>
        <v>2067750</v>
      </c>
      <c r="Z146" s="106">
        <f t="shared" si="456"/>
        <v>2067750</v>
      </c>
      <c r="AA146" s="114">
        <f t="shared" si="456"/>
        <v>2149808</v>
      </c>
      <c r="AB146" s="114">
        <f t="shared" si="456"/>
        <v>2318633</v>
      </c>
      <c r="AC146" s="114">
        <f t="shared" si="456"/>
        <v>2846912</v>
      </c>
      <c r="AD146" s="114">
        <f t="shared" si="456"/>
        <v>2623135</v>
      </c>
      <c r="AE146" s="106">
        <f t="shared" si="456"/>
        <v>2623135</v>
      </c>
      <c r="AF146" s="114">
        <f t="shared" si="456"/>
        <v>2572741</v>
      </c>
      <c r="AG146" s="114">
        <f t="shared" si="456"/>
        <v>2763046</v>
      </c>
      <c r="AH146" s="114">
        <f t="shared" si="456"/>
        <v>2980123</v>
      </c>
      <c r="AI146" s="114">
        <f t="shared" si="456"/>
        <v>3432662</v>
      </c>
      <c r="AJ146" s="106">
        <f t="shared" si="456"/>
        <v>3432662</v>
      </c>
      <c r="AK146" s="114">
        <f t="shared" si="456"/>
        <v>3641391</v>
      </c>
      <c r="AL146" s="114">
        <f t="shared" si="456"/>
        <v>4186227</v>
      </c>
      <c r="AM146" s="114">
        <f t="shared" si="456"/>
        <v>4617590</v>
      </c>
      <c r="AN146" s="114">
        <f>AN28</f>
        <v>4589107</v>
      </c>
      <c r="AO146" s="106">
        <f t="shared" ref="AO146:CC146" si="457">AO28</f>
        <v>4589107</v>
      </c>
      <c r="AP146" s="114">
        <f t="shared" si="457"/>
        <v>4630634</v>
      </c>
      <c r="AQ146" s="114">
        <f t="shared" si="457"/>
        <v>4465189</v>
      </c>
      <c r="AR146" s="114">
        <f t="shared" si="457"/>
        <v>4375743</v>
      </c>
      <c r="AS146" s="114">
        <f t="shared" si="457"/>
        <v>4081943</v>
      </c>
      <c r="AT146" s="106">
        <f t="shared" si="457"/>
        <v>4081943</v>
      </c>
      <c r="AU146" s="114">
        <f t="shared" si="457"/>
        <v>3798919</v>
      </c>
      <c r="AV146" s="114">
        <f t="shared" si="457"/>
        <v>3780005</v>
      </c>
      <c r="AW146" s="114">
        <f t="shared" si="457"/>
        <v>3875414</v>
      </c>
      <c r="AX146" s="114">
        <f t="shared" si="457"/>
        <v>4213748</v>
      </c>
      <c r="AY146" s="106">
        <f t="shared" si="457"/>
        <v>4213748</v>
      </c>
      <c r="AZ146" s="114">
        <f t="shared" si="457"/>
        <v>4589555</v>
      </c>
      <c r="BA146" s="114">
        <f t="shared" si="457"/>
        <v>4280547</v>
      </c>
      <c r="BB146" s="114">
        <f t="shared" si="457"/>
        <v>4219160</v>
      </c>
      <c r="BC146" s="114">
        <f t="shared" si="457"/>
        <v>3875220</v>
      </c>
      <c r="BD146" s="106">
        <f t="shared" si="457"/>
        <v>3875220</v>
      </c>
      <c r="BE146" s="114">
        <f t="shared" si="457"/>
        <v>3799881</v>
      </c>
      <c r="BF146" s="114">
        <f t="shared" si="457"/>
        <v>3952453</v>
      </c>
      <c r="BG146" s="114">
        <f t="shared" si="457"/>
        <v>4030753</v>
      </c>
      <c r="BH146" s="114">
        <f t="shared" si="457"/>
        <v>3741611</v>
      </c>
      <c r="BI146" s="106">
        <f t="shared" si="457"/>
        <v>3741611</v>
      </c>
      <c r="BJ146" s="114">
        <f t="shared" si="457"/>
        <v>3673332</v>
      </c>
      <c r="BK146" s="114">
        <f t="shared" si="457"/>
        <v>3536836</v>
      </c>
      <c r="BL146" s="114">
        <f t="shared" si="457"/>
        <v>3472412</v>
      </c>
      <c r="BM146" s="114">
        <f t="shared" si="457"/>
        <v>3423664</v>
      </c>
      <c r="BN146" s="106">
        <f t="shared" si="457"/>
        <v>3423664</v>
      </c>
      <c r="BO146" s="114">
        <f t="shared" si="457"/>
        <v>3565965</v>
      </c>
      <c r="BP146" s="114">
        <f t="shared" si="457"/>
        <v>3377167</v>
      </c>
      <c r="BQ146" s="114">
        <f t="shared" si="457"/>
        <v>3083116</v>
      </c>
      <c r="BR146" s="114">
        <f t="shared" si="457"/>
        <v>2574040</v>
      </c>
      <c r="BS146" s="106">
        <f t="shared" si="457"/>
        <v>2574040</v>
      </c>
      <c r="BT146" s="114">
        <f t="shared" si="457"/>
        <v>2144969</v>
      </c>
      <c r="BU146" s="114">
        <f>BU28</f>
        <v>2364861</v>
      </c>
      <c r="BV146" s="114">
        <f t="shared" si="457"/>
        <v>2888885</v>
      </c>
      <c r="BW146" s="114">
        <f t="shared" si="457"/>
        <v>2371487</v>
      </c>
      <c r="BX146" s="106">
        <f t="shared" si="457"/>
        <v>2371487</v>
      </c>
      <c r="BY146" s="114">
        <f t="shared" si="457"/>
        <v>2105981</v>
      </c>
      <c r="BZ146" s="114">
        <f t="shared" si="457"/>
        <v>1991634</v>
      </c>
      <c r="CA146" s="114">
        <f>CA28</f>
        <v>2436592</v>
      </c>
      <c r="CB146" s="114">
        <f t="shared" si="457"/>
        <v>2504275</v>
      </c>
      <c r="CC146" s="106">
        <f t="shared" si="457"/>
        <v>2504275</v>
      </c>
      <c r="CD146" s="114">
        <f>CD28</f>
        <v>2513799</v>
      </c>
      <c r="CE146" s="114">
        <f>CE28</f>
        <v>2910556</v>
      </c>
      <c r="CF146" s="114">
        <f>CF28</f>
        <v>2434570</v>
      </c>
      <c r="CG146" s="114">
        <f>CG28</f>
        <v>2703006</v>
      </c>
      <c r="CH146" s="106">
        <f t="shared" ref="CH146:DG146" si="458">CH28</f>
        <v>2703006</v>
      </c>
      <c r="CI146" s="114">
        <f t="shared" si="458"/>
        <v>2694314</v>
      </c>
      <c r="CJ146" s="114">
        <f t="shared" si="458"/>
        <v>3349668</v>
      </c>
      <c r="CK146" s="114">
        <f t="shared" si="458"/>
        <v>3402960</v>
      </c>
      <c r="CL146" s="114">
        <f t="shared" si="458"/>
        <v>3634037</v>
      </c>
      <c r="CM146" s="106">
        <f t="shared" si="458"/>
        <v>3634037</v>
      </c>
      <c r="CN146" s="114">
        <f>CN28</f>
        <v>3678332</v>
      </c>
      <c r="CO146" s="114">
        <f>CO28</f>
        <v>4031314</v>
      </c>
      <c r="CP146" s="114">
        <f>CP28</f>
        <v>4378904</v>
      </c>
      <c r="CQ146" s="114">
        <f t="shared" si="458"/>
        <v>4976314</v>
      </c>
      <c r="CR146" s="106">
        <f t="shared" si="458"/>
        <v>4976314</v>
      </c>
      <c r="CS146" s="114">
        <f t="shared" si="458"/>
        <v>4805047</v>
      </c>
      <c r="CT146" s="114">
        <f t="shared" si="458"/>
        <v>4965575</v>
      </c>
      <c r="CU146" s="114">
        <f t="shared" si="458"/>
        <v>4963109</v>
      </c>
      <c r="CV146" s="114">
        <f>CV28</f>
        <v>5157538</v>
      </c>
      <c r="CW146" s="106">
        <f t="shared" si="458"/>
        <v>5157538</v>
      </c>
      <c r="CX146" s="114">
        <f>CX28</f>
        <v>4895803</v>
      </c>
      <c r="CY146" s="114">
        <f t="shared" si="458"/>
        <v>5251363</v>
      </c>
      <c r="CZ146" s="114">
        <f t="shared" ref="CZ146" si="459">CZ28</f>
        <v>5466325</v>
      </c>
      <c r="DA146" s="114">
        <f t="shared" si="458"/>
        <v>5974580</v>
      </c>
      <c r="DB146" s="106">
        <f t="shared" si="458"/>
        <v>5974580</v>
      </c>
      <c r="DC146" s="114">
        <f t="shared" si="458"/>
        <v>6017458</v>
      </c>
      <c r="DD146" s="114">
        <f t="shared" ref="DD146:DE146" si="460">DD28</f>
        <v>6889686</v>
      </c>
      <c r="DE146" s="114">
        <f t="shared" si="460"/>
        <v>7496402</v>
      </c>
      <c r="DF146" s="114">
        <f t="shared" si="458"/>
        <v>8716078</v>
      </c>
      <c r="DG146" s="106">
        <f t="shared" si="458"/>
        <v>8716078</v>
      </c>
      <c r="DH146" s="114">
        <f>DH28</f>
        <v>8792028</v>
      </c>
      <c r="DI146" s="114">
        <f>DI28</f>
        <v>8873618</v>
      </c>
      <c r="DJ146" s="114">
        <f>DJ28</f>
        <v>8873618</v>
      </c>
      <c r="DK146" s="114">
        <f>DK28</f>
        <v>8873618</v>
      </c>
      <c r="DL146" s="106">
        <f>DL28</f>
        <v>8873618</v>
      </c>
      <c r="DM146" s="114">
        <f t="shared" ref="DM146:EF146" si="461">DM28</f>
        <v>9373618</v>
      </c>
      <c r="DN146" s="114">
        <f t="shared" si="461"/>
        <v>9373618</v>
      </c>
      <c r="DO146" s="114">
        <f t="shared" si="461"/>
        <v>9373618</v>
      </c>
      <c r="DP146" s="114">
        <f t="shared" si="461"/>
        <v>9373618</v>
      </c>
      <c r="DQ146" s="106">
        <f t="shared" si="461"/>
        <v>9373618</v>
      </c>
      <c r="DR146" s="114">
        <f t="shared" si="461"/>
        <v>9873618</v>
      </c>
      <c r="DS146" s="114">
        <f t="shared" si="461"/>
        <v>9873618</v>
      </c>
      <c r="DT146" s="114">
        <f t="shared" si="461"/>
        <v>9873618</v>
      </c>
      <c r="DU146" s="114">
        <f t="shared" si="461"/>
        <v>9873618</v>
      </c>
      <c r="DV146" s="106">
        <f t="shared" si="461"/>
        <v>9873618</v>
      </c>
      <c r="DW146" s="114">
        <f t="shared" si="461"/>
        <v>10373618</v>
      </c>
      <c r="DX146" s="114">
        <f t="shared" si="461"/>
        <v>10373618</v>
      </c>
      <c r="DY146" s="114">
        <f t="shared" si="461"/>
        <v>10373618</v>
      </c>
      <c r="DZ146" s="114">
        <f t="shared" si="461"/>
        <v>10373618</v>
      </c>
      <c r="EA146" s="106">
        <f t="shared" si="461"/>
        <v>10373618</v>
      </c>
      <c r="EB146" s="114">
        <f t="shared" si="461"/>
        <v>10873618</v>
      </c>
      <c r="EC146" s="114">
        <f t="shared" si="461"/>
        <v>10873618</v>
      </c>
      <c r="ED146" s="114">
        <f t="shared" si="461"/>
        <v>10873618</v>
      </c>
      <c r="EE146" s="114">
        <f t="shared" si="461"/>
        <v>10873618</v>
      </c>
      <c r="EF146" s="106">
        <f t="shared" si="461"/>
        <v>10873618</v>
      </c>
    </row>
    <row r="147" spans="1:136">
      <c r="A147" s="66" t="s">
        <v>788</v>
      </c>
      <c r="B147" s="114">
        <f t="shared" ref="B147:AM147" si="462">B32+B33+B34+B35</f>
        <v>195629</v>
      </c>
      <c r="C147" s="114">
        <f t="shared" si="462"/>
        <v>133051</v>
      </c>
      <c r="D147" s="114">
        <f t="shared" si="462"/>
        <v>143173</v>
      </c>
      <c r="E147" s="114">
        <f t="shared" si="462"/>
        <v>305250</v>
      </c>
      <c r="F147" s="130">
        <f t="shared" si="462"/>
        <v>305250</v>
      </c>
      <c r="G147" s="114">
        <f t="shared" si="462"/>
        <v>344848.5</v>
      </c>
      <c r="H147" s="114">
        <f t="shared" si="462"/>
        <v>264903</v>
      </c>
      <c r="I147" s="114">
        <f t="shared" si="462"/>
        <v>219934</v>
      </c>
      <c r="J147" s="114">
        <f t="shared" si="462"/>
        <v>223109</v>
      </c>
      <c r="K147" s="130">
        <f t="shared" si="462"/>
        <v>223109</v>
      </c>
      <c r="L147" s="114">
        <f t="shared" si="462"/>
        <v>218667</v>
      </c>
      <c r="M147" s="114">
        <f t="shared" si="462"/>
        <v>263340</v>
      </c>
      <c r="N147" s="114">
        <f t="shared" si="462"/>
        <v>290956</v>
      </c>
      <c r="O147" s="114">
        <f t="shared" si="462"/>
        <v>502670</v>
      </c>
      <c r="P147" s="106">
        <f t="shared" si="462"/>
        <v>502670</v>
      </c>
      <c r="Q147" s="114">
        <f t="shared" si="462"/>
        <v>633491</v>
      </c>
      <c r="R147" s="114">
        <f t="shared" si="462"/>
        <v>690094</v>
      </c>
      <c r="S147" s="114">
        <f t="shared" si="462"/>
        <v>849622</v>
      </c>
      <c r="T147" s="114">
        <f t="shared" si="462"/>
        <v>1150403</v>
      </c>
      <c r="U147" s="106">
        <f t="shared" si="462"/>
        <v>1150403</v>
      </c>
      <c r="V147" s="114">
        <f t="shared" si="462"/>
        <v>880885</v>
      </c>
      <c r="W147" s="114">
        <f t="shared" si="462"/>
        <v>1001162</v>
      </c>
      <c r="X147" s="114">
        <f t="shared" si="462"/>
        <v>1315742</v>
      </c>
      <c r="Y147" s="114">
        <f t="shared" si="462"/>
        <v>2225649</v>
      </c>
      <c r="Z147" s="106">
        <f t="shared" si="462"/>
        <v>2225649</v>
      </c>
      <c r="AA147" s="114">
        <f t="shared" si="462"/>
        <v>2549797</v>
      </c>
      <c r="AB147" s="114">
        <f t="shared" si="462"/>
        <v>2374581</v>
      </c>
      <c r="AC147" s="114">
        <f t="shared" si="462"/>
        <v>2462509</v>
      </c>
      <c r="AD147" s="114">
        <f t="shared" si="462"/>
        <v>2904324</v>
      </c>
      <c r="AE147" s="106">
        <f t="shared" si="462"/>
        <v>2904324</v>
      </c>
      <c r="AF147" s="114">
        <f t="shared" si="462"/>
        <v>2946811</v>
      </c>
      <c r="AG147" s="114">
        <f t="shared" si="462"/>
        <v>3101784</v>
      </c>
      <c r="AH147" s="114">
        <f t="shared" si="462"/>
        <v>3034375</v>
      </c>
      <c r="AI147" s="114">
        <f t="shared" si="462"/>
        <v>3026058</v>
      </c>
      <c r="AJ147" s="106">
        <f t="shared" si="462"/>
        <v>3026058</v>
      </c>
      <c r="AK147" s="114">
        <f t="shared" si="462"/>
        <v>2829291</v>
      </c>
      <c r="AL147" s="114">
        <f t="shared" si="462"/>
        <v>3096411</v>
      </c>
      <c r="AM147" s="114">
        <f t="shared" si="462"/>
        <v>2981810</v>
      </c>
      <c r="AN147" s="114">
        <f>AN32+AN33+AN34+AN35</f>
        <v>2835273</v>
      </c>
      <c r="AO147" s="106">
        <f t="shared" ref="AO147:CC147" si="463">AO32+AO33+AO34+AO35</f>
        <v>2835273</v>
      </c>
      <c r="AP147" s="114">
        <f t="shared" si="463"/>
        <v>2733137</v>
      </c>
      <c r="AQ147" s="114">
        <f t="shared" si="463"/>
        <v>2764926</v>
      </c>
      <c r="AR147" s="114">
        <f t="shared" si="463"/>
        <v>2744767</v>
      </c>
      <c r="AS147" s="114">
        <f t="shared" si="463"/>
        <v>2210743</v>
      </c>
      <c r="AT147" s="106">
        <f t="shared" si="463"/>
        <v>2210743</v>
      </c>
      <c r="AU147" s="114">
        <f t="shared" si="463"/>
        <v>2342952</v>
      </c>
      <c r="AV147" s="114">
        <f t="shared" si="463"/>
        <v>2265762</v>
      </c>
      <c r="AW147" s="114">
        <f t="shared" si="463"/>
        <v>2351634</v>
      </c>
      <c r="AX147" s="114">
        <f t="shared" si="463"/>
        <v>2429598</v>
      </c>
      <c r="AY147" s="106">
        <f t="shared" si="463"/>
        <v>2429598</v>
      </c>
      <c r="AZ147" s="114">
        <f t="shared" si="463"/>
        <v>2136475</v>
      </c>
      <c r="BA147" s="114">
        <f t="shared" si="463"/>
        <v>1981799</v>
      </c>
      <c r="BB147" s="114">
        <f t="shared" si="463"/>
        <v>2067979</v>
      </c>
      <c r="BC147" s="114">
        <f t="shared" si="463"/>
        <v>2012121</v>
      </c>
      <c r="BD147" s="106">
        <f t="shared" si="463"/>
        <v>2012121</v>
      </c>
      <c r="BE147" s="114">
        <f t="shared" si="463"/>
        <v>1930741</v>
      </c>
      <c r="BF147" s="114">
        <f t="shared" si="463"/>
        <v>1881895</v>
      </c>
      <c r="BG147" s="114">
        <f t="shared" si="463"/>
        <v>1738504</v>
      </c>
      <c r="BH147" s="114">
        <f t="shared" si="463"/>
        <v>1358172</v>
      </c>
      <c r="BI147" s="106">
        <f t="shared" si="463"/>
        <v>1358172</v>
      </c>
      <c r="BJ147" s="114">
        <f t="shared" si="463"/>
        <v>1303837</v>
      </c>
      <c r="BK147" s="114">
        <f t="shared" si="463"/>
        <v>1151244</v>
      </c>
      <c r="BL147" s="114">
        <f t="shared" si="463"/>
        <v>1034482</v>
      </c>
      <c r="BM147" s="114">
        <f t="shared" si="463"/>
        <v>908906</v>
      </c>
      <c r="BN147" s="106">
        <f t="shared" si="463"/>
        <v>908906</v>
      </c>
      <c r="BO147" s="114">
        <f t="shared" si="463"/>
        <v>859654</v>
      </c>
      <c r="BP147" s="114">
        <f t="shared" si="463"/>
        <v>1016145</v>
      </c>
      <c r="BQ147" s="114">
        <f t="shared" si="463"/>
        <v>967798</v>
      </c>
      <c r="BR147" s="114">
        <f t="shared" si="463"/>
        <v>864566</v>
      </c>
      <c r="BS147" s="106">
        <f t="shared" si="463"/>
        <v>864566</v>
      </c>
      <c r="BT147" s="114">
        <f t="shared" si="463"/>
        <v>957552</v>
      </c>
      <c r="BU147" s="114">
        <f>BU32+BU33+BU34+BU35</f>
        <v>1134362</v>
      </c>
      <c r="BV147" s="114">
        <f t="shared" si="463"/>
        <v>1299351</v>
      </c>
      <c r="BW147" s="114">
        <f t="shared" si="463"/>
        <v>1245764</v>
      </c>
      <c r="BX147" s="106">
        <f t="shared" si="463"/>
        <v>1245764</v>
      </c>
      <c r="BY147" s="114">
        <f t="shared" si="463"/>
        <v>1391794</v>
      </c>
      <c r="BZ147" s="114">
        <f t="shared" si="463"/>
        <v>1404245</v>
      </c>
      <c r="CA147" s="114">
        <f>CA32+CA33+CA34+CA35</f>
        <v>1417263</v>
      </c>
      <c r="CB147" s="114">
        <f t="shared" si="463"/>
        <v>1591612</v>
      </c>
      <c r="CC147" s="106">
        <f t="shared" si="463"/>
        <v>1591612</v>
      </c>
      <c r="CD147" s="114">
        <f>CD32+CD33+CD34+CD35</f>
        <v>1862072</v>
      </c>
      <c r="CE147" s="114">
        <f>CE32+CE33+CE34+CE35</f>
        <v>1983767</v>
      </c>
      <c r="CF147" s="114">
        <f>CF32+CF33+CF34+CF35</f>
        <v>1358273</v>
      </c>
      <c r="CG147" s="114">
        <f>CG32+CG33+CG34+CG35</f>
        <v>1671734</v>
      </c>
      <c r="CH147" s="106">
        <f t="shared" ref="CH147:DG147" si="464">CH32+CH33+CH34+CH35</f>
        <v>1671734</v>
      </c>
      <c r="CI147" s="114">
        <f t="shared" si="464"/>
        <v>1652635</v>
      </c>
      <c r="CJ147" s="114">
        <f t="shared" si="464"/>
        <v>1862094</v>
      </c>
      <c r="CK147" s="114">
        <f t="shared" si="464"/>
        <v>2240040</v>
      </c>
      <c r="CL147" s="114">
        <f t="shared" si="464"/>
        <v>2245574</v>
      </c>
      <c r="CM147" s="106">
        <f t="shared" si="464"/>
        <v>2245574</v>
      </c>
      <c r="CN147" s="114">
        <f>CN32+CN33+CN34+CN35</f>
        <v>2359998</v>
      </c>
      <c r="CO147" s="114">
        <f>CO32+CO33+CO34+CO35</f>
        <v>2288398</v>
      </c>
      <c r="CP147" s="114">
        <f>CP32+CP33+CP34+CP35</f>
        <v>2559964</v>
      </c>
      <c r="CQ147" s="114">
        <f t="shared" si="464"/>
        <v>2326319</v>
      </c>
      <c r="CR147" s="106">
        <f t="shared" si="464"/>
        <v>2326319</v>
      </c>
      <c r="CS147" s="114">
        <f t="shared" si="464"/>
        <v>2280080</v>
      </c>
      <c r="CT147" s="114">
        <f t="shared" si="464"/>
        <v>2261847</v>
      </c>
      <c r="CU147" s="114">
        <f t="shared" si="464"/>
        <v>2235572</v>
      </c>
      <c r="CV147" s="114">
        <f>CV32+CV33+CV34+CV35</f>
        <v>2252333</v>
      </c>
      <c r="CW147" s="106">
        <f t="shared" si="464"/>
        <v>2252333</v>
      </c>
      <c r="CX147" s="114">
        <f>CX32+CX33+CX34+CX35</f>
        <v>2182387</v>
      </c>
      <c r="CY147" s="114">
        <f t="shared" si="464"/>
        <v>2150758</v>
      </c>
      <c r="CZ147" s="114">
        <f t="shared" ref="CZ147" si="465">CZ32+CZ33+CZ34+CZ35</f>
        <v>2588780</v>
      </c>
      <c r="DA147" s="114">
        <f t="shared" si="464"/>
        <v>3413645</v>
      </c>
      <c r="DB147" s="106">
        <f t="shared" si="464"/>
        <v>3413645</v>
      </c>
      <c r="DC147" s="114">
        <f t="shared" si="464"/>
        <v>3465062</v>
      </c>
      <c r="DD147" s="114">
        <f t="shared" ref="DD147:DE147" si="466">DD32+DD33+DD34+DD35</f>
        <v>3634536</v>
      </c>
      <c r="DE147" s="114">
        <f t="shared" si="466"/>
        <v>3767216</v>
      </c>
      <c r="DF147" s="114">
        <f t="shared" si="464"/>
        <v>4574368</v>
      </c>
      <c r="DG147" s="106">
        <f t="shared" si="464"/>
        <v>4574368</v>
      </c>
      <c r="DH147" s="114">
        <f>DH32+DH33+DH34+DH35</f>
        <v>4610797</v>
      </c>
      <c r="DI147" s="114">
        <f>DI32+DI33+DI34+DI35</f>
        <v>4765844</v>
      </c>
      <c r="DJ147" s="114">
        <f>DJ32+DJ33+DJ34+DJ35</f>
        <v>4560752.2173401117</v>
      </c>
      <c r="DK147" s="114">
        <f>DK32+DK33+DK34+DK35</f>
        <v>4757231.1501160311</v>
      </c>
      <c r="DL147" s="106">
        <f>DL32+DL33+DL34+DL35</f>
        <v>4757231.1501160311</v>
      </c>
      <c r="DM147" s="114">
        <f t="shared" ref="DM147:EF147" si="467">DM32+DM33+DM34+DM35</f>
        <v>3993756.6879651668</v>
      </c>
      <c r="DN147" s="114">
        <f t="shared" si="467"/>
        <v>3987048.6326877051</v>
      </c>
      <c r="DO147" s="114">
        <f t="shared" si="467"/>
        <v>4051275.76554691</v>
      </c>
      <c r="DP147" s="114">
        <f t="shared" si="467"/>
        <v>4173651.9401760092</v>
      </c>
      <c r="DQ147" s="106">
        <f t="shared" si="467"/>
        <v>4173651.9401760092</v>
      </c>
      <c r="DR147" s="114">
        <f t="shared" si="467"/>
        <v>4079341.6925787493</v>
      </c>
      <c r="DS147" s="114">
        <f t="shared" si="467"/>
        <v>4070173.1579252784</v>
      </c>
      <c r="DT147" s="114">
        <f t="shared" si="467"/>
        <v>4141527.1110771811</v>
      </c>
      <c r="DU147" s="114">
        <f t="shared" si="467"/>
        <v>4268049.5743212048</v>
      </c>
      <c r="DV147" s="106">
        <f t="shared" si="467"/>
        <v>4268049.5743212048</v>
      </c>
      <c r="DW147" s="114">
        <f t="shared" si="467"/>
        <v>4176155.3286709487</v>
      </c>
      <c r="DX147" s="114">
        <f t="shared" si="467"/>
        <v>4170540.5485224607</v>
      </c>
      <c r="DY147" s="114">
        <f t="shared" si="467"/>
        <v>4251480.199674069</v>
      </c>
      <c r="DZ147" s="114">
        <f t="shared" si="467"/>
        <v>4393156.5292282877</v>
      </c>
      <c r="EA147" s="106">
        <f t="shared" si="467"/>
        <v>4393156.5292282877</v>
      </c>
      <c r="EB147" s="114">
        <f t="shared" si="467"/>
        <v>4303817.2817912763</v>
      </c>
      <c r="EC147" s="114">
        <f t="shared" si="467"/>
        <v>4302041.990110782</v>
      </c>
      <c r="ED147" s="114">
        <f t="shared" si="467"/>
        <v>4386486.2810085695</v>
      </c>
      <c r="EE147" s="114">
        <f t="shared" si="467"/>
        <v>4534963.299844088</v>
      </c>
      <c r="EF147" s="106">
        <f t="shared" si="467"/>
        <v>4534963.299844088</v>
      </c>
    </row>
    <row r="148" spans="1:136">
      <c r="A148" s="66" t="s">
        <v>8</v>
      </c>
      <c r="B148" s="114">
        <f t="shared" ref="B148:AM148" si="468">B36+B37</f>
        <v>14750</v>
      </c>
      <c r="C148" s="114">
        <f t="shared" si="468"/>
        <v>12957</v>
      </c>
      <c r="D148" s="114">
        <f t="shared" si="468"/>
        <v>13507</v>
      </c>
      <c r="E148" s="114">
        <f t="shared" si="468"/>
        <v>67322</v>
      </c>
      <c r="F148" s="130">
        <f t="shared" si="468"/>
        <v>67322</v>
      </c>
      <c r="G148" s="114">
        <f t="shared" si="468"/>
        <v>102742.5</v>
      </c>
      <c r="H148" s="114">
        <f t="shared" si="468"/>
        <v>112200</v>
      </c>
      <c r="I148" s="114">
        <f t="shared" si="468"/>
        <v>124510</v>
      </c>
      <c r="J148" s="114">
        <f t="shared" si="468"/>
        <v>111308</v>
      </c>
      <c r="K148" s="130">
        <f t="shared" si="468"/>
        <v>111308</v>
      </c>
      <c r="L148" s="114">
        <f t="shared" si="468"/>
        <v>124196</v>
      </c>
      <c r="M148" s="114">
        <f t="shared" si="468"/>
        <v>141922</v>
      </c>
      <c r="N148" s="114">
        <f t="shared" si="468"/>
        <v>135491</v>
      </c>
      <c r="O148" s="114">
        <f t="shared" si="468"/>
        <v>141058</v>
      </c>
      <c r="P148" s="106">
        <f t="shared" si="468"/>
        <v>141058</v>
      </c>
      <c r="Q148" s="114">
        <f t="shared" si="468"/>
        <v>132508</v>
      </c>
      <c r="R148" s="114">
        <f t="shared" si="468"/>
        <v>133295</v>
      </c>
      <c r="S148" s="114">
        <f t="shared" si="468"/>
        <v>145490</v>
      </c>
      <c r="T148" s="114">
        <f t="shared" si="468"/>
        <v>191788</v>
      </c>
      <c r="U148" s="106">
        <f t="shared" si="468"/>
        <v>191788</v>
      </c>
      <c r="V148" s="114">
        <f t="shared" si="468"/>
        <v>199012</v>
      </c>
      <c r="W148" s="114">
        <f t="shared" si="468"/>
        <v>227414</v>
      </c>
      <c r="X148" s="114">
        <f t="shared" si="468"/>
        <v>265109</v>
      </c>
      <c r="Y148" s="114">
        <f t="shared" si="468"/>
        <v>303801</v>
      </c>
      <c r="Z148" s="106">
        <f t="shared" si="468"/>
        <v>303801</v>
      </c>
      <c r="AA148" s="114">
        <f t="shared" si="468"/>
        <v>323339</v>
      </c>
      <c r="AB148" s="114">
        <f t="shared" si="468"/>
        <v>336034</v>
      </c>
      <c r="AC148" s="114">
        <f t="shared" si="468"/>
        <v>382562</v>
      </c>
      <c r="AD148" s="114">
        <f t="shared" si="468"/>
        <v>434782</v>
      </c>
      <c r="AE148" s="106">
        <f t="shared" si="468"/>
        <v>434782</v>
      </c>
      <c r="AF148" s="114">
        <f t="shared" si="468"/>
        <v>482111</v>
      </c>
      <c r="AG148" s="114">
        <f t="shared" si="468"/>
        <v>495727</v>
      </c>
      <c r="AH148" s="114">
        <f t="shared" si="468"/>
        <v>495543</v>
      </c>
      <c r="AI148" s="114">
        <f t="shared" si="468"/>
        <v>519658</v>
      </c>
      <c r="AJ148" s="106">
        <f t="shared" si="468"/>
        <v>519658</v>
      </c>
      <c r="AK148" s="114">
        <f t="shared" si="468"/>
        <v>515531</v>
      </c>
      <c r="AL148" s="114">
        <f t="shared" si="468"/>
        <v>512843</v>
      </c>
      <c r="AM148" s="114">
        <f t="shared" si="468"/>
        <v>511295</v>
      </c>
      <c r="AN148" s="114">
        <f>AN36+AN37</f>
        <v>576985</v>
      </c>
      <c r="AO148" s="106">
        <f t="shared" ref="AO148:CC148" si="469">AO36+AO37</f>
        <v>576985</v>
      </c>
      <c r="AP148" s="114">
        <f t="shared" si="469"/>
        <v>560798</v>
      </c>
      <c r="AQ148" s="114">
        <f t="shared" si="469"/>
        <v>555146</v>
      </c>
      <c r="AR148" s="114">
        <f t="shared" si="469"/>
        <v>562453</v>
      </c>
      <c r="AS148" s="114">
        <f t="shared" si="469"/>
        <v>435408</v>
      </c>
      <c r="AT148" s="106">
        <f t="shared" si="469"/>
        <v>435408</v>
      </c>
      <c r="AU148" s="114">
        <f t="shared" si="469"/>
        <v>411370</v>
      </c>
      <c r="AV148" s="114">
        <f t="shared" si="469"/>
        <v>379247</v>
      </c>
      <c r="AW148" s="114">
        <f t="shared" si="469"/>
        <v>371521</v>
      </c>
      <c r="AX148" s="114">
        <f t="shared" si="469"/>
        <v>394856</v>
      </c>
      <c r="AY148" s="106">
        <f t="shared" si="469"/>
        <v>394856</v>
      </c>
      <c r="AZ148" s="114">
        <f t="shared" si="469"/>
        <v>361605</v>
      </c>
      <c r="BA148" s="114">
        <f t="shared" si="469"/>
        <v>337882</v>
      </c>
      <c r="BB148" s="114">
        <f t="shared" si="469"/>
        <v>331985</v>
      </c>
      <c r="BC148" s="114">
        <f t="shared" si="469"/>
        <v>329539</v>
      </c>
      <c r="BD148" s="106">
        <f t="shared" si="469"/>
        <v>329539</v>
      </c>
      <c r="BE148" s="114">
        <f t="shared" si="469"/>
        <v>331854</v>
      </c>
      <c r="BF148" s="114">
        <f t="shared" si="469"/>
        <v>290207</v>
      </c>
      <c r="BG148" s="114">
        <f t="shared" si="469"/>
        <v>290202</v>
      </c>
      <c r="BH148" s="114">
        <f t="shared" si="469"/>
        <v>297907</v>
      </c>
      <c r="BI148" s="106">
        <f t="shared" si="469"/>
        <v>297907</v>
      </c>
      <c r="BJ148" s="114">
        <f t="shared" si="469"/>
        <v>282092</v>
      </c>
      <c r="BK148" s="114">
        <f t="shared" si="469"/>
        <v>267740</v>
      </c>
      <c r="BL148" s="114">
        <f t="shared" si="469"/>
        <v>272125</v>
      </c>
      <c r="BM148" s="114">
        <f t="shared" si="469"/>
        <v>270153</v>
      </c>
      <c r="BN148" s="106">
        <f t="shared" si="469"/>
        <v>270153</v>
      </c>
      <c r="BO148" s="114">
        <f t="shared" si="469"/>
        <v>276289</v>
      </c>
      <c r="BP148" s="114">
        <f t="shared" si="469"/>
        <v>225913</v>
      </c>
      <c r="BQ148" s="114">
        <f t="shared" si="469"/>
        <v>207725</v>
      </c>
      <c r="BR148" s="114">
        <f t="shared" si="469"/>
        <v>198454</v>
      </c>
      <c r="BS148" s="106">
        <f t="shared" si="469"/>
        <v>198454</v>
      </c>
      <c r="BT148" s="114">
        <f t="shared" si="469"/>
        <v>163300</v>
      </c>
      <c r="BU148" s="114">
        <f>BU36+BU37</f>
        <v>166666</v>
      </c>
      <c r="BV148" s="114">
        <f t="shared" si="469"/>
        <v>166462</v>
      </c>
      <c r="BW148" s="114">
        <f t="shared" si="469"/>
        <v>164221</v>
      </c>
      <c r="BX148" s="106">
        <f t="shared" si="469"/>
        <v>164221</v>
      </c>
      <c r="BY148" s="114">
        <f t="shared" si="469"/>
        <v>170926</v>
      </c>
      <c r="BZ148" s="114">
        <f t="shared" si="469"/>
        <v>163586</v>
      </c>
      <c r="CA148" s="114">
        <f>CA36+CA37</f>
        <v>155087</v>
      </c>
      <c r="CB148" s="114">
        <f t="shared" si="469"/>
        <v>179507</v>
      </c>
      <c r="CC148" s="106">
        <f t="shared" si="469"/>
        <v>179507</v>
      </c>
      <c r="CD148" s="114">
        <f>CD36+CD37</f>
        <v>196561</v>
      </c>
      <c r="CE148" s="114">
        <f>CE36+CE37</f>
        <v>201667</v>
      </c>
      <c r="CF148" s="114">
        <f>CF36+CF37</f>
        <v>570670</v>
      </c>
      <c r="CG148" s="114">
        <f>CG36+CG37</f>
        <v>457499</v>
      </c>
      <c r="CH148" s="106">
        <f t="shared" ref="CH148:DG148" si="470">CH36+CH37</f>
        <v>457499</v>
      </c>
      <c r="CI148" s="114">
        <f t="shared" si="470"/>
        <v>465026</v>
      </c>
      <c r="CJ148" s="114">
        <f t="shared" si="470"/>
        <v>468224</v>
      </c>
      <c r="CK148" s="114">
        <f t="shared" si="470"/>
        <v>485946</v>
      </c>
      <c r="CL148" s="114">
        <f t="shared" si="470"/>
        <v>494076</v>
      </c>
      <c r="CM148" s="106">
        <f t="shared" si="470"/>
        <v>494076</v>
      </c>
      <c r="CN148" s="114">
        <f>CN36+CN37</f>
        <v>519441</v>
      </c>
      <c r="CO148" s="114">
        <f>CO36+CO37</f>
        <v>522710</v>
      </c>
      <c r="CP148" s="114">
        <f>CP36+CP37</f>
        <v>509938</v>
      </c>
      <c r="CQ148" s="114">
        <f t="shared" si="470"/>
        <v>528642</v>
      </c>
      <c r="CR148" s="106">
        <f t="shared" si="470"/>
        <v>528642</v>
      </c>
      <c r="CS148" s="114">
        <f t="shared" si="470"/>
        <v>536047</v>
      </c>
      <c r="CT148" s="114">
        <f t="shared" si="470"/>
        <v>541112</v>
      </c>
      <c r="CU148" s="114">
        <f t="shared" si="470"/>
        <v>543964</v>
      </c>
      <c r="CV148" s="114">
        <f>CV36+CV37</f>
        <v>543830</v>
      </c>
      <c r="CW148" s="106">
        <f t="shared" si="470"/>
        <v>543830</v>
      </c>
      <c r="CX148" s="114">
        <f>CX36+CX37</f>
        <v>552330</v>
      </c>
      <c r="CY148" s="114">
        <f t="shared" si="470"/>
        <v>568421</v>
      </c>
      <c r="CZ148" s="114">
        <f t="shared" ref="CZ148" si="471">CZ36+CZ37</f>
        <v>604586</v>
      </c>
      <c r="DA148" s="114">
        <f t="shared" si="470"/>
        <v>611862</v>
      </c>
      <c r="DB148" s="106">
        <f t="shared" si="470"/>
        <v>611862</v>
      </c>
      <c r="DC148" s="114">
        <f t="shared" si="470"/>
        <v>603484</v>
      </c>
      <c r="DD148" s="114">
        <f t="shared" ref="DD148:DE148" si="472">DD36+DD37</f>
        <v>620286</v>
      </c>
      <c r="DE148" s="114">
        <f t="shared" si="472"/>
        <v>631354</v>
      </c>
      <c r="DF148" s="114">
        <f t="shared" si="470"/>
        <v>607699</v>
      </c>
      <c r="DG148" s="106">
        <f t="shared" si="470"/>
        <v>607699</v>
      </c>
      <c r="DH148" s="114">
        <f>DH36+DH37</f>
        <v>576540</v>
      </c>
      <c r="DI148" s="114">
        <f>DI36+DI37</f>
        <v>580149</v>
      </c>
      <c r="DJ148" s="114">
        <f>DJ36+DJ37</f>
        <v>593197.14939729101</v>
      </c>
      <c r="DK148" s="114">
        <f>DK36+DK37</f>
        <v>609031.99034955527</v>
      </c>
      <c r="DL148" s="106">
        <f>DL36+DL37</f>
        <v>609031.99034955527</v>
      </c>
      <c r="DM148" s="114">
        <f t="shared" ref="DM148:EF148" si="473">DM36+DM37</f>
        <v>614797.27235697734</v>
      </c>
      <c r="DN148" s="114">
        <f t="shared" si="473"/>
        <v>629051.83918971336</v>
      </c>
      <c r="DO148" s="114">
        <f t="shared" si="473"/>
        <v>642701.2518081218</v>
      </c>
      <c r="DP148" s="114">
        <f t="shared" si="473"/>
        <v>653429.01207151543</v>
      </c>
      <c r="DQ148" s="106">
        <f t="shared" si="473"/>
        <v>653429.01207151543</v>
      </c>
      <c r="DR148" s="114">
        <f t="shared" si="473"/>
        <v>664412.42167484958</v>
      </c>
      <c r="DS148" s="114">
        <f t="shared" si="473"/>
        <v>672992.16464343364</v>
      </c>
      <c r="DT148" s="114">
        <f t="shared" si="473"/>
        <v>680299.55896135489</v>
      </c>
      <c r="DU148" s="114">
        <f t="shared" si="473"/>
        <v>690352.79743042216</v>
      </c>
      <c r="DV148" s="106">
        <f t="shared" si="473"/>
        <v>690352.79743042216</v>
      </c>
      <c r="DW148" s="114">
        <f t="shared" si="473"/>
        <v>695694.64786942489</v>
      </c>
      <c r="DX148" s="114">
        <f t="shared" si="473"/>
        <v>701441.50064263656</v>
      </c>
      <c r="DY148" s="114">
        <f t="shared" si="473"/>
        <v>703207.87583184021</v>
      </c>
      <c r="DZ148" s="114">
        <f t="shared" si="473"/>
        <v>704876.94274308335</v>
      </c>
      <c r="EA148" s="106">
        <f t="shared" si="473"/>
        <v>704876.94274308335</v>
      </c>
      <c r="EB148" s="114">
        <f t="shared" si="473"/>
        <v>705024.27290447429</v>
      </c>
      <c r="EC148" s="114">
        <f t="shared" si="473"/>
        <v>708142.92159176792</v>
      </c>
      <c r="ED148" s="114">
        <f t="shared" si="473"/>
        <v>711246.3767495465</v>
      </c>
      <c r="EE148" s="114">
        <f t="shared" si="473"/>
        <v>712899.53144053242</v>
      </c>
      <c r="EF148" s="106">
        <f t="shared" si="473"/>
        <v>712899.53144053242</v>
      </c>
    </row>
    <row r="149" spans="1:136">
      <c r="A149" s="66" t="s">
        <v>789</v>
      </c>
      <c r="B149" s="114">
        <f t="shared" ref="B149:P149" si="474">B40+B31+B38</f>
        <v>45739</v>
      </c>
      <c r="C149" s="114">
        <f t="shared" si="474"/>
        <v>25900</v>
      </c>
      <c r="D149" s="114">
        <f t="shared" si="474"/>
        <v>23301</v>
      </c>
      <c r="E149" s="114">
        <f t="shared" si="474"/>
        <v>120677</v>
      </c>
      <c r="F149" s="130">
        <f t="shared" si="474"/>
        <v>120677</v>
      </c>
      <c r="G149" s="114">
        <f t="shared" si="474"/>
        <v>177917.5</v>
      </c>
      <c r="H149" s="114">
        <f t="shared" si="474"/>
        <v>148300</v>
      </c>
      <c r="I149" s="114">
        <f t="shared" si="474"/>
        <v>103290</v>
      </c>
      <c r="J149" s="114">
        <f t="shared" si="474"/>
        <v>97227</v>
      </c>
      <c r="K149" s="130">
        <f t="shared" si="474"/>
        <v>97227</v>
      </c>
      <c r="L149" s="114">
        <f t="shared" si="474"/>
        <v>113750</v>
      </c>
      <c r="M149" s="114">
        <f t="shared" si="474"/>
        <v>76969</v>
      </c>
      <c r="N149" s="114">
        <f t="shared" si="474"/>
        <v>111450</v>
      </c>
      <c r="O149" s="114">
        <f t="shared" si="474"/>
        <v>198409</v>
      </c>
      <c r="P149" s="106">
        <f t="shared" si="474"/>
        <v>198409</v>
      </c>
      <c r="Q149" s="114">
        <f t="shared" ref="Q149:BA149" si="475">Q40+Q31+Q38+Q39</f>
        <v>168294</v>
      </c>
      <c r="R149" s="114">
        <f t="shared" si="475"/>
        <v>152274</v>
      </c>
      <c r="S149" s="114">
        <f t="shared" si="475"/>
        <v>175477</v>
      </c>
      <c r="T149" s="114">
        <f t="shared" si="475"/>
        <v>293054</v>
      </c>
      <c r="U149" s="106">
        <f t="shared" si="475"/>
        <v>293054</v>
      </c>
      <c r="V149" s="114">
        <f t="shared" si="475"/>
        <v>259939</v>
      </c>
      <c r="W149" s="114">
        <f t="shared" si="475"/>
        <v>236250</v>
      </c>
      <c r="X149" s="114">
        <f t="shared" si="475"/>
        <v>186590</v>
      </c>
      <c r="Y149" s="114">
        <f t="shared" si="475"/>
        <v>550625</v>
      </c>
      <c r="Z149" s="106">
        <f t="shared" si="475"/>
        <v>550625</v>
      </c>
      <c r="AA149" s="114">
        <f t="shared" si="475"/>
        <v>367394</v>
      </c>
      <c r="AB149" s="114">
        <f t="shared" si="475"/>
        <v>267618</v>
      </c>
      <c r="AC149" s="114">
        <f t="shared" si="475"/>
        <v>281813</v>
      </c>
      <c r="AD149" s="114">
        <f t="shared" si="475"/>
        <v>483066</v>
      </c>
      <c r="AE149" s="106">
        <f t="shared" si="475"/>
        <v>483066</v>
      </c>
      <c r="AF149" s="114">
        <f t="shared" si="475"/>
        <v>583660</v>
      </c>
      <c r="AG149" s="114">
        <f t="shared" si="475"/>
        <v>394010</v>
      </c>
      <c r="AH149" s="114">
        <f t="shared" si="475"/>
        <v>391223</v>
      </c>
      <c r="AI149" s="114">
        <f t="shared" si="475"/>
        <v>382246</v>
      </c>
      <c r="AJ149" s="106">
        <f t="shared" si="475"/>
        <v>382246</v>
      </c>
      <c r="AK149" s="114">
        <f t="shared" si="475"/>
        <v>729016</v>
      </c>
      <c r="AL149" s="114">
        <f t="shared" si="475"/>
        <v>291505</v>
      </c>
      <c r="AM149" s="114">
        <f t="shared" si="475"/>
        <v>525624</v>
      </c>
      <c r="AN149" s="114">
        <f t="shared" si="475"/>
        <v>720546</v>
      </c>
      <c r="AO149" s="106">
        <f t="shared" si="475"/>
        <v>720546</v>
      </c>
      <c r="AP149" s="114">
        <f t="shared" si="475"/>
        <v>582645</v>
      </c>
      <c r="AQ149" s="114">
        <f t="shared" si="475"/>
        <v>648037</v>
      </c>
      <c r="AR149" s="114">
        <f t="shared" si="475"/>
        <v>575099</v>
      </c>
      <c r="AS149" s="114">
        <f t="shared" si="475"/>
        <v>1251047</v>
      </c>
      <c r="AT149" s="106">
        <f t="shared" si="475"/>
        <v>1251047</v>
      </c>
      <c r="AU149" s="114">
        <f t="shared" si="475"/>
        <v>1148289</v>
      </c>
      <c r="AV149" s="114">
        <f t="shared" si="475"/>
        <v>1082254</v>
      </c>
      <c r="AW149" s="114">
        <f t="shared" si="475"/>
        <v>1118600</v>
      </c>
      <c r="AX149" s="114">
        <f t="shared" si="475"/>
        <v>1154849</v>
      </c>
      <c r="AY149" s="106">
        <f t="shared" si="475"/>
        <v>1154849</v>
      </c>
      <c r="AZ149" s="114">
        <f t="shared" si="475"/>
        <v>1116657</v>
      </c>
      <c r="BA149" s="114">
        <f t="shared" si="475"/>
        <v>976386</v>
      </c>
      <c r="BB149" s="114">
        <f>BB40+BB31+BB38+BB39</f>
        <v>902260</v>
      </c>
      <c r="BC149" s="114">
        <f t="shared" ref="BC149:CC149" si="476">BC40+BC31+BC38+BC39</f>
        <v>835887</v>
      </c>
      <c r="BD149" s="106">
        <f t="shared" si="476"/>
        <v>835887</v>
      </c>
      <c r="BE149" s="114">
        <f t="shared" si="476"/>
        <v>847168</v>
      </c>
      <c r="BF149" s="114">
        <f t="shared" si="476"/>
        <v>773513</v>
      </c>
      <c r="BG149" s="114">
        <f t="shared" si="476"/>
        <v>554467</v>
      </c>
      <c r="BH149" s="114">
        <f t="shared" si="476"/>
        <v>653011</v>
      </c>
      <c r="BI149" s="106">
        <f t="shared" si="476"/>
        <v>653011</v>
      </c>
      <c r="BJ149" s="114">
        <f t="shared" si="476"/>
        <v>674500</v>
      </c>
      <c r="BK149" s="114">
        <f t="shared" si="476"/>
        <v>528017</v>
      </c>
      <c r="BL149" s="114">
        <f t="shared" si="476"/>
        <v>543868</v>
      </c>
      <c r="BM149" s="114">
        <f t="shared" si="476"/>
        <v>510234</v>
      </c>
      <c r="BN149" s="106">
        <f t="shared" si="476"/>
        <v>510234</v>
      </c>
      <c r="BO149" s="114">
        <f t="shared" si="476"/>
        <v>459387</v>
      </c>
      <c r="BP149" s="114">
        <f t="shared" si="476"/>
        <v>406047</v>
      </c>
      <c r="BQ149" s="114">
        <f t="shared" si="476"/>
        <v>352968</v>
      </c>
      <c r="BR149" s="114">
        <f t="shared" si="476"/>
        <v>398983</v>
      </c>
      <c r="BS149" s="106">
        <f t="shared" si="476"/>
        <v>398983</v>
      </c>
      <c r="BT149" s="114">
        <f t="shared" si="476"/>
        <v>351305</v>
      </c>
      <c r="BU149" s="114">
        <f>BU40+BU31+BU38+BU39</f>
        <v>562581</v>
      </c>
      <c r="BV149" s="114">
        <f t="shared" si="476"/>
        <v>496257</v>
      </c>
      <c r="BW149" s="114">
        <f t="shared" si="476"/>
        <v>509985</v>
      </c>
      <c r="BX149" s="106">
        <f t="shared" si="476"/>
        <v>509985</v>
      </c>
      <c r="BY149" s="114">
        <f t="shared" si="476"/>
        <v>505837</v>
      </c>
      <c r="BZ149" s="114">
        <f t="shared" si="476"/>
        <v>694518</v>
      </c>
      <c r="CA149" s="114">
        <f>CA40+CA31+CA38+CA39</f>
        <v>481890</v>
      </c>
      <c r="CB149" s="114">
        <f t="shared" si="476"/>
        <v>536941</v>
      </c>
      <c r="CC149" s="106">
        <f t="shared" si="476"/>
        <v>536941</v>
      </c>
      <c r="CD149" s="114">
        <f>CD40+CD31+CD38+CD39</f>
        <v>507692</v>
      </c>
      <c r="CE149" s="114">
        <f>CE40+CE31+CE38+CE39</f>
        <v>510960</v>
      </c>
      <c r="CF149" s="114">
        <f>CF40+CF31+CF38+CF39</f>
        <v>481613</v>
      </c>
      <c r="CG149" s="114">
        <f>CG40+CG31+CG38+CG39</f>
        <v>805059</v>
      </c>
      <c r="CH149" s="106">
        <f t="shared" ref="CH149:DG149" si="477">CH40+CH31+CH38+CH39</f>
        <v>805059</v>
      </c>
      <c r="CI149" s="114">
        <f t="shared" si="477"/>
        <v>844051</v>
      </c>
      <c r="CJ149" s="114">
        <f t="shared" si="477"/>
        <v>403634</v>
      </c>
      <c r="CK149" s="114">
        <f t="shared" si="477"/>
        <v>429486</v>
      </c>
      <c r="CL149" s="114">
        <f t="shared" si="477"/>
        <v>665559</v>
      </c>
      <c r="CM149" s="106">
        <f t="shared" si="477"/>
        <v>665559</v>
      </c>
      <c r="CN149" s="114">
        <f>CN40+CN31+CN38+CN39</f>
        <v>673804</v>
      </c>
      <c r="CO149" s="114">
        <f>CO40+CO31+CO38+CO39</f>
        <v>826353</v>
      </c>
      <c r="CP149" s="114">
        <f>CP40+CP31+CP38+CP39</f>
        <v>1471532</v>
      </c>
      <c r="CQ149" s="114">
        <f t="shared" si="477"/>
        <v>1029533</v>
      </c>
      <c r="CR149" s="106">
        <f t="shared" si="477"/>
        <v>1029533</v>
      </c>
      <c r="CS149" s="114">
        <f t="shared" si="477"/>
        <v>829061</v>
      </c>
      <c r="CT149" s="114">
        <f t="shared" si="477"/>
        <v>812910</v>
      </c>
      <c r="CU149" s="114">
        <f t="shared" si="477"/>
        <v>740660</v>
      </c>
      <c r="CV149" s="114">
        <f>CV40+CV31+CV38+CV39</f>
        <v>917673</v>
      </c>
      <c r="CW149" s="106">
        <f t="shared" si="477"/>
        <v>917673</v>
      </c>
      <c r="CX149" s="114">
        <f>CX40+CX31+CX38+CX39</f>
        <v>1292256</v>
      </c>
      <c r="CY149" s="114">
        <f t="shared" si="477"/>
        <v>1055615</v>
      </c>
      <c r="CZ149" s="114">
        <f t="shared" ref="CZ149" si="478">CZ40+CZ31+CZ38+CZ39</f>
        <v>1062848</v>
      </c>
      <c r="DA149" s="114">
        <f t="shared" si="477"/>
        <v>1291601</v>
      </c>
      <c r="DB149" s="106">
        <f t="shared" si="477"/>
        <v>1291601</v>
      </c>
      <c r="DC149" s="114">
        <f t="shared" si="477"/>
        <v>1344225</v>
      </c>
      <c r="DD149" s="114">
        <f t="shared" ref="DD149:DE149" si="479">DD40+DD31+DD38+DD39</f>
        <v>1395411</v>
      </c>
      <c r="DE149" s="114">
        <f t="shared" si="479"/>
        <v>1566493</v>
      </c>
      <c r="DF149" s="114">
        <f t="shared" si="477"/>
        <v>744888</v>
      </c>
      <c r="DG149" s="106">
        <f t="shared" si="477"/>
        <v>744888</v>
      </c>
      <c r="DH149" s="114">
        <f>DH40+DH31+DH38+DH39</f>
        <v>806726</v>
      </c>
      <c r="DI149" s="114">
        <f>DI40+DI31+DI38+DI39</f>
        <v>1069778</v>
      </c>
      <c r="DJ149" s="114">
        <f>DJ40+DJ31+DJ38+DJ39</f>
        <v>1069778</v>
      </c>
      <c r="DK149" s="114">
        <f>DK40+DK31+DK38+DK39</f>
        <v>1069778</v>
      </c>
      <c r="DL149" s="106">
        <f>DL40+DL31+DL38+DL39</f>
        <v>1069778</v>
      </c>
      <c r="DM149" s="114">
        <f t="shared" ref="DM149:EF149" si="480">DM40+DM31+DM38+DM39</f>
        <v>1069778</v>
      </c>
      <c r="DN149" s="114">
        <f t="shared" si="480"/>
        <v>1069778</v>
      </c>
      <c r="DO149" s="114">
        <f t="shared" si="480"/>
        <v>1069778</v>
      </c>
      <c r="DP149" s="114">
        <f t="shared" ca="1" si="480"/>
        <v>2014813.0607854186</v>
      </c>
      <c r="DQ149" s="106">
        <f t="shared" ca="1" si="480"/>
        <v>2014813.0607854186</v>
      </c>
      <c r="DR149" s="114">
        <f t="shared" ca="1" si="480"/>
        <v>2014813.0607854186</v>
      </c>
      <c r="DS149" s="114">
        <f t="shared" si="480"/>
        <v>1069778</v>
      </c>
      <c r="DT149" s="114">
        <f t="shared" si="480"/>
        <v>1069778</v>
      </c>
      <c r="DU149" s="114">
        <f t="shared" ca="1" si="480"/>
        <v>2843966.8328038724</v>
      </c>
      <c r="DV149" s="106">
        <f t="shared" ca="1" si="480"/>
        <v>2843966.8328038724</v>
      </c>
      <c r="DW149" s="114">
        <f t="shared" ca="1" si="480"/>
        <v>2843966.8328038724</v>
      </c>
      <c r="DX149" s="114">
        <f t="shared" si="480"/>
        <v>1069778</v>
      </c>
      <c r="DY149" s="114">
        <f t="shared" si="480"/>
        <v>1069778</v>
      </c>
      <c r="DZ149" s="114">
        <f t="shared" ca="1" si="480"/>
        <v>2958440.6908713561</v>
      </c>
      <c r="EA149" s="106">
        <f t="shared" ca="1" si="480"/>
        <v>2958440.6908713561</v>
      </c>
      <c r="EB149" s="114">
        <f t="shared" ca="1" si="480"/>
        <v>2958440.6908713561</v>
      </c>
      <c r="EC149" s="114">
        <f t="shared" si="480"/>
        <v>1069778</v>
      </c>
      <c r="ED149" s="114">
        <f t="shared" si="480"/>
        <v>1069778</v>
      </c>
      <c r="EE149" s="114">
        <f t="shared" ca="1" si="480"/>
        <v>3048477.4648239035</v>
      </c>
      <c r="EF149" s="106">
        <f t="shared" ca="1" si="480"/>
        <v>3048477.4648239035</v>
      </c>
    </row>
    <row r="150" spans="1:136">
      <c r="A150" s="66" t="s">
        <v>99</v>
      </c>
      <c r="B150" s="114">
        <f t="shared" ref="B150:AM150" si="481">B42</f>
        <v>8589</v>
      </c>
      <c r="C150" s="114">
        <f t="shared" si="481"/>
        <v>8585</v>
      </c>
      <c r="D150" s="114">
        <f t="shared" si="481"/>
        <v>4553</v>
      </c>
      <c r="E150" s="114">
        <f t="shared" si="481"/>
        <v>72470</v>
      </c>
      <c r="F150" s="130">
        <f t="shared" si="481"/>
        <v>72470</v>
      </c>
      <c r="G150" s="114">
        <f t="shared" si="481"/>
        <v>76313.5</v>
      </c>
      <c r="H150" s="114">
        <f t="shared" si="481"/>
        <v>80157</v>
      </c>
      <c r="I150" s="114">
        <f t="shared" si="481"/>
        <v>91878</v>
      </c>
      <c r="J150" s="114">
        <f t="shared" si="481"/>
        <v>78534</v>
      </c>
      <c r="K150" s="130">
        <f t="shared" si="481"/>
        <v>78534</v>
      </c>
      <c r="L150" s="114">
        <f t="shared" si="481"/>
        <v>89269</v>
      </c>
      <c r="M150" s="114">
        <f t="shared" si="481"/>
        <v>120622</v>
      </c>
      <c r="N150" s="114">
        <f t="shared" si="481"/>
        <v>117933</v>
      </c>
      <c r="O150" s="114">
        <f t="shared" si="481"/>
        <v>100302</v>
      </c>
      <c r="P150" s="106">
        <f t="shared" si="481"/>
        <v>100302</v>
      </c>
      <c r="Q150" s="114">
        <f t="shared" si="481"/>
        <v>137276</v>
      </c>
      <c r="R150" s="114">
        <f t="shared" si="481"/>
        <v>117385</v>
      </c>
      <c r="S150" s="114">
        <f t="shared" si="481"/>
        <v>148458</v>
      </c>
      <c r="T150" s="114">
        <f t="shared" si="481"/>
        <v>198769</v>
      </c>
      <c r="U150" s="106">
        <f t="shared" si="481"/>
        <v>198769</v>
      </c>
      <c r="V150" s="114">
        <f t="shared" si="481"/>
        <v>220663</v>
      </c>
      <c r="W150" s="114">
        <f t="shared" si="481"/>
        <v>251138</v>
      </c>
      <c r="X150" s="114">
        <f t="shared" si="481"/>
        <v>262095</v>
      </c>
      <c r="Y150" s="114">
        <f t="shared" si="481"/>
        <v>288728</v>
      </c>
      <c r="Z150" s="106">
        <f t="shared" si="481"/>
        <v>288728</v>
      </c>
      <c r="AA150" s="114">
        <f t="shared" si="481"/>
        <v>152371</v>
      </c>
      <c r="AB150" s="114">
        <f t="shared" si="481"/>
        <v>174042</v>
      </c>
      <c r="AC150" s="114">
        <f t="shared" si="481"/>
        <v>195507</v>
      </c>
      <c r="AD150" s="114">
        <f t="shared" si="481"/>
        <v>252579</v>
      </c>
      <c r="AE150" s="106">
        <f t="shared" si="481"/>
        <v>252579</v>
      </c>
      <c r="AF150" s="114">
        <f t="shared" si="481"/>
        <v>263373</v>
      </c>
      <c r="AG150" s="114">
        <f t="shared" si="481"/>
        <v>275823</v>
      </c>
      <c r="AH150" s="114">
        <f t="shared" si="481"/>
        <v>320597</v>
      </c>
      <c r="AI150" s="114">
        <f t="shared" si="481"/>
        <v>355457</v>
      </c>
      <c r="AJ150" s="106">
        <f t="shared" si="481"/>
        <v>355457</v>
      </c>
      <c r="AK150" s="114">
        <f t="shared" si="481"/>
        <v>378784</v>
      </c>
      <c r="AL150" s="114">
        <f t="shared" si="481"/>
        <v>362140</v>
      </c>
      <c r="AM150" s="114">
        <f t="shared" si="481"/>
        <v>356181</v>
      </c>
      <c r="AN150" s="114">
        <f>AN42</f>
        <v>378047</v>
      </c>
      <c r="AO150" s="106">
        <f t="shared" ref="AO150:CC150" si="482">AO42</f>
        <v>378047</v>
      </c>
      <c r="AP150" s="114">
        <f t="shared" si="482"/>
        <v>354768</v>
      </c>
      <c r="AQ150" s="114">
        <f t="shared" si="482"/>
        <v>343699</v>
      </c>
      <c r="AR150" s="114">
        <f t="shared" si="482"/>
        <v>375667</v>
      </c>
      <c r="AS150" s="114">
        <f t="shared" si="482"/>
        <v>566513</v>
      </c>
      <c r="AT150" s="106">
        <f t="shared" si="482"/>
        <v>566513</v>
      </c>
      <c r="AU150" s="114">
        <f t="shared" si="482"/>
        <v>950288</v>
      </c>
      <c r="AV150" s="114">
        <f t="shared" si="482"/>
        <v>736486</v>
      </c>
      <c r="AW150" s="114">
        <f t="shared" si="482"/>
        <v>767743</v>
      </c>
      <c r="AX150" s="114">
        <f t="shared" si="482"/>
        <v>732426</v>
      </c>
      <c r="AY150" s="106">
        <f t="shared" si="482"/>
        <v>732426</v>
      </c>
      <c r="AZ150" s="114">
        <f t="shared" si="482"/>
        <v>631772</v>
      </c>
      <c r="BA150" s="114">
        <f t="shared" si="482"/>
        <v>668627</v>
      </c>
      <c r="BB150" s="114">
        <f t="shared" si="482"/>
        <v>690581</v>
      </c>
      <c r="BC150" s="114">
        <f t="shared" si="482"/>
        <v>708754</v>
      </c>
      <c r="BD150" s="106">
        <f t="shared" si="482"/>
        <v>708754</v>
      </c>
      <c r="BE150" s="114">
        <f t="shared" si="482"/>
        <v>717727</v>
      </c>
      <c r="BF150" s="114">
        <f t="shared" si="482"/>
        <v>839927</v>
      </c>
      <c r="BG150" s="114">
        <f t="shared" si="482"/>
        <v>875051</v>
      </c>
      <c r="BH150" s="114">
        <f t="shared" si="482"/>
        <v>791844</v>
      </c>
      <c r="BI150" s="106">
        <f t="shared" si="482"/>
        <v>791844</v>
      </c>
      <c r="BJ150" s="114">
        <f t="shared" si="482"/>
        <v>780584</v>
      </c>
      <c r="BK150" s="114">
        <f t="shared" si="482"/>
        <v>758805</v>
      </c>
      <c r="BL150" s="114">
        <f t="shared" si="482"/>
        <v>739854</v>
      </c>
      <c r="BM150" s="114">
        <f t="shared" si="482"/>
        <v>753186</v>
      </c>
      <c r="BN150" s="106">
        <f t="shared" si="482"/>
        <v>753186</v>
      </c>
      <c r="BO150" s="114">
        <f t="shared" si="482"/>
        <v>760345</v>
      </c>
      <c r="BP150" s="114">
        <f t="shared" si="482"/>
        <v>435032</v>
      </c>
      <c r="BQ150" s="114">
        <f t="shared" si="482"/>
        <v>445396</v>
      </c>
      <c r="BR150" s="114">
        <f t="shared" si="482"/>
        <v>440907</v>
      </c>
      <c r="BS150" s="106">
        <f t="shared" si="482"/>
        <v>440907</v>
      </c>
      <c r="BT150" s="114">
        <f t="shared" si="482"/>
        <v>356654</v>
      </c>
      <c r="BU150" s="114">
        <f>BU42</f>
        <v>338322</v>
      </c>
      <c r="BV150" s="114">
        <f t="shared" si="482"/>
        <v>326724</v>
      </c>
      <c r="BW150" s="114">
        <f t="shared" si="482"/>
        <v>389263</v>
      </c>
      <c r="BX150" s="106">
        <f t="shared" si="482"/>
        <v>389263</v>
      </c>
      <c r="BY150" s="114">
        <f t="shared" si="482"/>
        <v>373453</v>
      </c>
      <c r="BZ150" s="114">
        <f t="shared" si="482"/>
        <v>372817</v>
      </c>
      <c r="CA150" s="114">
        <f>CA42</f>
        <v>368355</v>
      </c>
      <c r="CB150" s="114">
        <f t="shared" si="482"/>
        <v>413067</v>
      </c>
      <c r="CC150" s="106">
        <f t="shared" si="482"/>
        <v>413067</v>
      </c>
      <c r="CD150" s="114">
        <f>CD42</f>
        <v>420303</v>
      </c>
      <c r="CE150" s="114">
        <f>CE42</f>
        <v>444101</v>
      </c>
      <c r="CF150" s="114">
        <f>CF42</f>
        <v>285461</v>
      </c>
      <c r="CG150" s="114">
        <f>CG42</f>
        <v>291895</v>
      </c>
      <c r="CH150" s="106">
        <f t="shared" ref="CH150:DG150" si="483">CH42</f>
        <v>291895</v>
      </c>
      <c r="CI150" s="114">
        <f t="shared" si="483"/>
        <v>304875</v>
      </c>
      <c r="CJ150" s="114">
        <f t="shared" si="483"/>
        <v>330824</v>
      </c>
      <c r="CK150" s="114">
        <f t="shared" si="483"/>
        <v>405850</v>
      </c>
      <c r="CL150" s="114">
        <f t="shared" si="483"/>
        <v>603872</v>
      </c>
      <c r="CM150" s="106">
        <f t="shared" si="483"/>
        <v>603872</v>
      </c>
      <c r="CN150" s="114">
        <f>CN42</f>
        <v>628416</v>
      </c>
      <c r="CO150" s="114">
        <f>CO42</f>
        <v>590088</v>
      </c>
      <c r="CP150" s="114">
        <f>CP42</f>
        <v>633567</v>
      </c>
      <c r="CQ150" s="114">
        <f t="shared" si="483"/>
        <v>577587</v>
      </c>
      <c r="CR150" s="106">
        <f t="shared" si="483"/>
        <v>577587</v>
      </c>
      <c r="CS150" s="114">
        <f t="shared" si="483"/>
        <v>648622</v>
      </c>
      <c r="CT150" s="114">
        <f t="shared" si="483"/>
        <v>723725</v>
      </c>
      <c r="CU150" s="114">
        <f t="shared" si="483"/>
        <v>757588</v>
      </c>
      <c r="CV150" s="114">
        <f>CV42</f>
        <v>809485</v>
      </c>
      <c r="CW150" s="106">
        <f t="shared" si="483"/>
        <v>809485</v>
      </c>
      <c r="CX150" s="114">
        <f>CX42</f>
        <v>821388</v>
      </c>
      <c r="CY150" s="114">
        <f t="shared" si="483"/>
        <v>735103</v>
      </c>
      <c r="CZ150" s="114">
        <f t="shared" ref="CZ150" si="484">CZ42</f>
        <v>906775</v>
      </c>
      <c r="DA150" s="114">
        <f t="shared" si="483"/>
        <v>1054612</v>
      </c>
      <c r="DB150" s="106">
        <f t="shared" si="483"/>
        <v>1054612</v>
      </c>
      <c r="DC150" s="114">
        <f t="shared" si="483"/>
        <v>1067258</v>
      </c>
      <c r="DD150" s="114">
        <f t="shared" ref="DD150:DE150" si="485">DD42</f>
        <v>1088792</v>
      </c>
      <c r="DE150" s="114">
        <f t="shared" si="485"/>
        <v>1055165</v>
      </c>
      <c r="DF150" s="114">
        <f t="shared" si="483"/>
        <v>1239474</v>
      </c>
      <c r="DG150" s="106">
        <f t="shared" si="483"/>
        <v>1239474</v>
      </c>
      <c r="DH150" s="114">
        <f>DH42</f>
        <v>1306988</v>
      </c>
      <c r="DI150" s="114">
        <f>DI42</f>
        <v>1283470</v>
      </c>
      <c r="DJ150" s="114">
        <f>DJ42</f>
        <v>1268590.2025268029</v>
      </c>
      <c r="DK150" s="114">
        <f>DK42</f>
        <v>1320872.4273386663</v>
      </c>
      <c r="DL150" s="106">
        <f>DL42</f>
        <v>1320872.4273386663</v>
      </c>
      <c r="DM150" s="114">
        <f t="shared" ref="DM150:EF150" si="486">DM42</f>
        <v>1315210.1314940208</v>
      </c>
      <c r="DN150" s="114">
        <f t="shared" si="486"/>
        <v>1367165.7044475023</v>
      </c>
      <c r="DO150" s="114">
        <f t="shared" si="486"/>
        <v>1435149.2154873426</v>
      </c>
      <c r="DP150" s="114">
        <f t="shared" si="486"/>
        <v>1500099.3633706647</v>
      </c>
      <c r="DQ150" s="106">
        <f t="shared" si="486"/>
        <v>1500099.3633706647</v>
      </c>
      <c r="DR150" s="114">
        <f t="shared" si="486"/>
        <v>1541576.0661618332</v>
      </c>
      <c r="DS150" s="114">
        <f t="shared" si="486"/>
        <v>1585386.1484055638</v>
      </c>
      <c r="DT150" s="114">
        <f t="shared" si="486"/>
        <v>1635236.7670524633</v>
      </c>
      <c r="DU150" s="114">
        <f t="shared" si="486"/>
        <v>1705962.7888320177</v>
      </c>
      <c r="DV150" s="106">
        <f t="shared" si="486"/>
        <v>1705962.7888320177</v>
      </c>
      <c r="DW150" s="114">
        <f t="shared" si="486"/>
        <v>1719965.5942017618</v>
      </c>
      <c r="DX150" s="114">
        <f t="shared" si="486"/>
        <v>1748552.0416527707</v>
      </c>
      <c r="DY150" s="114">
        <f t="shared" si="486"/>
        <v>1770698.197710776</v>
      </c>
      <c r="DZ150" s="114">
        <f t="shared" si="486"/>
        <v>1800193.7582875935</v>
      </c>
      <c r="EA150" s="106">
        <f t="shared" si="486"/>
        <v>1800193.7582875935</v>
      </c>
      <c r="EB150" s="114">
        <f t="shared" si="486"/>
        <v>1785769.618440226</v>
      </c>
      <c r="EC150" s="114">
        <f t="shared" si="486"/>
        <v>1798806.0829772698</v>
      </c>
      <c r="ED150" s="114">
        <f t="shared" si="486"/>
        <v>1825223.4677339729</v>
      </c>
      <c r="EE150" s="114">
        <f t="shared" si="486"/>
        <v>1853798.6196708453</v>
      </c>
      <c r="EF150" s="106">
        <f t="shared" si="486"/>
        <v>1853798.6196708453</v>
      </c>
    </row>
    <row r="151" spans="1:136" s="68" customFormat="1">
      <c r="A151" s="68" t="s">
        <v>790</v>
      </c>
      <c r="B151" s="236">
        <f t="shared" ref="B151:BM151" si="487">B138-B145-B150</f>
        <v>331681</v>
      </c>
      <c r="C151" s="236">
        <f t="shared" si="487"/>
        <v>342530</v>
      </c>
      <c r="D151" s="236">
        <f t="shared" si="487"/>
        <v>353445</v>
      </c>
      <c r="E151" s="236">
        <f t="shared" si="487"/>
        <v>481551</v>
      </c>
      <c r="F151" s="237">
        <f t="shared" si="487"/>
        <v>481551</v>
      </c>
      <c r="G151" s="236">
        <f t="shared" si="487"/>
        <v>119835</v>
      </c>
      <c r="H151" s="236">
        <f t="shared" si="487"/>
        <v>485350</v>
      </c>
      <c r="I151" s="236">
        <f t="shared" si="487"/>
        <v>1023659</v>
      </c>
      <c r="J151" s="236">
        <f t="shared" si="487"/>
        <v>1061177</v>
      </c>
      <c r="K151" s="237">
        <f t="shared" si="487"/>
        <v>1061177</v>
      </c>
      <c r="L151" s="236">
        <f t="shared" si="487"/>
        <v>1118854</v>
      </c>
      <c r="M151" s="236">
        <f t="shared" si="487"/>
        <v>1213528</v>
      </c>
      <c r="N151" s="236">
        <f t="shared" si="487"/>
        <v>1955523</v>
      </c>
      <c r="O151" s="236">
        <f t="shared" si="487"/>
        <v>1975317</v>
      </c>
      <c r="P151" s="225">
        <f t="shared" si="487"/>
        <v>1975317</v>
      </c>
      <c r="Q151" s="236">
        <f t="shared" si="487"/>
        <v>1924777.2006123792</v>
      </c>
      <c r="R151" s="236">
        <f t="shared" si="487"/>
        <v>1874475.3758866712</v>
      </c>
      <c r="S151" s="236">
        <f t="shared" si="487"/>
        <v>1854793.7883003522</v>
      </c>
      <c r="T151" s="236">
        <f t="shared" si="487"/>
        <v>1901717.0536410585</v>
      </c>
      <c r="U151" s="225">
        <f t="shared" si="487"/>
        <v>1901717.0536410585</v>
      </c>
      <c r="V151" s="236">
        <f t="shared" si="487"/>
        <v>1954856</v>
      </c>
      <c r="W151" s="236">
        <f t="shared" si="487"/>
        <v>2078990</v>
      </c>
      <c r="X151" s="236">
        <f t="shared" si="487"/>
        <v>2149171</v>
      </c>
      <c r="Y151" s="236">
        <f t="shared" si="487"/>
        <v>1924923</v>
      </c>
      <c r="Z151" s="225">
        <f t="shared" si="487"/>
        <v>1924923</v>
      </c>
      <c r="AA151" s="236">
        <f t="shared" si="487"/>
        <v>2029767</v>
      </c>
      <c r="AB151" s="236">
        <f t="shared" si="487"/>
        <v>2178830</v>
      </c>
      <c r="AC151" s="236">
        <f t="shared" si="487"/>
        <v>2447024</v>
      </c>
      <c r="AD151" s="236">
        <f t="shared" si="487"/>
        <v>3618392</v>
      </c>
      <c r="AE151" s="225">
        <f t="shared" si="487"/>
        <v>3618392</v>
      </c>
      <c r="AF151" s="236">
        <f t="shared" si="487"/>
        <v>3799597</v>
      </c>
      <c r="AG151" s="236">
        <f t="shared" si="487"/>
        <v>3962974</v>
      </c>
      <c r="AH151" s="236">
        <f t="shared" si="487"/>
        <v>4139556</v>
      </c>
      <c r="AI151" s="236">
        <f t="shared" si="487"/>
        <v>4034956</v>
      </c>
      <c r="AJ151" s="225">
        <f t="shared" si="487"/>
        <v>4034956</v>
      </c>
      <c r="AK151" s="236">
        <f t="shared" si="487"/>
        <v>4109801</v>
      </c>
      <c r="AL151" s="236">
        <f t="shared" si="487"/>
        <v>4187344</v>
      </c>
      <c r="AM151" s="236">
        <f t="shared" si="487"/>
        <v>4192015</v>
      </c>
      <c r="AN151" s="236">
        <f>AN138-AN145-AN150</f>
        <v>4185979</v>
      </c>
      <c r="AO151" s="225">
        <f t="shared" si="487"/>
        <v>4185979</v>
      </c>
      <c r="AP151" s="236">
        <f t="shared" si="487"/>
        <v>4321046</v>
      </c>
      <c r="AQ151" s="236">
        <f t="shared" si="487"/>
        <v>4480841</v>
      </c>
      <c r="AR151" s="236">
        <f t="shared" si="487"/>
        <v>4659044</v>
      </c>
      <c r="AS151" s="236">
        <f t="shared" si="487"/>
        <v>4753967</v>
      </c>
      <c r="AT151" s="225">
        <f t="shared" si="487"/>
        <v>4753967</v>
      </c>
      <c r="AU151" s="236">
        <f t="shared" si="487"/>
        <v>4919962</v>
      </c>
      <c r="AV151" s="236">
        <f t="shared" si="487"/>
        <v>5056562</v>
      </c>
      <c r="AW151" s="236">
        <f t="shared" si="487"/>
        <v>5227638</v>
      </c>
      <c r="AX151" s="236">
        <f t="shared" si="487"/>
        <v>5150411</v>
      </c>
      <c r="AY151" s="225">
        <f t="shared" si="487"/>
        <v>5150411</v>
      </c>
      <c r="AZ151" s="236">
        <f t="shared" si="487"/>
        <v>5258443</v>
      </c>
      <c r="BA151" s="236">
        <f t="shared" si="487"/>
        <v>5327278</v>
      </c>
      <c r="BB151" s="236">
        <f t="shared" si="487"/>
        <v>5421189</v>
      </c>
      <c r="BC151" s="236">
        <f t="shared" si="487"/>
        <v>5313822</v>
      </c>
      <c r="BD151" s="225">
        <f t="shared" si="487"/>
        <v>5313822</v>
      </c>
      <c r="BE151" s="236">
        <f t="shared" si="487"/>
        <v>5348951</v>
      </c>
      <c r="BF151" s="236">
        <f t="shared" si="487"/>
        <v>5211405</v>
      </c>
      <c r="BG151" s="236">
        <f t="shared" si="487"/>
        <v>5573238</v>
      </c>
      <c r="BH151" s="236">
        <f t="shared" si="487"/>
        <v>5544091</v>
      </c>
      <c r="BI151" s="225">
        <f t="shared" si="487"/>
        <v>5544091</v>
      </c>
      <c r="BJ151" s="236">
        <f t="shared" si="487"/>
        <v>5640587</v>
      </c>
      <c r="BK151" s="236">
        <f t="shared" si="487"/>
        <v>5680398</v>
      </c>
      <c r="BL151" s="236">
        <f t="shared" si="487"/>
        <v>5710435</v>
      </c>
      <c r="BM151" s="236">
        <f t="shared" si="487"/>
        <v>5717598</v>
      </c>
      <c r="BN151" s="225">
        <f t="shared" ref="BN151:CC151" si="488">BN138-BN145-BN150</f>
        <v>5717598</v>
      </c>
      <c r="BO151" s="236">
        <f t="shared" si="488"/>
        <v>5732400</v>
      </c>
      <c r="BP151" s="236">
        <f t="shared" si="488"/>
        <v>5610457</v>
      </c>
      <c r="BQ151" s="236">
        <f t="shared" si="488"/>
        <v>5606805</v>
      </c>
      <c r="BR151" s="236">
        <f t="shared" si="488"/>
        <v>5666241</v>
      </c>
      <c r="BS151" s="225">
        <f t="shared" si="488"/>
        <v>5666241</v>
      </c>
      <c r="BT151" s="236">
        <f t="shared" si="488"/>
        <v>5427798</v>
      </c>
      <c r="BU151" s="236">
        <f>BU138-BU145-BU150</f>
        <v>5206757</v>
      </c>
      <c r="BV151" s="236">
        <f t="shared" si="488"/>
        <v>5081309</v>
      </c>
      <c r="BW151" s="236">
        <f t="shared" si="488"/>
        <v>4912075</v>
      </c>
      <c r="BX151" s="225">
        <f t="shared" si="488"/>
        <v>4912075</v>
      </c>
      <c r="BY151" s="236">
        <f t="shared" si="488"/>
        <v>4976268</v>
      </c>
      <c r="BZ151" s="236">
        <f t="shared" si="488"/>
        <v>4933442</v>
      </c>
      <c r="CA151" s="236">
        <f>CA138-CA145-CA150</f>
        <v>4908282</v>
      </c>
      <c r="CB151" s="236">
        <f t="shared" si="488"/>
        <v>4564411</v>
      </c>
      <c r="CC151" s="225">
        <f t="shared" si="488"/>
        <v>4564411</v>
      </c>
      <c r="CD151" s="236">
        <f t="shared" ref="CD151:CJ151" si="489">CD138-CD145-CD150</f>
        <v>4599095</v>
      </c>
      <c r="CE151" s="236">
        <f t="shared" si="489"/>
        <v>4681707</v>
      </c>
      <c r="CF151" s="236">
        <f t="shared" si="489"/>
        <v>6117870</v>
      </c>
      <c r="CG151" s="236">
        <f t="shared" si="489"/>
        <v>5374159</v>
      </c>
      <c r="CH151" s="225">
        <f t="shared" ref="CH151:DG151" si="490">CH138-CH145-CH150-CH135</f>
        <v>5374159</v>
      </c>
      <c r="CI151" s="236">
        <f t="shared" si="489"/>
        <v>5570377</v>
      </c>
      <c r="CJ151" s="236">
        <f t="shared" si="489"/>
        <v>5828398</v>
      </c>
      <c r="CK151" s="236">
        <f>CK138-CK145-CK150</f>
        <v>6045248</v>
      </c>
      <c r="CL151" s="236">
        <f>CL138-CL145-CL150</f>
        <v>6014314</v>
      </c>
      <c r="CM151" s="225">
        <f t="shared" si="490"/>
        <v>6014314</v>
      </c>
      <c r="CN151" s="236">
        <f>CN138-CN145-CN150</f>
        <v>6160967</v>
      </c>
      <c r="CO151" s="236">
        <f>CO138-CO145-CO150</f>
        <v>6227488</v>
      </c>
      <c r="CP151" s="236">
        <f>CP138-CP145-CP150</f>
        <v>5731589</v>
      </c>
      <c r="CQ151" s="236">
        <f t="shared" si="490"/>
        <v>6745275</v>
      </c>
      <c r="CR151" s="225">
        <f t="shared" si="490"/>
        <v>6745275</v>
      </c>
      <c r="CS151" s="236">
        <f>CS138-CS145-CS150</f>
        <v>6838576</v>
      </c>
      <c r="CT151" s="236">
        <f>CT138-CT145-CT150</f>
        <v>7133914</v>
      </c>
      <c r="CU151" s="236">
        <f>CU138-CU145-CU150</f>
        <v>7384684</v>
      </c>
      <c r="CV151" s="236">
        <f>CV138-CV145-CV150-CV135</f>
        <v>7306159</v>
      </c>
      <c r="CW151" s="225">
        <f t="shared" si="490"/>
        <v>7306159</v>
      </c>
      <c r="CX151" s="236">
        <f>CX138-CX145-CX150</f>
        <v>7328794</v>
      </c>
      <c r="CY151" s="236">
        <f t="shared" si="490"/>
        <v>8105650</v>
      </c>
      <c r="CZ151" s="236">
        <f>CZ138-CZ145-CZ150</f>
        <v>8558194</v>
      </c>
      <c r="DA151" s="236">
        <f t="shared" si="490"/>
        <v>8492599</v>
      </c>
      <c r="DB151" s="225">
        <f t="shared" si="490"/>
        <v>8492599</v>
      </c>
      <c r="DC151" s="236">
        <f t="shared" si="490"/>
        <v>8945802</v>
      </c>
      <c r="DD151" s="236">
        <f t="shared" ref="DD151" si="491">DD138-DD145-DD150-DD135</f>
        <v>9355967</v>
      </c>
      <c r="DE151" s="236">
        <f>DE138-DE145-DE150</f>
        <v>9994780</v>
      </c>
      <c r="DF151" s="236">
        <f t="shared" si="490"/>
        <v>9778152</v>
      </c>
      <c r="DG151" s="225">
        <f t="shared" si="490"/>
        <v>9778152</v>
      </c>
      <c r="DH151" s="236">
        <f>DH138-DH145-DH150-DH135</f>
        <v>10287622</v>
      </c>
      <c r="DI151" s="236">
        <f>DI138-DI145-DI150-DI135</f>
        <v>10842566</v>
      </c>
      <c r="DJ151" s="236">
        <f ca="1">DJ138-DJ145-DJ150-DJ135</f>
        <v>11357904.433122655</v>
      </c>
      <c r="DK151" s="236">
        <f ca="1">DK138-DK145-DK150-DK135</f>
        <v>11471848.737656686</v>
      </c>
      <c r="DL151" s="225">
        <f ca="1">DL138-DL145-DL150-DL135</f>
        <v>11471848.737656686</v>
      </c>
      <c r="DM151" s="236">
        <f t="shared" ref="DM151:EF151" ca="1" si="492">DM138-DM145-DM150-DM135</f>
        <v>12002518.473768562</v>
      </c>
      <c r="DN151" s="236">
        <f t="shared" ca="1" si="492"/>
        <v>12551585.650858188</v>
      </c>
      <c r="DO151" s="236">
        <f t="shared" ca="1" si="492"/>
        <v>12149312.07457079</v>
      </c>
      <c r="DP151" s="236">
        <f t="shared" ca="1" si="492"/>
        <v>12727644.31768054</v>
      </c>
      <c r="DQ151" s="225">
        <f t="shared" ca="1" si="492"/>
        <v>12727644.31768054</v>
      </c>
      <c r="DR151" s="236">
        <f t="shared" ca="1" si="492"/>
        <v>11544451.566252174</v>
      </c>
      <c r="DS151" s="236">
        <f t="shared" ca="1" si="492"/>
        <v>12092834.552293338</v>
      </c>
      <c r="DT151" s="236">
        <f t="shared" ca="1" si="492"/>
        <v>12637635.238545585</v>
      </c>
      <c r="DU151" s="236">
        <f t="shared" ca="1" si="492"/>
        <v>13247075.345646745</v>
      </c>
      <c r="DV151" s="225">
        <f t="shared" ca="1" si="492"/>
        <v>13247075.345646745</v>
      </c>
      <c r="DW151" s="236">
        <f t="shared" ca="1" si="492"/>
        <v>11988618.306235645</v>
      </c>
      <c r="DX151" s="236">
        <f t="shared" ca="1" si="492"/>
        <v>12566168.142477125</v>
      </c>
      <c r="DY151" s="236">
        <f t="shared" ca="1" si="492"/>
        <v>13134269.032582186</v>
      </c>
      <c r="DZ151" s="236">
        <f t="shared" ca="1" si="492"/>
        <v>13782628.229719818</v>
      </c>
      <c r="EA151" s="225">
        <f t="shared" ca="1" si="492"/>
        <v>13782628.229719818</v>
      </c>
      <c r="EB151" s="236">
        <f t="shared" ca="1" si="492"/>
        <v>12491582.613500368</v>
      </c>
      <c r="EC151" s="236">
        <f t="shared" ca="1" si="492"/>
        <v>13133733.694541626</v>
      </c>
      <c r="ED151" s="236">
        <f t="shared" ca="1" si="492"/>
        <v>13768495.101459919</v>
      </c>
      <c r="EE151" s="236">
        <f t="shared" ca="1" si="492"/>
        <v>14483379.0143902</v>
      </c>
      <c r="EF151" s="225">
        <f t="shared" ca="1" si="492"/>
        <v>14483379.0143902</v>
      </c>
    </row>
    <row r="152" spans="1:136">
      <c r="A152" s="66" t="s">
        <v>784</v>
      </c>
      <c r="B152" s="114">
        <f t="shared" ref="B152:BM152" si="493">B151+B150+B146-B139</f>
        <v>296597</v>
      </c>
      <c r="C152" s="114">
        <f t="shared" si="493"/>
        <v>307897</v>
      </c>
      <c r="D152" s="114">
        <f t="shared" si="493"/>
        <v>337345</v>
      </c>
      <c r="E152" s="114">
        <f t="shared" si="493"/>
        <v>651198</v>
      </c>
      <c r="F152" s="130">
        <f t="shared" si="493"/>
        <v>651198</v>
      </c>
      <c r="G152" s="114">
        <f t="shared" si="493"/>
        <v>540137</v>
      </c>
      <c r="H152" s="114">
        <f t="shared" si="493"/>
        <v>609518</v>
      </c>
      <c r="I152" s="114">
        <f t="shared" si="493"/>
        <v>748946</v>
      </c>
      <c r="J152" s="114">
        <f t="shared" si="493"/>
        <v>823501</v>
      </c>
      <c r="K152" s="130">
        <f t="shared" si="493"/>
        <v>823501</v>
      </c>
      <c r="L152" s="114">
        <f t="shared" si="493"/>
        <v>998036</v>
      </c>
      <c r="M152" s="114">
        <f t="shared" si="493"/>
        <v>1287527</v>
      </c>
      <c r="N152" s="114">
        <f t="shared" si="493"/>
        <v>1406475</v>
      </c>
      <c r="O152" s="114">
        <f t="shared" si="493"/>
        <v>1639709</v>
      </c>
      <c r="P152" s="106">
        <f t="shared" si="493"/>
        <v>1639709</v>
      </c>
      <c r="Q152" s="114">
        <f t="shared" si="493"/>
        <v>1971746.2006123792</v>
      </c>
      <c r="R152" s="114">
        <f t="shared" si="493"/>
        <v>2032897.3758866712</v>
      </c>
      <c r="S152" s="114">
        <f t="shared" si="493"/>
        <v>1921981.7883003522</v>
      </c>
      <c r="T152" s="114">
        <f t="shared" si="493"/>
        <v>2236426.0536410585</v>
      </c>
      <c r="U152" s="106">
        <f t="shared" si="493"/>
        <v>2236426.0536410585</v>
      </c>
      <c r="V152" s="114">
        <f t="shared" si="493"/>
        <v>2530953</v>
      </c>
      <c r="W152" s="114">
        <f t="shared" si="493"/>
        <v>2970065</v>
      </c>
      <c r="X152" s="114">
        <f t="shared" si="493"/>
        <v>3355130</v>
      </c>
      <c r="Y152" s="114">
        <f t="shared" si="493"/>
        <v>3417768</v>
      </c>
      <c r="Z152" s="106">
        <f t="shared" si="493"/>
        <v>3417768</v>
      </c>
      <c r="AA152" s="114">
        <f t="shared" si="493"/>
        <v>3606204</v>
      </c>
      <c r="AB152" s="114">
        <f t="shared" si="493"/>
        <v>4173144</v>
      </c>
      <c r="AC152" s="114">
        <f t="shared" si="493"/>
        <v>4624352</v>
      </c>
      <c r="AD152" s="114">
        <f t="shared" si="493"/>
        <v>4828350</v>
      </c>
      <c r="AE152" s="106">
        <f t="shared" si="493"/>
        <v>4828350</v>
      </c>
      <c r="AF152" s="114">
        <f t="shared" si="493"/>
        <v>5349596</v>
      </c>
      <c r="AG152" s="114">
        <f t="shared" si="493"/>
        <v>6004726</v>
      </c>
      <c r="AH152" s="114">
        <f t="shared" si="493"/>
        <v>6454067</v>
      </c>
      <c r="AI152" s="114">
        <f t="shared" si="493"/>
        <v>6668480</v>
      </c>
      <c r="AJ152" s="106">
        <f t="shared" si="493"/>
        <v>6668480</v>
      </c>
      <c r="AK152" s="114">
        <f t="shared" si="493"/>
        <v>6916369</v>
      </c>
      <c r="AL152" s="114">
        <f t="shared" si="493"/>
        <v>7167369</v>
      </c>
      <c r="AM152" s="114">
        <f t="shared" si="493"/>
        <v>7389268</v>
      </c>
      <c r="AN152" s="114">
        <f>AN151+AN150+AN146-AN139</f>
        <v>7325469</v>
      </c>
      <c r="AO152" s="106">
        <f t="shared" si="493"/>
        <v>7325469</v>
      </c>
      <c r="AP152" s="114">
        <f t="shared" si="493"/>
        <v>7449700</v>
      </c>
      <c r="AQ152" s="114">
        <f t="shared" si="493"/>
        <v>7656140</v>
      </c>
      <c r="AR152" s="114">
        <f t="shared" si="493"/>
        <v>7758942</v>
      </c>
      <c r="AS152" s="114">
        <f t="shared" si="493"/>
        <v>7690094</v>
      </c>
      <c r="AT152" s="106">
        <f t="shared" si="493"/>
        <v>7690094</v>
      </c>
      <c r="AU152" s="114">
        <f t="shared" si="493"/>
        <v>8028501</v>
      </c>
      <c r="AV152" s="114">
        <f t="shared" si="493"/>
        <v>8049012</v>
      </c>
      <c r="AW152" s="114">
        <f t="shared" si="493"/>
        <v>8289414</v>
      </c>
      <c r="AX152" s="114">
        <f t="shared" si="493"/>
        <v>8369165</v>
      </c>
      <c r="AY152" s="106">
        <f t="shared" si="493"/>
        <v>8369165</v>
      </c>
      <c r="AZ152" s="114">
        <f t="shared" si="493"/>
        <v>8290917</v>
      </c>
      <c r="BA152" s="114">
        <f t="shared" si="493"/>
        <v>8517863</v>
      </c>
      <c r="BB152" s="114">
        <f t="shared" si="493"/>
        <v>8548000</v>
      </c>
      <c r="BC152" s="114">
        <f t="shared" si="493"/>
        <v>8143532</v>
      </c>
      <c r="BD152" s="106">
        <f t="shared" si="493"/>
        <v>8143532</v>
      </c>
      <c r="BE152" s="114">
        <f t="shared" si="493"/>
        <v>7844817</v>
      </c>
      <c r="BF152" s="114">
        <f t="shared" si="493"/>
        <v>7762672</v>
      </c>
      <c r="BG152" s="114">
        <f t="shared" si="493"/>
        <v>7954886</v>
      </c>
      <c r="BH152" s="114">
        <f t="shared" si="493"/>
        <v>7843961</v>
      </c>
      <c r="BI152" s="106">
        <f t="shared" si="493"/>
        <v>7843961</v>
      </c>
      <c r="BJ152" s="114">
        <f t="shared" si="493"/>
        <v>7953666</v>
      </c>
      <c r="BK152" s="114">
        <f t="shared" si="493"/>
        <v>8095656</v>
      </c>
      <c r="BL152" s="114">
        <f t="shared" si="493"/>
        <v>8340627</v>
      </c>
      <c r="BM152" s="114">
        <f t="shared" si="493"/>
        <v>8196157</v>
      </c>
      <c r="BN152" s="106">
        <f t="shared" ref="BN152:CC152" si="494">BN151+BN150+BN146-BN139</f>
        <v>8196157</v>
      </c>
      <c r="BO152" s="114">
        <f t="shared" si="494"/>
        <v>8081763</v>
      </c>
      <c r="BP152" s="114">
        <f t="shared" si="494"/>
        <v>7790751</v>
      </c>
      <c r="BQ152" s="114">
        <f t="shared" si="494"/>
        <v>7521279</v>
      </c>
      <c r="BR152" s="114">
        <f t="shared" si="494"/>
        <v>7318427</v>
      </c>
      <c r="BS152" s="106">
        <f t="shared" si="494"/>
        <v>7318427</v>
      </c>
      <c r="BT152" s="114">
        <f t="shared" si="494"/>
        <v>6813881</v>
      </c>
      <c r="BU152" s="114">
        <f>BU151+BU150+BU146-BU139</f>
        <v>6382816</v>
      </c>
      <c r="BV152" s="114">
        <f t="shared" si="494"/>
        <v>6157090</v>
      </c>
      <c r="BW152" s="114">
        <f t="shared" si="494"/>
        <v>6124168</v>
      </c>
      <c r="BX152" s="106">
        <f t="shared" si="494"/>
        <v>6124168</v>
      </c>
      <c r="BY152" s="114">
        <f t="shared" si="494"/>
        <v>6019507</v>
      </c>
      <c r="BZ152" s="114">
        <f t="shared" si="494"/>
        <v>5769777</v>
      </c>
      <c r="CA152" s="114">
        <f>CA151+CA150+CA146-CA139</f>
        <v>5951816</v>
      </c>
      <c r="CB152" s="114">
        <f t="shared" si="494"/>
        <v>5818585</v>
      </c>
      <c r="CC152" s="106">
        <f t="shared" si="494"/>
        <v>5818585</v>
      </c>
      <c r="CD152" s="114">
        <f>CD151+CD150+CD146-CD139</f>
        <v>5860827</v>
      </c>
      <c r="CE152" s="114">
        <f>CE151+CE150+CE146-CE139</f>
        <v>6042420</v>
      </c>
      <c r="CF152" s="114">
        <f>CF151+CF150+CF146-CF139</f>
        <v>6441704</v>
      </c>
      <c r="CG152" s="114">
        <f>CG151+CG150+CG146-CG139</f>
        <v>5967722</v>
      </c>
      <c r="CH152" s="106">
        <f t="shared" ref="CH152:DG152" si="495">CH151+CH150+CH146-CH139</f>
        <v>5967722</v>
      </c>
      <c r="CI152" s="114">
        <f t="shared" si="495"/>
        <v>6125596</v>
      </c>
      <c r="CJ152" s="114">
        <f t="shared" si="495"/>
        <v>6727942</v>
      </c>
      <c r="CK152" s="114">
        <f t="shared" si="495"/>
        <v>6859562</v>
      </c>
      <c r="CL152" s="114">
        <f t="shared" si="495"/>
        <v>6953430</v>
      </c>
      <c r="CM152" s="106">
        <f t="shared" si="495"/>
        <v>6953430</v>
      </c>
      <c r="CN152" s="114">
        <f>CN151+CN150+CN146-CN139</f>
        <v>7226281</v>
      </c>
      <c r="CO152" s="114">
        <f>CO151+CO150+CO146-CO139</f>
        <v>7284980</v>
      </c>
      <c r="CP152" s="114">
        <f>CP151+CP150+CP146-CP139</f>
        <v>6763751</v>
      </c>
      <c r="CQ152" s="114">
        <f t="shared" si="495"/>
        <v>7683424</v>
      </c>
      <c r="CR152" s="106">
        <f t="shared" si="495"/>
        <v>7683424</v>
      </c>
      <c r="CS152" s="114">
        <f t="shared" si="495"/>
        <v>7873524</v>
      </c>
      <c r="CT152" s="114">
        <f t="shared" si="495"/>
        <v>8176963</v>
      </c>
      <c r="CU152" s="114">
        <f t="shared" si="495"/>
        <v>8551584</v>
      </c>
      <c r="CV152" s="114">
        <f>CV151+CV150+CV146-CV139</f>
        <v>8670576</v>
      </c>
      <c r="CW152" s="106">
        <f t="shared" si="495"/>
        <v>8670576</v>
      </c>
      <c r="CX152" s="114">
        <f>CX151+CX150+CX146-CX139</f>
        <v>8568002</v>
      </c>
      <c r="CY152" s="114">
        <f t="shared" si="495"/>
        <v>9256901</v>
      </c>
      <c r="CZ152" s="114">
        <f t="shared" ref="CZ152" si="496">CZ151+CZ150+CZ146-CZ139</f>
        <v>9824571</v>
      </c>
      <c r="DA152" s="114">
        <f t="shared" si="495"/>
        <v>10212735</v>
      </c>
      <c r="DB152" s="106">
        <f t="shared" si="495"/>
        <v>10212735</v>
      </c>
      <c r="DC152" s="114">
        <f t="shared" si="495"/>
        <v>10527814</v>
      </c>
      <c r="DD152" s="114">
        <f t="shared" ref="DD152:DE152" si="497">DD151+DD150+DD146-DD139</f>
        <v>11253097</v>
      </c>
      <c r="DE152" s="114">
        <f t="shared" si="497"/>
        <v>11474856</v>
      </c>
      <c r="DF152" s="114">
        <f t="shared" si="495"/>
        <v>12726300</v>
      </c>
      <c r="DG152" s="106">
        <f t="shared" si="495"/>
        <v>12726300</v>
      </c>
      <c r="DH152" s="114">
        <f>DH151+DH150+DH146-DH139</f>
        <v>13174592</v>
      </c>
      <c r="DI152" s="114">
        <f>DI151+DI150+DI146-DI139</f>
        <v>13287360</v>
      </c>
      <c r="DJ152" s="114">
        <f ca="1">DJ151+DJ150+DJ146-DJ139</f>
        <v>13275165.978240702</v>
      </c>
      <c r="DK152" s="114">
        <f ca="1">DK151+DK150+DK146-DK139</f>
        <v>13829201.566303108</v>
      </c>
      <c r="DL152" s="106">
        <f ca="1">DL151+DL150+DL146-DL139</f>
        <v>13829201.566303108</v>
      </c>
      <c r="DM152" s="114">
        <f t="shared" ref="DM152:EF152" ca="1" si="498">DM151+DM150+DM146-DM139</f>
        <v>14494214.884289229</v>
      </c>
      <c r="DN152" s="114">
        <f t="shared" ca="1" si="498"/>
        <v>15216920.348781316</v>
      </c>
      <c r="DO152" s="114">
        <f t="shared" ca="1" si="498"/>
        <v>16092906.153482519</v>
      </c>
      <c r="DP152" s="114">
        <f t="shared" ca="1" si="498"/>
        <v>15932551.895272698</v>
      </c>
      <c r="DQ152" s="106">
        <f t="shared" ca="1" si="498"/>
        <v>15932551.895272698</v>
      </c>
      <c r="DR152" s="114">
        <f t="shared" ca="1" si="498"/>
        <v>16578688.693669513</v>
      </c>
      <c r="DS152" s="114">
        <f t="shared" ca="1" si="498"/>
        <v>18121816.154901259</v>
      </c>
      <c r="DT152" s="114">
        <f t="shared" ca="1" si="498"/>
        <v>18728895.955583237</v>
      </c>
      <c r="DU152" s="114">
        <f t="shared" ca="1" si="498"/>
        <v>17803325.030801985</v>
      </c>
      <c r="DV152" s="106">
        <f t="shared" ca="1" si="498"/>
        <v>17803325.030801985</v>
      </c>
      <c r="DW152" s="114">
        <f t="shared" ca="1" si="498"/>
        <v>18077328.667067759</v>
      </c>
      <c r="DX152" s="114">
        <f t="shared" ca="1" si="498"/>
        <v>20244143.807529494</v>
      </c>
      <c r="DY152" s="114">
        <f t="shared" ca="1" si="498"/>
        <v>20467317.35355458</v>
      </c>
      <c r="DZ152" s="114">
        <f t="shared" ca="1" si="498"/>
        <v>18851917.524055485</v>
      </c>
      <c r="EA152" s="106">
        <f t="shared" ca="1" si="498"/>
        <v>18851917.524055485</v>
      </c>
      <c r="EB152" s="114">
        <f t="shared" ca="1" si="498"/>
        <v>18736959.52904227</v>
      </c>
      <c r="EC152" s="114">
        <f t="shared" ca="1" si="498"/>
        <v>20804605.359191932</v>
      </c>
      <c r="ED152" s="114">
        <f t="shared" ca="1" si="498"/>
        <v>21086528.258098178</v>
      </c>
      <c r="EE152" s="114">
        <f t="shared" ca="1" si="498"/>
        <v>19365291.228417266</v>
      </c>
      <c r="EF152" s="106">
        <f t="shared" ca="1" si="498"/>
        <v>19365291.228417266</v>
      </c>
    </row>
    <row r="153" spans="1:136">
      <c r="CH153" s="67"/>
      <c r="CM153" s="67"/>
      <c r="CR153" s="67"/>
      <c r="CW153" s="67"/>
      <c r="DB153" s="67"/>
      <c r="DG153" s="67"/>
      <c r="DL153" s="67"/>
      <c r="DQ153" s="67"/>
      <c r="DV153" s="67"/>
      <c r="EA153" s="67"/>
      <c r="EF153" s="67"/>
    </row>
    <row r="154" spans="1:136" s="68" customFormat="1">
      <c r="A154" s="68" t="s">
        <v>796</v>
      </c>
      <c r="B154" s="313">
        <f>B151/'Income Statement'!B78</f>
        <v>2.0786966821674335</v>
      </c>
      <c r="C154" s="313">
        <f>C151/'Income Statement'!C78</f>
        <v>2.1466890613053233</v>
      </c>
      <c r="D154" s="313">
        <f>D151/'Income Statement'!D78</f>
        <v>2.2150950727616849</v>
      </c>
      <c r="E154" s="313">
        <f>E151/'Income Statement'!E78</f>
        <v>3.0179554029154811</v>
      </c>
      <c r="F154" s="314">
        <f>F151/'Income Statement'!F78</f>
        <v>3.0179554029154811</v>
      </c>
      <c r="G154" s="313">
        <f>G151/'Income Statement'!G78</f>
        <v>0.75102468006166878</v>
      </c>
      <c r="H154" s="313">
        <f>H151/'Income Statement'!H78</f>
        <v>2.1173611838201936</v>
      </c>
      <c r="I154" s="313">
        <f>I151/'Income Statement'!I78</f>
        <v>3.4417498251654206</v>
      </c>
      <c r="J154" s="313">
        <f>J151/'Income Statement'!J78</f>
        <v>3.5678929743396632</v>
      </c>
      <c r="K154" s="314">
        <f>K151/'Income Statement'!K78</f>
        <v>3.5678929743396632</v>
      </c>
      <c r="L154" s="313">
        <f>L151/'Income Statement'!L78</f>
        <v>3.761814782936145</v>
      </c>
      <c r="M154" s="313">
        <f>M151/'Income Statement'!M78</f>
        <v>4.0801280327075151</v>
      </c>
      <c r="N154" s="313">
        <f>N151/'Income Statement'!N78</f>
        <v>5.5169385371468556</v>
      </c>
      <c r="O154" s="313">
        <f>O151/'Income Statement'!O78</f>
        <v>5.572781542524079</v>
      </c>
      <c r="P154" s="315">
        <f>P151/'Income Statement'!P78</f>
        <v>5.572781542524079</v>
      </c>
      <c r="Q154" s="313">
        <f>Q151/'Income Statement'!Q78</f>
        <v>5.4301897633785376</v>
      </c>
      <c r="R154" s="313">
        <f>R151/'Income Statement'!R78</f>
        <v>5.2706953806975889</v>
      </c>
      <c r="S154" s="313">
        <f>S151/'Income Statement'!S78</f>
        <v>5.2153542147850001</v>
      </c>
      <c r="T154" s="313">
        <f>T151/'Income Statement'!T78</f>
        <v>5.3472941917300272</v>
      </c>
      <c r="U154" s="315">
        <f>U151/'Income Statement'!U78</f>
        <v>5.3472941917300272</v>
      </c>
      <c r="V154" s="313">
        <f>V151/'Income Statement'!V78</f>
        <v>5.496711571500474</v>
      </c>
      <c r="W154" s="313">
        <f>W151/'Income Statement'!W78</f>
        <v>5.8457545671055922</v>
      </c>
      <c r="X154" s="313">
        <f>X151/'Income Statement'!X78</f>
        <v>6.0420548661520037</v>
      </c>
      <c r="Y154" s="313">
        <f>Y151/'Income Statement'!Y78</f>
        <v>5.4108716489904456</v>
      </c>
      <c r="Z154" s="315">
        <f>Z151/'Income Statement'!Z78</f>
        <v>5.4108716489904456</v>
      </c>
      <c r="AA154" s="313">
        <f>AA151/'Income Statement'!AA78</f>
        <v>5.7055833996250183</v>
      </c>
      <c r="AB154" s="313">
        <f>AB151/'Income Statement'!AB78</f>
        <v>5.9119508500610545</v>
      </c>
      <c r="AC154" s="313">
        <f>AC151/'Income Statement'!AC78</f>
        <v>6.6385316139645401</v>
      </c>
      <c r="AD154" s="313">
        <f>AD151/'Income Statement'!AD78</f>
        <v>8.5665231363659835</v>
      </c>
      <c r="AE154" s="315">
        <f>AE151/'Income Statement'!AE78</f>
        <v>8.5665231363659835</v>
      </c>
      <c r="AF154" s="313">
        <f>AF151/'Income Statement'!AF78</f>
        <v>8.9952367537008673</v>
      </c>
      <c r="AG154" s="313">
        <f>AG151/'Income Statement'!AG78</f>
        <v>9.3706965863550842</v>
      </c>
      <c r="AH154" s="313">
        <f>AH151/'Income Statement'!AH78</f>
        <v>9.7874801392146473</v>
      </c>
      <c r="AI154" s="313">
        <f>AI151/'Income Statement'!AI78</f>
        <v>9.5388154199159878</v>
      </c>
      <c r="AJ154" s="315">
        <f>AJ151/'Income Statement'!AJ78</f>
        <v>9.5388154199159878</v>
      </c>
      <c r="AK154" s="313">
        <f>AK151/'Income Statement'!AK78</f>
        <v>9.7157523282995264</v>
      </c>
      <c r="AL154" s="313">
        <f>AL151/'Income Statement'!AL78</f>
        <v>9.8990674286640772</v>
      </c>
      <c r="AM154" s="313">
        <f>AM151/'Income Statement'!AM78</f>
        <v>10.138450616708838</v>
      </c>
      <c r="AN154" s="313">
        <f>AN151/'Income Statement'!AN78</f>
        <v>10.193100392093722</v>
      </c>
      <c r="AO154" s="315">
        <f>AO151/'Income Statement'!AO78</f>
        <v>10.193100392093722</v>
      </c>
      <c r="AP154" s="313">
        <f>AP151/'Income Statement'!AP78</f>
        <v>10.521996330333957</v>
      </c>
      <c r="AQ154" s="313">
        <f>AQ151/'Income Statement'!AQ78</f>
        <v>10.896827867297656</v>
      </c>
      <c r="AR154" s="313">
        <f>AR151/'Income Statement'!AR78</f>
        <v>11.330194598327845</v>
      </c>
      <c r="AS154" s="313">
        <f>AS151/'Income Statement'!AS78</f>
        <v>11.535758916980299</v>
      </c>
      <c r="AT154" s="315">
        <f>AT151/'Income Statement'!AT78</f>
        <v>11.535758916980299</v>
      </c>
      <c r="AU154" s="313">
        <f>AU151/'Income Statement'!AU78</f>
        <v>11.938236136252238</v>
      </c>
      <c r="AV154" s="313">
        <f>AV151/'Income Statement'!AV78</f>
        <v>12.201657271920004</v>
      </c>
      <c r="AW154" s="313">
        <f>AW151/'Income Statement'!AW78</f>
        <v>12.61328250352873</v>
      </c>
      <c r="AX154" s="313">
        <f>AX151/'Income Statement'!AX78</f>
        <v>12.646482150964012</v>
      </c>
      <c r="AY154" s="315">
        <f>AY151/'Income Statement'!AY78</f>
        <v>12.646482150964012</v>
      </c>
      <c r="AZ154" s="313">
        <f>AZ151/'Income Statement'!AZ78</f>
        <v>13.024588093091456</v>
      </c>
      <c r="BA154" s="313">
        <f>BA151/'Income Statement'!BA78</f>
        <v>13.520289527715528</v>
      </c>
      <c r="BB154" s="313">
        <f>BB151/'Income Statement'!BB78</f>
        <v>13.975918740896377</v>
      </c>
      <c r="BC154" s="313">
        <f>BC151/'Income Statement'!BC78</f>
        <v>13.876527670420122</v>
      </c>
      <c r="BD154" s="315">
        <f>BD151/'Income Statement'!BD78</f>
        <v>13.876527670420122</v>
      </c>
      <c r="BE154" s="313">
        <f>BE151/'Income Statement'!BE78</f>
        <v>14.129096590653949</v>
      </c>
      <c r="BF154" s="313">
        <f>BF151/'Income Statement'!BF78</f>
        <v>13.761519855080882</v>
      </c>
      <c r="BG154" s="313">
        <f>BG151/'Income Statement'!BG78</f>
        <v>14.713071714251772</v>
      </c>
      <c r="BH154" s="313">
        <f>BH151/'Income Statement'!BH78</f>
        <v>14.625090520609566</v>
      </c>
      <c r="BI154" s="315">
        <f>BI151/'Income Statement'!BI78</f>
        <v>14.625090520609566</v>
      </c>
      <c r="BJ154" s="313">
        <f>BJ151/'Income Statement'!BJ78</f>
        <v>14.806477947468723</v>
      </c>
      <c r="BK154" s="313">
        <f>BK151/'Income Statement'!BK78</f>
        <v>14.902218910850049</v>
      </c>
      <c r="BL154" s="313">
        <f>BL151/'Income Statement'!BL78</f>
        <v>14.963824892038069</v>
      </c>
      <c r="BM154" s="313">
        <f>BM151/'Income Statement'!BM78</f>
        <v>14.961698185786172</v>
      </c>
      <c r="BN154" s="315">
        <f>BN151/'Income Statement'!BN78</f>
        <v>14.961698185786172</v>
      </c>
      <c r="BO154" s="313">
        <f>BO151/'Income Statement'!BO78</f>
        <v>15.000431768760352</v>
      </c>
      <c r="BP154" s="313">
        <f>BP151/'Income Statement'!BP78</f>
        <v>14.665522622536013</v>
      </c>
      <c r="BQ154" s="313">
        <f>BQ151/'Income Statement'!BQ78</f>
        <v>14.652222997499079</v>
      </c>
      <c r="BR154" s="313">
        <f>BR151/'Income Statement'!BR78</f>
        <v>14.805650783364863</v>
      </c>
      <c r="BS154" s="315">
        <f>BS151/'Income Statement'!BS78</f>
        <v>14.805650783364863</v>
      </c>
      <c r="BT154" s="313">
        <f>BT151/'Income Statement'!BT78</f>
        <v>14.175608584031737</v>
      </c>
      <c r="BU154" s="313">
        <f>BU151/'Income Statement'!BU78</f>
        <v>13.553721525313868</v>
      </c>
      <c r="BV154" s="313">
        <f>BV151/'Income Statement'!BV78</f>
        <v>13.227167538272113</v>
      </c>
      <c r="BW154" s="313">
        <f>BW151/'Income Statement'!BW78</f>
        <v>12.784238045540549</v>
      </c>
      <c r="BX154" s="315">
        <f>BX151/'Income Statement'!BX78</f>
        <v>12.784238045540549</v>
      </c>
      <c r="BY154" s="313">
        <f>BY151/'Income Statement'!BY78</f>
        <v>12.946893537308773</v>
      </c>
      <c r="BZ154" s="313">
        <f>BZ151/'Income Statement'!BZ78</f>
        <v>12.83370229414718</v>
      </c>
      <c r="CA154" s="313">
        <f>CA151/'Income Statement'!CA78</f>
        <v>12.767786862005011</v>
      </c>
      <c r="CB154" s="313">
        <f>CB151/'Income Statement'!CB78</f>
        <v>11.873284134569111</v>
      </c>
      <c r="CC154" s="315">
        <f>CC151/'Income Statement'!CC78</f>
        <v>11.873284134569111</v>
      </c>
      <c r="CD154" s="313">
        <f>CD151/'Income Statement'!CD78</f>
        <v>11.963506725594197</v>
      </c>
      <c r="CE154" s="313">
        <f>CE151/'Income Statement'!CE78</f>
        <v>12.178403181878483</v>
      </c>
      <c r="CF154" s="313">
        <f>CF151/'Income Statement'!CF78</f>
        <v>15.911069845827351</v>
      </c>
      <c r="CG154" s="313">
        <f>CG151/'Income Statement'!CG78</f>
        <v>13.976861098974263</v>
      </c>
      <c r="CH154" s="315">
        <f>CH151/'Income Statement'!CH78</f>
        <v>13.976861098974263</v>
      </c>
      <c r="CI154" s="313">
        <f>CI151/'Income Statement'!CI78</f>
        <v>14.487175686078688</v>
      </c>
      <c r="CJ154" s="313">
        <f>CJ151/'Income Statement'!CJ78</f>
        <v>15.158224621850488</v>
      </c>
      <c r="CK154" s="313">
        <f>CK151/'Income Statement'!CK78</f>
        <v>15.722197948525894</v>
      </c>
      <c r="CL154" s="313">
        <f>CL151/'Income Statement'!CL78</f>
        <v>15.641746249713917</v>
      </c>
      <c r="CM154" s="315">
        <f>CM151/'Income Statement'!CM78</f>
        <v>15.641746249713917</v>
      </c>
      <c r="CN154" s="313">
        <f>(CN151)/'Income Statement'!CN78</f>
        <v>13.47236630337806</v>
      </c>
      <c r="CO154" s="313">
        <f>CO151/'Income Statement'!CO78</f>
        <v>13.66801207133059</v>
      </c>
      <c r="CP154" s="313">
        <f>CP151/'Income Statement'!CP78</f>
        <v>12.686934309639176</v>
      </c>
      <c r="CQ154" s="313">
        <f>CQ151/'Income Statement'!CQ78</f>
        <v>15.038592650229305</v>
      </c>
      <c r="CR154" s="315">
        <f>CR151/'Income Statement'!CR78</f>
        <v>15.038592650229305</v>
      </c>
      <c r="CS154" s="313">
        <f>(CS151)/'Income Statement'!CS78</f>
        <v>15.274190846531656</v>
      </c>
      <c r="CT154" s="313">
        <f>CT151/'Income Statement'!CT78</f>
        <v>15.933838260881219</v>
      </c>
      <c r="CU154" s="313">
        <f>CU151/'Income Statement'!CU78</f>
        <v>16.49394153948553</v>
      </c>
      <c r="CV154" s="313">
        <f>CV151/'Income Statement'!CV78</f>
        <v>16.318553295467488</v>
      </c>
      <c r="CW154" s="315">
        <f>CW151/'Income Statement'!CW78</f>
        <v>16.318553295467488</v>
      </c>
      <c r="CX154" s="313">
        <f>(CX151)/'Income Statement'!CX78</f>
        <v>16.369109333714523</v>
      </c>
      <c r="CY154" s="313">
        <f>CY151/'Income Statement'!CY78</f>
        <v>18.104243490924034</v>
      </c>
      <c r="CZ154" s="313">
        <f>CZ151/'Income Statement'!CZ78</f>
        <v>19.115015824587186</v>
      </c>
      <c r="DA154" s="313">
        <f>DA151/'Income Statement'!DA78</f>
        <v>18.661976597264186</v>
      </c>
      <c r="DB154" s="315">
        <f>DB151/'Income Statement'!DB78</f>
        <v>18.661976597264186</v>
      </c>
      <c r="DC154" s="313">
        <f>DC151/'Income Statement'!DC78</f>
        <v>20.372529952563248</v>
      </c>
      <c r="DD154" s="313">
        <f>DD151/'Income Statement'!DD78</f>
        <v>21.306610401470245</v>
      </c>
      <c r="DE154" s="313">
        <f>DE151/'Income Statement'!DE78</f>
        <v>22.76139745986778</v>
      </c>
      <c r="DF154" s="313">
        <f>DF151/'Income Statement'!DF78</f>
        <v>22.268064339085107</v>
      </c>
      <c r="DG154" s="315">
        <f>DG151/'Income Statement'!DG78</f>
        <v>22.268064339085107</v>
      </c>
      <c r="DH154" s="313">
        <f>DH151/'Income Statement'!DH78</f>
        <v>23.60862131876252</v>
      </c>
      <c r="DI154" s="313">
        <f>DI151/'Income Statement'!DI78</f>
        <v>24.882138439543141</v>
      </c>
      <c r="DJ154" s="313">
        <f ca="1">DJ151/'Income Statement'!DJ78</f>
        <v>26.064766448095281</v>
      </c>
      <c r="DK154" s="313">
        <f ca="1">DK151/'Income Statement'!DK78</f>
        <v>26.326252332507995</v>
      </c>
      <c r="DL154" s="315">
        <f ca="1">DL151/'Income Statement'!DL78</f>
        <v>26.326252332507995</v>
      </c>
      <c r="DM154" s="313">
        <f ca="1">DM151/'Income Statement'!DM78</f>
        <v>27.544063488982534</v>
      </c>
      <c r="DN154" s="313">
        <f ca="1">DN151/'Income Statement'!DN78</f>
        <v>28.804094141593108</v>
      </c>
      <c r="DO154" s="313">
        <f ca="1">DO151/'Income Statement'!DO78</f>
        <v>27.880933810749546</v>
      </c>
      <c r="DP154" s="313">
        <f ca="1">DP151/'Income Statement'!DP78</f>
        <v>29.208123604854404</v>
      </c>
      <c r="DQ154" s="315">
        <f ca="1">DQ151/'Income Statement'!DQ78</f>
        <v>29.208123604854404</v>
      </c>
      <c r="DR154" s="313">
        <f ca="1">DR151/'Income Statement'!DR78</f>
        <v>26.492865441638742</v>
      </c>
      <c r="DS154" s="313">
        <f ca="1">DS151/'Income Statement'!DS78</f>
        <v>27.751325973635165</v>
      </c>
      <c r="DT154" s="313">
        <f ca="1">DT151/'Income Statement'!DT78</f>
        <v>29.001565639899269</v>
      </c>
      <c r="DU154" s="313">
        <f ca="1">DU151/'Income Statement'!DU78</f>
        <v>30.400143533314999</v>
      </c>
      <c r="DV154" s="315">
        <f ca="1">DV151/'Income Statement'!DV78</f>
        <v>30.400143533314999</v>
      </c>
      <c r="DW154" s="313">
        <f ca="1">DW151/'Income Statement'!DW78</f>
        <v>27.512164592274239</v>
      </c>
      <c r="DX154" s="313">
        <f ca="1">DX151/'Income Statement'!DX78</f>
        <v>28.837558874503738</v>
      </c>
      <c r="DY154" s="313">
        <f ca="1">DY151/'Income Statement'!DY78</f>
        <v>30.141269176587379</v>
      </c>
      <c r="DZ154" s="313">
        <f ca="1">DZ151/'Income Statement'!DZ78</f>
        <v>31.629160816050728</v>
      </c>
      <c r="EA154" s="315">
        <f ca="1">EA151/'Income Statement'!EA78</f>
        <v>31.629160816050728</v>
      </c>
      <c r="EB154" s="313">
        <f ca="1">EB151/'Income Statement'!EB78</f>
        <v>28.666395751532086</v>
      </c>
      <c r="EC154" s="313">
        <f ca="1">EC151/'Income Statement'!EC78</f>
        <v>30.140040652339781</v>
      </c>
      <c r="ED154" s="313">
        <f ca="1">ED151/'Income Statement'!ED78</f>
        <v>31.596727307788328</v>
      </c>
      <c r="EE154" s="313">
        <f ca="1">EE151/'Income Statement'!EE78</f>
        <v>33.237283656694444</v>
      </c>
      <c r="EF154" s="315">
        <f ca="1">EF151/'Income Statement'!EF78</f>
        <v>33.237283656694444</v>
      </c>
    </row>
    <row r="155" spans="1:136">
      <c r="AR155" s="265">
        <f>17.5/AR154</f>
        <v>1.5445454045937321</v>
      </c>
      <c r="AZ155" s="265">
        <f>13.53/AY154</f>
        <v>1.0698627364107447</v>
      </c>
      <c r="BB155" s="265"/>
      <c r="BF155" s="265">
        <f>14.08/AZ154</f>
        <v>1.0810322675362269</v>
      </c>
      <c r="BH155" s="265">
        <f>10.3/BH154</f>
        <v>0.70426914523949913</v>
      </c>
      <c r="BJ155" s="265">
        <f>10.3/BJ154</f>
        <v>0.6956414642660419</v>
      </c>
      <c r="BM155" s="265">
        <f>13.15/BM154</f>
        <v>0.87891092553201544</v>
      </c>
      <c r="BO155" s="265">
        <f>13.5/BO154</f>
        <v>0.89997409462005451</v>
      </c>
      <c r="BP155" s="223">
        <f>13.83/BP154</f>
        <v>0.94302810448418017</v>
      </c>
      <c r="BT155" s="265">
        <f>11.62/BT154</f>
        <v>0.81971789296506603</v>
      </c>
      <c r="BU155" s="223">
        <f>13.29/BU154</f>
        <v>0.98054250083113159</v>
      </c>
      <c r="BW155" s="265">
        <f>15.7/BW154</f>
        <v>1.2280747545589186</v>
      </c>
      <c r="BZ155" s="223"/>
      <c r="CA155" s="223">
        <f>12/CA154</f>
        <v>0.93986531336219059</v>
      </c>
      <c r="CB155" s="223">
        <f>14.35/CB154</f>
        <v>1.208595687373464</v>
      </c>
      <c r="CD155" s="223">
        <f>26.7/CD154</f>
        <v>2.231787101592813</v>
      </c>
      <c r="CE155" s="265">
        <f>24.78/CE154</f>
        <v>2.0347495176438852</v>
      </c>
      <c r="CF155" s="265">
        <f>27.06/CF154</f>
        <v>1.7007027347753385</v>
      </c>
      <c r="CG155" s="223">
        <f>25.56/CG154</f>
        <v>1.8287367828156926</v>
      </c>
      <c r="CH155" s="67"/>
      <c r="CI155" s="223">
        <f>23.44/CI154</f>
        <v>1.617982725406198</v>
      </c>
      <c r="CJ155" s="265">
        <f>14.5/CJ154</f>
        <v>0.95657640401359001</v>
      </c>
      <c r="CK155" s="223">
        <f>14.19/CK154</f>
        <v>0.90254556306044009</v>
      </c>
      <c r="CL155" s="223">
        <f>15.45/CL154</f>
        <v>0.98774137831845821</v>
      </c>
      <c r="CM155" s="67"/>
      <c r="CN155" s="223">
        <f>12.94/CN154</f>
        <v>0.9604845732820837</v>
      </c>
      <c r="CO155" s="265">
        <f>17.74/CO154</f>
        <v>1.2979210076358234</v>
      </c>
      <c r="CP155" s="223">
        <f>14.04/CP154</f>
        <v>1.1066503268116399</v>
      </c>
      <c r="CQ155" s="550">
        <f>15.82/CQ154</f>
        <v>1.0519601380225416</v>
      </c>
      <c r="CR155" s="67"/>
      <c r="CS155" s="223">
        <f>20.81/CS154</f>
        <v>1.3624289632812445</v>
      </c>
      <c r="CT155" s="265">
        <f>25.07/CT154</f>
        <v>1.5733811018747914</v>
      </c>
      <c r="CU155" s="223">
        <f>22.94/CU154</f>
        <v>1.3908137084809586</v>
      </c>
      <c r="CV155" s="550">
        <f>15.82/CV154</f>
        <v>0.96944868295365605</v>
      </c>
      <c r="CW155" s="67"/>
      <c r="CX155" s="223">
        <f>21.1/CX154</f>
        <v>1.2890133219735744</v>
      </c>
      <c r="CY155" s="568">
        <f>22.53/CY154</f>
        <v>1.2444596213752137</v>
      </c>
      <c r="CZ155" s="223">
        <f>22.94/CZ154</f>
        <v>1.2001036363513145</v>
      </c>
      <c r="DA155" s="513">
        <f>22.53/DA154</f>
        <v>1.2072676161914628</v>
      </c>
      <c r="DB155" s="67"/>
      <c r="DD155" s="568">
        <f>25.19/DD154</f>
        <v>1.1822621958799129</v>
      </c>
      <c r="DE155" s="223">
        <f>31/DE154</f>
        <v>1.3619550405311571</v>
      </c>
      <c r="DG155" s="67"/>
      <c r="DL155" s="67"/>
      <c r="DQ155" s="67"/>
      <c r="DV155" s="67"/>
      <c r="EA155" s="67"/>
      <c r="EF155" s="67"/>
    </row>
    <row r="156" spans="1:136">
      <c r="A156" s="66" t="s">
        <v>791</v>
      </c>
      <c r="U156" s="130"/>
      <c r="V156" s="114"/>
      <c r="W156" s="114"/>
      <c r="X156" s="114"/>
      <c r="Y156" s="114"/>
      <c r="Z156" s="130"/>
      <c r="AA156" s="114"/>
      <c r="AB156" s="114"/>
      <c r="AC156" s="114"/>
      <c r="AD156" s="114"/>
      <c r="AE156" s="130"/>
      <c r="AF156" s="114"/>
      <c r="AG156" s="114"/>
      <c r="AH156" s="114"/>
      <c r="AI156" s="114"/>
      <c r="AJ156" s="130"/>
      <c r="AK156" s="114"/>
      <c r="AL156" s="114"/>
      <c r="AM156" s="114"/>
      <c r="AN156" s="114"/>
      <c r="AO156" s="130"/>
      <c r="AP156" s="90"/>
      <c r="AQ156" s="114"/>
      <c r="AR156" s="114"/>
      <c r="AS156" s="114"/>
      <c r="AT156" s="130"/>
      <c r="AU156" s="114"/>
      <c r="AV156" s="114"/>
      <c r="AW156" s="114"/>
      <c r="AX156" s="114"/>
      <c r="AY156" s="130"/>
      <c r="AZ156" s="114"/>
      <c r="BA156" s="114"/>
      <c r="BB156" s="114"/>
      <c r="BC156" s="114"/>
      <c r="BD156" s="130"/>
      <c r="BE156" s="114"/>
      <c r="BF156" s="223">
        <f>8.84/BF154</f>
        <v>0.64237090765350235</v>
      </c>
      <c r="BG156" s="114"/>
      <c r="BH156" s="114"/>
      <c r="BI156" s="130"/>
      <c r="BJ156" s="114"/>
      <c r="BK156" s="223">
        <f>10.75/BK154</f>
        <v>0.72136908364519525</v>
      </c>
      <c r="BL156" s="114"/>
      <c r="BM156" s="114"/>
      <c r="BN156" s="130"/>
      <c r="BO156" s="114"/>
      <c r="BP156" s="114"/>
      <c r="BQ156" s="114"/>
      <c r="BR156" s="114"/>
      <c r="BS156" s="130"/>
      <c r="BT156" s="114"/>
      <c r="BU156" s="114"/>
      <c r="BV156" s="114"/>
      <c r="BW156" s="114"/>
      <c r="BX156" s="130"/>
      <c r="BY156" s="114"/>
      <c r="BZ156" s="114"/>
      <c r="CA156" s="114"/>
      <c r="CB156" s="114"/>
      <c r="CC156" s="130"/>
      <c r="CD156" s="114"/>
      <c r="CE156" s="114"/>
      <c r="CF156" s="114"/>
      <c r="CG156" s="114"/>
      <c r="CH156" s="130"/>
      <c r="CI156" s="114"/>
      <c r="CJ156" s="114"/>
      <c r="CK156" s="114"/>
      <c r="CL156" s="114"/>
      <c r="CM156" s="130"/>
      <c r="CN156" s="114"/>
      <c r="CO156" s="114"/>
      <c r="CP156" s="114"/>
      <c r="CQ156" s="114"/>
      <c r="CR156" s="130"/>
      <c r="CS156" s="114"/>
      <c r="CT156" s="114"/>
      <c r="CU156" s="114"/>
      <c r="CV156" s="114"/>
      <c r="CW156" s="130"/>
      <c r="CX156" s="114"/>
      <c r="CY156" s="114"/>
      <c r="CZ156" s="114"/>
      <c r="DA156" s="114"/>
      <c r="DB156" s="130"/>
      <c r="DC156" s="114"/>
      <c r="DD156" s="114"/>
      <c r="DE156" s="114"/>
      <c r="DF156" s="114"/>
      <c r="DG156" s="130"/>
      <c r="DH156" s="114"/>
      <c r="DI156" s="114"/>
      <c r="DJ156" s="114"/>
      <c r="DK156" s="114"/>
      <c r="DL156" s="130"/>
      <c r="DM156" s="114"/>
      <c r="DN156" s="114"/>
      <c r="DO156" s="114"/>
      <c r="DP156" s="114"/>
      <c r="DQ156" s="130"/>
      <c r="DR156" s="114"/>
      <c r="DS156" s="114"/>
      <c r="DT156" s="114"/>
      <c r="DU156" s="114"/>
      <c r="DV156" s="130"/>
      <c r="DW156" s="114"/>
      <c r="DX156" s="114"/>
      <c r="DY156" s="114"/>
      <c r="DZ156" s="114"/>
      <c r="EA156" s="130"/>
      <c r="EB156" s="114"/>
      <c r="EC156" s="114"/>
      <c r="ED156" s="114"/>
      <c r="EE156" s="114"/>
      <c r="EF156" s="130"/>
    </row>
    <row r="157" spans="1:136">
      <c r="A157" s="66" t="s">
        <v>792</v>
      </c>
      <c r="U157" s="130">
        <f>SUM(Q157:T157)</f>
        <v>0</v>
      </c>
      <c r="V157" s="114">
        <f t="shared" ref="V157:Y158" si="499">V133-U133</f>
        <v>15551.053641058388</v>
      </c>
      <c r="W157" s="114">
        <f t="shared" si="499"/>
        <v>0</v>
      </c>
      <c r="X157" s="114">
        <f t="shared" si="499"/>
        <v>0</v>
      </c>
      <c r="Y157" s="114">
        <f t="shared" si="499"/>
        <v>4196</v>
      </c>
      <c r="Z157" s="130">
        <f>SUM(V157:Y157)</f>
        <v>19747.053641058388</v>
      </c>
      <c r="AA157" s="114">
        <f t="shared" ref="AA157:AD158" si="500">AA133-Z133</f>
        <v>24398</v>
      </c>
      <c r="AB157" s="114">
        <f t="shared" si="500"/>
        <v>2291</v>
      </c>
      <c r="AC157" s="114">
        <f t="shared" si="500"/>
        <v>1126</v>
      </c>
      <c r="AD157" s="114">
        <f t="shared" si="500"/>
        <v>3955</v>
      </c>
      <c r="AE157" s="130">
        <f>SUM(AA157:AD157)</f>
        <v>31770</v>
      </c>
      <c r="AF157" s="114">
        <f t="shared" ref="AF157:AI158" si="501">AF133-AE133</f>
        <v>288</v>
      </c>
      <c r="AG157" s="114">
        <f t="shared" si="501"/>
        <v>3382</v>
      </c>
      <c r="AH157" s="114">
        <f t="shared" si="501"/>
        <v>9463</v>
      </c>
      <c r="AI157" s="114">
        <f t="shared" si="501"/>
        <v>50534</v>
      </c>
      <c r="AJ157" s="130">
        <f>SUM(AF157:AI157)</f>
        <v>63667</v>
      </c>
      <c r="AK157" s="114">
        <f t="shared" ref="AK157:AM158" si="502">AK133-AJ133</f>
        <v>7446</v>
      </c>
      <c r="AL157" s="114">
        <f t="shared" si="502"/>
        <v>13372</v>
      </c>
      <c r="AM157" s="114">
        <f t="shared" si="502"/>
        <v>-393</v>
      </c>
      <c r="AN157" s="114">
        <f>AN133-AM133</f>
        <v>42574</v>
      </c>
      <c r="AO157" s="130">
        <f>SUM(AK157:AN157)</f>
        <v>62999</v>
      </c>
      <c r="AP157" s="114">
        <f t="shared" ref="AP157:AS158" si="503">AP133-AO133</f>
        <v>-3342</v>
      </c>
      <c r="AQ157" s="114">
        <f t="shared" si="503"/>
        <v>502</v>
      </c>
      <c r="AR157" s="114">
        <f t="shared" si="503"/>
        <v>-5893</v>
      </c>
      <c r="AS157" s="114">
        <f t="shared" si="503"/>
        <v>-6843</v>
      </c>
      <c r="AT157" s="130">
        <f>SUM(AP157:AS157)</f>
        <v>-15576</v>
      </c>
      <c r="AU157" s="114">
        <f t="shared" ref="AU157:AX158" si="504">AU133-AT133</f>
        <v>11911</v>
      </c>
      <c r="AV157" s="114">
        <f t="shared" si="504"/>
        <v>3591</v>
      </c>
      <c r="AW157" s="114">
        <f t="shared" si="504"/>
        <v>3020</v>
      </c>
      <c r="AX157" s="114">
        <f t="shared" si="504"/>
        <v>-17304</v>
      </c>
      <c r="AY157" s="130">
        <f>SUM(AU157:AX157)</f>
        <v>1218</v>
      </c>
      <c r="AZ157" s="114">
        <f t="shared" ref="AZ157:BC158" si="505">AZ133-AY133</f>
        <v>3748</v>
      </c>
      <c r="BA157" s="114">
        <f t="shared" si="505"/>
        <v>-898</v>
      </c>
      <c r="BB157" s="114">
        <f t="shared" si="505"/>
        <v>7126</v>
      </c>
      <c r="BC157" s="114">
        <f t="shared" si="505"/>
        <v>-6834</v>
      </c>
      <c r="BD157" s="130">
        <f>SUM(AZ157:BC157)</f>
        <v>3142</v>
      </c>
      <c r="BE157" s="114">
        <f t="shared" ref="BE157:BH158" si="506">BE133-BD133</f>
        <v>7965</v>
      </c>
      <c r="BF157" s="114">
        <f t="shared" si="506"/>
        <v>13819</v>
      </c>
      <c r="BG157" s="114">
        <f t="shared" si="506"/>
        <v>9792</v>
      </c>
      <c r="BH157" s="114">
        <f t="shared" si="506"/>
        <v>3786</v>
      </c>
      <c r="BI157" s="130">
        <f>SUM(BE157:BH157)</f>
        <v>35362</v>
      </c>
      <c r="BJ157" s="114">
        <f t="shared" ref="BJ157:BM158" si="507">BJ133-BI133</f>
        <v>-3100</v>
      </c>
      <c r="BK157" s="114">
        <f t="shared" si="507"/>
        <v>13361</v>
      </c>
      <c r="BL157" s="114">
        <f t="shared" si="507"/>
        <v>3818</v>
      </c>
      <c r="BM157" s="114">
        <f t="shared" si="507"/>
        <v>3460</v>
      </c>
      <c r="BN157" s="130">
        <f>SUM(BJ157:BM157)</f>
        <v>17539</v>
      </c>
      <c r="BO157" s="114">
        <f t="shared" ref="BO157:BR158" si="508">BO133-BN133</f>
        <v>4531</v>
      </c>
      <c r="BP157" s="114">
        <f t="shared" si="508"/>
        <v>-886</v>
      </c>
      <c r="BQ157" s="114">
        <f t="shared" si="508"/>
        <v>3427</v>
      </c>
      <c r="BR157" s="114">
        <f t="shared" si="508"/>
        <v>-8350</v>
      </c>
      <c r="BS157" s="130">
        <f>SUM(BO157:BR157)</f>
        <v>-1278</v>
      </c>
      <c r="BT157" s="114">
        <f t="shared" ref="BT157:BV158" si="509">BT133-BS133</f>
        <v>-5962</v>
      </c>
      <c r="BU157" s="114">
        <f t="shared" si="509"/>
        <v>-10444</v>
      </c>
      <c r="BV157" s="114">
        <f t="shared" si="509"/>
        <v>-6310</v>
      </c>
      <c r="BW157" s="114">
        <f>BW133-BV133</f>
        <v>-15524</v>
      </c>
      <c r="BX157" s="130">
        <f>SUM(BT157:BW157)</f>
        <v>-38240</v>
      </c>
      <c r="BY157" s="114">
        <f t="shared" ref="BY157:CA158" si="510">BY133-BX133</f>
        <v>-11195</v>
      </c>
      <c r="BZ157" s="114">
        <f t="shared" si="510"/>
        <v>-10946</v>
      </c>
      <c r="CA157" s="114">
        <f t="shared" si="510"/>
        <v>-16703</v>
      </c>
      <c r="CB157" s="114">
        <f>CB133-CA133</f>
        <v>-13504</v>
      </c>
      <c r="CC157" s="130">
        <f>SUM(BY157:CB157)</f>
        <v>-52348</v>
      </c>
      <c r="CD157" s="114">
        <f t="shared" ref="CD157:CG158" si="511">CD133-CC133</f>
        <v>-6275</v>
      </c>
      <c r="CE157" s="114">
        <f t="shared" si="511"/>
        <v>-6041</v>
      </c>
      <c r="CF157" s="114">
        <f t="shared" si="511"/>
        <v>-23517</v>
      </c>
      <c r="CG157" s="114">
        <f t="shared" si="511"/>
        <v>-17223</v>
      </c>
      <c r="CH157" s="130">
        <f>SUM(CD157:CG157)</f>
        <v>-53056</v>
      </c>
      <c r="CI157" s="114">
        <f t="shared" ref="CI157:CP158" si="512">CI133-CH133</f>
        <v>-4043</v>
      </c>
      <c r="CJ157" s="114">
        <f t="shared" si="512"/>
        <v>-3079</v>
      </c>
      <c r="CK157" s="114">
        <f t="shared" si="512"/>
        <v>-3211</v>
      </c>
      <c r="CL157" s="114">
        <f t="shared" si="512"/>
        <v>19996</v>
      </c>
      <c r="CM157" s="130">
        <f>SUM(CI157:CL157)</f>
        <v>9663</v>
      </c>
      <c r="CN157" s="114">
        <f t="shared" si="512"/>
        <v>3692</v>
      </c>
      <c r="CO157" s="114">
        <f t="shared" si="512"/>
        <v>1577</v>
      </c>
      <c r="CP157" s="114">
        <f t="shared" si="512"/>
        <v>2636</v>
      </c>
      <c r="CQ157" s="114">
        <f>CQ133-CP133</f>
        <v>2206</v>
      </c>
      <c r="CR157" s="130">
        <f>SUM(CN157:CQ157)</f>
        <v>10111</v>
      </c>
      <c r="CS157" s="114">
        <f t="shared" ref="CS157:CZ158" si="513">CS133-CR133</f>
        <v>4039</v>
      </c>
      <c r="CT157" s="114">
        <f t="shared" si="513"/>
        <v>3874</v>
      </c>
      <c r="CU157" s="114">
        <f t="shared" si="513"/>
        <v>4392</v>
      </c>
      <c r="CV157" s="114">
        <f t="shared" si="513"/>
        <v>7630</v>
      </c>
      <c r="CW157" s="130">
        <f>SUM(CS157:CV157)</f>
        <v>19935</v>
      </c>
      <c r="CX157" s="114">
        <f t="shared" si="513"/>
        <v>83</v>
      </c>
      <c r="CY157" s="114">
        <f t="shared" ref="CY157:DA158" si="514">CY133-CX133</f>
        <v>3702</v>
      </c>
      <c r="CZ157" s="114">
        <f t="shared" si="513"/>
        <v>817</v>
      </c>
      <c r="DA157" s="114">
        <f t="shared" si="514"/>
        <v>5748</v>
      </c>
      <c r="DB157" s="130">
        <f>SUM(CX157:DA157)</f>
        <v>10350</v>
      </c>
      <c r="DC157" s="114">
        <f t="shared" ref="DC157:DF158" si="515">DC133-DB133</f>
        <v>10993</v>
      </c>
      <c r="DD157" s="114">
        <f t="shared" si="515"/>
        <v>21215</v>
      </c>
      <c r="DE157" s="114">
        <f t="shared" si="515"/>
        <v>8862</v>
      </c>
      <c r="DF157" s="114">
        <f t="shared" si="515"/>
        <v>-651</v>
      </c>
      <c r="DG157" s="130">
        <f>SUM(DC157:DF157)</f>
        <v>40419</v>
      </c>
      <c r="DH157" s="114">
        <f t="shared" ref="DH157:DK158" si="516">DH133-DG133</f>
        <v>8431</v>
      </c>
      <c r="DI157" s="114">
        <f t="shared" si="516"/>
        <v>9342</v>
      </c>
      <c r="DJ157" s="114">
        <f t="shared" si="516"/>
        <v>8343.2482962308277</v>
      </c>
      <c r="DK157" s="114">
        <f t="shared" si="516"/>
        <v>701.03857211529976</v>
      </c>
      <c r="DL157" s="130">
        <f>SUM(DH157:DK157)</f>
        <v>26817.286868346127</v>
      </c>
      <c r="DM157" s="114">
        <f t="shared" ref="DM157:DP158" si="517">DM133-DL133</f>
        <v>6128.2214084110747</v>
      </c>
      <c r="DN157" s="114">
        <f t="shared" si="517"/>
        <v>5717.8578281869122</v>
      </c>
      <c r="DO157" s="114">
        <f t="shared" si="517"/>
        <v>3516.0505506411428</v>
      </c>
      <c r="DP157" s="114">
        <f t="shared" si="517"/>
        <v>-1925.1582042941009</v>
      </c>
      <c r="DQ157" s="130">
        <f>SUM(DM157:DP157)</f>
        <v>13436.971582945029</v>
      </c>
      <c r="DR157" s="114">
        <f t="shared" ref="DR157:DU158" si="518">DR133-DQ133</f>
        <v>19596.635286721896</v>
      </c>
      <c r="DS157" s="114">
        <f t="shared" si="518"/>
        <v>18583.302388176089</v>
      </c>
      <c r="DT157" s="114">
        <f t="shared" si="518"/>
        <v>15975.46169735078</v>
      </c>
      <c r="DU157" s="114">
        <f t="shared" si="518"/>
        <v>9497.2312979676062</v>
      </c>
      <c r="DV157" s="130">
        <f>SUM(DR157:DU157)</f>
        <v>63652.630670216371</v>
      </c>
      <c r="DW157" s="114">
        <f t="shared" ref="DW157:DZ158" si="519">DW133-DV133</f>
        <v>14559.285853742447</v>
      </c>
      <c r="DX157" s="114">
        <f t="shared" si="519"/>
        <v>13998.757391786145</v>
      </c>
      <c r="DY157" s="114">
        <f t="shared" si="519"/>
        <v>11866.330579620262</v>
      </c>
      <c r="DZ157" s="114">
        <f t="shared" si="519"/>
        <v>5088.8620113488869</v>
      </c>
      <c r="EA157" s="130">
        <f>SUM(DW157:DZ157)</f>
        <v>45513.235836497741</v>
      </c>
      <c r="EB157" s="114">
        <f t="shared" ref="EB157:EE158" si="520">EB133-EA133</f>
        <v>11588.245920424</v>
      </c>
      <c r="EC157" s="114">
        <f t="shared" si="520"/>
        <v>11206.003535863245</v>
      </c>
      <c r="ED157" s="114">
        <f t="shared" si="520"/>
        <v>9307.007035093382</v>
      </c>
      <c r="EE157" s="114">
        <f t="shared" si="520"/>
        <v>2255.439334953553</v>
      </c>
      <c r="EF157" s="130">
        <f>SUM(EB157:EE157)</f>
        <v>34356.69582633418</v>
      </c>
    </row>
    <row r="158" spans="1:136">
      <c r="A158" s="66" t="s">
        <v>793</v>
      </c>
      <c r="U158" s="130">
        <f>SUM(Q158:T158)</f>
        <v>0</v>
      </c>
      <c r="V158" s="114">
        <f t="shared" si="499"/>
        <v>0</v>
      </c>
      <c r="W158" s="114">
        <f t="shared" si="499"/>
        <v>0</v>
      </c>
      <c r="X158" s="114">
        <f t="shared" si="499"/>
        <v>0</v>
      </c>
      <c r="Y158" s="114">
        <f t="shared" si="499"/>
        <v>0</v>
      </c>
      <c r="Z158" s="130">
        <f>SUM(V158:Y158)</f>
        <v>0</v>
      </c>
      <c r="AA158" s="114">
        <f t="shared" si="500"/>
        <v>-36198</v>
      </c>
      <c r="AB158" s="114">
        <f t="shared" si="500"/>
        <v>36198</v>
      </c>
      <c r="AC158" s="114">
        <f t="shared" si="500"/>
        <v>0</v>
      </c>
      <c r="AD158" s="114">
        <f t="shared" si="500"/>
        <v>0</v>
      </c>
      <c r="AE158" s="130">
        <f>SUM(AA158:AD158)</f>
        <v>0</v>
      </c>
      <c r="AF158" s="114">
        <f t="shared" si="501"/>
        <v>12604</v>
      </c>
      <c r="AG158" s="114">
        <f t="shared" si="501"/>
        <v>7288</v>
      </c>
      <c r="AH158" s="114">
        <f t="shared" si="501"/>
        <v>1379</v>
      </c>
      <c r="AI158" s="114">
        <f t="shared" si="501"/>
        <v>8091</v>
      </c>
      <c r="AJ158" s="130">
        <f>SUM(AF158:AI158)</f>
        <v>29362</v>
      </c>
      <c r="AK158" s="114">
        <f t="shared" si="502"/>
        <v>-6713</v>
      </c>
      <c r="AL158" s="114">
        <f t="shared" si="502"/>
        <v>-501</v>
      </c>
      <c r="AM158" s="114">
        <f t="shared" si="502"/>
        <v>18357</v>
      </c>
      <c r="AN158" s="114">
        <f>AN134-AM134</f>
        <v>10132</v>
      </c>
      <c r="AO158" s="130">
        <f>SUM(AK158:AN158)</f>
        <v>21275</v>
      </c>
      <c r="AP158" s="114">
        <f t="shared" si="503"/>
        <v>-4491</v>
      </c>
      <c r="AQ158" s="114">
        <f t="shared" si="503"/>
        <v>-676</v>
      </c>
      <c r="AR158" s="114">
        <f t="shared" si="503"/>
        <v>-12147</v>
      </c>
      <c r="AS158" s="114">
        <f t="shared" si="503"/>
        <v>-7410</v>
      </c>
      <c r="AT158" s="130">
        <f>SUM(AP158:AS158)</f>
        <v>-24724</v>
      </c>
      <c r="AU158" s="114">
        <f t="shared" si="504"/>
        <v>-211</v>
      </c>
      <c r="AV158" s="114">
        <f t="shared" si="504"/>
        <v>-9996</v>
      </c>
      <c r="AW158" s="114">
        <f t="shared" si="504"/>
        <v>3313</v>
      </c>
      <c r="AX158" s="114">
        <f t="shared" si="504"/>
        <v>1992</v>
      </c>
      <c r="AY158" s="130">
        <f>SUM(AU158:AX158)</f>
        <v>-4902</v>
      </c>
      <c r="AZ158" s="114">
        <f t="shared" si="505"/>
        <v>7648</v>
      </c>
      <c r="BA158" s="114">
        <f t="shared" si="505"/>
        <v>4541</v>
      </c>
      <c r="BB158" s="114">
        <f t="shared" si="505"/>
        <v>-1331</v>
      </c>
      <c r="BC158" s="114">
        <f t="shared" si="505"/>
        <v>7651</v>
      </c>
      <c r="BD158" s="130">
        <f>SUM(AZ158:BC158)</f>
        <v>18509</v>
      </c>
      <c r="BE158" s="114">
        <f t="shared" si="506"/>
        <v>-2668</v>
      </c>
      <c r="BF158" s="114">
        <f t="shared" si="506"/>
        <v>-3104</v>
      </c>
      <c r="BG158" s="114">
        <f t="shared" si="506"/>
        <v>-12901</v>
      </c>
      <c r="BH158" s="114">
        <f t="shared" si="506"/>
        <v>-8457</v>
      </c>
      <c r="BI158" s="130">
        <f>SUM(BE158:BH158)</f>
        <v>-27130</v>
      </c>
      <c r="BJ158" s="114">
        <f t="shared" si="507"/>
        <v>-23761</v>
      </c>
      <c r="BK158" s="114">
        <f t="shared" si="507"/>
        <v>-5030</v>
      </c>
      <c r="BL158" s="114">
        <f t="shared" si="507"/>
        <v>-17342</v>
      </c>
      <c r="BM158" s="114">
        <f t="shared" si="507"/>
        <v>-13295</v>
      </c>
      <c r="BN158" s="130">
        <f>SUM(BJ158:BM158)</f>
        <v>-59428</v>
      </c>
      <c r="BO158" s="114">
        <f t="shared" si="508"/>
        <v>-13559</v>
      </c>
      <c r="BP158" s="114">
        <f t="shared" si="508"/>
        <v>-5692</v>
      </c>
      <c r="BQ158" s="114">
        <f t="shared" si="508"/>
        <v>-5782</v>
      </c>
      <c r="BR158" s="114">
        <f t="shared" si="508"/>
        <v>-1003</v>
      </c>
      <c r="BS158" s="130">
        <f>SUM(BO158:BR158)</f>
        <v>-26036</v>
      </c>
      <c r="BT158" s="114">
        <f>BT134-BS134</f>
        <v>-1810</v>
      </c>
      <c r="BU158" s="114">
        <f t="shared" si="509"/>
        <v>-4007</v>
      </c>
      <c r="BV158" s="114">
        <f>BV134-BU134</f>
        <v>8622</v>
      </c>
      <c r="BW158" s="114">
        <f>BW134-BV134</f>
        <v>11911</v>
      </c>
      <c r="BX158" s="130">
        <f>SUM(BT158:BW158)</f>
        <v>14716</v>
      </c>
      <c r="BY158" s="114">
        <f>BY134-BX134</f>
        <v>-6813</v>
      </c>
      <c r="BZ158" s="114">
        <f t="shared" si="510"/>
        <v>5084</v>
      </c>
      <c r="CA158" s="114">
        <f t="shared" si="510"/>
        <v>8789</v>
      </c>
      <c r="CB158" s="114">
        <f>CB134-CA134</f>
        <v>7784</v>
      </c>
      <c r="CC158" s="130">
        <f>SUM(BY158:CB158)</f>
        <v>14844</v>
      </c>
      <c r="CD158" s="114">
        <f t="shared" si="511"/>
        <v>-330</v>
      </c>
      <c r="CE158" s="114">
        <f t="shared" si="511"/>
        <v>-9156</v>
      </c>
      <c r="CF158" s="114">
        <f t="shared" si="511"/>
        <v>-9005</v>
      </c>
      <c r="CG158" s="114">
        <f t="shared" si="511"/>
        <v>4502</v>
      </c>
      <c r="CH158" s="130">
        <f>SUM(CD158:CG158)</f>
        <v>-13989</v>
      </c>
      <c r="CI158" s="114">
        <f t="shared" si="512"/>
        <v>-700</v>
      </c>
      <c r="CJ158" s="114">
        <f t="shared" si="512"/>
        <v>11140</v>
      </c>
      <c r="CK158" s="114">
        <f t="shared" si="512"/>
        <v>7996</v>
      </c>
      <c r="CL158" s="114">
        <f t="shared" si="512"/>
        <v>7058</v>
      </c>
      <c r="CM158" s="130">
        <f>SUM(CI158:CL158)</f>
        <v>25494</v>
      </c>
      <c r="CN158" s="114">
        <f t="shared" si="512"/>
        <v>2129</v>
      </c>
      <c r="CO158" s="114">
        <f t="shared" si="512"/>
        <v>9703</v>
      </c>
      <c r="CP158" s="114">
        <f t="shared" si="512"/>
        <v>4604</v>
      </c>
      <c r="CQ158" s="114">
        <f>CQ134-CP134</f>
        <v>-14817</v>
      </c>
      <c r="CR158" s="130">
        <f>SUM(CN158:CQ158)</f>
        <v>1619</v>
      </c>
      <c r="CS158" s="114">
        <f t="shared" si="513"/>
        <v>13731</v>
      </c>
      <c r="CT158" s="114">
        <f t="shared" si="513"/>
        <v>3249</v>
      </c>
      <c r="CU158" s="114">
        <f t="shared" si="513"/>
        <v>9728</v>
      </c>
      <c r="CV158" s="114">
        <f t="shared" si="513"/>
        <v>-18704</v>
      </c>
      <c r="CW158" s="130">
        <f>SUM(CS158:CV158)</f>
        <v>8004</v>
      </c>
      <c r="CX158" s="114">
        <f t="shared" si="513"/>
        <v>-5470</v>
      </c>
      <c r="CY158" s="114">
        <f t="shared" si="514"/>
        <v>5019</v>
      </c>
      <c r="CZ158" s="114">
        <f t="shared" si="513"/>
        <v>14301</v>
      </c>
      <c r="DA158" s="114">
        <f t="shared" si="514"/>
        <v>33586</v>
      </c>
      <c r="DB158" s="130">
        <f>SUM(CX158:DA158)</f>
        <v>47436</v>
      </c>
      <c r="DC158" s="114">
        <f t="shared" si="515"/>
        <v>269</v>
      </c>
      <c r="DD158" s="114">
        <f t="shared" si="515"/>
        <v>14515</v>
      </c>
      <c r="DE158" s="114">
        <f t="shared" si="515"/>
        <v>16361</v>
      </c>
      <c r="DF158" s="114">
        <f t="shared" si="515"/>
        <v>15819</v>
      </c>
      <c r="DG158" s="130">
        <f>SUM(DC158:DF158)</f>
        <v>46964</v>
      </c>
      <c r="DH158" s="114">
        <f t="shared" si="516"/>
        <v>-34721</v>
      </c>
      <c r="DI158" s="114">
        <f t="shared" si="516"/>
        <v>-17262</v>
      </c>
      <c r="DJ158" s="114">
        <f t="shared" si="516"/>
        <v>848.39977894941694</v>
      </c>
      <c r="DK158" s="114">
        <f t="shared" si="516"/>
        <v>853.6972668566741</v>
      </c>
      <c r="DL158" s="130">
        <f>SUM(DH158:DK158)</f>
        <v>-50280.902954193909</v>
      </c>
      <c r="DM158" s="114">
        <f t="shared" si="517"/>
        <v>859.02783277601702</v>
      </c>
      <c r="DN158" s="114">
        <f t="shared" si="517"/>
        <v>864.39168324967613</v>
      </c>
      <c r="DO158" s="114">
        <f t="shared" si="517"/>
        <v>869.78902610944351</v>
      </c>
      <c r="DP158" s="114">
        <f t="shared" si="517"/>
        <v>875.22007048502564</v>
      </c>
      <c r="DQ158" s="130">
        <f>SUM(DM158:DP158)</f>
        <v>3468.4286126201623</v>
      </c>
      <c r="DR158" s="114">
        <f t="shared" si="518"/>
        <v>880.68502681181417</v>
      </c>
      <c r="DS158" s="114">
        <f t="shared" si="518"/>
        <v>886.18410683918046</v>
      </c>
      <c r="DT158" s="114">
        <f t="shared" si="518"/>
        <v>891.71752363877022</v>
      </c>
      <c r="DU158" s="114">
        <f t="shared" si="518"/>
        <v>897.28549161259434</v>
      </c>
      <c r="DV158" s="130">
        <f>SUM(DR158:DU158)</f>
        <v>3555.8721489023592</v>
      </c>
      <c r="DW158" s="114">
        <f t="shared" si="519"/>
        <v>902.88822650141083</v>
      </c>
      <c r="DX158" s="114">
        <f t="shared" si="519"/>
        <v>908.52594539316487</v>
      </c>
      <c r="DY158" s="114">
        <f t="shared" si="519"/>
        <v>914.19886673116707</v>
      </c>
      <c r="DZ158" s="114">
        <f t="shared" si="519"/>
        <v>919.90721032285364</v>
      </c>
      <c r="EA158" s="130">
        <f>SUM(DW158:DZ158)</f>
        <v>3645.5202489485964</v>
      </c>
      <c r="EB158" s="114">
        <f t="shared" si="520"/>
        <v>925.65119734808104</v>
      </c>
      <c r="EC158" s="114">
        <f t="shared" si="520"/>
        <v>931.43105036782799</v>
      </c>
      <c r="ED158" s="114">
        <f t="shared" si="520"/>
        <v>937.24699333272292</v>
      </c>
      <c r="EE158" s="114">
        <f t="shared" si="520"/>
        <v>943.099251591746</v>
      </c>
      <c r="EF158" s="130">
        <f>SUM(EB158:EE158)</f>
        <v>3737.428492640378</v>
      </c>
    </row>
    <row r="159" spans="1:136">
      <c r="A159" s="66" t="s">
        <v>794</v>
      </c>
      <c r="B159" s="66">
        <f>'Income Statement'!B37+'Income Statement'!B34+'Income Statement'!B30</f>
        <v>0</v>
      </c>
      <c r="C159" s="66">
        <f>'Income Statement'!C37+'Income Statement'!C34+'Income Statement'!C30</f>
        <v>0</v>
      </c>
      <c r="D159" s="66">
        <f>'Income Statement'!D37+'Income Statement'!D34+'Income Statement'!D30</f>
        <v>0</v>
      </c>
      <c r="E159" s="66">
        <f>'Income Statement'!E37+'Income Statement'!E34+'Income Statement'!E30</f>
        <v>0</v>
      </c>
      <c r="F159" s="67">
        <f>'Income Statement'!F37+'Income Statement'!F34+'Income Statement'!F30</f>
        <v>0</v>
      </c>
      <c r="G159" s="66">
        <f>'Income Statement'!G37+'Income Statement'!G34+'Income Statement'!G30</f>
        <v>0</v>
      </c>
      <c r="H159" s="66">
        <f>'Income Statement'!H37+'Income Statement'!H34+'Income Statement'!H30</f>
        <v>0</v>
      </c>
      <c r="I159" s="66">
        <f>'Income Statement'!I37+'Income Statement'!I34+'Income Statement'!I30</f>
        <v>-25726</v>
      </c>
      <c r="J159" s="66">
        <f>'Income Statement'!J37+'Income Statement'!J34+'Income Statement'!J30</f>
        <v>0</v>
      </c>
      <c r="K159" s="67">
        <f>'Income Statement'!K37+'Income Statement'!K34+'Income Statement'!K30</f>
        <v>-25726</v>
      </c>
      <c r="L159" s="66">
        <f>'Income Statement'!L37+'Income Statement'!L34+'Income Statement'!L30</f>
        <v>0</v>
      </c>
      <c r="M159" s="66">
        <f>'Income Statement'!M37+'Income Statement'!M34+'Income Statement'!M30</f>
        <v>-1114</v>
      </c>
      <c r="N159" s="66">
        <f>'Income Statement'!N37+'Income Statement'!N34+'Income Statement'!N30</f>
        <v>-19713</v>
      </c>
      <c r="O159" s="66">
        <f>'Income Statement'!O37+'Income Statement'!O34+'Income Statement'!O30</f>
        <v>0</v>
      </c>
      <c r="P159" s="67">
        <f>'Income Statement'!P37+'Income Statement'!P34+'Income Statement'!P30</f>
        <v>-20827</v>
      </c>
      <c r="Q159" s="66">
        <f>'Income Statement'!Q37+'Income Statement'!Q34+'Income Statement'!Q30</f>
        <v>0</v>
      </c>
      <c r="R159" s="66">
        <f>'Income Statement'!R37+'Income Statement'!R34+'Income Statement'!R30</f>
        <v>112894</v>
      </c>
      <c r="S159" s="66">
        <f>'Income Statement'!S37+'Income Statement'!S34+'Income Statement'!S30</f>
        <v>0</v>
      </c>
      <c r="T159" s="66">
        <f>'Income Statement'!T37+'Income Statement'!T34+'Income Statement'!T30</f>
        <v>0</v>
      </c>
      <c r="U159" s="130">
        <f>'Income Statement'!U37+'Income Statement'!U34+'Income Statement'!U30</f>
        <v>112894</v>
      </c>
      <c r="V159" s="114">
        <f>'Income Statement'!V37+'Income Statement'!V34+'Income Statement'!V30</f>
        <v>0</v>
      </c>
      <c r="W159" s="114">
        <f>'Income Statement'!W37+'Income Statement'!W34+'Income Statement'!W30</f>
        <v>0</v>
      </c>
      <c r="X159" s="114">
        <f>'Income Statement'!X37+'Income Statement'!X34+'Income Statement'!X30</f>
        <v>0</v>
      </c>
      <c r="Y159" s="114">
        <f>'Income Statement'!Y37+'Income Statement'!Y34+'Income Statement'!Y30</f>
        <v>0</v>
      </c>
      <c r="Z159" s="130">
        <f>'Income Statement'!Z37+'Income Statement'!Z34+'Income Statement'!Z30</f>
        <v>0</v>
      </c>
      <c r="AA159" s="114">
        <f>'Income Statement'!AA37+'Income Statement'!AA34+'Income Statement'!AA30</f>
        <v>0</v>
      </c>
      <c r="AB159" s="114">
        <f>'Income Statement'!AB37+'Income Statement'!AB34+'Income Statement'!AB30</f>
        <v>0</v>
      </c>
      <c r="AC159" s="114">
        <f>'Income Statement'!AC37+'Income Statement'!AC34+'Income Statement'!AC30</f>
        <v>80632</v>
      </c>
      <c r="AD159" s="114">
        <f>'Income Statement'!AD37+'Income Statement'!AD34+'Income Statement'!AD30</f>
        <v>0</v>
      </c>
      <c r="AE159" s="130">
        <f>'Income Statement'!AE37+'Income Statement'!AE34+'Income Statement'!AE30</f>
        <v>80632</v>
      </c>
      <c r="AF159" s="114">
        <f>'Income Statement'!AF37+'Income Statement'!AF34+'Income Statement'!AF30</f>
        <v>0</v>
      </c>
      <c r="AG159" s="114">
        <f>'Income Statement'!AG37+'Income Statement'!AG34+'Income Statement'!AG30</f>
        <v>0</v>
      </c>
      <c r="AH159" s="114">
        <f>'Income Statement'!AH37+'Income Statement'!AH34+'Income Statement'!AH30</f>
        <v>0</v>
      </c>
      <c r="AI159" s="114">
        <f>'Income Statement'!AI37+'Income Statement'!AI34+'Income Statement'!AI30</f>
        <v>0</v>
      </c>
      <c r="AJ159" s="130">
        <f>'Income Statement'!AJ37+'Income Statement'!AJ34+'Income Statement'!AJ30</f>
        <v>0</v>
      </c>
      <c r="AK159" s="114">
        <f>'Income Statement'!AK37+'Income Statement'!AK34+'Income Statement'!AK30</f>
        <v>0</v>
      </c>
      <c r="AL159" s="114">
        <f>'Income Statement'!AL37+'Income Statement'!AL34+'Income Statement'!AL30</f>
        <v>0</v>
      </c>
      <c r="AM159" s="114">
        <f>'Income Statement'!AM37+'Income Statement'!AM34+'Income Statement'!AM30</f>
        <v>0</v>
      </c>
      <c r="AN159" s="114">
        <f>'Income Statement'!AN37+'Income Statement'!AN34+'Income Statement'!AN30</f>
        <v>-36220</v>
      </c>
      <c r="AO159" s="130">
        <f>'Income Statement'!AO37+'Income Statement'!AO34+'Income Statement'!AO30</f>
        <v>-36220</v>
      </c>
      <c r="AP159" s="114">
        <f>'Income Statement'!AP37+'Income Statement'!AP34+'Income Statement'!AP30</f>
        <v>-18000</v>
      </c>
      <c r="AQ159" s="114">
        <f>'Income Statement'!AQ37+'Income Statement'!AQ34+'Income Statement'!AQ30</f>
        <v>0</v>
      </c>
      <c r="AR159" s="114">
        <f>'Income Statement'!AR37+'Income Statement'!AR34+'Income Statement'!AR30</f>
        <v>0</v>
      </c>
      <c r="AS159" s="114">
        <f>'Income Statement'!AS37+'Income Statement'!AS34+'Income Statement'!AS30</f>
        <v>0</v>
      </c>
      <c r="AT159" s="130">
        <f>'Income Statement'!AT37+'Income Statement'!AT34+'Income Statement'!AT30</f>
        <v>-18000</v>
      </c>
      <c r="AU159" s="114">
        <f>'Income Statement'!AU37+'Income Statement'!AU34+'Income Statement'!AU30</f>
        <v>0</v>
      </c>
      <c r="AV159" s="114">
        <f>'Income Statement'!AV37+'Income Statement'!AV34+'Income Statement'!AV30</f>
        <v>-6000</v>
      </c>
      <c r="AW159" s="114">
        <f>'Income Statement'!AW37+'Income Statement'!AW34+'Income Statement'!AW30</f>
        <v>0</v>
      </c>
      <c r="AX159" s="114">
        <f>'Income Statement'!AX37+'Income Statement'!AX34+'Income Statement'!AX30</f>
        <v>0</v>
      </c>
      <c r="AY159" s="130">
        <f>'Income Statement'!AY37+'Income Statement'!AY34+'Income Statement'!AY30</f>
        <v>-6000</v>
      </c>
      <c r="AZ159" s="114">
        <f>'Income Statement'!AZ37+'Income Statement'!AZ34+'Income Statement'!AZ30</f>
        <v>0</v>
      </c>
      <c r="BA159" s="114">
        <f>'Income Statement'!BA37+'Income Statement'!BA34+'Income Statement'!BA30</f>
        <v>0</v>
      </c>
      <c r="BB159" s="114">
        <f>'Income Statement'!BB37+'Income Statement'!BB34+'Income Statement'!BB30</f>
        <v>0</v>
      </c>
      <c r="BC159" s="114">
        <f>'Income Statement'!BC37+'Income Statement'!BC34+'Income Statement'!BC30</f>
        <v>0</v>
      </c>
      <c r="BD159" s="130">
        <f>'Income Statement'!BD37+'Income Statement'!BD34+'Income Statement'!BD30</f>
        <v>0</v>
      </c>
      <c r="BE159" s="114">
        <f>'Income Statement'!BE37+'Income Statement'!BE34+'Income Statement'!BE30</f>
        <v>0</v>
      </c>
      <c r="BF159" s="114">
        <f>'Income Statement'!BF37+'Income Statement'!BF34+'Income Statement'!BF30</f>
        <v>0</v>
      </c>
      <c r="BG159" s="114">
        <f>'Income Statement'!BG37+'Income Statement'!BG34+'Income Statement'!BG30</f>
        <v>0</v>
      </c>
      <c r="BH159" s="114">
        <f>'Income Statement'!BH37+'Income Statement'!BH34+'Income Statement'!BH30</f>
        <v>0</v>
      </c>
      <c r="BI159" s="130">
        <f>'Income Statement'!BI37+'Income Statement'!BI34+'Income Statement'!BI30</f>
        <v>0</v>
      </c>
      <c r="BJ159" s="114">
        <f>'Income Statement'!BJ37+'Income Statement'!BJ34+'Income Statement'!BJ30</f>
        <v>0</v>
      </c>
      <c r="BK159" s="114">
        <f>'Income Statement'!BK37+'Income Statement'!BK34+'Income Statement'!BK30</f>
        <v>0</v>
      </c>
      <c r="BL159" s="114">
        <f>'Income Statement'!BL37+'Income Statement'!BL34+'Income Statement'!BL30</f>
        <v>0</v>
      </c>
      <c r="BM159" s="114">
        <f>'Income Statement'!BM37+'Income Statement'!BM34+'Income Statement'!BM30</f>
        <v>0</v>
      </c>
      <c r="BN159" s="130">
        <f>'Income Statement'!BN37+'Income Statement'!BN34+'Income Statement'!BN30</f>
        <v>0</v>
      </c>
      <c r="BO159" s="114">
        <f>'Income Statement'!BO37+'Income Statement'!BO34+'Income Statement'!BO30</f>
        <v>0</v>
      </c>
      <c r="BP159" s="114">
        <f>'Income Statement'!BP37+'Income Statement'!BP34+'Income Statement'!BP30</f>
        <v>0</v>
      </c>
      <c r="BQ159" s="114">
        <f>'Income Statement'!BQ37+'Income Statement'!BQ34+'Income Statement'!BQ30</f>
        <v>0</v>
      </c>
      <c r="BR159" s="114">
        <f>'Income Statement'!BR37+'Income Statement'!BR34+'Income Statement'!BR30</f>
        <v>0</v>
      </c>
      <c r="BS159" s="130">
        <f>'Income Statement'!BS37+'Income Statement'!BS34+'Income Statement'!BS30</f>
        <v>0</v>
      </c>
      <c r="BT159" s="114">
        <f>'Income Statement'!BT37+'Income Statement'!BT34+'Income Statement'!BT30</f>
        <v>0</v>
      </c>
      <c r="BU159" s="114">
        <f>'Income Statement'!BU37+'Income Statement'!BU34+'Income Statement'!BU30</f>
        <v>0</v>
      </c>
      <c r="BV159" s="114">
        <f>'Income Statement'!BV37+'Income Statement'!BV34+'Income Statement'!BV30</f>
        <v>0</v>
      </c>
      <c r="BW159" s="114">
        <f>'Income Statement'!BW37+'Income Statement'!BW34+'Income Statement'!BW30</f>
        <v>20000</v>
      </c>
      <c r="BX159" s="130">
        <f>'Income Statement'!BX37+'Income Statement'!BX34+'Income Statement'!BX30</f>
        <v>20000</v>
      </c>
      <c r="BY159" s="114">
        <f>'Income Statement'!BY37+'Income Statement'!BY34+'Income Statement'!BY30</f>
        <v>0</v>
      </c>
      <c r="BZ159" s="114">
        <f>'Income Statement'!BZ37+'Income Statement'!BZ34+'Income Statement'!BZ30</f>
        <v>0</v>
      </c>
      <c r="CA159" s="114">
        <f>'Income Statement'!CA37+'Income Statement'!CA34+'Income Statement'!CA30</f>
        <v>0</v>
      </c>
      <c r="CB159" s="114">
        <f>'Income Statement'!CB37+'Income Statement'!CB34+'Income Statement'!CB30</f>
        <v>0</v>
      </c>
      <c r="CC159" s="130">
        <f>'Income Statement'!CC37+'Income Statement'!CC34+'Income Statement'!CC30</f>
        <v>0</v>
      </c>
      <c r="CD159" s="114">
        <f>'Income Statement'!CD37+'Income Statement'!CD34+'Income Statement'!CD30</f>
        <v>0</v>
      </c>
      <c r="CE159" s="114">
        <f>'Income Statement'!CE37+'Income Statement'!CE34+'Income Statement'!CE30</f>
        <v>0</v>
      </c>
      <c r="CF159" s="114">
        <f>'Income Statement'!CF37+'Income Statement'!CF34+'Income Statement'!CF30</f>
        <v>1153000</v>
      </c>
      <c r="CG159" s="114">
        <f>'Income Statement'!CG37+'Income Statement'!CG34+'Income Statement'!CG30</f>
        <v>0</v>
      </c>
      <c r="CH159" s="130">
        <f>'Income Statement'!CH37+'Income Statement'!CH34+'Income Statement'!CH30</f>
        <v>1153000</v>
      </c>
      <c r="CI159" s="114">
        <f>'Income Statement'!CI37+'Income Statement'!CI34+'Income Statement'!CI30</f>
        <v>0</v>
      </c>
      <c r="CJ159" s="114">
        <f>'Income Statement'!CJ37+'Income Statement'!CJ34+'Income Statement'!CJ30</f>
        <v>0</v>
      </c>
      <c r="CK159" s="114">
        <f>'Income Statement'!CK37+'Income Statement'!CK34+'Income Statement'!CK30</f>
        <v>0</v>
      </c>
      <c r="CL159" s="114">
        <f>'Income Statement'!CL37+'Income Statement'!CL34+'Income Statement'!CL30</f>
        <v>0</v>
      </c>
      <c r="CM159" s="130">
        <f>'Income Statement'!CM37+'Income Statement'!CM34+'Income Statement'!CM30</f>
        <v>0</v>
      </c>
      <c r="CN159" s="114">
        <f>'Income Statement'!CN37+'Income Statement'!CN34+'Income Statement'!CN30</f>
        <v>0</v>
      </c>
      <c r="CO159" s="114">
        <f>'Income Statement'!CO37+'Income Statement'!CO34+'Income Statement'!CO30</f>
        <v>0</v>
      </c>
      <c r="CP159" s="114">
        <f>'Income Statement'!CP37+'Income Statement'!CP34+'Income Statement'!CP30</f>
        <v>0</v>
      </c>
      <c r="CQ159" s="114">
        <f>'Income Statement'!CQ37+'Income Statement'!CQ34+'Income Statement'!CQ30</f>
        <v>0</v>
      </c>
      <c r="CR159" s="130">
        <f>'Income Statement'!CR37+'Income Statement'!CR34+'Income Statement'!CR30</f>
        <v>0</v>
      </c>
      <c r="CS159" s="114">
        <f>'Income Statement'!CS37+'Income Statement'!CS34+'Income Statement'!CS30</f>
        <v>0</v>
      </c>
      <c r="CT159" s="114">
        <f>'Income Statement'!CT37+'Income Statement'!CT34+'Income Statement'!CT30</f>
        <v>0</v>
      </c>
      <c r="CU159" s="114">
        <f>'Income Statement'!CU37+'Income Statement'!CU34+'Income Statement'!CU30</f>
        <v>0</v>
      </c>
      <c r="CV159" s="114">
        <f>'Income Statement'!CV37+'Income Statement'!CV34+'Income Statement'!CV30</f>
        <v>0</v>
      </c>
      <c r="CW159" s="130">
        <f>'Income Statement'!CW37+'Income Statement'!CW34+'Income Statement'!CW30</f>
        <v>0</v>
      </c>
      <c r="CX159" s="114">
        <f>'Income Statement'!CX37+'Income Statement'!CX34+'Income Statement'!CX30</f>
        <v>0</v>
      </c>
      <c r="CY159" s="114">
        <f>'Income Statement'!CY37+'Income Statement'!CY34+'Income Statement'!CY30</f>
        <v>0</v>
      </c>
      <c r="CZ159" s="114">
        <f>'Income Statement'!CZ37+'Income Statement'!CZ34+'Income Statement'!CZ30</f>
        <v>0</v>
      </c>
      <c r="DA159" s="114">
        <f>'Income Statement'!DA37+'Income Statement'!DA34+'Income Statement'!DA30</f>
        <v>0</v>
      </c>
      <c r="DB159" s="130">
        <f>'Income Statement'!DB37+'Income Statement'!DB34+'Income Statement'!DB30</f>
        <v>0</v>
      </c>
      <c r="DC159" s="114">
        <f>'Income Statement'!DC37+'Income Statement'!DC34+'Income Statement'!DC30</f>
        <v>0</v>
      </c>
      <c r="DD159" s="114">
        <f>'Income Statement'!DD37+'Income Statement'!DD34+'Income Statement'!DD30</f>
        <v>0</v>
      </c>
      <c r="DE159" s="114">
        <f>'Income Statement'!DE37+'Income Statement'!DE34+'Income Statement'!DE30</f>
        <v>213000</v>
      </c>
      <c r="DF159" s="114">
        <f>'Income Statement'!DF37+'Income Statement'!DF34+'Income Statement'!DF30</f>
        <v>0</v>
      </c>
      <c r="DG159" s="130">
        <f>'Income Statement'!DG37+'Income Statement'!DG34+'Income Statement'!DG30</f>
        <v>213000</v>
      </c>
      <c r="DH159" s="114">
        <f>'Income Statement'!DH37+'Income Statement'!DH34+'Income Statement'!DH30</f>
        <v>0</v>
      </c>
      <c r="DI159" s="114">
        <f>'Income Statement'!DI37+'Income Statement'!DI34+'Income Statement'!DI30</f>
        <v>0</v>
      </c>
      <c r="DJ159" s="114">
        <f>'Income Statement'!DJ37+'Income Statement'!DJ34+'Income Statement'!DJ30</f>
        <v>0</v>
      </c>
      <c r="DK159" s="114">
        <f>'Income Statement'!DK37+'Income Statement'!DK34+'Income Statement'!DK30</f>
        <v>0</v>
      </c>
      <c r="DL159" s="130">
        <f>'Income Statement'!DL37+'Income Statement'!DL34+'Income Statement'!DL30</f>
        <v>0</v>
      </c>
      <c r="DM159" s="114">
        <f>'Income Statement'!DM37+'Income Statement'!DM34+'Income Statement'!DM30</f>
        <v>0</v>
      </c>
      <c r="DN159" s="114">
        <f>'Income Statement'!DN37+'Income Statement'!DN34+'Income Statement'!DN30</f>
        <v>0</v>
      </c>
      <c r="DO159" s="114">
        <f>'Income Statement'!DO37+'Income Statement'!DO34+'Income Statement'!DO30</f>
        <v>0</v>
      </c>
      <c r="DP159" s="114">
        <f>'Income Statement'!DP37+'Income Statement'!DP34+'Income Statement'!DP30</f>
        <v>0</v>
      </c>
      <c r="DQ159" s="130">
        <f>'Income Statement'!DQ37+'Income Statement'!DQ34+'Income Statement'!DQ30</f>
        <v>0</v>
      </c>
      <c r="DR159" s="114">
        <f>'Income Statement'!DR37+'Income Statement'!DR34+'Income Statement'!DR30</f>
        <v>0</v>
      </c>
      <c r="DS159" s="114">
        <f>'Income Statement'!DS37+'Income Statement'!DS34+'Income Statement'!DS30</f>
        <v>0</v>
      </c>
      <c r="DT159" s="114">
        <f>'Income Statement'!DT37+'Income Statement'!DT34+'Income Statement'!DT30</f>
        <v>0</v>
      </c>
      <c r="DU159" s="114">
        <f>'Income Statement'!DU37+'Income Statement'!DU34+'Income Statement'!DU30</f>
        <v>0</v>
      </c>
      <c r="DV159" s="130">
        <f>'Income Statement'!DV37+'Income Statement'!DV34+'Income Statement'!DV30</f>
        <v>0</v>
      </c>
      <c r="DW159" s="114">
        <f>'Income Statement'!DW37+'Income Statement'!DW34+'Income Statement'!DW30</f>
        <v>0</v>
      </c>
      <c r="DX159" s="114">
        <f>'Income Statement'!DX37+'Income Statement'!DX34+'Income Statement'!DX30</f>
        <v>0</v>
      </c>
      <c r="DY159" s="114">
        <f>'Income Statement'!DY37+'Income Statement'!DY34+'Income Statement'!DY30</f>
        <v>0</v>
      </c>
      <c r="DZ159" s="114">
        <f>'Income Statement'!DZ37+'Income Statement'!DZ34+'Income Statement'!DZ30</f>
        <v>0</v>
      </c>
      <c r="EA159" s="130">
        <f>'Income Statement'!EA37+'Income Statement'!EA34+'Income Statement'!EA30</f>
        <v>0</v>
      </c>
      <c r="EB159" s="114">
        <f>'Income Statement'!EB37+'Income Statement'!EB34+'Income Statement'!EB30</f>
        <v>0</v>
      </c>
      <c r="EC159" s="114">
        <f>'Income Statement'!EC37+'Income Statement'!EC34+'Income Statement'!EC30</f>
        <v>0</v>
      </c>
      <c r="ED159" s="114">
        <f>'Income Statement'!ED37+'Income Statement'!ED34+'Income Statement'!ED30</f>
        <v>0</v>
      </c>
      <c r="EE159" s="114">
        <f>'Income Statement'!EE37+'Income Statement'!EE34+'Income Statement'!EE30</f>
        <v>0</v>
      </c>
      <c r="EF159" s="130">
        <f>'Income Statement'!EF37+'Income Statement'!EF34+'Income Statement'!EF30</f>
        <v>0</v>
      </c>
    </row>
    <row r="160" spans="1:136">
      <c r="U160" s="130"/>
      <c r="V160" s="114"/>
      <c r="W160" s="114"/>
      <c r="X160" s="114"/>
      <c r="Y160" s="114"/>
      <c r="Z160" s="130"/>
      <c r="AA160" s="114"/>
      <c r="AB160" s="114"/>
      <c r="AC160" s="114"/>
      <c r="AD160" s="114"/>
      <c r="AE160" s="130"/>
      <c r="AF160" s="114"/>
      <c r="AG160" s="114"/>
      <c r="AH160" s="114"/>
      <c r="AI160" s="114"/>
      <c r="AJ160" s="130"/>
      <c r="AK160" s="114"/>
      <c r="AL160" s="114"/>
      <c r="AM160" s="114"/>
      <c r="AN160" s="114"/>
      <c r="AO160" s="130"/>
      <c r="AP160" s="114"/>
      <c r="AQ160" s="114"/>
      <c r="AR160" s="114"/>
      <c r="AS160" s="114"/>
      <c r="AT160" s="130"/>
      <c r="AU160" s="114"/>
      <c r="AV160" s="114"/>
      <c r="AW160" s="114"/>
      <c r="AX160" s="114"/>
      <c r="AY160" s="130"/>
      <c r="AZ160" s="114"/>
      <c r="BA160" s="114"/>
      <c r="BB160" s="114"/>
      <c r="BC160" s="114"/>
      <c r="BD160" s="130"/>
      <c r="BE160" s="114"/>
      <c r="BF160" s="114"/>
      <c r="BG160" s="114"/>
      <c r="BH160" s="114"/>
      <c r="BI160" s="130"/>
      <c r="BJ160" s="114"/>
      <c r="BK160" s="114"/>
      <c r="BL160" s="114"/>
      <c r="BM160" s="114"/>
      <c r="BN160" s="130"/>
      <c r="BO160" s="114"/>
      <c r="BP160" s="114"/>
      <c r="BQ160" s="114"/>
      <c r="BR160" s="114"/>
      <c r="BS160" s="130"/>
      <c r="BT160" s="114"/>
      <c r="BU160" s="114"/>
      <c r="BV160" s="114"/>
      <c r="BW160" s="114"/>
      <c r="BX160" s="130"/>
      <c r="BY160" s="114"/>
      <c r="BZ160" s="114"/>
      <c r="CA160" s="114"/>
      <c r="CB160" s="114"/>
      <c r="CC160" s="130"/>
      <c r="CD160" s="114"/>
      <c r="CE160" s="114"/>
      <c r="CF160" s="114"/>
      <c r="CG160" s="114"/>
      <c r="CH160" s="130"/>
      <c r="CI160" s="114"/>
      <c r="CJ160" s="114"/>
      <c r="CK160" s="114"/>
      <c r="CL160" s="114"/>
      <c r="CM160" s="130"/>
      <c r="CN160" s="114"/>
      <c r="CO160" s="114"/>
      <c r="CP160" s="114"/>
      <c r="CQ160" s="114"/>
      <c r="CR160" s="130"/>
      <c r="CS160" s="114"/>
      <c r="CT160" s="114"/>
      <c r="CU160" s="114"/>
      <c r="CV160" s="114"/>
      <c r="CW160" s="130"/>
      <c r="CX160" s="114"/>
      <c r="CY160" s="114"/>
      <c r="CZ160" s="114"/>
      <c r="DA160" s="114"/>
      <c r="DB160" s="130"/>
      <c r="DC160" s="114"/>
      <c r="DD160" s="114"/>
      <c r="DE160" s="114"/>
      <c r="DF160" s="114"/>
      <c r="DG160" s="130"/>
      <c r="DH160" s="114"/>
      <c r="DI160" s="114"/>
      <c r="DJ160" s="114"/>
      <c r="DK160" s="114"/>
      <c r="DL160" s="130"/>
      <c r="DM160" s="114"/>
      <c r="DN160" s="114"/>
      <c r="DO160" s="114"/>
      <c r="DP160" s="114"/>
      <c r="DQ160" s="130"/>
      <c r="DR160" s="114"/>
      <c r="DS160" s="114"/>
      <c r="DT160" s="114"/>
      <c r="DU160" s="114"/>
      <c r="DV160" s="130"/>
      <c r="DW160" s="114"/>
      <c r="DX160" s="114"/>
      <c r="DY160" s="114"/>
      <c r="DZ160" s="114"/>
      <c r="EA160" s="130"/>
      <c r="EB160" s="114"/>
      <c r="EC160" s="114"/>
      <c r="ED160" s="114"/>
      <c r="EE160" s="114"/>
      <c r="EF160" s="130"/>
    </row>
    <row r="161" spans="1:136">
      <c r="A161" s="66" t="s">
        <v>795</v>
      </c>
      <c r="U161" s="130">
        <f>SUM(Q161:T161)</f>
        <v>0</v>
      </c>
      <c r="V161" s="114">
        <f>'Income Statement'!V47-SUM(V156:V158)-V159</f>
        <v>52958.946358941612</v>
      </c>
      <c r="W161" s="114">
        <f>'Income Statement'!W47-SUM(W156:W158)-W159</f>
        <v>94027</v>
      </c>
      <c r="X161" s="114">
        <f>'Income Statement'!X47-SUM(X156:X158)-X159</f>
        <v>77899</v>
      </c>
      <c r="Y161" s="114">
        <f>'Income Statement'!Y47-SUM(Y156:Y158)-Y159</f>
        <v>33074</v>
      </c>
      <c r="Z161" s="130">
        <f>SUM(V161:Y161)</f>
        <v>257958.94635894161</v>
      </c>
      <c r="AA161" s="114">
        <f>'Income Statement'!AA47-SUM(AA156:AA158)-AA159</f>
        <v>112257</v>
      </c>
      <c r="AB161" s="114">
        <f>'Income Statement'!AB47-SUM(AB156:AB158)-AB159</f>
        <v>118582</v>
      </c>
      <c r="AC161" s="114">
        <f>'Income Statement'!AC47-SUM(AC156:AC158)-AC159</f>
        <v>182345</v>
      </c>
      <c r="AD161" s="114">
        <f>'Income Statement'!AD47-SUM(AD156:AD158)-AD159</f>
        <v>203763</v>
      </c>
      <c r="AE161" s="130">
        <f>SUM(AA161:AD161)</f>
        <v>616947</v>
      </c>
      <c r="AF161" s="114">
        <f>'Income Statement'!AF47-SUM(AF156:AF158)-AF159</f>
        <v>161348</v>
      </c>
      <c r="AG161" s="114">
        <f>'Income Statement'!AG47-SUM(AG156:AG158)-AG159</f>
        <v>157124</v>
      </c>
      <c r="AH161" s="114">
        <f>'Income Statement'!AH47-SUM(AH156:AH158)-AH159</f>
        <v>165192</v>
      </c>
      <c r="AI161" s="114">
        <f>'Income Statement'!AI47-SUM(AI156:AI158)-AI159</f>
        <v>23901</v>
      </c>
      <c r="AJ161" s="130">
        <f>SUM(AF161:AI161)</f>
        <v>507565</v>
      </c>
      <c r="AK161" s="114">
        <f>'Income Statement'!AK47-SUM(AK156:AK158)-AK159</f>
        <v>73448</v>
      </c>
      <c r="AL161" s="114">
        <f>'Income Statement'!AL47-SUM(AL156:AL158)-AL159</f>
        <v>83001</v>
      </c>
      <c r="AM161" s="114">
        <f>'Income Statement'!AM47-SUM(AM156:AM158)-AM159</f>
        <v>128789</v>
      </c>
      <c r="AN161" s="114">
        <f>'Income Statement'!AN47-SUM(AN156:AN158)-AN159</f>
        <v>164879</v>
      </c>
      <c r="AO161" s="130">
        <f>SUM(AK161:AN161)</f>
        <v>450117</v>
      </c>
      <c r="AP161" s="114">
        <f>'Income Statement'!AP47-SUM(AP156:AP158)-AP159</f>
        <v>143739</v>
      </c>
      <c r="AQ161" s="114">
        <f>'Income Statement'!AQ47-SUM(AQ156:AQ158)-AQ159</f>
        <v>142919</v>
      </c>
      <c r="AR161" s="114">
        <f>'Income Statement'!AR47-SUM(AR156:AR158)-AR159</f>
        <v>168435</v>
      </c>
      <c r="AS161" s="114">
        <f>'Income Statement'!AS47-SUM(AS156:AS158)-AS159</f>
        <v>263355</v>
      </c>
      <c r="AT161" s="130">
        <f>SUM(AP161:AS161)</f>
        <v>718448</v>
      </c>
      <c r="AU161" s="114">
        <f>'Income Statement'!AU47-SUM(AU156:AU158)-AU159</f>
        <v>161229</v>
      </c>
      <c r="AV161" s="114">
        <f>'Income Statement'!AV47-SUM(AV156:AV158)-AV159</f>
        <v>195182</v>
      </c>
      <c r="AW161" s="114">
        <f>'Income Statement'!AW47-SUM(AW156:AW158)-AW159</f>
        <v>168271</v>
      </c>
      <c r="AX161" s="114">
        <f>'Income Statement'!AX47-SUM(AX156:AX158)-AX159</f>
        <v>197834</v>
      </c>
      <c r="AY161" s="130">
        <f>SUM(AU161:AX161)</f>
        <v>722516</v>
      </c>
      <c r="AZ161" s="114">
        <f>'Income Statement'!AZ47-SUM(AZ156:AZ158)-AZ159</f>
        <v>152057</v>
      </c>
      <c r="BA161" s="114">
        <f>'Income Statement'!BA47-SUM(BA156:BA158)-BA159</f>
        <v>165251</v>
      </c>
      <c r="BB161" s="114">
        <f>'Income Statement'!BB47-SUM(BB156:BB158)-BB159</f>
        <v>173334</v>
      </c>
      <c r="BC161" s="114">
        <f>'Income Statement'!BC47-SUM(BC156:BC158)-BC159</f>
        <v>149206</v>
      </c>
      <c r="BD161" s="130">
        <f>SUM(AZ161:BC161)</f>
        <v>639848</v>
      </c>
      <c r="BE161" s="114">
        <f>'Income Statement'!BE47-SUM(BE156:BE158)-BE159</f>
        <v>95244</v>
      </c>
      <c r="BF161" s="114">
        <f>'Income Statement'!BF47-SUM(BF156:BF158)-BF159</f>
        <v>107290.35762909235</v>
      </c>
      <c r="BG161" s="114">
        <f>'Income Statement'!BG47-SUM(BG156:BG158)-BG159</f>
        <v>134341</v>
      </c>
      <c r="BH161" s="114">
        <f>'Income Statement'!BH47-SUM(BH156:BH158)-BH159</f>
        <v>102692</v>
      </c>
      <c r="BI161" s="130">
        <f>SUM(BE161:BH161)</f>
        <v>439567.35762909235</v>
      </c>
      <c r="BJ161" s="114">
        <f>'Income Statement'!BJ47-SUM(BJ156:BJ158)-BJ159</f>
        <v>88133</v>
      </c>
      <c r="BK161" s="114">
        <f>'Income Statement'!BK47-SUM(BK156:BK158)-BK159</f>
        <v>36371.278630916357</v>
      </c>
      <c r="BL161" s="114">
        <f>'Income Statement'!BL47-SUM(BL156:BL158)-BL159</f>
        <v>27968</v>
      </c>
      <c r="BM161" s="114">
        <f>'Income Statement'!BM47-SUM(BM156:BM158)-BM159</f>
        <v>40768</v>
      </c>
      <c r="BN161" s="130">
        <f>SUM(BJ161:BM161)</f>
        <v>193240.27863091635</v>
      </c>
      <c r="BO161" s="114">
        <f>'Income Statement'!BO47-SUM(BO156:BO158)-BO159</f>
        <v>13053</v>
      </c>
      <c r="BP161" s="114">
        <f>'Income Statement'!BP47-SUM(BP156:BP158)-BP159</f>
        <v>-134450</v>
      </c>
      <c r="BQ161" s="114">
        <f>'Income Statement'!BQ47-SUM(BQ156:BQ158)-BQ159</f>
        <v>-4408</v>
      </c>
      <c r="BR161" s="114">
        <f>'Income Statement'!BR47-SUM(BR156:BR158)-BR159</f>
        <v>58115</v>
      </c>
      <c r="BS161" s="130">
        <f>SUM(BO161:BR161)</f>
        <v>-67690</v>
      </c>
      <c r="BT161" s="114">
        <f>'Income Statement'!BT47-SUM(BT156:BT158)-BT159</f>
        <v>-43512</v>
      </c>
      <c r="BU161" s="114">
        <f>'Income Statement'!BU47-SUM(BU156:BU158)-BU159</f>
        <v>-13986</v>
      </c>
      <c r="BV161" s="114">
        <f>'Income Statement'!BV47-SUM(BV156:BV158)-BV159</f>
        <v>-123065</v>
      </c>
      <c r="BW161" s="114">
        <f>'Income Statement'!BW47-SUM(BW156:BW158)-BW159</f>
        <v>99724</v>
      </c>
      <c r="BX161" s="130">
        <f>SUM(BT161:BW161)</f>
        <v>-80839</v>
      </c>
      <c r="BY161" s="114">
        <f>'Income Statement'!BY47-SUM(BY156:BY158)-BY159</f>
        <v>66418</v>
      </c>
      <c r="BZ161" s="114">
        <f>'Income Statement'!BZ47-SUM(BZ156:BZ158)-BZ159</f>
        <v>119697</v>
      </c>
      <c r="CA161" s="114">
        <f>'Income Statement'!CA47-SUM(CA156:CA158)-CA159</f>
        <v>112297</v>
      </c>
      <c r="CB161" s="114">
        <f>'Income Statement'!CB47-SUM(CB156:CB158)-CB159</f>
        <v>154935</v>
      </c>
      <c r="CC161" s="130">
        <f>SUM(BY161:CB161)</f>
        <v>453347</v>
      </c>
      <c r="CD161" s="114">
        <f>'Income Statement'!CD47-SUM(CD156:CD158)-CD159</f>
        <v>34540</v>
      </c>
      <c r="CE161" s="114">
        <f>'Income Statement'!CE47-SUM(CE156:CE158)-CE159</f>
        <v>83008</v>
      </c>
      <c r="CF161" s="114">
        <f>'Income Statement'!CF47-SUM(CF156:CF158)-CF159</f>
        <v>282803</v>
      </c>
      <c r="CG161" s="114">
        <f>'Income Statement'!CG47-SUM(CG156:CG158)-CG159</f>
        <v>273952</v>
      </c>
      <c r="CH161" s="130">
        <f>SUM(CD161:CG161)</f>
        <v>674303</v>
      </c>
      <c r="CI161" s="114">
        <f>'Income Statement'!CI47-SUM(CI156:CI158)-CI159</f>
        <v>197028</v>
      </c>
      <c r="CJ161" s="114">
        <f>'Income Statement'!CJ47-SUM(CJ156:CJ158)-CJ159</f>
        <v>258913</v>
      </c>
      <c r="CK161" s="114">
        <f>'Income Statement'!CK47-SUM(CK156:CK158)-CK159</f>
        <v>232762</v>
      </c>
      <c r="CL161" s="114">
        <f>'Income Statement'!CL47-SUM(CL156:CL158)-CL159</f>
        <v>190495</v>
      </c>
      <c r="CM161" s="130">
        <f>SUM(CI161:CL161)</f>
        <v>879198</v>
      </c>
      <c r="CN161" s="114">
        <f>'Income Statement'!CN47-SUM(CN156:CN158)-CN159</f>
        <v>155930</v>
      </c>
      <c r="CO161" s="114">
        <f>'Income Statement'!CO47-SUM(CO156:CO158)-CO159</f>
        <v>139517</v>
      </c>
      <c r="CP161" s="114">
        <f>'Income Statement'!CP47-SUM(CP156:CP158)-CP159</f>
        <v>281388</v>
      </c>
      <c r="CQ161" s="114">
        <f>'Income Statement'!CQ47-SUM(CQ156:CQ158)-CQ159</f>
        <v>220315</v>
      </c>
      <c r="CR161" s="130">
        <f>SUM(CN161:CQ161)</f>
        <v>797150</v>
      </c>
      <c r="CS161" s="114">
        <f>'Income Statement'!CS47-SUM(CS156:CS158)-CS159</f>
        <v>145806</v>
      </c>
      <c r="CT161" s="114">
        <f>'Income Statement'!CT47-SUM(CT156:CT158)-CT159</f>
        <v>272262</v>
      </c>
      <c r="CU161" s="114">
        <f>'Income Statement'!CU47-SUM(CU156:CU158)-CU159</f>
        <v>237199</v>
      </c>
      <c r="CV161" s="114">
        <f>'Income Statement'!CV47-SUM(CV156:CV158)-CV159</f>
        <v>258884</v>
      </c>
      <c r="CW161" s="130">
        <f>SUM(CS161:CV161)</f>
        <v>914151</v>
      </c>
      <c r="CX161" s="114">
        <f>'Income Statement'!CX47-SUM(CX156:CX158)-CX159</f>
        <v>272645</v>
      </c>
      <c r="CY161" s="114">
        <f>'Income Statement'!CY47-SUM(CY156:CY158)-CY159</f>
        <v>403284</v>
      </c>
      <c r="CZ161" s="114">
        <f>'Income Statement'!CZ47-SUM(CZ156:CZ158)-CZ159</f>
        <v>457983</v>
      </c>
      <c r="DA161" s="114">
        <f>'Income Statement'!DA47-SUM(DA156:DA158)-DA159</f>
        <v>457298</v>
      </c>
      <c r="DB161" s="130">
        <f>SUM(CX161:DA161)</f>
        <v>1591210</v>
      </c>
      <c r="DC161" s="114">
        <f>'Income Statement'!DC47-SUM(DC156:DC158)-DC159</f>
        <v>316370</v>
      </c>
      <c r="DD161" s="114">
        <f>'Income Statement'!DD47-SUM(DD156:DD158)-DD159</f>
        <v>352077</v>
      </c>
      <c r="DE161" s="114">
        <f>'Income Statement'!DE47-SUM(DE156:DE158)-DE159</f>
        <v>370892</v>
      </c>
      <c r="DF161" s="114">
        <f>'Income Statement'!DF47-SUM(DF156:DF158)-DF159</f>
        <v>667034</v>
      </c>
      <c r="DG161" s="130">
        <f>SUM(DC161:DF161)</f>
        <v>1706373</v>
      </c>
      <c r="DH161" s="114">
        <f>'Income Statement'!DH47-SUM(DH156:DH158)-DH159</f>
        <v>323066</v>
      </c>
      <c r="DI161" s="114">
        <f>'Income Statement'!DI47-SUM(DI156:DI158)-DI159</f>
        <v>459496</v>
      </c>
      <c r="DJ161" s="114">
        <f ca="1">'Income Statement'!DJ47-SUM(DJ156:DJ158)-DJ159</f>
        <v>515338.43312265538</v>
      </c>
      <c r="DK161" s="114">
        <f ca="1">'Income Statement'!DK47-SUM(DK156:DK158)-DK159</f>
        <v>615633.30453402968</v>
      </c>
      <c r="DL161" s="130">
        <f ca="1">SUM(DH161:DK161)</f>
        <v>1913533.7376566851</v>
      </c>
      <c r="DM161" s="114">
        <f ca="1">'Income Statement'!DM47-SUM(DM156:DM158)-DM159</f>
        <v>530669.73611187446</v>
      </c>
      <c r="DN161" s="114">
        <f ca="1">'Income Statement'!DN47-SUM(DN156:DN158)-DN159</f>
        <v>549067.17708963016</v>
      </c>
      <c r="DO161" s="114">
        <f ca="1">'Income Statement'!DO47-SUM(DO156:DO158)-DO159</f>
        <v>542761.4844980191</v>
      </c>
      <c r="DP161" s="114">
        <f ca="1">'Income Statement'!DP47-SUM(DP156:DP158)-DP159</f>
        <v>578332.24310975149</v>
      </c>
      <c r="DQ161" s="130">
        <f ca="1">SUM(DM161:DP161)</f>
        <v>2200830.6408092752</v>
      </c>
      <c r="DR161" s="114">
        <f ca="1">'Income Statement'!DR47-SUM(DR156:DR158)-DR159</f>
        <v>590996.08137550484</v>
      </c>
      <c r="DS161" s="114">
        <f ca="1">'Income Statement'!DS47-SUM(DS156:DS158)-DS159</f>
        <v>548382.98604116053</v>
      </c>
      <c r="DT161" s="114">
        <f ca="1">'Income Statement'!DT47-SUM(DT156:DT158)-DT159</f>
        <v>544800.68625225173</v>
      </c>
      <c r="DU161" s="114">
        <f ca="1">'Income Statement'!DU47-SUM(DU156:DU158)-DU159</f>
        <v>609440.10710115847</v>
      </c>
      <c r="DV161" s="130">
        <f ca="1">SUM(DR161:DU161)</f>
        <v>2293619.8607700756</v>
      </c>
      <c r="DW161" s="114">
        <f ca="1">'Income Statement'!DW47-SUM(DW156:DW158)-DW159</f>
        <v>630205.65146025666</v>
      </c>
      <c r="DX161" s="114">
        <f ca="1">'Income Statement'!DX47-SUM(DX156:DX158)-DX159</f>
        <v>577549.83624147857</v>
      </c>
      <c r="DY161" s="114">
        <f ca="1">'Income Statement'!DY47-SUM(DY156:DY158)-DY159</f>
        <v>568100.89010506228</v>
      </c>
      <c r="DZ161" s="114">
        <f ca="1">'Income Statement'!DZ47-SUM(DZ156:DZ158)-DZ159</f>
        <v>648359.19713763567</v>
      </c>
      <c r="EA161" s="130">
        <f ca="1">SUM(DW161:DZ161)</f>
        <v>2424215.5749444333</v>
      </c>
      <c r="EB161" s="114">
        <f ca="1">'Income Statement'!EB47-SUM(EB156:EB158)-EB159</f>
        <v>687653.84860444907</v>
      </c>
      <c r="EC161" s="114">
        <f ca="1">'Income Statement'!EC47-SUM(EC156:EC158)-EC159</f>
        <v>642151.08104126318</v>
      </c>
      <c r="ED161" s="114">
        <f ca="1">'Income Statement'!ED47-SUM(ED156:ED158)-ED159</f>
        <v>634761.40691829822</v>
      </c>
      <c r="EE161" s="114">
        <f ca="1">'Income Statement'!EE47-SUM(EE156:EE158)-EE159</f>
        <v>714883.91293027264</v>
      </c>
      <c r="EF161" s="130">
        <f ca="1">SUM(EB161:EE161)</f>
        <v>2679450.249494283</v>
      </c>
    </row>
    <row r="162" spans="1:136">
      <c r="AQ162" s="122">
        <f>SUM(AP161:AQ161,AM161:AN161)/AVERAGE(AM151:AN151,AP151:AQ151)</f>
        <v>0.13511758317767161</v>
      </c>
      <c r="CH162" s="67"/>
      <c r="CM162" s="67"/>
      <c r="CR162" s="67"/>
      <c r="CW162" s="67"/>
      <c r="DB162" s="67"/>
      <c r="DG162" s="67"/>
      <c r="DL162" s="67"/>
      <c r="DQ162" s="67"/>
      <c r="DV162" s="67"/>
      <c r="EA162" s="67"/>
      <c r="EF162" s="67"/>
    </row>
    <row r="163" spans="1:136">
      <c r="U163" s="134">
        <f>U161/AVERAGE(Q151:T151)</f>
        <v>0</v>
      </c>
      <c r="Z163" s="134">
        <f>Z161/AVERAGE(V151:Y151)</f>
        <v>0.12726238544386939</v>
      </c>
      <c r="AE163" s="134">
        <f>AE161/AVERAGE(AA151:AD151)</f>
        <v>0.24019708754505179</v>
      </c>
      <c r="AJ163" s="134">
        <f>AJ161/AVERAGE(AF151:AI151)</f>
        <v>0.1273921959244361</v>
      </c>
      <c r="AO163" s="134">
        <f>AO161/AVERAGE(AK151:AN151)</f>
        <v>0.1079731929071176</v>
      </c>
      <c r="AT163" s="134">
        <f>AT161/AVERAGE(AP151:AS151)</f>
        <v>0.15777151208862109</v>
      </c>
      <c r="AY163" s="134">
        <f>AY161/AVERAGE(AU151:AX151)</f>
        <v>0.14198598025121922</v>
      </c>
      <c r="BD163" s="134">
        <f>BD161/AVERAGE(AZ151:BC151)</f>
        <v>0.12004240754960946</v>
      </c>
      <c r="BI163" s="134">
        <f>BI161/AVERAGE(BE151:BH151)</f>
        <v>8.110964941673289E-2</v>
      </c>
      <c r="BN163" s="134">
        <f>BN161/AVERAGE(BJ151:BM151)</f>
        <v>3.3977779371560803E-2</v>
      </c>
      <c r="BS163" s="134">
        <f>BS161/AVERAGE(BO151:BR151)</f>
        <v>-1.1972106530524119E-2</v>
      </c>
      <c r="BX163" s="134">
        <f>BX161/AVERAGE(BT151:BW151)</f>
        <v>-1.5675632936475135E-2</v>
      </c>
      <c r="CC163" s="134">
        <f>CC161/AVERAGE(BY151:CB151)</f>
        <v>9.3558471568257043E-2</v>
      </c>
      <c r="CH163" s="134">
        <f>CH161/AVERAGE(CD151:CG151)</f>
        <v>0.12984325535599842</v>
      </c>
      <c r="CM163" s="134">
        <f>CM161/AVERAGE(CI151:CL151)</f>
        <v>0.14991650942690438</v>
      </c>
      <c r="CR163" s="134">
        <f>CR161/AVERAGE(CN151:CQ151)</f>
        <v>0.12823483181534892</v>
      </c>
      <c r="CW163" s="134">
        <f>CW161/AVERAGE(CS151:CV151)</f>
        <v>0.1275707887844027</v>
      </c>
      <c r="DB163" s="134">
        <f>DB161/AVERAGE(CX151:DA151)</f>
        <v>0.19593023132323154</v>
      </c>
      <c r="DG163" s="134">
        <f>DG161/AVERAGE(DC151:DF151)</f>
        <v>0.17926580697245659</v>
      </c>
      <c r="DL163" s="134">
        <f ca="1">DL161/AVERAGE(DH151:DK151)</f>
        <v>0.17411613270571269</v>
      </c>
      <c r="DQ163" s="134">
        <f ca="1">DQ161/AVERAGE(DM151:DP151)</f>
        <v>0.17809293329305032</v>
      </c>
      <c r="DV163" s="134">
        <f ca="1">DV161/AVERAGE(DR151:DU151)</f>
        <v>0.18526069330667935</v>
      </c>
      <c r="EA163" s="134">
        <f ca="1">EA161/AVERAGE(DW151:DZ151)</f>
        <v>0.18839217217412757</v>
      </c>
      <c r="EF163" s="134">
        <f ca="1">EF161/AVERAGE(EB151:EE151)</f>
        <v>0.19893021357743756</v>
      </c>
    </row>
    <row r="164" spans="1:136">
      <c r="A164" s="66" t="s">
        <v>797</v>
      </c>
      <c r="Q164" s="169">
        <v>0</v>
      </c>
      <c r="R164" s="169">
        <v>0</v>
      </c>
      <c r="S164" s="169">
        <v>0</v>
      </c>
      <c r="T164" s="169">
        <v>0</v>
      </c>
      <c r="U164" s="130">
        <f>T164</f>
        <v>0</v>
      </c>
      <c r="V164" s="169">
        <v>0</v>
      </c>
      <c r="W164" s="169">
        <v>0</v>
      </c>
      <c r="X164" s="169">
        <v>0</v>
      </c>
      <c r="Y164" s="169">
        <v>0</v>
      </c>
      <c r="Z164" s="130">
        <f>Y164</f>
        <v>0</v>
      </c>
      <c r="AA164" s="169">
        <v>0</v>
      </c>
      <c r="AB164" s="169">
        <v>0</v>
      </c>
      <c r="AC164" s="169">
        <v>0</v>
      </c>
      <c r="AD164" s="169">
        <v>0</v>
      </c>
      <c r="AE164" s="130">
        <f>AD164</f>
        <v>0</v>
      </c>
      <c r="AF164" s="169">
        <v>0</v>
      </c>
      <c r="AG164" s="169">
        <v>0</v>
      </c>
      <c r="AH164" s="169">
        <v>0</v>
      </c>
      <c r="AI164" s="169">
        <v>0</v>
      </c>
      <c r="AJ164" s="130">
        <f>AI164</f>
        <v>0</v>
      </c>
      <c r="AK164" s="169">
        <v>0</v>
      </c>
      <c r="AL164" s="169">
        <v>0</v>
      </c>
      <c r="AM164" s="169">
        <v>0</v>
      </c>
      <c r="AN164" s="169">
        <v>0</v>
      </c>
      <c r="AO164" s="130">
        <f>AN164</f>
        <v>0</v>
      </c>
      <c r="AP164" s="169">
        <v>0</v>
      </c>
      <c r="AQ164" s="169">
        <v>0</v>
      </c>
      <c r="AR164" s="169">
        <v>0</v>
      </c>
      <c r="AS164" s="169">
        <v>0</v>
      </c>
      <c r="AT164" s="130">
        <f>AS164</f>
        <v>0</v>
      </c>
      <c r="AU164" s="169">
        <v>0</v>
      </c>
      <c r="AV164" s="169">
        <v>0</v>
      </c>
      <c r="AW164" s="169">
        <v>0</v>
      </c>
      <c r="AX164" s="169">
        <v>0</v>
      </c>
      <c r="AY164" s="130">
        <f>AX164</f>
        <v>0</v>
      </c>
      <c r="AZ164" s="169">
        <v>0</v>
      </c>
      <c r="BA164" s="169">
        <v>0</v>
      </c>
      <c r="BB164" s="169">
        <v>0</v>
      </c>
      <c r="BC164" s="169">
        <v>0</v>
      </c>
      <c r="BD164" s="130">
        <f>BC164</f>
        <v>0</v>
      </c>
      <c r="BE164" s="169">
        <v>0</v>
      </c>
      <c r="BF164" s="169">
        <v>0</v>
      </c>
      <c r="BG164" s="169">
        <v>0</v>
      </c>
      <c r="BH164" s="169">
        <v>0</v>
      </c>
      <c r="BI164" s="130">
        <f>BH164</f>
        <v>0</v>
      </c>
      <c r="BJ164" s="169">
        <v>0</v>
      </c>
      <c r="BK164" s="169">
        <v>0</v>
      </c>
      <c r="BL164" s="169">
        <v>0</v>
      </c>
      <c r="BM164" s="169">
        <v>0</v>
      </c>
      <c r="BN164" s="130">
        <f>BM164</f>
        <v>0</v>
      </c>
      <c r="BO164" s="169">
        <v>0</v>
      </c>
      <c r="BP164" s="169">
        <v>0</v>
      </c>
      <c r="BQ164" s="169">
        <v>0</v>
      </c>
      <c r="BR164" s="169">
        <v>0</v>
      </c>
      <c r="BS164" s="130">
        <f>BR164</f>
        <v>0</v>
      </c>
      <c r="BT164" s="169">
        <v>0</v>
      </c>
      <c r="BU164" s="169">
        <v>0</v>
      </c>
      <c r="BV164" s="169">
        <v>0</v>
      </c>
      <c r="BW164" s="169">
        <v>0</v>
      </c>
      <c r="BX164" s="130">
        <f>BW164</f>
        <v>0</v>
      </c>
      <c r="BY164" s="169">
        <v>0</v>
      </c>
      <c r="BZ164" s="169">
        <v>0</v>
      </c>
      <c r="CA164" s="169">
        <v>0</v>
      </c>
      <c r="CB164" s="169">
        <v>0</v>
      </c>
      <c r="CC164" s="130">
        <f>CB164</f>
        <v>0</v>
      </c>
      <c r="CD164" s="169">
        <v>0</v>
      </c>
      <c r="CE164" s="169">
        <v>0</v>
      </c>
      <c r="CF164" s="169">
        <v>0</v>
      </c>
      <c r="CG164" s="169">
        <v>0</v>
      </c>
      <c r="CH164" s="130">
        <f>CG164</f>
        <v>0</v>
      </c>
      <c r="CI164" s="169">
        <v>0</v>
      </c>
      <c r="CJ164" s="169">
        <v>0</v>
      </c>
      <c r="CK164" s="169">
        <v>0</v>
      </c>
      <c r="CL164" s="169">
        <v>0</v>
      </c>
      <c r="CM164" s="130">
        <f>CL164</f>
        <v>0</v>
      </c>
      <c r="CN164" s="169">
        <v>0</v>
      </c>
      <c r="CO164" s="169">
        <v>0</v>
      </c>
      <c r="CP164" s="169">
        <v>0</v>
      </c>
      <c r="CQ164" s="169">
        <v>0</v>
      </c>
      <c r="CR164" s="130">
        <f>CQ164</f>
        <v>0</v>
      </c>
      <c r="CS164" s="169">
        <v>0</v>
      </c>
      <c r="CT164" s="169">
        <v>0</v>
      </c>
      <c r="CU164" s="169">
        <v>0</v>
      </c>
      <c r="CV164" s="169">
        <v>0</v>
      </c>
      <c r="CW164" s="130">
        <f>CV164</f>
        <v>0</v>
      </c>
      <c r="CX164" s="169">
        <v>0</v>
      </c>
      <c r="CY164" s="169">
        <v>0</v>
      </c>
      <c r="CZ164" s="169">
        <v>0</v>
      </c>
      <c r="DA164" s="169">
        <v>0</v>
      </c>
      <c r="DB164" s="130">
        <f>DA164</f>
        <v>0</v>
      </c>
      <c r="DC164" s="169">
        <v>0</v>
      </c>
      <c r="DD164" s="169">
        <v>0</v>
      </c>
      <c r="DE164" s="169">
        <v>0</v>
      </c>
      <c r="DF164" s="169">
        <v>0</v>
      </c>
      <c r="DG164" s="130">
        <f>DF164</f>
        <v>0</v>
      </c>
      <c r="DH164" s="169">
        <v>0</v>
      </c>
      <c r="DI164" s="169">
        <v>0</v>
      </c>
      <c r="DJ164" s="169">
        <v>0</v>
      </c>
      <c r="DK164" s="169">
        <v>0</v>
      </c>
      <c r="DL164" s="130">
        <f>DK164</f>
        <v>0</v>
      </c>
      <c r="DM164" s="169">
        <v>0</v>
      </c>
      <c r="DN164" s="169">
        <v>0</v>
      </c>
      <c r="DO164" s="169">
        <v>0</v>
      </c>
      <c r="DP164" s="169">
        <v>0</v>
      </c>
      <c r="DQ164" s="130">
        <f>DP164</f>
        <v>0</v>
      </c>
      <c r="DR164" s="169">
        <v>0</v>
      </c>
      <c r="DS164" s="169">
        <v>0</v>
      </c>
      <c r="DT164" s="169">
        <v>0</v>
      </c>
      <c r="DU164" s="169">
        <v>0</v>
      </c>
      <c r="DV164" s="130">
        <f>DU164</f>
        <v>0</v>
      </c>
      <c r="DW164" s="169">
        <v>0</v>
      </c>
      <c r="DX164" s="169">
        <v>0</v>
      </c>
      <c r="DY164" s="169">
        <v>0</v>
      </c>
      <c r="DZ164" s="169">
        <v>0</v>
      </c>
      <c r="EA164" s="130">
        <f>DZ164</f>
        <v>0</v>
      </c>
      <c r="EB164" s="169">
        <v>0</v>
      </c>
      <c r="EC164" s="169">
        <v>0</v>
      </c>
      <c r="ED164" s="169">
        <v>0</v>
      </c>
      <c r="EE164" s="169">
        <v>0</v>
      </c>
      <c r="EF164" s="130">
        <f>EE164</f>
        <v>0</v>
      </c>
    </row>
    <row r="165" spans="1:136">
      <c r="A165" s="68" t="s">
        <v>798</v>
      </c>
      <c r="U165" s="315">
        <f>(U151+U164)/'Income Statement'!U78</f>
        <v>5.3472941917300272</v>
      </c>
      <c r="Z165" s="315">
        <f>(Z151+Z164)/'Income Statement'!Z78</f>
        <v>5.4108716489904456</v>
      </c>
      <c r="AE165" s="315">
        <f>(AE151+AE164)/'Income Statement'!AE78</f>
        <v>8.5665231363659835</v>
      </c>
      <c r="AF165" s="313">
        <f>(AF151+AF164)/'Income Statement'!AF78</f>
        <v>8.9952367537008673</v>
      </c>
      <c r="AG165" s="313">
        <f>(AG151+AG164)/'Income Statement'!AG78</f>
        <v>9.3706965863550842</v>
      </c>
      <c r="AH165" s="313">
        <f>(AH151+AH164)/'Income Statement'!AH78</f>
        <v>9.7874801392146473</v>
      </c>
      <c r="AI165" s="313">
        <f>(AI151+AI164)/'Income Statement'!AI78</f>
        <v>9.5388154199159878</v>
      </c>
      <c r="AJ165" s="315">
        <f>(AJ151+AJ164)/'Income Statement'!AJ78</f>
        <v>9.5388154199159878</v>
      </c>
      <c r="AK165" s="313">
        <f>(AK151+AK164)/'Income Statement'!AK78</f>
        <v>9.7157523282995264</v>
      </c>
      <c r="AL165" s="313">
        <f>(AL151+AL164)/'Income Statement'!AL78</f>
        <v>9.8990674286640772</v>
      </c>
      <c r="AM165" s="313">
        <f>(AM151+AM164)/'Income Statement'!AM78</f>
        <v>10.138450616708838</v>
      </c>
      <c r="AN165" s="313">
        <f>(AN151+AN164)/'Income Statement'!AN78</f>
        <v>10.193100392093722</v>
      </c>
      <c r="AO165" s="315">
        <f>(AO151+AO164)/'Income Statement'!AO78</f>
        <v>10.193100392093722</v>
      </c>
      <c r="AP165" s="313">
        <f>(AP151+AP164)/'Income Statement'!AP78</f>
        <v>10.521996330333957</v>
      </c>
      <c r="AQ165" s="313">
        <f>(AQ151+AQ164)/'Income Statement'!AQ78</f>
        <v>10.896827867297656</v>
      </c>
      <c r="AR165" s="313">
        <f>(AR151+AR164)/'Income Statement'!AR78</f>
        <v>11.330194598327845</v>
      </c>
      <c r="AS165" s="313">
        <f>(AS151+AS164)/'Income Statement'!AS78</f>
        <v>11.535758916980299</v>
      </c>
      <c r="AT165" s="315">
        <f>(AT151+AT164)/'Income Statement'!AT78</f>
        <v>11.535758916980299</v>
      </c>
      <c r="AU165" s="313">
        <f>(AU151+AU164)/'Income Statement'!AU78</f>
        <v>11.938236136252238</v>
      </c>
      <c r="AV165" s="313">
        <f>(AV151+AV164)/'Income Statement'!AV78</f>
        <v>12.201657271920004</v>
      </c>
      <c r="AW165" s="313">
        <f>(AW151+AW164)/'Income Statement'!AW78</f>
        <v>12.61328250352873</v>
      </c>
      <c r="AX165" s="313">
        <f>(AX151+AX164)/'Income Statement'!AX78</f>
        <v>12.646482150964012</v>
      </c>
      <c r="AY165" s="315">
        <f>(AY151+AY164)/'Income Statement'!AY78</f>
        <v>12.646482150964012</v>
      </c>
      <c r="AZ165" s="313">
        <f>(AZ151+AZ164)/'Income Statement'!AZ78</f>
        <v>13.024588093091456</v>
      </c>
      <c r="BA165" s="313">
        <f>(BA151+BA164)/'Income Statement'!BA78</f>
        <v>13.520289527715528</v>
      </c>
      <c r="BB165" s="313">
        <f>(BB151+BB164)/'Income Statement'!BB78</f>
        <v>13.975918740896377</v>
      </c>
      <c r="BC165" s="313">
        <f>(BC151+BC164)/'Income Statement'!BC78</f>
        <v>13.876527670420122</v>
      </c>
      <c r="BD165" s="315">
        <f>(BD151+BD164)/'Income Statement'!BD78</f>
        <v>13.876527670420122</v>
      </c>
      <c r="BE165" s="313">
        <f>(BE151+BE164)/'Income Statement'!BE78</f>
        <v>14.129096590653949</v>
      </c>
      <c r="BF165" s="313">
        <f>(BF151+BF164)/'Income Statement'!BF78</f>
        <v>13.761519855080882</v>
      </c>
      <c r="BG165" s="313">
        <f>(BG151+BG164)/'Income Statement'!BG78</f>
        <v>14.713071714251772</v>
      </c>
      <c r="BH165" s="313">
        <f>(BH151+BH164)/'Income Statement'!BH78</f>
        <v>14.625090520609566</v>
      </c>
      <c r="BI165" s="315">
        <f>(BI151+BI164)/'Income Statement'!BI78</f>
        <v>14.625090520609566</v>
      </c>
      <c r="BJ165" s="313">
        <f>(BJ151+BJ164)/'Income Statement'!BJ78</f>
        <v>14.806477947468723</v>
      </c>
      <c r="BK165" s="313">
        <f>(BK151+BK164)/'Income Statement'!BK78</f>
        <v>14.902218910850049</v>
      </c>
      <c r="BL165" s="313">
        <f>(BL151+BL164)/'Income Statement'!BL78</f>
        <v>14.963824892038069</v>
      </c>
      <c r="BM165" s="313">
        <f>(BM151+BM164)/'Income Statement'!BM78</f>
        <v>14.961698185786172</v>
      </c>
      <c r="BN165" s="315">
        <f>(BN151+BN164)/'Income Statement'!BN78</f>
        <v>14.961698185786172</v>
      </c>
      <c r="BO165" s="313">
        <f>(BO151+BO164)/'Income Statement'!BO78</f>
        <v>15.000431768760352</v>
      </c>
      <c r="BP165" s="313">
        <f>(BP151+BP164)/'Income Statement'!BP78</f>
        <v>14.665522622536013</v>
      </c>
      <c r="BQ165" s="313">
        <f>(BQ151+BQ164)/'Income Statement'!BQ78</f>
        <v>14.652222997499079</v>
      </c>
      <c r="BR165" s="313">
        <f>(BR151+BR164)/'Income Statement'!BR78</f>
        <v>14.805650783364863</v>
      </c>
      <c r="BS165" s="315">
        <f>(BS151+BS164)/'Income Statement'!BS78</f>
        <v>14.805650783364863</v>
      </c>
      <c r="BT165" s="313">
        <f>(BT151+BT164)/'Income Statement'!BT78</f>
        <v>14.175608584031737</v>
      </c>
      <c r="BU165" s="313">
        <f>(BU151+BU164)/'Income Statement'!BU78</f>
        <v>13.553721525313868</v>
      </c>
      <c r="BV165" s="313">
        <f>(BV151+BV164)/'Income Statement'!BV78</f>
        <v>13.227167538272113</v>
      </c>
      <c r="BW165" s="313">
        <f>(BW151+BW164)/'Income Statement'!BW78</f>
        <v>12.784238045540549</v>
      </c>
      <c r="BX165" s="315">
        <f>(BX151+BX164)/'Income Statement'!BX78</f>
        <v>12.784238045540549</v>
      </c>
      <c r="BY165" s="313">
        <f>(BY151+BY164)/'Income Statement'!BY78</f>
        <v>12.946893537308773</v>
      </c>
      <c r="BZ165" s="313">
        <f>(BZ151+BZ164)/'Income Statement'!BZ78</f>
        <v>12.83370229414718</v>
      </c>
      <c r="CA165" s="313">
        <f>(CA151+CA164)/'Income Statement'!CA78</f>
        <v>12.767786862005011</v>
      </c>
      <c r="CB165" s="313">
        <f>(CB151+CB164)/'Income Statement'!CB78</f>
        <v>11.873284134569111</v>
      </c>
      <c r="CC165" s="315">
        <f>(CC151+CC164)/'Income Statement'!CC78</f>
        <v>11.873284134569111</v>
      </c>
      <c r="CD165" s="313">
        <f>(CD151+CD164)/'Income Statement'!CD78</f>
        <v>11.963506725594197</v>
      </c>
      <c r="CE165" s="313">
        <f>(CE151+CE164)/'Income Statement'!CE78</f>
        <v>12.178403181878483</v>
      </c>
      <c r="CF165" s="313">
        <f>(CF151+CF164)/'Income Statement'!CF78</f>
        <v>15.911069845827351</v>
      </c>
      <c r="CG165" s="313">
        <f>(CG151+CG164)/'Income Statement'!CG78</f>
        <v>13.976861098974263</v>
      </c>
      <c r="CH165" s="315">
        <f>(CH151+CH164)/'Income Statement'!CH78</f>
        <v>13.976861098974263</v>
      </c>
      <c r="CI165" s="313">
        <f>(CI151+CI164)/'Income Statement'!CI78</f>
        <v>14.487175686078688</v>
      </c>
      <c r="CJ165" s="313">
        <f>(CJ151+CJ164)/'Income Statement'!CJ78</f>
        <v>15.158224621850488</v>
      </c>
      <c r="CK165" s="313">
        <f>(CK151+CK164)/'Income Statement'!CK78</f>
        <v>15.722197948525894</v>
      </c>
      <c r="CL165" s="313">
        <f>(CL151+CL164)/'Income Statement'!CL78</f>
        <v>15.641746249713917</v>
      </c>
      <c r="CM165" s="315">
        <f>(CM151+CM164)/'Income Statement'!CM78</f>
        <v>15.641746249713917</v>
      </c>
      <c r="CN165" s="313">
        <f>(CN151+CN164)/'Income Statement'!CN78</f>
        <v>13.47236630337806</v>
      </c>
      <c r="CO165" s="313">
        <f>(CO151+CO164)/'Income Statement'!CO78</f>
        <v>13.66801207133059</v>
      </c>
      <c r="CP165" s="313">
        <f>(CP151+CP164)/'Income Statement'!CP78</f>
        <v>12.686934309639176</v>
      </c>
      <c r="CQ165" s="313">
        <f>(CQ151+CQ164)/'Income Statement'!CQ78</f>
        <v>15.038592650229305</v>
      </c>
      <c r="CR165" s="315">
        <f>(CR151+CR164)/'Income Statement'!CR78</f>
        <v>15.038592650229305</v>
      </c>
      <c r="CS165" s="313">
        <f>(CS151+CS164)/'Income Statement'!CS78</f>
        <v>15.274190846531656</v>
      </c>
      <c r="CT165" s="313">
        <f>(CT151+CT164)/'Income Statement'!CT78</f>
        <v>15.933838260881219</v>
      </c>
      <c r="CU165" s="313">
        <f>(CU151+CU164)/'Income Statement'!CU78</f>
        <v>16.49394153948553</v>
      </c>
      <c r="CV165" s="313">
        <f>(CV151+CV164)/'Income Statement'!CV78</f>
        <v>16.318553295467488</v>
      </c>
      <c r="CW165" s="315">
        <f>(CW151+CW164)/'Income Statement'!CW78</f>
        <v>16.318553295467488</v>
      </c>
      <c r="CX165" s="313">
        <f>(CX151+CX164)/'Income Statement'!CX78</f>
        <v>16.369109333714523</v>
      </c>
      <c r="CY165" s="313">
        <f>(CY151+CY164)/'Income Statement'!CY78</f>
        <v>18.104243490924034</v>
      </c>
      <c r="CZ165" s="313">
        <f>(CZ151+CZ164)/'Income Statement'!CZ78</f>
        <v>19.115015824587186</v>
      </c>
      <c r="DA165" s="313">
        <f>(DA151+DA164)/'Income Statement'!DA78</f>
        <v>18.661976597264186</v>
      </c>
      <c r="DB165" s="315">
        <f>(DB151+DB164)/'Income Statement'!DB78</f>
        <v>18.661976597264186</v>
      </c>
      <c r="DC165" s="313">
        <f>(DC151+DC164)/'Income Statement'!DC78</f>
        <v>20.372529952563248</v>
      </c>
      <c r="DD165" s="313">
        <f>(DD151+DD164)/'Income Statement'!DD78</f>
        <v>21.306610401470245</v>
      </c>
      <c r="DE165" s="313">
        <f>(DE151+DE164)/'Income Statement'!DE78</f>
        <v>22.76139745986778</v>
      </c>
      <c r="DF165" s="313">
        <f>(DF151+DF164)/'Income Statement'!DF78</f>
        <v>22.268064339085107</v>
      </c>
      <c r="DG165" s="315">
        <f>(DG151+DG164)/'Income Statement'!DG78</f>
        <v>22.268064339085107</v>
      </c>
      <c r="DH165" s="313">
        <f>(DH151+DH164)/'Income Statement'!DH78</f>
        <v>23.60862131876252</v>
      </c>
      <c r="DI165" s="313">
        <f>(DI151+DI164)/'Income Statement'!DI78</f>
        <v>24.882138439543141</v>
      </c>
      <c r="DJ165" s="313">
        <f ca="1">(DJ151+DJ164)/'Income Statement'!DJ78</f>
        <v>26.064766448095281</v>
      </c>
      <c r="DK165" s="313">
        <f ca="1">(DK151+DK164)/'Income Statement'!DK78</f>
        <v>26.326252332507995</v>
      </c>
      <c r="DL165" s="315">
        <f ca="1">(DL151+DL164)/'Income Statement'!DL78</f>
        <v>26.326252332507995</v>
      </c>
      <c r="DM165" s="313">
        <f ca="1">(DM151+DM164)/'Income Statement'!DM78</f>
        <v>27.544063488982534</v>
      </c>
      <c r="DN165" s="313">
        <f ca="1">(DN151+DN164)/'Income Statement'!DN78</f>
        <v>28.804094141593108</v>
      </c>
      <c r="DO165" s="313">
        <f ca="1">(DO151+DO164)/'Income Statement'!DO78</f>
        <v>27.880933810749546</v>
      </c>
      <c r="DP165" s="313">
        <f ca="1">(DP151+DP164)/'Income Statement'!DP78</f>
        <v>29.208123604854404</v>
      </c>
      <c r="DQ165" s="315">
        <f ca="1">(DQ151+DQ164)/'Income Statement'!DQ78</f>
        <v>29.208123604854404</v>
      </c>
      <c r="DR165" s="313">
        <f ca="1">(DR151+DR164)/'Income Statement'!DR78</f>
        <v>26.492865441638742</v>
      </c>
      <c r="DS165" s="313">
        <f ca="1">(DS151+DS164)/'Income Statement'!DS78</f>
        <v>27.751325973635165</v>
      </c>
      <c r="DT165" s="313">
        <f ca="1">(DT151+DT164)/'Income Statement'!DT78</f>
        <v>29.001565639899269</v>
      </c>
      <c r="DU165" s="313">
        <f ca="1">(DU151+DU164)/'Income Statement'!DU78</f>
        <v>30.400143533314999</v>
      </c>
      <c r="DV165" s="315">
        <f ca="1">(DV151+DV164)/'Income Statement'!DV78</f>
        <v>30.400143533314999</v>
      </c>
      <c r="DW165" s="313">
        <f ca="1">(DW151+DW164)/'Income Statement'!DW78</f>
        <v>27.512164592274239</v>
      </c>
      <c r="DX165" s="313">
        <f ca="1">(DX151+DX164)/'Income Statement'!DX78</f>
        <v>28.837558874503738</v>
      </c>
      <c r="DY165" s="313">
        <f ca="1">(DY151+DY164)/'Income Statement'!DY78</f>
        <v>30.141269176587379</v>
      </c>
      <c r="DZ165" s="313">
        <f ca="1">(DZ151+DZ164)/'Income Statement'!DZ78</f>
        <v>31.629160816050728</v>
      </c>
      <c r="EA165" s="315">
        <f ca="1">(EA151+EA164)/'Income Statement'!EA78</f>
        <v>31.629160816050728</v>
      </c>
      <c r="EB165" s="313">
        <f ca="1">(EB151+EB164)/'Income Statement'!EB78</f>
        <v>28.666395751532086</v>
      </c>
      <c r="EC165" s="313">
        <f ca="1">(EC151+EC164)/'Income Statement'!EC78</f>
        <v>30.140040652339781</v>
      </c>
      <c r="ED165" s="313">
        <f ca="1">(ED151+ED164)/'Income Statement'!ED78</f>
        <v>31.596727307788328</v>
      </c>
      <c r="EE165" s="313">
        <f ca="1">(EE151+EE164)/'Income Statement'!EE78</f>
        <v>33.237283656694444</v>
      </c>
      <c r="EF165" s="315">
        <f ca="1">(EF151+EF164)/'Income Statement'!EF78</f>
        <v>33.237283656694444</v>
      </c>
    </row>
    <row r="166" spans="1:136">
      <c r="AY166" s="312">
        <f>AVERAGE(AT163:BD163)/14.5%</f>
        <v>0.96505724112517199</v>
      </c>
      <c r="BY166" s="114"/>
      <c r="BZ166" s="114"/>
      <c r="CA166" s="114"/>
      <c r="CB166" s="114"/>
      <c r="CC166" s="130"/>
      <c r="CD166" s="114"/>
      <c r="CE166" s="114"/>
      <c r="CF166" s="114"/>
      <c r="CG166" s="114"/>
      <c r="CH166" s="130"/>
      <c r="CI166" s="114"/>
      <c r="CJ166" s="114"/>
      <c r="CK166" s="114"/>
      <c r="CL166" s="114"/>
      <c r="CM166" s="130"/>
      <c r="CN166" s="114"/>
      <c r="CO166" s="223">
        <f>14.4/CO165</f>
        <v>1.0535548201778953</v>
      </c>
      <c r="CP166" s="114"/>
      <c r="CQ166" s="114"/>
      <c r="CR166" s="130"/>
      <c r="CS166" s="114"/>
      <c r="CT166" s="223"/>
      <c r="CU166" s="114"/>
      <c r="CV166" s="114"/>
      <c r="CW166" s="130"/>
      <c r="CX166" s="114"/>
      <c r="CY166" s="114"/>
      <c r="CZ166" s="114"/>
      <c r="DA166" s="114"/>
      <c r="DB166" s="130"/>
      <c r="DC166" s="114"/>
      <c r="DD166" s="114"/>
      <c r="DE166" s="114"/>
      <c r="DF166" s="114"/>
      <c r="DG166" s="130"/>
      <c r="DH166" s="114"/>
      <c r="DI166" s="114"/>
      <c r="DJ166" s="114"/>
      <c r="DK166" s="114"/>
      <c r="DL166" s="130"/>
      <c r="DM166" s="114"/>
      <c r="DN166" s="114"/>
      <c r="DO166" s="114"/>
      <c r="DP166" s="114"/>
      <c r="DQ166" s="130"/>
      <c r="DR166" s="114"/>
      <c r="DS166" s="114"/>
      <c r="DT166" s="114"/>
      <c r="DU166" s="114"/>
      <c r="DV166" s="130"/>
      <c r="DW166" s="114"/>
      <c r="DX166" s="114"/>
      <c r="DY166" s="114"/>
      <c r="DZ166" s="114"/>
      <c r="EA166" s="130"/>
      <c r="EB166" s="114"/>
      <c r="EC166" s="114"/>
      <c r="ED166" s="114"/>
      <c r="EE166" s="114"/>
      <c r="EF166" s="130"/>
    </row>
    <row r="167" spans="1:136">
      <c r="AY167" s="312"/>
      <c r="BY167" s="114"/>
      <c r="BZ167" s="114"/>
      <c r="CA167" s="114"/>
      <c r="CB167" s="114"/>
      <c r="CC167" s="130"/>
      <c r="CD167" s="114"/>
      <c r="CE167" s="114"/>
      <c r="CF167" s="114"/>
      <c r="CG167" s="114"/>
      <c r="CH167" s="130"/>
      <c r="CI167" s="114"/>
      <c r="CJ167" s="114"/>
      <c r="CK167" s="114"/>
      <c r="CL167" s="114"/>
      <c r="CM167" s="130"/>
      <c r="CN167" s="114"/>
      <c r="CO167" s="114"/>
      <c r="CP167" s="114"/>
      <c r="CQ167" s="114"/>
      <c r="CR167" s="130"/>
      <c r="CS167" s="114"/>
      <c r="CT167" s="114"/>
      <c r="CU167" s="114"/>
      <c r="CV167" s="114"/>
      <c r="CW167" s="130"/>
      <c r="CX167" s="114"/>
      <c r="CY167" s="114"/>
      <c r="CZ167" s="114"/>
      <c r="DA167" s="114"/>
      <c r="DB167" s="130"/>
      <c r="DC167" s="114"/>
      <c r="DD167" s="114"/>
      <c r="DE167" s="114"/>
      <c r="DF167" s="114"/>
      <c r="DG167" s="130"/>
      <c r="DH167" s="114"/>
      <c r="DI167" s="114"/>
      <c r="DJ167" s="114"/>
      <c r="DK167" s="114"/>
      <c r="DL167" s="130"/>
      <c r="DM167" s="114"/>
      <c r="DN167" s="114"/>
      <c r="DO167" s="114"/>
      <c r="DP167" s="114"/>
      <c r="DQ167" s="130"/>
      <c r="DR167" s="114"/>
      <c r="DS167" s="114"/>
      <c r="DT167" s="114"/>
      <c r="DU167" s="114"/>
      <c r="DV167" s="130"/>
      <c r="DW167" s="114"/>
      <c r="DX167" s="114"/>
      <c r="DY167" s="114"/>
      <c r="DZ167" s="114"/>
      <c r="EA167" s="130"/>
      <c r="EB167" s="114"/>
      <c r="EC167" s="114"/>
      <c r="ED167" s="114"/>
      <c r="EE167" s="114"/>
      <c r="EF167" s="130"/>
    </row>
    <row r="168" spans="1:136">
      <c r="A168" s="68" t="s">
        <v>985</v>
      </c>
      <c r="AS168" s="265">
        <f>16/AW165</f>
        <v>1.2685040547949189</v>
      </c>
      <c r="AY168" s="67">
        <f>AY166*AV154</f>
        <v>11.775297703994012</v>
      </c>
      <c r="BF168" s="265">
        <f>8.08/BF165</f>
        <v>0.58714444952944556</v>
      </c>
      <c r="BL168" s="265">
        <f>-12.8/BL165</f>
        <v>-0.85539627016155517</v>
      </c>
      <c r="BY168" s="114"/>
      <c r="BZ168" s="114"/>
      <c r="CA168" s="114"/>
      <c r="CB168" s="114"/>
      <c r="CC168" s="130"/>
      <c r="CD168" s="114"/>
      <c r="CE168" s="114"/>
      <c r="CF168" s="114"/>
      <c r="CG168" s="114"/>
      <c r="CH168" s="130"/>
      <c r="CI168" s="114"/>
      <c r="CJ168" s="114"/>
      <c r="CK168" s="114"/>
      <c r="CL168" s="114"/>
      <c r="CM168" s="130"/>
      <c r="CN168" s="114"/>
      <c r="CO168" s="114"/>
      <c r="CP168" s="114"/>
      <c r="CQ168" s="114"/>
      <c r="CR168" s="130"/>
      <c r="CS168" s="114"/>
      <c r="CT168" s="114"/>
      <c r="CU168" s="114"/>
      <c r="CV168" s="114"/>
      <c r="CW168" s="130"/>
      <c r="CX168" s="114"/>
      <c r="CY168" s="114"/>
      <c r="CZ168" s="114"/>
      <c r="DA168" s="114"/>
      <c r="DB168" s="130"/>
      <c r="DC168" s="114"/>
      <c r="DD168" s="114"/>
      <c r="DE168" s="114"/>
      <c r="DF168" s="114"/>
      <c r="DG168" s="130"/>
      <c r="DH168" s="114"/>
      <c r="DI168" s="114"/>
      <c r="DJ168" s="114"/>
      <c r="DK168" s="114"/>
      <c r="DL168" s="130"/>
      <c r="DM168" s="114"/>
      <c r="DN168" s="114"/>
      <c r="DO168" s="114"/>
      <c r="DP168" s="114"/>
      <c r="DQ168" s="130"/>
      <c r="DR168" s="114"/>
      <c r="DS168" s="114"/>
      <c r="DT168" s="114"/>
      <c r="DU168" s="114"/>
      <c r="DV168" s="130"/>
      <c r="DW168" s="114"/>
      <c r="DX168" s="114"/>
      <c r="DY168" s="114"/>
      <c r="DZ168" s="114"/>
      <c r="EA168" s="130"/>
      <c r="EB168" s="114"/>
      <c r="EC168" s="114"/>
      <c r="ED168" s="114"/>
      <c r="EE168" s="114"/>
      <c r="EF168" s="130"/>
    </row>
    <row r="169" spans="1:136">
      <c r="A169" s="535" t="s">
        <v>978</v>
      </c>
      <c r="BY169" s="114"/>
      <c r="BZ169" s="114"/>
      <c r="CA169" s="114"/>
      <c r="CB169" s="169">
        <v>204422</v>
      </c>
      <c r="CC169" s="130">
        <v>204422</v>
      </c>
      <c r="CD169" s="169">
        <v>209938</v>
      </c>
      <c r="CE169" s="169">
        <v>246340</v>
      </c>
      <c r="CF169" s="169">
        <v>448084</v>
      </c>
      <c r="CG169" s="169">
        <v>476451</v>
      </c>
      <c r="CH169" s="130">
        <v>476451</v>
      </c>
      <c r="CI169" s="169">
        <v>526410</v>
      </c>
      <c r="CJ169" s="169">
        <v>522550</v>
      </c>
      <c r="CK169" s="169">
        <v>588245</v>
      </c>
      <c r="CL169" s="169">
        <v>570686</v>
      </c>
      <c r="CM169" s="130">
        <v>570686</v>
      </c>
      <c r="CN169" s="169">
        <v>628677</v>
      </c>
      <c r="CO169" s="169">
        <v>630361</v>
      </c>
      <c r="CP169" s="169">
        <v>720107</v>
      </c>
      <c r="CQ169" s="169">
        <v>732765</v>
      </c>
      <c r="CR169" s="130">
        <v>732765</v>
      </c>
      <c r="CS169" s="169">
        <v>824156</v>
      </c>
      <c r="CT169" s="169">
        <v>937199</v>
      </c>
      <c r="CU169" s="169">
        <v>894754</v>
      </c>
      <c r="CV169" s="169">
        <v>834518</v>
      </c>
      <c r="CW169" s="130">
        <v>834518</v>
      </c>
      <c r="CX169" s="169">
        <v>973110</v>
      </c>
      <c r="CY169" s="169">
        <v>879521</v>
      </c>
      <c r="CZ169" s="169">
        <v>1046723</v>
      </c>
      <c r="DA169" s="169">
        <v>1055875</v>
      </c>
      <c r="DB169" s="130">
        <v>1055875</v>
      </c>
      <c r="DC169" s="169">
        <v>1094104</v>
      </c>
      <c r="DD169" s="169">
        <v>1291956</v>
      </c>
      <c r="DE169" s="169">
        <v>1346943</v>
      </c>
      <c r="DF169" s="169">
        <v>1342519</v>
      </c>
      <c r="DG169" s="130">
        <v>1342519</v>
      </c>
      <c r="DH169" s="169">
        <v>1500070</v>
      </c>
      <c r="DI169" s="169">
        <v>1601574.2816907209</v>
      </c>
      <c r="DJ169" s="169">
        <v>1722379.0550249484</v>
      </c>
      <c r="DK169" s="169">
        <v>1861205.3896857472</v>
      </c>
      <c r="DL169" s="130">
        <v>1861205.3896857472</v>
      </c>
      <c r="DM169" s="169">
        <v>1211134.0626603281</v>
      </c>
      <c r="DN169" s="169">
        <v>1590124.0950571049</v>
      </c>
      <c r="DO169" s="169">
        <v>1986397.5784418269</v>
      </c>
      <c r="DP169" s="169">
        <v>2403672.3732847548</v>
      </c>
      <c r="DQ169" s="130">
        <v>2403672.3732847548</v>
      </c>
      <c r="DR169" s="169">
        <v>1559293.9746716698</v>
      </c>
      <c r="DS169" s="169">
        <v>1989907.1154042382</v>
      </c>
      <c r="DT169" s="169">
        <v>2440128.5760173583</v>
      </c>
      <c r="DU169" s="169">
        <v>2910071.5263888869</v>
      </c>
      <c r="DV169" s="130">
        <v>2910071.5263888869</v>
      </c>
      <c r="DW169" s="169">
        <v>1765331.2122826576</v>
      </c>
      <c r="DX169" s="169">
        <v>2226783.3155952599</v>
      </c>
      <c r="DY169" s="169">
        <v>2707231.3778089965</v>
      </c>
      <c r="DZ169" s="169">
        <v>3206995.5390582886</v>
      </c>
      <c r="EA169" s="130">
        <v>3206995.5390582886</v>
      </c>
      <c r="EB169" s="169">
        <v>1975978.860522493</v>
      </c>
      <c r="EC169" s="169">
        <v>2463460.6637275713</v>
      </c>
      <c r="ED169" s="169">
        <v>2969677.8010572959</v>
      </c>
      <c r="EE169" s="169">
        <v>3494890.6294303443</v>
      </c>
      <c r="EF169" s="130">
        <v>3494890.6294303443</v>
      </c>
    </row>
    <row r="170" spans="1:136">
      <c r="A170" s="535" t="s">
        <v>979</v>
      </c>
      <c r="BF170" s="349">
        <f>318.85/30786.31</f>
        <v>1.0356876156967171E-2</v>
      </c>
      <c r="BK170" s="131"/>
      <c r="BY170" s="114"/>
      <c r="BZ170" s="114"/>
      <c r="CA170" s="114"/>
      <c r="CB170" s="169">
        <v>273693.27</v>
      </c>
      <c r="CC170" s="130">
        <v>273693.27</v>
      </c>
      <c r="CD170" s="169">
        <v>273693.27</v>
      </c>
      <c r="CE170" s="169">
        <v>273693.27</v>
      </c>
      <c r="CF170" s="169">
        <v>291875.08799999999</v>
      </c>
      <c r="CG170" s="169">
        <v>291875.08799999999</v>
      </c>
      <c r="CH170" s="130">
        <v>291875.08799999999</v>
      </c>
      <c r="CI170" s="169">
        <v>291875.08799999999</v>
      </c>
      <c r="CJ170" s="169">
        <v>291875.08799999999</v>
      </c>
      <c r="CK170" s="169">
        <v>291875.08799999999</v>
      </c>
      <c r="CL170" s="169">
        <v>291766.48800000001</v>
      </c>
      <c r="CM170" s="130">
        <v>291766.48800000001</v>
      </c>
      <c r="CN170" s="169">
        <v>291875.08799999999</v>
      </c>
      <c r="CO170" s="169">
        <v>289884.288</v>
      </c>
      <c r="CP170" s="169">
        <v>289884.288</v>
      </c>
      <c r="CQ170" s="169">
        <v>289884.288</v>
      </c>
      <c r="CR170" s="130">
        <v>289884.288</v>
      </c>
      <c r="CS170" s="169">
        <v>289884.288</v>
      </c>
      <c r="CT170" s="169">
        <v>289884.288</v>
      </c>
      <c r="CU170" s="169">
        <v>289884.288</v>
      </c>
      <c r="CV170" s="169">
        <v>289884.288</v>
      </c>
      <c r="CW170" s="130">
        <v>289884.288</v>
      </c>
      <c r="CX170" s="169">
        <v>289884.288</v>
      </c>
      <c r="CY170" s="169">
        <v>289884.288</v>
      </c>
      <c r="CZ170" s="169">
        <v>289884.288</v>
      </c>
      <c r="DA170" s="169">
        <v>289884.288</v>
      </c>
      <c r="DB170" s="130">
        <v>289884.288</v>
      </c>
      <c r="DC170" s="169">
        <v>289884.288</v>
      </c>
      <c r="DD170" s="169">
        <v>291875.08799999999</v>
      </c>
      <c r="DE170" s="169">
        <v>291875.08799999999</v>
      </c>
      <c r="DF170" s="169">
        <v>308047.59399999998</v>
      </c>
      <c r="DG170" s="130">
        <v>308047.59399999998</v>
      </c>
      <c r="DH170" s="169">
        <v>308047.59399999998</v>
      </c>
      <c r="DI170" s="169">
        <v>308047.59399999998</v>
      </c>
      <c r="DJ170" s="169">
        <v>308047.59399999998</v>
      </c>
      <c r="DK170" s="169">
        <v>308047.59399999998</v>
      </c>
      <c r="DL170" s="130">
        <v>308047.59399999998</v>
      </c>
      <c r="DM170" s="169">
        <v>308047.59399999998</v>
      </c>
      <c r="DN170" s="169">
        <v>308047.59399999998</v>
      </c>
      <c r="DO170" s="169">
        <v>308047.59399999998</v>
      </c>
      <c r="DP170" s="169">
        <v>308047.59399999998</v>
      </c>
      <c r="DQ170" s="130">
        <v>308047.59399999998</v>
      </c>
      <c r="DR170" s="169">
        <v>308047.59399999998</v>
      </c>
      <c r="DS170" s="169">
        <v>308047.59399999998</v>
      </c>
      <c r="DT170" s="169">
        <v>308047.59399999998</v>
      </c>
      <c r="DU170" s="169">
        <v>308047.59399999998</v>
      </c>
      <c r="DV170" s="130">
        <v>308047.59399999998</v>
      </c>
      <c r="DW170" s="169">
        <v>308047.59399999998</v>
      </c>
      <c r="DX170" s="169">
        <v>308047.59399999998</v>
      </c>
      <c r="DY170" s="169">
        <v>308047.59399999998</v>
      </c>
      <c r="DZ170" s="169">
        <v>308047.59399999998</v>
      </c>
      <c r="EA170" s="130">
        <v>308047.59399999998</v>
      </c>
      <c r="EB170" s="169">
        <v>308047.59399999998</v>
      </c>
      <c r="EC170" s="169">
        <v>308047.59399999998</v>
      </c>
      <c r="ED170" s="169">
        <v>308047.59399999998</v>
      </c>
      <c r="EE170" s="169">
        <v>308047.59399999998</v>
      </c>
      <c r="EF170" s="130">
        <v>308047.59399999998</v>
      </c>
    </row>
    <row r="171" spans="1:136">
      <c r="A171" s="535" t="s">
        <v>980</v>
      </c>
      <c r="BY171" s="114"/>
      <c r="BZ171" s="114"/>
      <c r="CA171" s="114"/>
      <c r="CB171" s="536">
        <v>6.68</v>
      </c>
      <c r="CC171" s="542">
        <f>CB171</f>
        <v>6.68</v>
      </c>
      <c r="CD171" s="513">
        <f ca="1">CE171</f>
        <v>20.61</v>
      </c>
      <c r="CE171" s="513">
        <f ca="1">CF171</f>
        <v>20.61</v>
      </c>
      <c r="CF171" s="513">
        <f ca="1">CG171</f>
        <v>20.61</v>
      </c>
      <c r="CG171" s="513">
        <f ca="1">CI171</f>
        <v>20.61</v>
      </c>
      <c r="CH171" s="542">
        <f ca="1">CG171</f>
        <v>20.61</v>
      </c>
      <c r="CI171" s="513">
        <f ca="1">CJ171</f>
        <v>20.61</v>
      </c>
      <c r="CJ171" s="513">
        <f ca="1">CK171</f>
        <v>20.61</v>
      </c>
      <c r="CK171" s="513">
        <f ca="1">CL171</f>
        <v>20.61</v>
      </c>
      <c r="CL171" s="513">
        <f ca="1">CN171</f>
        <v>20.61</v>
      </c>
      <c r="CM171" s="542">
        <f ca="1">CL171</f>
        <v>20.61</v>
      </c>
      <c r="CN171" s="513">
        <f ca="1">CO171</f>
        <v>20.61</v>
      </c>
      <c r="CO171" s="513">
        <f ca="1">CP171</f>
        <v>20.61</v>
      </c>
      <c r="CP171" s="513">
        <f ca="1">CQ171</f>
        <v>20.61</v>
      </c>
      <c r="CQ171" s="513">
        <f ca="1">CS171</f>
        <v>20.61</v>
      </c>
      <c r="CR171" s="542">
        <f ca="1">CQ171</f>
        <v>20.61</v>
      </c>
      <c r="CS171" s="513">
        <f ca="1">CT171</f>
        <v>20.61</v>
      </c>
      <c r="CT171" s="513">
        <f ca="1">CU171</f>
        <v>20.61</v>
      </c>
      <c r="CU171" s="513">
        <f t="shared" ref="CU171:CV171" ca="1" si="521">CV171</f>
        <v>20.61</v>
      </c>
      <c r="CV171" s="513">
        <f t="shared" ca="1" si="521"/>
        <v>20.61</v>
      </c>
      <c r="CW171" s="542">
        <f ca="1">CX171</f>
        <v>20.61</v>
      </c>
      <c r="CX171" s="513">
        <f ca="1">CY171</f>
        <v>20.61</v>
      </c>
      <c r="CY171" s="513">
        <f ca="1">CX171</f>
        <v>20.61</v>
      </c>
      <c r="CZ171" s="513">
        <f t="shared" ref="CZ171" ca="1" si="522">DA171</f>
        <v>20.61</v>
      </c>
      <c r="DA171" s="513">
        <f t="shared" ref="DA171:DG171" ca="1" si="523">CZ171</f>
        <v>20.61</v>
      </c>
      <c r="DB171" s="542">
        <f t="shared" ca="1" si="523"/>
        <v>20.61</v>
      </c>
      <c r="DC171" s="513">
        <f ca="1">DA171</f>
        <v>20.61</v>
      </c>
      <c r="DD171" s="513">
        <f ca="1">DC171</f>
        <v>20.61</v>
      </c>
      <c r="DE171" s="513">
        <f t="shared" ca="1" si="523"/>
        <v>20.61</v>
      </c>
      <c r="DF171" s="513">
        <f t="shared" ca="1" si="523"/>
        <v>20.61</v>
      </c>
      <c r="DG171" s="542">
        <f t="shared" ca="1" si="523"/>
        <v>20.61</v>
      </c>
      <c r="DH171" s="513">
        <f ca="1">DF171</f>
        <v>20.61</v>
      </c>
      <c r="DI171" s="513">
        <f ca="1">DH171</f>
        <v>20.61</v>
      </c>
      <c r="DJ171" s="513">
        <f ca="1">DI171</f>
        <v>20.61</v>
      </c>
      <c r="DK171" s="513">
        <f ca="1">DJ171</f>
        <v>20.61</v>
      </c>
      <c r="DL171" s="542">
        <f ca="1">DK171</f>
        <v>20.61</v>
      </c>
      <c r="DM171" s="513">
        <f ca="1">DK171</f>
        <v>20.61</v>
      </c>
      <c r="DN171" s="513">
        <f ca="1">DM171</f>
        <v>20.61</v>
      </c>
      <c r="DO171" s="513">
        <f ca="1">DN171</f>
        <v>20.61</v>
      </c>
      <c r="DP171" s="513">
        <f ca="1">DO171</f>
        <v>20.61</v>
      </c>
      <c r="DQ171" s="542">
        <f ca="1">DP171</f>
        <v>20.61</v>
      </c>
      <c r="DR171" s="513">
        <f ca="1">DP171</f>
        <v>20.61</v>
      </c>
      <c r="DS171" s="513">
        <f ca="1">DR171</f>
        <v>20.61</v>
      </c>
      <c r="DT171" s="513">
        <f ca="1">DS171</f>
        <v>20.61</v>
      </c>
      <c r="DU171" s="513">
        <f ca="1">DT171</f>
        <v>20.61</v>
      </c>
      <c r="DV171" s="542">
        <f ca="1">DU171</f>
        <v>20.61</v>
      </c>
      <c r="DW171" s="513">
        <f ca="1">DU171</f>
        <v>20.61</v>
      </c>
      <c r="DX171" s="513">
        <f ca="1">DW171</f>
        <v>20.61</v>
      </c>
      <c r="DY171" s="513">
        <f ca="1">DX171</f>
        <v>20.61</v>
      </c>
      <c r="DZ171" s="513">
        <f ca="1">DY171</f>
        <v>20.61</v>
      </c>
      <c r="EA171" s="542">
        <f ca="1">DZ171</f>
        <v>20.61</v>
      </c>
      <c r="EB171" s="513">
        <f ca="1">DZ171</f>
        <v>20.61</v>
      </c>
      <c r="EC171" s="513">
        <f ca="1">EB171</f>
        <v>20.61</v>
      </c>
      <c r="ED171" s="513">
        <f ca="1">EC171</f>
        <v>20.61</v>
      </c>
      <c r="EE171" s="513">
        <f ca="1">ED171</f>
        <v>20.61</v>
      </c>
      <c r="EF171" s="542">
        <f ca="1">EE171</f>
        <v>20.61</v>
      </c>
    </row>
    <row r="172" spans="1:136">
      <c r="A172" s="537" t="s">
        <v>981</v>
      </c>
      <c r="B172" s="538"/>
      <c r="C172" s="538"/>
      <c r="D172" s="538"/>
      <c r="E172" s="538"/>
      <c r="F172" s="372"/>
      <c r="G172" s="538"/>
      <c r="H172" s="538"/>
      <c r="I172" s="538"/>
      <c r="J172" s="538"/>
      <c r="K172" s="372"/>
      <c r="L172" s="538"/>
      <c r="M172" s="538"/>
      <c r="N172" s="538"/>
      <c r="O172" s="538"/>
      <c r="P172" s="372"/>
      <c r="Q172" s="538"/>
      <c r="R172" s="538"/>
      <c r="S172" s="538"/>
      <c r="T172" s="538"/>
      <c r="U172" s="372"/>
      <c r="V172" s="538"/>
      <c r="W172" s="538"/>
      <c r="X172" s="538"/>
      <c r="Y172" s="538"/>
      <c r="Z172" s="372"/>
      <c r="AA172" s="538"/>
      <c r="AB172" s="538"/>
      <c r="AC172" s="538"/>
      <c r="AD172" s="538"/>
      <c r="AE172" s="372"/>
      <c r="AF172" s="538"/>
      <c r="AG172" s="538"/>
      <c r="AH172" s="538"/>
      <c r="AI172" s="538"/>
      <c r="AJ172" s="372"/>
      <c r="AK172" s="538"/>
      <c r="AL172" s="538"/>
      <c r="AM172" s="538"/>
      <c r="AN172" s="538"/>
      <c r="AO172" s="372"/>
      <c r="AP172" s="538"/>
      <c r="AQ172" s="538"/>
      <c r="AR172" s="538"/>
      <c r="AS172" s="538"/>
      <c r="AT172" s="372"/>
      <c r="AU172" s="538"/>
      <c r="AV172" s="538"/>
      <c r="AW172" s="538"/>
      <c r="AX172" s="539"/>
      <c r="AY172" s="372"/>
      <c r="AZ172" s="538"/>
      <c r="BA172" s="538"/>
      <c r="BB172" s="538"/>
      <c r="BC172" s="538"/>
      <c r="BD172" s="372"/>
      <c r="BE172" s="538"/>
      <c r="BF172" s="538"/>
      <c r="BG172" s="538"/>
      <c r="BH172" s="538"/>
      <c r="BI172" s="372"/>
      <c r="BJ172" s="538"/>
      <c r="BK172" s="538"/>
      <c r="BL172" s="538"/>
      <c r="BM172" s="538"/>
      <c r="BN172" s="372"/>
      <c r="BO172" s="538"/>
      <c r="BP172" s="538"/>
      <c r="BQ172" s="538"/>
      <c r="BR172" s="538"/>
      <c r="BS172" s="372"/>
      <c r="BT172" s="538"/>
      <c r="BU172" s="538"/>
      <c r="BV172" s="538"/>
      <c r="BW172" s="538"/>
      <c r="BX172" s="372"/>
      <c r="BY172" s="540"/>
      <c r="BZ172" s="540"/>
      <c r="CA172" s="540"/>
      <c r="CB172" s="540">
        <f t="shared" ref="CB172:CK172" si="524">CB171*CB170</f>
        <v>1828271.0436</v>
      </c>
      <c r="CC172" s="541">
        <f t="shared" si="524"/>
        <v>1828271.0436</v>
      </c>
      <c r="CD172" s="540">
        <f t="shared" ca="1" si="524"/>
        <v>5640818.2947000004</v>
      </c>
      <c r="CE172" s="540">
        <f t="shared" ca="1" si="524"/>
        <v>5640818.2947000004</v>
      </c>
      <c r="CF172" s="540">
        <f t="shared" ca="1" si="524"/>
        <v>6015545.5636799997</v>
      </c>
      <c r="CG172" s="540">
        <f t="shared" ca="1" si="524"/>
        <v>6015545.5636799997</v>
      </c>
      <c r="CH172" s="541">
        <f t="shared" ca="1" si="524"/>
        <v>6015545.5636799997</v>
      </c>
      <c r="CI172" s="540">
        <f t="shared" ca="1" si="524"/>
        <v>6015545.5636799997</v>
      </c>
      <c r="CJ172" s="540">
        <f t="shared" ca="1" si="524"/>
        <v>6015545.5636799997</v>
      </c>
      <c r="CK172" s="540">
        <f t="shared" ca="1" si="524"/>
        <v>6015545.5636799997</v>
      </c>
      <c r="CL172" s="540">
        <f t="shared" ref="CL172:DG172" ca="1" si="525">CL171*CL170</f>
        <v>6013307.3176800003</v>
      </c>
      <c r="CM172" s="541">
        <f t="shared" ca="1" si="525"/>
        <v>6013307.3176800003</v>
      </c>
      <c r="CN172" s="540">
        <f t="shared" ca="1" si="525"/>
        <v>6015545.5636799997</v>
      </c>
      <c r="CO172" s="540">
        <f t="shared" ca="1" si="525"/>
        <v>5974515.1756799994</v>
      </c>
      <c r="CP172" s="540">
        <f ca="1">CP171*CP170</f>
        <v>5974515.1756799994</v>
      </c>
      <c r="CQ172" s="540">
        <f t="shared" ca="1" si="525"/>
        <v>5974515.1756799994</v>
      </c>
      <c r="CR172" s="541">
        <f t="shared" ca="1" si="525"/>
        <v>5974515.1756799994</v>
      </c>
      <c r="CS172" s="540">
        <f t="shared" ca="1" si="525"/>
        <v>5974515.1756799994</v>
      </c>
      <c r="CT172" s="540">
        <f ca="1">CT171*CT170</f>
        <v>5974515.1756799994</v>
      </c>
      <c r="CU172" s="540">
        <f ca="1">CU171*CU170</f>
        <v>5974515.1756799994</v>
      </c>
      <c r="CV172" s="540">
        <f t="shared" ca="1" si="525"/>
        <v>5974515.1756799994</v>
      </c>
      <c r="CW172" s="541">
        <f t="shared" ca="1" si="525"/>
        <v>5974515.1756799994</v>
      </c>
      <c r="CX172" s="540">
        <f ca="1">CX171*CX170</f>
        <v>5974515.1756799994</v>
      </c>
      <c r="CY172" s="540">
        <f t="shared" ca="1" si="525"/>
        <v>5974515.1756799994</v>
      </c>
      <c r="CZ172" s="540">
        <f ca="1">CZ171*CZ170</f>
        <v>5974515.1756799994</v>
      </c>
      <c r="DA172" s="540">
        <f t="shared" ca="1" si="525"/>
        <v>5974515.1756799994</v>
      </c>
      <c r="DB172" s="541">
        <f t="shared" ca="1" si="525"/>
        <v>5974515.1756799994</v>
      </c>
      <c r="DC172" s="540">
        <f t="shared" ca="1" si="525"/>
        <v>5974515.1756799994</v>
      </c>
      <c r="DD172" s="540">
        <f t="shared" ca="1" si="525"/>
        <v>6015545.5636799997</v>
      </c>
      <c r="DE172" s="540">
        <f t="shared" ca="1" si="525"/>
        <v>6015545.5636799997</v>
      </c>
      <c r="DF172" s="540">
        <f t="shared" ca="1" si="525"/>
        <v>6348860.9123399993</v>
      </c>
      <c r="DG172" s="541">
        <f t="shared" ca="1" si="525"/>
        <v>6348860.9123399993</v>
      </c>
      <c r="DH172" s="540">
        <f ca="1">DH171*DH170</f>
        <v>6348860.9123399993</v>
      </c>
      <c r="DI172" s="540">
        <f ca="1">DI171*DI170</f>
        <v>6348860.9123399993</v>
      </c>
      <c r="DJ172" s="540">
        <f ca="1">DJ171*DJ170</f>
        <v>6348860.9123399993</v>
      </c>
      <c r="DK172" s="540">
        <f ca="1">DK171*DK170</f>
        <v>6348860.9123399993</v>
      </c>
      <c r="DL172" s="541">
        <f ca="1">DL171*DL170</f>
        <v>6348860.9123399993</v>
      </c>
      <c r="DM172" s="540">
        <f t="shared" ref="DM172:EF172" ca="1" si="526">DM171*DM170</f>
        <v>6348860.9123399993</v>
      </c>
      <c r="DN172" s="540">
        <f t="shared" ca="1" si="526"/>
        <v>6348860.9123399993</v>
      </c>
      <c r="DO172" s="540">
        <f t="shared" ca="1" si="526"/>
        <v>6348860.9123399993</v>
      </c>
      <c r="DP172" s="540">
        <f t="shared" ca="1" si="526"/>
        <v>6348860.9123399993</v>
      </c>
      <c r="DQ172" s="541">
        <f t="shared" ca="1" si="526"/>
        <v>6348860.9123399993</v>
      </c>
      <c r="DR172" s="540">
        <f t="shared" ca="1" si="526"/>
        <v>6348860.9123399993</v>
      </c>
      <c r="DS172" s="540">
        <f t="shared" ca="1" si="526"/>
        <v>6348860.9123399993</v>
      </c>
      <c r="DT172" s="540">
        <f t="shared" ca="1" si="526"/>
        <v>6348860.9123399993</v>
      </c>
      <c r="DU172" s="540">
        <f t="shared" ca="1" si="526"/>
        <v>6348860.9123399993</v>
      </c>
      <c r="DV172" s="541">
        <f t="shared" ca="1" si="526"/>
        <v>6348860.9123399993</v>
      </c>
      <c r="DW172" s="540">
        <f t="shared" ca="1" si="526"/>
        <v>6348860.9123399993</v>
      </c>
      <c r="DX172" s="540">
        <f t="shared" ca="1" si="526"/>
        <v>6348860.9123399993</v>
      </c>
      <c r="DY172" s="540">
        <f t="shared" ca="1" si="526"/>
        <v>6348860.9123399993</v>
      </c>
      <c r="DZ172" s="540">
        <f t="shared" ca="1" si="526"/>
        <v>6348860.9123399993</v>
      </c>
      <c r="EA172" s="541">
        <f t="shared" ca="1" si="526"/>
        <v>6348860.9123399993</v>
      </c>
      <c r="EB172" s="540">
        <f t="shared" ca="1" si="526"/>
        <v>6348860.9123399993</v>
      </c>
      <c r="EC172" s="540">
        <f t="shared" ca="1" si="526"/>
        <v>6348860.9123399993</v>
      </c>
      <c r="ED172" s="540">
        <f t="shared" ca="1" si="526"/>
        <v>6348860.9123399993</v>
      </c>
      <c r="EE172" s="540">
        <f t="shared" ca="1" si="526"/>
        <v>6348860.9123399993</v>
      </c>
      <c r="EF172" s="541">
        <f t="shared" ca="1" si="526"/>
        <v>6348860.9123399993</v>
      </c>
    </row>
    <row r="173" spans="1:136">
      <c r="A173" s="68" t="s">
        <v>986</v>
      </c>
      <c r="AX173" s="356"/>
      <c r="BY173" s="114"/>
      <c r="BZ173" s="114"/>
      <c r="CA173" s="114"/>
      <c r="CB173" s="114"/>
      <c r="CC173" s="130"/>
      <c r="CD173" s="114"/>
      <c r="CE173" s="114"/>
      <c r="CF173" s="114"/>
      <c r="CG173" s="114"/>
      <c r="CH173" s="130"/>
      <c r="CI173" s="114"/>
      <c r="CJ173" s="114"/>
      <c r="CK173" s="114"/>
      <c r="CL173" s="114"/>
      <c r="CM173" s="130"/>
      <c r="CN173" s="114"/>
      <c r="CO173" s="114"/>
      <c r="CP173" s="114"/>
      <c r="CQ173" s="114"/>
      <c r="CR173" s="130"/>
      <c r="CS173" s="114"/>
      <c r="CT173" s="114"/>
      <c r="CU173" s="114"/>
      <c r="CV173" s="114"/>
      <c r="CW173" s="130"/>
      <c r="CX173" s="114"/>
      <c r="CY173" s="114"/>
      <c r="CZ173" s="114"/>
      <c r="DA173" s="114"/>
      <c r="DB173" s="130"/>
      <c r="DC173" s="114"/>
      <c r="DD173" s="114"/>
      <c r="DE173" s="114"/>
      <c r="DF173" s="114"/>
      <c r="DG173" s="130"/>
      <c r="DH173" s="114"/>
      <c r="DI173" s="114"/>
      <c r="DJ173" s="114"/>
      <c r="DK173" s="114"/>
      <c r="DL173" s="130"/>
      <c r="DM173" s="114"/>
      <c r="DN173" s="114"/>
      <c r="DO173" s="114"/>
      <c r="DP173" s="114"/>
      <c r="DQ173" s="130"/>
      <c r="DR173" s="114"/>
      <c r="DS173" s="114"/>
      <c r="DT173" s="114"/>
      <c r="DU173" s="114"/>
      <c r="DV173" s="130"/>
      <c r="DW173" s="114"/>
      <c r="DX173" s="114"/>
      <c r="DY173" s="114"/>
      <c r="DZ173" s="114"/>
      <c r="EA173" s="130"/>
      <c r="EB173" s="114"/>
      <c r="EC173" s="114"/>
      <c r="ED173" s="114"/>
      <c r="EE173" s="114"/>
      <c r="EF173" s="130"/>
    </row>
    <row r="174" spans="1:136">
      <c r="A174" s="535" t="s">
        <v>978</v>
      </c>
      <c r="AW174" s="356"/>
      <c r="AX174" s="356"/>
      <c r="BY174" s="114"/>
      <c r="BZ174" s="114"/>
      <c r="CA174" s="114"/>
      <c r="CB174" s="169">
        <v>92575</v>
      </c>
      <c r="CC174" s="130">
        <v>92575</v>
      </c>
      <c r="CD174" s="169">
        <v>112503</v>
      </c>
      <c r="CE174" s="169">
        <v>139135</v>
      </c>
      <c r="CF174" s="169">
        <v>206057</v>
      </c>
      <c r="CG174" s="169">
        <v>220317</v>
      </c>
      <c r="CH174" s="130">
        <v>220317</v>
      </c>
      <c r="CI174" s="169">
        <v>272569</v>
      </c>
      <c r="CJ174" s="169">
        <v>283038</v>
      </c>
      <c r="CK174" s="169">
        <v>322675</v>
      </c>
      <c r="CL174" s="169">
        <v>311587</v>
      </c>
      <c r="CM174" s="130">
        <v>311587</v>
      </c>
      <c r="CN174" s="169">
        <v>322889</v>
      </c>
      <c r="CO174" s="169">
        <v>335628</v>
      </c>
      <c r="CP174" s="169">
        <v>368056</v>
      </c>
      <c r="CQ174" s="169">
        <v>395032</v>
      </c>
      <c r="CR174" s="130">
        <v>395032</v>
      </c>
      <c r="CS174" s="169">
        <v>438514</v>
      </c>
      <c r="CT174" s="169">
        <v>510951</v>
      </c>
      <c r="CU174" s="169">
        <v>589480</v>
      </c>
      <c r="CV174" s="169">
        <v>610342</v>
      </c>
      <c r="CW174" s="130">
        <v>610342</v>
      </c>
      <c r="CX174" s="169">
        <v>617423</v>
      </c>
      <c r="CY174" s="169">
        <v>718397</v>
      </c>
      <c r="CZ174" s="169">
        <v>835676</v>
      </c>
      <c r="DA174" s="169">
        <v>841043</v>
      </c>
      <c r="DB174" s="130">
        <v>841043</v>
      </c>
      <c r="DC174" s="169">
        <v>796680</v>
      </c>
      <c r="DD174" s="169">
        <v>906257</v>
      </c>
      <c r="DE174" s="169">
        <v>982756</v>
      </c>
      <c r="DF174" s="169">
        <v>1017717</v>
      </c>
      <c r="DG174" s="130">
        <v>1017717</v>
      </c>
      <c r="DH174" s="169">
        <v>1056961</v>
      </c>
      <c r="DI174" s="169">
        <v>1128892.4074882721</v>
      </c>
      <c r="DJ174" s="169">
        <v>1244045.3722612236</v>
      </c>
      <c r="DK174" s="169">
        <v>1374527.5300815646</v>
      </c>
      <c r="DL174" s="130">
        <v>1374527.5300815646</v>
      </c>
      <c r="DM174" s="169">
        <v>1370639.9587949102</v>
      </c>
      <c r="DN174" s="169">
        <v>1484474.6290028249</v>
      </c>
      <c r="DO174" s="169">
        <v>1613459.6849612265</v>
      </c>
      <c r="DP174" s="169">
        <v>1750487.9949547141</v>
      </c>
      <c r="DQ174" s="130">
        <v>1750487.9949547141</v>
      </c>
      <c r="DR174" s="169">
        <v>1612288.9462119695</v>
      </c>
      <c r="DS174" s="169">
        <v>1762154.546261139</v>
      </c>
      <c r="DT174" s="169">
        <v>1925962.730725887</v>
      </c>
      <c r="DU174" s="169">
        <v>2096188.3624877504</v>
      </c>
      <c r="DV174" s="130">
        <v>2096188.3624877504</v>
      </c>
      <c r="DW174" s="169">
        <v>1749704.0519579824</v>
      </c>
      <c r="DX174" s="169">
        <v>1927741.342800587</v>
      </c>
      <c r="DY174" s="169">
        <v>2118863.8664258765</v>
      </c>
      <c r="DZ174" s="169">
        <v>2314799.2236506627</v>
      </c>
      <c r="EA174" s="130">
        <v>2314799.2236506627</v>
      </c>
      <c r="EB174" s="169">
        <v>1911144.4006079519</v>
      </c>
      <c r="EC174" s="169">
        <v>2111135.5406925823</v>
      </c>
      <c r="ED174" s="169">
        <v>2323655.9210531036</v>
      </c>
      <c r="EE174" s="169">
        <v>2539783.3687048904</v>
      </c>
      <c r="EF174" s="130">
        <v>2539783.3687048904</v>
      </c>
    </row>
    <row r="175" spans="1:136">
      <c r="A175" s="535" t="s">
        <v>979</v>
      </c>
      <c r="AX175" s="356"/>
      <c r="BY175" s="114"/>
      <c r="BZ175" s="114"/>
      <c r="CA175" s="114"/>
      <c r="CB175" s="169">
        <v>200000</v>
      </c>
      <c r="CC175" s="130">
        <v>200000</v>
      </c>
      <c r="CD175" s="169">
        <v>200000</v>
      </c>
      <c r="CE175" s="169">
        <v>200000</v>
      </c>
      <c r="CF175" s="169">
        <v>204256</v>
      </c>
      <c r="CG175" s="169">
        <v>204256</v>
      </c>
      <c r="CH175" s="130">
        <v>204256</v>
      </c>
      <c r="CI175" s="169">
        <v>204256</v>
      </c>
      <c r="CJ175" s="169">
        <v>204256</v>
      </c>
      <c r="CK175" s="169">
        <v>204254.473</v>
      </c>
      <c r="CL175" s="169">
        <v>201906</v>
      </c>
      <c r="CM175" s="130">
        <v>201906</v>
      </c>
      <c r="CN175" s="169">
        <v>199506</v>
      </c>
      <c r="CO175" s="169">
        <v>198256</v>
      </c>
      <c r="CP175" s="169">
        <v>198256</v>
      </c>
      <c r="CQ175" s="169">
        <v>198256</v>
      </c>
      <c r="CR175" s="130">
        <v>198256</v>
      </c>
      <c r="CS175" s="169">
        <v>198256</v>
      </c>
      <c r="CT175" s="169">
        <v>198256</v>
      </c>
      <c r="CU175" s="169">
        <v>198256</v>
      </c>
      <c r="CV175" s="169">
        <v>198256</v>
      </c>
      <c r="CW175" s="130">
        <v>198256</v>
      </c>
      <c r="CX175" s="169">
        <v>198256</v>
      </c>
      <c r="CY175" s="169">
        <v>198256</v>
      </c>
      <c r="CZ175" s="169">
        <v>198567.5</v>
      </c>
      <c r="DA175" s="169">
        <v>198804.5</v>
      </c>
      <c r="DB175" s="130">
        <v>198804.5</v>
      </c>
      <c r="DC175" s="169">
        <v>199269</v>
      </c>
      <c r="DD175" s="169">
        <v>202909.78</v>
      </c>
      <c r="DE175" s="169">
        <v>202909.78</v>
      </c>
      <c r="DF175" s="169">
        <v>202909.78</v>
      </c>
      <c r="DG175" s="130">
        <v>202909.78</v>
      </c>
      <c r="DH175" s="169">
        <v>202909.78</v>
      </c>
      <c r="DI175" s="169">
        <v>202909.78</v>
      </c>
      <c r="DJ175" s="169">
        <v>202909.78</v>
      </c>
      <c r="DK175" s="169">
        <v>202909.78</v>
      </c>
      <c r="DL175" s="130">
        <v>202909.78</v>
      </c>
      <c r="DM175" s="169">
        <v>202909.78</v>
      </c>
      <c r="DN175" s="169">
        <v>202909.78</v>
      </c>
      <c r="DO175" s="169">
        <v>202909.78</v>
      </c>
      <c r="DP175" s="169">
        <v>202909.78</v>
      </c>
      <c r="DQ175" s="130">
        <v>202909.78</v>
      </c>
      <c r="DR175" s="169">
        <v>202909.78</v>
      </c>
      <c r="DS175" s="169">
        <v>202909.78</v>
      </c>
      <c r="DT175" s="169">
        <v>202909.78</v>
      </c>
      <c r="DU175" s="169">
        <v>202909.78</v>
      </c>
      <c r="DV175" s="130">
        <v>202909.78</v>
      </c>
      <c r="DW175" s="169">
        <v>202909.78</v>
      </c>
      <c r="DX175" s="169">
        <v>202909.78</v>
      </c>
      <c r="DY175" s="169">
        <v>202909.78</v>
      </c>
      <c r="DZ175" s="169">
        <v>202909.78</v>
      </c>
      <c r="EA175" s="130">
        <v>202909.78</v>
      </c>
      <c r="EB175" s="169">
        <v>202909.78</v>
      </c>
      <c r="EC175" s="169">
        <v>202909.78</v>
      </c>
      <c r="ED175" s="169">
        <v>202909.78</v>
      </c>
      <c r="EE175" s="169">
        <v>202909.78</v>
      </c>
      <c r="EF175" s="130">
        <v>202909.78</v>
      </c>
    </row>
    <row r="176" spans="1:136">
      <c r="A176" s="535" t="s">
        <v>980</v>
      </c>
      <c r="AX176" s="356"/>
      <c r="BY176" s="114"/>
      <c r="BZ176" s="114"/>
      <c r="CA176" s="114"/>
      <c r="CB176" s="536">
        <v>3.12</v>
      </c>
      <c r="CC176" s="542">
        <f>CB176</f>
        <v>3.12</v>
      </c>
      <c r="CD176" s="513">
        <f ca="1">CE176</f>
        <v>10.46</v>
      </c>
      <c r="CE176" s="513">
        <f ca="1">CF176</f>
        <v>10.46</v>
      </c>
      <c r="CF176" s="513">
        <f ca="1">CG176</f>
        <v>10.46</v>
      </c>
      <c r="CG176" s="513">
        <f ca="1">CI176</f>
        <v>10.46</v>
      </c>
      <c r="CH176" s="542">
        <f ca="1">CG176</f>
        <v>10.46</v>
      </c>
      <c r="CI176" s="513">
        <f ca="1">CJ176</f>
        <v>10.46</v>
      </c>
      <c r="CJ176" s="513">
        <f ca="1">CK176</f>
        <v>10.46</v>
      </c>
      <c r="CK176" s="513">
        <f ca="1">CL176</f>
        <v>10.46</v>
      </c>
      <c r="CL176" s="513">
        <f ca="1">CN176</f>
        <v>10.46</v>
      </c>
      <c r="CM176" s="542">
        <f ca="1">CL176</f>
        <v>10.46</v>
      </c>
      <c r="CN176" s="513">
        <f ca="1">CO176</f>
        <v>10.46</v>
      </c>
      <c r="CO176" s="513">
        <f ca="1">CP176</f>
        <v>10.46</v>
      </c>
      <c r="CP176" s="513">
        <f ca="1">CQ176</f>
        <v>10.46</v>
      </c>
      <c r="CQ176" s="513">
        <f ca="1">CS176</f>
        <v>10.46</v>
      </c>
      <c r="CR176" s="542">
        <f ca="1">CQ176</f>
        <v>10.46</v>
      </c>
      <c r="CS176" s="513">
        <f t="shared" ref="CS176:CZ176" ca="1" si="527">CT176</f>
        <v>10.46</v>
      </c>
      <c r="CT176" s="513">
        <f t="shared" ca="1" si="527"/>
        <v>10.46</v>
      </c>
      <c r="CU176" s="513">
        <f t="shared" ca="1" si="527"/>
        <v>10.46</v>
      </c>
      <c r="CV176" s="513">
        <f t="shared" ca="1" si="527"/>
        <v>10.46</v>
      </c>
      <c r="CW176" s="542">
        <f t="shared" ca="1" si="527"/>
        <v>10.46</v>
      </c>
      <c r="CX176" s="513">
        <f t="shared" ca="1" si="527"/>
        <v>10.46</v>
      </c>
      <c r="CY176" s="513">
        <f ca="1">CX176</f>
        <v>10.46</v>
      </c>
      <c r="CZ176" s="513">
        <f t="shared" ca="1" si="527"/>
        <v>10.46</v>
      </c>
      <c r="DA176" s="513">
        <f t="shared" ref="DA176:DG176" ca="1" si="528">CZ176</f>
        <v>10.46</v>
      </c>
      <c r="DB176" s="542">
        <f t="shared" ca="1" si="528"/>
        <v>10.46</v>
      </c>
      <c r="DC176" s="513">
        <f ca="1">DA176</f>
        <v>10.46</v>
      </c>
      <c r="DD176" s="513">
        <f ca="1">DC176</f>
        <v>10.46</v>
      </c>
      <c r="DE176" s="513">
        <f t="shared" ca="1" si="528"/>
        <v>10.46</v>
      </c>
      <c r="DF176" s="513">
        <f t="shared" ca="1" si="528"/>
        <v>10.46</v>
      </c>
      <c r="DG176" s="542">
        <f t="shared" ca="1" si="528"/>
        <v>10.46</v>
      </c>
      <c r="DH176" s="513">
        <f ca="1">DF176</f>
        <v>10.46</v>
      </c>
      <c r="DI176" s="513">
        <f ca="1">DH176</f>
        <v>10.46</v>
      </c>
      <c r="DJ176" s="513">
        <f ca="1">DI176</f>
        <v>10.46</v>
      </c>
      <c r="DK176" s="513">
        <f ca="1">DJ176</f>
        <v>10.46</v>
      </c>
      <c r="DL176" s="542">
        <f ca="1">DK176</f>
        <v>10.46</v>
      </c>
      <c r="DM176" s="513">
        <f ca="1">DK176</f>
        <v>10.46</v>
      </c>
      <c r="DN176" s="513">
        <f ca="1">DM176</f>
        <v>10.46</v>
      </c>
      <c r="DO176" s="513">
        <f ca="1">DN176</f>
        <v>10.46</v>
      </c>
      <c r="DP176" s="513">
        <f ca="1">DO176</f>
        <v>10.46</v>
      </c>
      <c r="DQ176" s="542">
        <f ca="1">DP176</f>
        <v>10.46</v>
      </c>
      <c r="DR176" s="513">
        <f ca="1">DP176</f>
        <v>10.46</v>
      </c>
      <c r="DS176" s="513">
        <f ca="1">DR176</f>
        <v>10.46</v>
      </c>
      <c r="DT176" s="513">
        <f ca="1">DS176</f>
        <v>10.46</v>
      </c>
      <c r="DU176" s="513">
        <f ca="1">DT176</f>
        <v>10.46</v>
      </c>
      <c r="DV176" s="542">
        <f ca="1">DU176</f>
        <v>10.46</v>
      </c>
      <c r="DW176" s="513">
        <f ca="1">DU176</f>
        <v>10.46</v>
      </c>
      <c r="DX176" s="513">
        <f ca="1">DW176</f>
        <v>10.46</v>
      </c>
      <c r="DY176" s="513">
        <f ca="1">DX176</f>
        <v>10.46</v>
      </c>
      <c r="DZ176" s="513">
        <f ca="1">DY176</f>
        <v>10.46</v>
      </c>
      <c r="EA176" s="542">
        <f ca="1">DZ176</f>
        <v>10.46</v>
      </c>
      <c r="EB176" s="513">
        <f ca="1">DZ176</f>
        <v>10.46</v>
      </c>
      <c r="EC176" s="513">
        <f ca="1">EB176</f>
        <v>10.46</v>
      </c>
      <c r="ED176" s="513">
        <f ca="1">EC176</f>
        <v>10.46</v>
      </c>
      <c r="EE176" s="513">
        <f ca="1">ED176</f>
        <v>10.46</v>
      </c>
      <c r="EF176" s="542">
        <f ca="1">EE176</f>
        <v>10.46</v>
      </c>
    </row>
    <row r="177" spans="1:136">
      <c r="A177" s="537" t="s">
        <v>981</v>
      </c>
      <c r="B177" s="538"/>
      <c r="C177" s="538"/>
      <c r="D177" s="538"/>
      <c r="E177" s="538"/>
      <c r="F177" s="372"/>
      <c r="G177" s="538"/>
      <c r="H177" s="538"/>
      <c r="I177" s="538"/>
      <c r="J177" s="538"/>
      <c r="K177" s="372"/>
      <c r="L177" s="538"/>
      <c r="M177" s="538"/>
      <c r="N177" s="538"/>
      <c r="O177" s="538"/>
      <c r="P177" s="372"/>
      <c r="Q177" s="538"/>
      <c r="R177" s="538"/>
      <c r="S177" s="538"/>
      <c r="T177" s="538"/>
      <c r="U177" s="372"/>
      <c r="V177" s="538"/>
      <c r="W177" s="538"/>
      <c r="X177" s="538"/>
      <c r="Y177" s="538"/>
      <c r="Z177" s="372"/>
      <c r="AA177" s="538"/>
      <c r="AB177" s="538"/>
      <c r="AC177" s="538"/>
      <c r="AD177" s="538"/>
      <c r="AE177" s="372"/>
      <c r="AF177" s="538"/>
      <c r="AG177" s="538"/>
      <c r="AH177" s="538"/>
      <c r="AI177" s="538"/>
      <c r="AJ177" s="372"/>
      <c r="AK177" s="538"/>
      <c r="AL177" s="538"/>
      <c r="AM177" s="538"/>
      <c r="AN177" s="538"/>
      <c r="AO177" s="372"/>
      <c r="AP177" s="538"/>
      <c r="AQ177" s="538"/>
      <c r="AR177" s="538"/>
      <c r="AS177" s="538"/>
      <c r="AT177" s="372"/>
      <c r="AU177" s="538"/>
      <c r="AV177" s="538"/>
      <c r="AW177" s="539"/>
      <c r="AX177" s="539"/>
      <c r="AY177" s="372"/>
      <c r="AZ177" s="538"/>
      <c r="BA177" s="538"/>
      <c r="BB177" s="538"/>
      <c r="BC177" s="538"/>
      <c r="BD177" s="372"/>
      <c r="BE177" s="538"/>
      <c r="BF177" s="538"/>
      <c r="BG177" s="538"/>
      <c r="BH177" s="538"/>
      <c r="BI177" s="372"/>
      <c r="BJ177" s="538"/>
      <c r="BK177" s="538"/>
      <c r="BL177" s="538"/>
      <c r="BM177" s="538"/>
      <c r="BN177" s="372"/>
      <c r="BO177" s="538"/>
      <c r="BP177" s="538"/>
      <c r="BQ177" s="538"/>
      <c r="BR177" s="538"/>
      <c r="BS177" s="372"/>
      <c r="BT177" s="538"/>
      <c r="BU177" s="538"/>
      <c r="BV177" s="538"/>
      <c r="BW177" s="538"/>
      <c r="BX177" s="372"/>
      <c r="BY177" s="540"/>
      <c r="BZ177" s="540"/>
      <c r="CA177" s="540"/>
      <c r="CB177" s="540">
        <f t="shared" ref="CB177:CK177" si="529">CB176*CB175</f>
        <v>624000</v>
      </c>
      <c r="CC177" s="541">
        <f t="shared" si="529"/>
        <v>624000</v>
      </c>
      <c r="CD177" s="540">
        <f t="shared" ca="1" si="529"/>
        <v>2092000.0000000002</v>
      </c>
      <c r="CE177" s="540">
        <f t="shared" ca="1" si="529"/>
        <v>2092000.0000000002</v>
      </c>
      <c r="CF177" s="540">
        <f t="shared" ca="1" si="529"/>
        <v>2136517.7600000002</v>
      </c>
      <c r="CG177" s="540">
        <f t="shared" ca="1" si="529"/>
        <v>2136517.7600000002</v>
      </c>
      <c r="CH177" s="541">
        <f t="shared" ca="1" si="529"/>
        <v>2136517.7600000002</v>
      </c>
      <c r="CI177" s="540">
        <f t="shared" ca="1" si="529"/>
        <v>2136517.7600000002</v>
      </c>
      <c r="CJ177" s="540">
        <f t="shared" ca="1" si="529"/>
        <v>2136517.7600000002</v>
      </c>
      <c r="CK177" s="540">
        <f t="shared" ca="1" si="529"/>
        <v>2136501.7875800002</v>
      </c>
      <c r="CL177" s="540">
        <f t="shared" ref="CL177:DG177" ca="1" si="530">CL176*CL175</f>
        <v>2111936.7600000002</v>
      </c>
      <c r="CM177" s="541">
        <f t="shared" ca="1" si="530"/>
        <v>2111936.7600000002</v>
      </c>
      <c r="CN177" s="540">
        <f t="shared" ca="1" si="530"/>
        <v>2086832.7600000002</v>
      </c>
      <c r="CO177" s="540">
        <f t="shared" ca="1" si="530"/>
        <v>2073757.7600000002</v>
      </c>
      <c r="CP177" s="540">
        <f ca="1">CP176*CP175</f>
        <v>2073757.7600000002</v>
      </c>
      <c r="CQ177" s="540">
        <f t="shared" ca="1" si="530"/>
        <v>2073757.7600000002</v>
      </c>
      <c r="CR177" s="541">
        <f t="shared" ca="1" si="530"/>
        <v>2073757.7600000002</v>
      </c>
      <c r="CS177" s="540">
        <f t="shared" ca="1" si="530"/>
        <v>2073757.7600000002</v>
      </c>
      <c r="CT177" s="540">
        <f ca="1">CT176*CT175</f>
        <v>2073757.7600000002</v>
      </c>
      <c r="CU177" s="540">
        <f ca="1">CU176*CU175</f>
        <v>2073757.7600000002</v>
      </c>
      <c r="CV177" s="540">
        <f t="shared" ca="1" si="530"/>
        <v>2073757.7600000002</v>
      </c>
      <c r="CW177" s="541">
        <f t="shared" ca="1" si="530"/>
        <v>2073757.7600000002</v>
      </c>
      <c r="CX177" s="540">
        <f ca="1">CX176*CX175</f>
        <v>2073757.7600000002</v>
      </c>
      <c r="CY177" s="540">
        <f t="shared" ca="1" si="530"/>
        <v>2073757.7600000002</v>
      </c>
      <c r="CZ177" s="540">
        <f ca="1">CZ176*CZ175</f>
        <v>2077016.0500000003</v>
      </c>
      <c r="DA177" s="540">
        <f t="shared" ca="1" si="530"/>
        <v>2079495.07</v>
      </c>
      <c r="DB177" s="541">
        <f t="shared" ca="1" si="530"/>
        <v>2079495.07</v>
      </c>
      <c r="DC177" s="540">
        <f t="shared" ca="1" si="530"/>
        <v>2084353.7400000002</v>
      </c>
      <c r="DD177" s="540">
        <f t="shared" ca="1" si="530"/>
        <v>2122436.2988</v>
      </c>
      <c r="DE177" s="540">
        <f t="shared" ca="1" si="530"/>
        <v>2122436.2988</v>
      </c>
      <c r="DF177" s="540">
        <f t="shared" ca="1" si="530"/>
        <v>2122436.2988</v>
      </c>
      <c r="DG177" s="541">
        <f t="shared" ca="1" si="530"/>
        <v>2122436.2988</v>
      </c>
      <c r="DH177" s="540">
        <f ca="1">DH176*DH175</f>
        <v>2122436.2988</v>
      </c>
      <c r="DI177" s="540">
        <f ca="1">DI176*DI175</f>
        <v>2122436.2988</v>
      </c>
      <c r="DJ177" s="540">
        <f ca="1">DJ176*DJ175</f>
        <v>2122436.2988</v>
      </c>
      <c r="DK177" s="540">
        <f ca="1">DK176*DK175</f>
        <v>2122436.2988</v>
      </c>
      <c r="DL177" s="541">
        <f ca="1">DL176*DL175</f>
        <v>2122436.2988</v>
      </c>
      <c r="DM177" s="540">
        <f t="shared" ref="DM177:EF177" ca="1" si="531">DM176*DM175</f>
        <v>2122436.2988</v>
      </c>
      <c r="DN177" s="540">
        <f t="shared" ca="1" si="531"/>
        <v>2122436.2988</v>
      </c>
      <c r="DO177" s="540">
        <f t="shared" ca="1" si="531"/>
        <v>2122436.2988</v>
      </c>
      <c r="DP177" s="540">
        <f t="shared" ca="1" si="531"/>
        <v>2122436.2988</v>
      </c>
      <c r="DQ177" s="541">
        <f t="shared" ca="1" si="531"/>
        <v>2122436.2988</v>
      </c>
      <c r="DR177" s="540">
        <f t="shared" ca="1" si="531"/>
        <v>2122436.2988</v>
      </c>
      <c r="DS177" s="540">
        <f t="shared" ca="1" si="531"/>
        <v>2122436.2988</v>
      </c>
      <c r="DT177" s="540">
        <f t="shared" ca="1" si="531"/>
        <v>2122436.2988</v>
      </c>
      <c r="DU177" s="540">
        <f t="shared" ca="1" si="531"/>
        <v>2122436.2988</v>
      </c>
      <c r="DV177" s="541">
        <f t="shared" ca="1" si="531"/>
        <v>2122436.2988</v>
      </c>
      <c r="DW177" s="540">
        <f t="shared" ca="1" si="531"/>
        <v>2122436.2988</v>
      </c>
      <c r="DX177" s="540">
        <f t="shared" ca="1" si="531"/>
        <v>2122436.2988</v>
      </c>
      <c r="DY177" s="540">
        <f t="shared" ca="1" si="531"/>
        <v>2122436.2988</v>
      </c>
      <c r="DZ177" s="540">
        <f t="shared" ca="1" si="531"/>
        <v>2122436.2988</v>
      </c>
      <c r="EA177" s="541">
        <f t="shared" ca="1" si="531"/>
        <v>2122436.2988</v>
      </c>
      <c r="EB177" s="540">
        <f t="shared" ca="1" si="531"/>
        <v>2122436.2988</v>
      </c>
      <c r="EC177" s="540">
        <f t="shared" ca="1" si="531"/>
        <v>2122436.2988</v>
      </c>
      <c r="ED177" s="540">
        <f t="shared" ca="1" si="531"/>
        <v>2122436.2988</v>
      </c>
      <c r="EE177" s="540">
        <f t="shared" ca="1" si="531"/>
        <v>2122436.2988</v>
      </c>
      <c r="EF177" s="541">
        <f t="shared" ca="1" si="531"/>
        <v>2122436.2988</v>
      </c>
    </row>
    <row r="178" spans="1:136">
      <c r="A178" s="68" t="s">
        <v>987</v>
      </c>
      <c r="AX178" s="356"/>
      <c r="BY178" s="114"/>
      <c r="BZ178" s="114"/>
      <c r="CA178" s="114"/>
      <c r="CB178" s="114"/>
      <c r="CC178" s="130"/>
      <c r="CD178" s="114"/>
      <c r="CE178" s="114"/>
      <c r="CF178" s="114"/>
      <c r="CG178" s="114"/>
      <c r="CH178" s="130"/>
      <c r="CI178" s="114"/>
      <c r="CJ178" s="114"/>
      <c r="CK178" s="114"/>
      <c r="CL178" s="114"/>
      <c r="CM178" s="130"/>
      <c r="CN178" s="114"/>
      <c r="CO178" s="114"/>
      <c r="CP178" s="114"/>
      <c r="CQ178" s="114"/>
      <c r="CR178" s="130"/>
      <c r="CS178" s="114"/>
      <c r="CT178" s="114"/>
      <c r="CU178" s="114"/>
      <c r="CV178" s="114"/>
      <c r="CW178" s="130"/>
      <c r="CX178" s="114"/>
      <c r="CY178" s="114"/>
      <c r="CZ178" s="114"/>
      <c r="DA178" s="114"/>
      <c r="DB178" s="130"/>
      <c r="DC178" s="114"/>
      <c r="DD178" s="114"/>
      <c r="DE178" s="114"/>
      <c r="DF178" s="114"/>
      <c r="DG178" s="130"/>
      <c r="DH178" s="114"/>
      <c r="DI178" s="114"/>
      <c r="DJ178" s="114"/>
      <c r="DK178" s="114"/>
      <c r="DL178" s="130"/>
      <c r="DM178" s="114"/>
      <c r="DN178" s="114"/>
      <c r="DO178" s="114"/>
      <c r="DP178" s="114"/>
      <c r="DQ178" s="130"/>
      <c r="DR178" s="114"/>
      <c r="DS178" s="114"/>
      <c r="DT178" s="114"/>
      <c r="DU178" s="114"/>
      <c r="DV178" s="130"/>
      <c r="DW178" s="114"/>
      <c r="DX178" s="114"/>
      <c r="DY178" s="114"/>
      <c r="DZ178" s="114"/>
      <c r="EA178" s="130"/>
      <c r="EB178" s="114"/>
      <c r="EC178" s="114"/>
      <c r="ED178" s="114"/>
      <c r="EE178" s="114"/>
      <c r="EF178" s="130"/>
    </row>
    <row r="179" spans="1:136">
      <c r="A179" s="535" t="s">
        <v>978</v>
      </c>
      <c r="AX179" s="356"/>
      <c r="BY179" s="114"/>
      <c r="BZ179" s="114"/>
      <c r="CA179" s="114"/>
      <c r="CB179" s="169">
        <v>164415</v>
      </c>
      <c r="CC179" s="130">
        <v>164415</v>
      </c>
      <c r="CD179" s="169">
        <v>172231</v>
      </c>
      <c r="CE179" s="169">
        <v>184128</v>
      </c>
      <c r="CF179" s="169">
        <v>1187068</v>
      </c>
      <c r="CG179" s="169">
        <v>1215412</v>
      </c>
      <c r="CH179" s="130">
        <v>1215412</v>
      </c>
      <c r="CI179" s="169">
        <v>1232082</v>
      </c>
      <c r="CJ179" s="169">
        <v>1323809</v>
      </c>
      <c r="CK179" s="169">
        <v>1361809</v>
      </c>
      <c r="CL179" s="169">
        <v>1175957</v>
      </c>
      <c r="CM179" s="130">
        <v>1175957</v>
      </c>
      <c r="CN179" s="169">
        <v>1186447</v>
      </c>
      <c r="CO179" s="169">
        <v>1171867</v>
      </c>
      <c r="CP179" s="169">
        <v>1143075</v>
      </c>
      <c r="CQ179" s="169">
        <v>1170713</v>
      </c>
      <c r="CR179" s="130">
        <v>1170713</v>
      </c>
      <c r="CS179" s="169">
        <v>1163510</v>
      </c>
      <c r="CT179" s="169">
        <v>1227739</v>
      </c>
      <c r="CU179" s="169">
        <v>1261233</v>
      </c>
      <c r="CV179" s="169">
        <v>1270981</v>
      </c>
      <c r="CW179" s="130">
        <v>1270981</v>
      </c>
      <c r="CX179" s="169">
        <v>1320094</v>
      </c>
      <c r="CY179" s="169">
        <v>1372756</v>
      </c>
      <c r="CZ179" s="169">
        <v>1435982</v>
      </c>
      <c r="DA179" s="169">
        <v>1483634</v>
      </c>
      <c r="DB179" s="130">
        <v>1483634</v>
      </c>
      <c r="DC179" s="169">
        <v>1482281</v>
      </c>
      <c r="DD179" s="169">
        <v>1552404</v>
      </c>
      <c r="DE179" s="169">
        <v>1534013</v>
      </c>
      <c r="DF179" s="169">
        <v>1488160</v>
      </c>
      <c r="DG179" s="130">
        <v>1488160</v>
      </c>
      <c r="DH179" s="169">
        <v>1357672</v>
      </c>
      <c r="DI179" s="169">
        <v>1427618.0499157677</v>
      </c>
      <c r="DJ179" s="169">
        <v>1550307.3848862443</v>
      </c>
      <c r="DK179" s="169">
        <v>1682531.1420049784</v>
      </c>
      <c r="DL179" s="130">
        <v>1682531.1420049784</v>
      </c>
      <c r="DM179" s="169">
        <v>1836238.4641586589</v>
      </c>
      <c r="DN179" s="169">
        <v>1897712.7110420852</v>
      </c>
      <c r="DO179" s="169">
        <v>2059656.9066946465</v>
      </c>
      <c r="DP179" s="169">
        <v>2034160.1219147495</v>
      </c>
      <c r="DQ179" s="130">
        <v>2034160.1219147495</v>
      </c>
      <c r="DR179" s="169">
        <v>2191707.9474108643</v>
      </c>
      <c r="DS179" s="169">
        <v>2358474.2396113384</v>
      </c>
      <c r="DT179" s="169">
        <v>2531421.6466702148</v>
      </c>
      <c r="DU179" s="169">
        <v>2167230.931714559</v>
      </c>
      <c r="DV179" s="130">
        <v>2167230.931714559</v>
      </c>
      <c r="DW179" s="169">
        <v>2337928.2708321754</v>
      </c>
      <c r="DX179" s="169">
        <v>2514244.4778981139</v>
      </c>
      <c r="DY179" s="169">
        <v>2697944.9609766211</v>
      </c>
      <c r="DZ179" s="169">
        <v>2310323.9111577696</v>
      </c>
      <c r="EA179" s="130">
        <v>2310323.9111577696</v>
      </c>
      <c r="EB179" s="169">
        <v>2492508.8474495029</v>
      </c>
      <c r="EC179" s="169">
        <v>2680837.5815036702</v>
      </c>
      <c r="ED179" s="169">
        <v>2877241.3970511407</v>
      </c>
      <c r="EE179" s="169">
        <v>2464224.0818025498</v>
      </c>
      <c r="EF179" s="130">
        <v>2464224.0818025498</v>
      </c>
    </row>
    <row r="180" spans="1:136">
      <c r="A180" s="535" t="s">
        <v>979</v>
      </c>
      <c r="AX180" s="356"/>
      <c r="BY180" s="114"/>
      <c r="BZ180" s="114"/>
      <c r="CA180" s="114"/>
      <c r="CB180" s="169">
        <v>106516.652</v>
      </c>
      <c r="CC180" s="130">
        <v>106516.652</v>
      </c>
      <c r="CD180" s="169">
        <v>106516.652</v>
      </c>
      <c r="CE180" s="169">
        <v>106516.652</v>
      </c>
      <c r="CF180" s="169">
        <v>214628.652</v>
      </c>
      <c r="CG180" s="169">
        <v>214628.652</v>
      </c>
      <c r="CH180" s="130">
        <v>214628.652</v>
      </c>
      <c r="CI180" s="169">
        <v>214628.652</v>
      </c>
      <c r="CJ180" s="169">
        <v>214628.652</v>
      </c>
      <c r="CK180" s="169">
        <v>212966.152</v>
      </c>
      <c r="CL180" s="169">
        <v>205047.652</v>
      </c>
      <c r="CM180" s="130">
        <v>205047.652</v>
      </c>
      <c r="CN180" s="169">
        <v>202394.35200000001</v>
      </c>
      <c r="CO180" s="169">
        <v>195434.35200000001</v>
      </c>
      <c r="CP180" s="169">
        <v>195434.35200000001</v>
      </c>
      <c r="CQ180" s="169">
        <v>195434.35200000001</v>
      </c>
      <c r="CR180" s="130">
        <v>195434.35200000001</v>
      </c>
      <c r="CS180" s="169">
        <v>195434.35200000001</v>
      </c>
      <c r="CT180" s="169">
        <v>195434.35200000001</v>
      </c>
      <c r="CU180" s="169">
        <v>195434.35200000001</v>
      </c>
      <c r="CV180" s="169">
        <v>195434.35200000001</v>
      </c>
      <c r="CW180" s="130">
        <v>195434.35200000001</v>
      </c>
      <c r="CX180" s="169">
        <v>195434.35200000001</v>
      </c>
      <c r="CY180" s="169">
        <v>195434.35200000001</v>
      </c>
      <c r="CZ180" s="169">
        <v>195434.35200000001</v>
      </c>
      <c r="DA180" s="169">
        <v>195434.35200000001</v>
      </c>
      <c r="DB180" s="130">
        <v>195434.35200000001</v>
      </c>
      <c r="DC180" s="169">
        <v>195434.35200000001</v>
      </c>
      <c r="DD180" s="169">
        <v>195434.35200000001</v>
      </c>
      <c r="DE180" s="169">
        <v>195434.35200000001</v>
      </c>
      <c r="DF180" s="169">
        <v>195434.35200000001</v>
      </c>
      <c r="DG180" s="130">
        <v>195434.35200000001</v>
      </c>
      <c r="DH180" s="169">
        <v>195434.35200000001</v>
      </c>
      <c r="DI180" s="169">
        <v>195434.35200000001</v>
      </c>
      <c r="DJ180" s="169">
        <v>195434.35200000001</v>
      </c>
      <c r="DK180" s="169">
        <v>195434.35200000001</v>
      </c>
      <c r="DL180" s="130">
        <v>195434.35200000001</v>
      </c>
      <c r="DM180" s="169">
        <v>195434.35200000001</v>
      </c>
      <c r="DN180" s="169">
        <v>195434.35200000001</v>
      </c>
      <c r="DO180" s="169">
        <v>195434.35200000001</v>
      </c>
      <c r="DP180" s="169">
        <v>195434.35200000001</v>
      </c>
      <c r="DQ180" s="130">
        <v>195434.35200000001</v>
      </c>
      <c r="DR180" s="169">
        <v>195434.35200000001</v>
      </c>
      <c r="DS180" s="169">
        <v>195434.35200000001</v>
      </c>
      <c r="DT180" s="169">
        <v>195434.35200000001</v>
      </c>
      <c r="DU180" s="169">
        <v>195434.35200000001</v>
      </c>
      <c r="DV180" s="130">
        <v>195434.35200000001</v>
      </c>
      <c r="DW180" s="169">
        <v>195434.35200000001</v>
      </c>
      <c r="DX180" s="169">
        <v>195434.35200000001</v>
      </c>
      <c r="DY180" s="169">
        <v>195434.35200000001</v>
      </c>
      <c r="DZ180" s="169">
        <v>195434.35200000001</v>
      </c>
      <c r="EA180" s="130">
        <v>195434.35200000001</v>
      </c>
      <c r="EB180" s="169">
        <v>195434.35200000001</v>
      </c>
      <c r="EC180" s="169">
        <v>195434.35200000001</v>
      </c>
      <c r="ED180" s="169">
        <v>195434.35200000001</v>
      </c>
      <c r="EE180" s="169">
        <v>195434.35200000001</v>
      </c>
      <c r="EF180" s="130">
        <v>195434.35200000001</v>
      </c>
    </row>
    <row r="181" spans="1:136">
      <c r="A181" s="535" t="s">
        <v>980</v>
      </c>
      <c r="BY181" s="114"/>
      <c r="BZ181" s="114"/>
      <c r="CA181" s="114"/>
      <c r="CB181" s="536">
        <v>4.71</v>
      </c>
      <c r="CC181" s="542">
        <f>CB181</f>
        <v>4.71</v>
      </c>
      <c r="CD181" s="513">
        <f ca="1">CE181</f>
        <v>8.4499999999999993</v>
      </c>
      <c r="CE181" s="513">
        <f ca="1">CF181</f>
        <v>8.4499999999999993</v>
      </c>
      <c r="CF181" s="513">
        <f ca="1">CG181</f>
        <v>8.4499999999999993</v>
      </c>
      <c r="CG181" s="513">
        <f ca="1">CI181</f>
        <v>8.4499999999999993</v>
      </c>
      <c r="CH181" s="542">
        <f ca="1">CG181</f>
        <v>8.4499999999999993</v>
      </c>
      <c r="CI181" s="513">
        <f ca="1">CJ181</f>
        <v>8.4499999999999993</v>
      </c>
      <c r="CJ181" s="513">
        <f ca="1">CK181</f>
        <v>8.4499999999999993</v>
      </c>
      <c r="CK181" s="513">
        <f ca="1">CL181</f>
        <v>8.4499999999999993</v>
      </c>
      <c r="CL181" s="513">
        <f ca="1">CN181</f>
        <v>8.4499999999999993</v>
      </c>
      <c r="CM181" s="542">
        <f ca="1">CL181</f>
        <v>8.4499999999999993</v>
      </c>
      <c r="CN181" s="513">
        <f ca="1">CO181</f>
        <v>8.4499999999999993</v>
      </c>
      <c r="CO181" s="513">
        <f ca="1">CP181</f>
        <v>8.4499999999999993</v>
      </c>
      <c r="CP181" s="513">
        <f ca="1">CQ181</f>
        <v>8.4499999999999993</v>
      </c>
      <c r="CQ181" s="513">
        <f ca="1">CS181</f>
        <v>8.4499999999999993</v>
      </c>
      <c r="CR181" s="542">
        <f ca="1">CQ181</f>
        <v>8.4499999999999993</v>
      </c>
      <c r="CS181" s="513">
        <f t="shared" ref="CS181:CZ181" ca="1" si="532">CT181</f>
        <v>8.4499999999999993</v>
      </c>
      <c r="CT181" s="513">
        <f t="shared" ca="1" si="532"/>
        <v>8.4499999999999993</v>
      </c>
      <c r="CU181" s="513">
        <f t="shared" ca="1" si="532"/>
        <v>8.4499999999999993</v>
      </c>
      <c r="CV181" s="513">
        <f t="shared" ca="1" si="532"/>
        <v>8.4499999999999993</v>
      </c>
      <c r="CW181" s="542">
        <f t="shared" ca="1" si="532"/>
        <v>8.4499999999999993</v>
      </c>
      <c r="CX181" s="513">
        <f t="shared" ca="1" si="532"/>
        <v>8.4499999999999993</v>
      </c>
      <c r="CY181" s="513">
        <f ca="1">CX181</f>
        <v>8.4499999999999993</v>
      </c>
      <c r="CZ181" s="513">
        <f t="shared" ca="1" si="532"/>
        <v>8.4499999999999993</v>
      </c>
      <c r="DA181" s="513">
        <f t="shared" ref="DA181:DG181" ca="1" si="533">CZ181</f>
        <v>8.4499999999999993</v>
      </c>
      <c r="DB181" s="542">
        <f t="shared" ca="1" si="533"/>
        <v>8.4499999999999993</v>
      </c>
      <c r="DC181" s="513">
        <f ca="1">DA181</f>
        <v>8.4499999999999993</v>
      </c>
      <c r="DD181" s="513">
        <f ca="1">DC181</f>
        <v>8.4499999999999993</v>
      </c>
      <c r="DE181" s="513">
        <f t="shared" ca="1" si="533"/>
        <v>8.4499999999999993</v>
      </c>
      <c r="DF181" s="513">
        <f t="shared" ca="1" si="533"/>
        <v>8.4499999999999993</v>
      </c>
      <c r="DG181" s="542">
        <f t="shared" ca="1" si="533"/>
        <v>8.4499999999999993</v>
      </c>
      <c r="DH181" s="513">
        <f ca="1">DF181</f>
        <v>8.4499999999999993</v>
      </c>
      <c r="DI181" s="513">
        <f ca="1">DH181</f>
        <v>8.4499999999999993</v>
      </c>
      <c r="DJ181" s="513">
        <f ca="1">DI181</f>
        <v>8.4499999999999993</v>
      </c>
      <c r="DK181" s="513">
        <f ca="1">DJ181</f>
        <v>8.4499999999999993</v>
      </c>
      <c r="DL181" s="542">
        <f ca="1">DK181</f>
        <v>8.4499999999999993</v>
      </c>
      <c r="DM181" s="513">
        <f ca="1">DK181</f>
        <v>8.4499999999999993</v>
      </c>
      <c r="DN181" s="513">
        <f ca="1">DM181</f>
        <v>8.4499999999999993</v>
      </c>
      <c r="DO181" s="513">
        <f ca="1">DN181</f>
        <v>8.4499999999999993</v>
      </c>
      <c r="DP181" s="513">
        <f ca="1">DO181</f>
        <v>8.4499999999999993</v>
      </c>
      <c r="DQ181" s="542">
        <f ca="1">DP181</f>
        <v>8.4499999999999993</v>
      </c>
      <c r="DR181" s="513">
        <f ca="1">DP181</f>
        <v>8.4499999999999993</v>
      </c>
      <c r="DS181" s="513">
        <f ca="1">DR181</f>
        <v>8.4499999999999993</v>
      </c>
      <c r="DT181" s="513">
        <f ca="1">DS181</f>
        <v>8.4499999999999993</v>
      </c>
      <c r="DU181" s="513">
        <f ca="1">DT181</f>
        <v>8.4499999999999993</v>
      </c>
      <c r="DV181" s="542">
        <f ca="1">DU181</f>
        <v>8.4499999999999993</v>
      </c>
      <c r="DW181" s="513">
        <f ca="1">DU181</f>
        <v>8.4499999999999993</v>
      </c>
      <c r="DX181" s="513">
        <f ca="1">DW181</f>
        <v>8.4499999999999993</v>
      </c>
      <c r="DY181" s="513">
        <f ca="1">DX181</f>
        <v>8.4499999999999993</v>
      </c>
      <c r="DZ181" s="513">
        <f ca="1">DY181</f>
        <v>8.4499999999999993</v>
      </c>
      <c r="EA181" s="542">
        <f ca="1">DZ181</f>
        <v>8.4499999999999993</v>
      </c>
      <c r="EB181" s="513">
        <f ca="1">DZ181</f>
        <v>8.4499999999999993</v>
      </c>
      <c r="EC181" s="513">
        <f ca="1">EB181</f>
        <v>8.4499999999999993</v>
      </c>
      <c r="ED181" s="513">
        <f ca="1">EC181</f>
        <v>8.4499999999999993</v>
      </c>
      <c r="EE181" s="513">
        <f ca="1">ED181</f>
        <v>8.4499999999999993</v>
      </c>
      <c r="EF181" s="542">
        <f ca="1">EE181</f>
        <v>8.4499999999999993</v>
      </c>
    </row>
    <row r="182" spans="1:136">
      <c r="A182" s="537" t="s">
        <v>981</v>
      </c>
      <c r="B182" s="538"/>
      <c r="C182" s="538"/>
      <c r="D182" s="538"/>
      <c r="E182" s="538"/>
      <c r="F182" s="372"/>
      <c r="G182" s="538"/>
      <c r="H182" s="538"/>
      <c r="I182" s="538"/>
      <c r="J182" s="538"/>
      <c r="K182" s="372"/>
      <c r="L182" s="538"/>
      <c r="M182" s="538"/>
      <c r="N182" s="538"/>
      <c r="O182" s="538"/>
      <c r="P182" s="372"/>
      <c r="Q182" s="538"/>
      <c r="R182" s="538"/>
      <c r="S182" s="538"/>
      <c r="T182" s="538"/>
      <c r="U182" s="372"/>
      <c r="V182" s="538"/>
      <c r="W182" s="538"/>
      <c r="X182" s="538"/>
      <c r="Y182" s="538"/>
      <c r="Z182" s="372"/>
      <c r="AA182" s="538"/>
      <c r="AB182" s="538"/>
      <c r="AC182" s="538"/>
      <c r="AD182" s="538"/>
      <c r="AE182" s="372"/>
      <c r="AF182" s="538"/>
      <c r="AG182" s="538"/>
      <c r="AH182" s="538"/>
      <c r="AI182" s="538"/>
      <c r="AJ182" s="372"/>
      <c r="AK182" s="538"/>
      <c r="AL182" s="538"/>
      <c r="AM182" s="538"/>
      <c r="AN182" s="538"/>
      <c r="AO182" s="372"/>
      <c r="AP182" s="538"/>
      <c r="AQ182" s="538"/>
      <c r="AR182" s="538"/>
      <c r="AS182" s="538"/>
      <c r="AT182" s="372"/>
      <c r="AU182" s="538"/>
      <c r="AV182" s="538"/>
      <c r="AW182" s="539"/>
      <c r="AX182" s="539"/>
      <c r="AY182" s="372"/>
      <c r="AZ182" s="538"/>
      <c r="BA182" s="538"/>
      <c r="BB182" s="538"/>
      <c r="BC182" s="538"/>
      <c r="BD182" s="372"/>
      <c r="BE182" s="538"/>
      <c r="BF182" s="538"/>
      <c r="BG182" s="538"/>
      <c r="BH182" s="538"/>
      <c r="BI182" s="372"/>
      <c r="BJ182" s="538"/>
      <c r="BK182" s="538"/>
      <c r="BL182" s="538"/>
      <c r="BM182" s="538"/>
      <c r="BN182" s="372"/>
      <c r="BO182" s="538"/>
      <c r="BP182" s="538"/>
      <c r="BQ182" s="538"/>
      <c r="BR182" s="538"/>
      <c r="BS182" s="372"/>
      <c r="BT182" s="538"/>
      <c r="BU182" s="538"/>
      <c r="BV182" s="538"/>
      <c r="BW182" s="538"/>
      <c r="BX182" s="372"/>
      <c r="BY182" s="540"/>
      <c r="BZ182" s="540"/>
      <c r="CA182" s="540"/>
      <c r="CB182" s="540">
        <f t="shared" ref="CB182:CH182" si="534">CB181*CB180</f>
        <v>501693.43092000001</v>
      </c>
      <c r="CC182" s="541">
        <f t="shared" si="534"/>
        <v>501693.43092000001</v>
      </c>
      <c r="CD182" s="540">
        <f t="shared" ca="1" si="534"/>
        <v>900065.70939999993</v>
      </c>
      <c r="CE182" s="540">
        <f t="shared" ca="1" si="534"/>
        <v>900065.70939999993</v>
      </c>
      <c r="CF182" s="540">
        <f t="shared" ca="1" si="534"/>
        <v>1813612.1094</v>
      </c>
      <c r="CG182" s="540">
        <f t="shared" ca="1" si="534"/>
        <v>1813612.1094</v>
      </c>
      <c r="CH182" s="541">
        <f t="shared" ca="1" si="534"/>
        <v>1813612.1094</v>
      </c>
      <c r="CI182" s="540">
        <f ca="1">CI181*CI180</f>
        <v>1813612.1094</v>
      </c>
      <c r="CJ182" s="540">
        <f ca="1">CJ181*CJ180</f>
        <v>1813612.1094</v>
      </c>
      <c r="CK182" s="540">
        <f ca="1">CK181*CK180</f>
        <v>1799563.9844</v>
      </c>
      <c r="CL182" s="540">
        <f t="shared" ref="CL182:DG182" ca="1" si="535">CL181*CL180</f>
        <v>1732652.6593999998</v>
      </c>
      <c r="CM182" s="541">
        <f t="shared" ca="1" si="535"/>
        <v>1732652.6593999998</v>
      </c>
      <c r="CN182" s="540">
        <f t="shared" ca="1" si="535"/>
        <v>1710232.2744</v>
      </c>
      <c r="CO182" s="540">
        <f t="shared" ca="1" si="535"/>
        <v>1651420.2744</v>
      </c>
      <c r="CP182" s="540">
        <f ca="1">CP181*CP180</f>
        <v>1651420.2744</v>
      </c>
      <c r="CQ182" s="540">
        <f t="shared" ca="1" si="535"/>
        <v>1651420.2744</v>
      </c>
      <c r="CR182" s="541">
        <f t="shared" ca="1" si="535"/>
        <v>1651420.2744</v>
      </c>
      <c r="CS182" s="540">
        <f t="shared" ca="1" si="535"/>
        <v>1651420.2744</v>
      </c>
      <c r="CT182" s="540">
        <f ca="1">CT181*CT180</f>
        <v>1651420.2744</v>
      </c>
      <c r="CU182" s="540">
        <f ca="1">CU181*CU180</f>
        <v>1651420.2744</v>
      </c>
      <c r="CV182" s="540">
        <f t="shared" ca="1" si="535"/>
        <v>1651420.2744</v>
      </c>
      <c r="CW182" s="541">
        <f t="shared" ca="1" si="535"/>
        <v>1651420.2744</v>
      </c>
      <c r="CX182" s="540">
        <f ca="1">CX181*CX180</f>
        <v>1651420.2744</v>
      </c>
      <c r="CY182" s="540">
        <f t="shared" ca="1" si="535"/>
        <v>1651420.2744</v>
      </c>
      <c r="CZ182" s="540">
        <f ca="1">CZ181*CZ180</f>
        <v>1651420.2744</v>
      </c>
      <c r="DA182" s="540">
        <f t="shared" ca="1" si="535"/>
        <v>1651420.2744</v>
      </c>
      <c r="DB182" s="541">
        <f t="shared" ca="1" si="535"/>
        <v>1651420.2744</v>
      </c>
      <c r="DC182" s="540">
        <f t="shared" ca="1" si="535"/>
        <v>1651420.2744</v>
      </c>
      <c r="DD182" s="540">
        <f t="shared" ca="1" si="535"/>
        <v>1651420.2744</v>
      </c>
      <c r="DE182" s="540">
        <f t="shared" ca="1" si="535"/>
        <v>1651420.2744</v>
      </c>
      <c r="DF182" s="540">
        <f t="shared" ca="1" si="535"/>
        <v>1651420.2744</v>
      </c>
      <c r="DG182" s="541">
        <f t="shared" ca="1" si="535"/>
        <v>1651420.2744</v>
      </c>
      <c r="DH182" s="540">
        <f ca="1">DH181*DH180</f>
        <v>1651420.2744</v>
      </c>
      <c r="DI182" s="540">
        <f ca="1">DI181*DI180</f>
        <v>1651420.2744</v>
      </c>
      <c r="DJ182" s="540">
        <f ca="1">DJ181*DJ180</f>
        <v>1651420.2744</v>
      </c>
      <c r="DK182" s="540">
        <f ca="1">DK181*DK180</f>
        <v>1651420.2744</v>
      </c>
      <c r="DL182" s="541">
        <f ca="1">DL181*DL180</f>
        <v>1651420.2744</v>
      </c>
      <c r="DM182" s="540">
        <f t="shared" ref="DM182:EF182" ca="1" si="536">DM181*DM180</f>
        <v>1651420.2744</v>
      </c>
      <c r="DN182" s="540">
        <f t="shared" ca="1" si="536"/>
        <v>1651420.2744</v>
      </c>
      <c r="DO182" s="540">
        <f t="shared" ca="1" si="536"/>
        <v>1651420.2744</v>
      </c>
      <c r="DP182" s="540">
        <f t="shared" ca="1" si="536"/>
        <v>1651420.2744</v>
      </c>
      <c r="DQ182" s="541">
        <f t="shared" ca="1" si="536"/>
        <v>1651420.2744</v>
      </c>
      <c r="DR182" s="540">
        <f t="shared" ca="1" si="536"/>
        <v>1651420.2744</v>
      </c>
      <c r="DS182" s="540">
        <f t="shared" ca="1" si="536"/>
        <v>1651420.2744</v>
      </c>
      <c r="DT182" s="540">
        <f t="shared" ca="1" si="536"/>
        <v>1651420.2744</v>
      </c>
      <c r="DU182" s="540">
        <f t="shared" ca="1" si="536"/>
        <v>1651420.2744</v>
      </c>
      <c r="DV182" s="541">
        <f t="shared" ca="1" si="536"/>
        <v>1651420.2744</v>
      </c>
      <c r="DW182" s="540">
        <f t="shared" ca="1" si="536"/>
        <v>1651420.2744</v>
      </c>
      <c r="DX182" s="540">
        <f t="shared" ca="1" si="536"/>
        <v>1651420.2744</v>
      </c>
      <c r="DY182" s="540">
        <f t="shared" ca="1" si="536"/>
        <v>1651420.2744</v>
      </c>
      <c r="DZ182" s="540">
        <f t="shared" ca="1" si="536"/>
        <v>1651420.2744</v>
      </c>
      <c r="EA182" s="541">
        <f t="shared" ca="1" si="536"/>
        <v>1651420.2744</v>
      </c>
      <c r="EB182" s="540">
        <f t="shared" ca="1" si="536"/>
        <v>1651420.2744</v>
      </c>
      <c r="EC182" s="540">
        <f t="shared" ca="1" si="536"/>
        <v>1651420.2744</v>
      </c>
      <c r="ED182" s="540">
        <f t="shared" ca="1" si="536"/>
        <v>1651420.2744</v>
      </c>
      <c r="EE182" s="540">
        <f t="shared" ca="1" si="536"/>
        <v>1651420.2744</v>
      </c>
      <c r="EF182" s="541">
        <f t="shared" ca="1" si="536"/>
        <v>1651420.2744</v>
      </c>
    </row>
    <row r="183" spans="1:136">
      <c r="A183" s="68" t="s">
        <v>988</v>
      </c>
      <c r="AW183" s="356"/>
      <c r="AX183" s="356"/>
      <c r="BY183" s="114"/>
      <c r="BZ183" s="114"/>
      <c r="CA183" s="114"/>
      <c r="CB183" s="114"/>
      <c r="CC183" s="130"/>
      <c r="CD183" s="114"/>
      <c r="CE183" s="114"/>
      <c r="CF183" s="114"/>
      <c r="CG183" s="114"/>
      <c r="CH183" s="130"/>
      <c r="CI183" s="114"/>
      <c r="CJ183" s="114"/>
      <c r="CK183" s="114"/>
      <c r="CL183" s="114"/>
      <c r="CM183" s="130"/>
      <c r="CN183" s="114"/>
      <c r="CO183" s="114"/>
      <c r="CP183" s="114"/>
      <c r="CQ183" s="114"/>
      <c r="CR183" s="130"/>
      <c r="CS183" s="114"/>
      <c r="CT183" s="114"/>
      <c r="CU183" s="114"/>
      <c r="CV183" s="114"/>
      <c r="CW183" s="130"/>
      <c r="CX183" s="114"/>
      <c r="CY183" s="114"/>
      <c r="CZ183" s="114"/>
      <c r="DA183" s="114"/>
      <c r="DB183" s="130"/>
      <c r="DC183" s="114"/>
      <c r="DD183" s="114"/>
      <c r="DE183" s="114"/>
      <c r="DF183" s="114"/>
      <c r="DG183" s="130"/>
      <c r="DH183" s="114"/>
      <c r="DI183" s="114"/>
      <c r="DJ183" s="114"/>
      <c r="DK183" s="114"/>
      <c r="DL183" s="130"/>
      <c r="DM183" s="114"/>
      <c r="DN183" s="114"/>
      <c r="DO183" s="114"/>
      <c r="DP183" s="114"/>
      <c r="DQ183" s="130"/>
      <c r="DR183" s="114"/>
      <c r="DS183" s="114"/>
      <c r="DT183" s="114"/>
      <c r="DU183" s="114"/>
      <c r="DV183" s="130"/>
      <c r="DW183" s="114"/>
      <c r="DX183" s="114"/>
      <c r="DY183" s="114"/>
      <c r="DZ183" s="114"/>
      <c r="EA183" s="130"/>
      <c r="EB183" s="114"/>
      <c r="EC183" s="114"/>
      <c r="ED183" s="114"/>
      <c r="EE183" s="114"/>
      <c r="EF183" s="130"/>
    </row>
    <row r="184" spans="1:136">
      <c r="A184" s="535" t="s">
        <v>984</v>
      </c>
      <c r="AX184" s="356"/>
      <c r="BY184" s="114"/>
      <c r="BZ184" s="114"/>
      <c r="CA184" s="114"/>
      <c r="CB184" s="169">
        <f>CB151-CB169*30.9676%-CB174*33.5047%-CB179*(23.02%+3.6%)</f>
        <v>4426322.1637030002</v>
      </c>
      <c r="CC184" s="130">
        <f t="shared" ref="CC184:DG184" si="537">CC151-CC169*30.9676%-CC174*33.5047%-CC179*(23.02%+3.6%)</f>
        <v>4426322.1637030002</v>
      </c>
      <c r="CD184" s="169">
        <f t="shared" si="537"/>
        <v>4450540.555071</v>
      </c>
      <c r="CE184" s="169">
        <f t="shared" si="537"/>
        <v>4509789.776215001</v>
      </c>
      <c r="CF184" s="169">
        <f t="shared" si="537"/>
        <v>5594072.8579369998</v>
      </c>
      <c r="CG184" s="169">
        <f t="shared" si="537"/>
        <v>4829254.335825</v>
      </c>
      <c r="CH184" s="130">
        <f t="shared" si="537"/>
        <v>4829254.335825</v>
      </c>
      <c r="CI184" s="169">
        <f t="shared" si="537"/>
        <v>4988056.8026970001</v>
      </c>
      <c r="CJ184" s="169">
        <f t="shared" si="537"/>
        <v>5219347.8176140003</v>
      </c>
      <c r="CK184" s="169">
        <f t="shared" si="537"/>
        <v>5392457.7948549995</v>
      </c>
      <c r="CL184" s="169">
        <f t="shared" si="537"/>
        <v>5420150.199275</v>
      </c>
      <c r="CM184" s="130">
        <f t="shared" si="537"/>
        <v>5420150.199275</v>
      </c>
      <c r="CN184" s="169">
        <f t="shared" si="537"/>
        <v>5542265.6391650001</v>
      </c>
      <c r="CO184" s="169">
        <f>CO151-CO169*30.9676%-CO174*33.5047%-CO179*(23.02%+3.6%)</f>
        <v>5607878.1770479996</v>
      </c>
      <c r="CP184" s="169">
        <f>CP151-CP169*30.9676%-CP174*33.5047%-CP179*(23.02%+3.6%)</f>
        <v>5080986.5210359991</v>
      </c>
      <c r="CQ184" s="169">
        <f t="shared" si="537"/>
        <v>6074357.1787559995</v>
      </c>
      <c r="CR184" s="130">
        <f t="shared" si="537"/>
        <v>6074357.1787559995</v>
      </c>
      <c r="CS184" s="169">
        <f t="shared" ref="CS184:CV184" si="538">CS151-CS169*20.262%-CS174*33.505%-CS179*(24.022%+3.752%)</f>
        <v>6201508.12818</v>
      </c>
      <c r="CT184" s="169">
        <f t="shared" si="538"/>
        <v>6431832.3762099994</v>
      </c>
      <c r="CU184" s="169">
        <f t="shared" si="538"/>
        <v>6655588.8171000006</v>
      </c>
      <c r="CV184" s="169">
        <f t="shared" si="538"/>
        <v>6579571.6128000002</v>
      </c>
      <c r="CW184" s="130">
        <f t="shared" si="537"/>
        <v>6504900.4055580003</v>
      </c>
      <c r="CX184" s="169">
        <f>CX151-CX169*20.262%-CX174*33.505%-CX179*(24.022%+3.752%)</f>
        <v>6558111.9680899996</v>
      </c>
      <c r="CY184" s="169">
        <f t="shared" si="537"/>
        <v>7227159.0479450002</v>
      </c>
      <c r="CZ184" s="169">
        <f t="shared" ref="CZ184" si="539">CZ151-CZ169*20.262%-CZ174*33.505%-CZ179*(24.022%+3.752%)</f>
        <v>7667284.1012599999</v>
      </c>
      <c r="DA184" s="169">
        <f t="shared" si="537"/>
        <v>7488887.5486790007</v>
      </c>
      <c r="DB184" s="130">
        <f t="shared" si="537"/>
        <v>7488887.5486790007</v>
      </c>
      <c r="DC184" s="169">
        <f t="shared" si="537"/>
        <v>7945475.8035359997</v>
      </c>
      <c r="DD184" s="169">
        <f t="shared" si="537"/>
        <v>8238990.5998649998</v>
      </c>
      <c r="DE184" s="169">
        <f t="shared" si="537"/>
        <v>8840040.3693999983</v>
      </c>
      <c r="DF184" s="169">
        <f t="shared" si="537"/>
        <v>8625274.8664570004</v>
      </c>
      <c r="DG184" s="130">
        <f t="shared" si="537"/>
        <v>8625274.8664570004</v>
      </c>
      <c r="DH184" s="169">
        <f>DH151-DH169*30.9676%-DH174*33.5047%-DH179*(23.02%+3.6%)</f>
        <v>9107542.4241129998</v>
      </c>
      <c r="DI184" s="169">
        <f>DI151-DI169*30.9676%-DI174*33.5047%-DI179*(23.02%+3.6%)</f>
        <v>9588332.9434038438</v>
      </c>
      <c r="DJ184" s="169">
        <f ca="1">DJ151-DJ169*30.9676%-DJ174*33.5047%-DJ179*(23.02%+3.6%)</f>
        <v>9995019.4811820239</v>
      </c>
      <c r="DK184" s="169">
        <f ca="1">DK151-DK169*30.9676%-DK174*33.5047%-DK179*(23.02%+3.6%)</f>
        <v>9987056.9820274003</v>
      </c>
      <c r="DL184" s="130">
        <f ca="1">DL151-DL169*30.9676%-DL174*33.5047%-DL179*(23.02%+3.6%)</f>
        <v>9987056.9820274003</v>
      </c>
      <c r="DM184" s="169">
        <f t="shared" ref="DM184:EF184" ca="1" si="540">DM151-DM169*30.9676%-DM174*33.5047%-DM179*(23.02%+3.6%)</f>
        <v>10679423.836346768</v>
      </c>
      <c r="DN184" s="169">
        <f t="shared" ca="1" si="540"/>
        <v>11056622.486894371</v>
      </c>
      <c r="DO184" s="169">
        <f t="shared" ca="1" si="540"/>
        <v>10445306.922439922</v>
      </c>
      <c r="DP184" s="169">
        <f t="shared" ca="1" si="540"/>
        <v>10855295.496111913</v>
      </c>
      <c r="DQ184" s="130">
        <f t="shared" ca="1" si="540"/>
        <v>10855295.496111913</v>
      </c>
      <c r="DR184" s="169">
        <f t="shared" ca="1" si="540"/>
        <v>9937950.4151894953</v>
      </c>
      <c r="DS184" s="169">
        <f t="shared" ca="1" si="540"/>
        <v>10258377.63957772</v>
      </c>
      <c r="DT184" s="169">
        <f t="shared" ca="1" si="540"/>
        <v>10562833.504253706</v>
      </c>
      <c r="DU184" s="169">
        <f t="shared" ca="1" si="540"/>
        <v>11066657.539331891</v>
      </c>
      <c r="DV184" s="130">
        <f t="shared" ca="1" si="540"/>
        <v>11066657.539331891</v>
      </c>
      <c r="DW184" s="169">
        <f t="shared" ca="1" si="540"/>
        <v>10233347.99854891</v>
      </c>
      <c r="DX184" s="169">
        <f t="shared" ca="1" si="540"/>
        <v>10561410.958739061</v>
      </c>
      <c r="DY184" s="169">
        <f t="shared" ca="1" si="540"/>
        <v>10867792.517961441</v>
      </c>
      <c r="DZ184" s="169">
        <f t="shared" ca="1" si="540"/>
        <v>11398923.918529721</v>
      </c>
      <c r="EA184" s="130">
        <f t="shared" ca="1" si="540"/>
        <v>11398923.918529721</v>
      </c>
      <c r="EB184" s="169">
        <f t="shared" ca="1" si="540"/>
        <v>10575840.330707654</v>
      </c>
      <c r="EC184" s="169">
        <f t="shared" ca="1" si="540"/>
        <v>10949890.456342421</v>
      </c>
      <c r="ED184" s="169">
        <f t="shared" ca="1" si="540"/>
        <v>11304401.553463606</v>
      </c>
      <c r="EE184" s="169">
        <f t="shared" ca="1" si="540"/>
        <v>11894172.014920423</v>
      </c>
      <c r="EF184" s="130">
        <f t="shared" ca="1" si="540"/>
        <v>11894172.014920423</v>
      </c>
    </row>
    <row r="185" spans="1:136">
      <c r="A185" s="535" t="s">
        <v>979</v>
      </c>
      <c r="AX185" s="356"/>
      <c r="BY185" s="114"/>
      <c r="BZ185" s="114"/>
      <c r="CA185" s="114"/>
      <c r="CB185" s="169">
        <f>'Income Statement'!CB78</f>
        <v>384427</v>
      </c>
      <c r="CC185" s="130">
        <f>'Income Statement'!CC78</f>
        <v>384427</v>
      </c>
      <c r="CD185" s="169">
        <f>'Income Statement'!CD78</f>
        <v>384427</v>
      </c>
      <c r="CE185" s="169">
        <f>'Income Statement'!CE78</f>
        <v>384427</v>
      </c>
      <c r="CF185" s="169">
        <f>'Income Statement'!CF78</f>
        <v>384504</v>
      </c>
      <c r="CG185" s="169">
        <f>'Income Statement'!CG78</f>
        <v>384504</v>
      </c>
      <c r="CH185" s="130">
        <f>'Income Statement'!CH78</f>
        <v>384504</v>
      </c>
      <c r="CI185" s="169">
        <f>'Income Statement'!CI78</f>
        <v>384504</v>
      </c>
      <c r="CJ185" s="169">
        <f>'Income Statement'!CJ78</f>
        <v>384504</v>
      </c>
      <c r="CK185" s="169">
        <f>'Income Statement'!CK78</f>
        <v>384504</v>
      </c>
      <c r="CL185" s="169">
        <f>'Income Statement'!CL78</f>
        <v>384504</v>
      </c>
      <c r="CM185" s="130">
        <f>'Income Statement'!CM78</f>
        <v>384504</v>
      </c>
      <c r="CN185" s="169">
        <f>'Income Statement'!CN78</f>
        <v>457304</v>
      </c>
      <c r="CO185" s="169">
        <f>'Income Statement'!CO78</f>
        <v>455625</v>
      </c>
      <c r="CP185" s="169">
        <f>'Income Statement'!CP78</f>
        <v>451771</v>
      </c>
      <c r="CQ185" s="169">
        <f>'Income Statement'!CQ78</f>
        <v>448531</v>
      </c>
      <c r="CR185" s="130">
        <f>'Income Statement'!CR78</f>
        <v>448531</v>
      </c>
      <c r="CS185" s="169">
        <f>'Income Statement'!CS78</f>
        <v>447721</v>
      </c>
      <c r="CT185" s="169">
        <f>'Income Statement'!CT78</f>
        <v>447721</v>
      </c>
      <c r="CU185" s="169">
        <f>'Income Statement'!CU78</f>
        <v>447721</v>
      </c>
      <c r="CV185" s="169">
        <f>'Income Statement'!CV78</f>
        <v>447721</v>
      </c>
      <c r="CW185" s="130">
        <f>'Income Statement'!CW78</f>
        <v>447721</v>
      </c>
      <c r="CX185" s="169">
        <f>'Income Statement'!CX78</f>
        <v>447721</v>
      </c>
      <c r="CY185" s="169">
        <f>'Income Statement'!CY78</f>
        <v>447721</v>
      </c>
      <c r="CZ185" s="169">
        <f>'Income Statement'!CZ78</f>
        <v>447721</v>
      </c>
      <c r="DA185" s="169">
        <f>'Income Statement'!DA78</f>
        <v>455075</v>
      </c>
      <c r="DB185" s="130">
        <f>'Income Statement'!DB78</f>
        <v>455075</v>
      </c>
      <c r="DC185" s="169">
        <f>'Income Statement'!DC78</f>
        <v>439111</v>
      </c>
      <c r="DD185" s="169">
        <f>'Income Statement'!DD78</f>
        <v>439111</v>
      </c>
      <c r="DE185" s="169">
        <f>'Income Statement'!DE78</f>
        <v>439111</v>
      </c>
      <c r="DF185" s="169">
        <f>'Income Statement'!DF78</f>
        <v>439111</v>
      </c>
      <c r="DG185" s="130">
        <f>'Income Statement'!DG78</f>
        <v>439111</v>
      </c>
      <c r="DH185" s="169">
        <f>'Income Statement'!DH78</f>
        <v>435757</v>
      </c>
      <c r="DI185" s="169">
        <f>'Income Statement'!DI78</f>
        <v>435757</v>
      </c>
      <c r="DJ185" s="169">
        <f>'Income Statement'!DJ78</f>
        <v>435757</v>
      </c>
      <c r="DK185" s="169">
        <f>'Income Statement'!DK78</f>
        <v>435757</v>
      </c>
      <c r="DL185" s="130">
        <f>'Income Statement'!DL78</f>
        <v>435757</v>
      </c>
      <c r="DM185" s="169">
        <f>'Income Statement'!DM78</f>
        <v>435757</v>
      </c>
      <c r="DN185" s="169">
        <f>'Income Statement'!DN78</f>
        <v>435757</v>
      </c>
      <c r="DO185" s="169">
        <f>'Income Statement'!DO78</f>
        <v>435757</v>
      </c>
      <c r="DP185" s="169">
        <f>'Income Statement'!DP78</f>
        <v>435757</v>
      </c>
      <c r="DQ185" s="130">
        <f>'Income Statement'!DQ78</f>
        <v>435757</v>
      </c>
      <c r="DR185" s="169">
        <f>'Income Statement'!DR78</f>
        <v>435757</v>
      </c>
      <c r="DS185" s="169">
        <f>'Income Statement'!DS78</f>
        <v>435757</v>
      </c>
      <c r="DT185" s="169">
        <f>'Income Statement'!DT78</f>
        <v>435757</v>
      </c>
      <c r="DU185" s="169">
        <f>'Income Statement'!DU78</f>
        <v>435757</v>
      </c>
      <c r="DV185" s="130">
        <f>'Income Statement'!DV78</f>
        <v>435757</v>
      </c>
      <c r="DW185" s="169">
        <f>'Income Statement'!DW78</f>
        <v>435757</v>
      </c>
      <c r="DX185" s="169">
        <f>'Income Statement'!DX78</f>
        <v>435757</v>
      </c>
      <c r="DY185" s="169">
        <f>'Income Statement'!DY78</f>
        <v>435757</v>
      </c>
      <c r="DZ185" s="169">
        <f>'Income Statement'!DZ78</f>
        <v>435757</v>
      </c>
      <c r="EA185" s="130">
        <f>'Income Statement'!EA78</f>
        <v>435757</v>
      </c>
      <c r="EB185" s="169">
        <f>'Income Statement'!EB78</f>
        <v>435757</v>
      </c>
      <c r="EC185" s="169">
        <f>'Income Statement'!EC78</f>
        <v>435757</v>
      </c>
      <c r="ED185" s="169">
        <f>'Income Statement'!ED78</f>
        <v>435757</v>
      </c>
      <c r="EE185" s="169">
        <f>'Income Statement'!EE78</f>
        <v>435757</v>
      </c>
      <c r="EF185" s="130">
        <f>'Income Statement'!EF78</f>
        <v>435757</v>
      </c>
    </row>
    <row r="186" spans="1:136">
      <c r="A186" s="535" t="s">
        <v>980</v>
      </c>
      <c r="AW186" s="356"/>
      <c r="AX186" s="356"/>
      <c r="BY186" s="114"/>
      <c r="BZ186" s="114"/>
      <c r="CA186" s="114"/>
      <c r="CB186" s="536">
        <v>14.05</v>
      </c>
      <c r="CC186" s="542">
        <f>CB186</f>
        <v>14.05</v>
      </c>
      <c r="CD186" s="513">
        <f ca="1">CE186</f>
        <v>19</v>
      </c>
      <c r="CE186" s="513">
        <f ca="1">CF186</f>
        <v>19</v>
      </c>
      <c r="CF186" s="513">
        <f ca="1">CG186</f>
        <v>19</v>
      </c>
      <c r="CG186" s="513">
        <f ca="1">CI186</f>
        <v>19</v>
      </c>
      <c r="CH186" s="542">
        <f ca="1">CG186</f>
        <v>19</v>
      </c>
      <c r="CI186" s="513">
        <f ca="1">CJ186</f>
        <v>19</v>
      </c>
      <c r="CJ186" s="513">
        <f ca="1">CK186</f>
        <v>19</v>
      </c>
      <c r="CK186" s="513">
        <f ca="1">CL186</f>
        <v>19</v>
      </c>
      <c r="CL186" s="513">
        <f ca="1">CN186</f>
        <v>19</v>
      </c>
      <c r="CM186" s="542">
        <f ca="1">CL186</f>
        <v>19</v>
      </c>
      <c r="CN186" s="513">
        <f ca="1">CO186</f>
        <v>19</v>
      </c>
      <c r="CO186" s="513">
        <f ca="1">CP186</f>
        <v>19</v>
      </c>
      <c r="CP186" s="513">
        <f ca="1">CQ186</f>
        <v>19</v>
      </c>
      <c r="CQ186" s="513">
        <f ca="1">CS186</f>
        <v>19</v>
      </c>
      <c r="CR186" s="542">
        <f ca="1">CQ186</f>
        <v>19</v>
      </c>
      <c r="CS186" s="513">
        <f t="shared" ref="CS186:CZ186" ca="1" si="541">CT186</f>
        <v>19</v>
      </c>
      <c r="CT186" s="513">
        <f t="shared" ca="1" si="541"/>
        <v>19</v>
      </c>
      <c r="CU186" s="513">
        <f t="shared" ca="1" si="541"/>
        <v>19</v>
      </c>
      <c r="CV186" s="513">
        <f t="shared" ca="1" si="541"/>
        <v>19</v>
      </c>
      <c r="CW186" s="542">
        <f t="shared" ca="1" si="541"/>
        <v>19</v>
      </c>
      <c r="CX186" s="513">
        <f ca="1">CY186</f>
        <v>19</v>
      </c>
      <c r="CY186" s="513">
        <f ca="1">CX186</f>
        <v>19</v>
      </c>
      <c r="CZ186" s="513">
        <f t="shared" ca="1" si="541"/>
        <v>19</v>
      </c>
      <c r="DA186" s="513">
        <f t="shared" ref="DA186:DG186" ca="1" si="542">CZ186</f>
        <v>19</v>
      </c>
      <c r="DB186" s="542">
        <f t="shared" ca="1" si="542"/>
        <v>19</v>
      </c>
      <c r="DC186" s="513">
        <f ca="1">DA186</f>
        <v>19</v>
      </c>
      <c r="DD186" s="513">
        <f ca="1">DC186</f>
        <v>19</v>
      </c>
      <c r="DE186" s="513">
        <f t="shared" ca="1" si="542"/>
        <v>19</v>
      </c>
      <c r="DF186" s="513">
        <f t="shared" ca="1" si="542"/>
        <v>19</v>
      </c>
      <c r="DG186" s="542">
        <f t="shared" ca="1" si="542"/>
        <v>19</v>
      </c>
      <c r="DH186" s="513">
        <f ca="1">DF186</f>
        <v>19</v>
      </c>
      <c r="DI186" s="513">
        <f ca="1">DH186</f>
        <v>19</v>
      </c>
      <c r="DJ186" s="513">
        <f ca="1">DI186</f>
        <v>19</v>
      </c>
      <c r="DK186" s="513">
        <f ca="1">DJ186</f>
        <v>19</v>
      </c>
      <c r="DL186" s="542">
        <f ca="1">DK186</f>
        <v>19</v>
      </c>
      <c r="DM186" s="513">
        <f ca="1">DK186</f>
        <v>19</v>
      </c>
      <c r="DN186" s="513">
        <f ca="1">DM186</f>
        <v>19</v>
      </c>
      <c r="DO186" s="513">
        <f ca="1">DN186</f>
        <v>19</v>
      </c>
      <c r="DP186" s="513">
        <f ca="1">DO186</f>
        <v>19</v>
      </c>
      <c r="DQ186" s="542">
        <f ca="1">DP186</f>
        <v>19</v>
      </c>
      <c r="DR186" s="513">
        <f ca="1">DP186</f>
        <v>19</v>
      </c>
      <c r="DS186" s="513">
        <f ca="1">DR186</f>
        <v>19</v>
      </c>
      <c r="DT186" s="513">
        <f ca="1">DS186</f>
        <v>19</v>
      </c>
      <c r="DU186" s="513">
        <f ca="1">DT186</f>
        <v>19</v>
      </c>
      <c r="DV186" s="542">
        <f ca="1">DU186</f>
        <v>19</v>
      </c>
      <c r="DW186" s="513">
        <f ca="1">DU186</f>
        <v>19</v>
      </c>
      <c r="DX186" s="513">
        <f ca="1">DW186</f>
        <v>19</v>
      </c>
      <c r="DY186" s="513">
        <f ca="1">DX186</f>
        <v>19</v>
      </c>
      <c r="DZ186" s="513">
        <f ca="1">DY186</f>
        <v>19</v>
      </c>
      <c r="EA186" s="542">
        <f ca="1">DZ186</f>
        <v>19</v>
      </c>
      <c r="EB186" s="513">
        <f ca="1">DZ186</f>
        <v>19</v>
      </c>
      <c r="EC186" s="513">
        <f ca="1">EB186</f>
        <v>19</v>
      </c>
      <c r="ED186" s="513">
        <f ca="1">EC186</f>
        <v>19</v>
      </c>
      <c r="EE186" s="513">
        <f ca="1">ED186</f>
        <v>19</v>
      </c>
      <c r="EF186" s="542">
        <f ca="1">EE186</f>
        <v>19</v>
      </c>
    </row>
    <row r="187" spans="1:136">
      <c r="A187" s="535" t="s">
        <v>983</v>
      </c>
      <c r="AW187" s="356"/>
      <c r="AX187" s="356"/>
      <c r="BY187" s="114"/>
      <c r="BZ187" s="114"/>
      <c r="CA187" s="114"/>
      <c r="CB187" s="114">
        <f>CB186*CB185-CB172*30.9676%-CB177*33.5047%-CB182*(23.02%+3.6%)</f>
        <v>4492407.566991224</v>
      </c>
      <c r="CC187" s="130">
        <f t="shared" ref="CC187:DG187" si="543">CC186*CC185-CC172*30.9676%-CC177*33.5047%-CC182*(23.02%+3.6%)</f>
        <v>4492407.566991224</v>
      </c>
      <c r="CD187" s="114">
        <f t="shared" ca="1" si="543"/>
        <v>4616771.1379282027</v>
      </c>
      <c r="CE187" s="114">
        <f t="shared" ca="1" si="543"/>
        <v>4616771.1379282027</v>
      </c>
      <c r="CF187" s="114">
        <f t="shared" ca="1" si="543"/>
        <v>4244088.5025648326</v>
      </c>
      <c r="CG187" s="114">
        <f t="shared" ca="1" si="543"/>
        <v>4244088.5025648326</v>
      </c>
      <c r="CH187" s="130">
        <f t="shared" ca="1" si="543"/>
        <v>4244088.5025648326</v>
      </c>
      <c r="CI187" s="114">
        <f t="shared" ca="1" si="543"/>
        <v>4244088.5025648326</v>
      </c>
      <c r="CJ187" s="114">
        <f t="shared" ca="1" si="543"/>
        <v>4244088.5025648326</v>
      </c>
      <c r="CK187" s="114">
        <f t="shared" ca="1" si="543"/>
        <v>4247833.4649512358</v>
      </c>
      <c r="CL187" s="114">
        <f t="shared" ca="1" si="543"/>
        <v>4274568.8295301283</v>
      </c>
      <c r="CM187" s="130">
        <f t="shared" ca="1" si="543"/>
        <v>4274568.8295301283</v>
      </c>
      <c r="CN187" s="114">
        <f t="shared" ca="1" si="543"/>
        <v>5671455.0248368327</v>
      </c>
      <c r="CO187" s="114">
        <f ca="1">CO186*CO185-CO172*30.9676%-CO177*33.5047%-CO182*(23.02%+3.6%)</f>
        <v>5672296.6451961212</v>
      </c>
      <c r="CP187" s="114">
        <f ca="1">CP186*CP185-CP172*30.9676%-CP177*33.5047%-CP182*(23.02%+3.6%)</f>
        <v>5599070.6451961212</v>
      </c>
      <c r="CQ187" s="114">
        <f t="shared" ca="1" si="543"/>
        <v>5537510.6451961212</v>
      </c>
      <c r="CR187" s="130">
        <f t="shared" ca="1" si="543"/>
        <v>5537510.6451961212</v>
      </c>
      <c r="CS187" s="169">
        <f t="shared" ref="CS187:CV187" ca="1" si="544">CS186*CS185-CS172*20.262%-CS177*33.505%-CS182*(24.022%+3.752%)</f>
        <v>6142664.7306038626</v>
      </c>
      <c r="CT187" s="169">
        <f ca="1">CT186*CT185-CT172*20.262%-CT177*33.505%-CT182*(24.022%+3.752%)</f>
        <v>6142664.7306038626</v>
      </c>
      <c r="CU187" s="169">
        <f t="shared" ca="1" si="544"/>
        <v>6142664.7306038626</v>
      </c>
      <c r="CV187" s="169">
        <f t="shared" ca="1" si="544"/>
        <v>6142664.7306038626</v>
      </c>
      <c r="CW187" s="130">
        <f t="shared" ca="1" si="543"/>
        <v>5522120.6451961212</v>
      </c>
      <c r="CX187" s="169">
        <f ca="1">CX186*CX185-CX172*20.262%-CX177*33.505%-CX182*(24.022%+3.752%)</f>
        <v>6142664.7306038626</v>
      </c>
      <c r="CY187" s="114">
        <f ca="1">CY186*CY185-CY172*30.9676%-CY177*33.5047%-CY182*(23.02%+3.6%)</f>
        <v>5522120.6451961212</v>
      </c>
      <c r="CZ187" s="169">
        <f t="shared" ref="CZ187" ca="1" si="545">CZ186*CZ185-CZ172*20.262%-CZ177*33.505%-CZ182*(24.022%+3.752%)</f>
        <v>6141573.0405393634</v>
      </c>
      <c r="DA187" s="114">
        <f t="shared" ca="1" si="543"/>
        <v>5659924.3766925512</v>
      </c>
      <c r="DB187" s="130">
        <f t="shared" ca="1" si="543"/>
        <v>5659924.3766925512</v>
      </c>
      <c r="DC187" s="114">
        <f t="shared" ca="1" si="543"/>
        <v>5354980.4938850608</v>
      </c>
      <c r="DD187" s="114">
        <f ca="1">DD186*DD185-DD172*18.53%-DD177*33.5047%-DD182*(24.52%+1.954%)</f>
        <v>6080115.4890013961</v>
      </c>
      <c r="DE187" s="114">
        <f t="shared" ca="1" si="543"/>
        <v>5329514.9203725094</v>
      </c>
      <c r="DF187" s="114">
        <f t="shared" ca="1" si="543"/>
        <v>5226295.1564608747</v>
      </c>
      <c r="DG187" s="130">
        <f t="shared" ca="1" si="543"/>
        <v>5226295.1564608747</v>
      </c>
      <c r="DH187" s="114">
        <f ca="1">DH186*DH185-DH172*30.9676%-DH177*33.5047%-DH182*(23.02%+3.6%)</f>
        <v>5162569.1564608747</v>
      </c>
      <c r="DI187" s="114">
        <f ca="1">DI186*DI185-DI172*30.9676%-DI177*33.5047%-DI182*(23.02%+3.6%)</f>
        <v>5162569.1564608747</v>
      </c>
      <c r="DJ187" s="114">
        <f ca="1">DJ186*DJ185-DJ172*30.9676%-DJ177*33.5047%-DJ182*(23.02%+3.6%)</f>
        <v>5162569.1564608747</v>
      </c>
      <c r="DK187" s="114">
        <f ca="1">DK186*DK185-DK172*30.9676%-DK177*33.5047%-DK182*(23.02%+3.6%)</f>
        <v>5162569.1564608747</v>
      </c>
      <c r="DL187" s="130">
        <f ca="1">DL186*DL185-DL172*30.9676%-DL177*33.5047%-DL182*(23.02%+3.6%)</f>
        <v>5162569.1564608747</v>
      </c>
      <c r="DM187" s="114">
        <f t="shared" ref="DM187:EF187" ca="1" si="546">DM186*DM185-DM172*30.9676%-DM177*33.5047%-DM182*(23.02%+3.6%)</f>
        <v>5162569.1564608747</v>
      </c>
      <c r="DN187" s="114">
        <f t="shared" ca="1" si="546"/>
        <v>5162569.1564608747</v>
      </c>
      <c r="DO187" s="114">
        <f t="shared" ca="1" si="546"/>
        <v>5162569.1564608747</v>
      </c>
      <c r="DP187" s="114">
        <f t="shared" ca="1" si="546"/>
        <v>5162569.1564608747</v>
      </c>
      <c r="DQ187" s="130">
        <f t="shared" ca="1" si="546"/>
        <v>5162569.1564608747</v>
      </c>
      <c r="DR187" s="114">
        <f t="shared" ca="1" si="546"/>
        <v>5162569.1564608747</v>
      </c>
      <c r="DS187" s="114">
        <f t="shared" ca="1" si="546"/>
        <v>5162569.1564608747</v>
      </c>
      <c r="DT187" s="114">
        <f t="shared" ca="1" si="546"/>
        <v>5162569.1564608747</v>
      </c>
      <c r="DU187" s="114">
        <f t="shared" ca="1" si="546"/>
        <v>5162569.1564608747</v>
      </c>
      <c r="DV187" s="130">
        <f t="shared" ca="1" si="546"/>
        <v>5162569.1564608747</v>
      </c>
      <c r="DW187" s="114">
        <f t="shared" ca="1" si="546"/>
        <v>5162569.1564608747</v>
      </c>
      <c r="DX187" s="114">
        <f t="shared" ca="1" si="546"/>
        <v>5162569.1564608747</v>
      </c>
      <c r="DY187" s="114">
        <f t="shared" ca="1" si="546"/>
        <v>5162569.1564608747</v>
      </c>
      <c r="DZ187" s="114">
        <f t="shared" ca="1" si="546"/>
        <v>5162569.1564608747</v>
      </c>
      <c r="EA187" s="130">
        <f t="shared" ca="1" si="546"/>
        <v>5162569.1564608747</v>
      </c>
      <c r="EB187" s="114">
        <f t="shared" ca="1" si="546"/>
        <v>5162569.1564608747</v>
      </c>
      <c r="EC187" s="114">
        <f t="shared" ca="1" si="546"/>
        <v>5162569.1564608747</v>
      </c>
      <c r="ED187" s="114">
        <f t="shared" ca="1" si="546"/>
        <v>5162569.1564608747</v>
      </c>
      <c r="EE187" s="114">
        <f t="shared" ca="1" si="546"/>
        <v>5162569.1564608747</v>
      </c>
      <c r="EF187" s="130">
        <f t="shared" ca="1" si="546"/>
        <v>5162569.1564608747</v>
      </c>
    </row>
    <row r="188" spans="1:136">
      <c r="A188" s="543" t="s">
        <v>982</v>
      </c>
      <c r="AW188" s="356"/>
      <c r="AX188" s="356"/>
      <c r="BY188" s="114"/>
      <c r="BZ188" s="114"/>
      <c r="CA188" s="114"/>
      <c r="CB188" s="544">
        <f t="shared" ref="CB188:CK188" si="547">CB187/CB184</f>
        <v>1.0149300933922392</v>
      </c>
      <c r="CC188" s="545">
        <f t="shared" si="547"/>
        <v>1.0149300933922392</v>
      </c>
      <c r="CD188" s="544">
        <f t="shared" ca="1" si="547"/>
        <v>1.0373506500615521</v>
      </c>
      <c r="CE188" s="544">
        <f t="shared" ca="1" si="547"/>
        <v>1.0237220285250168</v>
      </c>
      <c r="CF188" s="544">
        <f t="shared" ca="1" si="547"/>
        <v>0.75867594333227562</v>
      </c>
      <c r="CG188" s="544">
        <f t="shared" ca="1" si="547"/>
        <v>0.87882894696201552</v>
      </c>
      <c r="CH188" s="545">
        <f t="shared" ca="1" si="547"/>
        <v>0.87882894696201552</v>
      </c>
      <c r="CI188" s="544">
        <f t="shared" ca="1" si="547"/>
        <v>0.85085007457615358</v>
      </c>
      <c r="CJ188" s="544">
        <f t="shared" ca="1" si="547"/>
        <v>0.81314536813241112</v>
      </c>
      <c r="CK188" s="544">
        <f t="shared" ca="1" si="547"/>
        <v>0.78773606146795216</v>
      </c>
      <c r="CL188" s="544">
        <f t="shared" ref="CL188:DG188" ca="1" si="548">CL187/CL184</f>
        <v>0.78864398077047659</v>
      </c>
      <c r="CM188" s="545">
        <f t="shared" ca="1" si="548"/>
        <v>0.78864398077047659</v>
      </c>
      <c r="CN188" s="544">
        <f t="shared" ca="1" si="548"/>
        <v>1.0233098508954357</v>
      </c>
      <c r="CO188" s="544">
        <f t="shared" ca="1" si="548"/>
        <v>1.0114871375793744</v>
      </c>
      <c r="CP188" s="544">
        <f ca="1">CP187/CP184</f>
        <v>1.1019652624574343</v>
      </c>
      <c r="CQ188" s="544">
        <f t="shared" ca="1" si="548"/>
        <v>0.91162084846814651</v>
      </c>
      <c r="CR188" s="545">
        <f t="shared" ca="1" si="548"/>
        <v>0.91162084846814651</v>
      </c>
      <c r="CS188" s="544">
        <f t="shared" ca="1" si="548"/>
        <v>0.99051143748264237</v>
      </c>
      <c r="CT188" s="544">
        <f ca="1">CT187/CT184</f>
        <v>0.9550411719876738</v>
      </c>
      <c r="CU188" s="544">
        <f ca="1">CU187/CU184</f>
        <v>0.92293332707418796</v>
      </c>
      <c r="CV188" s="544">
        <f t="shared" ca="1" si="548"/>
        <v>0.93359645461625917</v>
      </c>
      <c r="CW188" s="545">
        <f t="shared" ca="1" si="548"/>
        <v>0.84891701654307272</v>
      </c>
      <c r="CX188" s="544">
        <f ca="1">CX187/CX184</f>
        <v>0.93665139608661896</v>
      </c>
      <c r="CY188" s="544">
        <f t="shared" ca="1" si="548"/>
        <v>0.76407902587480814</v>
      </c>
      <c r="CZ188" s="544">
        <f ca="1">CZ187/CZ184</f>
        <v>0.80101023510138236</v>
      </c>
      <c r="DA188" s="544">
        <f t="shared" ca="1" si="548"/>
        <v>0.75577638733418173</v>
      </c>
      <c r="DB188" s="545">
        <f t="shared" ca="1" si="548"/>
        <v>0.75577638733418173</v>
      </c>
      <c r="DC188" s="544">
        <f t="shared" ca="1" si="548"/>
        <v>0.67396599351569575</v>
      </c>
      <c r="DD188" s="544">
        <f t="shared" ca="1" si="548"/>
        <v>0.73796849447807622</v>
      </c>
      <c r="DE188" s="544">
        <f t="shared" ca="1" si="548"/>
        <v>0.6028835500368015</v>
      </c>
      <c r="DF188" s="544">
        <f t="shared" ca="1" si="548"/>
        <v>0.6059279544569085</v>
      </c>
      <c r="DG188" s="545">
        <f t="shared" ca="1" si="548"/>
        <v>0.6059279544569085</v>
      </c>
      <c r="DH188" s="544">
        <f ca="1">DH187/DH184</f>
        <v>0.56684546895906074</v>
      </c>
      <c r="DI188" s="544">
        <f ca="1">DI187/DI184</f>
        <v>0.53842197459490493</v>
      </c>
      <c r="DJ188" s="544">
        <f ca="1">DJ187/DJ184</f>
        <v>0.51651416649868731</v>
      </c>
      <c r="DK188" s="544">
        <f ca="1">DK187/DK184</f>
        <v>0.5169259738631089</v>
      </c>
      <c r="DL188" s="545">
        <f ca="1">DL187/DL184</f>
        <v>0.5169259738631089</v>
      </c>
      <c r="DM188" s="544">
        <f t="shared" ref="DM188:EF188" ca="1" si="549">DM187/DM184</f>
        <v>0.48341270424068999</v>
      </c>
      <c r="DN188" s="544">
        <f t="shared" ca="1" si="549"/>
        <v>0.46692099351137006</v>
      </c>
      <c r="DO188" s="544">
        <f t="shared" ca="1" si="549"/>
        <v>0.4942477224264224</v>
      </c>
      <c r="DP188" s="544">
        <f t="shared" ca="1" si="549"/>
        <v>0.47558071158081089</v>
      </c>
      <c r="DQ188" s="545">
        <f t="shared" ca="1" si="549"/>
        <v>0.47558071158081089</v>
      </c>
      <c r="DR188" s="544">
        <f t="shared" ca="1" si="549"/>
        <v>0.51948026914787493</v>
      </c>
      <c r="DS188" s="544">
        <f t="shared" ca="1" si="549"/>
        <v>0.50325395865163225</v>
      </c>
      <c r="DT188" s="544">
        <f t="shared" ca="1" si="549"/>
        <v>0.48874851188195689</v>
      </c>
      <c r="DU188" s="544">
        <f t="shared" ca="1" si="549"/>
        <v>0.46649759768138144</v>
      </c>
      <c r="DV188" s="545">
        <f t="shared" ca="1" si="549"/>
        <v>0.46649759768138144</v>
      </c>
      <c r="DW188" s="544">
        <f t="shared" ca="1" si="549"/>
        <v>0.50448486235325207</v>
      </c>
      <c r="DX188" s="544">
        <f t="shared" ca="1" si="549"/>
        <v>0.48881434276441033</v>
      </c>
      <c r="DY188" s="544">
        <f t="shared" ca="1" si="549"/>
        <v>0.47503383487755979</v>
      </c>
      <c r="DZ188" s="544">
        <f t="shared" ca="1" si="549"/>
        <v>0.45289969416049614</v>
      </c>
      <c r="EA188" s="545">
        <f t="shared" ca="1" si="549"/>
        <v>0.45289969416049614</v>
      </c>
      <c r="EB188" s="544">
        <f t="shared" ca="1" si="549"/>
        <v>0.48814741855273786</v>
      </c>
      <c r="EC188" s="544">
        <f t="shared" ca="1" si="549"/>
        <v>0.47147221947509066</v>
      </c>
      <c r="ED188" s="544">
        <f t="shared" ca="1" si="549"/>
        <v>0.45668663945143489</v>
      </c>
      <c r="EE188" s="544">
        <f t="shared" ca="1" si="549"/>
        <v>0.4340419114491354</v>
      </c>
      <c r="EF188" s="545">
        <f t="shared" ca="1" si="549"/>
        <v>0.4340419114491354</v>
      </c>
    </row>
    <row r="189" spans="1:136">
      <c r="A189" s="535"/>
      <c r="AW189" s="356"/>
      <c r="AX189" s="356"/>
      <c r="BY189" s="114"/>
      <c r="BZ189" s="114"/>
      <c r="CA189" s="114"/>
      <c r="CB189" s="114"/>
      <c r="CC189" s="130"/>
      <c r="CD189" s="114"/>
      <c r="CE189" s="114"/>
      <c r="CF189" s="114"/>
      <c r="CG189" s="114"/>
      <c r="CH189" s="130"/>
      <c r="CI189" s="114"/>
      <c r="CJ189" s="114"/>
      <c r="CK189" s="114"/>
      <c r="CL189" s="114"/>
      <c r="CM189" s="130"/>
      <c r="CN189" s="114"/>
      <c r="CO189" s="114"/>
      <c r="CP189" s="114"/>
      <c r="CQ189" s="114"/>
      <c r="CR189" s="130"/>
      <c r="CS189" s="114"/>
      <c r="CT189" s="114"/>
      <c r="CU189" s="114"/>
      <c r="CV189" s="114"/>
      <c r="CW189" s="130"/>
      <c r="CX189" s="114"/>
      <c r="CY189" s="114"/>
      <c r="CZ189" s="114"/>
      <c r="DA189" s="114"/>
      <c r="DB189" s="130"/>
      <c r="DC189" s="114"/>
      <c r="DD189" s="114"/>
      <c r="DE189" s="114"/>
      <c r="DF189" s="114"/>
      <c r="DG189" s="130"/>
      <c r="DH189" s="114"/>
      <c r="DI189" s="114"/>
      <c r="DJ189" s="114"/>
      <c r="DK189" s="114"/>
      <c r="DL189" s="130"/>
      <c r="DM189" s="114"/>
      <c r="DN189" s="114"/>
      <c r="DO189" s="114"/>
      <c r="DP189" s="114"/>
      <c r="DQ189" s="130"/>
      <c r="DR189" s="114"/>
      <c r="DS189" s="114"/>
      <c r="DT189" s="114"/>
      <c r="DU189" s="114"/>
      <c r="DV189" s="130"/>
      <c r="DW189" s="114"/>
      <c r="DX189" s="114"/>
      <c r="DY189" s="114"/>
      <c r="DZ189" s="114"/>
      <c r="EA189" s="130"/>
      <c r="EB189" s="114"/>
      <c r="EC189" s="114"/>
      <c r="ED189" s="114"/>
      <c r="EE189" s="114"/>
      <c r="EF189" s="130"/>
    </row>
    <row r="190" spans="1:136">
      <c r="A190" s="535"/>
      <c r="AW190" s="356"/>
      <c r="AX190" s="356"/>
      <c r="BY190" s="114"/>
      <c r="BZ190" s="114"/>
      <c r="CA190" s="114"/>
      <c r="CB190" s="114"/>
      <c r="CC190" s="130"/>
      <c r="CD190" s="114"/>
      <c r="CE190" s="114"/>
      <c r="CF190" s="114"/>
      <c r="CG190" s="114"/>
      <c r="CH190" s="130"/>
      <c r="CI190" s="114"/>
      <c r="CJ190" s="114"/>
      <c r="CK190" s="546"/>
      <c r="CL190" s="114"/>
      <c r="CM190" s="130"/>
      <c r="CN190" s="114"/>
      <c r="CO190" s="114"/>
      <c r="CP190" s="114"/>
      <c r="CQ190" s="114"/>
      <c r="CR190" s="130"/>
      <c r="CS190" s="114"/>
      <c r="CT190" s="114"/>
      <c r="CU190" s="114"/>
      <c r="CV190" s="114"/>
      <c r="CW190" s="130"/>
      <c r="CX190" s="114"/>
      <c r="CY190" s="114"/>
      <c r="CZ190" s="114"/>
      <c r="DA190" s="114"/>
      <c r="DB190" s="130"/>
      <c r="DC190" s="114"/>
      <c r="DD190" s="114"/>
      <c r="DE190" s="114"/>
      <c r="DF190" s="114"/>
      <c r="DG190" s="130"/>
      <c r="DH190" s="114"/>
      <c r="DI190" s="114"/>
      <c r="DJ190" s="114"/>
      <c r="DK190" s="114"/>
      <c r="DL190" s="130"/>
      <c r="DM190" s="114"/>
      <c r="DN190" s="114"/>
      <c r="DO190" s="114"/>
      <c r="DP190" s="114"/>
      <c r="DQ190" s="130"/>
      <c r="DR190" s="114"/>
      <c r="DS190" s="114"/>
      <c r="DT190" s="114"/>
      <c r="DU190" s="114"/>
      <c r="DV190" s="130"/>
      <c r="DW190" s="114"/>
      <c r="DX190" s="114"/>
      <c r="DY190" s="114"/>
      <c r="DZ190" s="114"/>
      <c r="EA190" s="130"/>
      <c r="EB190" s="114"/>
      <c r="EC190" s="114"/>
      <c r="ED190" s="114"/>
      <c r="EE190" s="114"/>
      <c r="EF190" s="130"/>
    </row>
    <row r="191" spans="1:136">
      <c r="A191" s="535" t="s">
        <v>989</v>
      </c>
      <c r="AW191" s="356"/>
      <c r="AX191" s="356"/>
      <c r="BI191" s="130">
        <f>BI8</f>
        <v>3846292</v>
      </c>
      <c r="BN191" s="130">
        <f>BN8</f>
        <v>3379792</v>
      </c>
      <c r="BS191" s="130">
        <f>BS8</f>
        <v>2667234</v>
      </c>
      <c r="BX191" s="130">
        <f>BX8</f>
        <v>1948816</v>
      </c>
      <c r="BY191" s="114"/>
      <c r="BZ191" s="114"/>
      <c r="CA191" s="114"/>
      <c r="CB191" s="114"/>
      <c r="CC191" s="130">
        <f>CC8</f>
        <v>2069474</v>
      </c>
      <c r="CD191" s="114"/>
      <c r="CE191" s="114"/>
      <c r="CF191" s="114"/>
      <c r="CG191" s="114"/>
      <c r="CH191" s="130">
        <f>CH8</f>
        <v>2063554</v>
      </c>
      <c r="CI191" s="114"/>
      <c r="CJ191" s="114"/>
      <c r="CK191" s="114"/>
      <c r="CL191" s="114"/>
      <c r="CM191" s="130">
        <f>CM8</f>
        <v>2333644</v>
      </c>
      <c r="CN191" s="114"/>
      <c r="CO191" s="114"/>
      <c r="CP191" s="114"/>
      <c r="CQ191" s="114"/>
      <c r="CR191" s="130">
        <f>CR8</f>
        <v>2709008</v>
      </c>
      <c r="CS191" s="114"/>
      <c r="CT191" s="114"/>
      <c r="CU191" s="114"/>
      <c r="CV191" s="114"/>
      <c r="CW191" s="130"/>
      <c r="CX191" s="114"/>
      <c r="CY191" s="114"/>
      <c r="CZ191" s="114"/>
      <c r="DA191" s="114"/>
      <c r="DB191" s="130"/>
      <c r="DC191" s="114"/>
      <c r="DD191" s="114"/>
      <c r="DE191" s="114"/>
      <c r="DF191" s="114"/>
      <c r="DG191" s="130"/>
      <c r="DH191" s="114"/>
      <c r="DI191" s="114"/>
      <c r="DJ191" s="114"/>
      <c r="DK191" s="114"/>
      <c r="DL191" s="130"/>
      <c r="DM191" s="114"/>
      <c r="DN191" s="114"/>
      <c r="DO191" s="114"/>
      <c r="DP191" s="114"/>
      <c r="DQ191" s="130"/>
      <c r="DR191" s="114"/>
      <c r="DS191" s="114"/>
      <c r="DT191" s="114"/>
      <c r="DU191" s="114"/>
      <c r="DV191" s="130"/>
      <c r="DW191" s="114"/>
      <c r="DX191" s="114"/>
      <c r="DY191" s="114"/>
      <c r="DZ191" s="114"/>
      <c r="EA191" s="130"/>
      <c r="EB191" s="114"/>
      <c r="EC191" s="114"/>
      <c r="ED191" s="114"/>
      <c r="EE191" s="114"/>
      <c r="EF191" s="130"/>
    </row>
    <row r="192" spans="1:136">
      <c r="A192" s="535" t="s">
        <v>992</v>
      </c>
      <c r="AW192" s="356"/>
      <c r="AX192" s="356"/>
      <c r="BI192" s="130">
        <f>BI11</f>
        <v>5093614</v>
      </c>
      <c r="BN192" s="130">
        <f>BN11</f>
        <v>5071860</v>
      </c>
      <c r="BS192" s="130">
        <f>BS11</f>
        <v>4749755</v>
      </c>
      <c r="BX192" s="130">
        <f>BX11</f>
        <v>4716922</v>
      </c>
      <c r="BY192" s="114"/>
      <c r="BZ192" s="114"/>
      <c r="CA192" s="114"/>
      <c r="CB192" s="114"/>
      <c r="CC192" s="130">
        <f>CC11</f>
        <v>4633748</v>
      </c>
      <c r="CD192" s="114"/>
      <c r="CE192" s="114"/>
      <c r="CF192" s="114"/>
      <c r="CG192" s="114"/>
      <c r="CH192" s="130">
        <f>CH11</f>
        <v>4041587</v>
      </c>
      <c r="CI192" s="114"/>
      <c r="CJ192" s="114"/>
      <c r="CK192" s="114"/>
      <c r="CL192" s="114"/>
      <c r="CM192" s="130">
        <f>CM11</f>
        <v>4985284</v>
      </c>
      <c r="CN192" s="114"/>
      <c r="CO192" s="114"/>
      <c r="CP192" s="114"/>
      <c r="CQ192" s="114"/>
      <c r="CR192" s="130">
        <f>CR11</f>
        <v>5552858</v>
      </c>
      <c r="CS192" s="114"/>
      <c r="CT192" s="114"/>
      <c r="CU192" s="114"/>
      <c r="CV192" s="114"/>
      <c r="CW192" s="130"/>
      <c r="CX192" s="114"/>
      <c r="CY192" s="114"/>
      <c r="CZ192" s="114"/>
      <c r="DA192" s="114"/>
      <c r="DB192" s="130"/>
      <c r="DC192" s="114"/>
      <c r="DD192" s="114"/>
      <c r="DE192" s="114"/>
      <c r="DF192" s="114"/>
      <c r="DG192" s="130"/>
      <c r="DH192" s="114"/>
      <c r="DI192" s="114"/>
      <c r="DJ192" s="114"/>
      <c r="DK192" s="114"/>
      <c r="DL192" s="130"/>
      <c r="DM192" s="114"/>
      <c r="DN192" s="114"/>
      <c r="DO192" s="114"/>
      <c r="DP192" s="114"/>
      <c r="DQ192" s="130"/>
      <c r="DR192" s="114"/>
      <c r="DS192" s="114"/>
      <c r="DT192" s="114"/>
      <c r="DU192" s="114"/>
      <c r="DV192" s="130"/>
      <c r="DW192" s="114"/>
      <c r="DX192" s="114"/>
      <c r="DY192" s="114"/>
      <c r="DZ192" s="114"/>
      <c r="EA192" s="130"/>
      <c r="EB192" s="114"/>
      <c r="EC192" s="114"/>
      <c r="ED192" s="114"/>
      <c r="EE192" s="114"/>
      <c r="EF192" s="130"/>
    </row>
    <row r="193" spans="1:136">
      <c r="A193" s="535" t="s">
        <v>994</v>
      </c>
      <c r="AW193" s="356"/>
      <c r="AX193" s="356"/>
      <c r="BI193" s="552">
        <v>1480000</v>
      </c>
      <c r="BN193" s="552">
        <v>1698000</v>
      </c>
      <c r="BS193" s="552">
        <v>1196000</v>
      </c>
      <c r="BX193" s="552">
        <v>820000</v>
      </c>
      <c r="BY193" s="114"/>
      <c r="BZ193" s="114"/>
      <c r="CA193" s="114"/>
      <c r="CB193" s="114"/>
      <c r="CC193" s="552">
        <v>851000</v>
      </c>
      <c r="CD193" s="114"/>
      <c r="CE193" s="114"/>
      <c r="CF193" s="114"/>
      <c r="CG193" s="114"/>
      <c r="CH193" s="552">
        <v>297000</v>
      </c>
      <c r="CI193" s="114"/>
      <c r="CJ193" s="114"/>
      <c r="CK193" s="114"/>
      <c r="CL193" s="114"/>
      <c r="CM193" s="552">
        <v>282000</v>
      </c>
      <c r="CN193" s="114"/>
      <c r="CO193" s="114"/>
      <c r="CP193" s="114"/>
      <c r="CQ193" s="114"/>
      <c r="CR193" s="552">
        <v>161000</v>
      </c>
      <c r="CS193" s="114"/>
      <c r="CT193" s="114"/>
      <c r="CU193" s="114"/>
      <c r="CV193" s="114"/>
      <c r="CW193" s="130"/>
      <c r="CX193" s="114"/>
      <c r="CY193" s="114"/>
      <c r="CZ193" s="114"/>
      <c r="DA193" s="114"/>
      <c r="DB193" s="130"/>
      <c r="DC193" s="114"/>
      <c r="DD193" s="114"/>
      <c r="DE193" s="114"/>
      <c r="DF193" s="114"/>
      <c r="DG193" s="130"/>
      <c r="DH193" s="114"/>
      <c r="DI193" s="114"/>
      <c r="DJ193" s="114"/>
      <c r="DK193" s="114"/>
      <c r="DL193" s="130"/>
      <c r="DM193" s="114"/>
      <c r="DN193" s="114"/>
      <c r="DO193" s="114"/>
      <c r="DP193" s="114"/>
      <c r="DQ193" s="130"/>
      <c r="DR193" s="114"/>
      <c r="DS193" s="114"/>
      <c r="DT193" s="114"/>
      <c r="DU193" s="114"/>
      <c r="DV193" s="130"/>
      <c r="DW193" s="114"/>
      <c r="DX193" s="114"/>
      <c r="DY193" s="114"/>
      <c r="DZ193" s="114"/>
      <c r="EA193" s="130"/>
      <c r="EB193" s="114"/>
      <c r="EC193" s="114"/>
      <c r="ED193" s="114"/>
      <c r="EE193" s="114"/>
      <c r="EF193" s="130"/>
    </row>
    <row r="194" spans="1:136">
      <c r="A194" s="535" t="s">
        <v>990</v>
      </c>
      <c r="AW194" s="356"/>
      <c r="AX194" s="356"/>
      <c r="BI194" s="552">
        <f>189000+22000</f>
        <v>211000</v>
      </c>
      <c r="BN194" s="552">
        <f>143000+19000</f>
        <v>162000</v>
      </c>
      <c r="BS194" s="552">
        <f>108000+125000</f>
        <v>233000</v>
      </c>
      <c r="BX194" s="552">
        <f>405000+15000</f>
        <v>420000</v>
      </c>
      <c r="BY194" s="114"/>
      <c r="BZ194" s="114"/>
      <c r="CA194" s="114"/>
      <c r="CB194" s="114"/>
      <c r="CC194" s="552">
        <f>551000+7000</f>
        <v>558000</v>
      </c>
      <c r="CD194" s="114"/>
      <c r="CE194" s="114"/>
      <c r="CF194" s="114"/>
      <c r="CG194" s="114"/>
      <c r="CH194" s="552">
        <f>224000+292000</f>
        <v>516000</v>
      </c>
      <c r="CI194" s="114"/>
      <c r="CJ194" s="114"/>
      <c r="CK194" s="114"/>
      <c r="CL194" s="114"/>
      <c r="CM194" s="552">
        <f>514000+280000</f>
        <v>794000</v>
      </c>
      <c r="CN194" s="114"/>
      <c r="CO194" s="114"/>
      <c r="CP194" s="114"/>
      <c r="CQ194" s="114"/>
      <c r="CR194" s="552">
        <f>349000+417000</f>
        <v>766000</v>
      </c>
      <c r="CS194" s="114"/>
      <c r="CT194" s="114"/>
      <c r="CU194" s="114"/>
      <c r="CV194" s="114"/>
      <c r="CW194" s="130"/>
      <c r="CX194" s="114"/>
      <c r="CY194" s="114"/>
      <c r="CZ194" s="114"/>
      <c r="DA194" s="114"/>
      <c r="DB194" s="130"/>
      <c r="DC194" s="114"/>
      <c r="DD194" s="114"/>
      <c r="DE194" s="114"/>
      <c r="DF194" s="114"/>
      <c r="DG194" s="130"/>
      <c r="DH194" s="114"/>
      <c r="DI194" s="114"/>
      <c r="DJ194" s="114"/>
      <c r="DK194" s="114"/>
      <c r="DL194" s="130"/>
      <c r="DM194" s="114"/>
      <c r="DN194" s="114"/>
      <c r="DO194" s="114"/>
      <c r="DP194" s="114"/>
      <c r="DQ194" s="130"/>
      <c r="DR194" s="114"/>
      <c r="DS194" s="114"/>
      <c r="DT194" s="114"/>
      <c r="DU194" s="114"/>
      <c r="DV194" s="130"/>
      <c r="DW194" s="114"/>
      <c r="DX194" s="114"/>
      <c r="DY194" s="114"/>
      <c r="DZ194" s="114"/>
      <c r="EA194" s="130"/>
      <c r="EB194" s="114"/>
      <c r="EC194" s="114"/>
      <c r="ED194" s="114"/>
      <c r="EE194" s="114"/>
      <c r="EF194" s="130"/>
    </row>
    <row r="195" spans="1:136">
      <c r="A195" s="535" t="s">
        <v>991</v>
      </c>
      <c r="AW195" s="356"/>
      <c r="AX195" s="356"/>
      <c r="BI195" s="130">
        <f>-BI108</f>
        <v>2159093</v>
      </c>
      <c r="BN195" s="130">
        <f>-BN108</f>
        <v>1330574</v>
      </c>
      <c r="BS195" s="130">
        <f>-BS108</f>
        <v>1009394</v>
      </c>
      <c r="BX195" s="130">
        <f>-BX108</f>
        <v>1037246</v>
      </c>
      <c r="BY195" s="114"/>
      <c r="BZ195" s="114"/>
      <c r="CA195" s="114"/>
      <c r="CB195" s="114"/>
      <c r="CC195" s="130">
        <f>-CC108</f>
        <v>1834490</v>
      </c>
      <c r="CD195" s="114"/>
      <c r="CE195" s="114"/>
      <c r="CF195" s="114"/>
      <c r="CG195" s="114"/>
      <c r="CH195" s="130">
        <f>-CH108</f>
        <v>2125833</v>
      </c>
      <c r="CI195" s="114"/>
      <c r="CJ195" s="114"/>
      <c r="CK195" s="114"/>
      <c r="CL195" s="114"/>
      <c r="CM195" s="130">
        <f>-CM108</f>
        <v>2743073</v>
      </c>
      <c r="CN195" s="114"/>
      <c r="CO195" s="114"/>
      <c r="CP195" s="114"/>
      <c r="CQ195" s="114"/>
      <c r="CR195" s="130">
        <f>-CR108</f>
        <v>3356137</v>
      </c>
      <c r="CS195" s="114"/>
      <c r="CT195" s="114"/>
      <c r="CU195" s="114"/>
      <c r="CV195" s="114"/>
      <c r="CW195" s="130"/>
      <c r="CX195" s="114"/>
      <c r="CY195" s="114"/>
      <c r="CZ195" s="114"/>
      <c r="DA195" s="114"/>
      <c r="DB195" s="130"/>
      <c r="DC195" s="114"/>
      <c r="DD195" s="114"/>
      <c r="DE195" s="114"/>
      <c r="DF195" s="114"/>
      <c r="DG195" s="130"/>
      <c r="DH195" s="114"/>
      <c r="DI195" s="114"/>
      <c r="DJ195" s="114"/>
      <c r="DK195" s="114"/>
      <c r="DL195" s="130"/>
      <c r="DM195" s="114"/>
      <c r="DN195" s="114"/>
      <c r="DO195" s="114"/>
      <c r="DP195" s="114"/>
      <c r="DQ195" s="130"/>
      <c r="DR195" s="114"/>
      <c r="DS195" s="114"/>
      <c r="DT195" s="114"/>
      <c r="DU195" s="114"/>
      <c r="DV195" s="130"/>
      <c r="DW195" s="114"/>
      <c r="DX195" s="114"/>
      <c r="DY195" s="114"/>
      <c r="DZ195" s="114"/>
      <c r="EA195" s="130"/>
      <c r="EB195" s="114"/>
      <c r="EC195" s="114"/>
      <c r="ED195" s="114"/>
      <c r="EE195" s="114"/>
      <c r="EF195" s="130"/>
    </row>
    <row r="196" spans="1:136">
      <c r="A196" s="543" t="s">
        <v>993</v>
      </c>
      <c r="B196" s="68"/>
      <c r="C196" s="68"/>
      <c r="D196" s="68"/>
      <c r="E196" s="68"/>
      <c r="F196" s="115"/>
      <c r="G196" s="68"/>
      <c r="H196" s="68"/>
      <c r="I196" s="68"/>
      <c r="J196" s="68"/>
      <c r="K196" s="115"/>
      <c r="L196" s="68"/>
      <c r="M196" s="68"/>
      <c r="N196" s="68"/>
      <c r="O196" s="68"/>
      <c r="P196" s="115"/>
      <c r="Q196" s="68"/>
      <c r="R196" s="68"/>
      <c r="S196" s="68"/>
      <c r="T196" s="68"/>
      <c r="U196" s="115"/>
      <c r="V196" s="68"/>
      <c r="W196" s="68"/>
      <c r="X196" s="68"/>
      <c r="Y196" s="68"/>
      <c r="Z196" s="115"/>
      <c r="AA196" s="68"/>
      <c r="AB196" s="68"/>
      <c r="AC196" s="68"/>
      <c r="AD196" s="68"/>
      <c r="AE196" s="115"/>
      <c r="AF196" s="68"/>
      <c r="AG196" s="68"/>
      <c r="AH196" s="68"/>
      <c r="AI196" s="68"/>
      <c r="AJ196" s="115"/>
      <c r="AK196" s="68"/>
      <c r="AL196" s="68"/>
      <c r="AM196" s="68"/>
      <c r="AN196" s="68"/>
      <c r="AO196" s="115"/>
      <c r="AP196" s="68"/>
      <c r="AQ196" s="68"/>
      <c r="AR196" s="68"/>
      <c r="AS196" s="68"/>
      <c r="AT196" s="115"/>
      <c r="AU196" s="68"/>
      <c r="AV196" s="68"/>
      <c r="AW196" s="551"/>
      <c r="AX196" s="551"/>
      <c r="AY196" s="115"/>
      <c r="AZ196" s="68"/>
      <c r="BA196" s="68"/>
      <c r="BB196" s="68"/>
      <c r="BC196" s="68"/>
      <c r="BD196" s="115"/>
      <c r="BE196" s="68"/>
      <c r="BF196" s="68"/>
      <c r="BG196" s="68"/>
      <c r="BH196" s="68"/>
      <c r="BI196" s="553">
        <f>(BI191+BI192)/(BI193+BI194+BI195)</f>
        <v>2.3219974166857789</v>
      </c>
      <c r="BJ196" s="544"/>
      <c r="BK196" s="544"/>
      <c r="BL196" s="544"/>
      <c r="BM196" s="544"/>
      <c r="BN196" s="553">
        <f>(BN191+BN192)/(BN193+BN194+BN195)</f>
        <v>2.648944045804924</v>
      </c>
      <c r="BO196" s="544"/>
      <c r="BP196" s="544"/>
      <c r="BQ196" s="544"/>
      <c r="BR196" s="544"/>
      <c r="BS196" s="553">
        <f>(BS191+BS192)/(BS193+BS194+BS195)</f>
        <v>3.0417516611343367</v>
      </c>
      <c r="BT196" s="544"/>
      <c r="BU196" s="544"/>
      <c r="BV196" s="544"/>
      <c r="BW196" s="544"/>
      <c r="BX196" s="553">
        <f>(BX191+BX192)/(BX193+BX194+BX195)</f>
        <v>2.9271049328882341</v>
      </c>
      <c r="BY196" s="544"/>
      <c r="BZ196" s="544"/>
      <c r="CA196" s="544"/>
      <c r="CB196" s="544"/>
      <c r="CC196" s="553">
        <f>(CC191+CC192)/(CC193+CC194+CC195)</f>
        <v>2.0666695442255101</v>
      </c>
      <c r="CD196" s="544"/>
      <c r="CE196" s="544"/>
      <c r="CF196" s="544"/>
      <c r="CG196" s="544"/>
      <c r="CH196" s="553">
        <f>(CH191+CH192)/(CH193+CH194+CH195)</f>
        <v>2.0774031733004223</v>
      </c>
      <c r="CI196" s="544"/>
      <c r="CJ196" s="544"/>
      <c r="CK196" s="544"/>
      <c r="CL196" s="544"/>
      <c r="CM196" s="553">
        <f>(CM191+CM192)/(CM193+CM194+CM195)</f>
        <v>1.916414794899181</v>
      </c>
      <c r="CN196" s="544"/>
      <c r="CO196" s="544"/>
      <c r="CP196" s="544"/>
      <c r="CQ196" s="544"/>
      <c r="CR196" s="553">
        <f>(CR191+CR192)/(CR193+CR194+CR195)</f>
        <v>1.9289287267719897</v>
      </c>
      <c r="CS196" s="114"/>
      <c r="CT196" s="114"/>
      <c r="CU196" s="114"/>
      <c r="CV196" s="114"/>
      <c r="CW196" s="130"/>
      <c r="CX196" s="114"/>
      <c r="CY196" s="114"/>
      <c r="CZ196" s="114"/>
      <c r="DA196" s="114"/>
      <c r="DB196" s="130"/>
      <c r="DC196" s="114"/>
      <c r="DD196" s="114"/>
      <c r="DE196" s="114"/>
      <c r="DF196" s="114"/>
      <c r="DG196" s="130"/>
      <c r="DH196" s="114"/>
      <c r="DI196" s="114"/>
      <c r="DJ196" s="114"/>
      <c r="DK196" s="114"/>
      <c r="DL196" s="130"/>
      <c r="DM196" s="114"/>
      <c r="DN196" s="114"/>
      <c r="DO196" s="114"/>
      <c r="DP196" s="114"/>
      <c r="DQ196" s="130"/>
      <c r="DR196" s="114"/>
      <c r="DS196" s="114"/>
      <c r="DT196" s="114"/>
      <c r="DU196" s="114"/>
      <c r="DV196" s="130"/>
      <c r="DW196" s="114"/>
      <c r="DX196" s="114"/>
      <c r="DY196" s="114"/>
      <c r="DZ196" s="114"/>
      <c r="EA196" s="130"/>
      <c r="EB196" s="114"/>
      <c r="EC196" s="114"/>
      <c r="ED196" s="114"/>
      <c r="EE196" s="114"/>
      <c r="EF196" s="130"/>
    </row>
    <row r="197" spans="1:136">
      <c r="A197" s="535"/>
      <c r="AW197" s="356"/>
      <c r="AX197" s="356"/>
      <c r="BY197" s="114"/>
      <c r="BZ197" s="114"/>
      <c r="CA197" s="114"/>
      <c r="CB197" s="114"/>
      <c r="CC197" s="130"/>
      <c r="CD197" s="114"/>
      <c r="CE197" s="114"/>
      <c r="CF197" s="114"/>
      <c r="CG197" s="114"/>
      <c r="CH197" s="130"/>
      <c r="CI197" s="114"/>
      <c r="CJ197" s="114"/>
      <c r="CK197" s="114"/>
      <c r="CL197" s="114"/>
      <c r="CM197" s="130"/>
      <c r="CN197" s="114"/>
      <c r="CO197" s="114"/>
      <c r="CP197" s="114"/>
      <c r="CQ197" s="114"/>
      <c r="CR197" s="130"/>
      <c r="CS197" s="114"/>
      <c r="CT197" s="114"/>
      <c r="CU197" s="114"/>
      <c r="CV197" s="114"/>
      <c r="CW197" s="130"/>
      <c r="CX197" s="114"/>
      <c r="CY197" s="114"/>
      <c r="CZ197" s="114"/>
      <c r="DA197" s="114"/>
      <c r="DB197" s="130"/>
      <c r="DC197" s="114"/>
      <c r="DD197" s="114"/>
      <c r="DE197" s="114"/>
      <c r="DF197" s="114"/>
      <c r="DG197" s="130"/>
      <c r="DH197" s="114"/>
      <c r="DI197" s="114"/>
      <c r="DJ197" s="114"/>
      <c r="DK197" s="114"/>
      <c r="DL197" s="130"/>
      <c r="DM197" s="114"/>
      <c r="DN197" s="114"/>
      <c r="DO197" s="114"/>
      <c r="DP197" s="114"/>
      <c r="DQ197" s="130"/>
      <c r="DR197" s="114"/>
      <c r="DS197" s="114"/>
      <c r="DT197" s="114"/>
      <c r="DU197" s="114"/>
      <c r="DV197" s="130"/>
      <c r="DW197" s="114"/>
      <c r="DX197" s="114"/>
      <c r="DY197" s="114"/>
      <c r="DZ197" s="114"/>
      <c r="EA197" s="130"/>
      <c r="EB197" s="114"/>
      <c r="EC197" s="114"/>
      <c r="ED197" s="114"/>
      <c r="EE197" s="114"/>
      <c r="EF197" s="130"/>
    </row>
    <row r="198" spans="1:136">
      <c r="A198" s="535"/>
      <c r="AW198" s="356"/>
      <c r="AX198" s="356"/>
      <c r="BY198" s="114"/>
      <c r="BZ198" s="114"/>
      <c r="CA198" s="114"/>
      <c r="CB198" s="114"/>
      <c r="CC198" s="130"/>
      <c r="CD198" s="114"/>
      <c r="CE198" s="114"/>
      <c r="CF198" s="114"/>
      <c r="CG198" s="114"/>
      <c r="CH198" s="130"/>
      <c r="CI198" s="114"/>
      <c r="CJ198" s="114"/>
      <c r="CK198" s="114"/>
      <c r="CL198" s="114"/>
      <c r="CM198" s="130"/>
      <c r="CN198" s="114"/>
      <c r="CO198" s="114"/>
      <c r="CP198" s="114"/>
      <c r="CQ198" s="114"/>
      <c r="CR198" s="130"/>
      <c r="CS198" s="114"/>
      <c r="CT198" s="114"/>
      <c r="CU198" s="114"/>
      <c r="CV198" s="114"/>
      <c r="CW198" s="130"/>
      <c r="CX198" s="114"/>
      <c r="CY198" s="114"/>
      <c r="CZ198" s="114"/>
      <c r="DA198" s="114"/>
      <c r="DB198" s="130"/>
      <c r="DC198" s="114"/>
      <c r="DD198" s="114"/>
      <c r="DE198" s="114"/>
      <c r="DF198" s="114"/>
      <c r="DG198" s="130"/>
      <c r="DH198" s="114"/>
      <c r="DI198" s="114"/>
      <c r="DJ198" s="114"/>
      <c r="DK198" s="114"/>
      <c r="DL198" s="130"/>
      <c r="DM198" s="114"/>
      <c r="DN198" s="114"/>
      <c r="DO198" s="114"/>
      <c r="DP198" s="114"/>
      <c r="DQ198" s="130"/>
      <c r="DR198" s="114"/>
      <c r="DS198" s="114"/>
      <c r="DT198" s="114"/>
      <c r="DU198" s="114"/>
      <c r="DV198" s="130"/>
      <c r="DW198" s="114"/>
      <c r="DX198" s="114"/>
      <c r="DY198" s="114"/>
      <c r="DZ198" s="114"/>
      <c r="EA198" s="130"/>
      <c r="EB198" s="114"/>
      <c r="EC198" s="114"/>
      <c r="ED198" s="114"/>
      <c r="EE198" s="114"/>
      <c r="EF198" s="130"/>
    </row>
    <row r="199" spans="1:136">
      <c r="A199" s="535"/>
      <c r="AW199" s="356"/>
      <c r="AX199" s="356"/>
      <c r="BY199" s="114"/>
      <c r="BZ199" s="114"/>
      <c r="CA199" s="114"/>
      <c r="CB199" s="114"/>
      <c r="CC199" s="130"/>
      <c r="CD199" s="114"/>
      <c r="CE199" s="114"/>
      <c r="CF199" s="114"/>
      <c r="CG199" s="114"/>
      <c r="CH199" s="130"/>
      <c r="CI199" s="114"/>
      <c r="CJ199" s="114"/>
      <c r="CK199" s="114"/>
      <c r="CL199" s="114"/>
      <c r="CM199" s="130"/>
      <c r="CN199" s="114"/>
      <c r="CO199" s="114"/>
      <c r="CP199" s="114"/>
      <c r="CQ199" s="114"/>
      <c r="CR199" s="130"/>
      <c r="CS199" s="114"/>
      <c r="CT199" s="114"/>
      <c r="CU199" s="114"/>
      <c r="CV199" s="114"/>
      <c r="CW199" s="130"/>
      <c r="CX199" s="114"/>
      <c r="CY199" s="114"/>
      <c r="CZ199" s="114"/>
      <c r="DA199" s="114"/>
      <c r="DB199" s="130"/>
      <c r="DC199" s="114"/>
      <c r="DD199" s="114"/>
      <c r="DE199" s="114"/>
      <c r="DF199" s="114"/>
      <c r="DG199" s="130"/>
      <c r="DH199" s="114"/>
      <c r="DI199" s="114"/>
      <c r="DJ199" s="114"/>
      <c r="DK199" s="114"/>
      <c r="DL199" s="130"/>
      <c r="DM199" s="114"/>
      <c r="DN199" s="114"/>
      <c r="DO199" s="114"/>
      <c r="DP199" s="114"/>
      <c r="DQ199" s="130"/>
      <c r="DR199" s="114"/>
      <c r="DS199" s="114"/>
      <c r="DT199" s="114"/>
      <c r="DU199" s="114"/>
      <c r="DV199" s="130"/>
      <c r="DW199" s="114"/>
      <c r="DX199" s="114"/>
      <c r="DY199" s="114"/>
      <c r="DZ199" s="114"/>
      <c r="EA199" s="130"/>
      <c r="EB199" s="114"/>
      <c r="EC199" s="114"/>
      <c r="ED199" s="114"/>
      <c r="EE199" s="114"/>
      <c r="EF199" s="130"/>
    </row>
    <row r="200" spans="1:136">
      <c r="A200" s="535"/>
      <c r="AW200" s="356"/>
      <c r="AX200" s="356"/>
      <c r="BY200" s="114"/>
      <c r="BZ200" s="114"/>
      <c r="CA200" s="114"/>
      <c r="CB200" s="114"/>
      <c r="CC200" s="130"/>
      <c r="CD200" s="114"/>
      <c r="CE200" s="114"/>
      <c r="CF200" s="114"/>
      <c r="CG200" s="114"/>
      <c r="CH200" s="130"/>
      <c r="CI200" s="114"/>
      <c r="CJ200" s="114"/>
      <c r="CK200" s="114"/>
      <c r="CL200" s="114"/>
      <c r="CM200" s="130"/>
      <c r="CN200" s="114"/>
      <c r="CO200" s="114"/>
      <c r="CP200" s="114"/>
      <c r="CQ200" s="114"/>
      <c r="CR200" s="130"/>
      <c r="CS200" s="114"/>
      <c r="CT200" s="114"/>
      <c r="CU200" s="114"/>
      <c r="CV200" s="114"/>
      <c r="CW200" s="130"/>
      <c r="CX200" s="114"/>
      <c r="CY200" s="114"/>
      <c r="CZ200" s="114"/>
      <c r="DA200" s="114"/>
      <c r="DB200" s="130"/>
      <c r="DC200" s="114"/>
      <c r="DD200" s="114"/>
      <c r="DE200" s="114"/>
      <c r="DF200" s="114"/>
      <c r="DG200" s="130"/>
      <c r="DH200" s="114"/>
      <c r="DI200" s="114"/>
      <c r="DJ200" s="114"/>
      <c r="DK200" s="114"/>
      <c r="DL200" s="130"/>
      <c r="DM200" s="114"/>
      <c r="DN200" s="114"/>
      <c r="DO200" s="114"/>
      <c r="DP200" s="114"/>
      <c r="DQ200" s="130"/>
      <c r="DR200" s="114"/>
      <c r="DS200" s="114"/>
      <c r="DT200" s="114"/>
      <c r="DU200" s="114"/>
      <c r="DV200" s="130"/>
      <c r="DW200" s="114"/>
      <c r="DX200" s="114"/>
      <c r="DY200" s="114"/>
      <c r="DZ200" s="114"/>
      <c r="EA200" s="130"/>
      <c r="EB200" s="114"/>
      <c r="EC200" s="114"/>
      <c r="ED200" s="114"/>
      <c r="EE200" s="114"/>
      <c r="EF200" s="130"/>
    </row>
    <row r="201" spans="1:136">
      <c r="A201" s="535"/>
      <c r="AW201" s="356"/>
      <c r="AX201" s="356"/>
      <c r="BY201" s="114"/>
      <c r="BZ201" s="114"/>
      <c r="CA201" s="114"/>
      <c r="CB201" s="114"/>
      <c r="CC201" s="130"/>
      <c r="CD201" s="114"/>
      <c r="CE201" s="114"/>
      <c r="CF201" s="114"/>
      <c r="CG201" s="114"/>
      <c r="CH201" s="130"/>
      <c r="CI201" s="114"/>
      <c r="CJ201" s="114"/>
      <c r="CK201" s="114"/>
      <c r="CL201" s="114"/>
      <c r="CM201" s="130"/>
      <c r="CN201" s="114"/>
      <c r="CO201" s="114"/>
      <c r="CP201" s="114"/>
      <c r="CQ201" s="114"/>
      <c r="CR201" s="130"/>
      <c r="CS201" s="114"/>
      <c r="CT201" s="114"/>
      <c r="CU201" s="114"/>
      <c r="CV201" s="114"/>
      <c r="CW201" s="130"/>
      <c r="CX201" s="114"/>
      <c r="CY201" s="114"/>
      <c r="CZ201" s="114"/>
      <c r="DA201" s="114"/>
      <c r="DB201" s="130"/>
      <c r="DC201" s="114"/>
      <c r="DD201" s="114"/>
      <c r="DE201" s="114"/>
      <c r="DF201" s="114"/>
      <c r="DG201" s="130"/>
      <c r="DH201" s="114"/>
      <c r="DI201" s="114"/>
      <c r="DJ201" s="114"/>
      <c r="DK201" s="114"/>
      <c r="DL201" s="130"/>
      <c r="DM201" s="114"/>
      <c r="DN201" s="114"/>
      <c r="DO201" s="114"/>
      <c r="DP201" s="114"/>
      <c r="DQ201" s="130"/>
      <c r="DR201" s="114"/>
      <c r="DS201" s="114"/>
      <c r="DT201" s="114"/>
      <c r="DU201" s="114"/>
      <c r="DV201" s="130"/>
      <c r="DW201" s="114"/>
      <c r="DX201" s="114"/>
      <c r="DY201" s="114"/>
      <c r="DZ201" s="114"/>
      <c r="EA201" s="130"/>
      <c r="EB201" s="114"/>
      <c r="EC201" s="114"/>
      <c r="ED201" s="114"/>
      <c r="EE201" s="114"/>
      <c r="EF201" s="130"/>
    </row>
    <row r="202" spans="1:136">
      <c r="A202" s="535"/>
      <c r="AW202" s="356"/>
      <c r="AX202" s="356"/>
      <c r="BY202" s="114"/>
      <c r="BZ202" s="114"/>
      <c r="CA202" s="114"/>
      <c r="CB202" s="114"/>
      <c r="CC202" s="130"/>
      <c r="CD202" s="114"/>
      <c r="CE202" s="114"/>
      <c r="CF202" s="114"/>
      <c r="CG202" s="114"/>
      <c r="CH202" s="130"/>
      <c r="CI202" s="114"/>
      <c r="CJ202" s="114"/>
      <c r="CK202" s="114"/>
      <c r="CL202" s="114"/>
      <c r="CM202" s="130"/>
      <c r="CN202" s="114"/>
      <c r="CO202" s="114"/>
      <c r="CP202" s="114"/>
      <c r="CQ202" s="114"/>
      <c r="CR202" s="130"/>
      <c r="CS202" s="114"/>
      <c r="CT202" s="114"/>
      <c r="CU202" s="114"/>
      <c r="CV202" s="114"/>
      <c r="CW202" s="130"/>
      <c r="CX202" s="114"/>
      <c r="CY202" s="114"/>
      <c r="CZ202" s="114"/>
      <c r="DA202" s="114"/>
      <c r="DB202" s="130"/>
      <c r="DC202" s="114"/>
      <c r="DD202" s="114"/>
      <c r="DE202" s="114"/>
      <c r="DF202" s="114"/>
      <c r="DG202" s="130"/>
      <c r="DH202" s="114"/>
      <c r="DI202" s="114"/>
      <c r="DJ202" s="114"/>
      <c r="DK202" s="114"/>
      <c r="DL202" s="130"/>
      <c r="DM202" s="114"/>
      <c r="DN202" s="114"/>
      <c r="DO202" s="114"/>
      <c r="DP202" s="114"/>
      <c r="DQ202" s="130"/>
      <c r="DR202" s="114"/>
      <c r="DS202" s="114"/>
      <c r="DT202" s="114"/>
      <c r="DU202" s="114"/>
      <c r="DV202" s="130"/>
      <c r="DW202" s="114"/>
      <c r="DX202" s="114"/>
      <c r="DY202" s="114"/>
      <c r="DZ202" s="114"/>
      <c r="EA202" s="130"/>
      <c r="EB202" s="114"/>
      <c r="EC202" s="114"/>
      <c r="ED202" s="114"/>
      <c r="EE202" s="114"/>
      <c r="EF202" s="130"/>
    </row>
    <row r="203" spans="1:136">
      <c r="A203" s="535"/>
      <c r="AW203" s="356"/>
      <c r="AX203" s="356"/>
      <c r="BY203" s="114"/>
      <c r="BZ203" s="114"/>
      <c r="CA203" s="114"/>
      <c r="CB203" s="114"/>
      <c r="CC203" s="130"/>
      <c r="CD203" s="114"/>
      <c r="CE203" s="114"/>
      <c r="CF203" s="114"/>
      <c r="CG203" s="114"/>
      <c r="CH203" s="130"/>
      <c r="CI203" s="114"/>
      <c r="CJ203" s="114"/>
      <c r="CK203" s="114"/>
      <c r="CL203" s="114"/>
      <c r="CM203" s="130"/>
      <c r="CN203" s="114"/>
      <c r="CO203" s="114"/>
      <c r="CP203" s="114"/>
      <c r="CQ203" s="114"/>
      <c r="CR203" s="130"/>
      <c r="CS203" s="114"/>
      <c r="CT203" s="114"/>
      <c r="CU203" s="114"/>
      <c r="CV203" s="114"/>
      <c r="CW203" s="130"/>
      <c r="CX203" s="114"/>
      <c r="CY203" s="114"/>
      <c r="CZ203" s="114"/>
      <c r="DA203" s="114"/>
      <c r="DB203" s="130"/>
      <c r="DC203" s="114"/>
      <c r="DD203" s="114"/>
      <c r="DE203" s="114"/>
      <c r="DF203" s="114"/>
      <c r="DG203" s="130"/>
      <c r="DH203" s="114"/>
      <c r="DI203" s="114"/>
      <c r="DJ203" s="114"/>
      <c r="DK203" s="114"/>
      <c r="DL203" s="130"/>
      <c r="DM203" s="114"/>
      <c r="DN203" s="114"/>
      <c r="DO203" s="114"/>
      <c r="DP203" s="114"/>
      <c r="DQ203" s="130"/>
      <c r="DR203" s="114"/>
      <c r="DS203" s="114"/>
      <c r="DT203" s="114"/>
      <c r="DU203" s="114"/>
      <c r="DV203" s="130"/>
      <c r="DW203" s="114"/>
      <c r="DX203" s="114"/>
      <c r="DY203" s="114"/>
      <c r="DZ203" s="114"/>
      <c r="EA203" s="130"/>
      <c r="EB203" s="114"/>
      <c r="EC203" s="114"/>
      <c r="ED203" s="114"/>
      <c r="EE203" s="114"/>
      <c r="EF203" s="130"/>
    </row>
    <row r="204" spans="1:136">
      <c r="A204" s="535"/>
      <c r="AW204" s="356"/>
      <c r="AX204" s="356"/>
      <c r="BY204" s="114"/>
      <c r="BZ204" s="114"/>
      <c r="CA204" s="114"/>
      <c r="CB204" s="114"/>
      <c r="CC204" s="130"/>
      <c r="CD204" s="114"/>
      <c r="CE204" s="114"/>
      <c r="CF204" s="114"/>
      <c r="CG204" s="114"/>
      <c r="CH204" s="130"/>
      <c r="CI204" s="114"/>
      <c r="CJ204" s="114"/>
      <c r="CK204" s="114"/>
      <c r="CL204" s="114"/>
      <c r="CM204" s="130"/>
      <c r="CN204" s="114"/>
      <c r="CO204" s="114"/>
      <c r="CP204" s="114"/>
      <c r="CQ204" s="114"/>
      <c r="CR204" s="130"/>
      <c r="CS204" s="114"/>
      <c r="CT204" s="114"/>
      <c r="CU204" s="114"/>
      <c r="CV204" s="114"/>
      <c r="CW204" s="130"/>
      <c r="CX204" s="114"/>
      <c r="CY204" s="114"/>
      <c r="CZ204" s="114"/>
      <c r="DA204" s="114"/>
      <c r="DB204" s="130"/>
      <c r="DC204" s="114"/>
      <c r="DD204" s="114"/>
      <c r="DE204" s="114"/>
      <c r="DF204" s="114"/>
      <c r="DG204" s="130"/>
      <c r="DH204" s="114"/>
      <c r="DI204" s="114"/>
      <c r="DJ204" s="114"/>
      <c r="DK204" s="114"/>
      <c r="DL204" s="130"/>
      <c r="DM204" s="114"/>
      <c r="DN204" s="114"/>
      <c r="DO204" s="114"/>
      <c r="DP204" s="114"/>
      <c r="DQ204" s="130"/>
      <c r="DR204" s="114"/>
      <c r="DS204" s="114"/>
      <c r="DT204" s="114"/>
      <c r="DU204" s="114"/>
      <c r="DV204" s="130"/>
      <c r="DW204" s="114"/>
      <c r="DX204" s="114"/>
      <c r="DY204" s="114"/>
      <c r="DZ204" s="114"/>
      <c r="EA204" s="130"/>
      <c r="EB204" s="114"/>
      <c r="EC204" s="114"/>
      <c r="ED204" s="114"/>
      <c r="EE204" s="114"/>
      <c r="EF204" s="130"/>
    </row>
    <row r="205" spans="1:136">
      <c r="A205" s="535"/>
      <c r="AW205" s="356"/>
      <c r="AX205" s="356"/>
      <c r="BY205" s="114"/>
      <c r="BZ205" s="114"/>
      <c r="CA205" s="114"/>
      <c r="CB205" s="114"/>
      <c r="CC205" s="130"/>
      <c r="CD205" s="114"/>
      <c r="CE205" s="114"/>
      <c r="CF205" s="114"/>
      <c r="CG205" s="114"/>
      <c r="CH205" s="130"/>
      <c r="CI205" s="114"/>
      <c r="CJ205" s="114"/>
      <c r="CK205" s="114"/>
      <c r="CL205" s="114"/>
      <c r="CM205" s="130"/>
      <c r="CN205" s="114"/>
      <c r="CO205" s="114"/>
      <c r="CP205" s="114"/>
      <c r="CQ205" s="114"/>
      <c r="CR205" s="130"/>
      <c r="CS205" s="114"/>
      <c r="CT205" s="114"/>
      <c r="CU205" s="114"/>
      <c r="CV205" s="114"/>
      <c r="CW205" s="130"/>
      <c r="CX205" s="114"/>
      <c r="CY205" s="114"/>
      <c r="CZ205" s="114"/>
      <c r="DA205" s="114"/>
      <c r="DB205" s="130"/>
      <c r="DC205" s="114"/>
      <c r="DD205" s="114"/>
      <c r="DE205" s="114"/>
      <c r="DF205" s="114"/>
      <c r="DG205" s="130"/>
      <c r="DH205" s="114"/>
      <c r="DI205" s="114"/>
      <c r="DJ205" s="114"/>
      <c r="DK205" s="114"/>
      <c r="DL205" s="130"/>
      <c r="DM205" s="114"/>
      <c r="DN205" s="114"/>
      <c r="DO205" s="114"/>
      <c r="DP205" s="114"/>
      <c r="DQ205" s="130"/>
      <c r="DR205" s="114"/>
      <c r="DS205" s="114"/>
      <c r="DT205" s="114"/>
      <c r="DU205" s="114"/>
      <c r="DV205" s="130"/>
      <c r="DW205" s="114"/>
      <c r="DX205" s="114"/>
      <c r="DY205" s="114"/>
      <c r="DZ205" s="114"/>
      <c r="EA205" s="130"/>
      <c r="EB205" s="114"/>
      <c r="EC205" s="114"/>
      <c r="ED205" s="114"/>
      <c r="EE205" s="114"/>
      <c r="EF205" s="130"/>
    </row>
    <row r="206" spans="1:136">
      <c r="A206" s="535"/>
      <c r="AW206" s="356"/>
      <c r="AX206" s="356"/>
      <c r="BY206" s="114"/>
      <c r="BZ206" s="114"/>
      <c r="CA206" s="114"/>
      <c r="CB206" s="114"/>
      <c r="CC206" s="130"/>
      <c r="CD206" s="114"/>
      <c r="CE206" s="114"/>
      <c r="CF206" s="114"/>
      <c r="CG206" s="114"/>
      <c r="CH206" s="130"/>
      <c r="CI206" s="114"/>
      <c r="CJ206" s="114"/>
      <c r="CK206" s="114"/>
      <c r="CL206" s="114"/>
      <c r="CM206" s="130"/>
      <c r="CN206" s="114"/>
      <c r="CO206" s="114"/>
      <c r="CP206" s="114"/>
      <c r="CQ206" s="114"/>
      <c r="CR206" s="130"/>
      <c r="CS206" s="114"/>
      <c r="CT206" s="114"/>
      <c r="CU206" s="114"/>
      <c r="CV206" s="114"/>
      <c r="CW206" s="130"/>
      <c r="CX206" s="114"/>
      <c r="CY206" s="114"/>
      <c r="CZ206" s="114"/>
      <c r="DA206" s="114"/>
      <c r="DB206" s="130"/>
      <c r="DC206" s="114"/>
      <c r="DD206" s="114"/>
      <c r="DE206" s="114"/>
      <c r="DF206" s="114"/>
      <c r="DG206" s="130"/>
      <c r="DH206" s="114"/>
      <c r="DI206" s="114"/>
      <c r="DJ206" s="114"/>
      <c r="DK206" s="114"/>
      <c r="DL206" s="130"/>
      <c r="DM206" s="114"/>
      <c r="DN206" s="114"/>
      <c r="DO206" s="114"/>
      <c r="DP206" s="114"/>
      <c r="DQ206" s="130"/>
      <c r="DR206" s="114"/>
      <c r="DS206" s="114"/>
      <c r="DT206" s="114"/>
      <c r="DU206" s="114"/>
      <c r="DV206" s="130"/>
      <c r="DW206" s="114"/>
      <c r="DX206" s="114"/>
      <c r="DY206" s="114"/>
      <c r="DZ206" s="114"/>
      <c r="EA206" s="130"/>
      <c r="EB206" s="114"/>
      <c r="EC206" s="114"/>
      <c r="ED206" s="114"/>
      <c r="EE206" s="114"/>
      <c r="EF206" s="130"/>
    </row>
    <row r="207" spans="1:136">
      <c r="A207" s="535"/>
      <c r="AW207" s="356"/>
      <c r="AX207" s="356"/>
      <c r="BY207" s="114"/>
      <c r="BZ207" s="114"/>
      <c r="CA207" s="114"/>
      <c r="CB207" s="114"/>
      <c r="CC207" s="130"/>
      <c r="CD207" s="114"/>
      <c r="CE207" s="114"/>
      <c r="CF207" s="114"/>
      <c r="CG207" s="114"/>
      <c r="CH207" s="130"/>
      <c r="CI207" s="114"/>
      <c r="CJ207" s="114"/>
      <c r="CK207" s="114"/>
      <c r="CL207" s="114"/>
      <c r="CM207" s="130"/>
      <c r="CN207" s="114"/>
      <c r="CO207" s="114"/>
      <c r="CP207" s="114"/>
      <c r="CQ207" s="114"/>
      <c r="CR207" s="130"/>
      <c r="CS207" s="114"/>
      <c r="CT207" s="114"/>
      <c r="CU207" s="114"/>
      <c r="CV207" s="114"/>
      <c r="CW207" s="130"/>
      <c r="CX207" s="114"/>
      <c r="CY207" s="114"/>
      <c r="CZ207" s="114"/>
      <c r="DA207" s="114"/>
      <c r="DB207" s="130"/>
      <c r="DC207" s="114"/>
      <c r="DD207" s="114"/>
      <c r="DE207" s="114"/>
      <c r="DF207" s="114"/>
      <c r="DG207" s="130"/>
      <c r="DH207" s="114"/>
      <c r="DI207" s="114"/>
      <c r="DJ207" s="114"/>
      <c r="DK207" s="114"/>
      <c r="DL207" s="130"/>
      <c r="DM207" s="114"/>
      <c r="DN207" s="114"/>
      <c r="DO207" s="114"/>
      <c r="DP207" s="114"/>
      <c r="DQ207" s="130"/>
      <c r="DR207" s="114"/>
      <c r="DS207" s="114"/>
      <c r="DT207" s="114"/>
      <c r="DU207" s="114"/>
      <c r="DV207" s="130"/>
      <c r="DW207" s="114"/>
      <c r="DX207" s="114"/>
      <c r="DY207" s="114"/>
      <c r="DZ207" s="114"/>
      <c r="EA207" s="130"/>
      <c r="EB207" s="114"/>
      <c r="EC207" s="114"/>
      <c r="ED207" s="114"/>
      <c r="EE207" s="114"/>
      <c r="EF207" s="130"/>
    </row>
    <row r="208" spans="1:136">
      <c r="A208" s="535"/>
      <c r="AW208" s="356"/>
      <c r="AX208" s="356"/>
      <c r="BY208" s="114"/>
      <c r="BZ208" s="114"/>
      <c r="CA208" s="114"/>
      <c r="CB208" s="114"/>
      <c r="CC208" s="130"/>
      <c r="CD208" s="114"/>
      <c r="CE208" s="114"/>
      <c r="CF208" s="114"/>
      <c r="CG208" s="114"/>
      <c r="CH208" s="130"/>
      <c r="CI208" s="114"/>
      <c r="CJ208" s="114"/>
      <c r="CK208" s="114"/>
      <c r="CL208" s="114"/>
      <c r="CM208" s="130"/>
      <c r="CN208" s="114"/>
      <c r="CO208" s="114"/>
      <c r="CP208" s="114"/>
      <c r="CQ208" s="114"/>
      <c r="CR208" s="130"/>
      <c r="CS208" s="114"/>
      <c r="CT208" s="114"/>
      <c r="CU208" s="114"/>
      <c r="CV208" s="114"/>
      <c r="CW208" s="130"/>
      <c r="CX208" s="114"/>
      <c r="CY208" s="114"/>
      <c r="CZ208" s="114"/>
      <c r="DA208" s="114"/>
      <c r="DB208" s="130"/>
      <c r="DC208" s="114"/>
      <c r="DD208" s="114"/>
      <c r="DE208" s="114"/>
      <c r="DF208" s="114"/>
      <c r="DG208" s="130"/>
      <c r="DH208" s="114"/>
      <c r="DI208" s="114"/>
      <c r="DJ208" s="114"/>
      <c r="DK208" s="114"/>
      <c r="DL208" s="130"/>
      <c r="DM208" s="114"/>
      <c r="DN208" s="114"/>
      <c r="DO208" s="114"/>
      <c r="DP208" s="114"/>
      <c r="DQ208" s="130"/>
      <c r="DR208" s="114"/>
      <c r="DS208" s="114"/>
      <c r="DT208" s="114"/>
      <c r="DU208" s="114"/>
      <c r="DV208" s="130"/>
      <c r="DW208" s="114"/>
      <c r="DX208" s="114"/>
      <c r="DY208" s="114"/>
      <c r="DZ208" s="114"/>
      <c r="EA208" s="130"/>
      <c r="EB208" s="114"/>
      <c r="EC208" s="114"/>
      <c r="ED208" s="114"/>
      <c r="EE208" s="114"/>
      <c r="EF208" s="130"/>
    </row>
    <row r="209" spans="1:136">
      <c r="A209" s="535"/>
      <c r="AW209" s="356"/>
      <c r="AX209" s="356"/>
      <c r="BY209" s="114"/>
      <c r="BZ209" s="114"/>
      <c r="CA209" s="114"/>
      <c r="CB209" s="114"/>
      <c r="CC209" s="130"/>
      <c r="CD209" s="114"/>
      <c r="CE209" s="114"/>
      <c r="CF209" s="114"/>
      <c r="CG209" s="114"/>
      <c r="CH209" s="130"/>
      <c r="CI209" s="114"/>
      <c r="CJ209" s="114"/>
      <c r="CK209" s="114"/>
      <c r="CL209" s="114"/>
      <c r="CM209" s="130"/>
      <c r="CN209" s="114"/>
      <c r="CO209" s="114"/>
      <c r="CP209" s="114"/>
      <c r="CQ209" s="114"/>
      <c r="CR209" s="130"/>
      <c r="CS209" s="114"/>
      <c r="CT209" s="114"/>
      <c r="CU209" s="114"/>
      <c r="CV209" s="114"/>
      <c r="CW209" s="130"/>
      <c r="CX209" s="114"/>
      <c r="CY209" s="114"/>
      <c r="CZ209" s="114"/>
      <c r="DA209" s="114"/>
      <c r="DB209" s="130"/>
      <c r="DC209" s="114"/>
      <c r="DD209" s="114"/>
      <c r="DE209" s="114"/>
      <c r="DF209" s="114"/>
      <c r="DG209" s="130"/>
      <c r="DH209" s="114"/>
      <c r="DI209" s="114"/>
      <c r="DJ209" s="114"/>
      <c r="DK209" s="114"/>
      <c r="DL209" s="130"/>
      <c r="DM209" s="114"/>
      <c r="DN209" s="114"/>
      <c r="DO209" s="114"/>
      <c r="DP209" s="114"/>
      <c r="DQ209" s="130"/>
      <c r="DR209" s="114"/>
      <c r="DS209" s="114"/>
      <c r="DT209" s="114"/>
      <c r="DU209" s="114"/>
      <c r="DV209" s="130"/>
      <c r="DW209" s="114"/>
      <c r="DX209" s="114"/>
      <c r="DY209" s="114"/>
      <c r="DZ209" s="114"/>
      <c r="EA209" s="130"/>
      <c r="EB209" s="114"/>
      <c r="EC209" s="114"/>
      <c r="ED209" s="114"/>
      <c r="EE209" s="114"/>
      <c r="EF209" s="130"/>
    </row>
    <row r="210" spans="1:136">
      <c r="A210" s="535"/>
      <c r="AW210" s="356"/>
      <c r="AX210" s="356"/>
      <c r="BY210" s="114"/>
      <c r="BZ210" s="114"/>
      <c r="CA210" s="114"/>
      <c r="CB210" s="114"/>
      <c r="CC210" s="130"/>
      <c r="CD210" s="114"/>
      <c r="CE210" s="114"/>
      <c r="CF210" s="114"/>
      <c r="CG210" s="114"/>
      <c r="CH210" s="130"/>
      <c r="CI210" s="114"/>
      <c r="CJ210" s="114"/>
      <c r="CK210" s="114"/>
      <c r="CL210" s="114"/>
      <c r="CM210" s="130"/>
      <c r="CN210" s="114"/>
      <c r="CO210" s="114"/>
      <c r="CP210" s="114"/>
      <c r="CQ210" s="114"/>
      <c r="CR210" s="130"/>
      <c r="CS210" s="114"/>
      <c r="CT210" s="114"/>
      <c r="CU210" s="114"/>
      <c r="CV210" s="114"/>
      <c r="CW210" s="130"/>
      <c r="CX210" s="114"/>
      <c r="CY210" s="114"/>
      <c r="CZ210" s="114"/>
      <c r="DA210" s="114"/>
      <c r="DB210" s="130"/>
      <c r="DC210" s="114"/>
      <c r="DD210" s="114"/>
      <c r="DE210" s="114"/>
      <c r="DF210" s="114"/>
      <c r="DG210" s="130"/>
      <c r="DH210" s="114"/>
      <c r="DI210" s="114"/>
      <c r="DJ210" s="114"/>
      <c r="DK210" s="114"/>
      <c r="DL210" s="130"/>
      <c r="DM210" s="114"/>
      <c r="DN210" s="114"/>
      <c r="DO210" s="114"/>
      <c r="DP210" s="114"/>
      <c r="DQ210" s="130"/>
      <c r="DR210" s="114"/>
      <c r="DS210" s="114"/>
      <c r="DT210" s="114"/>
      <c r="DU210" s="114"/>
      <c r="DV210" s="130"/>
      <c r="DW210" s="114"/>
      <c r="DX210" s="114"/>
      <c r="DY210" s="114"/>
      <c r="DZ210" s="114"/>
      <c r="EA210" s="130"/>
      <c r="EB210" s="114"/>
      <c r="EC210" s="114"/>
      <c r="ED210" s="114"/>
      <c r="EE210" s="114"/>
      <c r="EF210" s="130"/>
    </row>
    <row r="211" spans="1:136">
      <c r="A211" s="535"/>
      <c r="AW211" s="356"/>
      <c r="AX211" s="356"/>
      <c r="BY211" s="114"/>
      <c r="BZ211" s="114"/>
      <c r="CA211" s="114"/>
      <c r="CB211" s="114"/>
      <c r="CC211" s="130"/>
      <c r="CD211" s="114"/>
      <c r="CE211" s="114"/>
      <c r="CF211" s="114"/>
      <c r="CG211" s="114"/>
      <c r="CH211" s="130"/>
      <c r="CI211" s="114"/>
      <c r="CJ211" s="114"/>
      <c r="CK211" s="114"/>
      <c r="CL211" s="114"/>
      <c r="CM211" s="130"/>
      <c r="CN211" s="114"/>
      <c r="CO211" s="114"/>
      <c r="CP211" s="114"/>
      <c r="CQ211" s="114"/>
      <c r="CR211" s="130"/>
      <c r="CS211" s="114"/>
      <c r="CT211" s="114"/>
      <c r="CU211" s="114"/>
      <c r="CV211" s="114"/>
      <c r="CW211" s="130"/>
      <c r="CX211" s="114"/>
      <c r="CY211" s="114"/>
      <c r="CZ211" s="114"/>
      <c r="DA211" s="114"/>
      <c r="DB211" s="130"/>
      <c r="DC211" s="114"/>
      <c r="DD211" s="114"/>
      <c r="DE211" s="114"/>
      <c r="DF211" s="114"/>
      <c r="DG211" s="130"/>
      <c r="DH211" s="114"/>
      <c r="DI211" s="114"/>
      <c r="DJ211" s="114"/>
      <c r="DK211" s="114"/>
      <c r="DL211" s="130"/>
      <c r="DM211" s="114"/>
      <c r="DN211" s="114"/>
      <c r="DO211" s="114"/>
      <c r="DP211" s="114"/>
      <c r="DQ211" s="130"/>
      <c r="DR211" s="114"/>
      <c r="DS211" s="114"/>
      <c r="DT211" s="114"/>
      <c r="DU211" s="114"/>
      <c r="DV211" s="130"/>
      <c r="DW211" s="114"/>
      <c r="DX211" s="114"/>
      <c r="DY211" s="114"/>
      <c r="DZ211" s="114"/>
      <c r="EA211" s="130"/>
      <c r="EB211" s="114"/>
      <c r="EC211" s="114"/>
      <c r="ED211" s="114"/>
      <c r="EE211" s="114"/>
      <c r="EF211" s="130"/>
    </row>
    <row r="212" spans="1:136">
      <c r="A212" s="535"/>
      <c r="AW212" s="356"/>
      <c r="AX212" s="356"/>
      <c r="BY212" s="114"/>
      <c r="BZ212" s="114"/>
      <c r="CA212" s="114"/>
      <c r="CB212" s="114"/>
      <c r="CC212" s="130"/>
      <c r="CD212" s="114"/>
      <c r="CE212" s="114"/>
      <c r="CF212" s="114"/>
      <c r="CG212" s="114"/>
      <c r="CH212" s="130"/>
      <c r="CI212" s="114"/>
      <c r="CJ212" s="114"/>
      <c r="CK212" s="114"/>
      <c r="CL212" s="114"/>
      <c r="CM212" s="130"/>
      <c r="CN212" s="114"/>
      <c r="CO212" s="114"/>
      <c r="CP212" s="114"/>
      <c r="CQ212" s="114"/>
      <c r="CR212" s="130"/>
      <c r="CS212" s="114"/>
      <c r="CT212" s="114"/>
      <c r="CU212" s="114"/>
      <c r="CV212" s="114"/>
      <c r="CW212" s="130"/>
      <c r="CX212" s="114"/>
      <c r="CY212" s="114"/>
      <c r="CZ212" s="114"/>
      <c r="DA212" s="114"/>
      <c r="DB212" s="130"/>
      <c r="DC212" s="114"/>
      <c r="DD212" s="114"/>
      <c r="DE212" s="114"/>
      <c r="DF212" s="114"/>
      <c r="DG212" s="130"/>
      <c r="DH212" s="114"/>
      <c r="DI212" s="114"/>
      <c r="DJ212" s="114"/>
      <c r="DK212" s="114"/>
      <c r="DL212" s="130"/>
      <c r="DM212" s="114"/>
      <c r="DN212" s="114"/>
      <c r="DO212" s="114"/>
      <c r="DP212" s="114"/>
      <c r="DQ212" s="130"/>
      <c r="DR212" s="114"/>
      <c r="DS212" s="114"/>
      <c r="DT212" s="114"/>
      <c r="DU212" s="114"/>
      <c r="DV212" s="130"/>
      <c r="DW212" s="114"/>
      <c r="DX212" s="114"/>
      <c r="DY212" s="114"/>
      <c r="DZ212" s="114"/>
      <c r="EA212" s="130"/>
      <c r="EB212" s="114"/>
      <c r="EC212" s="114"/>
      <c r="ED212" s="114"/>
      <c r="EE212" s="114"/>
      <c r="EF212" s="130"/>
    </row>
    <row r="213" spans="1:136">
      <c r="A213" s="535"/>
      <c r="AW213" s="356"/>
      <c r="AX213" s="356"/>
      <c r="BY213" s="114"/>
      <c r="BZ213" s="114"/>
      <c r="CA213" s="114"/>
      <c r="CB213" s="114"/>
      <c r="CC213" s="130"/>
      <c r="CD213" s="114"/>
      <c r="CE213" s="114"/>
      <c r="CF213" s="114"/>
      <c r="CG213" s="114"/>
      <c r="CH213" s="130"/>
      <c r="CI213" s="114"/>
      <c r="CJ213" s="114"/>
      <c r="CK213" s="114"/>
      <c r="CL213" s="114"/>
      <c r="CM213" s="130"/>
      <c r="CN213" s="114"/>
      <c r="CO213" s="114"/>
      <c r="CP213" s="114"/>
      <c r="CQ213" s="114"/>
      <c r="CR213" s="130"/>
      <c r="CS213" s="114"/>
      <c r="CT213" s="114"/>
      <c r="CU213" s="114"/>
      <c r="CV213" s="114"/>
      <c r="CW213" s="130"/>
      <c r="CX213" s="114"/>
      <c r="CY213" s="114"/>
      <c r="CZ213" s="114"/>
      <c r="DA213" s="114"/>
      <c r="DB213" s="130"/>
      <c r="DC213" s="114"/>
      <c r="DD213" s="114"/>
      <c r="DE213" s="114"/>
      <c r="DF213" s="114"/>
      <c r="DG213" s="130"/>
      <c r="DH213" s="114"/>
      <c r="DI213" s="114"/>
      <c r="DJ213" s="114"/>
      <c r="DK213" s="114"/>
      <c r="DL213" s="130"/>
      <c r="DM213" s="114"/>
      <c r="DN213" s="114"/>
      <c r="DO213" s="114"/>
      <c r="DP213" s="114"/>
      <c r="DQ213" s="130"/>
      <c r="DR213" s="114"/>
      <c r="DS213" s="114"/>
      <c r="DT213" s="114"/>
      <c r="DU213" s="114"/>
      <c r="DV213" s="130"/>
      <c r="DW213" s="114"/>
      <c r="DX213" s="114"/>
      <c r="DY213" s="114"/>
      <c r="DZ213" s="114"/>
      <c r="EA213" s="130"/>
      <c r="EB213" s="114"/>
      <c r="EC213" s="114"/>
      <c r="ED213" s="114"/>
      <c r="EE213" s="114"/>
      <c r="EF213" s="130"/>
    </row>
    <row r="214" spans="1:136">
      <c r="A214" s="535"/>
      <c r="AW214" s="356"/>
      <c r="AX214" s="356"/>
      <c r="BY214" s="114"/>
      <c r="BZ214" s="114"/>
      <c r="CA214" s="114"/>
      <c r="CB214" s="114"/>
      <c r="CC214" s="130"/>
      <c r="CD214" s="114"/>
      <c r="CE214" s="114"/>
      <c r="CF214" s="114"/>
      <c r="CG214" s="114"/>
      <c r="CH214" s="130"/>
      <c r="CI214" s="114"/>
      <c r="CJ214" s="114"/>
      <c r="CK214" s="114"/>
      <c r="CL214" s="114"/>
      <c r="CM214" s="130"/>
      <c r="CN214" s="114"/>
      <c r="CO214" s="114"/>
      <c r="CP214" s="114"/>
      <c r="CQ214" s="114"/>
      <c r="CR214" s="130"/>
      <c r="CS214" s="114"/>
      <c r="CT214" s="114"/>
      <c r="CU214" s="114"/>
      <c r="CV214" s="114"/>
      <c r="CW214" s="130"/>
      <c r="CX214" s="114"/>
      <c r="CY214" s="114"/>
      <c r="CZ214" s="114"/>
      <c r="DA214" s="114"/>
      <c r="DB214" s="130"/>
      <c r="DC214" s="114"/>
      <c r="DD214" s="114"/>
      <c r="DE214" s="114"/>
      <c r="DF214" s="114"/>
      <c r="DG214" s="130"/>
      <c r="DH214" s="114"/>
      <c r="DI214" s="114"/>
      <c r="DJ214" s="114"/>
      <c r="DK214" s="114"/>
      <c r="DL214" s="130"/>
      <c r="DM214" s="114"/>
      <c r="DN214" s="114"/>
      <c r="DO214" s="114"/>
      <c r="DP214" s="114"/>
      <c r="DQ214" s="130"/>
      <c r="DR214" s="114"/>
      <c r="DS214" s="114"/>
      <c r="DT214" s="114"/>
      <c r="DU214" s="114"/>
      <c r="DV214" s="130"/>
      <c r="DW214" s="114"/>
      <c r="DX214" s="114"/>
      <c r="DY214" s="114"/>
      <c r="DZ214" s="114"/>
      <c r="EA214" s="130"/>
      <c r="EB214" s="114"/>
      <c r="EC214" s="114"/>
      <c r="ED214" s="114"/>
      <c r="EE214" s="114"/>
      <c r="EF214" s="130"/>
    </row>
    <row r="215" spans="1:136">
      <c r="A215" s="535"/>
      <c r="AW215" s="356"/>
      <c r="AX215" s="356"/>
      <c r="BY215" s="114"/>
      <c r="BZ215" s="114"/>
      <c r="CA215" s="114"/>
      <c r="CB215" s="114"/>
      <c r="CC215" s="130"/>
      <c r="CD215" s="114"/>
      <c r="CE215" s="114"/>
      <c r="CF215" s="114"/>
      <c r="CG215" s="114"/>
      <c r="CH215" s="130"/>
      <c r="CI215" s="114"/>
      <c r="CJ215" s="114"/>
      <c r="CK215" s="114"/>
      <c r="CL215" s="114"/>
      <c r="CM215" s="130"/>
      <c r="CN215" s="114"/>
      <c r="CO215" s="114"/>
      <c r="CP215" s="114"/>
      <c r="CQ215" s="114"/>
      <c r="CR215" s="130"/>
      <c r="CS215" s="114"/>
      <c r="CT215" s="114"/>
      <c r="CU215" s="114"/>
      <c r="CV215" s="114"/>
      <c r="CW215" s="130"/>
      <c r="CX215" s="114"/>
      <c r="CY215" s="114"/>
      <c r="CZ215" s="114"/>
      <c r="DA215" s="114"/>
      <c r="DB215" s="130"/>
      <c r="DC215" s="114"/>
      <c r="DD215" s="114"/>
      <c r="DE215" s="114"/>
      <c r="DF215" s="114"/>
      <c r="DG215" s="130"/>
      <c r="DH215" s="114"/>
      <c r="DI215" s="114"/>
      <c r="DJ215" s="114"/>
      <c r="DK215" s="114"/>
      <c r="DL215" s="130"/>
      <c r="DM215" s="114"/>
      <c r="DN215" s="114"/>
      <c r="DO215" s="114"/>
      <c r="DP215" s="114"/>
      <c r="DQ215" s="130"/>
      <c r="DR215" s="114"/>
      <c r="DS215" s="114"/>
      <c r="DT215" s="114"/>
      <c r="DU215" s="114"/>
      <c r="DV215" s="130"/>
      <c r="DW215" s="114"/>
      <c r="DX215" s="114"/>
      <c r="DY215" s="114"/>
      <c r="DZ215" s="114"/>
      <c r="EA215" s="130"/>
      <c r="EB215" s="114"/>
      <c r="EC215" s="114"/>
      <c r="ED215" s="114"/>
      <c r="EE215" s="114"/>
      <c r="EF215" s="130"/>
    </row>
    <row r="216" spans="1:136">
      <c r="A216" s="535"/>
      <c r="AW216" s="356"/>
      <c r="AX216" s="356"/>
      <c r="BY216" s="114"/>
      <c r="BZ216" s="114"/>
      <c r="CA216" s="114"/>
      <c r="CB216" s="114"/>
      <c r="CC216" s="130"/>
      <c r="CD216" s="114"/>
      <c r="CE216" s="114"/>
      <c r="CF216" s="114"/>
      <c r="CG216" s="114"/>
      <c r="CH216" s="130"/>
      <c r="CI216" s="114"/>
      <c r="CJ216" s="114"/>
      <c r="CK216" s="114"/>
      <c r="CL216" s="114"/>
      <c r="CM216" s="130"/>
      <c r="CN216" s="114"/>
      <c r="CO216" s="114"/>
      <c r="CP216" s="114"/>
      <c r="CQ216" s="114"/>
      <c r="CR216" s="130"/>
      <c r="CS216" s="114"/>
      <c r="CT216" s="114"/>
      <c r="CU216" s="114"/>
      <c r="CV216" s="114"/>
      <c r="CW216" s="130"/>
      <c r="CX216" s="114"/>
      <c r="CY216" s="114"/>
      <c r="CZ216" s="114"/>
      <c r="DA216" s="114"/>
      <c r="DB216" s="130"/>
      <c r="DC216" s="114"/>
      <c r="DD216" s="114"/>
      <c r="DE216" s="114"/>
      <c r="DF216" s="114"/>
      <c r="DG216" s="130"/>
      <c r="DH216" s="114"/>
      <c r="DI216" s="114"/>
      <c r="DJ216" s="114"/>
      <c r="DK216" s="114"/>
      <c r="DL216" s="130"/>
      <c r="DM216" s="114"/>
      <c r="DN216" s="114"/>
      <c r="DO216" s="114"/>
      <c r="DP216" s="114"/>
      <c r="DQ216" s="130"/>
      <c r="DR216" s="114"/>
      <c r="DS216" s="114"/>
      <c r="DT216" s="114"/>
      <c r="DU216" s="114"/>
      <c r="DV216" s="130"/>
      <c r="DW216" s="114"/>
      <c r="DX216" s="114"/>
      <c r="DY216" s="114"/>
      <c r="DZ216" s="114"/>
      <c r="EA216" s="130"/>
      <c r="EB216" s="114"/>
      <c r="EC216" s="114"/>
      <c r="ED216" s="114"/>
      <c r="EE216" s="114"/>
      <c r="EF216" s="130"/>
    </row>
    <row r="217" spans="1:136">
      <c r="A217" s="535"/>
      <c r="AW217" s="356"/>
      <c r="AX217" s="356"/>
      <c r="BY217" s="114"/>
      <c r="BZ217" s="114"/>
      <c r="CA217" s="114"/>
      <c r="CB217" s="114"/>
      <c r="CC217" s="130"/>
      <c r="CD217" s="114"/>
      <c r="CE217" s="114"/>
      <c r="CF217" s="114"/>
      <c r="CG217" s="114"/>
      <c r="CH217" s="130"/>
      <c r="CI217" s="114"/>
      <c r="CJ217" s="114"/>
      <c r="CK217" s="114"/>
      <c r="CL217" s="114"/>
      <c r="CM217" s="130"/>
      <c r="CN217" s="114"/>
      <c r="CO217" s="114"/>
      <c r="CP217" s="114"/>
      <c r="CQ217" s="114"/>
      <c r="CR217" s="130"/>
      <c r="CS217" s="114"/>
      <c r="CT217" s="114"/>
      <c r="CU217" s="114"/>
      <c r="CV217" s="114"/>
      <c r="CW217" s="130"/>
      <c r="CX217" s="114"/>
      <c r="CY217" s="114"/>
      <c r="CZ217" s="114"/>
      <c r="DA217" s="114"/>
      <c r="DB217" s="130"/>
      <c r="DC217" s="114"/>
      <c r="DD217" s="114"/>
      <c r="DE217" s="114"/>
      <c r="DF217" s="114"/>
      <c r="DG217" s="130"/>
      <c r="DH217" s="114"/>
      <c r="DI217" s="114"/>
      <c r="DJ217" s="114"/>
      <c r="DK217" s="114"/>
      <c r="DL217" s="130"/>
      <c r="DM217" s="114"/>
      <c r="DN217" s="114"/>
      <c r="DO217" s="114"/>
      <c r="DP217" s="114"/>
      <c r="DQ217" s="130"/>
      <c r="DR217" s="114"/>
      <c r="DS217" s="114"/>
      <c r="DT217" s="114"/>
      <c r="DU217" s="114"/>
      <c r="DV217" s="130"/>
      <c r="DW217" s="114"/>
      <c r="DX217" s="114"/>
      <c r="DY217" s="114"/>
      <c r="DZ217" s="114"/>
      <c r="EA217" s="130"/>
      <c r="EB217" s="114"/>
      <c r="EC217" s="114"/>
      <c r="ED217" s="114"/>
      <c r="EE217" s="114"/>
      <c r="EF217" s="130"/>
    </row>
    <row r="218" spans="1:136">
      <c r="A218" s="535"/>
      <c r="AW218" s="356"/>
      <c r="AX218" s="356"/>
      <c r="BY218" s="114"/>
      <c r="BZ218" s="114"/>
      <c r="CA218" s="114"/>
      <c r="CB218" s="114"/>
      <c r="CC218" s="130"/>
      <c r="CD218" s="114"/>
      <c r="CE218" s="114"/>
      <c r="CF218" s="114"/>
      <c r="CG218" s="114"/>
      <c r="CH218" s="130"/>
      <c r="CI218" s="114"/>
      <c r="CJ218" s="114"/>
      <c r="CK218" s="114"/>
      <c r="CL218" s="114"/>
      <c r="CM218" s="130"/>
      <c r="CN218" s="114"/>
      <c r="CO218" s="114"/>
      <c r="CP218" s="114"/>
      <c r="CQ218" s="114"/>
      <c r="CR218" s="130"/>
      <c r="CS218" s="114"/>
      <c r="CT218" s="114"/>
      <c r="CU218" s="114"/>
      <c r="CV218" s="114"/>
      <c r="CW218" s="130"/>
      <c r="CX218" s="114"/>
      <c r="CY218" s="114"/>
      <c r="CZ218" s="114"/>
      <c r="DA218" s="114"/>
      <c r="DB218" s="130"/>
      <c r="DC218" s="114"/>
      <c r="DD218" s="114"/>
      <c r="DE218" s="114"/>
      <c r="DF218" s="114"/>
      <c r="DG218" s="130"/>
      <c r="DH218" s="114"/>
      <c r="DI218" s="114"/>
      <c r="DJ218" s="114"/>
      <c r="DK218" s="114"/>
      <c r="DL218" s="130"/>
      <c r="DM218" s="114"/>
      <c r="DN218" s="114"/>
      <c r="DO218" s="114"/>
      <c r="DP218" s="114"/>
      <c r="DQ218" s="130"/>
      <c r="DR218" s="114"/>
      <c r="DS218" s="114"/>
      <c r="DT218" s="114"/>
      <c r="DU218" s="114"/>
      <c r="DV218" s="130"/>
      <c r="DW218" s="114"/>
      <c r="DX218" s="114"/>
      <c r="DY218" s="114"/>
      <c r="DZ218" s="114"/>
      <c r="EA218" s="130"/>
      <c r="EB218" s="114"/>
      <c r="EC218" s="114"/>
      <c r="ED218" s="114"/>
      <c r="EE218" s="114"/>
      <c r="EF218" s="130"/>
    </row>
    <row r="219" spans="1:136">
      <c r="A219" s="535"/>
      <c r="AW219" s="356"/>
      <c r="AX219" s="356"/>
      <c r="BY219" s="114"/>
      <c r="BZ219" s="114"/>
      <c r="CA219" s="114"/>
      <c r="CB219" s="114"/>
      <c r="CC219" s="130"/>
      <c r="CD219" s="114"/>
      <c r="CE219" s="114"/>
      <c r="CF219" s="114"/>
      <c r="CG219" s="114"/>
      <c r="CH219" s="130"/>
      <c r="CI219" s="114"/>
      <c r="CJ219" s="114"/>
      <c r="CK219" s="114"/>
      <c r="CL219" s="114"/>
      <c r="CM219" s="130"/>
      <c r="CN219" s="114"/>
      <c r="CO219" s="114"/>
      <c r="CP219" s="114"/>
      <c r="CQ219" s="114"/>
      <c r="CR219" s="130"/>
      <c r="CS219" s="114"/>
      <c r="CT219" s="114"/>
      <c r="CU219" s="114"/>
      <c r="CV219" s="114"/>
      <c r="CW219" s="130"/>
      <c r="CX219" s="114"/>
      <c r="CY219" s="114"/>
      <c r="CZ219" s="114"/>
      <c r="DA219" s="114"/>
      <c r="DB219" s="130"/>
      <c r="DC219" s="114"/>
      <c r="DD219" s="114"/>
      <c r="DE219" s="114"/>
      <c r="DF219" s="114"/>
      <c r="DG219" s="130"/>
      <c r="DH219" s="114"/>
      <c r="DI219" s="114"/>
      <c r="DJ219" s="114"/>
      <c r="DK219" s="114"/>
      <c r="DL219" s="130"/>
      <c r="DM219" s="114"/>
      <c r="DN219" s="114"/>
      <c r="DO219" s="114"/>
      <c r="DP219" s="114"/>
      <c r="DQ219" s="130"/>
      <c r="DR219" s="114"/>
      <c r="DS219" s="114"/>
      <c r="DT219" s="114"/>
      <c r="DU219" s="114"/>
      <c r="DV219" s="130"/>
      <c r="DW219" s="114"/>
      <c r="DX219" s="114"/>
      <c r="DY219" s="114"/>
      <c r="DZ219" s="114"/>
      <c r="EA219" s="130"/>
      <c r="EB219" s="114"/>
      <c r="EC219" s="114"/>
      <c r="ED219" s="114"/>
      <c r="EE219" s="114"/>
      <c r="EF219" s="130"/>
    </row>
    <row r="220" spans="1:136">
      <c r="A220" s="535"/>
      <c r="AW220" s="356"/>
      <c r="AX220" s="356"/>
      <c r="BY220" s="114"/>
      <c r="BZ220" s="114"/>
      <c r="CA220" s="114"/>
      <c r="CB220" s="114"/>
      <c r="CC220" s="130"/>
      <c r="CD220" s="114"/>
      <c r="CE220" s="114"/>
      <c r="CF220" s="114"/>
      <c r="CG220" s="114"/>
      <c r="CH220" s="130"/>
      <c r="CI220" s="114"/>
      <c r="CJ220" s="114"/>
      <c r="CK220" s="114"/>
      <c r="CL220" s="114"/>
      <c r="CM220" s="130"/>
      <c r="CN220" s="114"/>
      <c r="CO220" s="114"/>
      <c r="CP220" s="114"/>
      <c r="CQ220" s="114"/>
      <c r="CR220" s="130"/>
      <c r="CS220" s="114"/>
      <c r="CT220" s="114"/>
      <c r="CU220" s="114"/>
      <c r="CV220" s="114"/>
      <c r="CW220" s="130"/>
      <c r="CX220" s="114"/>
      <c r="CY220" s="114"/>
      <c r="CZ220" s="114"/>
      <c r="DA220" s="114"/>
      <c r="DB220" s="130"/>
      <c r="DC220" s="114"/>
      <c r="DD220" s="114"/>
      <c r="DE220" s="114"/>
      <c r="DF220" s="114"/>
      <c r="DG220" s="130"/>
      <c r="DH220" s="114"/>
      <c r="DI220" s="114"/>
      <c r="DJ220" s="114"/>
      <c r="DK220" s="114"/>
      <c r="DL220" s="130"/>
      <c r="DM220" s="114"/>
      <c r="DN220" s="114"/>
      <c r="DO220" s="114"/>
      <c r="DP220" s="114"/>
      <c r="DQ220" s="130"/>
      <c r="DR220" s="114"/>
      <c r="DS220" s="114"/>
      <c r="DT220" s="114"/>
      <c r="DU220" s="114"/>
      <c r="DV220" s="130"/>
      <c r="DW220" s="114"/>
      <c r="DX220" s="114"/>
      <c r="DY220" s="114"/>
      <c r="DZ220" s="114"/>
      <c r="EA220" s="130"/>
      <c r="EB220" s="114"/>
      <c r="EC220" s="114"/>
      <c r="ED220" s="114"/>
      <c r="EE220" s="114"/>
      <c r="EF220" s="130"/>
    </row>
    <row r="221" spans="1:136">
      <c r="AW221" s="356"/>
      <c r="AX221" s="356"/>
    </row>
    <row r="222" spans="1:136">
      <c r="AX222" s="356"/>
    </row>
    <row r="223" spans="1:136">
      <c r="AX223" s="356"/>
    </row>
    <row r="224" spans="1:136">
      <c r="AW224" s="356"/>
      <c r="AX224" s="356"/>
    </row>
    <row r="225" spans="49:50">
      <c r="AW225" s="356"/>
      <c r="AX225" s="356"/>
    </row>
    <row r="226" spans="49:50">
      <c r="AX226" s="356"/>
    </row>
    <row r="227" spans="49:50">
      <c r="AX227" s="356"/>
    </row>
    <row r="228" spans="49:50">
      <c r="AX228" s="356"/>
    </row>
    <row r="229" spans="49:50">
      <c r="AW229" s="356"/>
    </row>
    <row r="230" spans="49:50">
      <c r="AW230" s="356"/>
      <c r="AX230" s="356"/>
    </row>
    <row r="231" spans="49:50">
      <c r="AW231" s="356"/>
      <c r="AX231" s="356"/>
    </row>
    <row r="232" spans="49:50">
      <c r="AW232" s="356"/>
      <c r="AX232" s="356"/>
    </row>
    <row r="233" spans="49:50">
      <c r="AW233" s="356"/>
      <c r="AX233" s="356"/>
    </row>
    <row r="235" spans="49:50">
      <c r="AX235" s="356"/>
    </row>
    <row r="236" spans="49:50">
      <c r="AW236" s="356"/>
      <c r="AX236" s="356"/>
    </row>
  </sheetData>
  <phoneticPr fontId="4" type="noConversion"/>
  <pageMargins left="0.22" right="0.23" top="0.42" bottom="1" header="0.39" footer="0.5"/>
  <pageSetup scale="73" orientation="landscape" horizontalDpi="300" verticalDpi="300" r:id="rId1"/>
  <headerFooter alignWithMargins="0"/>
  <ignoredErrors>
    <ignoredError sqref="A1:CS1 A189:CW190 CQ154:CR154 A154:CM155 CR155 A48:CU48 A6:CN29 CP24:CS24 A156:CN168 CQ166:CS168 A50:CN60 CP58:CT58 CP123:CR129 CW49 CW118 CP105:CR105 CW67 A3:CO5 A2:CG2 CV2 CR3:CR23 CQ25:CR27 CQ50:CU57 CQ119:CR122 CP153:CR153 CQ136:CR152 A135:CN153 A134:CK134 CM134:CN134 A172:CN173 CQ172:CS173 A169:CA170 A182:CN185 CQ182:CS183 A179:CA180 CW76 CW81 CW85 A177:CN178 CQ177:CS178 A174:CA175 CI2:CL2 CN2:CO2 CR28:CR47 CP59 CR59:CR104 CP106 CR106:CR118 CP130:CP131 CR130:CR135 A49:CE49 CI49:CL49 CM49:CN49 CW74 CW3:CW5 CW25:CW47 CQ156:CR165 CW77:CW80 CW75 CW68:CW73 CW93 CW82:CW84 CW86:CW88 CW59:CW66 CW94:CW117 CW119:CW162 CW90:CW91 CW89 CU1:CW1 A197:CW1048576 CS191:CW192 CT193:CW194 B191:BH196 CS195:CW196 EG1:XFD51 CN191:CQ196 CI191:CL196 CD191:CG196 BY191:CB196 BT191:BW196 BO191:BR196 BJ191:BM196 CU24 CV167:CW168 CV172:CW173 CV182:CW183 CV177:CW178 DC2:DG2 CU49 CW7:CW23 CW6 A62:CN133 A61:CJ61 CL61:CN61 CW58 CR171 A171:CC171 A176:CC176 A181:CC181 A187:CN188 A186:CC186 CQ188:CS188 CQ185:CS185 CQ184:CR184 CW48 CW50:CW57 CW24 CW166 DB6 DG6 CW92 CY189:DG190 CY3:CY5 CY59 CY136:CY154 CY1 CY197:DG1048576 CY191:DG192 CY193:DG194 CY195:DG196 CY167:CY168 CY171:CY173 CY181:CY182 CY176:CY178 DB7:DB8 CZ58:DD58 CY54:CY57 CY166 A31:CN47 A30:CK30 CM30 DL8:EF15 DL16:EF35 CX29 DB24:DC24 CY50:CY52 CY48 CY19 CY25:CY28 CX50:CX52 CX49 CX48 CX25:CX28 DJ36:EF37 CX16:CX23 DJ16:DK23 DH48:EF48 DH51:EF52 DI24:DK24 CX30:CX47 DI25:DK27 DG67 DB89 DB90:DB91 CY119:CY131 CY94 DB66 DB86:DB88 CY82 CY68 DB75 CY78 DB93 DB92 DG118 DB74 DB81 DB67 DB76 DB118 CX66 CX119:CX133 CX118 CX77:CX80 CX76 DJ76:EF76 CX68:CX73 CX67 CX82:CX84 CX81 DJ81:EF81 CX86:CX88 CX85 DJ85:EF85 CX75 CX74 DJ74 CX90:CX91 CX89 DJ89:DL89 DL118 CX94:CX117 CX92 DJ92:EF92 CX93 DJ93:EF93 DJ77:EF80 DJ75:EF75 DJ68:EF73 DJ82:EF84 DJ86:EF88 DJ66:EF66 DJ94:EF97 DH119:EF131 DJ90:EF91 DL67 CX5 DL63:EF63 CV188:CW188 CQ187:CR187 CW187 CV185:CW185 CW184 CY184:CY186 DA183:DG183 CY11 DB9 DB132:DB134 DA135:DB135 DB107:DB117 DB10 DB16:DB18 DB12:DB15 DB20:DB23 DB29:DB30 DB31 DB32:DB35 DB36:DB42 DB44:DB47 DB60:DB65 DB69:DB73 DB77 DB79:DB80 DB85 DB83:DB84 CY105:CY106 DB95:DB104 CY156:CY165 DB155:DC155 DG76 CW164:CW165 DB3:DB5 DB53:DC57 DB51:DC52 DB48:DG48 DB19 DB25:DB28 DB11 DB43 DA1:DC1 DB59 DA136:DD137 DA167:DG168 DA171:DG173 DA181:DG182 DA176:DG178 DA166:DC166 DB123:DD129 DB94 DB82 DB68 DB78 DA184:DG186 DB105:DG105 DA156:DC165 DG9 DG7:DG8 DG10 DG16:DG18 DG12:DG15 DG20:DG23 DE3:DE5 DG19 DG11 DG29:DG30 DG31 DG32:DG35 DG36:DG42 DG44:DG47 DG25:DG28 DG43 DG90:DG91 DG66 DG86:DG88 DG75 DG93 DG92 DG81 DG60:DG65 DG69:DG73 DG77 DG79:DG80 DG85 DG83:DG84 DG95:DG104 DG59 DG94 DG82 DG68 DG78 DG107:DG117 DB106 DE106 DG132:DG134 DB130:DB131 DG130:DG131 DB50 DG50 DF24:DG24 DG53:DG57 DG51:DG52 DB119:DC122 DF119:DG122 DA153:DD153 DA138:DC152 DF138:DG152 DF155:DG155 DE166:DG166 DE162:DG165 DA154:DC154 DF154:DG154 CY188 DA188:DG188 DA187:DC187 DE187:DG187 DG1 DG89 DH105:EF106 DJ98:EF98 DN67:EF67 DG74 DN89:EF89 DF123:DG129 DF136:DG137 DG135 DF153:DG153 DF156:DG161 DN118:EF118 DG3:DG5 DG106 DI50:EF50 DJ99:EF104 DJ107:EF117 DJ132:EF134 DJ39:EF47 DJ38 DL38:EF38 DL74:EF74 DJ28:DK35 EG55:XFD1048576 EG53:EN53 EP53:XFD53 EG54:EN54 EP54:XFD54 EG52:EN52 EP52:XFD52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93"/>
  <sheetViews>
    <sheetView zoomScaleNormal="100" workbookViewId="0">
      <pane xSplit="1" ySplit="3" topLeftCell="CR4" activePane="bottomRight" state="frozen"/>
      <selection activeCell="Q13" sqref="Q13"/>
      <selection pane="topRight" activeCell="Q13" sqref="Q13"/>
      <selection pane="bottomLeft" activeCell="Q13" sqref="Q13"/>
      <selection pane="bottomRight" activeCell="DK5" sqref="DK5"/>
    </sheetView>
  </sheetViews>
  <sheetFormatPr defaultColWidth="10.7109375" defaultRowHeight="12.75" customHeight="1" outlineLevelRow="1" outlineLevelCol="1"/>
  <cols>
    <col min="1" max="1" width="30.5703125" style="66" customWidth="1"/>
    <col min="2" max="5" width="10.7109375" style="66" hidden="1" customWidth="1" outlineLevel="1"/>
    <col min="6" max="6" width="10.7109375" style="67" hidden="1" customWidth="1" collapsed="1"/>
    <col min="7" max="10" width="10.7109375" style="66" hidden="1" customWidth="1" outlineLevel="1"/>
    <col min="11" max="11" width="10.7109375" style="67" hidden="1" customWidth="1" collapsed="1"/>
    <col min="12" max="15" width="10.7109375" style="66" hidden="1" customWidth="1" outlineLevel="1"/>
    <col min="16" max="16" width="10.7109375" style="67" hidden="1" customWidth="1" collapsed="1"/>
    <col min="17" max="20" width="10.7109375" style="66" hidden="1" customWidth="1" outlineLevel="1"/>
    <col min="21" max="21" width="10.7109375" style="67" hidden="1" customWidth="1" collapsed="1"/>
    <col min="22" max="25" width="10.7109375" style="66" hidden="1" customWidth="1" outlineLevel="1"/>
    <col min="26" max="26" width="10.7109375" style="67" hidden="1" customWidth="1" collapsed="1"/>
    <col min="27" max="27" width="10.7109375" style="66" hidden="1" customWidth="1" outlineLevel="1"/>
    <col min="28" max="28" width="10.85546875" style="66" hidden="1" customWidth="1" outlineLevel="1"/>
    <col min="29" max="30" width="10.7109375" style="66" hidden="1" customWidth="1" outlineLevel="1"/>
    <col min="31" max="31" width="10.7109375" style="67" customWidth="1" collapsed="1"/>
    <col min="32" max="35" width="10.7109375" style="66" hidden="1" customWidth="1" outlineLevel="1"/>
    <col min="36" max="36" width="10.7109375" style="67" customWidth="1" collapsed="1"/>
    <col min="37" max="40" width="10.7109375" style="66" hidden="1" customWidth="1" outlineLevel="1"/>
    <col min="41" max="41" width="10.7109375" style="67" customWidth="1" collapsed="1"/>
    <col min="42" max="45" width="10.7109375" style="66" hidden="1" customWidth="1" outlineLevel="1"/>
    <col min="46" max="46" width="10.7109375" style="67" customWidth="1" collapsed="1"/>
    <col min="47" max="50" width="10.7109375" style="66" hidden="1" customWidth="1" outlineLevel="1"/>
    <col min="51" max="51" width="10.7109375" style="67" customWidth="1" collapsed="1"/>
    <col min="52" max="55" width="10.7109375" style="66" hidden="1" customWidth="1" outlineLevel="1"/>
    <col min="56" max="56" width="10.7109375" style="67" customWidth="1" collapsed="1"/>
    <col min="57" max="60" width="10.7109375" style="66" hidden="1" customWidth="1" outlineLevel="1"/>
    <col min="61" max="61" width="10.7109375" style="67" customWidth="1" collapsed="1"/>
    <col min="62" max="65" width="10.7109375" style="66" hidden="1" customWidth="1" outlineLevel="1"/>
    <col min="66" max="66" width="10.7109375" style="67" customWidth="1" collapsed="1"/>
    <col min="67" max="70" width="10.7109375" style="66" hidden="1" customWidth="1" outlineLevel="1"/>
    <col min="71" max="71" width="10.7109375" style="67" customWidth="1" collapsed="1"/>
    <col min="72" max="75" width="10.7109375" style="66" hidden="1" customWidth="1" outlineLevel="1"/>
    <col min="76" max="76" width="10.7109375" style="67" customWidth="1" collapsed="1"/>
    <col min="77" max="80" width="10.7109375" style="66" hidden="1" customWidth="1" outlineLevel="1"/>
    <col min="81" max="81" width="10.7109375" style="67" customWidth="1" collapsed="1"/>
    <col min="82" max="85" width="10.7109375" style="66" hidden="1" customWidth="1" outlineLevel="1"/>
    <col min="86" max="86" width="10.7109375" style="66" collapsed="1"/>
    <col min="87" max="90" width="10.7109375" style="66" hidden="1" customWidth="1" outlineLevel="1"/>
    <col min="91" max="91" width="10.7109375" style="66" collapsed="1"/>
    <col min="92" max="95" width="10.7109375" style="66" hidden="1" customWidth="1" outlineLevel="1"/>
    <col min="96" max="96" width="10.7109375" style="66" collapsed="1"/>
    <col min="97" max="100" width="10.7109375" style="66" hidden="1" customWidth="1" outlineLevel="1"/>
    <col min="101" max="101" width="10.7109375" style="66" collapsed="1"/>
    <col min="102" max="105" width="10.7109375" style="66" hidden="1" customWidth="1" outlineLevel="1"/>
    <col min="106" max="106" width="10.7109375" style="66" collapsed="1"/>
    <col min="107" max="110" width="10.7109375" style="66" customWidth="1" outlineLevel="1"/>
    <col min="111" max="111" width="10.7109375" style="66"/>
    <col min="112" max="115" width="10.7109375" style="66" customWidth="1" outlineLevel="1"/>
    <col min="116" max="116" width="10.7109375" style="66"/>
    <col min="117" max="120" width="10.7109375" style="66" customWidth="1" outlineLevel="1"/>
    <col min="121" max="121" width="10.7109375" style="66"/>
    <col min="122" max="125" width="10.7109375" style="66" hidden="1" customWidth="1" outlineLevel="1"/>
    <col min="126" max="126" width="10.7109375" style="66" collapsed="1"/>
    <col min="127" max="130" width="0" style="66" hidden="1" customWidth="1" outlineLevel="1"/>
    <col min="131" max="131" width="10.7109375" style="66" collapsed="1"/>
    <col min="132" max="135" width="10.7109375" style="66" hidden="1" customWidth="1" outlineLevel="1"/>
    <col min="136" max="136" width="10.7109375" style="66" collapsed="1"/>
    <col min="137" max="16384" width="10.7109375" style="66"/>
  </cols>
  <sheetData>
    <row r="1" spans="1:139" ht="30" customHeight="1">
      <c r="AS1" s="129"/>
      <c r="AV1" s="189">
        <f>SUM(AU9:AW9)</f>
        <v>4205700</v>
      </c>
      <c r="AW1" s="189"/>
      <c r="BA1" s="189"/>
      <c r="BC1" s="156"/>
      <c r="BE1" s="156"/>
      <c r="BG1" s="156"/>
      <c r="BK1" s="189">
        <f>BL1+196</f>
        <v>757</v>
      </c>
      <c r="BL1" s="335">
        <f>299+262</f>
        <v>561</v>
      </c>
      <c r="BM1" s="405"/>
      <c r="BN1" s="378"/>
      <c r="BO1" s="265"/>
      <c r="BP1" s="265"/>
      <c r="BR1" s="129">
        <f>151/2493</f>
        <v>6.0569594865623744E-2</v>
      </c>
      <c r="BU1" s="350"/>
      <c r="BV1" s="335"/>
      <c r="BW1" s="156"/>
      <c r="BY1" s="265"/>
      <c r="BZ1" s="350"/>
      <c r="CB1" s="156">
        <f>CE9/CD9-1</f>
        <v>-0.39448740295828455</v>
      </c>
      <c r="CD1" s="355"/>
      <c r="CE1" s="149"/>
      <c r="CF1" s="149">
        <f>195+440+730</f>
        <v>1365</v>
      </c>
      <c r="CG1" s="356"/>
      <c r="CH1" s="67"/>
      <c r="CM1" s="67"/>
      <c r="CP1" s="355"/>
      <c r="CQ1" s="355"/>
      <c r="CR1" s="67"/>
      <c r="CU1" s="405"/>
      <c r="CV1" s="355"/>
      <c r="CW1" s="604">
        <f>CW9/CR9-1</f>
        <v>0.12396725237598205</v>
      </c>
      <c r="CX1" s="265"/>
      <c r="CZ1" s="405">
        <f>782000/DH5</f>
        <v>0.44000701490956495</v>
      </c>
      <c r="DA1" s="355">
        <f>1033000/DC5</f>
        <v>0.30535028081584392</v>
      </c>
      <c r="DB1" s="604">
        <f>DB9/CW9-1</f>
        <v>0.41973615892755811</v>
      </c>
      <c r="DC1" s="265"/>
      <c r="DE1" s="410">
        <f>+DF4/DA4-1</f>
        <v>-0.3273871904818435</v>
      </c>
      <c r="DF1" s="355" t="e">
        <f>+DF4/DC1-1</f>
        <v>#DIV/0!</v>
      </c>
      <c r="DG1" s="67"/>
      <c r="DH1" s="606">
        <v>4909632.0537079116</v>
      </c>
      <c r="DI1" s="606">
        <v>3713150.9094555187</v>
      </c>
      <c r="DJ1" s="129">
        <f>+DI4/DH1-1</f>
        <v>1.1586618377130931E-2</v>
      </c>
      <c r="DK1" s="129">
        <f>+DI9/DI1-1</f>
        <v>-6.6357238642636984E-2</v>
      </c>
      <c r="DL1" s="134">
        <f>+DI4/DD4-1</f>
        <v>0.20357911571910536</v>
      </c>
      <c r="DQ1" s="67"/>
      <c r="DV1" s="67"/>
      <c r="EA1" s="67"/>
      <c r="EF1" s="67"/>
    </row>
    <row r="2" spans="1:139" ht="12.75" customHeight="1">
      <c r="A2" s="68" t="str">
        <f ca="1">DCF!$A$2</f>
        <v>Cyrela - TP: R$35</v>
      </c>
      <c r="R2" s="66">
        <f>SUM(Q4:R4)/U4</f>
        <v>0.15488028362974274</v>
      </c>
      <c r="S2" s="156"/>
      <c r="T2" s="156"/>
      <c r="U2" s="134">
        <f>U5/P5-1</f>
        <v>0.79923258838770295</v>
      </c>
      <c r="W2" s="66">
        <f>SUM(V4:W4)/Z4</f>
        <v>0.60453839169729195</v>
      </c>
      <c r="X2" s="156"/>
      <c r="Y2" s="156"/>
      <c r="Z2" s="134">
        <f>Z5/U5-1</f>
        <v>-3.9884739808232816E-2</v>
      </c>
      <c r="AA2" s="156"/>
      <c r="AC2" s="156"/>
      <c r="AE2" s="134"/>
      <c r="AH2" s="156"/>
      <c r="AJ2" s="134"/>
      <c r="AK2" s="156"/>
      <c r="AM2" s="110"/>
      <c r="AN2" s="156"/>
      <c r="AO2" s="134"/>
      <c r="AR2" s="114"/>
      <c r="AT2" s="134"/>
      <c r="AU2" s="156"/>
      <c r="AV2" s="156"/>
      <c r="AW2" s="156"/>
      <c r="AX2" s="156"/>
      <c r="AY2" s="134"/>
      <c r="AZ2" s="156"/>
      <c r="BA2" s="156"/>
      <c r="BB2" s="156"/>
      <c r="BD2" s="134"/>
      <c r="BF2" s="156"/>
      <c r="BG2" s="156"/>
      <c r="BI2" s="134"/>
      <c r="BJ2" s="156"/>
      <c r="BK2" s="156"/>
      <c r="BL2" s="156"/>
      <c r="BM2" s="156"/>
      <c r="BN2" s="134"/>
      <c r="BO2" s="114"/>
      <c r="BP2" s="156"/>
      <c r="BQ2" s="156"/>
      <c r="BR2" s="156">
        <f>BR1/BT9</f>
        <v>9.8793647389989991E-8</v>
      </c>
      <c r="BS2" s="134"/>
      <c r="BT2" s="335"/>
      <c r="BU2" s="410"/>
      <c r="BV2" s="335"/>
      <c r="BW2" s="265"/>
      <c r="BX2" s="134"/>
      <c r="BY2" s="410">
        <f>BY4/$CC$4</f>
        <v>0.1015429402114269</v>
      </c>
      <c r="BZ2" s="410">
        <f>BZ4/$CC$4</f>
        <v>0.35070968796645668</v>
      </c>
      <c r="CA2" s="410">
        <f>CA4/$CC$4</f>
        <v>0.22693715186216412</v>
      </c>
      <c r="CB2" s="410">
        <f>CB4/$CC$4</f>
        <v>0.32081021995995229</v>
      </c>
      <c r="CC2" s="134">
        <f>CC5/BX5-1</f>
        <v>0.11278605441313116</v>
      </c>
      <c r="CD2" s="355"/>
      <c r="CE2" s="149"/>
      <c r="CF2" s="149"/>
      <c r="CG2" s="356"/>
      <c r="CH2" s="134">
        <f>CH5/CC5-1</f>
        <v>0.3525467503288171</v>
      </c>
      <c r="CM2" s="134">
        <f>CM4/CH4-1</f>
        <v>0.21592698041788672</v>
      </c>
      <c r="CP2" s="548"/>
      <c r="CQ2" s="355"/>
      <c r="CR2" s="134">
        <f>CR4/CM4-1</f>
        <v>0.28263481159891413</v>
      </c>
      <c r="CU2" s="548"/>
      <c r="CV2" s="355"/>
      <c r="CW2" s="134">
        <f>CW4/CR4-1</f>
        <v>7.1800421575228812E-2</v>
      </c>
      <c r="CZ2" s="548"/>
      <c r="DA2" s="355"/>
      <c r="DB2" s="134">
        <f>DB4/CW4-1</f>
        <v>0.33309775108577111</v>
      </c>
      <c r="DE2" s="548">
        <f>+DF9/DA9-1</f>
        <v>-0.32117811248225148</v>
      </c>
      <c r="DF2" s="355" t="e">
        <f>+DF9/DD1-1</f>
        <v>#DIV/0!</v>
      </c>
      <c r="DG2" s="134">
        <f>DG5/DB5-1</f>
        <v>0.34074647217775711</v>
      </c>
      <c r="DH2" s="606">
        <v>3829513.0018921713</v>
      </c>
      <c r="DI2" s="606">
        <v>2738573.3151482563</v>
      </c>
      <c r="DJ2" s="129">
        <f>+DI5/DH2-1</f>
        <v>2.0989681319507403E-2</v>
      </c>
      <c r="DK2" s="129">
        <f t="shared" ref="DK2" si="0">+DI10/DI2-1</f>
        <v>-3.9268422070641962E-2</v>
      </c>
      <c r="DL2" s="134">
        <f>+DI9/DD9-1</f>
        <v>6.4113500087556563E-2</v>
      </c>
      <c r="DQ2" s="134">
        <f>DQ5/DL5-1</f>
        <v>-5.0052468464625632E-2</v>
      </c>
      <c r="DV2" s="134">
        <f>DV5/DQ5-1</f>
        <v>4.4999999999999929E-2</v>
      </c>
      <c r="EA2" s="134">
        <f>EA5/DV5-1</f>
        <v>4.4999999999999929E-2</v>
      </c>
      <c r="EF2" s="134">
        <f>EF5/EA5-1</f>
        <v>4.5000000000000151E-2</v>
      </c>
    </row>
    <row r="3" spans="1:139" s="70" customFormat="1" ht="12.75" customHeight="1" thickBot="1">
      <c r="A3" s="69" t="s">
        <v>747</v>
      </c>
      <c r="B3" s="93" t="str">
        <f>Macro!B$3</f>
        <v>1Q04</v>
      </c>
      <c r="C3" s="93" t="str">
        <f>Macro!C$3</f>
        <v>2Q04</v>
      </c>
      <c r="D3" s="93" t="str">
        <f>Macro!D$3</f>
        <v>3Q04</v>
      </c>
      <c r="E3" s="93" t="str">
        <f>Macro!E$3</f>
        <v>4Q04</v>
      </c>
      <c r="F3" s="92" t="str">
        <f>Macro!F$3</f>
        <v>2004</v>
      </c>
      <c r="G3" s="93" t="str">
        <f>Macro!G$3</f>
        <v>1Q05</v>
      </c>
      <c r="H3" s="93" t="str">
        <f>Macro!H$3</f>
        <v>2Q05</v>
      </c>
      <c r="I3" s="93" t="str">
        <f>Macro!I$3</f>
        <v>3Q05</v>
      </c>
      <c r="J3" s="93" t="str">
        <f>Macro!J$3</f>
        <v>4Q05</v>
      </c>
      <c r="K3" s="92" t="str">
        <f>Macro!K$3</f>
        <v>2005</v>
      </c>
      <c r="L3" s="93" t="str">
        <f>Macro!L$3</f>
        <v>1Q06</v>
      </c>
      <c r="M3" s="93" t="str">
        <f>Macro!M$3</f>
        <v>2Q06</v>
      </c>
      <c r="N3" s="93" t="str">
        <f>Macro!N$3</f>
        <v>3Q06</v>
      </c>
      <c r="O3" s="94" t="str">
        <f>Macro!O$3</f>
        <v>4Q06</v>
      </c>
      <c r="P3" s="92" t="str">
        <f>Macro!P$3</f>
        <v>2006</v>
      </c>
      <c r="Q3" s="93" t="str">
        <f>Macro!Q$3</f>
        <v>1Q07</v>
      </c>
      <c r="R3" s="93" t="str">
        <f>Macro!R$3</f>
        <v>2Q07</v>
      </c>
      <c r="S3" s="93" t="str">
        <f>Macro!S$3</f>
        <v>3Q07</v>
      </c>
      <c r="T3" s="94" t="str">
        <f>Macro!T$3</f>
        <v>4Q07</v>
      </c>
      <c r="U3" s="92" t="str">
        <f>Macro!U$3</f>
        <v>2007</v>
      </c>
      <c r="V3" s="93" t="str">
        <f>Macro!V$3</f>
        <v>1Q08</v>
      </c>
      <c r="W3" s="93" t="str">
        <f>Macro!W$3</f>
        <v>2Q08</v>
      </c>
      <c r="X3" s="93" t="str">
        <f>Macro!X$3</f>
        <v>3Q08</v>
      </c>
      <c r="Y3" s="94" t="str">
        <f>Macro!Y$3</f>
        <v>4Q08</v>
      </c>
      <c r="Z3" s="92" t="str">
        <f>Macro!Z$3</f>
        <v>2008</v>
      </c>
      <c r="AA3" s="93" t="str">
        <f>Macro!AA$3</f>
        <v>1Q09</v>
      </c>
      <c r="AB3" s="93" t="str">
        <f>Macro!AB$3</f>
        <v>2Q09</v>
      </c>
      <c r="AC3" s="93" t="str">
        <f>Macro!AC$3</f>
        <v>3Q09</v>
      </c>
      <c r="AD3" s="94" t="str">
        <f>Macro!AD$3</f>
        <v>4Q09</v>
      </c>
      <c r="AE3" s="92" t="str">
        <f>Macro!AE$3</f>
        <v>2009</v>
      </c>
      <c r="AF3" s="93" t="str">
        <f>Macro!AF$3</f>
        <v>1Q10</v>
      </c>
      <c r="AG3" s="93" t="str">
        <f>Macro!AG$3</f>
        <v>2Q10</v>
      </c>
      <c r="AH3" s="93" t="str">
        <f>Macro!AH$3</f>
        <v>3Q10</v>
      </c>
      <c r="AI3" s="94" t="str">
        <f>Macro!AI$3</f>
        <v>4Q10</v>
      </c>
      <c r="AJ3" s="92" t="str">
        <f>Macro!AJ$3</f>
        <v>2010</v>
      </c>
      <c r="AK3" s="93" t="str">
        <f>Macro!AK$3</f>
        <v>1Q11</v>
      </c>
      <c r="AL3" s="93" t="str">
        <f>Macro!AL$3</f>
        <v>2Q11</v>
      </c>
      <c r="AM3" s="93" t="str">
        <f>Macro!AM$3</f>
        <v>3Q11</v>
      </c>
      <c r="AN3" s="94" t="str">
        <f>Macro!AN$3</f>
        <v>4Q11</v>
      </c>
      <c r="AO3" s="92" t="str">
        <f>Macro!AO$3</f>
        <v>2011</v>
      </c>
      <c r="AP3" s="310" t="str">
        <f>Macro!AP$3</f>
        <v>1Q12</v>
      </c>
      <c r="AQ3" s="310" t="str">
        <f>Macro!AQ$3</f>
        <v>2Q12</v>
      </c>
      <c r="AR3" s="310" t="str">
        <f>Macro!AR$3</f>
        <v>3Q12</v>
      </c>
      <c r="AS3" s="310" t="str">
        <f>Macro!AS$3</f>
        <v>4Q12</v>
      </c>
      <c r="AT3" s="311" t="str">
        <f>Macro!AT$3</f>
        <v>2012</v>
      </c>
      <c r="AU3" s="310" t="str">
        <f>Macro!AU$3</f>
        <v>1Q13</v>
      </c>
      <c r="AV3" s="310" t="str">
        <f>Macro!AV$3</f>
        <v>2Q13</v>
      </c>
      <c r="AW3" s="310" t="str">
        <f>Macro!AW$3</f>
        <v>3Q13</v>
      </c>
      <c r="AX3" s="310" t="str">
        <f>Macro!AX$3</f>
        <v>4Q13</v>
      </c>
      <c r="AY3" s="311" t="str">
        <f>Macro!AY$3</f>
        <v>2013</v>
      </c>
      <c r="AZ3" s="310" t="str">
        <f>Macro!AZ$3</f>
        <v>1Q14</v>
      </c>
      <c r="BA3" s="310" t="str">
        <f>Macro!BA$3</f>
        <v>2Q14</v>
      </c>
      <c r="BB3" s="310" t="str">
        <f>Macro!BB$3</f>
        <v>3Q14</v>
      </c>
      <c r="BC3" s="310" t="str">
        <f>Macro!BC$3</f>
        <v>4Q14</v>
      </c>
      <c r="BD3" s="311" t="str">
        <f>Macro!BD$3</f>
        <v>2014</v>
      </c>
      <c r="BE3" s="310" t="str">
        <f>Macro!BE$3</f>
        <v>1Q15</v>
      </c>
      <c r="BF3" s="310" t="str">
        <f>Macro!BF$3</f>
        <v>2Q15</v>
      </c>
      <c r="BG3" s="310" t="str">
        <f>Macro!BG$3</f>
        <v>3Q15</v>
      </c>
      <c r="BH3" s="310" t="str">
        <f>Macro!BH$3</f>
        <v>4Q15</v>
      </c>
      <c r="BI3" s="311" t="str">
        <f>Macro!BI$3</f>
        <v>2015</v>
      </c>
      <c r="BJ3" s="310" t="str">
        <f>Macro!BJ$3</f>
        <v>1Q16</v>
      </c>
      <c r="BK3" s="310" t="str">
        <f>Macro!BK$3</f>
        <v>2Q16</v>
      </c>
      <c r="BL3" s="310" t="str">
        <f>Macro!BL$3</f>
        <v>3Q16</v>
      </c>
      <c r="BM3" s="310" t="str">
        <f>Macro!BM$3</f>
        <v>4Q16</v>
      </c>
      <c r="BN3" s="311" t="str">
        <f>Macro!BN$3</f>
        <v>2016</v>
      </c>
      <c r="BO3" s="310" t="str">
        <f>Macro!BO$3</f>
        <v>1Q17</v>
      </c>
      <c r="BP3" s="310" t="str">
        <f>Macro!BP$3</f>
        <v>2Q17</v>
      </c>
      <c r="BQ3" s="310" t="str">
        <f>Macro!BQ$3</f>
        <v>3Q17</v>
      </c>
      <c r="BR3" s="310" t="str">
        <f>Macro!BR$3</f>
        <v>4Q17</v>
      </c>
      <c r="BS3" s="311" t="str">
        <f>Macro!BS$3</f>
        <v>2017</v>
      </c>
      <c r="BT3" s="310" t="str">
        <f>Macro!BT$3</f>
        <v>1Q18</v>
      </c>
      <c r="BU3" s="310" t="str">
        <f>Macro!BU$3</f>
        <v>2Q18</v>
      </c>
      <c r="BV3" s="310" t="str">
        <f>Macro!BV$3</f>
        <v>3Q18</v>
      </c>
      <c r="BW3" s="310" t="str">
        <f>Macro!BW$3</f>
        <v>4Q18</v>
      </c>
      <c r="BX3" s="311" t="str">
        <f>Macro!BX$3</f>
        <v>2018</v>
      </c>
      <c r="BY3" s="310" t="str">
        <f>Macro!BY$3</f>
        <v>1Q19</v>
      </c>
      <c r="BZ3" s="310" t="str">
        <f>Macro!BZ$3</f>
        <v>2Q19</v>
      </c>
      <c r="CA3" s="310" t="str">
        <f>Macro!CA$3</f>
        <v>3Q19</v>
      </c>
      <c r="CB3" s="310" t="str">
        <f>Macro!CB$3</f>
        <v>4Q19</v>
      </c>
      <c r="CC3" s="311" t="str">
        <f>Macro!CC$3</f>
        <v>2019</v>
      </c>
      <c r="CD3" s="310" t="str">
        <f>Macro!CD$3</f>
        <v>1Q20</v>
      </c>
      <c r="CE3" s="310" t="str">
        <f>Macro!CE$3</f>
        <v>2Q20</v>
      </c>
      <c r="CF3" s="310" t="str">
        <f>Macro!CF$3</f>
        <v>3Q20</v>
      </c>
      <c r="CG3" s="310" t="str">
        <f>Macro!CG$3</f>
        <v>4Q20</v>
      </c>
      <c r="CH3" s="311" t="str">
        <f>Macro!CH$3</f>
        <v>2020</v>
      </c>
      <c r="CI3" s="310" t="str">
        <f>Macro!CI$3</f>
        <v>1Q21</v>
      </c>
      <c r="CJ3" s="310" t="str">
        <f>Macro!CJ$3</f>
        <v>2Q21</v>
      </c>
      <c r="CK3" s="310" t="str">
        <f>Macro!CK$3</f>
        <v>3Q21</v>
      </c>
      <c r="CL3" s="310" t="str">
        <f>Macro!CL$3</f>
        <v>4Q21</v>
      </c>
      <c r="CM3" s="311" t="str">
        <f>Macro!CM$3</f>
        <v>2021</v>
      </c>
      <c r="CN3" s="310" t="str">
        <f>Macro!CN$3</f>
        <v>1Q22</v>
      </c>
      <c r="CO3" s="310" t="str">
        <f>Macro!CO$3</f>
        <v>2Q22</v>
      </c>
      <c r="CP3" s="310" t="str">
        <f>Macro!CP$3</f>
        <v>3Q22</v>
      </c>
      <c r="CQ3" s="310" t="str">
        <f>Macro!CQ$3</f>
        <v>4Q22</v>
      </c>
      <c r="CR3" s="311" t="str">
        <f>Macro!CR$3</f>
        <v>2022</v>
      </c>
      <c r="CS3" s="310" t="str">
        <f>Macro!CS$3</f>
        <v>1Q23</v>
      </c>
      <c r="CT3" s="310" t="str">
        <f>Macro!CT$3</f>
        <v>2Q23</v>
      </c>
      <c r="CU3" s="310" t="str">
        <f>Macro!CU$3</f>
        <v>3Q23</v>
      </c>
      <c r="CV3" s="310" t="str">
        <f>Macro!CV$3</f>
        <v>4Q23</v>
      </c>
      <c r="CW3" s="311" t="str">
        <f>Macro!CW$3</f>
        <v>2023</v>
      </c>
      <c r="CX3" s="310" t="str">
        <f>Macro!CX$3</f>
        <v>1Q24</v>
      </c>
      <c r="CY3" s="310" t="str">
        <f>Macro!CY$3</f>
        <v>2Q24</v>
      </c>
      <c r="CZ3" s="310" t="str">
        <f>Macro!CZ$3</f>
        <v>3Q24</v>
      </c>
      <c r="DA3" s="310" t="str">
        <f>Macro!DA$3</f>
        <v>4Q24</v>
      </c>
      <c r="DB3" s="311" t="str">
        <f>Macro!DB$3</f>
        <v>2024</v>
      </c>
      <c r="DC3" s="310" t="str">
        <f>Macro!DC$3</f>
        <v>1Q25</v>
      </c>
      <c r="DD3" s="310" t="str">
        <f>Macro!DD$3</f>
        <v>2Q25</v>
      </c>
      <c r="DE3" s="310" t="str">
        <f>Macro!DE$3</f>
        <v>3Q25</v>
      </c>
      <c r="DF3" s="310" t="str">
        <f>Macro!DF$3</f>
        <v>4Q25</v>
      </c>
      <c r="DG3" s="311" t="str">
        <f>Macro!DG$3</f>
        <v>2025</v>
      </c>
      <c r="DH3" s="310" t="str">
        <f>Macro!DH$3</f>
        <v>1Q26</v>
      </c>
      <c r="DI3" s="310" t="str">
        <f>Macro!DI$3</f>
        <v>2Q26</v>
      </c>
      <c r="DJ3" s="310" t="str">
        <f>Macro!DJ$3</f>
        <v>3Q26E</v>
      </c>
      <c r="DK3" s="310" t="str">
        <f>Macro!DK$3</f>
        <v>4Q26E</v>
      </c>
      <c r="DL3" s="311" t="str">
        <f>Macro!DL$3</f>
        <v>2026E</v>
      </c>
      <c r="DM3" s="310" t="str">
        <f>Macro!DM$3</f>
        <v>1Q27E</v>
      </c>
      <c r="DN3" s="310" t="str">
        <f>Macro!DN$3</f>
        <v>2Q27E</v>
      </c>
      <c r="DO3" s="310" t="str">
        <f>Macro!DO$3</f>
        <v>3Q27E</v>
      </c>
      <c r="DP3" s="310" t="str">
        <f>Macro!DP$3</f>
        <v>4Q27E</v>
      </c>
      <c r="DQ3" s="311" t="str">
        <f>Macro!DQ$3</f>
        <v>2027E</v>
      </c>
      <c r="DR3" s="310" t="str">
        <f>Macro!DR$3</f>
        <v>1Q28E</v>
      </c>
      <c r="DS3" s="310" t="str">
        <f>Macro!DS$3</f>
        <v>2Q28E</v>
      </c>
      <c r="DT3" s="310" t="str">
        <f>Macro!DT$3</f>
        <v>3Q28E</v>
      </c>
      <c r="DU3" s="310" t="str">
        <f>Macro!DU$3</f>
        <v>4Q28E</v>
      </c>
      <c r="DV3" s="311" t="str">
        <f>Macro!DV$3</f>
        <v>2028E</v>
      </c>
      <c r="DW3" s="310" t="str">
        <f>Macro!DW$3</f>
        <v>1Q29E</v>
      </c>
      <c r="DX3" s="310" t="str">
        <f>Macro!DX$3</f>
        <v>2Q29E</v>
      </c>
      <c r="DY3" s="310" t="str">
        <f>Macro!DY$3</f>
        <v>3Q29E</v>
      </c>
      <c r="DZ3" s="310" t="str">
        <f>Macro!DZ$3</f>
        <v>4Q29E</v>
      </c>
      <c r="EA3" s="311" t="str">
        <f>Macro!EA$3</f>
        <v>2029E</v>
      </c>
      <c r="EB3" s="310" t="str">
        <f>Macro!EB$3</f>
        <v>1Q30E</v>
      </c>
      <c r="EC3" s="310" t="str">
        <f>Macro!EC$3</f>
        <v>2Q30E</v>
      </c>
      <c r="ED3" s="310" t="str">
        <f>Macro!ED$3</f>
        <v>3Q30E</v>
      </c>
      <c r="EE3" s="310" t="str">
        <f>Macro!EE$3</f>
        <v>4Q30E</v>
      </c>
      <c r="EF3" s="311" t="str">
        <f>Macro!EF$3</f>
        <v>2030E</v>
      </c>
    </row>
    <row r="4" spans="1:139" ht="12.75" customHeight="1">
      <c r="A4" s="66" t="s">
        <v>719</v>
      </c>
      <c r="B4" s="160">
        <f>826266*20%</f>
        <v>165253.20000000001</v>
      </c>
      <c r="C4" s="161">
        <f>826266*20%</f>
        <v>165253.20000000001</v>
      </c>
      <c r="D4" s="161">
        <f>826266*20%</f>
        <v>165253.20000000001</v>
      </c>
      <c r="E4" s="161">
        <f>826266*40%</f>
        <v>330506.40000000002</v>
      </c>
      <c r="F4" s="106">
        <f>SUM(B4:E4)</f>
        <v>826266</v>
      </c>
      <c r="G4" s="160">
        <v>179472</v>
      </c>
      <c r="H4" s="161">
        <v>193667</v>
      </c>
      <c r="I4" s="161">
        <v>504355</v>
      </c>
      <c r="J4" s="161">
        <v>174899</v>
      </c>
      <c r="K4" s="106">
        <f>SUM(G4:J4)</f>
        <v>1052393</v>
      </c>
      <c r="L4" s="160">
        <v>98578</v>
      </c>
      <c r="M4" s="161">
        <f>2916586-L4-O4-N4</f>
        <v>908011</v>
      </c>
      <c r="N4" s="161">
        <v>677971</v>
      </c>
      <c r="O4" s="161">
        <v>1232026</v>
      </c>
      <c r="P4" s="106">
        <f>SUM(L4:O4)</f>
        <v>2916586</v>
      </c>
      <c r="Q4" s="160">
        <v>202473</v>
      </c>
      <c r="R4" s="161">
        <v>648340</v>
      </c>
      <c r="S4" s="161">
        <v>1573551</v>
      </c>
      <c r="T4" s="161">
        <v>3068995</v>
      </c>
      <c r="U4" s="106">
        <f>SUM(Q4:T4)</f>
        <v>5493359</v>
      </c>
      <c r="V4" s="160">
        <v>735748</v>
      </c>
      <c r="W4" s="161">
        <v>2182623</v>
      </c>
      <c r="X4" s="161">
        <v>1052559</v>
      </c>
      <c r="Y4" s="161">
        <v>856507</v>
      </c>
      <c r="Z4" s="106">
        <f>SUM(V4:Y4)</f>
        <v>4827437</v>
      </c>
      <c r="AA4" s="160">
        <v>553956</v>
      </c>
      <c r="AB4" s="161">
        <v>644268</v>
      </c>
      <c r="AC4" s="161">
        <v>1951856</v>
      </c>
      <c r="AD4" s="161">
        <v>2551808</v>
      </c>
      <c r="AE4" s="106">
        <f>SUM(AA4:AD4)</f>
        <v>5701888</v>
      </c>
      <c r="AF4" s="160">
        <v>596294</v>
      </c>
      <c r="AG4" s="161">
        <v>1127458</v>
      </c>
      <c r="AH4" s="161">
        <v>1359402</v>
      </c>
      <c r="AI4" s="161">
        <v>4526728</v>
      </c>
      <c r="AJ4" s="106">
        <f>SUM(AF4:AI4)</f>
        <v>7609882</v>
      </c>
      <c r="AK4" s="160">
        <v>1152000</v>
      </c>
      <c r="AL4" s="161">
        <v>1654100</v>
      </c>
      <c r="AM4" s="161">
        <v>1757000</v>
      </c>
      <c r="AN4" s="161">
        <v>3342000</v>
      </c>
      <c r="AO4" s="106">
        <f>SUM(AK4:AN4)</f>
        <v>7905100</v>
      </c>
      <c r="AP4" s="160">
        <f>890000-AP56</f>
        <v>890000</v>
      </c>
      <c r="AQ4" s="161">
        <f>1089400-AQ56</f>
        <v>1089400</v>
      </c>
      <c r="AR4" s="161">
        <f>1517700-AR56</f>
        <v>1517700</v>
      </c>
      <c r="AS4" s="161">
        <f>2100200-AS56</f>
        <v>1537200</v>
      </c>
      <c r="AT4" s="145">
        <f>SUM(AP4:AS4)</f>
        <v>5034300</v>
      </c>
      <c r="AU4" s="160">
        <f>955200-AU56</f>
        <v>752200</v>
      </c>
      <c r="AV4" s="160">
        <f>1762200-AV56</f>
        <v>1270600</v>
      </c>
      <c r="AW4" s="161">
        <f>1234200-AW56</f>
        <v>1234200</v>
      </c>
      <c r="AX4" s="161">
        <f>2694600-AX56</f>
        <v>2225600</v>
      </c>
      <c r="AY4" s="145">
        <f>SUM(AU4:AX4)</f>
        <v>5482600</v>
      </c>
      <c r="AZ4" s="160">
        <v>1914800</v>
      </c>
      <c r="BA4" s="160">
        <f>890200</f>
        <v>890200</v>
      </c>
      <c r="BB4" s="161">
        <v>783000</v>
      </c>
      <c r="BC4" s="161">
        <f>2260000-BC56</f>
        <v>2154000</v>
      </c>
      <c r="BD4" s="145">
        <f>SUM(AZ4:BC4)</f>
        <v>5742000</v>
      </c>
      <c r="BE4" s="160">
        <v>463000</v>
      </c>
      <c r="BF4" s="160">
        <v>1066000</v>
      </c>
      <c r="BG4" s="161">
        <v>610000</v>
      </c>
      <c r="BH4" s="161">
        <f>760000-BH56</f>
        <v>760000</v>
      </c>
      <c r="BI4" s="145">
        <f>SUM(BE4:BH4)</f>
        <v>2899000</v>
      </c>
      <c r="BJ4" s="160">
        <v>613000</v>
      </c>
      <c r="BK4" s="161">
        <v>598000</v>
      </c>
      <c r="BL4" s="161">
        <v>452000</v>
      </c>
      <c r="BM4" s="161">
        <v>1274000</v>
      </c>
      <c r="BN4" s="145">
        <f>SUM(BJ4:BM4)</f>
        <v>2937000</v>
      </c>
      <c r="BO4" s="160">
        <v>612000</v>
      </c>
      <c r="BP4" s="161">
        <v>640000</v>
      </c>
      <c r="BQ4" s="161">
        <v>531864</v>
      </c>
      <c r="BR4" s="161">
        <v>1269213</v>
      </c>
      <c r="BS4" s="145">
        <f>SUM(BO4:BR4)</f>
        <v>3053077</v>
      </c>
      <c r="BT4" s="160">
        <v>434247</v>
      </c>
      <c r="BU4" s="161">
        <v>981369</v>
      </c>
      <c r="BV4" s="161">
        <v>918000</v>
      </c>
      <c r="BW4" s="161">
        <v>2705197.1986900298</v>
      </c>
      <c r="BX4" s="145">
        <f>SUM(BT4:BW4)</f>
        <v>5038813.1986900298</v>
      </c>
      <c r="BY4" s="160">
        <v>442402.66038540658</v>
      </c>
      <c r="BZ4" s="161">
        <v>1527973.2757022949</v>
      </c>
      <c r="CA4" s="161">
        <v>988720.62907639169</v>
      </c>
      <c r="CB4" s="161">
        <v>1397707.1620498428</v>
      </c>
      <c r="CC4" s="145">
        <f>SUM(BY4:CB4)</f>
        <v>4356803.7272139359</v>
      </c>
      <c r="CD4" s="160">
        <v>1064567.3180079178</v>
      </c>
      <c r="CE4" s="161">
        <v>254197.20162803109</v>
      </c>
      <c r="CF4" s="161">
        <v>1651152.9175326496</v>
      </c>
      <c r="CG4" s="161">
        <v>2873345.7930750027</v>
      </c>
      <c r="CH4" s="145">
        <f>SUM(CD4:CG4)</f>
        <v>5843263.2302436009</v>
      </c>
      <c r="CI4" s="160">
        <v>421347.91319726425</v>
      </c>
      <c r="CJ4" s="161">
        <v>1929075.841066546</v>
      </c>
      <c r="CK4" s="161">
        <v>2199698.7583918041</v>
      </c>
      <c r="CL4" s="161">
        <v>2554858.9026813549</v>
      </c>
      <c r="CM4" s="145">
        <f>SUM(CI4:CL4)</f>
        <v>7104981.4153369684</v>
      </c>
      <c r="CN4" s="160">
        <v>1037664.5885269934</v>
      </c>
      <c r="CO4" s="161">
        <v>2326305.5201217961</v>
      </c>
      <c r="CP4" s="161">
        <v>2927761.3345602378</v>
      </c>
      <c r="CQ4" s="161">
        <v>2821365.0558654917</v>
      </c>
      <c r="CR4" s="145">
        <f>SUM(CN4:CQ4)</f>
        <v>9113096.4990745187</v>
      </c>
      <c r="CS4" s="160">
        <v>1344738.7063083784</v>
      </c>
      <c r="CT4" s="161">
        <v>3514478.6321650636</v>
      </c>
      <c r="CU4" s="161">
        <v>2164572.6195704201</v>
      </c>
      <c r="CV4" s="161">
        <v>2743630.7115199501</v>
      </c>
      <c r="CW4" s="145">
        <f>SUM(CS4:CV4)</f>
        <v>9767420.6695638113</v>
      </c>
      <c r="CX4" s="160">
        <v>1699946.4189411299</v>
      </c>
      <c r="CY4" s="160">
        <v>1461460.7218448</v>
      </c>
      <c r="CZ4" s="161">
        <v>3122581.4100104054</v>
      </c>
      <c r="DA4" s="161">
        <v>6736937.9777078573</v>
      </c>
      <c r="DB4" s="145">
        <f>SUM(CX4:DA4)</f>
        <v>13020926.528504193</v>
      </c>
      <c r="DC4" s="160">
        <v>4862218.0768698482</v>
      </c>
      <c r="DD4" s="160">
        <v>4126457.514775834</v>
      </c>
      <c r="DE4" s="161">
        <v>5049983.4757867297</v>
      </c>
      <c r="DF4" s="161">
        <v>4531350.7807356492</v>
      </c>
      <c r="DG4" s="145">
        <f>SUM(DC4:DF4)</f>
        <v>18570009.84816806</v>
      </c>
      <c r="DH4" s="160">
        <v>2428347.889140645</v>
      </c>
      <c r="DI4" s="160">
        <v>4966518.0866863551</v>
      </c>
      <c r="DJ4" s="161">
        <f>DG4*(1+Macro!DL15)*28%*0.8</f>
        <v>4346867.9052591799</v>
      </c>
      <c r="DK4" s="161">
        <f>DG4*(1+Macro!DL15)*35%*0.8</f>
        <v>5433584.8815739742</v>
      </c>
      <c r="DL4" s="145">
        <f>SUM(DH4:DK4)</f>
        <v>17175318.762660153</v>
      </c>
      <c r="DM4" s="160">
        <f>DL4*(1+Macro!DQ15)*15%*0.9</f>
        <v>2423008.0944422809</v>
      </c>
      <c r="DN4" s="161">
        <f>DL4*(1+Macro!DQ15)*22%*0.9</f>
        <v>3553745.2051820122</v>
      </c>
      <c r="DO4" s="161">
        <f>DL4*(1+Macro!DQ15)*28%*0.9</f>
        <v>4522948.4429589249</v>
      </c>
      <c r="DP4" s="161">
        <f>DL4*(1+Macro!DQ15)*35%*0.9</f>
        <v>5653685.5536986552</v>
      </c>
      <c r="DQ4" s="145">
        <f>SUM(DM4:DP4)</f>
        <v>16153387.296281874</v>
      </c>
      <c r="DR4" s="160">
        <f>DQ4*(1+Macro!DV15)*15%</f>
        <v>2532043.4586921833</v>
      </c>
      <c r="DS4" s="161">
        <f>DQ4*(1+Macro!DV15)*22%</f>
        <v>3713663.7394152028</v>
      </c>
      <c r="DT4" s="161">
        <f>DQ4*(1+Macro!DV15)*28%</f>
        <v>4726481.1228920761</v>
      </c>
      <c r="DU4" s="161">
        <f>DQ4*(1+Macro!DV15)*35%</f>
        <v>5908101.4036150947</v>
      </c>
      <c r="DV4" s="145">
        <f>SUM(DR4:DU4)</f>
        <v>16880289.724614557</v>
      </c>
      <c r="DW4" s="160">
        <f>DV4*(1+Macro!EA15)*15%</f>
        <v>2645985.4143333319</v>
      </c>
      <c r="DX4" s="161">
        <f>DV4*(1+Macro!EA15)*22%</f>
        <v>3880778.6076888866</v>
      </c>
      <c r="DY4" s="161">
        <f>DV4*(1+Macro!EA15)*28%</f>
        <v>4939172.7734222198</v>
      </c>
      <c r="DZ4" s="161">
        <f>DV4*(1+Macro!EA15)*35%</f>
        <v>6173965.9667777736</v>
      </c>
      <c r="EA4" s="145">
        <f>SUM(DW4:DZ4)</f>
        <v>17639902.762222212</v>
      </c>
      <c r="EB4" s="160">
        <f>EA4*(1+Macro!EF15)*15%</f>
        <v>2765054.7579783318</v>
      </c>
      <c r="EC4" s="161">
        <f>EA4*(1+Macro!EF15)*22%</f>
        <v>4055413.6450348864</v>
      </c>
      <c r="ED4" s="161">
        <f>EA4*(1+Macro!EF15)*28%</f>
        <v>5161435.5482262196</v>
      </c>
      <c r="EE4" s="161">
        <f>EA4*(1+Macro!EF15)*35%</f>
        <v>6451794.4352827733</v>
      </c>
      <c r="EF4" s="145">
        <f>SUM(EB4:EE4)</f>
        <v>18433698.386522211</v>
      </c>
    </row>
    <row r="5" spans="1:139" ht="12.75" customHeight="1" outlineLevel="1">
      <c r="A5" s="66" t="s">
        <v>720</v>
      </c>
      <c r="B5" s="160">
        <f>B6*B4</f>
        <v>118982.304</v>
      </c>
      <c r="C5" s="161">
        <f>C6*C4</f>
        <v>118982.304</v>
      </c>
      <c r="D5" s="161">
        <f>D6*D4</f>
        <v>118982.304</v>
      </c>
      <c r="E5" s="160">
        <f>E6*E4</f>
        <v>237964.60800000001</v>
      </c>
      <c r="F5" s="106">
        <f>SUM(B5:E5)</f>
        <v>594911.52</v>
      </c>
      <c r="G5" s="160">
        <f>G6*G4</f>
        <v>176779.91999999998</v>
      </c>
      <c r="H5" s="161">
        <f>H6*H4</f>
        <v>115038.19799999999</v>
      </c>
      <c r="I5" s="161">
        <f>I6*I4</f>
        <v>419623.36</v>
      </c>
      <c r="J5" s="160">
        <f>J6*J4</f>
        <v>123303.795</v>
      </c>
      <c r="K5" s="106">
        <f>SUM(G5:J5)</f>
        <v>834745.27299999993</v>
      </c>
      <c r="L5" s="160">
        <f>L6*L4</f>
        <v>61118.36</v>
      </c>
      <c r="M5" s="161">
        <f>1924391-L5-O5-N5</f>
        <v>603382.6399999999</v>
      </c>
      <c r="N5" s="161">
        <v>416141</v>
      </c>
      <c r="O5" s="160">
        <v>843749</v>
      </c>
      <c r="P5" s="106">
        <f>SUM(L5:O5)</f>
        <v>1924391</v>
      </c>
      <c r="Q5" s="160">
        <v>143428</v>
      </c>
      <c r="R5" s="161">
        <v>448145</v>
      </c>
      <c r="S5" s="161">
        <v>921778</v>
      </c>
      <c r="T5" s="160">
        <v>1949076</v>
      </c>
      <c r="U5" s="106">
        <f>SUM(Q5:T5)</f>
        <v>3462427</v>
      </c>
      <c r="V5" s="160">
        <v>524399</v>
      </c>
      <c r="W5" s="161">
        <v>1412602</v>
      </c>
      <c r="X5" s="161">
        <v>747560</v>
      </c>
      <c r="Y5" s="160">
        <v>639768</v>
      </c>
      <c r="Z5" s="106">
        <f>SUM(V5:Y5)</f>
        <v>3324329</v>
      </c>
      <c r="AA5" s="160">
        <v>416131</v>
      </c>
      <c r="AB5" s="161">
        <v>489895</v>
      </c>
      <c r="AC5" s="161">
        <v>1490921</v>
      </c>
      <c r="AD5" s="160">
        <v>2079332</v>
      </c>
      <c r="AE5" s="106">
        <f>SUM(AA5:AD5)</f>
        <v>4476279</v>
      </c>
      <c r="AF5" s="160">
        <v>481570</v>
      </c>
      <c r="AG5" s="161">
        <v>794093</v>
      </c>
      <c r="AH5" s="161">
        <v>1028090</v>
      </c>
      <c r="AI5" s="160">
        <v>3622285</v>
      </c>
      <c r="AJ5" s="106">
        <f>SUM(AF5:AI5)</f>
        <v>5926038</v>
      </c>
      <c r="AK5" s="160">
        <v>907000</v>
      </c>
      <c r="AL5" s="160">
        <v>1309600</v>
      </c>
      <c r="AM5" s="160">
        <v>1449000</v>
      </c>
      <c r="AN5" s="160">
        <v>2615000</v>
      </c>
      <c r="AO5" s="106">
        <f>SUM(AK5:AN5)</f>
        <v>6280600</v>
      </c>
      <c r="AP5" s="160">
        <v>684000</v>
      </c>
      <c r="AQ5" s="160">
        <v>911300</v>
      </c>
      <c r="AR5" s="160">
        <v>913700</v>
      </c>
      <c r="AS5" s="160">
        <v>1374200</v>
      </c>
      <c r="AT5" s="106">
        <f>SUM(AP5:AS5)</f>
        <v>3883200</v>
      </c>
      <c r="AU5" s="160">
        <v>561200</v>
      </c>
      <c r="AV5" s="160">
        <f>1250700</f>
        <v>1250700</v>
      </c>
      <c r="AW5" s="160">
        <v>911700</v>
      </c>
      <c r="AX5" s="160">
        <f>1921600</f>
        <v>1921600</v>
      </c>
      <c r="AY5" s="106">
        <f>SUM(AU5:AX5)</f>
        <v>4645200</v>
      </c>
      <c r="AZ5" s="160">
        <v>1719600</v>
      </c>
      <c r="BA5" s="160">
        <v>812400</v>
      </c>
      <c r="BB5" s="160">
        <v>509000</v>
      </c>
      <c r="BC5" s="160">
        <v>1813000</v>
      </c>
      <c r="BD5" s="145">
        <f>SUM(AZ5:BC5)</f>
        <v>4854000</v>
      </c>
      <c r="BE5" s="160">
        <v>333000</v>
      </c>
      <c r="BF5" s="160">
        <v>861000</v>
      </c>
      <c r="BG5" s="160">
        <v>505000</v>
      </c>
      <c r="BH5" s="160">
        <v>659000</v>
      </c>
      <c r="BI5" s="145">
        <f>SUM(BE5:BH5)</f>
        <v>2358000</v>
      </c>
      <c r="BJ5" s="160">
        <v>410000</v>
      </c>
      <c r="BK5" s="160">
        <v>494000</v>
      </c>
      <c r="BL5" s="160">
        <v>259000</v>
      </c>
      <c r="BM5" s="160">
        <v>1038000</v>
      </c>
      <c r="BN5" s="145">
        <f>SUM(BJ5:BM5)</f>
        <v>2201000</v>
      </c>
      <c r="BO5" s="160">
        <v>537000</v>
      </c>
      <c r="BP5" s="160">
        <v>448000</v>
      </c>
      <c r="BQ5" s="160">
        <v>379617</v>
      </c>
      <c r="BR5" s="160">
        <v>785760</v>
      </c>
      <c r="BS5" s="145">
        <f>SUM(BO5:BR5)</f>
        <v>2150377</v>
      </c>
      <c r="BT5" s="160">
        <v>258757</v>
      </c>
      <c r="BU5" s="160">
        <v>641318</v>
      </c>
      <c r="BV5" s="160">
        <v>711000</v>
      </c>
      <c r="BW5" s="160">
        <v>1823388.26079799</v>
      </c>
      <c r="BX5" s="145">
        <f>SUM(BT5:BW5)</f>
        <v>3434463.26079799</v>
      </c>
      <c r="BY5" s="160">
        <v>371944.62601480703</v>
      </c>
      <c r="BZ5" s="160">
        <v>1387463.9782219885</v>
      </c>
      <c r="CA5" s="160">
        <v>870293.566233875</v>
      </c>
      <c r="CB5" s="160">
        <v>1192120.6505395812</v>
      </c>
      <c r="CC5" s="145">
        <f>SUM(BY5:CB5)</f>
        <v>3821822.821010252</v>
      </c>
      <c r="CD5" s="160">
        <v>839094.32542583498</v>
      </c>
      <c r="CE5" s="160">
        <v>217971.058388818</v>
      </c>
      <c r="CF5" s="160">
        <v>1531547.6030607154</v>
      </c>
      <c r="CG5" s="160">
        <v>2580581.0500145601</v>
      </c>
      <c r="CH5" s="145">
        <f>SUM(CD5:CG5)</f>
        <v>5169194.0368899284</v>
      </c>
      <c r="CI5" s="160">
        <v>381041.80977402761</v>
      </c>
      <c r="CJ5" s="160">
        <v>1617168.6114531984</v>
      </c>
      <c r="CK5" s="160">
        <v>1986951.4159092936</v>
      </c>
      <c r="CL5" s="160">
        <v>2407899.9297673902</v>
      </c>
      <c r="CM5" s="145">
        <f>SUM(CI5:CL5)</f>
        <v>6393061.7669039099</v>
      </c>
      <c r="CN5" s="160">
        <v>886569.27700222842</v>
      </c>
      <c r="CO5" s="160">
        <v>1821469.4791339329</v>
      </c>
      <c r="CP5" s="160">
        <v>2149310.4600261548</v>
      </c>
      <c r="CQ5" s="160">
        <v>1642170.1691949852</v>
      </c>
      <c r="CR5" s="145">
        <f>SUM(CN5:CQ5)</f>
        <v>6499519.3853573017</v>
      </c>
      <c r="CS5" s="160">
        <v>933713.6368974559</v>
      </c>
      <c r="CT5" s="160">
        <v>2732173.329466471</v>
      </c>
      <c r="CU5" s="160">
        <v>1552110.0100062317</v>
      </c>
      <c r="CV5" s="160">
        <v>1750976.7804381</v>
      </c>
      <c r="CW5" s="145">
        <f>SUM(CS5:CV5)</f>
        <v>6968973.7568082586</v>
      </c>
      <c r="CX5" s="160">
        <v>1323060.2237212299</v>
      </c>
      <c r="CY5" s="160">
        <v>1079020.3291039199</v>
      </c>
      <c r="CZ5" s="160">
        <v>2550576.5407380033</v>
      </c>
      <c r="DA5" s="160">
        <v>4981754.2161162477</v>
      </c>
      <c r="DB5" s="145">
        <f>SUM(CX5:DA5)</f>
        <v>9934411.3096794002</v>
      </c>
      <c r="DC5" s="160">
        <v>3383000</v>
      </c>
      <c r="DD5" s="160">
        <v>2998516.6106933272</v>
      </c>
      <c r="DE5" s="160">
        <v>3484194.6550740344</v>
      </c>
      <c r="DF5" s="160">
        <v>3453815.6508481065</v>
      </c>
      <c r="DG5" s="145">
        <f>SUM(DC5:DF5)</f>
        <v>13319526.916615468</v>
      </c>
      <c r="DH5" s="160">
        <v>1777244.3927075234</v>
      </c>
      <c r="DI5" s="160">
        <v>3909893.2594107981</v>
      </c>
      <c r="DJ5" s="350">
        <f>DJ4*DJ6</f>
        <v>3422073.4175683912</v>
      </c>
      <c r="DK5" s="350">
        <f>DK4*DK6</f>
        <v>4277591.7719604885</v>
      </c>
      <c r="DL5" s="145">
        <f>SUM(DH5:DK5)</f>
        <v>13386802.8416472</v>
      </c>
      <c r="DM5" s="350">
        <f>DM4*DM6</f>
        <v>1907514.0471860238</v>
      </c>
      <c r="DN5" s="350">
        <f>DN4*DN6</f>
        <v>2797687.2692061681</v>
      </c>
      <c r="DO5" s="350">
        <f>DO4*DO6</f>
        <v>3560692.8880805783</v>
      </c>
      <c r="DP5" s="350">
        <f>DP4*DP6</f>
        <v>4450866.1101007219</v>
      </c>
      <c r="DQ5" s="145">
        <f>SUM(DM5:DP5)</f>
        <v>12716760.314573493</v>
      </c>
      <c r="DR5" s="350">
        <f>DR4*DR6</f>
        <v>1993352.1793093947</v>
      </c>
      <c r="DS5" s="350">
        <f>DS4*DS6</f>
        <v>2923583.1963204457</v>
      </c>
      <c r="DT5" s="350">
        <f>DT4*DT6</f>
        <v>3720924.0680442038</v>
      </c>
      <c r="DU5" s="350">
        <f>DU4*DU6</f>
        <v>4651155.0850552544</v>
      </c>
      <c r="DV5" s="145">
        <f>SUM(DR5:DU5)</f>
        <v>13289014.528729299</v>
      </c>
      <c r="DW5" s="350">
        <f>DW4*DW6</f>
        <v>2083053.0273783177</v>
      </c>
      <c r="DX5" s="350">
        <f>DX4*DX6</f>
        <v>3055144.4401548658</v>
      </c>
      <c r="DY5" s="350">
        <f>DY4*DY6</f>
        <v>3888365.6511061932</v>
      </c>
      <c r="DZ5" s="350">
        <f>DZ4*DZ6</f>
        <v>4860457.0638827402</v>
      </c>
      <c r="EA5" s="145">
        <f>SUM(DW5:DZ5)</f>
        <v>13887020.182522116</v>
      </c>
      <c r="EB5" s="350">
        <f>EB4*EB6</f>
        <v>2176790.413610342</v>
      </c>
      <c r="EC5" s="350">
        <f>EC4*EC6</f>
        <v>3192625.9399618348</v>
      </c>
      <c r="ED5" s="350">
        <f>ED4*ED6</f>
        <v>4063342.1054059719</v>
      </c>
      <c r="EE5" s="350">
        <f>EE4*EE6</f>
        <v>5079177.6317574643</v>
      </c>
      <c r="EF5" s="145">
        <f>SUM(EB5:EE5)</f>
        <v>14511936.090735612</v>
      </c>
      <c r="EI5" s="114"/>
    </row>
    <row r="6" spans="1:139" ht="12.75" customHeight="1" outlineLevel="1">
      <c r="A6" s="66" t="s">
        <v>725</v>
      </c>
      <c r="B6" s="122">
        <v>0.72</v>
      </c>
      <c r="C6" s="122">
        <v>0.72</v>
      </c>
      <c r="D6" s="122">
        <v>0.72</v>
      </c>
      <c r="E6" s="122">
        <v>0.72</v>
      </c>
      <c r="F6" s="111">
        <f>F5/F4</f>
        <v>0.72</v>
      </c>
      <c r="G6" s="122">
        <v>0.98499999999999999</v>
      </c>
      <c r="H6" s="122">
        <v>0.59399999999999997</v>
      </c>
      <c r="I6" s="122">
        <v>0.83199999999999996</v>
      </c>
      <c r="J6" s="122">
        <v>0.70499999999999996</v>
      </c>
      <c r="K6" s="111">
        <f>K5/K4</f>
        <v>0.7931877853615521</v>
      </c>
      <c r="L6" s="122">
        <v>0.62</v>
      </c>
      <c r="M6" s="122">
        <f t="shared" ref="M6:AK6" si="1">M5/M4</f>
        <v>0.66451027575657107</v>
      </c>
      <c r="N6" s="122">
        <f t="shared" si="1"/>
        <v>0.61380354026942152</v>
      </c>
      <c r="O6" s="122">
        <f t="shared" si="1"/>
        <v>0.68484674836407677</v>
      </c>
      <c r="P6" s="111">
        <f t="shared" si="1"/>
        <v>0.65980944844417411</v>
      </c>
      <c r="Q6" s="122">
        <f t="shared" si="1"/>
        <v>0.70838087053582455</v>
      </c>
      <c r="R6" s="122">
        <f t="shared" si="1"/>
        <v>0.69121911342813958</v>
      </c>
      <c r="S6" s="122">
        <f t="shared" si="1"/>
        <v>0.58579480423576991</v>
      </c>
      <c r="T6" s="122">
        <f t="shared" si="1"/>
        <v>0.63508607866744649</v>
      </c>
      <c r="U6" s="111">
        <f t="shared" si="1"/>
        <v>0.63029323224642697</v>
      </c>
      <c r="V6" s="122">
        <f t="shared" si="1"/>
        <v>0.71274267819960091</v>
      </c>
      <c r="W6" s="122">
        <f t="shared" si="1"/>
        <v>0.64720384601463465</v>
      </c>
      <c r="X6" s="122">
        <f t="shared" si="1"/>
        <v>0.71023097042541083</v>
      </c>
      <c r="Y6" s="122">
        <f t="shared" si="1"/>
        <v>0.74695011249178345</v>
      </c>
      <c r="Z6" s="111">
        <f t="shared" si="1"/>
        <v>0.68863229079944488</v>
      </c>
      <c r="AA6" s="122">
        <f t="shared" si="1"/>
        <v>0.75119865115640949</v>
      </c>
      <c r="AB6" s="122">
        <f t="shared" si="1"/>
        <v>0.76039008611323233</v>
      </c>
      <c r="AC6" s="122">
        <f t="shared" si="1"/>
        <v>0.76384784533285244</v>
      </c>
      <c r="AD6" s="122">
        <f t="shared" si="1"/>
        <v>0.8148465715288925</v>
      </c>
      <c r="AE6" s="111">
        <f t="shared" si="1"/>
        <v>0.78505207397970633</v>
      </c>
      <c r="AF6" s="122">
        <f t="shared" si="1"/>
        <v>0.80760497338561177</v>
      </c>
      <c r="AG6" s="122">
        <f t="shared" si="1"/>
        <v>0.70432158004998857</v>
      </c>
      <c r="AH6" s="122">
        <f t="shared" si="1"/>
        <v>0.75628107064724048</v>
      </c>
      <c r="AI6" s="122">
        <f t="shared" si="1"/>
        <v>0.80019939346919011</v>
      </c>
      <c r="AJ6" s="111">
        <f>AJ5/AJ4</f>
        <v>0.77872928910067196</v>
      </c>
      <c r="AK6" s="122">
        <f t="shared" si="1"/>
        <v>0.78732638888888884</v>
      </c>
      <c r="AL6" s="122">
        <f t="shared" ref="AL6:AY6" si="2">AL5/AL4</f>
        <v>0.79172964149688652</v>
      </c>
      <c r="AM6" s="122">
        <f t="shared" si="2"/>
        <v>0.82470119521912355</v>
      </c>
      <c r="AN6" s="122">
        <f t="shared" si="2"/>
        <v>0.78246558946738476</v>
      </c>
      <c r="AO6" s="111">
        <f t="shared" si="2"/>
        <v>0.79449975332380363</v>
      </c>
      <c r="AP6" s="122">
        <f t="shared" si="2"/>
        <v>0.76853932584269657</v>
      </c>
      <c r="AQ6" s="122">
        <f t="shared" si="2"/>
        <v>0.83651551312649164</v>
      </c>
      <c r="AR6" s="122">
        <f t="shared" si="2"/>
        <v>0.60202938657178628</v>
      </c>
      <c r="AS6" s="122">
        <f t="shared" si="2"/>
        <v>0.89396304970075458</v>
      </c>
      <c r="AT6" s="111">
        <f t="shared" si="2"/>
        <v>0.77134854895417437</v>
      </c>
      <c r="AU6" s="122">
        <f t="shared" si="2"/>
        <v>0.74607817069928206</v>
      </c>
      <c r="AV6" s="122">
        <f t="shared" si="2"/>
        <v>0.98433810798048171</v>
      </c>
      <c r="AW6" s="122">
        <f t="shared" si="2"/>
        <v>0.73869713174526008</v>
      </c>
      <c r="AX6" s="122">
        <f t="shared" si="2"/>
        <v>0.86340762041696617</v>
      </c>
      <c r="AY6" s="111">
        <f t="shared" si="2"/>
        <v>0.8472622478386167</v>
      </c>
      <c r="AZ6" s="122">
        <f t="shared" ref="AZ6:BE6" si="3">AZ5/AZ4</f>
        <v>0.89805723835387508</v>
      </c>
      <c r="BA6" s="122">
        <f t="shared" si="3"/>
        <v>0.91260390923388002</v>
      </c>
      <c r="BB6" s="122">
        <f t="shared" si="3"/>
        <v>0.65006385696040869</v>
      </c>
      <c r="BC6" s="122">
        <f t="shared" si="3"/>
        <v>0.84168987929433614</v>
      </c>
      <c r="BD6" s="111">
        <f>BD5/BD4</f>
        <v>0.84535005224660398</v>
      </c>
      <c r="BE6" s="122">
        <f t="shared" si="3"/>
        <v>0.71922246220302377</v>
      </c>
      <c r="BF6" s="122">
        <f t="shared" ref="BF6:CX6" si="4">BF5/BF4</f>
        <v>0.80769230769230771</v>
      </c>
      <c r="BG6" s="122">
        <f t="shared" si="4"/>
        <v>0.82786885245901642</v>
      </c>
      <c r="BH6" s="122">
        <f t="shared" si="4"/>
        <v>0.86710526315789471</v>
      </c>
      <c r="BI6" s="111">
        <f t="shared" si="4"/>
        <v>0.81338392549154881</v>
      </c>
      <c r="BJ6" s="122">
        <f t="shared" si="4"/>
        <v>0.66884176182707988</v>
      </c>
      <c r="BK6" s="122">
        <f t="shared" si="4"/>
        <v>0.82608695652173914</v>
      </c>
      <c r="BL6" s="122">
        <f t="shared" si="4"/>
        <v>0.57300884955752207</v>
      </c>
      <c r="BM6" s="122">
        <f t="shared" si="4"/>
        <v>0.81475667189952905</v>
      </c>
      <c r="BN6" s="111">
        <f t="shared" si="4"/>
        <v>0.74940415389853587</v>
      </c>
      <c r="BO6" s="122">
        <f t="shared" si="4"/>
        <v>0.87745098039215685</v>
      </c>
      <c r="BP6" s="122">
        <f t="shared" si="4"/>
        <v>0.7</v>
      </c>
      <c r="BQ6" s="122">
        <f t="shared" si="4"/>
        <v>0.71374825143269705</v>
      </c>
      <c r="BR6" s="122">
        <f t="shared" si="4"/>
        <v>0.61909230365588752</v>
      </c>
      <c r="BS6" s="111">
        <f t="shared" si="4"/>
        <v>0.70433107320909361</v>
      </c>
      <c r="BT6" s="122">
        <f t="shared" si="4"/>
        <v>0.59587515860788909</v>
      </c>
      <c r="BU6" s="122">
        <f t="shared" si="4"/>
        <v>0.65349323241308821</v>
      </c>
      <c r="BV6" s="122">
        <f t="shared" si="4"/>
        <v>0.77450980392156865</v>
      </c>
      <c r="BW6" s="122">
        <f t="shared" si="4"/>
        <v>0.67403154996646875</v>
      </c>
      <c r="BX6" s="111">
        <f t="shared" si="4"/>
        <v>0.68160162430527649</v>
      </c>
      <c r="BY6" s="122">
        <f t="shared" si="4"/>
        <v>0.84073776972946135</v>
      </c>
      <c r="BZ6" s="122">
        <f t="shared" si="4"/>
        <v>0.90804204516225928</v>
      </c>
      <c r="CA6" s="122">
        <f t="shared" si="4"/>
        <v>0.88022191571632857</v>
      </c>
      <c r="CB6" s="122">
        <f t="shared" si="4"/>
        <v>0.85291159901566682</v>
      </c>
      <c r="CC6" s="111">
        <f t="shared" si="4"/>
        <v>0.8772079396503385</v>
      </c>
      <c r="CD6" s="122">
        <f t="shared" si="4"/>
        <v>0.78820222190927158</v>
      </c>
      <c r="CE6" s="122">
        <f t="shared" si="4"/>
        <v>0.85748803288470843</v>
      </c>
      <c r="CF6" s="122">
        <f t="shared" si="4"/>
        <v>0.92756254541786309</v>
      </c>
      <c r="CG6" s="122">
        <f t="shared" si="4"/>
        <v>0.89811016002110522</v>
      </c>
      <c r="CH6" s="111">
        <f t="shared" si="4"/>
        <v>0.88464165196857458</v>
      </c>
      <c r="CI6" s="122">
        <f t="shared" si="4"/>
        <v>0.90434009007571292</v>
      </c>
      <c r="CJ6" s="122">
        <f t="shared" si="4"/>
        <v>0.83831261427186776</v>
      </c>
      <c r="CK6" s="122">
        <f t="shared" si="4"/>
        <v>0.9032834192996273</v>
      </c>
      <c r="CL6" s="122">
        <f t="shared" si="4"/>
        <v>0.94247863443271584</v>
      </c>
      <c r="CM6" s="111">
        <f t="shared" si="4"/>
        <v>0.89979992813263476</v>
      </c>
      <c r="CN6" s="122">
        <f t="shared" si="4"/>
        <v>0.8543890644478378</v>
      </c>
      <c r="CO6" s="122">
        <f t="shared" si="4"/>
        <v>0.78298807417117244</v>
      </c>
      <c r="CP6" s="122">
        <f t="shared" si="4"/>
        <v>0.73411395753301401</v>
      </c>
      <c r="CQ6" s="122">
        <f t="shared" si="4"/>
        <v>0.58204809965338833</v>
      </c>
      <c r="CR6" s="111">
        <f t="shared" si="4"/>
        <v>0.71320647005300131</v>
      </c>
      <c r="CS6" s="122">
        <f t="shared" si="4"/>
        <v>0.69434577328462399</v>
      </c>
      <c r="CT6" s="122">
        <f t="shared" si="4"/>
        <v>0.77740501947036722</v>
      </c>
      <c r="CU6" s="122">
        <f t="shared" si="4"/>
        <v>0.71705148442386868</v>
      </c>
      <c r="CV6" s="122">
        <f t="shared" si="4"/>
        <v>0.63819696035844142</v>
      </c>
      <c r="CW6" s="111">
        <f t="shared" si="4"/>
        <v>0.71349171829203872</v>
      </c>
      <c r="CX6" s="122">
        <f t="shared" si="4"/>
        <v>0.77829525035579861</v>
      </c>
      <c r="CY6" s="122">
        <f t="shared" ref="CY6:DA6" si="5">CY5/CY4</f>
        <v>0.73831633856151391</v>
      </c>
      <c r="CZ6" s="122">
        <f t="shared" si="5"/>
        <v>0.81681666731292812</v>
      </c>
      <c r="DA6" s="122">
        <f t="shared" si="5"/>
        <v>0.73946861802803998</v>
      </c>
      <c r="DB6" s="111">
        <f>DB5/DB4</f>
        <v>0.76295732780089942</v>
      </c>
      <c r="DC6" s="122">
        <f t="shared" ref="DC6:DD6" si="6">DC5/DC4</f>
        <v>0.6957729880717064</v>
      </c>
      <c r="DD6" s="122">
        <f t="shared" si="6"/>
        <v>0.72665636322593252</v>
      </c>
      <c r="DE6" s="122">
        <f>DE5/DE4</f>
        <v>0.68994179323155835</v>
      </c>
      <c r="DF6" s="122">
        <f t="shared" ref="DF6" si="7">DF5/DF4</f>
        <v>0.76220443262337578</v>
      </c>
      <c r="DG6" s="111">
        <f>DG5/DG4</f>
        <v>0.71726008901010063</v>
      </c>
      <c r="DH6" s="122">
        <f t="shared" ref="DH6:DI6" si="8">DH5/DH4</f>
        <v>0.73187388044983248</v>
      </c>
      <c r="DI6" s="122">
        <f t="shared" si="8"/>
        <v>0.78725038168933081</v>
      </c>
      <c r="DJ6" s="162">
        <f>DI6</f>
        <v>0.78725038168933081</v>
      </c>
      <c r="DK6" s="162">
        <f>DJ6</f>
        <v>0.78725038168933081</v>
      </c>
      <c r="DL6" s="111">
        <f>DL5/DL4</f>
        <v>0.77942092526111706</v>
      </c>
      <c r="DM6" s="162">
        <f>DK6</f>
        <v>0.78725038168933081</v>
      </c>
      <c r="DN6" s="162">
        <f>DM6</f>
        <v>0.78725038168933081</v>
      </c>
      <c r="DO6" s="162">
        <f>DN6</f>
        <v>0.78725038168933081</v>
      </c>
      <c r="DP6" s="162">
        <f>DO6</f>
        <v>0.78725038168933081</v>
      </c>
      <c r="DQ6" s="111">
        <f>DQ5/DQ4</f>
        <v>0.78725038168933081</v>
      </c>
      <c r="DR6" s="162">
        <f>DP6</f>
        <v>0.78725038168933081</v>
      </c>
      <c r="DS6" s="162">
        <f>DR6</f>
        <v>0.78725038168933081</v>
      </c>
      <c r="DT6" s="162">
        <f>DS6</f>
        <v>0.78725038168933081</v>
      </c>
      <c r="DU6" s="162">
        <f>DT6</f>
        <v>0.78725038168933081</v>
      </c>
      <c r="DV6" s="111">
        <f>DV5/DV4</f>
        <v>0.78725038168933081</v>
      </c>
      <c r="DW6" s="162">
        <f>DU6</f>
        <v>0.78725038168933081</v>
      </c>
      <c r="DX6" s="162">
        <f>DW6</f>
        <v>0.78725038168933081</v>
      </c>
      <c r="DY6" s="162">
        <f>DX6</f>
        <v>0.78725038168933081</v>
      </c>
      <c r="DZ6" s="162">
        <f>DY6</f>
        <v>0.78725038168933081</v>
      </c>
      <c r="EA6" s="111">
        <f>EA5/EA4</f>
        <v>0.78725038168933081</v>
      </c>
      <c r="EB6" s="162">
        <f>DZ6</f>
        <v>0.78725038168933081</v>
      </c>
      <c r="EC6" s="162">
        <f>EB6</f>
        <v>0.78725038168933081</v>
      </c>
      <c r="ED6" s="162">
        <f>EC6</f>
        <v>0.78725038168933081</v>
      </c>
      <c r="EE6" s="162">
        <f>ED6</f>
        <v>0.78725038168933081</v>
      </c>
      <c r="EF6" s="111">
        <f>EF5/EF4</f>
        <v>0.78725038168933081</v>
      </c>
    </row>
    <row r="7" spans="1:139" ht="12.75" customHeight="1">
      <c r="A7" s="66" t="s">
        <v>721</v>
      </c>
      <c r="B7" s="160">
        <f>2444*20%</f>
        <v>488.8</v>
      </c>
      <c r="C7" s="161">
        <f>2444*20%</f>
        <v>488.8</v>
      </c>
      <c r="D7" s="161">
        <f>2444*20%</f>
        <v>488.8</v>
      </c>
      <c r="E7" s="160">
        <f>2444*40%</f>
        <v>977.6</v>
      </c>
      <c r="F7" s="106">
        <f>SUM(B7:E7)</f>
        <v>2444</v>
      </c>
      <c r="G7" s="160">
        <v>489</v>
      </c>
      <c r="H7" s="161">
        <v>440</v>
      </c>
      <c r="I7" s="161">
        <v>1164</v>
      </c>
      <c r="J7" s="160">
        <v>639</v>
      </c>
      <c r="K7" s="106">
        <f>SUM(G7:J7)</f>
        <v>2732</v>
      </c>
      <c r="L7" s="160">
        <v>499</v>
      </c>
      <c r="M7" s="161">
        <v>1522</v>
      </c>
      <c r="N7" s="161">
        <v>876</v>
      </c>
      <c r="O7" s="160">
        <v>4419</v>
      </c>
      <c r="P7" s="106">
        <f>SUM(L7:O7)</f>
        <v>7316</v>
      </c>
      <c r="Q7" s="160">
        <v>718</v>
      </c>
      <c r="R7" s="161">
        <v>3292</v>
      </c>
      <c r="S7" s="161">
        <v>4129</v>
      </c>
      <c r="T7" s="160">
        <v>9561</v>
      </c>
      <c r="U7" s="106">
        <f>SUM(Q7:T7)</f>
        <v>17700</v>
      </c>
      <c r="V7" s="160">
        <v>3264</v>
      </c>
      <c r="W7" s="161">
        <f>15479-V7-X7</f>
        <v>7084</v>
      </c>
      <c r="X7" s="161">
        <v>5131</v>
      </c>
      <c r="Y7" s="160">
        <v>2791</v>
      </c>
      <c r="Z7" s="106">
        <f>SUM(V7:Y7)</f>
        <v>18270</v>
      </c>
      <c r="AA7" s="160">
        <v>2271</v>
      </c>
      <c r="AB7" s="161">
        <v>2945</v>
      </c>
      <c r="AC7" s="161">
        <v>7858</v>
      </c>
      <c r="AD7" s="160">
        <v>13498</v>
      </c>
      <c r="AE7" s="106">
        <f>SUM(AA7:AD7)</f>
        <v>26572</v>
      </c>
      <c r="AF7" s="160">
        <v>3134</v>
      </c>
      <c r="AG7" s="161">
        <v>5361</v>
      </c>
      <c r="AH7" s="161">
        <v>7858</v>
      </c>
      <c r="AI7" s="160">
        <v>13506</v>
      </c>
      <c r="AJ7" s="106">
        <f>SUM(AF7:AI7)</f>
        <v>29859</v>
      </c>
      <c r="AK7" s="160">
        <v>3755</v>
      </c>
      <c r="AL7" s="160">
        <v>6325</v>
      </c>
      <c r="AM7" s="160">
        <v>5087</v>
      </c>
      <c r="AN7" s="160">
        <v>10956</v>
      </c>
      <c r="AO7" s="106">
        <f>SUM(AK7:AN7)</f>
        <v>26123</v>
      </c>
      <c r="AP7" s="160">
        <v>2195</v>
      </c>
      <c r="AQ7" s="160">
        <v>3148</v>
      </c>
      <c r="AR7" s="160">
        <v>5046</v>
      </c>
      <c r="AS7" s="160">
        <f>12981-7436</f>
        <v>5545</v>
      </c>
      <c r="AT7" s="106">
        <f>SUM(AP7:AS7)</f>
        <v>15934</v>
      </c>
      <c r="AU7" s="160">
        <f>3845-2160</f>
        <v>1685</v>
      </c>
      <c r="AV7" s="160">
        <f>8751-288*2-240-140-240-180-120-980-500-1616-780</f>
        <v>3379</v>
      </c>
      <c r="AW7" s="160">
        <v>2416</v>
      </c>
      <c r="AX7" s="160">
        <f>12852-5436</f>
        <v>7416</v>
      </c>
      <c r="AY7" s="106">
        <f>SUM(AU7:AX7)</f>
        <v>14896</v>
      </c>
      <c r="AZ7" s="160">
        <v>2406</v>
      </c>
      <c r="BA7" s="160">
        <v>2344</v>
      </c>
      <c r="BB7" s="160">
        <v>2220</v>
      </c>
      <c r="BC7" s="160">
        <f>6168-1100</f>
        <v>5068</v>
      </c>
      <c r="BD7" s="106">
        <f>SUM(AZ7:BC7)</f>
        <v>12038</v>
      </c>
      <c r="BE7" s="160">
        <v>1606</v>
      </c>
      <c r="BF7" s="160">
        <v>4333</v>
      </c>
      <c r="BG7" s="160">
        <v>1127</v>
      </c>
      <c r="BH7" s="160">
        <v>1298</v>
      </c>
      <c r="BI7" s="106">
        <f>SUM(BE7:BH7)</f>
        <v>8364</v>
      </c>
      <c r="BJ7" s="160">
        <v>1530</v>
      </c>
      <c r="BK7" s="160">
        <v>1840</v>
      </c>
      <c r="BL7" s="160">
        <v>1630</v>
      </c>
      <c r="BM7" s="160">
        <v>4726</v>
      </c>
      <c r="BN7" s="106">
        <f>SUM(BJ7:BM7)</f>
        <v>9726</v>
      </c>
      <c r="BO7" s="160">
        <v>711</v>
      </c>
      <c r="BP7" s="160">
        <v>2082</v>
      </c>
      <c r="BQ7" s="160">
        <v>2050</v>
      </c>
      <c r="BR7" s="160">
        <v>4125</v>
      </c>
      <c r="BS7" s="106">
        <f>SUM(BO7:BR7)</f>
        <v>8968</v>
      </c>
      <c r="BT7" s="160">
        <v>2111</v>
      </c>
      <c r="BU7" s="160">
        <v>3138</v>
      </c>
      <c r="BV7" s="160">
        <v>2821</v>
      </c>
      <c r="BW7" s="160">
        <v>7075</v>
      </c>
      <c r="BX7" s="106">
        <f>SUM(BT7:BW7)</f>
        <v>15145</v>
      </c>
      <c r="BY7" s="160">
        <v>1516</v>
      </c>
      <c r="BZ7" s="160">
        <v>2935</v>
      </c>
      <c r="CA7" s="160">
        <v>2107</v>
      </c>
      <c r="CB7" s="160">
        <v>3205</v>
      </c>
      <c r="CC7" s="106">
        <f>SUM(BY7:CB7)</f>
        <v>9763</v>
      </c>
      <c r="CD7" s="160">
        <v>3533</v>
      </c>
      <c r="CE7" s="160">
        <v>804</v>
      </c>
      <c r="CF7" s="160">
        <v>3160</v>
      </c>
      <c r="CG7" s="160">
        <v>7672</v>
      </c>
      <c r="CH7" s="106">
        <f>SUM(CD7:CG7)</f>
        <v>15169</v>
      </c>
      <c r="CI7" s="160">
        <v>674</v>
      </c>
      <c r="CJ7" s="160">
        <v>4403</v>
      </c>
      <c r="CK7" s="160">
        <v>3780</v>
      </c>
      <c r="CL7" s="160">
        <v>7672</v>
      </c>
      <c r="CM7" s="106">
        <f>SUM(CI7:CL7)</f>
        <v>16529</v>
      </c>
      <c r="CN7" s="160">
        <v>1284</v>
      </c>
      <c r="CO7" s="160">
        <v>3751</v>
      </c>
      <c r="CP7" s="160">
        <v>4453</v>
      </c>
      <c r="CQ7" s="160">
        <v>4698</v>
      </c>
      <c r="CR7" s="106">
        <f>SUM(CN7:CQ7)</f>
        <v>14186</v>
      </c>
      <c r="CS7" s="160">
        <v>2123</v>
      </c>
      <c r="CT7" s="160">
        <v>4282</v>
      </c>
      <c r="CU7" s="160">
        <v>4317</v>
      </c>
      <c r="CV7" s="160">
        <v>3256</v>
      </c>
      <c r="CW7" s="106">
        <f>SUM(CS7:CV7)</f>
        <v>13978</v>
      </c>
      <c r="CX7" s="160">
        <v>3266</v>
      </c>
      <c r="CY7" s="160">
        <v>2965</v>
      </c>
      <c r="CZ7" s="160">
        <v>5500</v>
      </c>
      <c r="DA7" s="160">
        <v>8851</v>
      </c>
      <c r="DB7" s="106">
        <f>SUM(CX7:DA7)</f>
        <v>20582</v>
      </c>
      <c r="DC7" s="160">
        <v>6281</v>
      </c>
      <c r="DD7" s="160">
        <v>6847</v>
      </c>
      <c r="DE7" s="160">
        <v>6760</v>
      </c>
      <c r="DF7" s="160">
        <v>8457</v>
      </c>
      <c r="DG7" s="106">
        <f>SUM(DC7:DF7)</f>
        <v>28345</v>
      </c>
      <c r="DH7" s="160">
        <v>5527</v>
      </c>
      <c r="DI7" s="160">
        <v>7791</v>
      </c>
      <c r="DJ7" s="79">
        <f>DJ4/DJ8*1000</f>
        <v>6744.3259782570585</v>
      </c>
      <c r="DK7" s="79">
        <f>DK4/DK8*1000</f>
        <v>8338.1459669168726</v>
      </c>
      <c r="DL7" s="106">
        <f>SUM(DH7:DK7)</f>
        <v>28400.471945173933</v>
      </c>
      <c r="DM7" s="79">
        <f>DM4/DM8*1000</f>
        <v>3677.5520659997674</v>
      </c>
      <c r="DN7" s="79">
        <f>DN4/DN8*1000</f>
        <v>5334.7144652592278</v>
      </c>
      <c r="DO7" s="79">
        <f>DO4/DO8*1000</f>
        <v>6715.3315127607766</v>
      </c>
      <c r="DP7" s="79">
        <f>DP4/DP8*1000</f>
        <v>8302.2995255793485</v>
      </c>
      <c r="DQ7" s="106">
        <f>SUM(DM7:DP7)</f>
        <v>24029.897569599121</v>
      </c>
      <c r="DR7" s="79">
        <f>DR4/DR8*1000</f>
        <v>3677.5520659997674</v>
      </c>
      <c r="DS7" s="79">
        <f>DS4/DS8*1000</f>
        <v>5334.7144652592297</v>
      </c>
      <c r="DT7" s="79">
        <f>DT4/DT8*1000</f>
        <v>6715.3315127607775</v>
      </c>
      <c r="DU7" s="79">
        <f>DU4/DU8*1000</f>
        <v>8302.2995255793485</v>
      </c>
      <c r="DV7" s="106">
        <f>SUM(DR7:DU7)</f>
        <v>24029.897569599125</v>
      </c>
      <c r="DW7" s="79">
        <f>DW4/DW8*1000</f>
        <v>3677.5520659997678</v>
      </c>
      <c r="DX7" s="79">
        <f>DX4/DX8*1000</f>
        <v>5334.7144652592287</v>
      </c>
      <c r="DY7" s="79">
        <f>DY4/DY8*1000</f>
        <v>6715.3315127607775</v>
      </c>
      <c r="DZ7" s="79">
        <f>DZ4/DZ8*1000</f>
        <v>8302.2995255793485</v>
      </c>
      <c r="EA7" s="106">
        <f>SUM(DW7:DZ7)</f>
        <v>24029.897569599125</v>
      </c>
      <c r="EB7" s="79">
        <f>EB4/EB8*1000</f>
        <v>3677.5520659997687</v>
      </c>
      <c r="EC7" s="79">
        <f>EC4/EC8*1000</f>
        <v>5334.7144652592297</v>
      </c>
      <c r="ED7" s="79">
        <f>ED4/ED8*1000</f>
        <v>6715.3315127607793</v>
      </c>
      <c r="EE7" s="79">
        <f>EE4/EE8*1000</f>
        <v>8302.2995255793503</v>
      </c>
      <c r="EF7" s="106">
        <f>SUM(EB7:EE7)</f>
        <v>24029.897569599128</v>
      </c>
    </row>
    <row r="8" spans="1:139" s="157" customFormat="1" ht="12.75" customHeight="1">
      <c r="A8" s="157" t="s">
        <v>724</v>
      </c>
      <c r="B8" s="215">
        <f>B4*1000/B7</f>
        <v>338079.37806873978</v>
      </c>
      <c r="C8" s="215">
        <f>C4*1000/C7</f>
        <v>338079.37806873978</v>
      </c>
      <c r="D8" s="215">
        <f>D4*1000/D7</f>
        <v>338079.37806873978</v>
      </c>
      <c r="E8" s="215">
        <f>E4*1000/E7</f>
        <v>338079.37806873978</v>
      </c>
      <c r="F8" s="207">
        <f t="shared" ref="F8:AN8" si="9">F4*1000/F7</f>
        <v>338079.37806873978</v>
      </c>
      <c r="G8" s="215">
        <f t="shared" si="9"/>
        <v>367018.40490797546</v>
      </c>
      <c r="H8" s="215">
        <f t="shared" si="9"/>
        <v>440152.27272727271</v>
      </c>
      <c r="I8" s="215">
        <f t="shared" si="9"/>
        <v>433294.6735395189</v>
      </c>
      <c r="J8" s="215">
        <f t="shared" si="9"/>
        <v>273707.3552425665</v>
      </c>
      <c r="K8" s="207">
        <f t="shared" si="9"/>
        <v>385209.73645680823</v>
      </c>
      <c r="L8" s="215">
        <f t="shared" si="9"/>
        <v>197551.10220440882</v>
      </c>
      <c r="M8" s="215">
        <f t="shared" si="9"/>
        <v>596590.67017082789</v>
      </c>
      <c r="N8" s="215">
        <f t="shared" si="9"/>
        <v>773939.49771689496</v>
      </c>
      <c r="O8" s="215">
        <f t="shared" si="9"/>
        <v>278801.99140076939</v>
      </c>
      <c r="P8" s="207">
        <f t="shared" si="9"/>
        <v>398658.55658829963</v>
      </c>
      <c r="Q8" s="215">
        <f t="shared" si="9"/>
        <v>281995.8217270195</v>
      </c>
      <c r="R8" s="215">
        <f t="shared" si="9"/>
        <v>196944.10692588091</v>
      </c>
      <c r="S8" s="215">
        <f t="shared" si="9"/>
        <v>381097.36013562605</v>
      </c>
      <c r="T8" s="215">
        <f t="shared" si="9"/>
        <v>320991.00512498693</v>
      </c>
      <c r="U8" s="207">
        <f t="shared" si="9"/>
        <v>310359.26553672319</v>
      </c>
      <c r="V8" s="215">
        <f t="shared" si="9"/>
        <v>225412.99019607843</v>
      </c>
      <c r="W8" s="215">
        <f t="shared" si="9"/>
        <v>308106.0135516657</v>
      </c>
      <c r="X8" s="215">
        <f t="shared" si="9"/>
        <v>205137.20522315337</v>
      </c>
      <c r="Y8" s="215">
        <f t="shared" si="9"/>
        <v>306881.76280902902</v>
      </c>
      <c r="Z8" s="207">
        <f t="shared" si="9"/>
        <v>264227.53147235909</v>
      </c>
      <c r="AA8" s="215">
        <f>AA4*1000/AA7</f>
        <v>243926.02377807134</v>
      </c>
      <c r="AB8" s="215">
        <f t="shared" si="9"/>
        <v>218766.72325976231</v>
      </c>
      <c r="AC8" s="215">
        <f t="shared" si="9"/>
        <v>248390.93917027232</v>
      </c>
      <c r="AD8" s="215">
        <f t="shared" si="9"/>
        <v>189050.82234405098</v>
      </c>
      <c r="AE8" s="207">
        <f t="shared" si="9"/>
        <v>214582.56811681468</v>
      </c>
      <c r="AF8" s="215">
        <f>AF4*1000/AF7</f>
        <v>190266.11359285258</v>
      </c>
      <c r="AG8" s="215">
        <f t="shared" si="9"/>
        <v>210307.4053348256</v>
      </c>
      <c r="AH8" s="215">
        <f t="shared" si="9"/>
        <v>172995.92771697632</v>
      </c>
      <c r="AI8" s="215">
        <f t="shared" si="9"/>
        <v>335164.22330815933</v>
      </c>
      <c r="AJ8" s="207">
        <f>AJ4*1000/AJ7</f>
        <v>254860.57805016913</v>
      </c>
      <c r="AK8" s="215">
        <f t="shared" si="9"/>
        <v>306790.94540612516</v>
      </c>
      <c r="AL8" s="215">
        <f t="shared" si="9"/>
        <v>261517.78656126483</v>
      </c>
      <c r="AM8" s="215">
        <f t="shared" si="9"/>
        <v>345390.21034008259</v>
      </c>
      <c r="AN8" s="215">
        <f t="shared" si="9"/>
        <v>305038.33515881706</v>
      </c>
      <c r="AO8" s="299">
        <f>AO4*1000/AO7</f>
        <v>302610.72617999464</v>
      </c>
      <c r="AP8" s="215">
        <f>AP4*1000/AP7</f>
        <v>405466.97038724372</v>
      </c>
      <c r="AQ8" s="215">
        <f>AQ4*1000/AQ7</f>
        <v>346060.99110546376</v>
      </c>
      <c r="AR8" s="215">
        <f>AR4*1000/AR7</f>
        <v>300772.8894173603</v>
      </c>
      <c r="AS8" s="215">
        <f t="shared" ref="AS8:AY8" si="10">AS4*1000/AS7</f>
        <v>277222.72317403066</v>
      </c>
      <c r="AT8" s="299">
        <f t="shared" si="10"/>
        <v>315947.03150495794</v>
      </c>
      <c r="AU8" s="215">
        <f t="shared" si="10"/>
        <v>446409.49554896145</v>
      </c>
      <c r="AV8" s="215">
        <f t="shared" si="10"/>
        <v>376028.41077241785</v>
      </c>
      <c r="AW8" s="215">
        <f t="shared" si="10"/>
        <v>510844.37086092716</v>
      </c>
      <c r="AX8" s="215">
        <f t="shared" si="10"/>
        <v>300107.87486515642</v>
      </c>
      <c r="AY8" s="299">
        <f t="shared" si="10"/>
        <v>368058.53920515574</v>
      </c>
      <c r="AZ8" s="215">
        <f>AZ4*1000/AZ7</f>
        <v>795843.72402327519</v>
      </c>
      <c r="BA8" s="215">
        <f>BA4*1000/BA7</f>
        <v>379778.15699658706</v>
      </c>
      <c r="BB8" s="215">
        <f>BB4*1000/BB7</f>
        <v>352702.70270270272</v>
      </c>
      <c r="BC8" s="215">
        <f t="shared" ref="BC8:BI8" si="11">BC4*1000/BC7</f>
        <v>425019.73164956592</v>
      </c>
      <c r="BD8" s="299">
        <f t="shared" si="11"/>
        <v>476989.53314504068</v>
      </c>
      <c r="BE8" s="215">
        <f t="shared" si="11"/>
        <v>288293.89788293897</v>
      </c>
      <c r="BF8" s="215">
        <f t="shared" si="11"/>
        <v>246018.92453265635</v>
      </c>
      <c r="BG8" s="215">
        <f t="shared" si="11"/>
        <v>541259.98225377104</v>
      </c>
      <c r="BH8" s="215">
        <f t="shared" si="11"/>
        <v>585516.17873651767</v>
      </c>
      <c r="BI8" s="299">
        <f t="shared" si="11"/>
        <v>346604.49545671925</v>
      </c>
      <c r="BJ8" s="215">
        <f t="shared" ref="BJ8:CX8" si="12">BJ4*1000/BJ7</f>
        <v>400653.59477124183</v>
      </c>
      <c r="BK8" s="215">
        <f t="shared" si="12"/>
        <v>325000</v>
      </c>
      <c r="BL8" s="215">
        <f t="shared" si="12"/>
        <v>277300.61349693249</v>
      </c>
      <c r="BM8" s="215">
        <f t="shared" si="12"/>
        <v>269572.57723233179</v>
      </c>
      <c r="BN8" s="299">
        <f t="shared" si="12"/>
        <v>301974.09006785933</v>
      </c>
      <c r="BO8" s="215">
        <f t="shared" si="12"/>
        <v>860759.49367088603</v>
      </c>
      <c r="BP8" s="215">
        <f t="shared" si="12"/>
        <v>307396.73390970222</v>
      </c>
      <c r="BQ8" s="215">
        <f t="shared" si="12"/>
        <v>259445.85365853659</v>
      </c>
      <c r="BR8" s="215">
        <f t="shared" si="12"/>
        <v>307688</v>
      </c>
      <c r="BS8" s="299">
        <f t="shared" si="12"/>
        <v>340441.2355040143</v>
      </c>
      <c r="BT8" s="215">
        <f t="shared" si="12"/>
        <v>205706.77404073899</v>
      </c>
      <c r="BU8" s="215">
        <f t="shared" si="12"/>
        <v>312737.09369024856</v>
      </c>
      <c r="BV8" s="215">
        <f t="shared" si="12"/>
        <v>325416.51896490605</v>
      </c>
      <c r="BW8" s="215">
        <f t="shared" si="12"/>
        <v>382360.02808339644</v>
      </c>
      <c r="BX8" s="299">
        <f t="shared" si="12"/>
        <v>332704.73414922616</v>
      </c>
      <c r="BY8" s="215">
        <f t="shared" si="12"/>
        <v>291822.33534657425</v>
      </c>
      <c r="BZ8" s="215">
        <f t="shared" si="12"/>
        <v>520604.18252207659</v>
      </c>
      <c r="CA8" s="215">
        <f t="shared" si="12"/>
        <v>469255.16330156225</v>
      </c>
      <c r="CB8" s="215">
        <f t="shared" si="12"/>
        <v>436102.07864269667</v>
      </c>
      <c r="CC8" s="299">
        <f t="shared" si="12"/>
        <v>446256.65545569354</v>
      </c>
      <c r="CD8" s="215">
        <f t="shared" si="12"/>
        <v>301321.06368749443</v>
      </c>
      <c r="CE8" s="215">
        <f t="shared" si="12"/>
        <v>316165.67366670538</v>
      </c>
      <c r="CF8" s="215">
        <f t="shared" si="12"/>
        <v>522516.74605463591</v>
      </c>
      <c r="CG8" s="215">
        <f t="shared" si="12"/>
        <v>374523.69565628294</v>
      </c>
      <c r="CH8" s="299">
        <f t="shared" si="12"/>
        <v>385210.83988684823</v>
      </c>
      <c r="CI8" s="215">
        <f t="shared" si="12"/>
        <v>625145.27180603007</v>
      </c>
      <c r="CJ8" s="215">
        <f t="shared" si="12"/>
        <v>438127.6041486591</v>
      </c>
      <c r="CK8" s="215">
        <f t="shared" si="12"/>
        <v>581930.88846344023</v>
      </c>
      <c r="CL8" s="215">
        <f t="shared" si="12"/>
        <v>333010.80587608903</v>
      </c>
      <c r="CM8" s="299">
        <f t="shared" si="12"/>
        <v>429849.44130540069</v>
      </c>
      <c r="CN8" s="215">
        <f t="shared" si="12"/>
        <v>808149.99106463662</v>
      </c>
      <c r="CO8" s="215">
        <f t="shared" si="12"/>
        <v>620182.75663071079</v>
      </c>
      <c r="CP8" s="215">
        <f t="shared" si="12"/>
        <v>657480.65002475586</v>
      </c>
      <c r="CQ8" s="215">
        <f t="shared" si="12"/>
        <v>600545.98890282924</v>
      </c>
      <c r="CR8" s="299">
        <f t="shared" si="12"/>
        <v>642400.71190430829</v>
      </c>
      <c r="CS8" s="215">
        <f t="shared" si="12"/>
        <v>633414.36943399836</v>
      </c>
      <c r="CT8" s="215">
        <f t="shared" si="12"/>
        <v>820756.33633000089</v>
      </c>
      <c r="CU8" s="215">
        <f t="shared" si="12"/>
        <v>501406.67583285156</v>
      </c>
      <c r="CV8" s="215">
        <f t="shared" si="12"/>
        <v>842638.4249139895</v>
      </c>
      <c r="CW8" s="299">
        <f t="shared" si="12"/>
        <v>698770.97364170919</v>
      </c>
      <c r="CX8" s="215">
        <f t="shared" si="12"/>
        <v>520497.98497891304</v>
      </c>
      <c r="CY8" s="215">
        <f t="shared" ref="CY8:DA8" si="13">CY4*1000/CY7</f>
        <v>492904.12203871837</v>
      </c>
      <c r="CZ8" s="215">
        <f t="shared" si="13"/>
        <v>567742.07454734645</v>
      </c>
      <c r="DA8" s="215">
        <f t="shared" si="13"/>
        <v>761149.92404336878</v>
      </c>
      <c r="DB8" s="299">
        <f>DB4*1000/DB7</f>
        <v>632636.60132660542</v>
      </c>
      <c r="DC8" s="215">
        <f t="shared" ref="DC8:DF8" si="14">DC4*1000/DC7</f>
        <v>774115.28050785675</v>
      </c>
      <c r="DD8" s="215">
        <f t="shared" si="14"/>
        <v>602666.49843374232</v>
      </c>
      <c r="DE8" s="215">
        <f t="shared" si="14"/>
        <v>747038.97570809617</v>
      </c>
      <c r="DF8" s="215">
        <f t="shared" si="14"/>
        <v>535810.6634427869</v>
      </c>
      <c r="DG8" s="299">
        <f>DG4*1000/DG7</f>
        <v>655142.34779213474</v>
      </c>
      <c r="DH8" s="215">
        <f t="shared" ref="DH8:DI8" si="15">DH4*1000/DH7</f>
        <v>439360.93525251403</v>
      </c>
      <c r="DI8" s="215">
        <f t="shared" si="15"/>
        <v>637468.62876220699</v>
      </c>
      <c r="DJ8" s="298">
        <f>DI8*(1+Macro!DJ15)</f>
        <v>644522.21308296616</v>
      </c>
      <c r="DK8" s="298">
        <f>DJ8*(1+Macro!DK15)</f>
        <v>651653.84524721943</v>
      </c>
      <c r="DL8" s="299">
        <f>DL4*1000/DL7</f>
        <v>604754.69547888055</v>
      </c>
      <c r="DM8" s="209">
        <f>DK8*(1+Macro!DM15)</f>
        <v>658864.38885361364</v>
      </c>
      <c r="DN8" s="298">
        <f>DM8*(1+Macro!DN15)</f>
        <v>666154.71705650631</v>
      </c>
      <c r="DO8" s="298">
        <f>DN8*(1+Macro!DO15)</f>
        <v>673525.71267169958</v>
      </c>
      <c r="DP8" s="298">
        <f>DO8*(1+Macro!DP15)</f>
        <v>680978.26828334422</v>
      </c>
      <c r="DQ8" s="299">
        <f>DQ4*1000/DQ7</f>
        <v>672220.39750672784</v>
      </c>
      <c r="DR8" s="209">
        <f>DP8*(1+Macro!DR15)</f>
        <v>688513.28635202616</v>
      </c>
      <c r="DS8" s="298">
        <f>DR8*(1+Macro!DS15)</f>
        <v>696131.67932404892</v>
      </c>
      <c r="DT8" s="298">
        <f>DS8*(1+Macro!DT15)</f>
        <v>703834.36974192597</v>
      </c>
      <c r="DU8" s="298">
        <f>DT8*(1+Macro!DU15)</f>
        <v>711622.29035609472</v>
      </c>
      <c r="DV8" s="299">
        <f>DV4*1000/DV7</f>
        <v>702470.31539453042</v>
      </c>
      <c r="DW8" s="209">
        <f>DU8*(1+Macro!DW15)</f>
        <v>719496.38423786731</v>
      </c>
      <c r="DX8" s="298">
        <f>DW8*(1+Macro!DX15)</f>
        <v>727457.60489363119</v>
      </c>
      <c r="DY8" s="298">
        <f>DX8*(1+Macro!DY15)</f>
        <v>735506.91638031264</v>
      </c>
      <c r="DZ8" s="298">
        <f>DY8*(1+Macro!DZ15)</f>
        <v>743645.29342211888</v>
      </c>
      <c r="EA8" s="299">
        <f>EA4*1000/EA7</f>
        <v>734081.47958728415</v>
      </c>
      <c r="EB8" s="209">
        <f>DZ8*(1+Macro!EB15)</f>
        <v>751873.72152857122</v>
      </c>
      <c r="EC8" s="298">
        <f>EB8*(1+Macro!EC15)</f>
        <v>760193.19711384445</v>
      </c>
      <c r="ED8" s="298">
        <f>EC8*(1+Macro!ED15)</f>
        <v>768604.72761742654</v>
      </c>
      <c r="EE8" s="298">
        <f>ED8*(1+Macro!EE15)</f>
        <v>777109.33162611409</v>
      </c>
      <c r="EF8" s="299">
        <f>EF4*1000/EF7</f>
        <v>767115.14616871206</v>
      </c>
    </row>
    <row r="9" spans="1:139" ht="12.75" customHeight="1">
      <c r="A9" s="66" t="s">
        <v>860</v>
      </c>
      <c r="B9" s="160">
        <f>578966/3</f>
        <v>192988.66666666666</v>
      </c>
      <c r="C9" s="161">
        <f>578966/3</f>
        <v>192988.66666666666</v>
      </c>
      <c r="D9" s="161">
        <f>578966/3</f>
        <v>192988.66666666666</v>
      </c>
      <c r="E9" s="161">
        <f>807102-B9-C9-D9</f>
        <v>228136.00000000009</v>
      </c>
      <c r="F9" s="106">
        <f>SUM(B9:E9)</f>
        <v>807102.00000000012</v>
      </c>
      <c r="G9" s="160">
        <v>169635</v>
      </c>
      <c r="H9" s="161">
        <v>237005</v>
      </c>
      <c r="I9" s="161">
        <v>274794</v>
      </c>
      <c r="J9" s="161">
        <v>301917</v>
      </c>
      <c r="K9" s="106">
        <f>SUM(G9:J9)</f>
        <v>983351</v>
      </c>
      <c r="L9" s="160">
        <v>195588</v>
      </c>
      <c r="M9" s="161">
        <f>1221553-N9-L9</f>
        <v>601844</v>
      </c>
      <c r="N9" s="161">
        <v>424121</v>
      </c>
      <c r="O9" s="161">
        <v>693544</v>
      </c>
      <c r="P9" s="106">
        <f>SUM(L9:O9)</f>
        <v>1915097</v>
      </c>
      <c r="Q9" s="160">
        <v>388787</v>
      </c>
      <c r="R9" s="161">
        <f>1087104-Q9</f>
        <v>698317</v>
      </c>
      <c r="S9" s="161">
        <v>1058518</v>
      </c>
      <c r="T9" s="161">
        <v>2246588</v>
      </c>
      <c r="U9" s="106">
        <f>SUM(Q9:T9)</f>
        <v>4392210</v>
      </c>
      <c r="V9" s="160">
        <v>1052012</v>
      </c>
      <c r="W9" s="161">
        <v>1940903</v>
      </c>
      <c r="X9" s="161">
        <v>1052543</v>
      </c>
      <c r="Y9" s="161">
        <v>566067</v>
      </c>
      <c r="Z9" s="106">
        <f>SUM(V9:Y9)</f>
        <v>4611525</v>
      </c>
      <c r="AA9" s="160">
        <v>501792</v>
      </c>
      <c r="AB9" s="161">
        <v>839830</v>
      </c>
      <c r="AC9" s="161">
        <v>1630917</v>
      </c>
      <c r="AD9" s="161">
        <v>2268549</v>
      </c>
      <c r="AE9" s="106">
        <f>SUM(AA9:AD9)</f>
        <v>5241088</v>
      </c>
      <c r="AF9" s="160">
        <v>1065752</v>
      </c>
      <c r="AG9" s="161">
        <v>1539902</v>
      </c>
      <c r="AH9" s="161">
        <v>1025369</v>
      </c>
      <c r="AI9" s="161">
        <v>2541385</v>
      </c>
      <c r="AJ9" s="106">
        <f>SUM(AF9:AI9)</f>
        <v>6172408</v>
      </c>
      <c r="AK9" s="160">
        <v>999000</v>
      </c>
      <c r="AL9" s="160">
        <v>1668000</v>
      </c>
      <c r="AM9" s="160">
        <v>1449000</v>
      </c>
      <c r="AN9" s="160">
        <v>2382000</v>
      </c>
      <c r="AO9" s="106">
        <f>SUM(AK9:AN9)</f>
        <v>6498000</v>
      </c>
      <c r="AP9" s="160">
        <f>1220000-AP59</f>
        <v>1220000</v>
      </c>
      <c r="AQ9" s="160">
        <f>1314100-AQ59</f>
        <v>1314100</v>
      </c>
      <c r="AR9" s="160">
        <f>1755500-AR59</f>
        <v>1755500</v>
      </c>
      <c r="AS9" s="160">
        <f>1716400-AS59</f>
        <v>1153400</v>
      </c>
      <c r="AT9" s="106">
        <f>SUM(AP9:AS9)</f>
        <v>5443000</v>
      </c>
      <c r="AU9" s="160">
        <f>1358600-AU59</f>
        <v>1155600</v>
      </c>
      <c r="AV9" s="160">
        <f>2181100-AV59</f>
        <v>1689500</v>
      </c>
      <c r="AW9" s="160">
        <f>1360600-AW59</f>
        <v>1360600</v>
      </c>
      <c r="AX9" s="160">
        <f>2274700-AX59</f>
        <v>1805700</v>
      </c>
      <c r="AY9" s="106">
        <f>SUM(AU9:AX9)</f>
        <v>6011400</v>
      </c>
      <c r="AZ9" s="160">
        <v>1547700</v>
      </c>
      <c r="BA9" s="160">
        <f>1257600</f>
        <v>1257600</v>
      </c>
      <c r="BB9" s="160">
        <v>992000</v>
      </c>
      <c r="BC9" s="160">
        <f>1887000-BC59</f>
        <v>1781000</v>
      </c>
      <c r="BD9" s="106">
        <f>SUM(AZ9:BC9)</f>
        <v>5578300</v>
      </c>
      <c r="BE9" s="160">
        <v>722627</v>
      </c>
      <c r="BF9" s="160">
        <v>813657</v>
      </c>
      <c r="BG9" s="160">
        <v>1009275</v>
      </c>
      <c r="BH9" s="160">
        <v>844027</v>
      </c>
      <c r="BI9" s="106">
        <f>SUM(BE9:BH9)</f>
        <v>3389586</v>
      </c>
      <c r="BJ9" s="160">
        <v>543565</v>
      </c>
      <c r="BK9" s="160">
        <v>558379</v>
      </c>
      <c r="BL9" s="160">
        <v>573350</v>
      </c>
      <c r="BM9" s="160">
        <v>1090268</v>
      </c>
      <c r="BN9" s="106">
        <f>SUM(BJ9:BM9)</f>
        <v>2765562</v>
      </c>
      <c r="BO9" s="160">
        <v>520000</v>
      </c>
      <c r="BP9" s="160">
        <v>756000</v>
      </c>
      <c r="BQ9" s="160">
        <v>729630</v>
      </c>
      <c r="BR9" s="160">
        <v>1253291</v>
      </c>
      <c r="BS9" s="106">
        <f>SUM(BO9:BR9)</f>
        <v>3258921</v>
      </c>
      <c r="BT9" s="160">
        <v>613092</v>
      </c>
      <c r="BU9" s="160">
        <v>1060935</v>
      </c>
      <c r="BV9" s="160">
        <v>943000</v>
      </c>
      <c r="BW9" s="160">
        <v>2439179.7254579798</v>
      </c>
      <c r="BX9" s="106">
        <f>SUM(BT9:BW9)</f>
        <v>5056206.7254579794</v>
      </c>
      <c r="BY9" s="160">
        <v>773031.06656818045</v>
      </c>
      <c r="BZ9" s="160">
        <v>1305470.9368501434</v>
      </c>
      <c r="CA9" s="160">
        <v>1123366.3303312066</v>
      </c>
      <c r="CB9" s="160">
        <v>1387445.1095968094</v>
      </c>
      <c r="CC9" s="106">
        <f>SUM(BY9:CB9)</f>
        <v>4589313.4433463402</v>
      </c>
      <c r="CD9" s="160">
        <v>846188.98344586894</v>
      </c>
      <c r="CE9" s="160">
        <v>512378.08895439724</v>
      </c>
      <c r="CF9" s="160">
        <v>1711627.1025532619</v>
      </c>
      <c r="CG9" s="160">
        <v>1860194.7667020492</v>
      </c>
      <c r="CH9" s="106">
        <f>SUM(CD9:CG9)</f>
        <v>4930388.9416555772</v>
      </c>
      <c r="CI9" s="160">
        <v>1030911.8944871745</v>
      </c>
      <c r="CJ9" s="160">
        <v>1559954.8194156727</v>
      </c>
      <c r="CK9" s="160">
        <v>1365603.6801327136</v>
      </c>
      <c r="CL9" s="160">
        <v>1574515.098491831</v>
      </c>
      <c r="CM9" s="106">
        <f>SUM(CI9:CL9)</f>
        <v>5530985.4925273918</v>
      </c>
      <c r="CN9" s="160">
        <v>1312487.3405780916</v>
      </c>
      <c r="CO9" s="160">
        <v>1622040.8707555183</v>
      </c>
      <c r="CP9" s="160">
        <v>2285717.5363245821</v>
      </c>
      <c r="CQ9" s="160">
        <v>2690936.3394353595</v>
      </c>
      <c r="CR9" s="106">
        <f>SUM(CN9:CQ9)</f>
        <v>7911182.0870935516</v>
      </c>
      <c r="CS9" s="160">
        <v>1544551.4591390237</v>
      </c>
      <c r="CT9" s="160">
        <v>2491233.4593098299</v>
      </c>
      <c r="CU9" s="160">
        <v>2263188.9775623744</v>
      </c>
      <c r="CV9" s="160">
        <v>2592935.6974654002</v>
      </c>
      <c r="CW9" s="106">
        <f>SUM(CS9:CV9)</f>
        <v>8891909.593476627</v>
      </c>
      <c r="CX9" s="160">
        <v>2147129.3423621999</v>
      </c>
      <c r="CY9" s="160">
        <v>2371504.7187608392</v>
      </c>
      <c r="CZ9" s="160">
        <v>3200576.8936927989</v>
      </c>
      <c r="DA9" s="160">
        <v>4904954.6169577716</v>
      </c>
      <c r="DB9" s="106">
        <f>SUM(CX9:DA9)</f>
        <v>12624165.571773611</v>
      </c>
      <c r="DC9" s="160">
        <v>3028851.5868528695</v>
      </c>
      <c r="DD9" s="160">
        <v>3257882.2354527079</v>
      </c>
      <c r="DE9" s="160">
        <v>3546839.5435546609</v>
      </c>
      <c r="DF9" s="160">
        <v>3329590.5512721697</v>
      </c>
      <c r="DG9" s="106">
        <f>SUM(DC9:DF9)</f>
        <v>13163163.917132407</v>
      </c>
      <c r="DH9" s="160">
        <v>2941578.6030330556</v>
      </c>
      <c r="DI9" s="160">
        <v>3466756.4684406542</v>
      </c>
      <c r="DJ9" s="79">
        <f>DJ14</f>
        <v>3805594.6138359904</v>
      </c>
      <c r="DK9" s="79">
        <f>DK14</f>
        <v>4397528.3402859829</v>
      </c>
      <c r="DL9" s="106">
        <f>SUM(DH9:DK9)</f>
        <v>14611458.025595684</v>
      </c>
      <c r="DM9" s="79">
        <f>DM14</f>
        <v>3316552.774652279</v>
      </c>
      <c r="DN9" s="79">
        <f>DN14</f>
        <v>3716870.8459032634</v>
      </c>
      <c r="DO9" s="79">
        <f>DO14</f>
        <v>3982582.1204070724</v>
      </c>
      <c r="DP9" s="79">
        <f>DP14</f>
        <v>4600095.3050696943</v>
      </c>
      <c r="DQ9" s="106">
        <f>SUM(DM9:DP9)</f>
        <v>15616101.04603231</v>
      </c>
      <c r="DR9" s="79">
        <f>DR14</f>
        <v>3322817.4370337804</v>
      </c>
      <c r="DS9" s="79">
        <f>DS14</f>
        <v>3759351.6709191324</v>
      </c>
      <c r="DT9" s="79">
        <f>DT14</f>
        <v>4068774.7647660752</v>
      </c>
      <c r="DU9" s="79">
        <f>DU14</f>
        <v>4742276.2871479029</v>
      </c>
      <c r="DV9" s="106">
        <f>SUM(DR9:DU9)</f>
        <v>15893220.159866892</v>
      </c>
      <c r="DW9" s="79">
        <f>DW14</f>
        <v>3421594.3527196106</v>
      </c>
      <c r="DX9" s="79">
        <f>DX14</f>
        <v>3899426.5327310851</v>
      </c>
      <c r="DY9" s="79">
        <f>DY14</f>
        <v>4235700.15468805</v>
      </c>
      <c r="DZ9" s="79">
        <f>DZ14</f>
        <v>4954882.1518994262</v>
      </c>
      <c r="EA9" s="106">
        <f>SUM(DW9:DZ9)</f>
        <v>16511603.192038171</v>
      </c>
      <c r="EB9" s="79">
        <f>EB14</f>
        <v>3583949.2144891392</v>
      </c>
      <c r="EC9" s="79">
        <f>EC14</f>
        <v>4092994.8737343829</v>
      </c>
      <c r="ED9" s="79">
        <f>ED14</f>
        <v>4446867.4933537757</v>
      </c>
      <c r="EE9" s="79">
        <f>EE14</f>
        <v>5196974.1520375945</v>
      </c>
      <c r="EF9" s="106">
        <f>SUM(EB9:EE9)</f>
        <v>17320785.733614892</v>
      </c>
    </row>
    <row r="10" spans="1:139" ht="12.75" customHeight="1" outlineLevel="1">
      <c r="A10" s="66" t="s">
        <v>718</v>
      </c>
      <c r="B10" s="160">
        <f>B11*B9</f>
        <v>154390.93333333332</v>
      </c>
      <c r="C10" s="161">
        <f>C11*C9</f>
        <v>154390.93333333332</v>
      </c>
      <c r="D10" s="161">
        <f>D11*D9</f>
        <v>154390.93333333332</v>
      </c>
      <c r="E10" s="160">
        <f>E11*E9</f>
        <v>182508.80000000008</v>
      </c>
      <c r="F10" s="106">
        <f>SUM(B10:E10)</f>
        <v>645681.6</v>
      </c>
      <c r="G10" s="160">
        <f>G11*G9</f>
        <v>145886.1</v>
      </c>
      <c r="H10" s="161">
        <f>H11*H9</f>
        <v>154620.86000000002</v>
      </c>
      <c r="I10" s="161">
        <f>I11*I9</f>
        <v>241818.72</v>
      </c>
      <c r="J10" s="160">
        <f>J11*J9</f>
        <v>277789.054</v>
      </c>
      <c r="K10" s="106">
        <f>SUM(G10:J10)</f>
        <v>820114.73400000005</v>
      </c>
      <c r="L10" s="160">
        <f>L11*L9</f>
        <v>163315.97999999998</v>
      </c>
      <c r="M10" s="161">
        <f>886627-N10-L10</f>
        <v>431772.02</v>
      </c>
      <c r="N10" s="161">
        <v>291539</v>
      </c>
      <c r="O10" s="160">
        <v>464272</v>
      </c>
      <c r="P10" s="106">
        <f>SUM(L10:O10)</f>
        <v>1350899</v>
      </c>
      <c r="Q10" s="160">
        <v>276113</v>
      </c>
      <c r="R10" s="161">
        <f>770246-Q10</f>
        <v>494133</v>
      </c>
      <c r="S10" s="161">
        <v>703398</v>
      </c>
      <c r="T10" s="160">
        <v>1343604</v>
      </c>
      <c r="U10" s="106">
        <f>SUM(Q10:T10)</f>
        <v>2817248</v>
      </c>
      <c r="V10" s="160">
        <v>718760</v>
      </c>
      <c r="W10" s="161">
        <v>1277779</v>
      </c>
      <c r="X10" s="161">
        <v>696661</v>
      </c>
      <c r="Y10" s="160">
        <v>373459</v>
      </c>
      <c r="Z10" s="106">
        <f>SUM(V10:Y10)</f>
        <v>3066659</v>
      </c>
      <c r="AA10" s="160">
        <v>345955</v>
      </c>
      <c r="AB10" s="161">
        <v>625994</v>
      </c>
      <c r="AC10" s="161">
        <v>1230711</v>
      </c>
      <c r="AD10" s="160">
        <v>1757057</v>
      </c>
      <c r="AE10" s="106">
        <f>SUM(AA10:AD10)</f>
        <v>3959717</v>
      </c>
      <c r="AF10" s="160">
        <v>869003</v>
      </c>
      <c r="AG10" s="161">
        <v>1108156</v>
      </c>
      <c r="AH10" s="161">
        <v>806849</v>
      </c>
      <c r="AI10" s="160">
        <v>1980984</v>
      </c>
      <c r="AJ10" s="106">
        <f>SUM(AF10:AI10)</f>
        <v>4764992</v>
      </c>
      <c r="AK10" s="160">
        <v>844000</v>
      </c>
      <c r="AL10" s="160">
        <v>1274600</v>
      </c>
      <c r="AM10" s="160">
        <v>1162000</v>
      </c>
      <c r="AN10" s="160">
        <v>1992000</v>
      </c>
      <c r="AO10" s="106">
        <f>SUM(AK10:AN10)</f>
        <v>5272600</v>
      </c>
      <c r="AP10" s="160">
        <v>958000</v>
      </c>
      <c r="AQ10" s="160">
        <v>1061400</v>
      </c>
      <c r="AR10" s="160">
        <v>1283300</v>
      </c>
      <c r="AS10" s="160">
        <v>1080700</v>
      </c>
      <c r="AT10" s="106">
        <f>SUM(AP10:AS10)</f>
        <v>4383400</v>
      </c>
      <c r="AU10" s="160">
        <v>949000</v>
      </c>
      <c r="AV10" s="160">
        <f>1470300</f>
        <v>1470300</v>
      </c>
      <c r="AW10" s="160">
        <v>1024900</v>
      </c>
      <c r="AX10" s="160">
        <f>1642400</f>
        <v>1642400</v>
      </c>
      <c r="AY10" s="106">
        <f>SUM(AU10:AX10)</f>
        <v>5086600</v>
      </c>
      <c r="AZ10" s="160">
        <v>1362600</v>
      </c>
      <c r="BA10" s="160">
        <v>1065500</v>
      </c>
      <c r="BB10" s="160">
        <v>772000</v>
      </c>
      <c r="BC10" s="160">
        <f>1473000</f>
        <v>1473000</v>
      </c>
      <c r="BD10" s="106">
        <f>SUM(AZ10:BC10)</f>
        <v>4673100</v>
      </c>
      <c r="BE10" s="160">
        <v>580000</v>
      </c>
      <c r="BF10" s="160">
        <v>618000</v>
      </c>
      <c r="BG10" s="160">
        <v>790000</v>
      </c>
      <c r="BH10" s="160">
        <v>650000</v>
      </c>
      <c r="BI10" s="106">
        <f>SUM(BE10:BH10)</f>
        <v>2638000</v>
      </c>
      <c r="BJ10" s="160">
        <v>415000</v>
      </c>
      <c r="BK10" s="160">
        <v>442000</v>
      </c>
      <c r="BL10" s="160">
        <v>417000</v>
      </c>
      <c r="BM10" s="160">
        <v>856000</v>
      </c>
      <c r="BN10" s="106">
        <f>SUM(BJ10:BM10)</f>
        <v>2130000</v>
      </c>
      <c r="BO10" s="160">
        <f>BO9*71%</f>
        <v>369200</v>
      </c>
      <c r="BP10" s="160">
        <f>BP9*75%</f>
        <v>567000</v>
      </c>
      <c r="BQ10" s="160">
        <v>553932</v>
      </c>
      <c r="BR10" s="160">
        <v>871929</v>
      </c>
      <c r="BS10" s="106">
        <f>SUM(BO10:BR10)</f>
        <v>2362061</v>
      </c>
      <c r="BT10" s="160">
        <v>384624</v>
      </c>
      <c r="BU10" s="160">
        <v>698996</v>
      </c>
      <c r="BV10" s="160">
        <v>693000</v>
      </c>
      <c r="BW10" s="160">
        <v>1720362.1818955999</v>
      </c>
      <c r="BX10" s="106">
        <f>SUM(BT10:BW10)</f>
        <v>3496982.1818955997</v>
      </c>
      <c r="BY10" s="160">
        <v>641022.13331012474</v>
      </c>
      <c r="BZ10" s="160">
        <v>1141267.6894440176</v>
      </c>
      <c r="CA10" s="160">
        <v>959706.15684845601</v>
      </c>
      <c r="CB10" s="160">
        <v>1191731.7131492631</v>
      </c>
      <c r="CC10" s="106">
        <f>SUM(BY10:CB10)</f>
        <v>3933727.6927518616</v>
      </c>
      <c r="CD10" s="160">
        <v>686810.96547813399</v>
      </c>
      <c r="CE10" s="160">
        <v>449625.66864391213</v>
      </c>
      <c r="CF10" s="160">
        <v>1549186.6511380214</v>
      </c>
      <c r="CG10" s="160">
        <v>1692118.221043021</v>
      </c>
      <c r="CH10" s="106">
        <f>SUM(CD10:CG10)</f>
        <v>4377741.5063030887</v>
      </c>
      <c r="CI10" s="160">
        <v>908178.27309078339</v>
      </c>
      <c r="CJ10" s="160">
        <v>1348594.4373938097</v>
      </c>
      <c r="CK10" s="160">
        <v>1236172.4860605719</v>
      </c>
      <c r="CL10" s="160">
        <v>1420217.0904864545</v>
      </c>
      <c r="CM10" s="106">
        <f>SUM(CI10:CL10)</f>
        <v>4913162.2870316198</v>
      </c>
      <c r="CN10" s="160">
        <v>1192828.5224708416</v>
      </c>
      <c r="CO10" s="160">
        <v>1393439.5958806362</v>
      </c>
      <c r="CP10" s="160">
        <v>1797209.9910056747</v>
      </c>
      <c r="CQ10" s="160">
        <v>1739332.7069629251</v>
      </c>
      <c r="CR10" s="106">
        <f>SUM(CN10:CQ10)</f>
        <v>6122810.8163200784</v>
      </c>
      <c r="CS10" s="160">
        <v>1158566.4160503936</v>
      </c>
      <c r="CT10" s="160">
        <v>2013860.0670887462</v>
      </c>
      <c r="CU10" s="160">
        <v>1743785.2869871957</v>
      </c>
      <c r="CV10" s="160">
        <v>1859926.62945689</v>
      </c>
      <c r="CW10" s="106">
        <f>SUM(CS10:CV10)</f>
        <v>6776138.3995832251</v>
      </c>
      <c r="CX10" s="160">
        <v>1705125.818091817</v>
      </c>
      <c r="CY10" s="160">
        <v>1755390.4741547299</v>
      </c>
      <c r="CZ10" s="160">
        <v>2528669.659855119</v>
      </c>
      <c r="DA10" s="160">
        <v>3636092.6394472425</v>
      </c>
      <c r="DB10" s="106">
        <f>SUM(CX10:DA10)</f>
        <v>9625278.5915489085</v>
      </c>
      <c r="DC10" s="160">
        <v>2352381.5851012184</v>
      </c>
      <c r="DD10" s="160">
        <v>2373924.9069505106</v>
      </c>
      <c r="DE10" s="160">
        <v>2532608.92544627</v>
      </c>
      <c r="DF10" s="160">
        <v>2509503.1607867405</v>
      </c>
      <c r="DG10" s="106">
        <f>SUM(DC10:DF10)</f>
        <v>9768418.5782847404</v>
      </c>
      <c r="DH10" s="160">
        <v>2194581.1573409545</v>
      </c>
      <c r="DI10" s="160">
        <v>2631033.8623376172</v>
      </c>
      <c r="DJ10" s="107">
        <f>DJ9*DJ11</f>
        <v>2790679.7475841343</v>
      </c>
      <c r="DK10" s="107">
        <f>DK9*DK11</f>
        <v>3254767.9180535958</v>
      </c>
      <c r="DL10" s="106">
        <f>SUM(DH10:DK10)</f>
        <v>10871062.685316302</v>
      </c>
      <c r="DM10" s="107">
        <f>DM9*DM11</f>
        <v>2535983.3512335415</v>
      </c>
      <c r="DN10" s="107">
        <f>DN9*DN11</f>
        <v>2855383.2407418359</v>
      </c>
      <c r="DO10" s="107">
        <f>DO9*DO11</f>
        <v>3099328.8776980531</v>
      </c>
      <c r="DP10" s="107">
        <f>DP9*DP11</f>
        <v>3616281.6067581763</v>
      </c>
      <c r="DQ10" s="106">
        <f>SUM(DM10:DP10)</f>
        <v>12106977.076431606</v>
      </c>
      <c r="DR10" s="107">
        <f>DR9*DR11</f>
        <v>2612172.7449684986</v>
      </c>
      <c r="DS10" s="107">
        <f>DS9*DS11</f>
        <v>2955346.2263918258</v>
      </c>
      <c r="DT10" s="107">
        <f>DT9*DT11</f>
        <v>3203144.4865700104</v>
      </c>
      <c r="DU10" s="107">
        <f>DU9*DU11</f>
        <v>3733358.8171334495</v>
      </c>
      <c r="DV10" s="106">
        <f>SUM(DR10:DU10)</f>
        <v>12504022.275063783</v>
      </c>
      <c r="DW10" s="107">
        <f>DW9*DW11</f>
        <v>2693651.4601645726</v>
      </c>
      <c r="DX10" s="107">
        <f>DX9*DX11</f>
        <v>3069825.026262051</v>
      </c>
      <c r="DY10" s="107">
        <f>DY9*DY11</f>
        <v>3334556.5634997254</v>
      </c>
      <c r="DZ10" s="107">
        <f>DZ9*DZ11</f>
        <v>3900732.8653084766</v>
      </c>
      <c r="EA10" s="106">
        <f>SUM(DW10:DZ10)</f>
        <v>12998765.915234825</v>
      </c>
      <c r="EB10" s="107">
        <f>EB9*EB11</f>
        <v>2821465.3870617524</v>
      </c>
      <c r="EC10" s="107">
        <f>EC9*EC11</f>
        <v>3222211.7765998677</v>
      </c>
      <c r="ED10" s="107">
        <f>ED9*ED11</f>
        <v>3500798.1314646383</v>
      </c>
      <c r="EE10" s="107">
        <f>EE9*EE11</f>
        <v>4091319.884821183</v>
      </c>
      <c r="EF10" s="106">
        <f>SUM(EB10:EE10)</f>
        <v>13635795.17994744</v>
      </c>
    </row>
    <row r="11" spans="1:139" ht="12.75" customHeight="1" outlineLevel="1">
      <c r="A11" s="66" t="s">
        <v>725</v>
      </c>
      <c r="B11" s="122">
        <v>0.8</v>
      </c>
      <c r="C11" s="122">
        <v>0.8</v>
      </c>
      <c r="D11" s="122">
        <v>0.8</v>
      </c>
      <c r="E11" s="122">
        <v>0.8</v>
      </c>
      <c r="F11" s="111">
        <f t="shared" ref="F11:AK11" si="16">F10/F9</f>
        <v>0.79999999999999982</v>
      </c>
      <c r="G11" s="122">
        <v>0.86</v>
      </c>
      <c r="H11" s="122">
        <f>(73.9%*SUM(G9:H9)-G10)/H9</f>
        <v>0.6523949283770385</v>
      </c>
      <c r="I11" s="122">
        <v>0.88</v>
      </c>
      <c r="J11" s="122">
        <f>(83.4%*SUM(G9:J9)-SUM(G10:I10))/J9</f>
        <v>0.92008417545219379</v>
      </c>
      <c r="K11" s="111" t="e">
        <f>K10/#REF!</f>
        <v>#REF!</v>
      </c>
      <c r="L11" s="122">
        <v>0.83499999999999996</v>
      </c>
      <c r="M11" s="122">
        <f>(72.5%*SUM(L9:M9)-L10)/M9</f>
        <v>0.68925206531925209</v>
      </c>
      <c r="N11" s="122">
        <f>N10/N9</f>
        <v>0.68739581393045857</v>
      </c>
      <c r="O11" s="122">
        <f>O10/O9</f>
        <v>0.66941967632911537</v>
      </c>
      <c r="P11" s="111">
        <f t="shared" si="16"/>
        <v>0.70539455703810305</v>
      </c>
      <c r="Q11" s="122">
        <f t="shared" si="16"/>
        <v>0.71019092716577459</v>
      </c>
      <c r="R11" s="122">
        <f t="shared" si="16"/>
        <v>0.70760557168162885</v>
      </c>
      <c r="S11" s="122">
        <f t="shared" si="16"/>
        <v>0.66451208198632428</v>
      </c>
      <c r="T11" s="122">
        <f t="shared" si="16"/>
        <v>0.59806426456475326</v>
      </c>
      <c r="U11" s="111">
        <f t="shared" si="16"/>
        <v>0.64141923997258787</v>
      </c>
      <c r="V11" s="122">
        <f t="shared" si="16"/>
        <v>0.68322414573217793</v>
      </c>
      <c r="W11" s="122">
        <f t="shared" si="16"/>
        <v>0.65834253437703993</v>
      </c>
      <c r="X11" s="122">
        <f t="shared" si="16"/>
        <v>0.66188364750893791</v>
      </c>
      <c r="Y11" s="122">
        <f t="shared" si="16"/>
        <v>0.65974345792989164</v>
      </c>
      <c r="Z11" s="111">
        <f t="shared" si="16"/>
        <v>0.66499888865397017</v>
      </c>
      <c r="AA11" s="122">
        <f t="shared" si="16"/>
        <v>0.68943905044321152</v>
      </c>
      <c r="AB11" s="122">
        <f t="shared" si="16"/>
        <v>0.74538180346022409</v>
      </c>
      <c r="AC11" s="122">
        <f t="shared" si="16"/>
        <v>0.7546128956899707</v>
      </c>
      <c r="AD11" s="122">
        <f t="shared" si="16"/>
        <v>0.77452900510414369</v>
      </c>
      <c r="AE11" s="111">
        <f t="shared" si="16"/>
        <v>0.75551431305866268</v>
      </c>
      <c r="AF11" s="122">
        <f t="shared" si="16"/>
        <v>0.81538950900397089</v>
      </c>
      <c r="AG11" s="122">
        <f t="shared" si="16"/>
        <v>0.71962761266626063</v>
      </c>
      <c r="AH11" s="122">
        <f t="shared" si="16"/>
        <v>0.78688647696585323</v>
      </c>
      <c r="AI11" s="122">
        <f t="shared" si="16"/>
        <v>0.77948992380139182</v>
      </c>
      <c r="AJ11" s="111">
        <f>AJ10/AJ9</f>
        <v>0.77198266867647114</v>
      </c>
      <c r="AK11" s="122">
        <f t="shared" si="16"/>
        <v>0.8448448448448449</v>
      </c>
      <c r="AL11" s="122">
        <f t="shared" ref="AL11:AQ11" si="17">AL10/AL9</f>
        <v>0.76414868105515588</v>
      </c>
      <c r="AM11" s="122">
        <f t="shared" si="17"/>
        <v>0.80193236714975846</v>
      </c>
      <c r="AN11" s="122">
        <f t="shared" si="17"/>
        <v>0.83627204030226698</v>
      </c>
      <c r="AO11" s="111">
        <f t="shared" si="17"/>
        <v>0.81141889812249923</v>
      </c>
      <c r="AP11" s="122">
        <f t="shared" si="17"/>
        <v>0.78524590163934427</v>
      </c>
      <c r="AQ11" s="122">
        <f t="shared" si="17"/>
        <v>0.80770108819724529</v>
      </c>
      <c r="AR11" s="122">
        <f t="shared" ref="AR11:AW11" si="18">AR10/AR9</f>
        <v>0.73101680432925098</v>
      </c>
      <c r="AS11" s="122">
        <f t="shared" si="18"/>
        <v>0.93696896133171492</v>
      </c>
      <c r="AT11" s="111">
        <f t="shared" si="18"/>
        <v>0.80532794414844755</v>
      </c>
      <c r="AU11" s="122">
        <f t="shared" si="18"/>
        <v>0.82121841467635859</v>
      </c>
      <c r="AV11" s="122">
        <f t="shared" si="18"/>
        <v>0.87025747262503694</v>
      </c>
      <c r="AW11" s="122">
        <f t="shared" si="18"/>
        <v>0.75327061590474786</v>
      </c>
      <c r="AX11" s="122">
        <f t="shared" ref="AX11:CC11" si="19">AX10/AX9</f>
        <v>0.90956415794428758</v>
      </c>
      <c r="AY11" s="111">
        <f t="shared" si="19"/>
        <v>0.84615896463386231</v>
      </c>
      <c r="AZ11" s="122">
        <f t="shared" si="19"/>
        <v>0.88040317891064157</v>
      </c>
      <c r="BA11" s="122">
        <f t="shared" si="19"/>
        <v>0.84724872773536897</v>
      </c>
      <c r="BB11" s="122">
        <f t="shared" si="19"/>
        <v>0.77822580645161288</v>
      </c>
      <c r="BC11" s="122">
        <f t="shared" si="19"/>
        <v>0.8270634475014037</v>
      </c>
      <c r="BD11" s="111">
        <f t="shared" si="19"/>
        <v>0.83772834017532227</v>
      </c>
      <c r="BE11" s="122">
        <f t="shared" si="19"/>
        <v>0.80262708146803263</v>
      </c>
      <c r="BF11" s="122">
        <f t="shared" si="19"/>
        <v>0.75953380847212026</v>
      </c>
      <c r="BG11" s="122">
        <f t="shared" si="19"/>
        <v>0.78274008570508535</v>
      </c>
      <c r="BH11" s="122">
        <f t="shared" si="19"/>
        <v>0.77011754363308282</v>
      </c>
      <c r="BI11" s="111">
        <f t="shared" si="19"/>
        <v>0.77826613633641395</v>
      </c>
      <c r="BJ11" s="122">
        <f t="shared" si="19"/>
        <v>0.76347814888743759</v>
      </c>
      <c r="BK11" s="122">
        <f t="shared" si="19"/>
        <v>0.79157704713107047</v>
      </c>
      <c r="BL11" s="122">
        <f t="shared" si="19"/>
        <v>0.72730443882445273</v>
      </c>
      <c r="BM11" s="122">
        <f t="shared" si="19"/>
        <v>0.7851280602567442</v>
      </c>
      <c r="BN11" s="111">
        <f t="shared" si="19"/>
        <v>0.77018703612502626</v>
      </c>
      <c r="BO11" s="122">
        <f t="shared" si="19"/>
        <v>0.71</v>
      </c>
      <c r="BP11" s="122">
        <f t="shared" si="19"/>
        <v>0.75</v>
      </c>
      <c r="BQ11" s="122">
        <f t="shared" si="19"/>
        <v>0.75919575675342299</v>
      </c>
      <c r="BR11" s="122">
        <f t="shared" si="19"/>
        <v>0.69571153068202041</v>
      </c>
      <c r="BS11" s="111">
        <f t="shared" si="19"/>
        <v>0.72479848391538182</v>
      </c>
      <c r="BT11" s="122">
        <f t="shared" si="19"/>
        <v>0.62735119688399132</v>
      </c>
      <c r="BU11" s="122">
        <f t="shared" si="19"/>
        <v>0.65884903410670781</v>
      </c>
      <c r="BV11" s="122">
        <f t="shared" si="19"/>
        <v>0.73488865323435848</v>
      </c>
      <c r="BW11" s="122">
        <f t="shared" si="19"/>
        <v>0.70530357559961476</v>
      </c>
      <c r="BX11" s="111">
        <f t="shared" si="19"/>
        <v>0.69162167841918121</v>
      </c>
      <c r="BY11" s="122">
        <f t="shared" si="19"/>
        <v>0.82923204646340998</v>
      </c>
      <c r="BZ11" s="122">
        <f t="shared" si="19"/>
        <v>0.87421914745776153</v>
      </c>
      <c r="CA11" s="122">
        <f t="shared" si="19"/>
        <v>0.85431273034994915</v>
      </c>
      <c r="CB11" s="122">
        <f t="shared" si="19"/>
        <v>0.85893971942110159</v>
      </c>
      <c r="CC11" s="111">
        <f t="shared" si="19"/>
        <v>0.85714949334198187</v>
      </c>
      <c r="CD11" s="122">
        <f t="shared" ref="CD11:CX11" si="20">CD10/CD9</f>
        <v>0.81165198190277499</v>
      </c>
      <c r="CE11" s="122">
        <f t="shared" si="20"/>
        <v>0.87752711979049869</v>
      </c>
      <c r="CF11" s="122">
        <f t="shared" si="20"/>
        <v>0.90509588731510182</v>
      </c>
      <c r="CG11" s="122">
        <f t="shared" si="20"/>
        <v>0.90964572706705749</v>
      </c>
      <c r="CH11" s="111">
        <f t="shared" si="20"/>
        <v>0.88790997183136733</v>
      </c>
      <c r="CI11" s="122">
        <f t="shared" si="20"/>
        <v>0.8809465463996371</v>
      </c>
      <c r="CJ11" s="122">
        <f t="shared" si="20"/>
        <v>0.86450865153836043</v>
      </c>
      <c r="CK11" s="122">
        <f t="shared" si="20"/>
        <v>0.90522052923908114</v>
      </c>
      <c r="CL11" s="122">
        <f t="shared" si="20"/>
        <v>0.90200284001520681</v>
      </c>
      <c r="CM11" s="111">
        <f t="shared" si="20"/>
        <v>0.88829780762750532</v>
      </c>
      <c r="CN11" s="122">
        <f t="shared" si="20"/>
        <v>0.9088304973253718</v>
      </c>
      <c r="CO11" s="122">
        <f t="shared" si="20"/>
        <v>0.85906565056625017</v>
      </c>
      <c r="CP11" s="122">
        <f t="shared" si="20"/>
        <v>0.78627825286565189</v>
      </c>
      <c r="CQ11" s="122">
        <f t="shared" si="20"/>
        <v>0.64636709589640096</v>
      </c>
      <c r="CR11" s="111">
        <f t="shared" si="20"/>
        <v>0.77394386185459507</v>
      </c>
      <c r="CS11" s="122">
        <f t="shared" si="20"/>
        <v>0.75009894244391895</v>
      </c>
      <c r="CT11" s="122">
        <f t="shared" si="20"/>
        <v>0.80837870074475682</v>
      </c>
      <c r="CU11" s="122">
        <f t="shared" si="20"/>
        <v>0.77049919572575165</v>
      </c>
      <c r="CV11" s="122">
        <f t="shared" si="20"/>
        <v>0.71730534284940883</v>
      </c>
      <c r="CW11" s="111">
        <f t="shared" si="20"/>
        <v>0.76205660081771465</v>
      </c>
      <c r="CX11" s="122">
        <f t="shared" si="20"/>
        <v>0.79414210613688252</v>
      </c>
      <c r="CY11" s="122">
        <f t="shared" ref="CY11:DA11" si="21">CY10/CY9</f>
        <v>0.74020113064415827</v>
      </c>
      <c r="CZ11" s="122">
        <f t="shared" si="21"/>
        <v>0.79006683602516448</v>
      </c>
      <c r="DA11" s="122">
        <f t="shared" si="21"/>
        <v>0.74131014930826766</v>
      </c>
      <c r="DB11" s="111">
        <f>DB10/DB9</f>
        <v>0.76244869705052676</v>
      </c>
      <c r="DC11" s="122">
        <f t="shared" ref="DC11:DF11" si="22">DC10/DC9</f>
        <v>0.77665792385207699</v>
      </c>
      <c r="DD11" s="122">
        <f t="shared" si="22"/>
        <v>0.72867118434090217</v>
      </c>
      <c r="DE11" s="122">
        <f t="shared" si="22"/>
        <v>0.71404665882011575</v>
      </c>
      <c r="DF11" s="122">
        <f t="shared" si="22"/>
        <v>0.75369722557264873</v>
      </c>
      <c r="DG11" s="111">
        <f>DG10/DG9</f>
        <v>0.74210263123524089</v>
      </c>
      <c r="DH11" s="122">
        <f t="shared" ref="DH11:DI11" si="23">DH10/DH9</f>
        <v>0.74605558902220948</v>
      </c>
      <c r="DI11" s="122">
        <f t="shared" si="23"/>
        <v>0.75893241601740058</v>
      </c>
      <c r="DJ11" s="162">
        <f>AVERAGE(DH6:DI6,DC6:DF6,DA6)</f>
        <v>0.73330977961711086</v>
      </c>
      <c r="DK11" s="162">
        <f>AVERAGE(DH6:DJ6,DC6:DF6)</f>
        <v>0.7401357458544382</v>
      </c>
      <c r="DL11" s="111">
        <f>DL10/DL9</f>
        <v>0.74400943877557402</v>
      </c>
      <c r="DM11" s="162">
        <f>AVERAGE(DF6:DL6)</f>
        <v>0.76464435320177415</v>
      </c>
      <c r="DN11" s="162">
        <f>AVERAGE(DG6:DM6)</f>
        <v>0.768222345925482</v>
      </c>
      <c r="DO11" s="162">
        <f>AVERAGE(DH6:DN6)</f>
        <v>0.77822095916537204</v>
      </c>
      <c r="DP11" s="162">
        <f>AVERAGE(DI6:DO6)</f>
        <v>0.78613188791387167</v>
      </c>
      <c r="DQ11" s="111">
        <f>DQ10/DQ9</f>
        <v>0.77528808508239699</v>
      </c>
      <c r="DR11" s="162">
        <f>AVERAGE(DK6:DQ6)</f>
        <v>0.78613188791387179</v>
      </c>
      <c r="DS11" s="162">
        <f>AVERAGE(DL6:DR6)</f>
        <v>0.78613188791387179</v>
      </c>
      <c r="DT11" s="162">
        <f>AVERAGE(DM6:DS6)</f>
        <v>0.78725038168933092</v>
      </c>
      <c r="DU11" s="162">
        <f>AVERAGE(DN6:DT6)</f>
        <v>0.78725038168933092</v>
      </c>
      <c r="DV11" s="111">
        <f>DV10/DV9</f>
        <v>0.78675197029224986</v>
      </c>
      <c r="DW11" s="162">
        <f>AVERAGE(DP6:DV6)</f>
        <v>0.78725038168933092</v>
      </c>
      <c r="DX11" s="162">
        <f>AVERAGE(DQ6:DW6)</f>
        <v>0.78725038168933092</v>
      </c>
      <c r="DY11" s="162">
        <f>AVERAGE(DR6:DX6)</f>
        <v>0.78725038168933092</v>
      </c>
      <c r="DZ11" s="162">
        <f>AVERAGE(DS6:DY6)</f>
        <v>0.78725038168933092</v>
      </c>
      <c r="EA11" s="111">
        <f>EA10/EA9</f>
        <v>0.78725038168933092</v>
      </c>
      <c r="EB11" s="162">
        <f>AVERAGE(DU6:EA6)</f>
        <v>0.78725038168933092</v>
      </c>
      <c r="EC11" s="162">
        <f>AVERAGE(DV6:EB6)</f>
        <v>0.78725038168933092</v>
      </c>
      <c r="ED11" s="162">
        <f>AVERAGE(DW6:EC6)</f>
        <v>0.78725038168933092</v>
      </c>
      <c r="EE11" s="162">
        <f>AVERAGE(DX6:ED6)</f>
        <v>0.78725038168933092</v>
      </c>
      <c r="EF11" s="111">
        <f>EF10/EF9</f>
        <v>0.78725038168933081</v>
      </c>
    </row>
    <row r="12" spans="1:139" ht="12.75" customHeight="1">
      <c r="A12" s="66" t="s">
        <v>722</v>
      </c>
      <c r="B12" s="160">
        <v>620</v>
      </c>
      <c r="C12" s="161">
        <v>620</v>
      </c>
      <c r="D12" s="161">
        <v>620</v>
      </c>
      <c r="E12" s="160">
        <v>620</v>
      </c>
      <c r="F12" s="106">
        <f>SUM(B12:E12)</f>
        <v>2480</v>
      </c>
      <c r="G12" s="160">
        <v>556</v>
      </c>
      <c r="H12" s="161">
        <v>585</v>
      </c>
      <c r="I12" s="161">
        <v>657</v>
      </c>
      <c r="J12" s="160">
        <v>906</v>
      </c>
      <c r="K12" s="106">
        <f>SUM(G12:J12)</f>
        <v>2704</v>
      </c>
      <c r="L12" s="160">
        <v>594</v>
      </c>
      <c r="M12" s="161">
        <v>1654</v>
      </c>
      <c r="N12" s="161">
        <f>3258-L12-M12</f>
        <v>1010</v>
      </c>
      <c r="O12" s="160">
        <f>N12</f>
        <v>1010</v>
      </c>
      <c r="P12" s="106">
        <f>SUM(L12:O12)</f>
        <v>4268</v>
      </c>
      <c r="Q12" s="160">
        <v>1065</v>
      </c>
      <c r="R12" s="161">
        <v>1962</v>
      </c>
      <c r="S12" s="161">
        <v>3045</v>
      </c>
      <c r="T12" s="160">
        <v>6846</v>
      </c>
      <c r="U12" s="106">
        <f>SUM(Q12:T12)</f>
        <v>12918</v>
      </c>
      <c r="V12" s="160">
        <v>3769</v>
      </c>
      <c r="W12" s="161">
        <f>14592-V12-X12</f>
        <v>6355</v>
      </c>
      <c r="X12" s="161">
        <v>4468</v>
      </c>
      <c r="Y12" s="160">
        <v>2283</v>
      </c>
      <c r="Z12" s="106">
        <f>SUM(V12:Y12)</f>
        <v>16875</v>
      </c>
      <c r="AA12" s="160">
        <v>1766</v>
      </c>
      <c r="AB12" s="161">
        <v>3302</v>
      </c>
      <c r="AC12" s="161">
        <v>6378</v>
      </c>
      <c r="AD12" s="160">
        <v>12570</v>
      </c>
      <c r="AE12" s="106">
        <f>SUM(AA12:AD12)</f>
        <v>24016</v>
      </c>
      <c r="AF12" s="160">
        <v>4681</v>
      </c>
      <c r="AG12" s="161">
        <v>5984</v>
      </c>
      <c r="AH12" s="161">
        <v>6378</v>
      </c>
      <c r="AI12" s="160">
        <v>8742</v>
      </c>
      <c r="AJ12" s="106">
        <f>SUM(AF12:AI12)</f>
        <v>25785</v>
      </c>
      <c r="AK12" s="160">
        <v>3953</v>
      </c>
      <c r="AL12" s="160">
        <v>5582</v>
      </c>
      <c r="AM12" s="160">
        <v>3699</v>
      </c>
      <c r="AN12" s="160">
        <v>8075</v>
      </c>
      <c r="AO12" s="106">
        <f>SUM(AK12:AN12)</f>
        <v>21309</v>
      </c>
      <c r="AP12" s="160">
        <v>3516</v>
      </c>
      <c r="AQ12" s="160">
        <v>4191</v>
      </c>
      <c r="AR12" s="160">
        <v>5470</v>
      </c>
      <c r="AS12" s="160">
        <f>10901-7436</f>
        <v>3465</v>
      </c>
      <c r="AT12" s="106">
        <f>SUM(AP12:AS12)</f>
        <v>16642</v>
      </c>
      <c r="AU12" s="160">
        <f>6152-2160</f>
        <v>3992</v>
      </c>
      <c r="AV12" s="160">
        <f>9658-288*2-240-140-240-180-120-980-500-1616-780</f>
        <v>4286</v>
      </c>
      <c r="AW12" s="160">
        <v>3308</v>
      </c>
      <c r="AX12" s="160">
        <f>10921-5436</f>
        <v>5485</v>
      </c>
      <c r="AY12" s="106">
        <f>SUM(AU12:AX12)</f>
        <v>17071</v>
      </c>
      <c r="AZ12" s="160">
        <v>2930</v>
      </c>
      <c r="BA12" s="160">
        <v>3326</v>
      </c>
      <c r="BB12" s="160">
        <v>2611</v>
      </c>
      <c r="BC12" s="160">
        <f>5723-1100</f>
        <v>4623</v>
      </c>
      <c r="BD12" s="106">
        <f>SUM(AZ12:BC12)</f>
        <v>13490</v>
      </c>
      <c r="BE12" s="160">
        <v>1981</v>
      </c>
      <c r="BF12" s="160">
        <v>2447</v>
      </c>
      <c r="BG12" s="160">
        <v>2594</v>
      </c>
      <c r="BH12" s="160">
        <v>2074</v>
      </c>
      <c r="BI12" s="106">
        <f>SUM(BE12:BH12)</f>
        <v>9096</v>
      </c>
      <c r="BJ12" s="160">
        <v>1582</v>
      </c>
      <c r="BK12" s="160">
        <v>1503</v>
      </c>
      <c r="BL12" s="160">
        <v>1850</v>
      </c>
      <c r="BM12" s="160">
        <v>3758</v>
      </c>
      <c r="BN12" s="106">
        <f>SUM(BJ12:BM12)</f>
        <v>8693</v>
      </c>
      <c r="BO12" s="160">
        <v>1384</v>
      </c>
      <c r="BP12" s="160">
        <v>2177</v>
      </c>
      <c r="BQ12" s="160">
        <v>2555</v>
      </c>
      <c r="BR12" s="160">
        <v>4216</v>
      </c>
      <c r="BS12" s="106">
        <f>SUM(BO12:BR12)</f>
        <v>10332</v>
      </c>
      <c r="BT12" s="160">
        <v>2297</v>
      </c>
      <c r="BU12" s="160">
        <v>3257</v>
      </c>
      <c r="BV12" s="160">
        <v>3108</v>
      </c>
      <c r="BW12" s="160">
        <v>5839</v>
      </c>
      <c r="BX12" s="106">
        <f>SUM(BT12:BW12)</f>
        <v>14501</v>
      </c>
      <c r="BY12" s="160">
        <v>1820</v>
      </c>
      <c r="BZ12" s="160">
        <v>2726</v>
      </c>
      <c r="CA12" s="160">
        <v>2371</v>
      </c>
      <c r="CB12" s="160">
        <v>2996</v>
      </c>
      <c r="CC12" s="106">
        <f>SUM(BY12:CB12)</f>
        <v>9913</v>
      </c>
      <c r="CD12" s="160">
        <v>2483</v>
      </c>
      <c r="CE12" s="160">
        <v>1324</v>
      </c>
      <c r="CF12" s="160">
        <v>3003</v>
      </c>
      <c r="CG12" s="160">
        <v>4242</v>
      </c>
      <c r="CH12" s="106">
        <f>SUM(CD12:CG12)</f>
        <v>11052</v>
      </c>
      <c r="CI12" s="160">
        <v>2521</v>
      </c>
      <c r="CJ12" s="160">
        <v>3649</v>
      </c>
      <c r="CK12" s="160">
        <v>2316</v>
      </c>
      <c r="CL12" s="160">
        <v>4242</v>
      </c>
      <c r="CM12" s="106">
        <f>SUM(CI12:CL12)</f>
        <v>12728</v>
      </c>
      <c r="CN12" s="160">
        <v>2821</v>
      </c>
      <c r="CO12" s="160">
        <v>3359</v>
      </c>
      <c r="CP12" s="160">
        <v>4027</v>
      </c>
      <c r="CQ12" s="160">
        <v>5297</v>
      </c>
      <c r="CR12" s="106">
        <f>SUM(CN12:CQ12)</f>
        <v>15504</v>
      </c>
      <c r="CS12" s="160">
        <v>3010</v>
      </c>
      <c r="CT12" s="160">
        <v>4518</v>
      </c>
      <c r="CU12" s="160">
        <v>4107</v>
      </c>
      <c r="CV12" s="160">
        <v>4061</v>
      </c>
      <c r="CW12" s="106">
        <f>SUM(CS12:CV12)</f>
        <v>15696</v>
      </c>
      <c r="CX12" s="160">
        <v>3694</v>
      </c>
      <c r="CY12" s="160">
        <v>4216</v>
      </c>
      <c r="CZ12" s="160">
        <v>5553</v>
      </c>
      <c r="DA12" s="160">
        <v>7230</v>
      </c>
      <c r="DB12" s="106">
        <f>SUM(CX12:DA12)</f>
        <v>20693</v>
      </c>
      <c r="DC12" s="160">
        <v>5246</v>
      </c>
      <c r="DD12" s="160">
        <v>7086</v>
      </c>
      <c r="DE12" s="160">
        <v>4944</v>
      </c>
      <c r="DF12" s="160">
        <v>6008</v>
      </c>
      <c r="DG12" s="106">
        <f>SUM(DC12:DF12)</f>
        <v>23284</v>
      </c>
      <c r="DH12" s="160">
        <v>6223</v>
      </c>
      <c r="DI12" s="160">
        <v>6508</v>
      </c>
      <c r="DJ12" s="79">
        <f>DJ9/DJ13*1000</f>
        <v>6239.7984872027328</v>
      </c>
      <c r="DK12" s="79">
        <f>DK9/DK13*1000</f>
        <v>7403.3322926684041</v>
      </c>
      <c r="DL12" s="106">
        <f>SUM(DH12:DK12)</f>
        <v>26374.130779871139</v>
      </c>
      <c r="DM12" s="79">
        <f>DM9/DM13*1000</f>
        <v>5471.9192253672682</v>
      </c>
      <c r="DN12" s="79">
        <f>DN9/DN13*1000</f>
        <v>5772.4072972963368</v>
      </c>
      <c r="DO12" s="79">
        <f>DO9/DO13*1000</f>
        <v>6127.8734226796014</v>
      </c>
      <c r="DP12" s="79">
        <f>DP9/DP13*1000</f>
        <v>7012.4622178229602</v>
      </c>
      <c r="DQ12" s="106">
        <f>SUM(DM12:DP12)</f>
        <v>24384.662163166169</v>
      </c>
      <c r="DR12" s="79">
        <f>DR9/DR13*1000</f>
        <v>4934.5637551225391</v>
      </c>
      <c r="DS12" s="79">
        <f>DS9/DS13*1000</f>
        <v>5531.8153092413277</v>
      </c>
      <c r="DT12" s="79">
        <f>DT9/DT13*1000</f>
        <v>5932.3062200438308</v>
      </c>
      <c r="DU12" s="79">
        <f>DU9/DU13*1000</f>
        <v>6850.8549166743551</v>
      </c>
      <c r="DV12" s="106">
        <f>SUM(DR12:DU12)</f>
        <v>23249.540201082054</v>
      </c>
      <c r="DW12" s="79">
        <f>DW9/DW13*1000</f>
        <v>4862.4428915041563</v>
      </c>
      <c r="DX12" s="79">
        <f>DX9/DX13*1000</f>
        <v>5490.8448182186366</v>
      </c>
      <c r="DY12" s="79">
        <f>DY9/DY13*1000</f>
        <v>5909.7461976366594</v>
      </c>
      <c r="DZ12" s="79">
        <f>DZ9/DZ13*1000</f>
        <v>6849.7537207992664</v>
      </c>
      <c r="EA12" s="106">
        <f>SUM(DW12:DZ12)</f>
        <v>23112.78762815872</v>
      </c>
      <c r="EB12" s="79">
        <f>EB9/EB13*1000</f>
        <v>4873.8431624483264</v>
      </c>
      <c r="EC12" s="79">
        <f>EC9/EC13*1000</f>
        <v>5515.2263087444971</v>
      </c>
      <c r="ED12" s="79">
        <f>ED9/ED13*1000</f>
        <v>5937.1978195588972</v>
      </c>
      <c r="EE12" s="79">
        <f>EE9/EE13*1000</f>
        <v>6875.0505180086893</v>
      </c>
      <c r="EF12" s="106">
        <f>SUM(EB12:EE12)</f>
        <v>23201.31780876041</v>
      </c>
    </row>
    <row r="13" spans="1:139" ht="12.75" customHeight="1">
      <c r="A13" s="66" t="s">
        <v>723</v>
      </c>
      <c r="B13" s="79">
        <f t="shared" ref="B13:AN13" si="24">B9/B12*1000</f>
        <v>311272.04301075265</v>
      </c>
      <c r="C13" s="79">
        <f t="shared" si="24"/>
        <v>311272.04301075265</v>
      </c>
      <c r="D13" s="79">
        <f t="shared" si="24"/>
        <v>311272.04301075265</v>
      </c>
      <c r="E13" s="79">
        <f t="shared" si="24"/>
        <v>367961.29032258078</v>
      </c>
      <c r="F13" s="89">
        <f t="shared" si="24"/>
        <v>325444.35483870975</v>
      </c>
      <c r="G13" s="79">
        <f t="shared" si="24"/>
        <v>305098.92086330935</v>
      </c>
      <c r="H13" s="79">
        <f t="shared" si="24"/>
        <v>405136.75213675213</v>
      </c>
      <c r="I13" s="79">
        <f t="shared" si="24"/>
        <v>418255.70776255702</v>
      </c>
      <c r="J13" s="79">
        <f t="shared" si="24"/>
        <v>333241.7218543046</v>
      </c>
      <c r="K13" s="89">
        <f t="shared" si="24"/>
        <v>363665.31065088761</v>
      </c>
      <c r="L13" s="79">
        <f t="shared" si="24"/>
        <v>329272.72727272724</v>
      </c>
      <c r="M13" s="79">
        <f t="shared" si="24"/>
        <v>363871.82587666262</v>
      </c>
      <c r="N13" s="79">
        <f t="shared" si="24"/>
        <v>419921.78217821784</v>
      </c>
      <c r="O13" s="79">
        <f t="shared" si="24"/>
        <v>686677.22772277228</v>
      </c>
      <c r="P13" s="89">
        <f t="shared" si="24"/>
        <v>448710.63730084349</v>
      </c>
      <c r="Q13" s="79">
        <f t="shared" si="24"/>
        <v>365058.21596244129</v>
      </c>
      <c r="R13" s="79">
        <f t="shared" si="24"/>
        <v>355920.99898063199</v>
      </c>
      <c r="S13" s="79">
        <f t="shared" si="24"/>
        <v>347624.95894909685</v>
      </c>
      <c r="T13" s="79">
        <f t="shared" si="24"/>
        <v>328160.67776803969</v>
      </c>
      <c r="U13" s="89">
        <f t="shared" si="24"/>
        <v>340006.96702275897</v>
      </c>
      <c r="V13" s="79">
        <f t="shared" si="24"/>
        <v>279122.31361103739</v>
      </c>
      <c r="W13" s="79">
        <f t="shared" si="24"/>
        <v>305413.53265145555</v>
      </c>
      <c r="X13" s="79">
        <f t="shared" si="24"/>
        <v>235573.63473589974</v>
      </c>
      <c r="Y13" s="79">
        <f t="shared" si="24"/>
        <v>247948.75164257555</v>
      </c>
      <c r="Z13" s="89">
        <f t="shared" si="24"/>
        <v>273275.55555555556</v>
      </c>
      <c r="AA13" s="79">
        <f t="shared" si="24"/>
        <v>284140.43035107583</v>
      </c>
      <c r="AB13" s="79">
        <f t="shared" si="24"/>
        <v>254339.79406420351</v>
      </c>
      <c r="AC13" s="79">
        <f t="shared" si="24"/>
        <v>255709.78363123236</v>
      </c>
      <c r="AD13" s="79">
        <f t="shared" si="24"/>
        <v>180473.26968973747</v>
      </c>
      <c r="AE13" s="89">
        <f t="shared" si="24"/>
        <v>218233.17788141238</v>
      </c>
      <c r="AF13" s="79">
        <f t="shared" si="24"/>
        <v>227676.13757744074</v>
      </c>
      <c r="AG13" s="79">
        <f t="shared" si="24"/>
        <v>257336.56417112297</v>
      </c>
      <c r="AH13" s="79">
        <f t="shared" si="24"/>
        <v>160766.54123549702</v>
      </c>
      <c r="AI13" s="79">
        <f t="shared" si="24"/>
        <v>290709.7918096545</v>
      </c>
      <c r="AJ13" s="89">
        <f>AJ9/AJ12*1000</f>
        <v>239379.79445414001</v>
      </c>
      <c r="AK13" s="79">
        <f t="shared" si="24"/>
        <v>252719.45357955983</v>
      </c>
      <c r="AL13" s="79">
        <f t="shared" si="24"/>
        <v>298817.62809029024</v>
      </c>
      <c r="AM13" s="79">
        <f t="shared" si="24"/>
        <v>391727.49391727493</v>
      </c>
      <c r="AN13" s="79">
        <f t="shared" si="24"/>
        <v>294984.52012383897</v>
      </c>
      <c r="AO13" s="106">
        <f t="shared" ref="AO13:AT13" si="25">AO9/AO12*1000</f>
        <v>304941.57398282416</v>
      </c>
      <c r="AP13" s="79">
        <f t="shared" si="25"/>
        <v>346985.21046643914</v>
      </c>
      <c r="AQ13" s="79">
        <f t="shared" si="25"/>
        <v>313552.85134812695</v>
      </c>
      <c r="AR13" s="79">
        <f t="shared" si="25"/>
        <v>320932.3583180987</v>
      </c>
      <c r="AS13" s="79">
        <f t="shared" si="25"/>
        <v>332871.57287157286</v>
      </c>
      <c r="AT13" s="106">
        <f t="shared" si="25"/>
        <v>327064.05480110564</v>
      </c>
      <c r="AU13" s="79">
        <f t="shared" ref="AU13:BZ13" si="26">AU9/AU12*1000</f>
        <v>289478.95791583165</v>
      </c>
      <c r="AV13" s="79">
        <f t="shared" si="26"/>
        <v>394190.38730751281</v>
      </c>
      <c r="AW13" s="79">
        <f t="shared" si="26"/>
        <v>411305.92503022973</v>
      </c>
      <c r="AX13" s="79">
        <f t="shared" si="26"/>
        <v>329206.9279854148</v>
      </c>
      <c r="AY13" s="106">
        <f t="shared" si="26"/>
        <v>352141.05793450883</v>
      </c>
      <c r="AZ13" s="79">
        <f t="shared" si="26"/>
        <v>528225.25597269624</v>
      </c>
      <c r="BA13" s="79">
        <f t="shared" si="26"/>
        <v>378111.84606133489</v>
      </c>
      <c r="BB13" s="79">
        <f t="shared" si="26"/>
        <v>379931.06089620834</v>
      </c>
      <c r="BC13" s="79">
        <f t="shared" si="26"/>
        <v>385247.67467012763</v>
      </c>
      <c r="BD13" s="106">
        <f t="shared" si="26"/>
        <v>413513.71386212006</v>
      </c>
      <c r="BE13" s="79">
        <f t="shared" si="26"/>
        <v>364778.89954568399</v>
      </c>
      <c r="BF13" s="79">
        <f t="shared" si="26"/>
        <v>332512.05557825911</v>
      </c>
      <c r="BG13" s="79">
        <f t="shared" si="26"/>
        <v>389080.5705474171</v>
      </c>
      <c r="BH13" s="79">
        <f t="shared" si="26"/>
        <v>406956.12343297974</v>
      </c>
      <c r="BI13" s="106">
        <f t="shared" si="26"/>
        <v>372645.77836411609</v>
      </c>
      <c r="BJ13" s="79">
        <f t="shared" si="26"/>
        <v>343593.55246523389</v>
      </c>
      <c r="BK13" s="79">
        <f t="shared" si="26"/>
        <v>371509.64737192285</v>
      </c>
      <c r="BL13" s="79">
        <f t="shared" si="26"/>
        <v>309918.91891891888</v>
      </c>
      <c r="BM13" s="79">
        <f t="shared" si="26"/>
        <v>290119.2123469931</v>
      </c>
      <c r="BN13" s="106">
        <f t="shared" si="26"/>
        <v>318136.66168181296</v>
      </c>
      <c r="BO13" s="79">
        <f t="shared" si="26"/>
        <v>375722.54335260118</v>
      </c>
      <c r="BP13" s="79">
        <f t="shared" si="26"/>
        <v>347266.88102893886</v>
      </c>
      <c r="BQ13" s="79">
        <f t="shared" si="26"/>
        <v>285569.47162426618</v>
      </c>
      <c r="BR13" s="79">
        <f t="shared" si="26"/>
        <v>297270.16129032255</v>
      </c>
      <c r="BS13" s="106">
        <f t="shared" si="26"/>
        <v>315420.15098722413</v>
      </c>
      <c r="BT13" s="79">
        <f t="shared" si="26"/>
        <v>266909.88245537662</v>
      </c>
      <c r="BU13" s="79">
        <f t="shared" si="26"/>
        <v>325739.94473441818</v>
      </c>
      <c r="BV13" s="79">
        <f t="shared" si="26"/>
        <v>303410.55341055343</v>
      </c>
      <c r="BW13" s="79">
        <f t="shared" si="26"/>
        <v>417739.29190922756</v>
      </c>
      <c r="BX13" s="106">
        <f t="shared" si="26"/>
        <v>348679.86521329416</v>
      </c>
      <c r="BY13" s="79">
        <f t="shared" si="26"/>
        <v>424742.34426823101</v>
      </c>
      <c r="BZ13" s="79">
        <f t="shared" si="26"/>
        <v>478896.1617205221</v>
      </c>
      <c r="CA13" s="79">
        <f t="shared" ref="CA13:CX13" si="27">CA9/CA12*1000</f>
        <v>473794.31899249542</v>
      </c>
      <c r="CB13" s="79">
        <f t="shared" si="27"/>
        <v>463099.16875727946</v>
      </c>
      <c r="CC13" s="106">
        <f t="shared" si="27"/>
        <v>462959.0884037466</v>
      </c>
      <c r="CD13" s="79">
        <f t="shared" si="27"/>
        <v>340792.98568097822</v>
      </c>
      <c r="CE13" s="79">
        <f t="shared" si="27"/>
        <v>386992.51431601</v>
      </c>
      <c r="CF13" s="79">
        <f t="shared" si="27"/>
        <v>569972.39512263134</v>
      </c>
      <c r="CG13" s="79">
        <f t="shared" si="27"/>
        <v>438518.33255588147</v>
      </c>
      <c r="CH13" s="106">
        <f t="shared" si="27"/>
        <v>446108.30090984231</v>
      </c>
      <c r="CI13" s="79">
        <f t="shared" si="27"/>
        <v>408929.74791240558</v>
      </c>
      <c r="CJ13" s="79">
        <f t="shared" si="27"/>
        <v>427502.00586891547</v>
      </c>
      <c r="CK13" s="79">
        <f t="shared" si="27"/>
        <v>589638.89470324421</v>
      </c>
      <c r="CL13" s="79">
        <f t="shared" si="27"/>
        <v>371172.81906926708</v>
      </c>
      <c r="CM13" s="106">
        <f t="shared" si="27"/>
        <v>434552.599978582</v>
      </c>
      <c r="CN13" s="79">
        <f t="shared" si="27"/>
        <v>465256.0583403373</v>
      </c>
      <c r="CO13" s="79">
        <f t="shared" si="27"/>
        <v>482893.97759914212</v>
      </c>
      <c r="CP13" s="79">
        <f t="shared" si="27"/>
        <v>567598.09692688903</v>
      </c>
      <c r="CQ13" s="79">
        <f t="shared" si="27"/>
        <v>508011.39124700008</v>
      </c>
      <c r="CR13" s="106">
        <f t="shared" si="27"/>
        <v>510267.16248023423</v>
      </c>
      <c r="CS13" s="79">
        <f t="shared" si="27"/>
        <v>513140.01964751619</v>
      </c>
      <c r="CT13" s="79">
        <f t="shared" si="27"/>
        <v>551401.82808982511</v>
      </c>
      <c r="CU13" s="79">
        <f t="shared" si="27"/>
        <v>551056.48345808976</v>
      </c>
      <c r="CV13" s="79">
        <f t="shared" si="27"/>
        <v>638496.84744284663</v>
      </c>
      <c r="CW13" s="106">
        <f t="shared" si="27"/>
        <v>566508.00162312866</v>
      </c>
      <c r="CX13" s="79">
        <f t="shared" si="27"/>
        <v>581247.79165192205</v>
      </c>
      <c r="CY13" s="79">
        <f t="shared" ref="CY13:DA13" si="28">CY9/CY12*1000</f>
        <v>562501.11925067345</v>
      </c>
      <c r="CZ13" s="79">
        <f t="shared" si="28"/>
        <v>576368.97059117572</v>
      </c>
      <c r="DA13" s="79">
        <f t="shared" si="28"/>
        <v>678416.95946857147</v>
      </c>
      <c r="DB13" s="106">
        <f>DB9/DB12*1000</f>
        <v>610069.37475347274</v>
      </c>
      <c r="DC13" s="79">
        <f t="shared" ref="DC13:DF13" si="29">DC9/DC12*1000</f>
        <v>577364.00816867512</v>
      </c>
      <c r="DD13" s="79">
        <f t="shared" si="29"/>
        <v>459763.22826033132</v>
      </c>
      <c r="DE13" s="79">
        <f t="shared" si="29"/>
        <v>717402.82029827277</v>
      </c>
      <c r="DF13" s="79">
        <f t="shared" si="29"/>
        <v>554192.83476567408</v>
      </c>
      <c r="DG13" s="106">
        <f>DG9/DG12*1000</f>
        <v>565330.86742537399</v>
      </c>
      <c r="DH13" s="79">
        <f t="shared" ref="DH13:DI13" si="30">DH9/DH12*1000</f>
        <v>472694.61723172996</v>
      </c>
      <c r="DI13" s="79">
        <f t="shared" si="30"/>
        <v>532691.5286479186</v>
      </c>
      <c r="DJ13" s="164">
        <f>AVERAGE(DE8:DJ8)</f>
        <v>609890.62734011747</v>
      </c>
      <c r="DK13" s="164">
        <f>AVERAGE(DF8:DK8)</f>
        <v>593993.10559663794</v>
      </c>
      <c r="DL13" s="106">
        <f>DL9/DL12*1000</f>
        <v>554007.18785952241</v>
      </c>
      <c r="DM13" s="164">
        <f>AVERAGE(DH8:DM8)</f>
        <v>606104.11777956679</v>
      </c>
      <c r="DN13" s="164">
        <f>AVERAGE(DI8:DN8)</f>
        <v>643903.08141356555</v>
      </c>
      <c r="DO13" s="164">
        <f>AVERAGE(DJ8:DO8)</f>
        <v>649912.59539848089</v>
      </c>
      <c r="DP13" s="164">
        <f>AVERAGE(DK8:DP8)</f>
        <v>655988.60459854396</v>
      </c>
      <c r="DQ13" s="106">
        <f>DQ9/DQ12*1000</f>
        <v>640406.70079985529</v>
      </c>
      <c r="DR13" s="164">
        <f>AVERAGE(DM8:DR8)</f>
        <v>673376.12845398637</v>
      </c>
      <c r="DS13" s="164">
        <f>AVERAGE(DN8:DS8)</f>
        <v>679587.34353239217</v>
      </c>
      <c r="DT13" s="164">
        <f>AVERAGE(DO8:DT8)</f>
        <v>685867.28564662882</v>
      </c>
      <c r="DU13" s="164">
        <f>AVERAGE(DP8:DU8)</f>
        <v>692216.71526069473</v>
      </c>
      <c r="DV13" s="106">
        <f>DV9/DV12*1000</f>
        <v>683592.88065091311</v>
      </c>
      <c r="DW13" s="164">
        <f>AVERAGE(DR8:DW8)</f>
        <v>703678.05423441564</v>
      </c>
      <c r="DX13" s="164">
        <f>AVERAGE(DS8:DX8)</f>
        <v>710168.77399134974</v>
      </c>
      <c r="DY13" s="164">
        <f>AVERAGE(DT8:DY8)</f>
        <v>716731.31350072706</v>
      </c>
      <c r="DZ13" s="164">
        <f>AVERAGE(DU8:DZ8)</f>
        <v>723366.46744742582</v>
      </c>
      <c r="EA13" s="106">
        <f>EA9/EA12*1000</f>
        <v>714392.54570581485</v>
      </c>
      <c r="EB13" s="164">
        <f>AVERAGE(DW8:EB8)</f>
        <v>735343.56667496415</v>
      </c>
      <c r="EC13" s="164">
        <f>AVERAGE(DX8:EC8)</f>
        <v>742126.36882096052</v>
      </c>
      <c r="ED13" s="164">
        <f>AVERAGE(DY8:ED8)</f>
        <v>748984.22260825976</v>
      </c>
      <c r="EE13" s="164">
        <f>AVERAGE(DZ8:EE8)</f>
        <v>755917.95848255989</v>
      </c>
      <c r="EF13" s="106">
        <f>EF9/EF12*1000</f>
        <v>746543.18674411101</v>
      </c>
    </row>
    <row r="14" spans="1:139" s="180" customFormat="1" ht="12.75" customHeight="1">
      <c r="A14" s="180" t="s">
        <v>875</v>
      </c>
      <c r="B14" s="194"/>
      <c r="C14" s="194"/>
      <c r="D14" s="194"/>
      <c r="E14" s="194"/>
      <c r="F14" s="390"/>
      <c r="G14" s="194"/>
      <c r="H14" s="194"/>
      <c r="I14" s="194"/>
      <c r="J14" s="194"/>
      <c r="K14" s="390"/>
      <c r="L14" s="194"/>
      <c r="M14" s="391"/>
      <c r="N14" s="391"/>
      <c r="O14" s="194"/>
      <c r="P14" s="392"/>
      <c r="Q14" s="194"/>
      <c r="R14" s="391"/>
      <c r="S14" s="391"/>
      <c r="T14" s="194"/>
      <c r="U14" s="392"/>
      <c r="V14" s="194"/>
      <c r="W14" s="391"/>
      <c r="X14" s="391"/>
      <c r="Y14" s="194"/>
      <c r="Z14" s="392">
        <f>SUM(V14:Y14)</f>
        <v>0</v>
      </c>
      <c r="AA14" s="194"/>
      <c r="AB14" s="391"/>
      <c r="AC14" s="391"/>
      <c r="AD14" s="194"/>
      <c r="AE14" s="392">
        <f>SUM(AA14:AD14)</f>
        <v>0</v>
      </c>
      <c r="AF14" s="194">
        <f>AF15+AF17-AF19</f>
        <v>0</v>
      </c>
      <c r="AG14" s="194">
        <f>AG15+AG17-AG19</f>
        <v>0</v>
      </c>
      <c r="AH14" s="194">
        <f>AH15+AH17-AH19</f>
        <v>0</v>
      </c>
      <c r="AI14" s="194">
        <f>AI15+AI17-AI19</f>
        <v>0</v>
      </c>
      <c r="AJ14" s="392">
        <f>SUM(AF14:AI14)</f>
        <v>0</v>
      </c>
      <c r="AK14" s="194">
        <f>AK15+AK17-AK19</f>
        <v>744941.06</v>
      </c>
      <c r="AL14" s="194">
        <f>AL15+AL17-AL19</f>
        <v>887790.28</v>
      </c>
      <c r="AM14" s="194">
        <f>AM15+AM17-AM19</f>
        <v>919488.44</v>
      </c>
      <c r="AN14" s="194">
        <f>AN15+AN17-AN19</f>
        <v>1337584.02</v>
      </c>
      <c r="AO14" s="392">
        <f>SUM(AK14:AN14)</f>
        <v>3889803.8000000003</v>
      </c>
      <c r="AP14" s="194">
        <f>AP15+AP17-AP19</f>
        <v>1220000</v>
      </c>
      <c r="AQ14" s="194">
        <f>AQ15+AQ17-AQ19</f>
        <v>1314100</v>
      </c>
      <c r="AR14" s="194">
        <f>AR15+AR17-AR19</f>
        <v>1755500</v>
      </c>
      <c r="AS14" s="194">
        <f>AS15+AS17-AS19</f>
        <v>1153400</v>
      </c>
      <c r="AT14" s="392">
        <f>SUM(AP14:AS14)</f>
        <v>5443000</v>
      </c>
      <c r="AU14" s="194">
        <f>AU15+AU17-AU19</f>
        <v>1155600</v>
      </c>
      <c r="AV14" s="194">
        <f>AV15+AV17-AV19</f>
        <v>1689500</v>
      </c>
      <c r="AW14" s="194">
        <f>AW15+AW17-AW19</f>
        <v>1360600</v>
      </c>
      <c r="AX14" s="194">
        <f>AX15+AX17-AX19</f>
        <v>1805700</v>
      </c>
      <c r="AY14" s="392">
        <f t="shared" ref="AY14:AY21" si="31">SUM(AU14:AX14)</f>
        <v>6011400</v>
      </c>
      <c r="AZ14" s="194">
        <f>AZ15+AZ17-AZ19</f>
        <v>1547700</v>
      </c>
      <c r="BA14" s="194">
        <f>BA15+BA17-BA19</f>
        <v>1257600</v>
      </c>
      <c r="BB14" s="194">
        <f>BB15+BB17-BB19</f>
        <v>992000</v>
      </c>
      <c r="BC14" s="194">
        <f>BC15+BC17-BC19</f>
        <v>1781000</v>
      </c>
      <c r="BD14" s="392">
        <f>SUM(AZ14:BC14)</f>
        <v>5578300</v>
      </c>
      <c r="BE14" s="194">
        <f>BE15+BE17-BE19</f>
        <v>722627</v>
      </c>
      <c r="BF14" s="194">
        <f>BF15+BF17-BF19</f>
        <v>813657</v>
      </c>
      <c r="BG14" s="194">
        <f>BG15+BG17-BG19</f>
        <v>1009275</v>
      </c>
      <c r="BH14" s="194">
        <f>BH15+BH17-BH19</f>
        <v>844027</v>
      </c>
      <c r="BI14" s="392">
        <f>SUM(BE14:BH14)</f>
        <v>3389586</v>
      </c>
      <c r="BJ14" s="194">
        <f>BJ15+BJ17-BJ19</f>
        <v>543565</v>
      </c>
      <c r="BK14" s="194">
        <f>BK15+BK17-BK19</f>
        <v>558379</v>
      </c>
      <c r="BL14" s="194">
        <f>BL15+BL17-BL19</f>
        <v>573350</v>
      </c>
      <c r="BM14" s="194">
        <f>BM15+BM17-BM19</f>
        <v>1090268</v>
      </c>
      <c r="BN14" s="392">
        <f>SUM(BJ14:BM14)</f>
        <v>2765562</v>
      </c>
      <c r="BO14" s="194">
        <f>BO15+BO17-BO19</f>
        <v>520000</v>
      </c>
      <c r="BP14" s="194">
        <f>BP15+BP17-BP19</f>
        <v>756000</v>
      </c>
      <c r="BQ14" s="194">
        <f>BQ15+BQ17-BQ19</f>
        <v>729630</v>
      </c>
      <c r="BR14" s="194">
        <f>BR15+BR17-BR19</f>
        <v>1253291</v>
      </c>
      <c r="BS14" s="392">
        <f>SUM(BO14:BR14)</f>
        <v>3258921</v>
      </c>
      <c r="BT14" s="194">
        <f>BT15+BT17-BT19</f>
        <v>613092</v>
      </c>
      <c r="BU14" s="194">
        <f>BU15+BU17-BU19</f>
        <v>1060935</v>
      </c>
      <c r="BV14" s="194">
        <f>BV15+BV17-BV19</f>
        <v>943000</v>
      </c>
      <c r="BW14" s="194">
        <f>BW15+BW17-BW19</f>
        <v>2439179.7254579798</v>
      </c>
      <c r="BX14" s="392">
        <f>SUM(BT14:BW14)</f>
        <v>5056206.7254579794</v>
      </c>
      <c r="BY14" s="194">
        <f>BY15+BY17-BY19</f>
        <v>773031.06656818045</v>
      </c>
      <c r="BZ14" s="194">
        <f>BZ15+BZ17-BZ19</f>
        <v>1305470.9368501434</v>
      </c>
      <c r="CA14" s="194">
        <f>CA15+CA17-CA19</f>
        <v>1123366.3303312066</v>
      </c>
      <c r="CB14" s="194">
        <f>CB15+CB17-CB19</f>
        <v>1387445.1095968094</v>
      </c>
      <c r="CC14" s="392">
        <f>SUM(BY14:CB14)</f>
        <v>4589313.4433463402</v>
      </c>
      <c r="CD14" s="194">
        <f>CD15+CD17-CD19</f>
        <v>846188.98344586894</v>
      </c>
      <c r="CE14" s="194">
        <f>CE15+CE17-CE19</f>
        <v>512378.08895439724</v>
      </c>
      <c r="CF14" s="194">
        <f>CF15+CF17-CF19</f>
        <v>1711627.1025532619</v>
      </c>
      <c r="CG14" s="194">
        <f>CG15+CG17-CG19</f>
        <v>1860194.7667020492</v>
      </c>
      <c r="CH14" s="392">
        <f>SUM(CD14:CG14)</f>
        <v>4930388.9416555772</v>
      </c>
      <c r="CI14" s="194">
        <f>CI15+CI17-CI19</f>
        <v>1030911.8944871745</v>
      </c>
      <c r="CJ14" s="194">
        <f>CJ15+CJ17-CJ19</f>
        <v>1559954.8194156727</v>
      </c>
      <c r="CK14" s="194">
        <f>CK15+CK17-CK19</f>
        <v>1365603.6801327136</v>
      </c>
      <c r="CL14" s="194">
        <f>CL15+CL17-CL19</f>
        <v>1574515.098491831</v>
      </c>
      <c r="CM14" s="392">
        <f>SUM(CI14:CL14)</f>
        <v>5530985.4925273918</v>
      </c>
      <c r="CN14" s="194">
        <f>CN15+CN17-CN19</f>
        <v>1312487.3405780916</v>
      </c>
      <c r="CO14" s="194">
        <f>CO15+CO17-CO19</f>
        <v>1622040.8707555183</v>
      </c>
      <c r="CP14" s="194">
        <f>CP15+CP17-CP19</f>
        <v>2285717.5363245821</v>
      </c>
      <c r="CQ14" s="194">
        <f>CQ15+CQ17-CQ19</f>
        <v>2690936.3394353595</v>
      </c>
      <c r="CR14" s="392">
        <f>SUM(CN14:CQ14)</f>
        <v>7911182.0870935516</v>
      </c>
      <c r="CS14" s="194">
        <f>CS15+CS17-CS19</f>
        <v>1544551.4591390239</v>
      </c>
      <c r="CT14" s="194">
        <f>CT15+CT17-CT19</f>
        <v>2491233.4593098299</v>
      </c>
      <c r="CU14" s="194">
        <f>CU15+CU17-CU19</f>
        <v>2263188.9775623744</v>
      </c>
      <c r="CV14" s="194">
        <f>CV15+CV17-CV19</f>
        <v>2592935.6974654002</v>
      </c>
      <c r="CW14" s="392">
        <f>SUM(CS14:CV14)</f>
        <v>8891909.593476627</v>
      </c>
      <c r="CX14" s="194">
        <f>CX15+CX17-CX19</f>
        <v>2147129.3423621999</v>
      </c>
      <c r="CY14" s="194">
        <f>CY15+CY17-CY19</f>
        <v>2371504.7187608392</v>
      </c>
      <c r="CZ14" s="194">
        <f>CZ15+CZ17-CZ19</f>
        <v>3200576.8936927989</v>
      </c>
      <c r="DA14" s="194">
        <f>DA15+DA17-DA19</f>
        <v>4904954.6169577716</v>
      </c>
      <c r="DB14" s="392">
        <f>SUM(CX14:DA14)</f>
        <v>12624165.571773611</v>
      </c>
      <c r="DC14" s="194">
        <f>DC15+DC17-DC19</f>
        <v>3028851.5868528695</v>
      </c>
      <c r="DD14" s="194">
        <f>DD15+DD17-DD19</f>
        <v>3257882.2354527083</v>
      </c>
      <c r="DE14" s="194">
        <f>DE15+DE17-DE19</f>
        <v>3538946.510364268</v>
      </c>
      <c r="DF14" s="194">
        <f>DF15+DF17-DF19</f>
        <v>3329590.5512721697</v>
      </c>
      <c r="DG14" s="392">
        <f>SUM(DC14:DF14)</f>
        <v>13155270.883942015</v>
      </c>
      <c r="DH14" s="194">
        <f>DH15+DH17-DH19</f>
        <v>2941578.6030330556</v>
      </c>
      <c r="DI14" s="194">
        <f>DI15+DI17-DI19</f>
        <v>3466756.4684406542</v>
      </c>
      <c r="DJ14" s="194">
        <f>DJ15+DJ17-DJ19</f>
        <v>3805594.6138359904</v>
      </c>
      <c r="DK14" s="194">
        <f>DK15+DK17-DK19</f>
        <v>4397528.3402859829</v>
      </c>
      <c r="DL14" s="392">
        <f>SUM(DH14:DK14)</f>
        <v>14611458.025595684</v>
      </c>
      <c r="DM14" s="194">
        <f>DM15+DM17-DM19</f>
        <v>3316552.774652279</v>
      </c>
      <c r="DN14" s="194">
        <f>DN15+DN17-DN19</f>
        <v>3716870.8459032634</v>
      </c>
      <c r="DO14" s="194">
        <f>DO15+DO17-DO19</f>
        <v>3982582.1204070724</v>
      </c>
      <c r="DP14" s="194">
        <f>DP15+DP17-DP19</f>
        <v>4600095.3050696943</v>
      </c>
      <c r="DQ14" s="392">
        <f>SUM(DM14:DP14)</f>
        <v>15616101.04603231</v>
      </c>
      <c r="DR14" s="194">
        <f>DR15+DR17-DR19</f>
        <v>3322817.4370337804</v>
      </c>
      <c r="DS14" s="194">
        <f>DS15+DS17-DS19</f>
        <v>3759351.6709191324</v>
      </c>
      <c r="DT14" s="194">
        <f>DT15+DT17-DT19</f>
        <v>4068774.7647660752</v>
      </c>
      <c r="DU14" s="194">
        <f>DU15+DU17-DU19</f>
        <v>4742276.2871479029</v>
      </c>
      <c r="DV14" s="392">
        <f>SUM(DR14:DU14)</f>
        <v>15893220.159866892</v>
      </c>
      <c r="DW14" s="194">
        <f>DW15+DW17-DW19</f>
        <v>3421594.3527196106</v>
      </c>
      <c r="DX14" s="194">
        <f>DX15+DX17-DX19</f>
        <v>3899426.5327310851</v>
      </c>
      <c r="DY14" s="194">
        <f>DY15+DY17-DY19</f>
        <v>4235700.15468805</v>
      </c>
      <c r="DZ14" s="194">
        <f>DZ15+DZ17-DZ19</f>
        <v>4954882.1518994262</v>
      </c>
      <c r="EA14" s="392">
        <f>SUM(DW14:DZ14)</f>
        <v>16511603.192038171</v>
      </c>
      <c r="EB14" s="194">
        <f>EB15+EB17-EB19</f>
        <v>3583949.2144891392</v>
      </c>
      <c r="EC14" s="194">
        <f>EC15+EC17-EC19</f>
        <v>4092994.8737343829</v>
      </c>
      <c r="ED14" s="194">
        <f>ED15+ED17-ED19</f>
        <v>4446867.4933537757</v>
      </c>
      <c r="EE14" s="194">
        <f>EE15+EE17-EE19</f>
        <v>5196974.1520375945</v>
      </c>
      <c r="EF14" s="392">
        <f>SUM(EB14:EE14)</f>
        <v>17320785.733614892</v>
      </c>
    </row>
    <row r="15" spans="1:139" ht="12.75" customHeight="1">
      <c r="A15" s="66" t="s">
        <v>876</v>
      </c>
      <c r="B15" s="149"/>
      <c r="C15" s="149"/>
      <c r="D15" s="149"/>
      <c r="E15" s="149"/>
      <c r="F15" s="145"/>
      <c r="G15" s="149"/>
      <c r="H15" s="149"/>
      <c r="I15" s="149"/>
      <c r="J15" s="149"/>
      <c r="K15" s="145"/>
      <c r="L15" s="213"/>
      <c r="M15" s="161"/>
      <c r="N15" s="161"/>
      <c r="O15" s="213"/>
      <c r="P15" s="106"/>
      <c r="Q15" s="213"/>
      <c r="R15" s="161"/>
      <c r="S15" s="161"/>
      <c r="T15" s="213"/>
      <c r="U15" s="106"/>
      <c r="V15" s="213"/>
      <c r="W15" s="161"/>
      <c r="X15" s="161"/>
      <c r="Y15" s="213"/>
      <c r="Z15" s="106">
        <f>SUM(V15:Y15)</f>
        <v>0</v>
      </c>
      <c r="AA15" s="213"/>
      <c r="AB15" s="161"/>
      <c r="AC15" s="161"/>
      <c r="AD15" s="213"/>
      <c r="AE15" s="106">
        <f>SUM(AA15:AD15)</f>
        <v>0</v>
      </c>
      <c r="AF15" s="213"/>
      <c r="AG15" s="213"/>
      <c r="AH15" s="213"/>
      <c r="AI15" s="161"/>
      <c r="AJ15" s="106">
        <f>SUM(AF15:AI15)</f>
        <v>0</v>
      </c>
      <c r="AK15" s="350">
        <f>AK16*AK5</f>
        <v>272100</v>
      </c>
      <c r="AL15" s="350">
        <f>AL16*AL5</f>
        <v>392880</v>
      </c>
      <c r="AM15" s="350">
        <f>AM16*AM5</f>
        <v>434700</v>
      </c>
      <c r="AN15" s="350">
        <f>AN16*AN5</f>
        <v>784500</v>
      </c>
      <c r="AO15" s="106">
        <f>SUM(AK15:AN15)</f>
        <v>1884180</v>
      </c>
      <c r="AP15" s="160">
        <f>AP4*37%</f>
        <v>329300</v>
      </c>
      <c r="AQ15" s="160">
        <f>AQ4*28%</f>
        <v>305032</v>
      </c>
      <c r="AR15" s="160">
        <f>AR4*26%</f>
        <v>394602</v>
      </c>
      <c r="AS15" s="160">
        <f>AS4*35%</f>
        <v>538020</v>
      </c>
      <c r="AT15" s="106">
        <f>SUM(AP15:AS15)</f>
        <v>1566954</v>
      </c>
      <c r="AU15" s="160">
        <f>AU4*44%</f>
        <v>330968</v>
      </c>
      <c r="AV15" s="160">
        <f>AV4*48%</f>
        <v>609888</v>
      </c>
      <c r="AW15" s="160">
        <v>537300</v>
      </c>
      <c r="AX15" s="160">
        <f>AX4*43%</f>
        <v>957008</v>
      </c>
      <c r="AY15" s="106">
        <f>SUM(AU15:AX15)</f>
        <v>2435164</v>
      </c>
      <c r="AZ15" s="330">
        <v>909500</v>
      </c>
      <c r="BA15" s="160">
        <v>297900</v>
      </c>
      <c r="BB15" s="160">
        <v>251000</v>
      </c>
      <c r="BC15" s="160">
        <f>BC4*39%</f>
        <v>840060</v>
      </c>
      <c r="BD15" s="106">
        <f>SUM(AZ15:BC15)</f>
        <v>2298460</v>
      </c>
      <c r="BE15" s="160">
        <f>BE4*20%</f>
        <v>92600</v>
      </c>
      <c r="BF15" s="160">
        <f>0.47*BF4</f>
        <v>501020</v>
      </c>
      <c r="BG15" s="160">
        <f>BG4*0.47</f>
        <v>286700</v>
      </c>
      <c r="BH15" s="160">
        <v>282000</v>
      </c>
      <c r="BI15" s="106">
        <f>SUM(BE15:BH15)</f>
        <v>1162320</v>
      </c>
      <c r="BJ15" s="160">
        <v>236000</v>
      </c>
      <c r="BK15" s="160">
        <v>252000</v>
      </c>
      <c r="BL15" s="160">
        <f>BL9*0.48</f>
        <v>275208</v>
      </c>
      <c r="BM15" s="160">
        <f>BM9*0.58</f>
        <v>632355.43999999994</v>
      </c>
      <c r="BN15" s="106">
        <f>SUM(BJ15:BM15)</f>
        <v>1395563.44</v>
      </c>
      <c r="BO15" s="160">
        <v>111843</v>
      </c>
      <c r="BP15" s="160">
        <v>195744</v>
      </c>
      <c r="BQ15" s="160">
        <v>266602</v>
      </c>
      <c r="BR15" s="160">
        <v>562757</v>
      </c>
      <c r="BS15" s="106">
        <f>SUM(BO15:BR15)</f>
        <v>1136946</v>
      </c>
      <c r="BT15" s="160">
        <v>125901</v>
      </c>
      <c r="BU15" s="160">
        <v>505000</v>
      </c>
      <c r="BV15" s="160">
        <v>451000</v>
      </c>
      <c r="BW15" s="160">
        <v>1777000</v>
      </c>
      <c r="BX15" s="106">
        <f>SUM(BT15:BW15)</f>
        <v>2858901</v>
      </c>
      <c r="BY15" s="160">
        <v>280000</v>
      </c>
      <c r="BZ15" s="160">
        <v>1176000</v>
      </c>
      <c r="CA15" s="160">
        <v>777000</v>
      </c>
      <c r="CB15" s="160">
        <f>CB4*45.3%</f>
        <v>633161.34440857871</v>
      </c>
      <c r="CC15" s="106">
        <f>SUM(BY15:CB15)</f>
        <v>2866161.3444085787</v>
      </c>
      <c r="CD15" s="160">
        <v>620000</v>
      </c>
      <c r="CE15" s="160">
        <v>171000</v>
      </c>
      <c r="CF15" s="160">
        <v>1466000</v>
      </c>
      <c r="CG15" s="160">
        <v>1101000</v>
      </c>
      <c r="CH15" s="106">
        <f>SUM(CD15:CG15)</f>
        <v>3358000</v>
      </c>
      <c r="CI15" s="160">
        <v>172000</v>
      </c>
      <c r="CJ15" s="160">
        <v>776000</v>
      </c>
      <c r="CK15" s="160">
        <v>730000</v>
      </c>
      <c r="CL15" s="160">
        <v>802000</v>
      </c>
      <c r="CM15" s="106">
        <f>SUM(CI15:CL15)</f>
        <v>2480000</v>
      </c>
      <c r="CN15" s="160">
        <v>528000</v>
      </c>
      <c r="CO15" s="160">
        <v>745000</v>
      </c>
      <c r="CP15" s="160">
        <v>1210000</v>
      </c>
      <c r="CQ15" s="160">
        <v>1642000</v>
      </c>
      <c r="CR15" s="106">
        <f>SUM(CN15:CQ15)</f>
        <v>4125000</v>
      </c>
      <c r="CS15" s="160">
        <v>478655.13369217003</v>
      </c>
      <c r="CT15" s="160">
        <v>1402790.4783779101</v>
      </c>
      <c r="CU15" s="160">
        <v>993714.13443900703</v>
      </c>
      <c r="CV15" s="160">
        <v>1281696.1656096301</v>
      </c>
      <c r="CW15" s="106">
        <f>SUM(CS15:CV15)</f>
        <v>4156855.9121187171</v>
      </c>
      <c r="CX15" s="160">
        <v>901656.56190503901</v>
      </c>
      <c r="CY15" s="160">
        <v>746867.61957325495</v>
      </c>
      <c r="CZ15" s="160">
        <v>1942570.24919725</v>
      </c>
      <c r="DA15" s="160">
        <v>3824313.7626805399</v>
      </c>
      <c r="DB15" s="106">
        <f>SUM(CX15:DA15)</f>
        <v>7415408.1933560837</v>
      </c>
      <c r="DC15" s="160">
        <v>1593952.3454383914</v>
      </c>
      <c r="DD15" s="160">
        <v>1583258.5208492938</v>
      </c>
      <c r="DE15" s="160">
        <v>2082214.45616331</v>
      </c>
      <c r="DF15" s="160">
        <v>1712021.0734909307</v>
      </c>
      <c r="DG15" s="106">
        <f>SUM(DC15:DF15)</f>
        <v>6971446.3959419262</v>
      </c>
      <c r="DH15" s="160">
        <v>1091081.6020354521</v>
      </c>
      <c r="DI15" s="160">
        <v>1658137.785314227</v>
      </c>
      <c r="DJ15" s="350">
        <f>DJ16*DJ4</f>
        <v>1451259.3723964281</v>
      </c>
      <c r="DK15" s="350">
        <f>DK16*DK4</f>
        <v>1814074.2154955349</v>
      </c>
      <c r="DL15" s="106">
        <f>SUM(DH15:DK15)</f>
        <v>6014552.9752416424</v>
      </c>
      <c r="DM15" s="350">
        <f>DM16*DM4</f>
        <v>808953.31606404216</v>
      </c>
      <c r="DN15" s="350">
        <f>DN16*DN4</f>
        <v>1186464.8635605951</v>
      </c>
      <c r="DO15" s="350">
        <f>DO16*DO4</f>
        <v>1510046.1899862122</v>
      </c>
      <c r="DP15" s="350">
        <f>DP16*DP4</f>
        <v>1887557.737482765</v>
      </c>
      <c r="DQ15" s="106">
        <f>SUM(DM15:DP15)</f>
        <v>5393022.1070936145</v>
      </c>
      <c r="DR15" s="350">
        <f>DR16*DR4</f>
        <v>845356.21528692392</v>
      </c>
      <c r="DS15" s="350">
        <f>DS16*DS4</f>
        <v>1239855.782420822</v>
      </c>
      <c r="DT15" s="350">
        <f>DT16*DT4</f>
        <v>1577998.2685355917</v>
      </c>
      <c r="DU15" s="350">
        <f>DU16*DU4</f>
        <v>1972497.8356694893</v>
      </c>
      <c r="DV15" s="106">
        <f>SUM(DR15:DU15)</f>
        <v>5635708.1019128272</v>
      </c>
      <c r="DW15" s="350">
        <f>DW16*DW4</f>
        <v>883397.24497483566</v>
      </c>
      <c r="DX15" s="350">
        <f>DX16*DX4</f>
        <v>1295649.2926297588</v>
      </c>
      <c r="DY15" s="350">
        <f>DY16*DY4</f>
        <v>1649008.1906196934</v>
      </c>
      <c r="DZ15" s="350">
        <f>DZ16*DZ4</f>
        <v>2061260.2382746162</v>
      </c>
      <c r="EA15" s="106">
        <f>SUM(DW15:DZ15)</f>
        <v>5889314.9664989039</v>
      </c>
      <c r="EB15" s="350">
        <f>EB16*EB4</f>
        <v>923150.12099870318</v>
      </c>
      <c r="EC15" s="350">
        <f>EC16*EC4</f>
        <v>1353953.5107980981</v>
      </c>
      <c r="ED15" s="350">
        <f>ED16*ED4</f>
        <v>1723213.5591975795</v>
      </c>
      <c r="EE15" s="350">
        <f>EE16*EE4</f>
        <v>2154016.9489969737</v>
      </c>
      <c r="EF15" s="106">
        <f>SUM(EB15:EE15)</f>
        <v>6154334.1399913542</v>
      </c>
    </row>
    <row r="16" spans="1:139" ht="12.75" customHeight="1">
      <c r="A16" s="66" t="s">
        <v>877</v>
      </c>
      <c r="B16" s="149"/>
      <c r="C16" s="149"/>
      <c r="D16" s="149"/>
      <c r="E16" s="149"/>
      <c r="F16" s="145"/>
      <c r="G16" s="149"/>
      <c r="H16" s="149"/>
      <c r="I16" s="149"/>
      <c r="J16" s="149"/>
      <c r="K16" s="145"/>
      <c r="L16" s="149"/>
      <c r="M16" s="350"/>
      <c r="N16" s="350"/>
      <c r="O16" s="149"/>
      <c r="P16" s="106"/>
      <c r="Q16" s="149"/>
      <c r="R16" s="350"/>
      <c r="S16" s="350"/>
      <c r="T16" s="149"/>
      <c r="U16" s="106"/>
      <c r="V16" s="149"/>
      <c r="W16" s="350"/>
      <c r="X16" s="350"/>
      <c r="Y16" s="149"/>
      <c r="Z16" s="91">
        <f>Z15/Z4</f>
        <v>0</v>
      </c>
      <c r="AA16" s="149"/>
      <c r="AB16" s="350"/>
      <c r="AC16" s="350"/>
      <c r="AD16" s="149"/>
      <c r="AE16" s="91">
        <f>AE15/AE4</f>
        <v>0</v>
      </c>
      <c r="AF16" s="90">
        <f>AF15/AF5</f>
        <v>0</v>
      </c>
      <c r="AG16" s="90">
        <f>AG15/AG5</f>
        <v>0</v>
      </c>
      <c r="AH16" s="90">
        <f>AH15/AH5</f>
        <v>0</v>
      </c>
      <c r="AI16" s="90">
        <f>AI15/AI5</f>
        <v>0</v>
      </c>
      <c r="AJ16" s="91">
        <f>AJ15/AJ4</f>
        <v>0</v>
      </c>
      <c r="AK16" s="393">
        <v>0.3</v>
      </c>
      <c r="AL16" s="393">
        <v>0.3</v>
      </c>
      <c r="AM16" s="393">
        <v>0.3</v>
      </c>
      <c r="AN16" s="393">
        <v>0.3</v>
      </c>
      <c r="AO16" s="91">
        <f t="shared" ref="AO16:AY16" si="32">AO15/AO4</f>
        <v>0.23834992599714108</v>
      </c>
      <c r="AP16" s="90">
        <f t="shared" si="32"/>
        <v>0.37</v>
      </c>
      <c r="AQ16" s="90">
        <f t="shared" si="32"/>
        <v>0.28000000000000003</v>
      </c>
      <c r="AR16" s="90">
        <f t="shared" si="32"/>
        <v>0.26</v>
      </c>
      <c r="AS16" s="90">
        <f t="shared" si="32"/>
        <v>0.35</v>
      </c>
      <c r="AT16" s="91">
        <f t="shared" si="32"/>
        <v>0.3112555866754067</v>
      </c>
      <c r="AU16" s="90">
        <f t="shared" si="32"/>
        <v>0.44</v>
      </c>
      <c r="AV16" s="90">
        <f t="shared" si="32"/>
        <v>0.48</v>
      </c>
      <c r="AW16" s="90">
        <f t="shared" si="32"/>
        <v>0.43534273213417596</v>
      </c>
      <c r="AX16" s="90">
        <f t="shared" si="32"/>
        <v>0.43</v>
      </c>
      <c r="AY16" s="91">
        <f t="shared" si="32"/>
        <v>0.44416225878232957</v>
      </c>
      <c r="AZ16" s="394">
        <v>0.36</v>
      </c>
      <c r="BA16" s="90">
        <f t="shared" ref="BA16:BF16" si="33">BA15/BA4</f>
        <v>0.33464390024713547</v>
      </c>
      <c r="BB16" s="90">
        <f t="shared" si="33"/>
        <v>0.32056194125159643</v>
      </c>
      <c r="BC16" s="90">
        <f t="shared" si="33"/>
        <v>0.39</v>
      </c>
      <c r="BD16" s="91">
        <f t="shared" si="33"/>
        <v>0.40028909787530476</v>
      </c>
      <c r="BE16" s="90">
        <f t="shared" si="33"/>
        <v>0.2</v>
      </c>
      <c r="BF16" s="90">
        <f t="shared" si="33"/>
        <v>0.47</v>
      </c>
      <c r="BG16" s="90">
        <f t="shared" ref="BG16:CF16" si="34">BG15/BG4</f>
        <v>0.47</v>
      </c>
      <c r="BH16" s="90">
        <f t="shared" si="34"/>
        <v>0.37105263157894736</v>
      </c>
      <c r="BI16" s="91">
        <f t="shared" si="34"/>
        <v>0.40093825457054155</v>
      </c>
      <c r="BJ16" s="90">
        <f t="shared" si="34"/>
        <v>0.38499184339314846</v>
      </c>
      <c r="BK16" s="90">
        <f t="shared" si="34"/>
        <v>0.42140468227424749</v>
      </c>
      <c r="BL16" s="90">
        <f t="shared" si="34"/>
        <v>0.60886725663716812</v>
      </c>
      <c r="BM16" s="90">
        <f t="shared" si="34"/>
        <v>0.49635434850863419</v>
      </c>
      <c r="BN16" s="91">
        <f t="shared" si="34"/>
        <v>0.4751663057541709</v>
      </c>
      <c r="BO16" s="90">
        <f t="shared" si="34"/>
        <v>0.18275</v>
      </c>
      <c r="BP16" s="90">
        <f t="shared" si="34"/>
        <v>0.30585000000000001</v>
      </c>
      <c r="BQ16" s="90">
        <f t="shared" si="34"/>
        <v>0.50125972053006029</v>
      </c>
      <c r="BR16" s="90">
        <f t="shared" si="34"/>
        <v>0.44339051049744999</v>
      </c>
      <c r="BS16" s="91">
        <f t="shared" si="34"/>
        <v>0.37239349023951901</v>
      </c>
      <c r="BT16" s="90">
        <f t="shared" si="34"/>
        <v>0.28992946410683323</v>
      </c>
      <c r="BU16" s="90">
        <f t="shared" si="34"/>
        <v>0.51458727553040706</v>
      </c>
      <c r="BV16" s="90">
        <f t="shared" si="34"/>
        <v>0.49128540305010893</v>
      </c>
      <c r="BW16" s="90">
        <f t="shared" si="34"/>
        <v>0.65688372029236841</v>
      </c>
      <c r="BX16" s="91">
        <f t="shared" si="34"/>
        <v>0.56737586555962138</v>
      </c>
      <c r="BY16" s="90">
        <f t="shared" si="34"/>
        <v>0.63290758639668498</v>
      </c>
      <c r="BZ16" s="90">
        <f t="shared" si="34"/>
        <v>0.76964696876617877</v>
      </c>
      <c r="CA16" s="90">
        <f t="shared" si="34"/>
        <v>0.78586405213961252</v>
      </c>
      <c r="CB16" s="90">
        <f t="shared" si="34"/>
        <v>0.45299999999999996</v>
      </c>
      <c r="CC16" s="91">
        <f t="shared" si="34"/>
        <v>0.65785872485043417</v>
      </c>
      <c r="CD16" s="90">
        <f t="shared" si="34"/>
        <v>0.58239623696149267</v>
      </c>
      <c r="CE16" s="90">
        <f t="shared" si="34"/>
        <v>0.67270606798506671</v>
      </c>
      <c r="CF16" s="90">
        <f t="shared" si="34"/>
        <v>0.88786446393509866</v>
      </c>
      <c r="CG16" s="90">
        <f t="shared" ref="CG16:CM16" si="35">CG15/CG4</f>
        <v>0.38317699270776934</v>
      </c>
      <c r="CH16" s="91">
        <f t="shared" si="35"/>
        <v>0.57467888535632639</v>
      </c>
      <c r="CI16" s="90">
        <f t="shared" si="35"/>
        <v>0.40821372222976698</v>
      </c>
      <c r="CJ16" s="90">
        <f t="shared" si="35"/>
        <v>0.402265159036446</v>
      </c>
      <c r="CK16" s="90">
        <f t="shared" si="35"/>
        <v>0.33186362324162139</v>
      </c>
      <c r="CL16" s="90">
        <f t="shared" si="35"/>
        <v>0.31391166031059148</v>
      </c>
      <c r="CM16" s="91">
        <f t="shared" si="35"/>
        <v>0.34905087783151939</v>
      </c>
      <c r="CN16" s="90">
        <f t="shared" ref="CN16:CX16" si="36">CN15/CN4</f>
        <v>0.50883494130749629</v>
      </c>
      <c r="CO16" s="90">
        <f t="shared" si="36"/>
        <v>0.32025028249986476</v>
      </c>
      <c r="CP16" s="90">
        <f t="shared" si="36"/>
        <v>0.41328505357208262</v>
      </c>
      <c r="CQ16" s="90">
        <f t="shared" si="36"/>
        <v>0.58198778516319805</v>
      </c>
      <c r="CR16" s="91">
        <f t="shared" si="36"/>
        <v>0.45264526721723125</v>
      </c>
      <c r="CS16" s="90">
        <f t="shared" si="36"/>
        <v>0.35594657270347346</v>
      </c>
      <c r="CT16" s="90">
        <f t="shared" si="36"/>
        <v>0.39914611104456577</v>
      </c>
      <c r="CU16" s="90">
        <f t="shared" si="36"/>
        <v>0.45908098691381349</v>
      </c>
      <c r="CV16" s="90">
        <f t="shared" si="36"/>
        <v>0.46715330901788177</v>
      </c>
      <c r="CW16" s="91">
        <f t="shared" si="36"/>
        <v>0.42558379051614575</v>
      </c>
      <c r="CX16" s="90">
        <f t="shared" si="36"/>
        <v>0.53040293026804153</v>
      </c>
      <c r="CY16" s="90">
        <f t="shared" ref="CY16:DA16" si="37">CY15/CY4</f>
        <v>0.51104186955533426</v>
      </c>
      <c r="CZ16" s="90">
        <f t="shared" si="37"/>
        <v>0.62210395635154214</v>
      </c>
      <c r="DA16" s="90">
        <f t="shared" si="37"/>
        <v>0.56766349569121399</v>
      </c>
      <c r="DB16" s="91">
        <f>DB15/DB4</f>
        <v>0.56949927312184478</v>
      </c>
      <c r="DC16" s="90">
        <f t="shared" ref="DC16:DE16" si="38">DC15/DC4</f>
        <v>0.32782411653253751</v>
      </c>
      <c r="DD16" s="90">
        <f t="shared" si="38"/>
        <v>0.38368467751819391</v>
      </c>
      <c r="DE16" s="90">
        <f t="shared" si="38"/>
        <v>0.41232104345429066</v>
      </c>
      <c r="DF16" s="90">
        <f>DF15/DF4</f>
        <v>0.37781693722969512</v>
      </c>
      <c r="DG16" s="91">
        <f>DG15/DG4</f>
        <v>0.37541425410873774</v>
      </c>
      <c r="DH16" s="90">
        <f t="shared" ref="DH16:DI16" si="39">DH15/DH4</f>
        <v>0.44931025200906</v>
      </c>
      <c r="DI16" s="90">
        <f t="shared" si="39"/>
        <v>0.33386323302821819</v>
      </c>
      <c r="DJ16" s="393">
        <f>DI16</f>
        <v>0.33386323302821819</v>
      </c>
      <c r="DK16" s="393">
        <f>DJ16</f>
        <v>0.33386323302821819</v>
      </c>
      <c r="DL16" s="91">
        <f>DL15/DL4</f>
        <v>0.35018581362912038</v>
      </c>
      <c r="DM16" s="393">
        <f>DK16</f>
        <v>0.33386323302821819</v>
      </c>
      <c r="DN16" s="393">
        <f>DM16</f>
        <v>0.33386323302821819</v>
      </c>
      <c r="DO16" s="393">
        <f>DN16</f>
        <v>0.33386323302821819</v>
      </c>
      <c r="DP16" s="393">
        <f>DO16</f>
        <v>0.33386323302821819</v>
      </c>
      <c r="DQ16" s="91">
        <f>DQ15/DQ4</f>
        <v>0.33386323302821819</v>
      </c>
      <c r="DR16" s="393">
        <f>DP16</f>
        <v>0.33386323302821819</v>
      </c>
      <c r="DS16" s="393">
        <f>DR16</f>
        <v>0.33386323302821819</v>
      </c>
      <c r="DT16" s="393">
        <f>DS16</f>
        <v>0.33386323302821819</v>
      </c>
      <c r="DU16" s="393">
        <f>DT16</f>
        <v>0.33386323302821819</v>
      </c>
      <c r="DV16" s="91">
        <f>DV15/DV4</f>
        <v>0.33386323302821819</v>
      </c>
      <c r="DW16" s="393">
        <f>DU16</f>
        <v>0.33386323302821819</v>
      </c>
      <c r="DX16" s="393">
        <f>DW16</f>
        <v>0.33386323302821819</v>
      </c>
      <c r="DY16" s="393">
        <f>DX16</f>
        <v>0.33386323302821819</v>
      </c>
      <c r="DZ16" s="393">
        <f>DY16</f>
        <v>0.33386323302821819</v>
      </c>
      <c r="EA16" s="91">
        <f>EA15/EA4</f>
        <v>0.33386323302821819</v>
      </c>
      <c r="EB16" s="393">
        <f>DZ16</f>
        <v>0.33386323302821819</v>
      </c>
      <c r="EC16" s="393">
        <f>EB16</f>
        <v>0.33386323302821819</v>
      </c>
      <c r="ED16" s="393">
        <f>EC16</f>
        <v>0.33386323302821819</v>
      </c>
      <c r="EE16" s="393">
        <f>ED16</f>
        <v>0.33386323302821819</v>
      </c>
      <c r="EF16" s="91">
        <f>EF15/EF4</f>
        <v>0.33386323302821819</v>
      </c>
    </row>
    <row r="17" spans="1:141" ht="12.75" customHeight="1">
      <c r="A17" s="66" t="s">
        <v>878</v>
      </c>
      <c r="B17" s="149"/>
      <c r="C17" s="149"/>
      <c r="D17" s="149"/>
      <c r="E17" s="149"/>
      <c r="F17" s="145"/>
      <c r="G17" s="149"/>
      <c r="H17" s="149"/>
      <c r="I17" s="149"/>
      <c r="J17" s="149"/>
      <c r="K17" s="145"/>
      <c r="L17" s="213"/>
      <c r="M17" s="161"/>
      <c r="N17" s="161"/>
      <c r="O17" s="213"/>
      <c r="P17" s="106"/>
      <c r="Q17" s="213"/>
      <c r="R17" s="161"/>
      <c r="S17" s="161"/>
      <c r="T17" s="213"/>
      <c r="U17" s="106"/>
      <c r="V17" s="213"/>
      <c r="W17" s="161"/>
      <c r="X17" s="161"/>
      <c r="Y17" s="213"/>
      <c r="Z17" s="106">
        <f>SUM(V17:Y17)</f>
        <v>0</v>
      </c>
      <c r="AA17" s="213"/>
      <c r="AB17" s="161"/>
      <c r="AC17" s="161"/>
      <c r="AD17" s="213"/>
      <c r="AE17" s="106">
        <f>SUM(AA17:AD17)</f>
        <v>0</v>
      </c>
      <c r="AF17" s="213"/>
      <c r="AG17" s="213"/>
      <c r="AH17" s="213"/>
      <c r="AI17" s="213"/>
      <c r="AJ17" s="106">
        <f>SUM(AF17:AI17)</f>
        <v>0</v>
      </c>
      <c r="AK17" s="350">
        <f>AK18*AJ24</f>
        <v>715666.00000000012</v>
      </c>
      <c r="AL17" s="350">
        <f>AL18*AK24</f>
        <v>737086.00000000012</v>
      </c>
      <c r="AM17" s="350">
        <f>AM18*AL24</f>
        <v>735140.00000000012</v>
      </c>
      <c r="AN17" s="350">
        <f>AN18*AM24</f>
        <v>804860.00000000012</v>
      </c>
      <c r="AO17" s="106">
        <f>SUM(AK17:AN17)</f>
        <v>2992752.0000000005</v>
      </c>
      <c r="AP17" s="160">
        <f>AP9+AP19-AP15</f>
        <v>1146743.5</v>
      </c>
      <c r="AQ17" s="160">
        <f>AQ9+AQ19-AQ15</f>
        <v>1267692.32</v>
      </c>
      <c r="AR17" s="160">
        <f>AR9+AR19-AR15</f>
        <v>1614217.24</v>
      </c>
      <c r="AS17" s="160">
        <f>AS9+AS19-AS15</f>
        <v>862261.28</v>
      </c>
      <c r="AT17" s="106">
        <f>SUM(AP17:AS17)</f>
        <v>4890914.3400000008</v>
      </c>
      <c r="AU17" s="160">
        <f>AU9+AU19-AU15</f>
        <v>1059838.26</v>
      </c>
      <c r="AV17" s="160">
        <f>AV9+AV19-AV15</f>
        <v>1306096.08</v>
      </c>
      <c r="AW17" s="160">
        <f>AW9+AW19-AW15</f>
        <v>1048965.24</v>
      </c>
      <c r="AX17" s="160">
        <f>AX9+AX19-AX15</f>
        <v>1076324.6000000001</v>
      </c>
      <c r="AY17" s="106">
        <f t="shared" si="31"/>
        <v>4491224.18</v>
      </c>
      <c r="AZ17" s="160">
        <f>AZ9+AZ19-AZ15</f>
        <v>962115.55</v>
      </c>
      <c r="BA17" s="160">
        <f>BA9+BA19-BA15</f>
        <v>1281421.8</v>
      </c>
      <c r="BB17" s="160">
        <f>BB9+BB19-BB15</f>
        <v>1054116.99</v>
      </c>
      <c r="BC17" s="160">
        <f>BC9+BC19-BC15</f>
        <v>1236566.1200000001</v>
      </c>
      <c r="BD17" s="106">
        <f>SUM(AZ17:BC17)</f>
        <v>4534220.46</v>
      </c>
      <c r="BE17" s="160">
        <f>BE9+BE19-BE15</f>
        <v>1088034</v>
      </c>
      <c r="BF17" s="160">
        <f>BF9+BF19-BF15</f>
        <v>892006</v>
      </c>
      <c r="BG17" s="160">
        <f>BG9+BG19-BG15</f>
        <v>1240533</v>
      </c>
      <c r="BH17" s="160">
        <f>BH9+BH19-BH15</f>
        <v>1061242</v>
      </c>
      <c r="BI17" s="106">
        <f>SUM(BE17:BH17)</f>
        <v>4281815</v>
      </c>
      <c r="BJ17" s="160">
        <f>BJ9+BJ19-BJ15</f>
        <v>801451</v>
      </c>
      <c r="BK17" s="160">
        <f>BK9+BK19-BK15</f>
        <v>1068832</v>
      </c>
      <c r="BL17" s="160">
        <f>BL9+BL19-BL15</f>
        <v>901409</v>
      </c>
      <c r="BM17" s="160">
        <f>BM9+BM19-BM15</f>
        <v>927744.56</v>
      </c>
      <c r="BN17" s="106">
        <f>SUM(BJ17:BM17)</f>
        <v>3699436.56</v>
      </c>
      <c r="BO17" s="160">
        <f>BO9+BO19-BO15</f>
        <v>924157</v>
      </c>
      <c r="BP17" s="160">
        <f>BP9+BP19-BP15</f>
        <v>1090256</v>
      </c>
      <c r="BQ17" s="160">
        <f>BQ9+BQ19-BQ15</f>
        <v>936028</v>
      </c>
      <c r="BR17" s="160">
        <f>BR9+BR19-BR15</f>
        <v>983534</v>
      </c>
      <c r="BS17" s="106">
        <f>SUM(BO17:BR17)</f>
        <v>3933975</v>
      </c>
      <c r="BT17" s="160">
        <f>BT9+BT19-BT15</f>
        <v>797191</v>
      </c>
      <c r="BU17" s="160">
        <f>BU9+BU19-BU15</f>
        <v>920935</v>
      </c>
      <c r="BV17" s="160">
        <f>BV9+BV19-BV15</f>
        <v>796000</v>
      </c>
      <c r="BW17" s="160">
        <f>BW9+BW19-BW15</f>
        <v>850179.72545797983</v>
      </c>
      <c r="BX17" s="106">
        <f>SUM(BT17:BW17)</f>
        <v>3364305.7254579798</v>
      </c>
      <c r="BY17" s="160">
        <f>BY9+BY19-BY15</f>
        <v>681031.06656818045</v>
      </c>
      <c r="BZ17" s="160">
        <f>BZ9+BZ19-BZ15</f>
        <v>351470.93685014336</v>
      </c>
      <c r="CA17" s="160">
        <f>CA9+CA19-CA15</f>
        <v>546366.33033120655</v>
      </c>
      <c r="CB17" s="160">
        <f>CB9+CB19-CB15</f>
        <v>919283.76518823067</v>
      </c>
      <c r="CC17" s="106">
        <f>SUM(BY17:CB17)</f>
        <v>2498152.098937761</v>
      </c>
      <c r="CD17" s="160">
        <f>CD9+CD19-CD15</f>
        <v>411188.98344586894</v>
      </c>
      <c r="CE17" s="160">
        <f>CE9+CE19-CE15</f>
        <v>552378.08895439724</v>
      </c>
      <c r="CF17" s="160">
        <f>CF9+CF19-CF15</f>
        <v>553627.10255326191</v>
      </c>
      <c r="CG17" s="160">
        <f>CG9+CG19-CG15</f>
        <v>924194.76670204918</v>
      </c>
      <c r="CH17" s="106">
        <f>SUM(CD17:CG17)</f>
        <v>2441388.9416555772</v>
      </c>
      <c r="CI17" s="160">
        <f>CI9+CI19-CI15</f>
        <v>987711.89448717446</v>
      </c>
      <c r="CJ17" s="160">
        <f>CJ9+CJ19-CJ15</f>
        <v>933454.81941567268</v>
      </c>
      <c r="CK17" s="160">
        <f>CK9+CK19-CK15</f>
        <v>801703.68013271363</v>
      </c>
      <c r="CL17" s="160">
        <f>CL9+CL19-CL15</f>
        <v>944915.09849183098</v>
      </c>
      <c r="CM17" s="106">
        <f>SUM(CI17:CL17)</f>
        <v>3667785.4925273918</v>
      </c>
      <c r="CN17" s="160">
        <f>CN9+CN19-CN15</f>
        <v>989887.34057809156</v>
      </c>
      <c r="CO17" s="160">
        <f>CO9+CO19-CO15</f>
        <v>1100740.8707555183</v>
      </c>
      <c r="CP17" s="160">
        <f>CP9+CP19-CP15</f>
        <v>1296517.5363245821</v>
      </c>
      <c r="CQ17" s="160">
        <f>CQ9+CQ19-CQ15</f>
        <v>1221336.3394353595</v>
      </c>
      <c r="CR17" s="106">
        <f>SUM(CN17:CQ17)</f>
        <v>4608482.0870935516</v>
      </c>
      <c r="CS17" s="160">
        <f>CS9+CS19-CS15</f>
        <v>1373400.0136141228</v>
      </c>
      <c r="CT17" s="160">
        <f>CT9+CT19-CT15</f>
        <v>1394963.9751770676</v>
      </c>
      <c r="CU17" s="160">
        <f>CU9+CU19-CU15</f>
        <v>1531785.5397354634</v>
      </c>
      <c r="CV17" s="160">
        <f>CV9+CV19-CV15</f>
        <v>1634097.9543640653</v>
      </c>
      <c r="CW17" s="106">
        <f>SUM(CS17:CV17)</f>
        <v>5934247.4828907186</v>
      </c>
      <c r="CX17" s="160">
        <f>CX9+CX19-CX15</f>
        <v>1582643.2977167298</v>
      </c>
      <c r="CY17" s="160">
        <f>CY9+CY19-CY15</f>
        <v>1936341.423113049</v>
      </c>
      <c r="CZ17" s="160">
        <f>CZ9+CZ19-CZ15</f>
        <v>1574740.9127655488</v>
      </c>
      <c r="DA17" s="160">
        <f>DA9+DA19-DA15</f>
        <v>1395930.9136597477</v>
      </c>
      <c r="DB17" s="106">
        <f>SUM(CX17:DA17)</f>
        <v>6489656.5472550755</v>
      </c>
      <c r="DC17" s="160">
        <f>DC9+DC19-DC15</f>
        <v>1779357.1968071591</v>
      </c>
      <c r="DD17" s="160">
        <f>DD9+DD19-DD15</f>
        <v>2127729.5278770011</v>
      </c>
      <c r="DE17" s="160">
        <v>1984733.70669759</v>
      </c>
      <c r="DF17" s="160">
        <f>DF9+DF19-DF15</f>
        <v>1932859.5371637549</v>
      </c>
      <c r="DG17" s="106">
        <f>SUM(DC17:DF17)</f>
        <v>7824679.9685455048</v>
      </c>
      <c r="DH17" s="160">
        <f>DH9+DH19-DH15</f>
        <v>2194954.9563902845</v>
      </c>
      <c r="DI17" s="160">
        <f>DI9+DI19-DI15</f>
        <v>2261724.496400014</v>
      </c>
      <c r="DJ17" s="350">
        <f>DJ18*DI24</f>
        <v>2920805.90757311</v>
      </c>
      <c r="DK17" s="350">
        <f>DK18*DJ24</f>
        <v>3190047.2122394666</v>
      </c>
      <c r="DL17" s="106">
        <f>SUM(DH17:DK17)</f>
        <v>10567532.572602876</v>
      </c>
      <c r="DM17" s="350">
        <f>DM18*DL24</f>
        <v>3001366.568596716</v>
      </c>
      <c r="DN17" s="350">
        <f>DN18*DM24</f>
        <v>3037049.383498311</v>
      </c>
      <c r="DO17" s="350">
        <f>DO18*DN24</f>
        <v>3009318.0245756987</v>
      </c>
      <c r="DP17" s="350">
        <f>DP18*DO24</f>
        <v>3283602.6699630143</v>
      </c>
      <c r="DQ17" s="106">
        <f>SUM(DM17:DP17)</f>
        <v>12331336.646633741</v>
      </c>
      <c r="DR17" s="350">
        <f>DR18*DQ24</f>
        <v>3087332.3686366463</v>
      </c>
      <c r="DS17" s="350">
        <f>DS18*DR24</f>
        <v>3145859.0653583654</v>
      </c>
      <c r="DT17" s="350">
        <f>DT18*DS24</f>
        <v>3138092.1170026972</v>
      </c>
      <c r="DU17" s="350">
        <f>DU18*DT24</f>
        <v>3441072.9154067119</v>
      </c>
      <c r="DV17" s="106">
        <f>SUM(DR17:DU17)</f>
        <v>12812356.466404421</v>
      </c>
      <c r="DW17" s="350">
        <f>DW18*DV24</f>
        <v>3245263.4989962727</v>
      </c>
      <c r="DX17" s="350">
        <f>DX18*DW24</f>
        <v>3316238.9481578725</v>
      </c>
      <c r="DY17" s="350">
        <f>DY18*DX24</f>
        <v>3313068.8009006986</v>
      </c>
      <c r="DZ17" s="350">
        <f>DZ18*DY24</f>
        <v>3634580.2723258315</v>
      </c>
      <c r="EA17" s="106">
        <f>SUM(DW17:DZ17)</f>
        <v>13509151.520380676</v>
      </c>
      <c r="EB17" s="350">
        <f>EB18*EA24</f>
        <v>3425791.4302257192</v>
      </c>
      <c r="EC17" s="350">
        <f>EC18*EB24</f>
        <v>3500691.3370079896</v>
      </c>
      <c r="ED17" s="350">
        <f>ED18*EC24</f>
        <v>3494302.5281290747</v>
      </c>
      <c r="EE17" s="350">
        <f>EE18*ED24</f>
        <v>3828471.9855431183</v>
      </c>
      <c r="EF17" s="106">
        <f>SUM(EB17:EE17)</f>
        <v>14249257.280905902</v>
      </c>
    </row>
    <row r="18" spans="1:141" ht="12.75" customHeight="1">
      <c r="A18" s="66" t="s">
        <v>877</v>
      </c>
      <c r="B18" s="149"/>
      <c r="C18" s="149"/>
      <c r="D18" s="149"/>
      <c r="E18" s="149"/>
      <c r="F18" s="145"/>
      <c r="G18" s="149"/>
      <c r="H18" s="149"/>
      <c r="I18" s="149"/>
      <c r="J18" s="149"/>
      <c r="K18" s="145"/>
      <c r="L18" s="149"/>
      <c r="M18" s="350"/>
      <c r="N18" s="350"/>
      <c r="O18" s="149"/>
      <c r="P18" s="106"/>
      <c r="Q18" s="149"/>
      <c r="R18" s="350"/>
      <c r="S18" s="350"/>
      <c r="T18" s="149"/>
      <c r="U18" s="106"/>
      <c r="V18" s="149"/>
      <c r="W18" s="350"/>
      <c r="X18" s="350"/>
      <c r="Y18" s="149"/>
      <c r="Z18" s="91">
        <f>Z17/AVERAGE(U24:X24)</f>
        <v>0</v>
      </c>
      <c r="AA18" s="149"/>
      <c r="AB18" s="350"/>
      <c r="AC18" s="350"/>
      <c r="AD18" s="149"/>
      <c r="AE18" s="91">
        <f>AE17/AVERAGE(Z24:AC24)</f>
        <v>0</v>
      </c>
      <c r="AF18" s="90">
        <f>AF17/AE24</f>
        <v>0</v>
      </c>
      <c r="AG18" s="90">
        <f>AG17/AF24</f>
        <v>0</v>
      </c>
      <c r="AH18" s="90">
        <f>AH17/AG24</f>
        <v>0</v>
      </c>
      <c r="AI18" s="90">
        <f>AI17/AH24</f>
        <v>0</v>
      </c>
      <c r="AJ18" s="91">
        <f>AJ17/AVERAGE(AE24:AH24)</f>
        <v>0</v>
      </c>
      <c r="AK18" s="394">
        <v>0.14000000000000001</v>
      </c>
      <c r="AL18" s="394">
        <f>AK18</f>
        <v>0.14000000000000001</v>
      </c>
      <c r="AM18" s="394">
        <f>AL18</f>
        <v>0.14000000000000001</v>
      </c>
      <c r="AN18" s="394">
        <f>AM18</f>
        <v>0.14000000000000001</v>
      </c>
      <c r="AO18" s="111">
        <f>AO17/AVERAGE(AJ24:AM24)</f>
        <v>0.56000000000000005</v>
      </c>
      <c r="AP18" s="90">
        <f>AP17/AO24</f>
        <v>0.17601588641596316</v>
      </c>
      <c r="AQ18" s="90">
        <f>AQ17/AP24</f>
        <v>0.19792229820452772</v>
      </c>
      <c r="AR18" s="90">
        <f>AR17/AQ24</f>
        <v>0.25844016010246557</v>
      </c>
      <c r="AS18" s="90">
        <f>AS17/AR24</f>
        <v>0.13920911850177592</v>
      </c>
      <c r="AT18" s="91">
        <f>AT17/AVERAGE(AO24:AR24)</f>
        <v>0.77143759305993698</v>
      </c>
      <c r="AU18" s="90">
        <f>AU17/AT24</f>
        <v>0.15995144280108664</v>
      </c>
      <c r="AV18" s="90">
        <f>AV17/AU24</f>
        <v>0.20600884542586753</v>
      </c>
      <c r="AW18" s="90">
        <f>AW17/AV24</f>
        <v>0.17020091187876232</v>
      </c>
      <c r="AX18" s="90">
        <f>AX17/AW24</f>
        <v>0.1726677789363921</v>
      </c>
      <c r="AY18" s="91">
        <f>AY17/AVERAGE(AT24:AW24)</f>
        <v>0.70832236127210924</v>
      </c>
      <c r="AZ18" s="90">
        <f>AZ17/AY24</f>
        <v>0.14351365602625299</v>
      </c>
      <c r="BA18" s="90">
        <f>BA17/AZ24</f>
        <v>0.17829717545568388</v>
      </c>
      <c r="BB18" s="90">
        <f>BB17/BA24</f>
        <v>0.15015911538461538</v>
      </c>
      <c r="BC18" s="90">
        <f>BC17/BB24</f>
        <v>0.17908271107892834</v>
      </c>
      <c r="BD18" s="111">
        <f>BD17/AVERAGE(AY24:BB24)</f>
        <v>0.65203055220017259</v>
      </c>
      <c r="BE18" s="90">
        <f>BE17/BD24</f>
        <v>0.14841549583958533</v>
      </c>
      <c r="BF18" s="90">
        <f>BF17/BE24</f>
        <v>0.12892123139181963</v>
      </c>
      <c r="BG18" s="90">
        <f>BG17/BF24</f>
        <v>0.17110800000000001</v>
      </c>
      <c r="BH18" s="90">
        <f>BH17/BG24</f>
        <v>0.15485801838610827</v>
      </c>
      <c r="BI18" s="111">
        <f>BI17/AVERAGE(BD24:BG24)</f>
        <v>0.60407223221528583</v>
      </c>
      <c r="BJ18" s="90">
        <f>BJ17/BI24</f>
        <v>0.12211656254761542</v>
      </c>
      <c r="BK18" s="90">
        <f>BK17/BJ24</f>
        <v>0.16494320987654321</v>
      </c>
      <c r="BL18" s="90">
        <f>BL17/BK24</f>
        <v>0.13745181457761513</v>
      </c>
      <c r="BM18" s="90">
        <f>BM17/BL24</f>
        <v>0.14468879600748596</v>
      </c>
      <c r="BN18" s="111">
        <f>BN17/AVERAGE(BI24:BL24)</f>
        <v>0.56885965632568336</v>
      </c>
      <c r="BO18" s="90">
        <f>BO17/BN24</f>
        <v>0.14137325990515526</v>
      </c>
      <c r="BP18" s="90">
        <f>BP17/BO24</f>
        <v>0.16404694553114654</v>
      </c>
      <c r="BQ18" s="90">
        <f>BQ17/BP24</f>
        <v>0.14532339698804533</v>
      </c>
      <c r="BR18" s="90">
        <f>BR17/BQ24</f>
        <v>0.15832807469414037</v>
      </c>
      <c r="BS18" s="111">
        <f>BS17/AVERAGE(BN24:BQ24)</f>
        <v>0.60906874129122157</v>
      </c>
      <c r="BT18" s="90">
        <f>BT17/BS24</f>
        <v>0.12907885362694302</v>
      </c>
      <c r="BU18" s="90">
        <f>BU17/BT24</f>
        <v>0.15575266827718287</v>
      </c>
      <c r="BV18" s="90">
        <f>BV17/BU24</f>
        <v>0.13749517644120338</v>
      </c>
      <c r="BW18" s="90">
        <f>BW17/BV24</f>
        <v>0.15252596438069246</v>
      </c>
      <c r="BX18" s="111">
        <f>BX17/AVERAGE(BS24:BV24)</f>
        <v>0.57381744276490398</v>
      </c>
      <c r="BY18" s="90">
        <f>BY17/BX24</f>
        <v>0.14734908436993041</v>
      </c>
      <c r="BZ18" s="90">
        <f>BZ17/BY24</f>
        <v>8.4721514615626506E-2</v>
      </c>
      <c r="CA18" s="90">
        <f>CA17/BZ24</f>
        <v>0.12291255980344314</v>
      </c>
      <c r="CB18" s="90">
        <f>CB17/CA24</f>
        <v>0.21431665923278645</v>
      </c>
      <c r="CC18" s="111">
        <f>CC17/AVERAGE(BX24:CA24)</f>
        <v>0.57084417318354574</v>
      </c>
      <c r="CD18" s="90">
        <f>CD17/CC24</f>
        <v>9.4743068496840083E-2</v>
      </c>
      <c r="CE18" s="90">
        <f>CE17/CD24</f>
        <v>0.12330578732441727</v>
      </c>
      <c r="CF18" s="90">
        <f>CF17/CE24</f>
        <v>0.13031267027518598</v>
      </c>
      <c r="CG18" s="90">
        <f>CG17/CF24</f>
        <v>0.21486901241355275</v>
      </c>
      <c r="CH18" s="111">
        <f>CH17/AVERAGE(CC24:CF24)</f>
        <v>0.56222637369709694</v>
      </c>
      <c r="CI18" s="90">
        <f>CI17/CH24</f>
        <v>0.18042490714830095</v>
      </c>
      <c r="CJ18" s="90">
        <f>CJ17/CI24</f>
        <v>0.19070241655376613</v>
      </c>
      <c r="CK18" s="90">
        <f>CK17/CJ24</f>
        <v>0.14624291866704006</v>
      </c>
      <c r="CL18" s="90">
        <f>CL17/CK24</f>
        <v>0.14579773159880127</v>
      </c>
      <c r="CM18" s="111">
        <f>CM17/AVERAGE(CH24:CK24)</f>
        <v>0.65695044173386019</v>
      </c>
      <c r="CN18" s="90">
        <f>CN17/CM24</f>
        <v>0.13246184137268721</v>
      </c>
      <c r="CO18" s="90">
        <f>CO17/CN24</f>
        <v>0.15256283724955208</v>
      </c>
      <c r="CP18" s="90">
        <f>CP17/CO24</f>
        <v>0.15925777377774009</v>
      </c>
      <c r="CQ18" s="90">
        <f>CQ17/CP24</f>
        <v>0.13705940292171018</v>
      </c>
      <c r="CR18" s="111">
        <f>CR17/AVERAGE(CM24:CP24)</f>
        <v>0.58077909100107772</v>
      </c>
      <c r="CS18" s="90">
        <f>CS17/CR24</f>
        <v>0.15143896941384086</v>
      </c>
      <c r="CT18" s="90">
        <f>CT17/CS24</f>
        <v>0.16045819289116811</v>
      </c>
      <c r="CU18" s="90">
        <f>CU17/CT24</f>
        <v>0.15683497628378357</v>
      </c>
      <c r="CV18" s="90">
        <f>CV17/CU24</f>
        <v>0.16741023721844311</v>
      </c>
      <c r="CW18" s="111">
        <f>CW17/AVERAGE(CR24:CU24)</f>
        <v>0.63654203278226296</v>
      </c>
      <c r="CX18" s="90">
        <f>CX17/CW24</f>
        <v>0.15931567709240119</v>
      </c>
      <c r="CY18" s="90">
        <f>CY17/CX24</f>
        <v>0.20430666675803913</v>
      </c>
      <c r="CZ18" s="90">
        <f>CZ17/CY24</f>
        <v>0.18163475803289528</v>
      </c>
      <c r="DA18" s="90">
        <f>DA17/CZ24</f>
        <v>0.16058119971657611</v>
      </c>
      <c r="DB18" s="111">
        <f>DB17/AVERAGE(CW24:CZ24)</f>
        <v>0.70588767450893886</v>
      </c>
      <c r="DC18" s="90">
        <f>DC17/DB24</f>
        <v>0.16858852075941327</v>
      </c>
      <c r="DD18" s="90">
        <f>DD17/DC24</f>
        <v>0.17147918401258339</v>
      </c>
      <c r="DE18" s="90">
        <f>DE17/DD24</f>
        <v>0.14830423164816459</v>
      </c>
      <c r="DF18" s="90">
        <f>DF17/DE24</f>
        <v>0.12848664895967438</v>
      </c>
      <c r="DG18" s="111">
        <f>DG17/AVERAGE(DB24:DE24)</f>
        <v>0.60905894109267356</v>
      </c>
      <c r="DH18" s="90">
        <f>DH17/DG24</f>
        <v>0.13503238194785674</v>
      </c>
      <c r="DI18" s="90">
        <f>DI17/DH24</f>
        <v>0.1467112248164068</v>
      </c>
      <c r="DJ18" s="393">
        <v>0.17</v>
      </c>
      <c r="DK18" s="393">
        <v>0.18</v>
      </c>
      <c r="DL18" s="111">
        <f>DL17/AVERAGE(DG24:DJ24)</f>
        <v>0.63492604791124441</v>
      </c>
      <c r="DM18" s="393">
        <v>0.16</v>
      </c>
      <c r="DN18" s="393">
        <v>0.17</v>
      </c>
      <c r="DO18" s="393">
        <v>0.17</v>
      </c>
      <c r="DP18" s="393">
        <v>0.18</v>
      </c>
      <c r="DQ18" s="111">
        <f>DQ17/AVERAGE(DL24:DO24)</f>
        <v>0.67971540815643283</v>
      </c>
      <c r="DR18" s="393">
        <f>DM18</f>
        <v>0.16</v>
      </c>
      <c r="DS18" s="393">
        <f>DN18</f>
        <v>0.17</v>
      </c>
      <c r="DT18" s="393">
        <f>DO18</f>
        <v>0.17</v>
      </c>
      <c r="DU18" s="393">
        <f>DP18</f>
        <v>0.18</v>
      </c>
      <c r="DV18" s="111">
        <f>DV17/AVERAGE(DQ24:DT24)</f>
        <v>0.67990514093258103</v>
      </c>
      <c r="DW18" s="393">
        <f>DR18</f>
        <v>0.16</v>
      </c>
      <c r="DX18" s="393">
        <f>DS18</f>
        <v>0.17</v>
      </c>
      <c r="DY18" s="393">
        <f>DT18</f>
        <v>0.17</v>
      </c>
      <c r="DZ18" s="393">
        <f>DU18</f>
        <v>0.18</v>
      </c>
      <c r="EA18" s="111">
        <f>EA17/AVERAGE(DV24:DY24)</f>
        <v>0.67995430568827708</v>
      </c>
      <c r="EB18" s="393">
        <f>DW18</f>
        <v>0.16</v>
      </c>
      <c r="EC18" s="393">
        <f>DX18</f>
        <v>0.17</v>
      </c>
      <c r="ED18" s="393">
        <f>DY18</f>
        <v>0.17</v>
      </c>
      <c r="EE18" s="393">
        <f>DZ18</f>
        <v>0.18</v>
      </c>
      <c r="EF18" s="111">
        <f>EF17/AVERAGE(EA24:ED24)</f>
        <v>0.67993228588860577</v>
      </c>
    </row>
    <row r="19" spans="1:141" ht="12.75" customHeight="1">
      <c r="A19" s="66" t="s">
        <v>879</v>
      </c>
      <c r="B19" s="149"/>
      <c r="C19" s="149"/>
      <c r="D19" s="149"/>
      <c r="E19" s="149"/>
      <c r="F19" s="145"/>
      <c r="G19" s="149"/>
      <c r="H19" s="149"/>
      <c r="I19" s="149"/>
      <c r="J19" s="149"/>
      <c r="K19" s="145"/>
      <c r="L19" s="213"/>
      <c r="M19" s="161"/>
      <c r="N19" s="161"/>
      <c r="O19" s="213"/>
      <c r="P19" s="106"/>
      <c r="Q19" s="213"/>
      <c r="R19" s="161"/>
      <c r="S19" s="161"/>
      <c r="T19" s="213"/>
      <c r="U19" s="106"/>
      <c r="V19" s="213"/>
      <c r="W19" s="161"/>
      <c r="X19" s="161"/>
      <c r="Y19" s="213"/>
      <c r="Z19" s="106">
        <f>SUM(V19:Y19)</f>
        <v>0</v>
      </c>
      <c r="AA19" s="213"/>
      <c r="AB19" s="161"/>
      <c r="AC19" s="161"/>
      <c r="AD19" s="213"/>
      <c r="AE19" s="106">
        <f>SUM(AA19:AD19)</f>
        <v>0</v>
      </c>
      <c r="AF19" s="213"/>
      <c r="AG19" s="213"/>
      <c r="AH19" s="213"/>
      <c r="AI19" s="161"/>
      <c r="AJ19" s="106">
        <f>SUM(AF19:AI19)</f>
        <v>0</v>
      </c>
      <c r="AK19" s="350">
        <f>('Balance Sheet'!AJ8+'Balance Sheet'!AJ107)*AK20</f>
        <v>242824.94</v>
      </c>
      <c r="AL19" s="350">
        <f>('Balance Sheet'!AK8+'Balance Sheet'!AK107)*AL20</f>
        <v>242175.72</v>
      </c>
      <c r="AM19" s="350">
        <f>('Balance Sheet'!AL8+'Balance Sheet'!AL107)*AM20</f>
        <v>250351.56</v>
      </c>
      <c r="AN19" s="350">
        <f>('Balance Sheet'!AM8+'Balance Sheet'!AM107)*AN20</f>
        <v>251775.98</v>
      </c>
      <c r="AO19" s="106">
        <f>SUM(AK19:AN19)</f>
        <v>987128.2</v>
      </c>
      <c r="AP19" s="350">
        <f>('Balance Sheet'!AO8+'Balance Sheet'!AO107)*AP20</f>
        <v>256043.5</v>
      </c>
      <c r="AQ19" s="350">
        <f>('Balance Sheet'!AP8+'Balance Sheet'!AP107)*AQ20</f>
        <v>258624.32</v>
      </c>
      <c r="AR19" s="350">
        <f>('Balance Sheet'!AQ8+'Balance Sheet'!AQ107)*AR20</f>
        <v>253319.24000000002</v>
      </c>
      <c r="AS19" s="350">
        <f>('Balance Sheet'!AR8+'Balance Sheet'!AR107)*AS20</f>
        <v>246881.28</v>
      </c>
      <c r="AT19" s="106">
        <f>SUM(AP19:AS19)</f>
        <v>1014868.3400000001</v>
      </c>
      <c r="AU19" s="350">
        <f>('Balance Sheet'!AT8+'Balance Sheet'!AT107)*AU20</f>
        <v>235206.26</v>
      </c>
      <c r="AV19" s="350">
        <f>('Balance Sheet'!AU8+'Balance Sheet'!AU107)*AV20</f>
        <v>226484.08000000002</v>
      </c>
      <c r="AW19" s="350">
        <f>('Balance Sheet'!AV8+'Balance Sheet'!AV107)*AW20</f>
        <v>225665.24</v>
      </c>
      <c r="AX19" s="350">
        <f>('Balance Sheet'!AW8+'Balance Sheet'!AW107)*AX20</f>
        <v>227632.6</v>
      </c>
      <c r="AY19" s="106">
        <f t="shared" si="31"/>
        <v>914988.18</v>
      </c>
      <c r="AZ19" s="350">
        <f>('Balance Sheet'!AY8+'Balance Sheet'!AY107)*AZ20</f>
        <v>323915.55</v>
      </c>
      <c r="BA19" s="350">
        <f>('Balance Sheet'!AZ8+'Balance Sheet'!AZ107)*BA20</f>
        <v>321721.8</v>
      </c>
      <c r="BB19" s="350">
        <f>('Balance Sheet'!BA8+'Balance Sheet'!BA107)*BB20</f>
        <v>313116.99</v>
      </c>
      <c r="BC19" s="350">
        <f>('Balance Sheet'!BB8+'Balance Sheet'!BB107)*BC20</f>
        <v>295626.12</v>
      </c>
      <c r="BD19" s="106">
        <f>SUM(AZ19:BC19)</f>
        <v>1254380.46</v>
      </c>
      <c r="BE19" s="161">
        <v>458007</v>
      </c>
      <c r="BF19" s="161">
        <v>579369</v>
      </c>
      <c r="BG19" s="161">
        <v>517958</v>
      </c>
      <c r="BH19" s="160">
        <v>499215</v>
      </c>
      <c r="BI19" s="106">
        <f>SUM(BE19:BH19)</f>
        <v>2054549</v>
      </c>
      <c r="BJ19" s="161">
        <v>493886</v>
      </c>
      <c r="BK19" s="161">
        <v>762453</v>
      </c>
      <c r="BL19" s="161">
        <v>603267</v>
      </c>
      <c r="BM19" s="160">
        <v>469832</v>
      </c>
      <c r="BN19" s="106">
        <f>SUM(BJ19:BM19)</f>
        <v>2329438</v>
      </c>
      <c r="BO19" s="161">
        <v>516000</v>
      </c>
      <c r="BP19" s="161">
        <v>530000</v>
      </c>
      <c r="BQ19" s="161">
        <v>473000</v>
      </c>
      <c r="BR19" s="161">
        <v>293000</v>
      </c>
      <c r="BS19" s="106">
        <f>SUM(BO19:BR19)</f>
        <v>1812000</v>
      </c>
      <c r="BT19" s="161">
        <v>310000</v>
      </c>
      <c r="BU19" s="161">
        <v>365000</v>
      </c>
      <c r="BV19" s="161">
        <v>304000</v>
      </c>
      <c r="BW19" s="161">
        <v>188000</v>
      </c>
      <c r="BX19" s="106">
        <f>SUM(BT19:BW19)</f>
        <v>1167000</v>
      </c>
      <c r="BY19" s="161">
        <v>188000</v>
      </c>
      <c r="BZ19" s="161">
        <v>222000</v>
      </c>
      <c r="CA19" s="161">
        <v>200000</v>
      </c>
      <c r="CB19" s="161">
        <v>165000</v>
      </c>
      <c r="CC19" s="106">
        <f>SUM(BY19:CB19)</f>
        <v>775000</v>
      </c>
      <c r="CD19" s="161">
        <v>185000</v>
      </c>
      <c r="CE19" s="161">
        <v>211000</v>
      </c>
      <c r="CF19" s="161">
        <v>308000</v>
      </c>
      <c r="CG19" s="161">
        <v>165000</v>
      </c>
      <c r="CH19" s="106">
        <f>SUM(CD19:CG19)</f>
        <v>869000</v>
      </c>
      <c r="CI19" s="161">
        <v>128800</v>
      </c>
      <c r="CJ19" s="161">
        <v>149500</v>
      </c>
      <c r="CK19" s="161">
        <v>166100</v>
      </c>
      <c r="CL19" s="161">
        <v>172400</v>
      </c>
      <c r="CM19" s="106">
        <f>SUM(CI19:CL19)</f>
        <v>616800</v>
      </c>
      <c r="CN19" s="161">
        <v>205400</v>
      </c>
      <c r="CO19" s="161">
        <v>223700</v>
      </c>
      <c r="CP19" s="161">
        <v>220800</v>
      </c>
      <c r="CQ19" s="161">
        <v>172400</v>
      </c>
      <c r="CR19" s="106">
        <f>SUM(CN19:CQ19)</f>
        <v>822300</v>
      </c>
      <c r="CS19" s="161">
        <v>307503.68816726899</v>
      </c>
      <c r="CT19" s="161">
        <v>306520.99424514797</v>
      </c>
      <c r="CU19" s="161">
        <v>262310.69661209598</v>
      </c>
      <c r="CV19" s="161">
        <v>322858.42250829499</v>
      </c>
      <c r="CW19" s="106">
        <f>SUM(CS19:CV19)</f>
        <v>1199193.8015328078</v>
      </c>
      <c r="CX19" s="161">
        <v>337170.51725956902</v>
      </c>
      <c r="CY19" s="161">
        <v>311704.323925465</v>
      </c>
      <c r="CZ19" s="161">
        <v>316734.26827</v>
      </c>
      <c r="DA19" s="161">
        <v>315290.05938251602</v>
      </c>
      <c r="DB19" s="106">
        <f>SUM(CX19:DA19)</f>
        <v>1280899.1688375501</v>
      </c>
      <c r="DC19" s="161">
        <v>344457.955392681</v>
      </c>
      <c r="DD19" s="161">
        <v>453105.81327358697</v>
      </c>
      <c r="DE19" s="161">
        <v>528001.65249663196</v>
      </c>
      <c r="DF19" s="161">
        <v>315290.05938251602</v>
      </c>
      <c r="DG19" s="106">
        <f>SUM(DC19:DF19)</f>
        <v>1640855.480545416</v>
      </c>
      <c r="DH19" s="161">
        <v>344457.955392681</v>
      </c>
      <c r="DI19" s="609">
        <v>453105.81327358697</v>
      </c>
      <c r="DJ19" s="350">
        <f>('Balance Sheet'!DI8+'Balance Sheet'!DI107)*DJ20</f>
        <v>566470.66613354732</v>
      </c>
      <c r="DK19" s="350">
        <f>('Balance Sheet'!DJ8+'Balance Sheet'!DJ107)*DK20</f>
        <v>606593.08744901873</v>
      </c>
      <c r="DL19" s="106">
        <f>SUM(DH19:DK19)</f>
        <v>1970627.5222488339</v>
      </c>
      <c r="DM19" s="350">
        <f>('Balance Sheet'!DL8+'Balance Sheet'!DL107)*DM20</f>
        <v>493767.1100084791</v>
      </c>
      <c r="DN19" s="350">
        <f>('Balance Sheet'!DM8+'Balance Sheet'!DM107)*DN20</f>
        <v>506643.40115564206</v>
      </c>
      <c r="DO19" s="350">
        <f>('Balance Sheet'!DN8+'Balance Sheet'!DN107)*DO20</f>
        <v>536782.09415483894</v>
      </c>
      <c r="DP19" s="350">
        <f>('Balance Sheet'!DO8+'Balance Sheet'!DO107)*DP20</f>
        <v>571065.10237608466</v>
      </c>
      <c r="DQ19" s="106">
        <f>SUM(DM19:DP19)</f>
        <v>2108257.7076950446</v>
      </c>
      <c r="DR19" s="350">
        <f>('Balance Sheet'!DQ8+'Balance Sheet'!DQ107)*DR20</f>
        <v>609871.14688979008</v>
      </c>
      <c r="DS19" s="350">
        <f>('Balance Sheet'!DR8+'Balance Sheet'!DR107)*DS20</f>
        <v>626363.17686005495</v>
      </c>
      <c r="DT19" s="350">
        <f>('Balance Sheet'!DS8+'Balance Sheet'!DS107)*DT20</f>
        <v>647315.62077221426</v>
      </c>
      <c r="DU19" s="350">
        <f>('Balance Sheet'!DT8+'Balance Sheet'!DT107)*DU20</f>
        <v>671294.46392829786</v>
      </c>
      <c r="DV19" s="106">
        <f>SUM(DR19:DU19)</f>
        <v>2554844.4084503567</v>
      </c>
      <c r="DW19" s="350">
        <f>('Balance Sheet'!DV8+'Balance Sheet'!DV107)*DW20</f>
        <v>707066.3912514979</v>
      </c>
      <c r="DX19" s="350">
        <f>('Balance Sheet'!DW8+'Balance Sheet'!DW107)*DX20</f>
        <v>712461.70805654605</v>
      </c>
      <c r="DY19" s="350">
        <f>('Balance Sheet'!DX8+'Balance Sheet'!DX107)*DY20</f>
        <v>726376.83683234209</v>
      </c>
      <c r="DZ19" s="350">
        <f>('Balance Sheet'!DY8+'Balance Sheet'!DY107)*DZ20</f>
        <v>740958.35870102176</v>
      </c>
      <c r="EA19" s="106">
        <f>SUM(DW19:DZ19)</f>
        <v>2886863.2948414078</v>
      </c>
      <c r="EB19" s="350">
        <f>('Balance Sheet'!EA8+'Balance Sheet'!EA107)*EB20</f>
        <v>764992.33673528337</v>
      </c>
      <c r="EC19" s="350">
        <f>('Balance Sheet'!EB8+'Balance Sheet'!EB107)*EC20</f>
        <v>761649.97407170467</v>
      </c>
      <c r="ED19" s="350">
        <f>('Balance Sheet'!EC8+'Balance Sheet'!EC107)*ED20</f>
        <v>770648.59397287853</v>
      </c>
      <c r="EE19" s="350">
        <f>('Balance Sheet'!ED8+'Balance Sheet'!ED107)*EE20</f>
        <v>785514.7825024979</v>
      </c>
      <c r="EF19" s="106">
        <f>SUM(EB19:EE19)</f>
        <v>3082805.6872823643</v>
      </c>
    </row>
    <row r="20" spans="1:141" ht="12.75" customHeight="1">
      <c r="A20" s="66" t="s">
        <v>880</v>
      </c>
      <c r="Z20" s="111">
        <f>Z19/('Balance Sheet'!U8+'Balance Sheet'!U107)</f>
        <v>0</v>
      </c>
      <c r="AE20" s="111">
        <f>AE19/('Balance Sheet'!Z8+'Balance Sheet'!Z107)</f>
        <v>0</v>
      </c>
      <c r="AF20" s="395">
        <f>AF19/('Balance Sheet'!AE8+'Balance Sheet'!AE107)</f>
        <v>0</v>
      </c>
      <c r="AG20" s="395">
        <f>AG19/('Balance Sheet'!AF8+'Balance Sheet'!AF107)</f>
        <v>0</v>
      </c>
      <c r="AH20" s="395">
        <f>AH19/('Balance Sheet'!AG8+'Balance Sheet'!AG107)</f>
        <v>0</v>
      </c>
      <c r="AI20" s="395">
        <f>AI19/('Balance Sheet'!AH8+'Balance Sheet'!AH107)</f>
        <v>0</v>
      </c>
      <c r="AJ20" s="111">
        <f>AJ19/('Balance Sheet'!AE8+'Balance Sheet'!AE107)</f>
        <v>0</v>
      </c>
      <c r="AK20" s="393">
        <v>0.02</v>
      </c>
      <c r="AL20" s="393">
        <f>AK20</f>
        <v>0.02</v>
      </c>
      <c r="AM20" s="393">
        <f>AL20</f>
        <v>0.02</v>
      </c>
      <c r="AN20" s="393">
        <f>AM20</f>
        <v>0.02</v>
      </c>
      <c r="AO20" s="111">
        <f>AO19/('Balance Sheet'!AJ8+'Balance Sheet'!AJ107)</f>
        <v>8.1303691457722579E-2</v>
      </c>
      <c r="AP20" s="394">
        <v>0.02</v>
      </c>
      <c r="AQ20" s="394">
        <v>0.02</v>
      </c>
      <c r="AR20" s="394">
        <v>0.02</v>
      </c>
      <c r="AS20" s="394">
        <v>0.02</v>
      </c>
      <c r="AT20" s="111">
        <f>AT19/('Balance Sheet'!AO8+'Balance Sheet'!AO107)</f>
        <v>7.9273118825512079E-2</v>
      </c>
      <c r="AU20" s="394">
        <v>0.02</v>
      </c>
      <c r="AV20" s="394">
        <v>0.02</v>
      </c>
      <c r="AW20" s="394">
        <v>0.02</v>
      </c>
      <c r="AX20" s="394">
        <v>0.02</v>
      </c>
      <c r="AY20" s="111">
        <f>AY19/('Balance Sheet'!AT8+'Balance Sheet'!AT107)</f>
        <v>7.7803046568573481E-2</v>
      </c>
      <c r="AZ20" s="394">
        <v>0.03</v>
      </c>
      <c r="BA20" s="394">
        <v>0.03</v>
      </c>
      <c r="BB20" s="394">
        <v>0.03</v>
      </c>
      <c r="BC20" s="394">
        <v>0.03</v>
      </c>
      <c r="BD20" s="111">
        <f>BD19/('Balance Sheet'!AY8+'Balance Sheet'!AY107)</f>
        <v>0.11617662010977861</v>
      </c>
      <c r="BE20" s="129">
        <f>BE19/('Balance Sheet'!BA8+'Balance Sheet'!BA107)</f>
        <v>4.3882032718825001E-2</v>
      </c>
      <c r="BF20" s="129">
        <f>BF19/('Balance Sheet'!BB8+'Balance Sheet'!BB107)</f>
        <v>5.879409437839931E-2</v>
      </c>
      <c r="BG20" s="129">
        <f>BG19/('Balance Sheet'!BC8+'Balance Sheet'!BC107)</f>
        <v>5.476989281149254E-2</v>
      </c>
      <c r="BH20" s="129">
        <f>BH19/('Balance Sheet'!BD8+'Balance Sheet'!BD107)</f>
        <v>5.2787971302478677E-2</v>
      </c>
      <c r="BI20" s="111">
        <f>BI19/('Balance Sheet'!BD8+'Balance Sheet'!BD107)</f>
        <v>0.21725203299487447</v>
      </c>
      <c r="BJ20" s="129">
        <f>BJ19/('Balance Sheet'!BF8+'Balance Sheet'!BF107)</f>
        <v>5.9078869835476416E-2</v>
      </c>
      <c r="BK20" s="129">
        <f>BK19/('Balance Sheet'!BG8+'Balance Sheet'!BG107)</f>
        <v>9.624501388538248E-2</v>
      </c>
      <c r="BL20" s="129">
        <f>BL19/('Balance Sheet'!BH8+'Balance Sheet'!BH107)</f>
        <v>8.1867772989268131E-2</v>
      </c>
      <c r="BM20" s="129">
        <f>BM19/('Balance Sheet'!BI8+'Balance Sheet'!BI107)</f>
        <v>6.3759661176715818E-2</v>
      </c>
      <c r="BN20" s="111">
        <f>BN19/('Balance Sheet'!BI8+'Balance Sheet'!BI107)</f>
        <v>0.31612188529552382</v>
      </c>
      <c r="BO20" s="129">
        <f>BO19/('Balance Sheet'!BK8+'Balance Sheet'!BK107)</f>
        <v>8.1463115443180661E-2</v>
      </c>
      <c r="BP20" s="129">
        <f>BP19/('Balance Sheet'!BL8+'Balance Sheet'!BL107)</f>
        <v>9.0251939139541423E-2</v>
      </c>
      <c r="BQ20" s="129">
        <f>BQ19/('Balance Sheet'!BM8+'Balance Sheet'!BM107)</f>
        <v>8.5314228717887672E-2</v>
      </c>
      <c r="BR20" s="129">
        <f>BR19/('Balance Sheet'!BN8+'Balance Sheet'!BN107)</f>
        <v>5.284792603454775E-2</v>
      </c>
      <c r="BS20" s="111">
        <f>BS19/('Balance Sheet'!BN8+'Balance Sheet'!BN107)</f>
        <v>0.3268274470122885</v>
      </c>
      <c r="BT20" s="129">
        <f>BT19/('Balance Sheet'!BP8+'Balance Sheet'!BP107)</f>
        <v>6.5571981219338493E-2</v>
      </c>
      <c r="BU20" s="129">
        <f>BU19/('Balance Sheet'!BQ8+'Balance Sheet'!BQ107)</f>
        <v>8.420160956567195E-2</v>
      </c>
      <c r="BV20" s="129">
        <f>BV19/('Balance Sheet'!BR8+'Balance Sheet'!BR107)</f>
        <v>7.0349770264031483E-2</v>
      </c>
      <c r="BW20" s="129">
        <f>BW19/('Balance Sheet'!BS8+'Balance Sheet'!BS107)</f>
        <v>4.3505778979072103E-2</v>
      </c>
      <c r="BX20" s="111">
        <f>BX19/('Balance Sheet'!BS8+'Balance Sheet'!BS107)</f>
        <v>0.27005980887541031</v>
      </c>
      <c r="BY20" s="129">
        <f>BY19/('Balance Sheet'!BU8+'Balance Sheet'!BU107)</f>
        <v>5.1283366240160007E-2</v>
      </c>
      <c r="BZ20" s="129">
        <f>BZ19/('Balance Sheet'!BV8+'Balance Sheet'!BV107)</f>
        <v>6.1605899292114914E-2</v>
      </c>
      <c r="CA20" s="129">
        <f>CA19/('Balance Sheet'!BW8+'Balance Sheet'!BW107)</f>
        <v>5.4202040273199963E-2</v>
      </c>
      <c r="CB20" s="129">
        <f>CB19/('Balance Sheet'!BX8+'Balance Sheet'!BX107)</f>
        <v>4.4716683225389971E-2</v>
      </c>
      <c r="CC20" s="111">
        <f>CC19/('Balance Sheet'!BX8+'Balance Sheet'!BX107)</f>
        <v>0.21003290605864985</v>
      </c>
      <c r="CD20" s="129">
        <f>CD19/('Balance Sheet'!BZ8+'Balance Sheet'!BZ107)</f>
        <v>4.310301644228634E-2</v>
      </c>
      <c r="CE20" s="129">
        <f>CE19/('Balance Sheet'!CA8+'Balance Sheet'!CA107)</f>
        <v>4.6887836517447053E-2</v>
      </c>
      <c r="CF20" s="129">
        <f>CF19/('Balance Sheet'!CB8+'Balance Sheet'!CB107)</f>
        <v>6.1166051332218446E-2</v>
      </c>
      <c r="CG20" s="129">
        <f>CG19/('Balance Sheet'!CC8+'Balance Sheet'!CC107)</f>
        <v>3.2767527499402739E-2</v>
      </c>
      <c r="CH20" s="111">
        <f>CH19/('Balance Sheet'!CC8+'Balance Sheet'!CC107)</f>
        <v>0.17257564483018775</v>
      </c>
      <c r="CI20" s="129">
        <f>CI19/('Balance Sheet'!CE8+'Balance Sheet'!CE107)</f>
        <v>2.4639249252787983E-2</v>
      </c>
      <c r="CJ20" s="129">
        <f>CJ19/('Balance Sheet'!CF8+'Balance Sheet'!CF107)</f>
        <v>2.9388811021099005E-2</v>
      </c>
      <c r="CK20" s="129">
        <f>CK19/('Balance Sheet'!CG8+'Balance Sheet'!CG107)</f>
        <v>3.0652073499280202E-2</v>
      </c>
      <c r="CL20" s="129">
        <f>CL19/('Balance Sheet'!CH8+'Balance Sheet'!CH107)</f>
        <v>3.1814674721709256E-2</v>
      </c>
      <c r="CM20" s="111">
        <f>CM19/('Balance Sheet'!CH8+'Balance Sheet'!CH107)</f>
        <v>0.11382419587210131</v>
      </c>
      <c r="CN20" s="129">
        <f>CN19/('Balance Sheet'!CJ8+'Balance Sheet'!CJ107)</f>
        <v>3.3605009273281042E-2</v>
      </c>
      <c r="CO20" s="129">
        <f>CO19/('Balance Sheet'!CK8+'Balance Sheet'!CK107)</f>
        <v>3.6400464337796312E-2</v>
      </c>
      <c r="CP20" s="129">
        <f>CP19/('Balance Sheet'!CL8+'Balance Sheet'!CL107)</f>
        <v>3.3019863960553224E-2</v>
      </c>
      <c r="CQ20" s="129">
        <f>CQ19/('Balance Sheet'!CM8+'Balance Sheet'!CM107)</f>
        <v>2.5781814070649348E-2</v>
      </c>
      <c r="CR20" s="111">
        <f>CR19/('Balance Sheet'!CM8+'Balance Sheet'!CM107)</f>
        <v>0.12297207488570162</v>
      </c>
      <c r="CS20" s="129">
        <f>CS19/('Balance Sheet'!CO8+'Balance Sheet'!CO107)</f>
        <v>4.2940011940289798E-2</v>
      </c>
      <c r="CT20" s="129">
        <f>CT19/('Balance Sheet'!CP8+'Balance Sheet'!CP107)</f>
        <v>3.9198556855965204E-2</v>
      </c>
      <c r="CU20" s="129">
        <f>CU19/('Balance Sheet'!CQ8+'Balance Sheet'!CQ107)</f>
        <v>3.298329835780503E-2</v>
      </c>
      <c r="CV20" s="129">
        <f>CV19/('Balance Sheet'!CR8+'Balance Sheet'!CR107)</f>
        <v>4.0596650515815492E-2</v>
      </c>
      <c r="CW20" s="111">
        <f>CW19/('Balance Sheet'!CR8+'Balance Sheet'!CR107)</f>
        <v>0.15078823492767582</v>
      </c>
      <c r="CX20" s="129">
        <f>CX19/('Balance Sheet'!CT8+'Balance Sheet'!CT107)</f>
        <v>3.6600759701468109E-2</v>
      </c>
      <c r="CY20" s="129">
        <f>CY19/('Balance Sheet'!CU8+'Balance Sheet'!CU107)</f>
        <v>3.2634282285606102E-2</v>
      </c>
      <c r="CZ20" s="129">
        <f>CZ19/('Balance Sheet'!CV8+'Balance Sheet'!CV107)</f>
        <v>3.1395992995297752E-2</v>
      </c>
      <c r="DA20" s="129">
        <f>DA19/('Balance Sheet'!CW8+'Balance Sheet'!CW107)</f>
        <v>3.1252837117776655E-2</v>
      </c>
      <c r="DB20" s="111">
        <f>DB19/('Balance Sheet'!CW8+'Balance Sheet'!CW107)</f>
        <v>0.12696795188017068</v>
      </c>
      <c r="DC20" s="129">
        <f>DC19/('Balance Sheet'!CY8+'Balance Sheet'!CY107)</f>
        <v>3.0594031454386061E-2</v>
      </c>
      <c r="DD20" s="129">
        <f>DD19/('Balance Sheet'!CZ8+'Balance Sheet'!CZ107)</f>
        <v>3.7433987466061122E-2</v>
      </c>
      <c r="DE20" s="129">
        <f>DE19/('Balance Sheet'!DA8+'Balance Sheet'!DA107)</f>
        <v>3.8918118929318131E-2</v>
      </c>
      <c r="DF20" s="129">
        <f>DF19/('Balance Sheet'!DB8+'Balance Sheet'!DB107)</f>
        <v>2.3239503077802974E-2</v>
      </c>
      <c r="DG20" s="111">
        <f>DG19/('Balance Sheet'!DB8+'Balance Sheet'!DB107)</f>
        <v>0.12094471378211701</v>
      </c>
      <c r="DH20" s="129">
        <f>DH19/('Balance Sheet'!DD8+'Balance Sheet'!DD107)</f>
        <v>2.2753731465842909E-2</v>
      </c>
      <c r="DI20" s="129">
        <f>DI19/('Balance Sheet'!DE8+'Balance Sheet'!DE107)</f>
        <v>3.0206574940583406E-2</v>
      </c>
      <c r="DJ20" s="393">
        <f>DI20</f>
        <v>3.0206574940583406E-2</v>
      </c>
      <c r="DK20" s="393">
        <f>DJ20</f>
        <v>3.0206574940583406E-2</v>
      </c>
      <c r="DL20" s="111">
        <f>DL19/('Balance Sheet'!DG8+'Balance Sheet'!DG107)</f>
        <v>0.11370123581286386</v>
      </c>
      <c r="DM20" s="393">
        <f>DH20</f>
        <v>2.2753731465842909E-2</v>
      </c>
      <c r="DN20" s="393">
        <f>DM20</f>
        <v>2.2753731465842909E-2</v>
      </c>
      <c r="DO20" s="393">
        <f>DN20</f>
        <v>2.2753731465842909E-2</v>
      </c>
      <c r="DP20" s="393">
        <f>DO20</f>
        <v>2.2753731465842909E-2</v>
      </c>
      <c r="DQ20" s="111">
        <f>DQ19/('Balance Sheet'!DL8+'Balance Sheet'!DL107)</f>
        <v>9.7152541692910266E-2</v>
      </c>
      <c r="DR20" s="393">
        <f>DM20</f>
        <v>2.2753731465842909E-2</v>
      </c>
      <c r="DS20" s="393">
        <f>DR20</f>
        <v>2.2753731465842909E-2</v>
      </c>
      <c r="DT20" s="393">
        <f>DS20</f>
        <v>2.2753731465842909E-2</v>
      </c>
      <c r="DU20" s="393">
        <f>DT20</f>
        <v>2.2753731465842909E-2</v>
      </c>
      <c r="DV20" s="111">
        <f>DV19/('Balance Sheet'!DQ8+'Balance Sheet'!DQ107)</f>
        <v>9.5318894660538486E-2</v>
      </c>
      <c r="DW20" s="393">
        <f>DR20</f>
        <v>2.2753731465842909E-2</v>
      </c>
      <c r="DX20" s="393">
        <f>DW20</f>
        <v>2.2753731465842909E-2</v>
      </c>
      <c r="DY20" s="393">
        <f>DX20</f>
        <v>2.2753731465842909E-2</v>
      </c>
      <c r="DZ20" s="393">
        <f>DY20</f>
        <v>2.2753731465842909E-2</v>
      </c>
      <c r="EA20" s="111">
        <f>EA19/('Balance Sheet'!DV8+'Balance Sheet'!DV107)</f>
        <v>9.290062857202834E-2</v>
      </c>
      <c r="EB20" s="393">
        <f>DW20</f>
        <v>2.2753731465842909E-2</v>
      </c>
      <c r="EC20" s="393">
        <f>EB20</f>
        <v>2.2753731465842909E-2</v>
      </c>
      <c r="ED20" s="393">
        <f>EC20</f>
        <v>2.2753731465842909E-2</v>
      </c>
      <c r="EE20" s="393">
        <f>ED20</f>
        <v>2.2753731465842909E-2</v>
      </c>
      <c r="EF20" s="111">
        <f>EF19/('Balance Sheet'!EA8+'Balance Sheet'!EA107)</f>
        <v>9.1694163982284679E-2</v>
      </c>
      <c r="EH20" s="110">
        <f>1582000+93000</f>
        <v>1675000</v>
      </c>
      <c r="EI20" s="110">
        <f>1384000+242000</f>
        <v>1626000</v>
      </c>
      <c r="EJ20" s="66">
        <f>1277000+157000</f>
        <v>1434000</v>
      </c>
      <c r="EK20" s="156">
        <f>+EH20/EI20-1</f>
        <v>3.0135301353013455E-2</v>
      </c>
    </row>
    <row r="21" spans="1:141" s="157" customFormat="1" ht="12.75" customHeight="1">
      <c r="A21" s="157" t="s">
        <v>881</v>
      </c>
      <c r="F21" s="372"/>
      <c r="K21" s="372"/>
      <c r="P21" s="372"/>
      <c r="U21" s="372"/>
      <c r="Z21" s="396">
        <f>SUM(V21:Y21)</f>
        <v>0</v>
      </c>
      <c r="AE21" s="396">
        <f>SUM(AA21:AD21)</f>
        <v>0</v>
      </c>
      <c r="AF21" s="244">
        <f>AF17-AF19</f>
        <v>0</v>
      </c>
      <c r="AG21" s="244">
        <f>AG17-AG19</f>
        <v>0</v>
      </c>
      <c r="AH21" s="244">
        <f>AH17-AH19</f>
        <v>0</v>
      </c>
      <c r="AI21" s="244">
        <f>AI17-AI19</f>
        <v>0</v>
      </c>
      <c r="AJ21" s="396">
        <f>SUM(AF21:AI21)</f>
        <v>0</v>
      </c>
      <c r="AK21" s="244">
        <f>AK17-AK19</f>
        <v>472841.06000000011</v>
      </c>
      <c r="AL21" s="244">
        <f>AL17-AL19</f>
        <v>494910.28000000014</v>
      </c>
      <c r="AM21" s="244">
        <f>AM17-AM19</f>
        <v>484788.44000000012</v>
      </c>
      <c r="AN21" s="244">
        <f>AN17-AN19</f>
        <v>553084.02000000014</v>
      </c>
      <c r="AO21" s="396">
        <f>SUM(AK21:AN21)</f>
        <v>2005623.8000000007</v>
      </c>
      <c r="AP21" s="244">
        <f>AP17-AP19</f>
        <v>890700</v>
      </c>
      <c r="AQ21" s="244">
        <f>AQ17-AQ19</f>
        <v>1009068</v>
      </c>
      <c r="AR21" s="244">
        <f>AR17-AR19</f>
        <v>1360898</v>
      </c>
      <c r="AS21" s="244">
        <f>AS17-AS19</f>
        <v>615380</v>
      </c>
      <c r="AT21" s="396">
        <f>SUM(AP21:AS21)</f>
        <v>3876046</v>
      </c>
      <c r="AU21" s="244">
        <f>AU17-AU19</f>
        <v>824632</v>
      </c>
      <c r="AV21" s="244">
        <f>AV17-AV19</f>
        <v>1079612</v>
      </c>
      <c r="AW21" s="244">
        <f>AW17-AW19</f>
        <v>823300</v>
      </c>
      <c r="AX21" s="244">
        <f>AX17-AX19</f>
        <v>848692.00000000012</v>
      </c>
      <c r="AY21" s="396">
        <f t="shared" si="31"/>
        <v>3576236</v>
      </c>
      <c r="AZ21" s="244">
        <f>AZ17-AZ19</f>
        <v>638200</v>
      </c>
      <c r="BA21" s="244">
        <f>BA17-BA19</f>
        <v>959700</v>
      </c>
      <c r="BB21" s="244">
        <f>BB17-BB19</f>
        <v>741000</v>
      </c>
      <c r="BC21" s="244">
        <f>BC17-BC19</f>
        <v>940940.00000000012</v>
      </c>
      <c r="BD21" s="396">
        <f>SUM(AZ21:BC21)</f>
        <v>3279840</v>
      </c>
      <c r="BE21" s="244">
        <f>BE17-BE19</f>
        <v>630027</v>
      </c>
      <c r="BF21" s="244">
        <f>BF17-BF19</f>
        <v>312637</v>
      </c>
      <c r="BG21" s="244">
        <f>BG17-BG19</f>
        <v>722575</v>
      </c>
      <c r="BH21" s="244">
        <f>BH17-BH19</f>
        <v>562027</v>
      </c>
      <c r="BI21" s="396">
        <f>SUM(BE21:BH21)</f>
        <v>2227266</v>
      </c>
      <c r="BJ21" s="244">
        <f>BJ17-BJ19</f>
        <v>307565</v>
      </c>
      <c r="BK21" s="244">
        <f>BK17-BK19</f>
        <v>306379</v>
      </c>
      <c r="BL21" s="244">
        <f>BL17-BL19</f>
        <v>298142</v>
      </c>
      <c r="BM21" s="244">
        <f>BM17-BM19</f>
        <v>457912.56000000006</v>
      </c>
      <c r="BN21" s="396">
        <f>SUM(BJ21:BM21)</f>
        <v>1369998.56</v>
      </c>
      <c r="BO21" s="244">
        <f>BO17-BO19</f>
        <v>408157</v>
      </c>
      <c r="BP21" s="244">
        <f>BP17-BP19</f>
        <v>560256</v>
      </c>
      <c r="BQ21" s="244">
        <f>BQ17-BQ19</f>
        <v>463028</v>
      </c>
      <c r="BR21" s="244">
        <f>BR17-BR19</f>
        <v>690534</v>
      </c>
      <c r="BS21" s="396">
        <f>SUM(BO21:BR21)</f>
        <v>2121975</v>
      </c>
      <c r="BT21" s="244">
        <f>BT17-BT19</f>
        <v>487191</v>
      </c>
      <c r="BU21" s="244">
        <f>BU17-BU19</f>
        <v>555935</v>
      </c>
      <c r="BV21" s="244">
        <f>BV17-BV19</f>
        <v>492000</v>
      </c>
      <c r="BW21" s="244">
        <f>BW17-BW19</f>
        <v>662179.72545797983</v>
      </c>
      <c r="BX21" s="396">
        <f>SUM(BT21:BW21)</f>
        <v>2197305.7254579798</v>
      </c>
      <c r="BY21" s="244">
        <f>BY17-BY19</f>
        <v>493031.06656818045</v>
      </c>
      <c r="BZ21" s="244">
        <f>BZ17-BZ19</f>
        <v>129470.93685014336</v>
      </c>
      <c r="CA21" s="244">
        <f>CA17-CA19</f>
        <v>346366.33033120655</v>
      </c>
      <c r="CB21" s="244">
        <f>CB17-CB19</f>
        <v>754283.76518823067</v>
      </c>
      <c r="CC21" s="396">
        <f>SUM(BY21:CB21)</f>
        <v>1723152.098937761</v>
      </c>
      <c r="CD21" s="244">
        <f>CD17-CD19</f>
        <v>226188.98344586894</v>
      </c>
      <c r="CE21" s="244">
        <f>CE17-CE19</f>
        <v>341378.08895439724</v>
      </c>
      <c r="CF21" s="244">
        <f>CF17-CF19</f>
        <v>245627.10255326191</v>
      </c>
      <c r="CG21" s="244">
        <f>CG17-CG19</f>
        <v>759194.76670204918</v>
      </c>
      <c r="CH21" s="396">
        <f>SUM(CD21:CG21)</f>
        <v>1572388.9416555772</v>
      </c>
      <c r="CI21" s="244">
        <f>CI17-CI19</f>
        <v>858911.89448717446</v>
      </c>
      <c r="CJ21" s="244">
        <f>CJ17-CJ19</f>
        <v>783954.81941567268</v>
      </c>
      <c r="CK21" s="244">
        <f>CK17-CK19</f>
        <v>635603.68013271363</v>
      </c>
      <c r="CL21" s="244">
        <f>CL17-CL19</f>
        <v>772515.09849183098</v>
      </c>
      <c r="CM21" s="396">
        <f>SUM(CI21:CL21)</f>
        <v>3050985.4925273918</v>
      </c>
      <c r="CN21" s="244">
        <f>CN17-CN19</f>
        <v>784487.34057809156</v>
      </c>
      <c r="CO21" s="244">
        <f>CO17-CO19</f>
        <v>877040.87075551832</v>
      </c>
      <c r="CP21" s="244">
        <f>CP17-CP19</f>
        <v>1075717.5363245821</v>
      </c>
      <c r="CQ21" s="244">
        <f>CQ17-CQ19</f>
        <v>1048936.3394353595</v>
      </c>
      <c r="CR21" s="396">
        <f>SUM(CN21:CQ21)</f>
        <v>3786182.0870935516</v>
      </c>
      <c r="CS21" s="244">
        <f>CS17-CS19</f>
        <v>1065896.3254468539</v>
      </c>
      <c r="CT21" s="244">
        <f>CT17-CT19</f>
        <v>1088442.9809319195</v>
      </c>
      <c r="CU21" s="244">
        <f>CU17-CU19</f>
        <v>1269474.8431233675</v>
      </c>
      <c r="CV21" s="244">
        <f>CV17-CV19</f>
        <v>1311239.5318557704</v>
      </c>
      <c r="CW21" s="396">
        <f>SUM(CS21:CV21)</f>
        <v>4735053.6813579109</v>
      </c>
      <c r="CX21" s="244">
        <f>CX17-CX19</f>
        <v>1245472.7804571609</v>
      </c>
      <c r="CY21" s="244">
        <f>CY17-CY19</f>
        <v>1624637.0991875841</v>
      </c>
      <c r="CZ21" s="244">
        <f>CZ17-CZ19</f>
        <v>1258006.6444955487</v>
      </c>
      <c r="DA21" s="244">
        <f>DA17-DA19</f>
        <v>1080640.8542772317</v>
      </c>
      <c r="DB21" s="396">
        <f>SUM(CX21:DA21)</f>
        <v>5208757.3784175254</v>
      </c>
      <c r="DC21" s="244">
        <f>DC17-DC19</f>
        <v>1434899.241414478</v>
      </c>
      <c r="DD21" s="244">
        <f>DD17-DD19</f>
        <v>1674623.7146034141</v>
      </c>
      <c r="DE21" s="244">
        <f>DE17-DE19</f>
        <v>1456732.054200958</v>
      </c>
      <c r="DF21" s="244">
        <f>DF17-DF19</f>
        <v>1617569.477781239</v>
      </c>
      <c r="DG21" s="396">
        <f>SUM(DC21:DF21)</f>
        <v>6183824.4880000884</v>
      </c>
      <c r="DH21" s="244">
        <f>DH17-DH19</f>
        <v>1850497.0009976034</v>
      </c>
      <c r="DI21" s="244">
        <f>DI17-DI19</f>
        <v>1808618.683126427</v>
      </c>
      <c r="DJ21" s="244">
        <f>DJ17-DJ19</f>
        <v>2354335.2414395628</v>
      </c>
      <c r="DK21" s="244">
        <f>DK17-DK19</f>
        <v>2583454.1247904478</v>
      </c>
      <c r="DL21" s="396">
        <f>SUM(DH21:DK21)</f>
        <v>8596905.0503540412</v>
      </c>
      <c r="DM21" s="244">
        <f>DM17-DM19</f>
        <v>2507599.4585882369</v>
      </c>
      <c r="DN21" s="244">
        <f>DN17-DN19</f>
        <v>2530405.9823426688</v>
      </c>
      <c r="DO21" s="244">
        <f>DO17-DO19</f>
        <v>2472535.9304208597</v>
      </c>
      <c r="DP21" s="244">
        <f>DP17-DP19</f>
        <v>2712537.5675869295</v>
      </c>
      <c r="DQ21" s="396">
        <f>SUM(DM21:DP21)</f>
        <v>10223078.938938696</v>
      </c>
      <c r="DR21" s="244">
        <f>DR17-DR19</f>
        <v>2477461.2217468563</v>
      </c>
      <c r="DS21" s="244">
        <f>DS17-DS19</f>
        <v>2519495.8884983105</v>
      </c>
      <c r="DT21" s="244">
        <f>DT17-DT19</f>
        <v>2490776.4962304831</v>
      </c>
      <c r="DU21" s="244">
        <f>DU17-DU19</f>
        <v>2769778.4514784142</v>
      </c>
      <c r="DV21" s="396">
        <f>SUM(DR21:DU21)</f>
        <v>10257512.057954064</v>
      </c>
      <c r="DW21" s="244">
        <f>DW17-DW19</f>
        <v>2538197.1077447748</v>
      </c>
      <c r="DX21" s="244">
        <f>DX17-DX19</f>
        <v>2603777.2401013263</v>
      </c>
      <c r="DY21" s="244">
        <f>DY17-DY19</f>
        <v>2586691.9640683564</v>
      </c>
      <c r="DZ21" s="244">
        <f>DZ17-DZ19</f>
        <v>2893621.9136248096</v>
      </c>
      <c r="EA21" s="396">
        <f>SUM(DW21:DZ21)</f>
        <v>10622288.225539267</v>
      </c>
      <c r="EB21" s="244">
        <f>EB17-EB19</f>
        <v>2660799.0934904357</v>
      </c>
      <c r="EC21" s="244">
        <f>EC17-EC19</f>
        <v>2739041.3629362849</v>
      </c>
      <c r="ED21" s="244">
        <f>ED17-ED19</f>
        <v>2723653.9341561962</v>
      </c>
      <c r="EE21" s="244">
        <f>EE17-EE19</f>
        <v>3042957.2030406203</v>
      </c>
      <c r="EF21" s="396">
        <f>SUM(EB21:EE21)</f>
        <v>11166451.593623538</v>
      </c>
    </row>
    <row r="22" spans="1:141" s="135" customFormat="1" ht="12.75" customHeight="1">
      <c r="B22" s="163"/>
      <c r="C22" s="163"/>
      <c r="D22" s="163"/>
      <c r="E22" s="163"/>
      <c r="F22" s="166"/>
      <c r="G22" s="163"/>
      <c r="H22" s="163"/>
      <c r="I22" s="163"/>
      <c r="J22" s="163"/>
      <c r="K22" s="166"/>
      <c r="L22" s="163"/>
      <c r="M22" s="167"/>
      <c r="N22" s="167"/>
      <c r="O22" s="163"/>
      <c r="P22" s="166"/>
      <c r="Q22" s="163"/>
      <c r="R22" s="167"/>
      <c r="S22" s="167"/>
      <c r="T22" s="163"/>
      <c r="U22" s="166"/>
      <c r="V22" s="163"/>
      <c r="W22" s="167"/>
      <c r="X22" s="167"/>
      <c r="Y22" s="163"/>
      <c r="Z22" s="166"/>
      <c r="AA22" s="163"/>
      <c r="AB22" s="167"/>
      <c r="AC22" s="167"/>
      <c r="AD22" s="163"/>
      <c r="AE22" s="166"/>
      <c r="AJ22" s="166"/>
      <c r="AK22" s="163"/>
      <c r="AO22" s="166"/>
      <c r="AP22" s="163"/>
      <c r="AQ22" s="329"/>
      <c r="AT22" s="166"/>
      <c r="AY22" s="166"/>
      <c r="BB22" s="398"/>
      <c r="BD22" s="166"/>
      <c r="BI22" s="166"/>
      <c r="BL22" s="406">
        <f>BK24/SUM(BL9:BM9,BO9:BP9)</f>
        <v>2.230902110410264</v>
      </c>
      <c r="BN22" s="166"/>
      <c r="BP22" s="329"/>
      <c r="BS22" s="166"/>
      <c r="BT22" s="411"/>
      <c r="BU22" s="411"/>
      <c r="BV22" s="412"/>
      <c r="BW22" s="413"/>
      <c r="BX22" s="166"/>
      <c r="BY22" s="398"/>
      <c r="BZ22" s="514"/>
      <c r="CA22" s="515"/>
      <c r="CB22" s="411"/>
      <c r="CC22" s="166"/>
      <c r="CD22" s="411">
        <f>CD21/CC24</f>
        <v>5.2116761913840827E-2</v>
      </c>
      <c r="CE22" s="411">
        <f>CE21/CD24</f>
        <v>7.6204858367041522E-2</v>
      </c>
      <c r="CF22" s="411">
        <f>CF21/CE24</f>
        <v>5.7815673181558405E-2</v>
      </c>
      <c r="CG22" s="411">
        <f>CG21/CF24</f>
        <v>0.17650763197125685</v>
      </c>
      <c r="CH22" s="166"/>
      <c r="CI22" s="411"/>
      <c r="CJ22" s="534"/>
      <c r="CK22" s="534"/>
      <c r="CL22" s="411"/>
      <c r="CM22" s="166"/>
      <c r="CN22" s="411"/>
      <c r="CR22" s="166"/>
      <c r="CW22" s="166"/>
      <c r="CX22" s="411"/>
      <c r="CY22" s="411"/>
      <c r="CZ22" s="411"/>
      <c r="DA22" s="411"/>
      <c r="DB22" s="166"/>
      <c r="DC22" s="411"/>
      <c r="DG22" s="166"/>
      <c r="DL22" s="166"/>
      <c r="DQ22" s="166"/>
      <c r="DV22" s="166"/>
      <c r="EA22" s="166"/>
      <c r="EF22" s="166"/>
    </row>
    <row r="23" spans="1:141" s="70" customFormat="1" ht="12.75" customHeight="1" thickBot="1">
      <c r="A23" s="69" t="s">
        <v>663</v>
      </c>
      <c r="B23" s="93" t="str">
        <f>Macro!B$3</f>
        <v>1Q04</v>
      </c>
      <c r="C23" s="93" t="str">
        <f>Macro!C$3</f>
        <v>2Q04</v>
      </c>
      <c r="D23" s="93" t="str">
        <f>Macro!D$3</f>
        <v>3Q04</v>
      </c>
      <c r="E23" s="93" t="str">
        <f>Macro!E$3</f>
        <v>4Q04</v>
      </c>
      <c r="F23" s="92" t="str">
        <f>Macro!F$3</f>
        <v>2004</v>
      </c>
      <c r="G23" s="93" t="str">
        <f>Macro!G$3</f>
        <v>1Q05</v>
      </c>
      <c r="H23" s="93" t="str">
        <f>Macro!H$3</f>
        <v>2Q05</v>
      </c>
      <c r="I23" s="93" t="str">
        <f>Macro!I$3</f>
        <v>3Q05</v>
      </c>
      <c r="J23" s="93" t="str">
        <f>Macro!J$3</f>
        <v>4Q05</v>
      </c>
      <c r="K23" s="92" t="str">
        <f>Macro!K$3</f>
        <v>2005</v>
      </c>
      <c r="L23" s="93" t="str">
        <f>Macro!L$3</f>
        <v>1Q06</v>
      </c>
      <c r="M23" s="93" t="str">
        <f>Macro!M$3</f>
        <v>2Q06</v>
      </c>
      <c r="N23" s="93" t="str">
        <f>Macro!N$3</f>
        <v>3Q06</v>
      </c>
      <c r="O23" s="94" t="str">
        <f>Macro!O$3</f>
        <v>4Q06</v>
      </c>
      <c r="P23" s="92" t="str">
        <f>Macro!P$3</f>
        <v>2006</v>
      </c>
      <c r="Q23" s="93" t="str">
        <f>Macro!Q$3</f>
        <v>1Q07</v>
      </c>
      <c r="R23" s="93" t="str">
        <f>Macro!R$3</f>
        <v>2Q07</v>
      </c>
      <c r="S23" s="93" t="str">
        <f>Macro!S$3</f>
        <v>3Q07</v>
      </c>
      <c r="T23" s="94" t="str">
        <f>Macro!T$3</f>
        <v>4Q07</v>
      </c>
      <c r="U23" s="92" t="str">
        <f>Macro!U$3</f>
        <v>2007</v>
      </c>
      <c r="V23" s="93" t="str">
        <f>Macro!V$3</f>
        <v>1Q08</v>
      </c>
      <c r="W23" s="93" t="str">
        <f>Macro!W$3</f>
        <v>2Q08</v>
      </c>
      <c r="X23" s="93" t="str">
        <f>Macro!X$3</f>
        <v>3Q08</v>
      </c>
      <c r="Y23" s="94" t="str">
        <f>Macro!Y$3</f>
        <v>4Q08</v>
      </c>
      <c r="Z23" s="92" t="str">
        <f>Macro!Z$3</f>
        <v>2008</v>
      </c>
      <c r="AA23" s="93" t="str">
        <f>Macro!AA$3</f>
        <v>1Q09</v>
      </c>
      <c r="AB23" s="93" t="str">
        <f>Macro!AB$3</f>
        <v>2Q09</v>
      </c>
      <c r="AC23" s="93" t="str">
        <f>Macro!AC$3</f>
        <v>3Q09</v>
      </c>
      <c r="AD23" s="94" t="str">
        <f>Macro!AD$3</f>
        <v>4Q09</v>
      </c>
      <c r="AE23" s="92" t="str">
        <f>Macro!AE$3</f>
        <v>2009</v>
      </c>
      <c r="AF23" s="93" t="str">
        <f>Macro!AF$3</f>
        <v>1Q10</v>
      </c>
      <c r="AG23" s="93" t="str">
        <f>Macro!AG$3</f>
        <v>2Q10</v>
      </c>
      <c r="AH23" s="93" t="str">
        <f>Macro!AH$3</f>
        <v>3Q10</v>
      </c>
      <c r="AI23" s="94" t="str">
        <f>Macro!AI$3</f>
        <v>4Q10</v>
      </c>
      <c r="AJ23" s="92" t="str">
        <f>Macro!AJ$3</f>
        <v>2010</v>
      </c>
      <c r="AK23" s="93" t="str">
        <f>Macro!AK$3</f>
        <v>1Q11</v>
      </c>
      <c r="AL23" s="93" t="str">
        <f>Macro!AL$3</f>
        <v>2Q11</v>
      </c>
      <c r="AM23" s="93" t="str">
        <f>Macro!AM$3</f>
        <v>3Q11</v>
      </c>
      <c r="AN23" s="94" t="str">
        <f>Macro!AN$3</f>
        <v>4Q11</v>
      </c>
      <c r="AO23" s="92" t="str">
        <f>Macro!AO$3</f>
        <v>2011</v>
      </c>
      <c r="AP23" s="93" t="str">
        <f>Macro!AP$3</f>
        <v>1Q12</v>
      </c>
      <c r="AQ23" s="310" t="str">
        <f>Macro!AQ$3</f>
        <v>2Q12</v>
      </c>
      <c r="AR23" s="310" t="str">
        <f>Macro!AR$3</f>
        <v>3Q12</v>
      </c>
      <c r="AS23" s="310" t="str">
        <f>Macro!AS$3</f>
        <v>4Q12</v>
      </c>
      <c r="AT23" s="311" t="str">
        <f>Macro!AT$3</f>
        <v>2012</v>
      </c>
      <c r="AU23" s="310" t="str">
        <f>Macro!AU$3</f>
        <v>1Q13</v>
      </c>
      <c r="AV23" s="310" t="str">
        <f>Macro!AV$3</f>
        <v>2Q13</v>
      </c>
      <c r="AW23" s="310" t="str">
        <f>Macro!AW$3</f>
        <v>3Q13</v>
      </c>
      <c r="AX23" s="310" t="str">
        <f>Macro!AX$3</f>
        <v>4Q13</v>
      </c>
      <c r="AY23" s="311" t="str">
        <f>Macro!AY$3</f>
        <v>2013</v>
      </c>
      <c r="AZ23" s="310" t="str">
        <f>Macro!AZ$3</f>
        <v>1Q14</v>
      </c>
      <c r="BA23" s="310" t="str">
        <f>Macro!BA$3</f>
        <v>2Q14</v>
      </c>
      <c r="BB23" s="310" t="str">
        <f>Macro!BB$3</f>
        <v>3Q14</v>
      </c>
      <c r="BC23" s="310" t="str">
        <f>Macro!BC$3</f>
        <v>4Q14</v>
      </c>
      <c r="BD23" s="311" t="str">
        <f>Macro!BD$3</f>
        <v>2014</v>
      </c>
      <c r="BE23" s="310" t="str">
        <f>Macro!BE$3</f>
        <v>1Q15</v>
      </c>
      <c r="BF23" s="310" t="str">
        <f>Macro!BF$3</f>
        <v>2Q15</v>
      </c>
      <c r="BG23" s="310" t="str">
        <f>Macro!BG$3</f>
        <v>3Q15</v>
      </c>
      <c r="BH23" s="310" t="str">
        <f>Macro!BH$3</f>
        <v>4Q15</v>
      </c>
      <c r="BI23" s="311" t="str">
        <f>Macro!BI$3</f>
        <v>2015</v>
      </c>
      <c r="BJ23" s="310" t="str">
        <f>Macro!BJ$3</f>
        <v>1Q16</v>
      </c>
      <c r="BK23" s="310" t="str">
        <f>Macro!BK$3</f>
        <v>2Q16</v>
      </c>
      <c r="BL23" s="310" t="str">
        <f>Macro!BL$3</f>
        <v>3Q16</v>
      </c>
      <c r="BM23" s="310" t="str">
        <f>Macro!BM$3</f>
        <v>4Q16</v>
      </c>
      <c r="BN23" s="311" t="str">
        <f>Macro!BN$3</f>
        <v>2016</v>
      </c>
      <c r="BO23" s="310" t="str">
        <f>Macro!BO$3</f>
        <v>1Q17</v>
      </c>
      <c r="BP23" s="310" t="str">
        <f>Macro!BP$3</f>
        <v>2Q17</v>
      </c>
      <c r="BQ23" s="310" t="str">
        <f>Macro!BQ$3</f>
        <v>3Q17</v>
      </c>
      <c r="BR23" s="310" t="str">
        <f>Macro!BR$3</f>
        <v>4Q17</v>
      </c>
      <c r="BS23" s="311" t="str">
        <f>Macro!BS$3</f>
        <v>2017</v>
      </c>
      <c r="BT23" s="310" t="str">
        <f>Macro!BT$3</f>
        <v>1Q18</v>
      </c>
      <c r="BU23" s="310" t="str">
        <f>Macro!BU$3</f>
        <v>2Q18</v>
      </c>
      <c r="BV23" s="310" t="str">
        <f>Macro!BV$3</f>
        <v>3Q18</v>
      </c>
      <c r="BW23" s="310" t="str">
        <f>Macro!BW$3</f>
        <v>4Q18</v>
      </c>
      <c r="BX23" s="311" t="str">
        <f>Macro!BX$3</f>
        <v>2018</v>
      </c>
      <c r="BY23" s="310" t="str">
        <f>Macro!BY$3</f>
        <v>1Q19</v>
      </c>
      <c r="BZ23" s="310" t="str">
        <f>Macro!BZ$3</f>
        <v>2Q19</v>
      </c>
      <c r="CA23" s="310" t="str">
        <f>Macro!CA$3</f>
        <v>3Q19</v>
      </c>
      <c r="CB23" s="310" t="str">
        <f>Macro!CB$3</f>
        <v>4Q19</v>
      </c>
      <c r="CC23" s="311" t="str">
        <f>Macro!CC$3</f>
        <v>2019</v>
      </c>
      <c r="CD23" s="310" t="str">
        <f>Macro!CD$3</f>
        <v>1Q20</v>
      </c>
      <c r="CE23" s="310" t="str">
        <f>Macro!CE$3</f>
        <v>2Q20</v>
      </c>
      <c r="CF23" s="310" t="str">
        <f>Macro!CF$3</f>
        <v>3Q20</v>
      </c>
      <c r="CG23" s="310" t="str">
        <f>Macro!CG$3</f>
        <v>4Q20</v>
      </c>
      <c r="CH23" s="311" t="str">
        <f>Macro!CH$3</f>
        <v>2020</v>
      </c>
      <c r="CI23" s="310" t="str">
        <f>Macro!CI$3</f>
        <v>1Q21</v>
      </c>
      <c r="CJ23" s="310" t="str">
        <f>Macro!CJ$3</f>
        <v>2Q21</v>
      </c>
      <c r="CK23" s="310" t="str">
        <f>Macro!CK$3</f>
        <v>3Q21</v>
      </c>
      <c r="CL23" s="310" t="str">
        <f>Macro!CL$3</f>
        <v>4Q21</v>
      </c>
      <c r="CM23" s="311" t="str">
        <f>Macro!CM$3</f>
        <v>2021</v>
      </c>
      <c r="CN23" s="310" t="str">
        <f>Macro!CN$3</f>
        <v>1Q22</v>
      </c>
      <c r="CO23" s="310" t="str">
        <f>Macro!CO$3</f>
        <v>2Q22</v>
      </c>
      <c r="CP23" s="310" t="str">
        <f>Macro!CP$3</f>
        <v>3Q22</v>
      </c>
      <c r="CQ23" s="310" t="str">
        <f>Macro!CQ$3</f>
        <v>4Q22</v>
      </c>
      <c r="CR23" s="311" t="str">
        <f>Macro!CR$3</f>
        <v>2022</v>
      </c>
      <c r="CS23" s="310" t="str">
        <f>Macro!CS$3</f>
        <v>1Q23</v>
      </c>
      <c r="CT23" s="310" t="str">
        <f>Macro!CT$3</f>
        <v>2Q23</v>
      </c>
      <c r="CU23" s="310" t="str">
        <f>Macro!CU$3</f>
        <v>3Q23</v>
      </c>
      <c r="CV23" s="310" t="str">
        <f>Macro!CV$3</f>
        <v>4Q23</v>
      </c>
      <c r="CW23" s="311" t="str">
        <f>Macro!CW$3</f>
        <v>2023</v>
      </c>
      <c r="CX23" s="310" t="str">
        <f>Macro!CX$3</f>
        <v>1Q24</v>
      </c>
      <c r="CY23" s="310" t="str">
        <f>Macro!CY$3</f>
        <v>2Q24</v>
      </c>
      <c r="CZ23" s="310" t="str">
        <f>Macro!CZ$3</f>
        <v>3Q24</v>
      </c>
      <c r="DA23" s="310" t="str">
        <f>Macro!DA$3</f>
        <v>4Q24</v>
      </c>
      <c r="DB23" s="311" t="str">
        <f>Macro!DB$3</f>
        <v>2024</v>
      </c>
      <c r="DC23" s="310" t="str">
        <f>Macro!DC$3</f>
        <v>1Q25</v>
      </c>
      <c r="DD23" s="310" t="str">
        <f>Macro!DD$3</f>
        <v>2Q25</v>
      </c>
      <c r="DE23" s="310" t="str">
        <f>Macro!DE$3</f>
        <v>3Q25</v>
      </c>
      <c r="DF23" s="310" t="str">
        <f>Macro!DF$3</f>
        <v>4Q25</v>
      </c>
      <c r="DG23" s="311" t="str">
        <f>Macro!DG$3</f>
        <v>2025</v>
      </c>
      <c r="DH23" s="310" t="str">
        <f>Macro!DH$3</f>
        <v>1Q26</v>
      </c>
      <c r="DI23" s="310" t="str">
        <f>Macro!DI$3</f>
        <v>2Q26</v>
      </c>
      <c r="DJ23" s="310" t="str">
        <f>Macro!DJ$3</f>
        <v>3Q26E</v>
      </c>
      <c r="DK23" s="310" t="str">
        <f>Macro!DK$3</f>
        <v>4Q26E</v>
      </c>
      <c r="DL23" s="311" t="str">
        <f>Macro!DL$3</f>
        <v>2026E</v>
      </c>
      <c r="DM23" s="310" t="str">
        <f>Macro!DM$3</f>
        <v>1Q27E</v>
      </c>
      <c r="DN23" s="310" t="str">
        <f>Macro!DN$3</f>
        <v>2Q27E</v>
      </c>
      <c r="DO23" s="310" t="str">
        <f>Macro!DO$3</f>
        <v>3Q27E</v>
      </c>
      <c r="DP23" s="310" t="str">
        <f>Macro!DP$3</f>
        <v>4Q27E</v>
      </c>
      <c r="DQ23" s="311" t="str">
        <f>Macro!DQ$3</f>
        <v>2027E</v>
      </c>
      <c r="DR23" s="310" t="str">
        <f>Macro!DR$3</f>
        <v>1Q28E</v>
      </c>
      <c r="DS23" s="310" t="str">
        <f>Macro!DS$3</f>
        <v>2Q28E</v>
      </c>
      <c r="DT23" s="310" t="str">
        <f>Macro!DT$3</f>
        <v>3Q28E</v>
      </c>
      <c r="DU23" s="310" t="str">
        <f>Macro!DU$3</f>
        <v>4Q28E</v>
      </c>
      <c r="DV23" s="311" t="str">
        <f>Macro!DV$3</f>
        <v>2028E</v>
      </c>
      <c r="DW23" s="310" t="str">
        <f>Macro!DW$3</f>
        <v>1Q29E</v>
      </c>
      <c r="DX23" s="310" t="str">
        <f>Macro!DX$3</f>
        <v>2Q29E</v>
      </c>
      <c r="DY23" s="310" t="str">
        <f>Macro!DY$3</f>
        <v>3Q29E</v>
      </c>
      <c r="DZ23" s="310" t="str">
        <f>Macro!DZ$3</f>
        <v>4Q29E</v>
      </c>
      <c r="EA23" s="311" t="str">
        <f>Macro!EA$3</f>
        <v>2029E</v>
      </c>
      <c r="EB23" s="310" t="str">
        <f>Macro!EB$3</f>
        <v>1Q30E</v>
      </c>
      <c r="EC23" s="310" t="str">
        <f>Macro!EC$3</f>
        <v>2Q30E</v>
      </c>
      <c r="ED23" s="310" t="str">
        <f>Macro!ED$3</f>
        <v>3Q30E</v>
      </c>
      <c r="EE23" s="310" t="str">
        <f>Macro!EE$3</f>
        <v>4Q30E</v>
      </c>
      <c r="EF23" s="311" t="str">
        <f>Macro!EF$3</f>
        <v>2030E</v>
      </c>
    </row>
    <row r="24" spans="1:141" ht="12.75" customHeight="1">
      <c r="A24" s="71" t="s">
        <v>137</v>
      </c>
      <c r="B24" s="168">
        <f>C24+C10-C5</f>
        <v>1657870.9116666669</v>
      </c>
      <c r="C24" s="168">
        <f>D24+D10-D5</f>
        <v>1622462.2823333335</v>
      </c>
      <c r="D24" s="168">
        <f>E24+E10-E5</f>
        <v>1587053.6530000002</v>
      </c>
      <c r="E24" s="168">
        <f>G24+G10-G5</f>
        <v>1642509.4610000001</v>
      </c>
      <c r="F24" s="89">
        <f>E24</f>
        <v>1642509.4610000001</v>
      </c>
      <c r="G24" s="168">
        <f>H24+H10-H5</f>
        <v>1673403.281</v>
      </c>
      <c r="H24" s="168">
        <f>I24+I10-I5</f>
        <v>1633820.6189999999</v>
      </c>
      <c r="I24" s="168">
        <f>J24+J10-J5</f>
        <v>1811625.2590000001</v>
      </c>
      <c r="J24" s="168">
        <f>L24+L10-L5</f>
        <v>1657140</v>
      </c>
      <c r="K24" s="89">
        <f>J24</f>
        <v>1657140</v>
      </c>
      <c r="L24" s="168">
        <f>M24+M10-M5</f>
        <v>1554942.3800000001</v>
      </c>
      <c r="M24" s="168">
        <f>N24+N10-N5</f>
        <v>1726553</v>
      </c>
      <c r="N24" s="168">
        <f>O24+O10-O5</f>
        <v>1851155</v>
      </c>
      <c r="O24" s="168">
        <f>Q24+Q10-Q5</f>
        <v>2230632</v>
      </c>
      <c r="P24" s="89">
        <f>O24</f>
        <v>2230632</v>
      </c>
      <c r="Q24" s="168">
        <f>R24+R10-R5</f>
        <v>2097947</v>
      </c>
      <c r="R24" s="168">
        <f>S24+S10-S5</f>
        <v>2051959</v>
      </c>
      <c r="S24" s="168">
        <f>T24+T10-T5</f>
        <v>2270339</v>
      </c>
      <c r="T24" s="168">
        <f>V24+V10-V5</f>
        <v>2875811</v>
      </c>
      <c r="U24" s="89">
        <f>T24</f>
        <v>2875811</v>
      </c>
      <c r="V24" s="332">
        <f>W24+W9-W4</f>
        <v>2681450</v>
      </c>
      <c r="W24" s="332">
        <f>X24+X9-X4</f>
        <v>2923170</v>
      </c>
      <c r="X24" s="332">
        <f>Y24+Y9-Y4</f>
        <v>2923186</v>
      </c>
      <c r="Y24" s="332">
        <f>AA24+AA9-AA4</f>
        <v>3213626</v>
      </c>
      <c r="Z24" s="89">
        <f>Y24</f>
        <v>3213626</v>
      </c>
      <c r="AA24" s="332">
        <f>AB24+AB9-AB4</f>
        <v>3265790</v>
      </c>
      <c r="AB24" s="332">
        <f>AC24+AC9-AC4</f>
        <v>3070228</v>
      </c>
      <c r="AC24" s="332">
        <f>AD24+AD9-AD4</f>
        <v>3391167</v>
      </c>
      <c r="AD24" s="332">
        <f>AF24+AF9-AF4</f>
        <v>3674426</v>
      </c>
      <c r="AE24" s="89">
        <f>AD24</f>
        <v>3674426</v>
      </c>
      <c r="AF24" s="332">
        <f>AG24+AG9-AG4</f>
        <v>3204968</v>
      </c>
      <c r="AG24" s="332">
        <f>AH24+AH9-AH4</f>
        <v>2792524</v>
      </c>
      <c r="AH24" s="332">
        <f>AI24+AI9-AI4</f>
        <v>3126557</v>
      </c>
      <c r="AI24" s="332">
        <f>AK24+AK9-AK4</f>
        <v>5111900</v>
      </c>
      <c r="AJ24" s="89">
        <f>AI24</f>
        <v>5111900</v>
      </c>
      <c r="AK24" s="164">
        <f>AL24+AL9-AL4</f>
        <v>5264900</v>
      </c>
      <c r="AL24" s="164">
        <v>5251000</v>
      </c>
      <c r="AM24" s="164">
        <v>5749000</v>
      </c>
      <c r="AN24" s="164">
        <v>6515000</v>
      </c>
      <c r="AO24" s="89">
        <f>AN24</f>
        <v>6515000</v>
      </c>
      <c r="AP24" s="164">
        <v>6405000</v>
      </c>
      <c r="AQ24" s="164">
        <v>6246000</v>
      </c>
      <c r="AR24" s="164">
        <v>6194000</v>
      </c>
      <c r="AS24" s="164">
        <v>6626000</v>
      </c>
      <c r="AT24" s="89">
        <f>AS24</f>
        <v>6626000</v>
      </c>
      <c r="AU24" s="164">
        <f>6340000</f>
        <v>6340000</v>
      </c>
      <c r="AV24" s="164">
        <f>6163100</f>
        <v>6163100</v>
      </c>
      <c r="AW24" s="164">
        <f>6233500</f>
        <v>6233500</v>
      </c>
      <c r="AX24" s="164">
        <v>6704000</v>
      </c>
      <c r="AY24" s="89">
        <f>AX24</f>
        <v>6704000</v>
      </c>
      <c r="AZ24" s="164">
        <v>7187000</v>
      </c>
      <c r="BA24" s="164">
        <v>7020000</v>
      </c>
      <c r="BB24" s="164">
        <v>6905000</v>
      </c>
      <c r="BC24" s="164">
        <v>7331000</v>
      </c>
      <c r="BD24" s="89">
        <f>BC24</f>
        <v>7331000</v>
      </c>
      <c r="BE24" s="164">
        <v>6919000</v>
      </c>
      <c r="BF24" s="164">
        <v>7250000</v>
      </c>
      <c r="BG24" s="164">
        <v>6853000</v>
      </c>
      <c r="BH24" s="164">
        <v>6563000</v>
      </c>
      <c r="BI24" s="89">
        <f>BH24</f>
        <v>6563000</v>
      </c>
      <c r="BJ24" s="164">
        <v>6480000</v>
      </c>
      <c r="BK24" s="164">
        <v>6558000</v>
      </c>
      <c r="BL24" s="164">
        <v>6412000</v>
      </c>
      <c r="BM24" s="164">
        <v>6537000</v>
      </c>
      <c r="BN24" s="89">
        <f>BM24</f>
        <v>6537000</v>
      </c>
      <c r="BO24" s="164">
        <v>6646000</v>
      </c>
      <c r="BP24" s="164">
        <v>6441000</v>
      </c>
      <c r="BQ24" s="164">
        <v>6212000</v>
      </c>
      <c r="BR24" s="164">
        <v>6176000</v>
      </c>
      <c r="BS24" s="89">
        <f>BR24</f>
        <v>6176000</v>
      </c>
      <c r="BT24" s="164">
        <v>5912804</v>
      </c>
      <c r="BU24" s="164">
        <v>5789294</v>
      </c>
      <c r="BV24" s="164">
        <v>5574000</v>
      </c>
      <c r="BW24" s="164">
        <v>4621888.6902507199</v>
      </c>
      <c r="BX24" s="89">
        <f>BW24</f>
        <v>4621888.6902507199</v>
      </c>
      <c r="BY24" s="164">
        <v>4148544.0675220899</v>
      </c>
      <c r="BZ24" s="164">
        <v>4445162.7336126901</v>
      </c>
      <c r="CA24" s="164">
        <v>4289371.47713619</v>
      </c>
      <c r="CB24" s="164">
        <v>4340042.9178582402</v>
      </c>
      <c r="CC24" s="89">
        <f>CB24</f>
        <v>4340042.9178582402</v>
      </c>
      <c r="CD24" s="164">
        <v>4479741.7942848997</v>
      </c>
      <c r="CE24" s="164">
        <v>4248451.8303872338</v>
      </c>
      <c r="CF24" s="164">
        <v>4301200.7935480047</v>
      </c>
      <c r="CG24" s="164">
        <v>5474365.5413125465</v>
      </c>
      <c r="CH24" s="89">
        <f>CG24</f>
        <v>5474365.5413125465</v>
      </c>
      <c r="CI24" s="164">
        <v>4894824.2832177058</v>
      </c>
      <c r="CJ24" s="164">
        <v>5482000</v>
      </c>
      <c r="CK24" s="164">
        <v>6481000</v>
      </c>
      <c r="CL24" s="164">
        <v>7473000</v>
      </c>
      <c r="CM24" s="89">
        <f>CL24</f>
        <v>7473000</v>
      </c>
      <c r="CN24" s="164">
        <v>7215000</v>
      </c>
      <c r="CO24" s="164">
        <v>8141000</v>
      </c>
      <c r="CP24" s="164">
        <v>8911000</v>
      </c>
      <c r="CQ24" s="164">
        <v>9069000</v>
      </c>
      <c r="CR24" s="89">
        <f>CQ24</f>
        <v>9069000</v>
      </c>
      <c r="CS24" s="164">
        <v>8693628.8514928725</v>
      </c>
      <c r="CT24" s="164">
        <v>9766861.8061559722</v>
      </c>
      <c r="CU24" s="164">
        <v>9761039.5965918936</v>
      </c>
      <c r="CV24" s="164">
        <v>9934008.5458056685</v>
      </c>
      <c r="CW24" s="89">
        <f>CV24</f>
        <v>9934008.5458056685</v>
      </c>
      <c r="CX24" s="164">
        <v>9477622.3108091857</v>
      </c>
      <c r="CY24" s="164">
        <v>8669821.4032379892</v>
      </c>
      <c r="CZ24" s="164">
        <v>8692990.9361964483</v>
      </c>
      <c r="DA24" s="164">
        <v>10554438.634326812</v>
      </c>
      <c r="DB24" s="89">
        <f>DA24</f>
        <v>10554438.634326812</v>
      </c>
      <c r="DC24" s="164">
        <v>12408092.213226682</v>
      </c>
      <c r="DD24" s="164">
        <v>13382852.833263393</v>
      </c>
      <c r="DE24" s="164">
        <v>15043271.443481915</v>
      </c>
      <c r="DF24" s="164">
        <v>16255026.570129486</v>
      </c>
      <c r="DG24" s="89">
        <f>DF24</f>
        <v>16255026.570129486</v>
      </c>
      <c r="DH24" s="164">
        <v>15416165.322253408</v>
      </c>
      <c r="DI24" s="164">
        <v>17181211.221018292</v>
      </c>
      <c r="DJ24" s="107">
        <f>DI24+(DJ4-DJ9)</f>
        <v>17722484.512441482</v>
      </c>
      <c r="DK24" s="107">
        <f>DJ24+(DK4-DK9)</f>
        <v>18758541.053729475</v>
      </c>
      <c r="DL24" s="89">
        <f>DK24</f>
        <v>18758541.053729475</v>
      </c>
      <c r="DM24" s="107">
        <f>DL24+(DM4-DM9)</f>
        <v>17864996.373519477</v>
      </c>
      <c r="DN24" s="107">
        <f>DM24+(DN4-DN9)</f>
        <v>17701870.732798226</v>
      </c>
      <c r="DO24" s="107">
        <f>DN24+(DO4-DO9)</f>
        <v>18242237.05535008</v>
      </c>
      <c r="DP24" s="107">
        <f>DO24+(DP4-DP9)</f>
        <v>19295827.303979039</v>
      </c>
      <c r="DQ24" s="89">
        <f>DP24</f>
        <v>19295827.303979039</v>
      </c>
      <c r="DR24" s="107">
        <f>DQ24+(DR4-DR9)</f>
        <v>18505053.325637441</v>
      </c>
      <c r="DS24" s="107">
        <f>DR24+(DS4-DS9)</f>
        <v>18459365.394133512</v>
      </c>
      <c r="DT24" s="107">
        <f>DS24+(DT4-DT9)</f>
        <v>19117071.752259512</v>
      </c>
      <c r="DU24" s="107">
        <f>DT24+(DU4-DU9)</f>
        <v>20282896.868726704</v>
      </c>
      <c r="DV24" s="89">
        <f>DU24</f>
        <v>20282896.868726704</v>
      </c>
      <c r="DW24" s="107">
        <f>DV24+(DW4-DW9)</f>
        <v>19507287.930340424</v>
      </c>
      <c r="DX24" s="107">
        <f>DW24+(DX4-DX9)</f>
        <v>19488640.005298227</v>
      </c>
      <c r="DY24" s="107">
        <f>DX24+(DY4-DY9)</f>
        <v>20192112.624032397</v>
      </c>
      <c r="DZ24" s="107">
        <f>DY24+(DZ4-DZ9)</f>
        <v>21411196.438910745</v>
      </c>
      <c r="EA24" s="89">
        <f>DZ24</f>
        <v>21411196.438910745</v>
      </c>
      <c r="EB24" s="107">
        <f>EA24+(EB4-EB9)</f>
        <v>20592301.982399937</v>
      </c>
      <c r="EC24" s="107">
        <f>EB24+(EC4-EC9)</f>
        <v>20554720.753700439</v>
      </c>
      <c r="ED24" s="107">
        <f>EC24+(ED4-ED9)</f>
        <v>21269288.808572881</v>
      </c>
      <c r="EE24" s="107">
        <f>ED24+(EE4-EE9)</f>
        <v>22524109.091818061</v>
      </c>
      <c r="EF24" s="89">
        <f>EE24</f>
        <v>22524109.091818061</v>
      </c>
      <c r="EH24" s="110">
        <f>+DA24+4862000</f>
        <v>15416438.634326812</v>
      </c>
      <c r="EI24" s="110">
        <f>+DC24+4126000</f>
        <v>16534092.213226682</v>
      </c>
    </row>
    <row r="25" spans="1:141" s="200" customFormat="1" ht="12.75" customHeight="1" outlineLevel="1">
      <c r="A25" s="195" t="s">
        <v>833</v>
      </c>
      <c r="B25" s="343"/>
      <c r="C25" s="343"/>
      <c r="D25" s="343"/>
      <c r="E25" s="343"/>
      <c r="F25" s="199"/>
      <c r="G25" s="343"/>
      <c r="H25" s="343"/>
      <c r="I25" s="343"/>
      <c r="J25" s="343"/>
      <c r="K25" s="199"/>
      <c r="L25" s="343"/>
      <c r="M25" s="343"/>
      <c r="N25" s="343"/>
      <c r="O25" s="343"/>
      <c r="P25" s="199">
        <f>O25</f>
        <v>0</v>
      </c>
      <c r="Q25" s="344"/>
      <c r="R25" s="344"/>
      <c r="S25" s="344"/>
      <c r="T25" s="344">
        <f>S25</f>
        <v>0</v>
      </c>
      <c r="U25" s="199">
        <f>T25</f>
        <v>0</v>
      </c>
      <c r="V25" s="343"/>
      <c r="W25" s="343"/>
      <c r="X25" s="344"/>
      <c r="Y25" s="344"/>
      <c r="Z25" s="199">
        <f>Y25</f>
        <v>0</v>
      </c>
      <c r="AA25" s="344"/>
      <c r="AB25" s="344"/>
      <c r="AC25" s="344"/>
      <c r="AD25" s="344"/>
      <c r="AE25" s="199">
        <f>AD25</f>
        <v>0</v>
      </c>
      <c r="AF25" s="344"/>
      <c r="AG25" s="345"/>
      <c r="AH25" s="344"/>
      <c r="AI25" s="344">
        <f>117000+626500+1807300/3</f>
        <v>1345933.3333333335</v>
      </c>
      <c r="AJ25" s="199">
        <f>AI25</f>
        <v>1345933.3333333335</v>
      </c>
      <c r="AK25" s="346">
        <f>AL25-(AM25-AI25)/3</f>
        <v>1841955.5555555557</v>
      </c>
      <c r="AL25" s="346">
        <f>AM25-(AM25-AI25)/3</f>
        <v>2337977.777777778</v>
      </c>
      <c r="AM25" s="344">
        <f>2834000</f>
        <v>2834000</v>
      </c>
      <c r="AN25" s="344">
        <f>1655000+2231000/4</f>
        <v>2212750</v>
      </c>
      <c r="AO25" s="199">
        <f>AN25</f>
        <v>2212750</v>
      </c>
      <c r="AP25" s="344">
        <f>1746000+188500/2</f>
        <v>1840250</v>
      </c>
      <c r="AQ25" s="344">
        <f>1416000+1809000/2</f>
        <v>2320500</v>
      </c>
      <c r="AR25" s="344">
        <f>25.7%*AR24+37%/2*AR24</f>
        <v>2737748</v>
      </c>
      <c r="AS25" s="344">
        <f>29.2%*AS24+34.5%/2*AS24</f>
        <v>3077777</v>
      </c>
      <c r="AT25" s="199">
        <f>AS25</f>
        <v>3077777</v>
      </c>
      <c r="AU25" s="344">
        <f>9.8%*AU24+29.7%/2*AU24</f>
        <v>1562810</v>
      </c>
      <c r="AV25" s="344">
        <f>18%*AV24+26.2%/2*AV24</f>
        <v>1916724.1</v>
      </c>
      <c r="AW25" s="344">
        <v>1391000</v>
      </c>
      <c r="AX25" s="344">
        <f>1996000*80%+308000</f>
        <v>1904800</v>
      </c>
      <c r="AY25" s="199">
        <f>AX25</f>
        <v>1904800</v>
      </c>
      <c r="AZ25" s="344">
        <v>1177000</v>
      </c>
      <c r="BA25" s="344">
        <f>0.8*1478000</f>
        <v>1182400</v>
      </c>
      <c r="BB25" s="344">
        <f>BA4*54%+BB4*68%</f>
        <v>1013148</v>
      </c>
      <c r="BC25" s="344">
        <f>47%*BB4+61%*BC4</f>
        <v>1681950</v>
      </c>
      <c r="BD25" s="199">
        <f>BC25</f>
        <v>1681950</v>
      </c>
      <c r="BE25" s="344">
        <f>(BC4*40%+BE4*70%)*85%</f>
        <v>1007845</v>
      </c>
      <c r="BF25" s="344">
        <f t="shared" ref="BF25:CB25" si="40">(BE4*40%+BF4*70%)*85%</f>
        <v>791690</v>
      </c>
      <c r="BG25" s="344">
        <f t="shared" si="40"/>
        <v>725390</v>
      </c>
      <c r="BH25" s="344">
        <f>(BG4*40%+BH4*70%)*85%</f>
        <v>659600</v>
      </c>
      <c r="BI25" s="199">
        <f>BH25</f>
        <v>659600</v>
      </c>
      <c r="BJ25" s="344">
        <f>(BH4*40%+BJ4*70%)*85%</f>
        <v>623135</v>
      </c>
      <c r="BK25" s="344">
        <f t="shared" si="40"/>
        <v>564230</v>
      </c>
      <c r="BL25" s="344">
        <f t="shared" si="40"/>
        <v>472260</v>
      </c>
      <c r="BM25" s="344">
        <f>(BL4*40%+BM4*70%)*85%</f>
        <v>911710</v>
      </c>
      <c r="BN25" s="199">
        <f>BM25</f>
        <v>911710</v>
      </c>
      <c r="BO25" s="344">
        <f>(BM4*40%+BO4*70%)*85%</f>
        <v>797300</v>
      </c>
      <c r="BP25" s="344">
        <f t="shared" si="40"/>
        <v>588880</v>
      </c>
      <c r="BQ25" s="344">
        <f t="shared" si="40"/>
        <v>534059.08000000007</v>
      </c>
      <c r="BR25" s="344">
        <f t="shared" si="40"/>
        <v>936015.49499999988</v>
      </c>
      <c r="BS25" s="199">
        <f>BR25</f>
        <v>936015.49499999988</v>
      </c>
      <c r="BT25" s="344">
        <f>(BR4*40%+BT4*70%)*85%</f>
        <v>689909.38500000001</v>
      </c>
      <c r="BU25" s="344">
        <f t="shared" si="40"/>
        <v>731558.53499999992</v>
      </c>
      <c r="BV25" s="344">
        <f t="shared" si="40"/>
        <v>879875.46000000008</v>
      </c>
      <c r="BW25" s="344">
        <f>(BV4*40%+BW4*70%)*85%</f>
        <v>1921712.3332205676</v>
      </c>
      <c r="BX25" s="199">
        <f>BW25</f>
        <v>1921712.3332205676</v>
      </c>
      <c r="BY25" s="344">
        <f>(BW4*40%+BY4*70%)*85%</f>
        <v>1182996.630483927</v>
      </c>
      <c r="BZ25" s="344">
        <f t="shared" si="40"/>
        <v>1059561.0035739036</v>
      </c>
      <c r="CA25" s="344">
        <f t="shared" si="40"/>
        <v>1107799.6880392334</v>
      </c>
      <c r="CB25" s="344">
        <f t="shared" si="40"/>
        <v>1167800.7753056295</v>
      </c>
      <c r="CC25" s="199">
        <f>CB25</f>
        <v>1167800.7753056295</v>
      </c>
      <c r="CD25" s="344">
        <f>(CB4*40%+CD4*70%)*85%</f>
        <v>1108637.9893116576</v>
      </c>
      <c r="CE25" s="344">
        <f>(CD4*40%+CE4*70%)*85%</f>
        <v>513200.2230913706</v>
      </c>
      <c r="CF25" s="344">
        <f>(CE4*40%+CF4*70%)*85%</f>
        <v>1068863.034485457</v>
      </c>
      <c r="CG25" s="344">
        <f>(CF4*40%+CG4*70%)*85%</f>
        <v>2271032.7388407271</v>
      </c>
      <c r="CH25" s="199">
        <f>CG25</f>
        <v>2271032.7388407271</v>
      </c>
      <c r="CI25" s="344">
        <f>(CG4*40%+CI4*70%)*85%</f>
        <v>1227639.5779978731</v>
      </c>
      <c r="CJ25" s="344">
        <f>(CI4*40%+CJ4*70%)*85%</f>
        <v>1291058.4159216648</v>
      </c>
      <c r="CK25" s="344">
        <f>(CJ4*40%+CK4*70%)*85%</f>
        <v>1964706.547205749</v>
      </c>
      <c r="CL25" s="344">
        <f>(CK4*40%+CL4*70%)*85%</f>
        <v>2268038.6249486194</v>
      </c>
      <c r="CM25" s="199">
        <f>CL25</f>
        <v>2268038.6249486194</v>
      </c>
      <c r="CN25" s="344">
        <f>(CL4*40%+CN4*70%)*85%</f>
        <v>1486062.4570852218</v>
      </c>
      <c r="CO25" s="344">
        <f>(CN4*40%+CO4*70%)*85%</f>
        <v>1736957.7445716464</v>
      </c>
      <c r="CP25" s="344">
        <f>(CO4*40%+CP4*70%)*85%</f>
        <v>2532961.8709047521</v>
      </c>
      <c r="CQ25" s="344">
        <f>(CP4*40%+CQ4*70%)*85%</f>
        <v>2674151.0619904483</v>
      </c>
      <c r="CR25" s="199">
        <f>CQ25</f>
        <v>2674151.0619904483</v>
      </c>
      <c r="CS25" s="344">
        <f>(CQ4*40%+CS4*70%)*85%</f>
        <v>1759383.6492477523</v>
      </c>
      <c r="CT25" s="344">
        <f>(CS4*40%+CT4*70%)*85%</f>
        <v>2548325.9462830611</v>
      </c>
      <c r="CU25" s="344">
        <f>(CT4*40%+CU4*70%)*85%</f>
        <v>2482843.4435805217</v>
      </c>
      <c r="CV25" s="344">
        <f>(CU4*40%+CV4*70%)*85%</f>
        <v>2368414.9640083131</v>
      </c>
      <c r="CW25" s="199">
        <f>CV25</f>
        <v>2368414.9640083131</v>
      </c>
      <c r="CX25" s="344">
        <f>(CV4*40%+CX4*70%)*85%</f>
        <v>1944302.5611867553</v>
      </c>
      <c r="CY25" s="344">
        <f>(CX4*40%+CY4*70%)*85%</f>
        <v>1447550.9119376403</v>
      </c>
      <c r="CZ25" s="344">
        <f>(CY4*40%+CZ4*70%)*85%</f>
        <v>2354832.584383423</v>
      </c>
      <c r="DA25" s="344">
        <f>(CZ4*40%+DA4*70%)*85%</f>
        <v>5070155.7761397129</v>
      </c>
      <c r="DB25" s="199">
        <f>DA25</f>
        <v>5070155.7761397129</v>
      </c>
      <c r="DC25" s="344">
        <f>(DA4*40%+DC4*70%)*85%</f>
        <v>5183578.6681582304</v>
      </c>
      <c r="DD25" s="344">
        <f>(DC4*40%+DD4*70%)*85%</f>
        <v>4108396.3674273696</v>
      </c>
      <c r="DE25" s="344">
        <f>(DD4*40%+DE4*70%)*85%</f>
        <v>4407735.7231168868</v>
      </c>
      <c r="DF25" s="344">
        <f>(DE4*40%+DF4*70%)*85%</f>
        <v>4413148.096305199</v>
      </c>
      <c r="DG25" s="199">
        <f>DF25</f>
        <v>4413148.096305199</v>
      </c>
      <c r="DH25" s="344">
        <f>(DG4*40%+DH4*70%)*85%</f>
        <v>7758670.3424158236</v>
      </c>
      <c r="DI25" s="344">
        <f>(DH4*40%+DI4*70%)*85%</f>
        <v>3780716.5438862001</v>
      </c>
      <c r="DJ25" s="344">
        <f>(DI4*40%+DJ4*70%)*85%</f>
        <v>4275002.5531025724</v>
      </c>
      <c r="DK25" s="344">
        <f>(DJ4*40%+DK4*70%)*85%</f>
        <v>4710918.092324635</v>
      </c>
      <c r="DL25" s="199">
        <f>DK25</f>
        <v>4710918.092324635</v>
      </c>
      <c r="DM25" s="344">
        <f>(DK4*40%+DM4*70%)*85%</f>
        <v>3289108.6759283086</v>
      </c>
      <c r="DN25" s="344">
        <f>(DM4*40%+DN4*70%)*85%</f>
        <v>2938301.1491936725</v>
      </c>
      <c r="DO25" s="344">
        <f>(DN4*40%+DO4*70%)*85%</f>
        <v>3899427.6933224439</v>
      </c>
      <c r="DP25" s="344">
        <f>(DO4*40%+DP4*70%)*85%</f>
        <v>4901745.3750567343</v>
      </c>
      <c r="DQ25" s="199">
        <f>DP25</f>
        <v>4901745.3750567343</v>
      </c>
      <c r="DR25" s="344">
        <f>(DP4*40%+DR4*70%)*85%</f>
        <v>3428818.9461793918</v>
      </c>
      <c r="DS25" s="344">
        <f>(DR4*40%+DS4*70%)*85%</f>
        <v>3070524.7009073878</v>
      </c>
      <c r="DT25" s="344">
        <f>(DS4*40%+DT4*70%)*85%</f>
        <v>4074901.9395219539</v>
      </c>
      <c r="DU25" s="344">
        <f>(DT4*40%+DU4*70%)*85%</f>
        <v>5122323.9169342862</v>
      </c>
      <c r="DV25" s="199">
        <f>DU25</f>
        <v>5122323.9169342862</v>
      </c>
      <c r="DW25" s="344">
        <f>(DU4*40%+DW4*70%)*85%</f>
        <v>3583115.7987574646</v>
      </c>
      <c r="DX25" s="344">
        <f>(DW4*40%+DX4*70%)*85%</f>
        <v>3208698.3124482199</v>
      </c>
      <c r="DY25" s="344">
        <f>(DX4*40%+DY4*70%)*85%</f>
        <v>4258272.5268004416</v>
      </c>
      <c r="DZ25" s="344">
        <f>(DY4*40%+DZ4*70%)*85%</f>
        <v>5352828.49319633</v>
      </c>
      <c r="EA25" s="199">
        <f>DZ25</f>
        <v>5352828.49319633</v>
      </c>
      <c r="EB25" s="344">
        <f>(DZ4*40%+EB4*70%)*85%</f>
        <v>3744356.0097015495</v>
      </c>
      <c r="EC25" s="344">
        <f>(EB4*40%+EC4*70%)*85%</f>
        <v>3353089.7365083899</v>
      </c>
      <c r="ED25" s="344">
        <f>(EC4*40%+ED4*70%)*85%</f>
        <v>4449894.7905064626</v>
      </c>
      <c r="EE25" s="344">
        <f>(ED4*40%+EE4*70%)*85%</f>
        <v>5593705.775390164</v>
      </c>
      <c r="EF25" s="199">
        <f>EE25</f>
        <v>5593705.775390164</v>
      </c>
      <c r="EH25" s="110">
        <v>3029000</v>
      </c>
      <c r="EI25" s="110">
        <v>3258000</v>
      </c>
    </row>
    <row r="26" spans="1:141" s="200" customFormat="1" ht="12.75" customHeight="1" outlineLevel="1">
      <c r="A26" s="195" t="s">
        <v>834</v>
      </c>
      <c r="B26" s="343"/>
      <c r="C26" s="343"/>
      <c r="D26" s="343"/>
      <c r="E26" s="343"/>
      <c r="F26" s="199"/>
      <c r="G26" s="343"/>
      <c r="H26" s="343"/>
      <c r="I26" s="343"/>
      <c r="J26" s="343"/>
      <c r="K26" s="199"/>
      <c r="L26" s="343"/>
      <c r="M26" s="343"/>
      <c r="N26" s="343"/>
      <c r="O26" s="343"/>
      <c r="P26" s="199">
        <f>O26</f>
        <v>0</v>
      </c>
      <c r="Q26" s="344"/>
      <c r="R26" s="344"/>
      <c r="S26" s="344"/>
      <c r="T26" s="344">
        <f>S26</f>
        <v>0</v>
      </c>
      <c r="U26" s="199">
        <f>T26</f>
        <v>0</v>
      </c>
      <c r="V26" s="343"/>
      <c r="W26" s="343"/>
      <c r="X26" s="344"/>
      <c r="Y26" s="344"/>
      <c r="Z26" s="199">
        <f>Y26</f>
        <v>0</v>
      </c>
      <c r="AA26" s="344"/>
      <c r="AB26" s="344"/>
      <c r="AC26" s="344"/>
      <c r="AD26" s="344"/>
      <c r="AE26" s="199">
        <f>AD26</f>
        <v>0</v>
      </c>
      <c r="AF26" s="344"/>
      <c r="AG26" s="345"/>
      <c r="AH26" s="344"/>
      <c r="AI26" s="344">
        <f>4890200-AI25-AI27</f>
        <v>2913366.6666666665</v>
      </c>
      <c r="AJ26" s="199">
        <f>AI26</f>
        <v>2913366.6666666665</v>
      </c>
      <c r="AK26" s="346">
        <f>AL26-(AM26-AI26)/3</f>
        <v>2913911.111111111</v>
      </c>
      <c r="AL26" s="346">
        <f>AM26-(AM26-AI26)/3</f>
        <v>2914455.5555555555</v>
      </c>
      <c r="AM26" s="344">
        <f>5749000-AM25</f>
        <v>2915000</v>
      </c>
      <c r="AN26" s="344">
        <f>6515000-AN25</f>
        <v>4302250</v>
      </c>
      <c r="AO26" s="199">
        <f>AN26</f>
        <v>4302250</v>
      </c>
      <c r="AP26" s="344">
        <f>6405000-AP25</f>
        <v>4564750</v>
      </c>
      <c r="AQ26" s="344">
        <f>6246000-AQ25</f>
        <v>3925500</v>
      </c>
      <c r="AR26" s="344">
        <f>AR24-AR25-AR27</f>
        <v>2502376</v>
      </c>
      <c r="AS26" s="344">
        <f>AS24-AS25-AS27</f>
        <v>2595223</v>
      </c>
      <c r="AT26" s="199">
        <f>AS26</f>
        <v>2595223</v>
      </c>
      <c r="AU26" s="347">
        <f>AU24-AU25-AU27</f>
        <v>3933970</v>
      </c>
      <c r="AV26" s="347">
        <f>AV24-AV25-AV27</f>
        <v>3407375.9000000004</v>
      </c>
      <c r="AW26" s="347">
        <f>AW24-AW25-AW27</f>
        <v>3906500</v>
      </c>
      <c r="AX26" s="347">
        <f>AX24-AX25-AX27</f>
        <v>3828300</v>
      </c>
      <c r="AY26" s="199">
        <f>AX26</f>
        <v>3828300</v>
      </c>
      <c r="AZ26" s="347">
        <f>AZ24-AZ25-AZ27</f>
        <v>4911000</v>
      </c>
      <c r="BA26" s="347">
        <f>BA24-BA25-BA27</f>
        <v>4752600</v>
      </c>
      <c r="BB26" s="347">
        <f>BB24-BB25-BB27</f>
        <v>4648852</v>
      </c>
      <c r="BC26" s="347">
        <f>BC24-BC25-BC27</f>
        <v>4270050</v>
      </c>
      <c r="BD26" s="199">
        <f>BC26</f>
        <v>4270050</v>
      </c>
      <c r="BE26" s="347">
        <f>BE24-BE25-BE27</f>
        <v>4354155</v>
      </c>
      <c r="BF26" s="347">
        <f>BF24-BF25-BF27</f>
        <v>4667310</v>
      </c>
      <c r="BG26" s="347">
        <f>BG24-BG25-BG27</f>
        <v>4384610</v>
      </c>
      <c r="BH26" s="347">
        <f>BH24-BH25-BH27</f>
        <v>4276400</v>
      </c>
      <c r="BI26" s="199">
        <f>BH26</f>
        <v>4276400</v>
      </c>
      <c r="BJ26" s="347">
        <f>BJ24-BJ25-BJ27</f>
        <v>3899865</v>
      </c>
      <c r="BK26" s="347">
        <f>BK24-BK25-BK27</f>
        <v>3885770</v>
      </c>
      <c r="BL26" s="347">
        <f>BL24-BL25-BL27</f>
        <v>3797740</v>
      </c>
      <c r="BM26" s="347">
        <f>BM24-BM25-BM27</f>
        <v>3223290</v>
      </c>
      <c r="BN26" s="199">
        <f>BM26</f>
        <v>3223290</v>
      </c>
      <c r="BO26" s="347">
        <f>BO24-BO25-BO27</f>
        <v>3396028</v>
      </c>
      <c r="BP26" s="347">
        <f>BP24-BP25-BP27</f>
        <v>3386039</v>
      </c>
      <c r="BQ26" s="347">
        <f>BQ24-BQ25-BQ27</f>
        <v>3021443.92</v>
      </c>
      <c r="BR26" s="347">
        <f>BR24-BR25-BR27</f>
        <v>2652203.5049999999</v>
      </c>
      <c r="BS26" s="199">
        <f>BR26</f>
        <v>2652203.5049999999</v>
      </c>
      <c r="BT26" s="347">
        <f>BT24-BT25-BT27</f>
        <v>2627921.6150000002</v>
      </c>
      <c r="BU26" s="347">
        <f>BU24-BU25-BU27</f>
        <v>1955442.4649999999</v>
      </c>
      <c r="BV26" s="347">
        <f>BV24-BV25-BV27</f>
        <v>1851124.54</v>
      </c>
      <c r="BW26" s="347">
        <f>BW24-BW25-BW27</f>
        <v>207611.80955084087</v>
      </c>
      <c r="BX26" s="199">
        <f>BW26</f>
        <v>207611.80955084087</v>
      </c>
      <c r="BY26" s="347">
        <f>BY24-BY25-BY27</f>
        <v>844035.07062771684</v>
      </c>
      <c r="BZ26" s="347">
        <f>BZ24-BZ25-BZ27</f>
        <v>1357531.1264709977</v>
      </c>
      <c r="CA26" s="347">
        <f>CA24-CA25-CA27</f>
        <v>1346248.1717793953</v>
      </c>
      <c r="CB26" s="347">
        <f>CB24-CB25-CB27</f>
        <v>1382907.9393795929</v>
      </c>
      <c r="CC26" s="199">
        <f>CB26</f>
        <v>1382907.9393795929</v>
      </c>
      <c r="CD26" s="347">
        <f>CD24-CD25-CD27</f>
        <v>1653948.2479920913</v>
      </c>
      <c r="CE26" s="347">
        <f>CE24-CE25-CE27</f>
        <v>2127719.4738904689</v>
      </c>
      <c r="CF26" s="347">
        <f>CF24-CF25-CF27</f>
        <v>1771353.6982663041</v>
      </c>
      <c r="CG26" s="347">
        <f>CG24-CG25-CG27</f>
        <v>1674183.4319769703</v>
      </c>
      <c r="CH26" s="199">
        <f>CG26</f>
        <v>1674183.4319769703</v>
      </c>
      <c r="CI26" s="347">
        <f>CI24-CI25-CI27</f>
        <v>2397908.029182855</v>
      </c>
      <c r="CJ26" s="347">
        <f>CJ24-CJ25-CJ27</f>
        <v>3067941.5840783352</v>
      </c>
      <c r="CK26" s="347">
        <f>CK24-CK25-CK27</f>
        <v>3543293.452794251</v>
      </c>
      <c r="CL26" s="347">
        <f>CL24-CL25-CL27</f>
        <v>4217961.3750513811</v>
      </c>
      <c r="CM26" s="199">
        <f>CL26</f>
        <v>4217961.3750513811</v>
      </c>
      <c r="CN26" s="347">
        <f>CN24-CN25-CN27</f>
        <v>4685937.542914778</v>
      </c>
      <c r="CO26" s="347">
        <f>CO24-CO25-CO27</f>
        <v>5331042.2554283533</v>
      </c>
      <c r="CP26" s="347">
        <f>CP24-CP25-CP27</f>
        <v>5095038.1290952479</v>
      </c>
      <c r="CQ26" s="347">
        <f>CQ24-CQ25-CQ27</f>
        <v>5195848.9380095517</v>
      </c>
      <c r="CR26" s="199">
        <f>CQ26</f>
        <v>5195848.9380095517</v>
      </c>
      <c r="CS26" s="347">
        <f>CS24-CS25-CS27</f>
        <v>5686242.5768797919</v>
      </c>
      <c r="CT26" s="347">
        <f>CT24-CT25-CT27</f>
        <v>5969225.8930516914</v>
      </c>
      <c r="CU26" s="347">
        <f>CU24-CU25-CU27</f>
        <v>5895798.5093967719</v>
      </c>
      <c r="CV26" s="347">
        <f>CV24-CV25-CV27</f>
        <v>5979109.3704903219</v>
      </c>
      <c r="CW26" s="199">
        <f>CV26</f>
        <v>5979109.3704903219</v>
      </c>
      <c r="CX26" s="347">
        <f>CX24-CX25-CX27</f>
        <v>6116203.3510883935</v>
      </c>
      <c r="CY26" s="347">
        <f>CY24-CY25-CY27</f>
        <v>5907998.0960452594</v>
      </c>
      <c r="CZ26" s="347">
        <f>CZ24-CZ25-CZ27</f>
        <v>5022533.2224080358</v>
      </c>
      <c r="DA26" s="347">
        <f>DA24-DA25-DA27</f>
        <v>3969674.6731242342</v>
      </c>
      <c r="DB26" s="199">
        <f>DA26</f>
        <v>3969674.6731242342</v>
      </c>
      <c r="DC26" s="347">
        <f>DC24-DC25-DC27</f>
        <v>5685940.6787333041</v>
      </c>
      <c r="DD26" s="347">
        <f>DD24-DD25-DD27</f>
        <v>7307920.6647581346</v>
      </c>
      <c r="DE26" s="347">
        <f>DE24-DE25-DE27</f>
        <v>8567284.309263505</v>
      </c>
      <c r="DF26" s="347">
        <f>DF24-DF25-DF27</f>
        <v>9598595.7090183198</v>
      </c>
      <c r="DG26" s="199">
        <f>DF26</f>
        <v>9598595.7090183198</v>
      </c>
      <c r="DH26" s="347">
        <f>DH24-DH25-DH27</f>
        <v>5591026.7698395681</v>
      </c>
      <c r="DI26" s="347">
        <f>DI24-DI25-DI27</f>
        <v>11252163.566367194</v>
      </c>
      <c r="DJ26" s="347">
        <f>DJ24-DJ25-DJ27</f>
        <v>11269698.972162345</v>
      </c>
      <c r="DK26" s="347">
        <f>DK24-DK25-DK27</f>
        <v>11854143.845436238</v>
      </c>
      <c r="DL26" s="199">
        <f>DK26</f>
        <v>11854143.845436238</v>
      </c>
      <c r="DM26" s="347">
        <f>DM24-DM25-DM27</f>
        <v>12372450.64721428</v>
      </c>
      <c r="DN26" s="347">
        <f>DN24-DN25-DN27</f>
        <v>12495621.898289505</v>
      </c>
      <c r="DO26" s="347">
        <f>DO24-DO25-DO27</f>
        <v>11972833.613136224</v>
      </c>
      <c r="DP26" s="347">
        <f>DP24-DP25-DP27</f>
        <v>11924631.186779533</v>
      </c>
      <c r="DQ26" s="199">
        <f>DP26</f>
        <v>11924631.186779533</v>
      </c>
      <c r="DR26" s="347">
        <f>DR24-DR25-DR27</f>
        <v>12467163.203016173</v>
      </c>
      <c r="DS26" s="347">
        <f>DS24-DS25-DS27</f>
        <v>12645789.929720033</v>
      </c>
      <c r="DT26" s="347">
        <f>DT24-DT25-DT27</f>
        <v>12169432.402496178</v>
      </c>
      <c r="DU26" s="347">
        <f>DU24-DU25-DU27</f>
        <v>12127304.342428761</v>
      </c>
      <c r="DV26" s="199">
        <f>DU26</f>
        <v>12127304.342428761</v>
      </c>
      <c r="DW26" s="347">
        <f>DW24-DW25-DW27</f>
        <v>12761205.47273775</v>
      </c>
      <c r="DX26" s="347">
        <f>DX24-DX25-DX27</f>
        <v>12986455.092253964</v>
      </c>
      <c r="DY26" s="347">
        <f>DY24-DY25-DY27</f>
        <v>12553375.673840508</v>
      </c>
      <c r="DZ26" s="347">
        <f>DZ24-DZ25-DZ27</f>
        <v>12606782.385677028</v>
      </c>
      <c r="EA26" s="199">
        <f>DZ26</f>
        <v>12606782.385677028</v>
      </c>
      <c r="EB26" s="347">
        <f>EB24-EB25-EB27</f>
        <v>13346161.532875547</v>
      </c>
      <c r="EC26" s="347">
        <f>EC24-EC25-EC27</f>
        <v>13633416.19561472</v>
      </c>
      <c r="ED26" s="347">
        <f>ED24-ED25-ED27</f>
        <v>13190095.658290651</v>
      </c>
      <c r="EE26" s="347">
        <f>EE24-EE25-EE27</f>
        <v>13261790.451614426</v>
      </c>
      <c r="EF26" s="199">
        <f>EE26</f>
        <v>13261790.451614426</v>
      </c>
      <c r="EH26" s="605">
        <f>+EH25/EH24</f>
        <v>0.19647858184675135</v>
      </c>
      <c r="EI26" s="605">
        <f>+EI25/EI24</f>
        <v>0.19704740713818669</v>
      </c>
    </row>
    <row r="27" spans="1:141" s="200" customFormat="1" ht="12.75" customHeight="1" outlineLevel="1">
      <c r="A27" s="195" t="s">
        <v>835</v>
      </c>
      <c r="B27" s="343"/>
      <c r="C27" s="343"/>
      <c r="D27" s="343"/>
      <c r="E27" s="343"/>
      <c r="F27" s="199"/>
      <c r="G27" s="343"/>
      <c r="H27" s="343"/>
      <c r="I27" s="343"/>
      <c r="J27" s="343"/>
      <c r="K27" s="199"/>
      <c r="L27" s="343"/>
      <c r="M27" s="343"/>
      <c r="N27" s="343"/>
      <c r="O27" s="343"/>
      <c r="P27" s="199">
        <f>O27</f>
        <v>0</v>
      </c>
      <c r="Q27" s="344"/>
      <c r="R27" s="344"/>
      <c r="S27" s="344"/>
      <c r="T27" s="344">
        <f>S27</f>
        <v>0</v>
      </c>
      <c r="U27" s="199">
        <f>T27</f>
        <v>0</v>
      </c>
      <c r="V27" s="343"/>
      <c r="W27" s="343"/>
      <c r="X27" s="344"/>
      <c r="Y27" s="344"/>
      <c r="Z27" s="199">
        <f>Y27</f>
        <v>0</v>
      </c>
      <c r="AA27" s="344"/>
      <c r="AB27" s="344"/>
      <c r="AC27" s="344"/>
      <c r="AD27" s="344"/>
      <c r="AE27" s="199">
        <f>AD27</f>
        <v>0</v>
      </c>
      <c r="AF27" s="344"/>
      <c r="AG27" s="345"/>
      <c r="AH27" s="344"/>
      <c r="AI27" s="344">
        <v>630900</v>
      </c>
      <c r="AJ27" s="199">
        <f>AI27</f>
        <v>630900</v>
      </c>
      <c r="AK27" s="346">
        <f>AL27-(AM27-AI27)/3</f>
        <v>696266.66666666674</v>
      </c>
      <c r="AL27" s="346">
        <f>AM27-(AM27-AI27)/3</f>
        <v>761633.33333333337</v>
      </c>
      <c r="AM27" s="344">
        <v>827000</v>
      </c>
      <c r="AN27" s="344">
        <v>766000</v>
      </c>
      <c r="AO27" s="199">
        <f>AN27</f>
        <v>766000</v>
      </c>
      <c r="AP27" s="344">
        <v>805000</v>
      </c>
      <c r="AQ27" s="344">
        <v>925000</v>
      </c>
      <c r="AR27" s="344">
        <f>15.4%*AR24</f>
        <v>953876</v>
      </c>
      <c r="AS27" s="344">
        <v>953000</v>
      </c>
      <c r="AT27" s="199">
        <f>AS27</f>
        <v>953000</v>
      </c>
      <c r="AU27" s="344">
        <f>13.3%*AU24</f>
        <v>843220</v>
      </c>
      <c r="AV27" s="344">
        <f>839000</f>
        <v>839000</v>
      </c>
      <c r="AW27" s="344">
        <v>936000</v>
      </c>
      <c r="AX27" s="344">
        <v>970900</v>
      </c>
      <c r="AY27" s="199">
        <f>AX27</f>
        <v>970900</v>
      </c>
      <c r="AZ27" s="344">
        <v>1099000</v>
      </c>
      <c r="BA27" s="379">
        <v>1085000</v>
      </c>
      <c r="BB27" s="344">
        <v>1243000</v>
      </c>
      <c r="BC27" s="344">
        <v>1379000</v>
      </c>
      <c r="BD27" s="199">
        <f>BC27</f>
        <v>1379000</v>
      </c>
      <c r="BE27" s="344">
        <v>1557000</v>
      </c>
      <c r="BF27" s="344">
        <v>1791000</v>
      </c>
      <c r="BG27" s="344">
        <v>1743000</v>
      </c>
      <c r="BH27" s="344">
        <v>1627000</v>
      </c>
      <c r="BI27" s="199">
        <f>BH27</f>
        <v>1627000</v>
      </c>
      <c r="BJ27" s="344">
        <v>1957000</v>
      </c>
      <c r="BK27" s="344">
        <v>2108000</v>
      </c>
      <c r="BL27" s="344">
        <v>2142000</v>
      </c>
      <c r="BM27" s="344">
        <v>2402000</v>
      </c>
      <c r="BN27" s="199">
        <f>BM27</f>
        <v>2402000</v>
      </c>
      <c r="BO27" s="344">
        <v>2452672</v>
      </c>
      <c r="BP27" s="344">
        <v>2466081</v>
      </c>
      <c r="BQ27" s="344">
        <v>2656497</v>
      </c>
      <c r="BR27" s="344">
        <v>2587781</v>
      </c>
      <c r="BS27" s="199">
        <f>BR27</f>
        <v>2587781</v>
      </c>
      <c r="BT27" s="344">
        <v>2594973</v>
      </c>
      <c r="BU27" s="344">
        <v>3102293</v>
      </c>
      <c r="BV27" s="344">
        <v>2843000</v>
      </c>
      <c r="BW27" s="344">
        <v>2492564.5474793115</v>
      </c>
      <c r="BX27" s="199">
        <f>BW27</f>
        <v>2492564.5474793115</v>
      </c>
      <c r="BY27" s="344">
        <v>2121512.3664104459</v>
      </c>
      <c r="BZ27" s="344">
        <v>2028070.6035677886</v>
      </c>
      <c r="CA27" s="344">
        <v>1835323.6173175613</v>
      </c>
      <c r="CB27" s="344">
        <v>1789334.2031730176</v>
      </c>
      <c r="CC27" s="199">
        <f>CB27</f>
        <v>1789334.2031730176</v>
      </c>
      <c r="CD27" s="344">
        <v>1717155.5569811505</v>
      </c>
      <c r="CE27" s="344">
        <v>1607532.1334053944</v>
      </c>
      <c r="CF27" s="344">
        <v>1460984.0607962436</v>
      </c>
      <c r="CG27" s="344">
        <v>1529149.370494849</v>
      </c>
      <c r="CH27" s="199">
        <f>CG27</f>
        <v>1529149.370494849</v>
      </c>
      <c r="CI27" s="344">
        <v>1269276.6760369779</v>
      </c>
      <c r="CJ27" s="344">
        <v>1123000</v>
      </c>
      <c r="CK27" s="344">
        <v>973000</v>
      </c>
      <c r="CL27" s="344">
        <v>987000</v>
      </c>
      <c r="CM27" s="199">
        <f>CL27</f>
        <v>987000</v>
      </c>
      <c r="CN27" s="344">
        <v>1043000</v>
      </c>
      <c r="CO27" s="344">
        <v>1073000</v>
      </c>
      <c r="CP27" s="344">
        <v>1283000</v>
      </c>
      <c r="CQ27" s="344">
        <v>1199000</v>
      </c>
      <c r="CR27" s="199">
        <f>CQ27</f>
        <v>1199000</v>
      </c>
      <c r="CS27" s="344">
        <v>1248002.6253653283</v>
      </c>
      <c r="CT27" s="344">
        <v>1249309.9668212195</v>
      </c>
      <c r="CU27" s="344">
        <v>1382397.6436146004</v>
      </c>
      <c r="CV27" s="344">
        <v>1586484.2113070341</v>
      </c>
      <c r="CW27" s="199">
        <f>CV27</f>
        <v>1586484.2113070341</v>
      </c>
      <c r="CX27" s="344">
        <v>1417116.3985340376</v>
      </c>
      <c r="CY27" s="344">
        <v>1314272.39525509</v>
      </c>
      <c r="CZ27" s="344">
        <v>1315625.12940499</v>
      </c>
      <c r="DA27" s="344">
        <v>1514608.185062865</v>
      </c>
      <c r="DB27" s="199">
        <f>DA27</f>
        <v>1514608.185062865</v>
      </c>
      <c r="DC27" s="344">
        <v>1538572.8663351466</v>
      </c>
      <c r="DD27" s="344">
        <v>1966535.801077889</v>
      </c>
      <c r="DE27" s="344">
        <v>2068251.4111015236</v>
      </c>
      <c r="DF27" s="344">
        <v>2243282.764805967</v>
      </c>
      <c r="DG27" s="199">
        <f>DF27</f>
        <v>2243282.764805967</v>
      </c>
      <c r="DH27" s="344">
        <v>2066468.2099980167</v>
      </c>
      <c r="DI27" s="344">
        <v>2148331.1107648988</v>
      </c>
      <c r="DJ27" s="344">
        <f>DI27*90%+DJ52*10%</f>
        <v>2177782.987176565</v>
      </c>
      <c r="DK27" s="344">
        <f>DJ27*90%+DK52*10%</f>
        <v>2193479.1159686018</v>
      </c>
      <c r="DL27" s="199">
        <f>DK27</f>
        <v>2193479.1159686018</v>
      </c>
      <c r="DM27" s="344">
        <f>DL27*90%+DM52*10%</f>
        <v>2203437.0503768865</v>
      </c>
      <c r="DN27" s="344">
        <f>DM27*90%+DN52*10%</f>
        <v>2267947.6853150479</v>
      </c>
      <c r="DO27" s="344">
        <f>DN27*90%+DO52*10%</f>
        <v>2369975.7488914113</v>
      </c>
      <c r="DP27" s="344">
        <f>DO27*90%+DP52*10%</f>
        <v>2469450.7421427732</v>
      </c>
      <c r="DQ27" s="199">
        <f>DP27</f>
        <v>2469450.7421427732</v>
      </c>
      <c r="DR27" s="344">
        <f>DQ27*90%+DR52*10%</f>
        <v>2609071.1764418762</v>
      </c>
      <c r="DS27" s="344">
        <f>DR27*90%+DS52*10%</f>
        <v>2743050.7635060921</v>
      </c>
      <c r="DT27" s="344">
        <f>DS27*90%+DT52*10%</f>
        <v>2872737.4102413799</v>
      </c>
      <c r="DU27" s="344">
        <f>DT27*90%+DU52*10%</f>
        <v>3033268.6093636584</v>
      </c>
      <c r="DV27" s="199">
        <f>DU27</f>
        <v>3033268.6093636584</v>
      </c>
      <c r="DW27" s="344">
        <f>DV27*90%+DW52*10%</f>
        <v>3162966.6588452104</v>
      </c>
      <c r="DX27" s="344">
        <f>DW27*90%+DX52*10%</f>
        <v>3293486.6005960423</v>
      </c>
      <c r="DY27" s="344">
        <f>DX27*90%+DY52*10%</f>
        <v>3380464.423391446</v>
      </c>
      <c r="DZ27" s="344">
        <f>DY27*90%+DZ52*10%</f>
        <v>3451585.5600373866</v>
      </c>
      <c r="EA27" s="199">
        <f>DZ27</f>
        <v>3451585.5600373866</v>
      </c>
      <c r="EB27" s="344">
        <f>EA27*90%+EB52*10%</f>
        <v>3501784.4398228391</v>
      </c>
      <c r="EC27" s="344">
        <f>EB27*90%+EC52*10%</f>
        <v>3568214.8215773306</v>
      </c>
      <c r="ED27" s="344">
        <f>EC27*90%+ED52*10%</f>
        <v>3629298.3597757672</v>
      </c>
      <c r="EE27" s="344">
        <f>ED27*90%+EE52*10%</f>
        <v>3668612.8648134707</v>
      </c>
      <c r="EF27" s="199">
        <f>EE27</f>
        <v>3668612.8648134707</v>
      </c>
    </row>
    <row r="28" spans="1:141" ht="12.75" customHeight="1">
      <c r="A28" s="71" t="s">
        <v>726</v>
      </c>
      <c r="B28" s="107" t="e">
        <f>A24+B5</f>
        <v>#VALUE!</v>
      </c>
      <c r="C28" s="107">
        <f>B24+C5</f>
        <v>1776853.2156666669</v>
      </c>
      <c r="D28" s="107">
        <f>C24+D5</f>
        <v>1741444.5863333335</v>
      </c>
      <c r="E28" s="107">
        <f>D24+E5</f>
        <v>1825018.2610000002</v>
      </c>
      <c r="F28" s="89">
        <f>B24+SUM(B5:E5)</f>
        <v>2252782.4316666666</v>
      </c>
      <c r="G28" s="107">
        <f>F24+G5</f>
        <v>1819289.3810000001</v>
      </c>
      <c r="H28" s="107">
        <f>G24+H5</f>
        <v>1788441.4790000001</v>
      </c>
      <c r="I28" s="107">
        <f>H24+I5</f>
        <v>2053443.9789999998</v>
      </c>
      <c r="J28" s="107">
        <f>I24+J5</f>
        <v>1934929.054</v>
      </c>
      <c r="K28" s="89">
        <f>F24+SUM(G5:J5)</f>
        <v>2477254.7340000002</v>
      </c>
      <c r="L28" s="107">
        <f>K24+L5</f>
        <v>1718258.36</v>
      </c>
      <c r="M28" s="107">
        <f>L24+M5</f>
        <v>2158325.02</v>
      </c>
      <c r="N28" s="107">
        <f>M24+N5</f>
        <v>2142694</v>
      </c>
      <c r="O28" s="107">
        <f>N24+O5</f>
        <v>2694904</v>
      </c>
      <c r="P28" s="89">
        <f>K24+SUM(L5:O5)</f>
        <v>3581531</v>
      </c>
      <c r="Q28" s="107">
        <f>P24+Q5</f>
        <v>2374060</v>
      </c>
      <c r="R28" s="107">
        <f>Q24+R5</f>
        <v>2546092</v>
      </c>
      <c r="S28" s="107">
        <f>R24+S5</f>
        <v>2973737</v>
      </c>
      <c r="T28" s="107">
        <f>S24+T5</f>
        <v>4219415</v>
      </c>
      <c r="U28" s="89">
        <f>P24+SUM(Q5:T5)</f>
        <v>5693059</v>
      </c>
      <c r="V28" s="107">
        <f>U24+V5</f>
        <v>3400210</v>
      </c>
      <c r="W28" s="107">
        <f>V24+W5</f>
        <v>4094052</v>
      </c>
      <c r="X28" s="107">
        <f>W24+X5</f>
        <v>3670730</v>
      </c>
      <c r="Y28" s="107">
        <f>X24+Y5</f>
        <v>3562954</v>
      </c>
      <c r="Z28" s="89">
        <f>U24+SUM(V4:Y4)</f>
        <v>7703248</v>
      </c>
      <c r="AA28" s="107">
        <f>Z24+AA5</f>
        <v>3629757</v>
      </c>
      <c r="AB28" s="107">
        <f>AA24+AB5</f>
        <v>3755685</v>
      </c>
      <c r="AC28" s="107">
        <f>AB24+AC5</f>
        <v>4561149</v>
      </c>
      <c r="AD28" s="107">
        <f>AC24+AD5</f>
        <v>5470499</v>
      </c>
      <c r="AE28" s="89">
        <f>Z24+SUM(AA4:AD4)</f>
        <v>8915514</v>
      </c>
      <c r="AF28" s="107">
        <f>AE24+AF5</f>
        <v>4155996</v>
      </c>
      <c r="AG28" s="107">
        <f>AF24+AG5</f>
        <v>3999061</v>
      </c>
      <c r="AH28" s="107">
        <f>AG24+AH5</f>
        <v>3820614</v>
      </c>
      <c r="AI28" s="107">
        <f>AH24+AI5</f>
        <v>6748842</v>
      </c>
      <c r="AJ28" s="89">
        <f>AE24+SUM(AF4:AI4)</f>
        <v>11284308</v>
      </c>
      <c r="AK28" s="107">
        <f>AJ24+AK5</f>
        <v>6018900</v>
      </c>
      <c r="AL28" s="107">
        <f>AK24+AL5</f>
        <v>6574500</v>
      </c>
      <c r="AM28" s="107">
        <f>AL24+AM5</f>
        <v>6700000</v>
      </c>
      <c r="AN28" s="107">
        <f>AM24+AN5</f>
        <v>8364000</v>
      </c>
      <c r="AO28" s="89">
        <f>AJ24+SUM(AK4:AN4)</f>
        <v>13017000</v>
      </c>
      <c r="AP28" s="107">
        <f>AO24+AP5</f>
        <v>7199000</v>
      </c>
      <c r="AQ28" s="107">
        <f>AP24+AQ5</f>
        <v>7316300</v>
      </c>
      <c r="AR28" s="107">
        <f>AQ24+AR5</f>
        <v>7159700</v>
      </c>
      <c r="AS28" s="107">
        <f>AR24+AS5</f>
        <v>7568200</v>
      </c>
      <c r="AT28" s="89">
        <f>AO24+SUM(AP4:AS4)</f>
        <v>11549300</v>
      </c>
      <c r="AU28" s="107">
        <f>AT24+AU5</f>
        <v>7187200</v>
      </c>
      <c r="AV28" s="107">
        <f>AU24+AV5</f>
        <v>7590700</v>
      </c>
      <c r="AW28" s="107">
        <f>AV24+AW5</f>
        <v>7074800</v>
      </c>
      <c r="AX28" s="107">
        <f>AW24+AX4</f>
        <v>8459100</v>
      </c>
      <c r="AY28" s="89">
        <f>AT24+SUM(AU4:AX4)</f>
        <v>12108600</v>
      </c>
      <c r="AZ28" s="107">
        <f>AY24+AZ5</f>
        <v>8423600</v>
      </c>
      <c r="BA28" s="107">
        <f>AZ24+BA4</f>
        <v>8077200</v>
      </c>
      <c r="BB28" s="107">
        <f>BA24+BB4</f>
        <v>7803000</v>
      </c>
      <c r="BC28" s="107">
        <f>BB24+BC4</f>
        <v>9059000</v>
      </c>
      <c r="BD28" s="89">
        <f>AY24+SUM(AZ4:BC4)</f>
        <v>12446000</v>
      </c>
      <c r="BE28" s="107">
        <f t="shared" ref="BE28:CV28" si="41">BD24+BE4</f>
        <v>7794000</v>
      </c>
      <c r="BF28" s="107">
        <f t="shared" si="41"/>
        <v>7985000</v>
      </c>
      <c r="BG28" s="107">
        <f t="shared" si="41"/>
        <v>7860000</v>
      </c>
      <c r="BH28" s="107">
        <f t="shared" si="41"/>
        <v>7613000</v>
      </c>
      <c r="BI28" s="89">
        <f>BD24+SUM(BE4:BH4)</f>
        <v>10230000</v>
      </c>
      <c r="BJ28" s="107">
        <f t="shared" si="41"/>
        <v>7176000</v>
      </c>
      <c r="BK28" s="107">
        <f t="shared" si="41"/>
        <v>7078000</v>
      </c>
      <c r="BL28" s="107">
        <f t="shared" si="41"/>
        <v>7010000</v>
      </c>
      <c r="BM28" s="107">
        <f t="shared" si="41"/>
        <v>7686000</v>
      </c>
      <c r="BN28" s="89">
        <f>BI24+SUM(BJ4:BM4)</f>
        <v>9500000</v>
      </c>
      <c r="BO28" s="107">
        <f t="shared" si="41"/>
        <v>7149000</v>
      </c>
      <c r="BP28" s="107">
        <f t="shared" si="41"/>
        <v>7286000</v>
      </c>
      <c r="BQ28" s="107">
        <f t="shared" si="41"/>
        <v>6972864</v>
      </c>
      <c r="BR28" s="107">
        <f t="shared" si="41"/>
        <v>7481213</v>
      </c>
      <c r="BS28" s="89">
        <f>BN24+SUM(BO4:BR4)</f>
        <v>9590077</v>
      </c>
      <c r="BT28" s="107">
        <f t="shared" si="41"/>
        <v>6610247</v>
      </c>
      <c r="BU28" s="107">
        <f t="shared" si="41"/>
        <v>6894173</v>
      </c>
      <c r="BV28" s="107">
        <f t="shared" si="41"/>
        <v>6707294</v>
      </c>
      <c r="BW28" s="107">
        <f t="shared" si="41"/>
        <v>8279197.1986900298</v>
      </c>
      <c r="BX28" s="89">
        <f>BS24+SUM(BT4:BW4)</f>
        <v>11214813.198690031</v>
      </c>
      <c r="BY28" s="107">
        <f t="shared" si="41"/>
        <v>5064291.3506361265</v>
      </c>
      <c r="BZ28" s="107">
        <f t="shared" si="41"/>
        <v>5676517.3432243848</v>
      </c>
      <c r="CA28" s="107">
        <f t="shared" si="41"/>
        <v>5433883.3626890816</v>
      </c>
      <c r="CB28" s="107">
        <f t="shared" si="41"/>
        <v>5687078.639186033</v>
      </c>
      <c r="CC28" s="89">
        <f>BX24+SUM(BY4:CB4)</f>
        <v>8978692.4174646549</v>
      </c>
      <c r="CD28" s="107">
        <f t="shared" si="41"/>
        <v>5404610.2358661583</v>
      </c>
      <c r="CE28" s="107">
        <f t="shared" si="41"/>
        <v>4733938.9959129309</v>
      </c>
      <c r="CF28" s="107">
        <f t="shared" si="41"/>
        <v>5899604.7479198836</v>
      </c>
      <c r="CG28" s="107">
        <f t="shared" si="41"/>
        <v>7174546.5866230074</v>
      </c>
      <c r="CH28" s="89">
        <f>CC24+SUM(CD4:CG4)</f>
        <v>10183306.14810184</v>
      </c>
      <c r="CI28" s="107">
        <f t="shared" si="41"/>
        <v>5895713.4545098105</v>
      </c>
      <c r="CJ28" s="107">
        <f t="shared" si="41"/>
        <v>6823900.1242842516</v>
      </c>
      <c r="CK28" s="107">
        <f t="shared" si="41"/>
        <v>7681698.7583918041</v>
      </c>
      <c r="CL28" s="107">
        <f t="shared" si="41"/>
        <v>9035858.9026813544</v>
      </c>
      <c r="CM28" s="89">
        <f>CH24+SUM(CI4:CL4)</f>
        <v>12579346.956649516</v>
      </c>
      <c r="CN28" s="107">
        <f t="shared" si="41"/>
        <v>8510664.588526994</v>
      </c>
      <c r="CO28" s="107">
        <f t="shared" si="41"/>
        <v>9541305.5201217961</v>
      </c>
      <c r="CP28" s="107">
        <f t="shared" si="41"/>
        <v>11068761.334560238</v>
      </c>
      <c r="CQ28" s="107">
        <f t="shared" si="41"/>
        <v>11732365.055865493</v>
      </c>
      <c r="CR28" s="89">
        <f>CM24+SUM(CN4:CQ4)</f>
        <v>16586096.499074519</v>
      </c>
      <c r="CS28" s="107">
        <f t="shared" si="41"/>
        <v>10413738.706308378</v>
      </c>
      <c r="CT28" s="107">
        <f t="shared" si="41"/>
        <v>12208107.483657936</v>
      </c>
      <c r="CU28" s="107">
        <f t="shared" si="41"/>
        <v>11931434.425726391</v>
      </c>
      <c r="CV28" s="107">
        <f t="shared" si="41"/>
        <v>12504670.308111843</v>
      </c>
      <c r="CW28" s="89">
        <f>CR24+SUM(CS4:CV4)</f>
        <v>18836420.669563811</v>
      </c>
      <c r="CX28" s="107">
        <f t="shared" ref="CX28" si="42">CW24+CX4</f>
        <v>11633954.964746799</v>
      </c>
      <c r="CY28" s="107">
        <f t="shared" ref="CY28:DA28" si="43">CX24+CY4</f>
        <v>10939083.032653986</v>
      </c>
      <c r="CZ28" s="107">
        <f t="shared" si="43"/>
        <v>11792402.813248394</v>
      </c>
      <c r="DA28" s="107">
        <f t="shared" si="43"/>
        <v>15429928.913904306</v>
      </c>
      <c r="DB28" s="89">
        <f>CW24+SUM(CX4:DA4)</f>
        <v>22954935.074309863</v>
      </c>
      <c r="DC28" s="107">
        <f t="shared" ref="DC28:DI28" si="44">DB24+DC4</f>
        <v>15416656.711196661</v>
      </c>
      <c r="DD28" s="107">
        <f t="shared" si="44"/>
        <v>16534549.728002515</v>
      </c>
      <c r="DE28" s="107">
        <f t="shared" si="44"/>
        <v>18432836.309050124</v>
      </c>
      <c r="DF28" s="107">
        <f t="shared" si="44"/>
        <v>19574622.224217564</v>
      </c>
      <c r="DG28" s="89">
        <f>DB24+SUM(DC4:DF4)</f>
        <v>29124448.482494872</v>
      </c>
      <c r="DH28" s="107">
        <f t="shared" si="44"/>
        <v>18683374.459270131</v>
      </c>
      <c r="DI28" s="107">
        <f t="shared" si="44"/>
        <v>20382683.408939764</v>
      </c>
      <c r="DJ28" s="107">
        <f>DI24+DJ4</f>
        <v>21528079.126277473</v>
      </c>
      <c r="DK28" s="107">
        <f>DJ24+DK4</f>
        <v>23156069.394015457</v>
      </c>
      <c r="DL28" s="89">
        <f>DG24+SUM(DH4:DK4)</f>
        <v>33430345.332789637</v>
      </c>
      <c r="DM28" s="107">
        <f>DL24+DM4</f>
        <v>21181549.148171756</v>
      </c>
      <c r="DN28" s="107">
        <f>DM24+DN4</f>
        <v>21418741.578701489</v>
      </c>
      <c r="DO28" s="107">
        <f>DN24+DO4</f>
        <v>22224819.175757151</v>
      </c>
      <c r="DP28" s="107">
        <f>DO24+DP4</f>
        <v>23895922.609048735</v>
      </c>
      <c r="DQ28" s="89">
        <f>DL24+SUM(DM4:DP4)</f>
        <v>34911928.350011349</v>
      </c>
      <c r="DR28" s="107">
        <f>DQ24+DR4</f>
        <v>21827870.762671221</v>
      </c>
      <c r="DS28" s="107">
        <f>DR24+DS4</f>
        <v>22218717.065052643</v>
      </c>
      <c r="DT28" s="107">
        <f>DS24+DT4</f>
        <v>23185846.51702559</v>
      </c>
      <c r="DU28" s="107">
        <f>DT24+DU4</f>
        <v>25025173.155874606</v>
      </c>
      <c r="DV28" s="89">
        <f>DQ24+SUM(DR4:DU4)</f>
        <v>36176117.0285936</v>
      </c>
      <c r="DW28" s="107">
        <f>DV24+DW4</f>
        <v>22928882.283060037</v>
      </c>
      <c r="DX28" s="107">
        <f>DW24+DX4</f>
        <v>23388066.538029309</v>
      </c>
      <c r="DY28" s="107">
        <f>DX24+DY4</f>
        <v>24427812.778720446</v>
      </c>
      <c r="DZ28" s="107">
        <f>DY24+DZ4</f>
        <v>26366078.590810172</v>
      </c>
      <c r="EA28" s="89">
        <f>DV24+SUM(DW4:DZ4)</f>
        <v>37922799.630948916</v>
      </c>
      <c r="EB28" s="107">
        <f>EA24+EB4</f>
        <v>24176251.196889076</v>
      </c>
      <c r="EC28" s="107">
        <f>EB24+EC4</f>
        <v>24647715.627434824</v>
      </c>
      <c r="ED28" s="107">
        <f>EC24+ED4</f>
        <v>25716156.301926658</v>
      </c>
      <c r="EE28" s="107">
        <f>ED24+EE4</f>
        <v>27721083.243855655</v>
      </c>
      <c r="EF28" s="89">
        <f>EA24+SUM(EB4:EE4)</f>
        <v>39844894.825432956</v>
      </c>
    </row>
    <row r="29" spans="1:141" ht="12.75" customHeight="1">
      <c r="A29" s="71" t="s">
        <v>887</v>
      </c>
      <c r="B29" s="107"/>
      <c r="C29" s="107"/>
      <c r="D29" s="107"/>
      <c r="E29" s="107"/>
      <c r="F29" s="89"/>
      <c r="G29" s="107"/>
      <c r="H29" s="107"/>
      <c r="I29" s="107"/>
      <c r="J29" s="107"/>
      <c r="K29" s="89"/>
      <c r="L29" s="107"/>
      <c r="M29" s="107"/>
      <c r="N29" s="107"/>
      <c r="O29" s="107"/>
      <c r="P29" s="89"/>
      <c r="Q29" s="107"/>
      <c r="R29" s="107"/>
      <c r="S29" s="107"/>
      <c r="T29" s="107"/>
      <c r="U29" s="89"/>
      <c r="V29" s="107"/>
      <c r="W29" s="107"/>
      <c r="X29" s="107"/>
      <c r="Y29" s="107"/>
      <c r="Z29" s="111">
        <f>(Z17+Z15)/Z28</f>
        <v>0</v>
      </c>
      <c r="AA29" s="122">
        <f>(AA17+AA15)/AA28</f>
        <v>0</v>
      </c>
      <c r="AB29" s="122">
        <f>(AB17+AB15)/AB28</f>
        <v>0</v>
      </c>
      <c r="AC29" s="122">
        <f>(AC17+AC15)/AC28</f>
        <v>0</v>
      </c>
      <c r="AD29" s="122">
        <f>(AD17+AD15)/AD28</f>
        <v>0</v>
      </c>
      <c r="AE29" s="111">
        <f t="shared" ref="AE29:BJ29" si="45">(AE17+AE15)/(AE28+AE19)</f>
        <v>0</v>
      </c>
      <c r="AF29" s="122">
        <f t="shared" si="45"/>
        <v>0</v>
      </c>
      <c r="AG29" s="122">
        <f t="shared" si="45"/>
        <v>0</v>
      </c>
      <c r="AH29" s="122">
        <f t="shared" si="45"/>
        <v>0</v>
      </c>
      <c r="AI29" s="122">
        <f t="shared" si="45"/>
        <v>0</v>
      </c>
      <c r="AJ29" s="111">
        <f t="shared" si="45"/>
        <v>0</v>
      </c>
      <c r="AK29" s="122">
        <f t="shared" si="45"/>
        <v>0.1577466288386663</v>
      </c>
      <c r="AL29" s="122">
        <f t="shared" si="45"/>
        <v>0.16576496321875792</v>
      </c>
      <c r="AM29" s="122">
        <f t="shared" si="45"/>
        <v>0.1683137881445525</v>
      </c>
      <c r="AN29" s="122">
        <f t="shared" si="45"/>
        <v>0.18447090589279688</v>
      </c>
      <c r="AO29" s="111">
        <f t="shared" si="45"/>
        <v>0.34824959685816076</v>
      </c>
      <c r="AP29" s="122">
        <f t="shared" si="45"/>
        <v>0.19799260728659732</v>
      </c>
      <c r="AQ29" s="122">
        <f t="shared" si="45"/>
        <v>0.20762244658307027</v>
      </c>
      <c r="AR29" s="122">
        <f t="shared" si="45"/>
        <v>0.27098529964155332</v>
      </c>
      <c r="AS29" s="122">
        <f t="shared" si="45"/>
        <v>0.17917680313620488</v>
      </c>
      <c r="AT29" s="111">
        <f t="shared" si="45"/>
        <v>0.5139909117136201</v>
      </c>
      <c r="AU29" s="122">
        <f t="shared" si="45"/>
        <v>0.18737943077774891</v>
      </c>
      <c r="AV29" s="122">
        <f t="shared" si="45"/>
        <v>0.24509901012846561</v>
      </c>
      <c r="AW29" s="122">
        <f t="shared" si="45"/>
        <v>0.21728276046144149</v>
      </c>
      <c r="AX29" s="122">
        <f t="shared" si="45"/>
        <v>0.23407334997280799</v>
      </c>
      <c r="AY29" s="111">
        <f t="shared" si="45"/>
        <v>0.53183409090258871</v>
      </c>
      <c r="AZ29" s="122">
        <f t="shared" si="45"/>
        <v>0.21395967109769812</v>
      </c>
      <c r="BA29" s="122">
        <f t="shared" si="45"/>
        <v>0.1880386361020768</v>
      </c>
      <c r="BB29" s="122">
        <f t="shared" si="45"/>
        <v>0.16080559109831166</v>
      </c>
      <c r="BC29" s="122">
        <f t="shared" si="45"/>
        <v>0.22198921617617789</v>
      </c>
      <c r="BD29" s="111">
        <f t="shared" si="45"/>
        <v>0.49872195009101228</v>
      </c>
      <c r="BE29" s="122">
        <f t="shared" si="45"/>
        <v>0.14307234591536339</v>
      </c>
      <c r="BF29" s="122">
        <f t="shared" si="45"/>
        <v>0.16265366426878616</v>
      </c>
      <c r="BG29" s="122">
        <f t="shared" si="45"/>
        <v>0.18229179473088788</v>
      </c>
      <c r="BH29" s="122">
        <f t="shared" si="45"/>
        <v>0.16558264296496086</v>
      </c>
      <c r="BI29" s="111">
        <f t="shared" si="45"/>
        <v>0.44316930153479789</v>
      </c>
      <c r="BJ29" s="122">
        <f t="shared" si="45"/>
        <v>0.13526289699742602</v>
      </c>
      <c r="BK29" s="122">
        <f t="shared" ref="BK29:CG29" si="46">(BK17+BK15)/(BK28+BK19)</f>
        <v>0.16846373544997975</v>
      </c>
      <c r="BL29" s="122">
        <f t="shared" si="46"/>
        <v>0.15454823796406983</v>
      </c>
      <c r="BM29" s="122">
        <f t="shared" si="46"/>
        <v>0.19128643159888531</v>
      </c>
      <c r="BN29" s="111">
        <f t="shared" si="46"/>
        <v>0.43070516114121399</v>
      </c>
      <c r="BO29" s="122">
        <f t="shared" si="46"/>
        <v>0.13515981735159818</v>
      </c>
      <c r="BP29" s="122">
        <f t="shared" si="46"/>
        <v>0.16453428863868988</v>
      </c>
      <c r="BQ29" s="122">
        <f t="shared" si="46"/>
        <v>0.16151651440316395</v>
      </c>
      <c r="BR29" s="122">
        <f t="shared" si="46"/>
        <v>0.19890000441202216</v>
      </c>
      <c r="BS29" s="111">
        <f t="shared" si="46"/>
        <v>0.44473660369071355</v>
      </c>
      <c r="BT29" s="122">
        <f t="shared" si="46"/>
        <v>0.13339003651170253</v>
      </c>
      <c r="BU29" s="122">
        <f t="shared" si="46"/>
        <v>0.19643215556372606</v>
      </c>
      <c r="BV29" s="122">
        <f t="shared" si="46"/>
        <v>0.1778558993532435</v>
      </c>
      <c r="BW29" s="122">
        <f t="shared" si="46"/>
        <v>0.31027737559536628</v>
      </c>
      <c r="BX29" s="111">
        <f t="shared" si="46"/>
        <v>0.50260867496501893</v>
      </c>
      <c r="BY29" s="122">
        <f t="shared" si="46"/>
        <v>0.18297367804087755</v>
      </c>
      <c r="BZ29" s="122">
        <f t="shared" si="46"/>
        <v>0.25895845480640084</v>
      </c>
      <c r="CA29" s="122">
        <f t="shared" si="46"/>
        <v>0.23489416538072541</v>
      </c>
      <c r="CB29" s="122">
        <f t="shared" si="46"/>
        <v>0.26528097199540357</v>
      </c>
      <c r="CC29" s="111">
        <f t="shared" si="46"/>
        <v>0.54997771241393356</v>
      </c>
      <c r="CD29" s="122">
        <f t="shared" si="46"/>
        <v>0.18448316428740713</v>
      </c>
      <c r="CE29" s="122">
        <f t="shared" si="46"/>
        <v>0.14628655470821389</v>
      </c>
      <c r="CF29" s="122">
        <f t="shared" si="46"/>
        <v>0.32534724496272449</v>
      </c>
      <c r="CG29" s="122">
        <f t="shared" si="46"/>
        <v>0.27592913851015693</v>
      </c>
      <c r="CH29" s="111">
        <f t="shared" ref="CH29:DG29" si="47">(CH17+CH15)/(CH28+CH19)</f>
        <v>0.52472206831255608</v>
      </c>
      <c r="CI29" s="122">
        <f>(CI17+CI15)/(CI28+CI19)</f>
        <v>0.19249884712582743</v>
      </c>
      <c r="CJ29" s="122">
        <f>(CJ17+CJ15)/(CJ28+CJ19)</f>
        <v>0.24513935654755373</v>
      </c>
      <c r="CK29" s="122">
        <f>(CK17+CK15)/(CK28+CK19)</f>
        <v>0.19517621785278746</v>
      </c>
      <c r="CL29" s="122">
        <f>(CL17+CL15)/(CL28+CL19)</f>
        <v>0.18971177037421771</v>
      </c>
      <c r="CM29" s="111">
        <f t="shared" si="47"/>
        <v>0.46587731348577727</v>
      </c>
      <c r="CN29" s="122">
        <f>(CN17+CN15)/(CN28+CN19)</f>
        <v>0.17414824375855309</v>
      </c>
      <c r="CO29" s="122">
        <f>(CO17+CO15)/(CO28+CO19)</f>
        <v>0.18901585533691506</v>
      </c>
      <c r="CP29" s="122">
        <f>(CP17+CP15)/(CP28+CP19)</f>
        <v>0.2220208086076374</v>
      </c>
      <c r="CQ29" s="122">
        <f>(CQ17+CQ15)/(CQ28+CQ19)</f>
        <v>0.24052018884863166</v>
      </c>
      <c r="CR29" s="111">
        <f t="shared" si="47"/>
        <v>0.50168216742753124</v>
      </c>
      <c r="CS29" s="122">
        <f>(CS17+CS15)/(CS28+CS19)</f>
        <v>0.17274631793238857</v>
      </c>
      <c r="CT29" s="122">
        <f>(CT17+CT15)/(CT28+CT19)</f>
        <v>0.22355873036861912</v>
      </c>
      <c r="CU29" s="122">
        <f>(CU17+CU15)/(CU28+CU19)</f>
        <v>0.20711435648657681</v>
      </c>
      <c r="CV29" s="122">
        <f>(CV17+CV15)/(CV28+CV19)</f>
        <v>0.22730754934997782</v>
      </c>
      <c r="CW29" s="111">
        <f t="shared" si="47"/>
        <v>0.5036582935635372</v>
      </c>
      <c r="CX29" s="122">
        <f>(CX17+CX15)/(CX28+CX19)</f>
        <v>0.20752433539819504</v>
      </c>
      <c r="CY29" s="122">
        <f>(CY17+CY15)/(CY28+CY19)</f>
        <v>0.23849077914686262</v>
      </c>
      <c r="CZ29" s="122">
        <f>(CZ17+CZ15)/(CZ28+CZ19)</f>
        <v>0.29046753193760644</v>
      </c>
      <c r="DA29" s="122">
        <f>(DA17+DA15)/(DA28+DA19)</f>
        <v>0.33154474924717792</v>
      </c>
      <c r="DB29" s="111">
        <f t="shared" si="47"/>
        <v>0.57373988454896119</v>
      </c>
      <c r="DC29" s="122">
        <f>(DC17+DC15)/(DC28+DC19)</f>
        <v>0.21402734600975559</v>
      </c>
      <c r="DD29" s="122">
        <f>(DD17+DD15)/(DD28+DD19)</f>
        <v>0.21845204240864471</v>
      </c>
      <c r="DE29" s="122">
        <f>(DE17+DE15)/(DE28+DE19)</f>
        <v>0.21449200563333823</v>
      </c>
      <c r="DF29" s="122">
        <f>(DF17+DF15)/(DF28+DF19)</f>
        <v>0.18325272422945854</v>
      </c>
      <c r="DG29" s="111">
        <f t="shared" si="47"/>
        <v>0.48093548441005712</v>
      </c>
      <c r="DH29" s="122">
        <f>(DH17+DH15)/(DH28+DH19)</f>
        <v>0.17269631594471702</v>
      </c>
      <c r="DI29" s="122">
        <f>(DI17+DI15)/(DI28+DI19)</f>
        <v>0.18813121211339653</v>
      </c>
      <c r="DJ29" s="122">
        <f t="shared" ref="DJ29:DV29" si="48">(DJ17+DJ15)/(DJ28+DJ19)</f>
        <v>0.19787980841642872</v>
      </c>
      <c r="DK29" s="122">
        <f t="shared" si="48"/>
        <v>0.21058757332594161</v>
      </c>
      <c r="DL29" s="111">
        <f t="shared" si="48"/>
        <v>0.46840762302622596</v>
      </c>
      <c r="DM29" s="122">
        <f t="shared" si="48"/>
        <v>0.1757907399954429</v>
      </c>
      <c r="DN29" s="122">
        <f t="shared" si="48"/>
        <v>0.19263124688296474</v>
      </c>
      <c r="DO29" s="122">
        <f t="shared" si="48"/>
        <v>0.19855212122250598</v>
      </c>
      <c r="DP29" s="122">
        <f t="shared" si="48"/>
        <v>0.21135255669544945</v>
      </c>
      <c r="DQ29" s="111">
        <f t="shared" si="48"/>
        <v>0.4787755179322693</v>
      </c>
      <c r="DR29" s="122">
        <f t="shared" si="48"/>
        <v>0.17527113912687448</v>
      </c>
      <c r="DS29" s="122">
        <f t="shared" si="48"/>
        <v>0.19197633807094014</v>
      </c>
      <c r="DT29" s="122">
        <f t="shared" si="48"/>
        <v>0.1978793396474606</v>
      </c>
      <c r="DU29" s="122">
        <f t="shared" si="48"/>
        <v>0.21067373271586362</v>
      </c>
      <c r="DV29" s="111">
        <f t="shared" si="48"/>
        <v>0.47631310671964694</v>
      </c>
      <c r="DW29" s="122">
        <f t="shared" ref="DW29:EF29" si="49">(DW17+DW15)/(DW28+DW19)</f>
        <v>0.17467717504642821</v>
      </c>
      <c r="DX29" s="122">
        <f t="shared" si="49"/>
        <v>0.19136046287851152</v>
      </c>
      <c r="DY29" s="122">
        <f t="shared" si="49"/>
        <v>0.1972664223081291</v>
      </c>
      <c r="DZ29" s="122">
        <f t="shared" si="49"/>
        <v>0.21012405454750957</v>
      </c>
      <c r="EA29" s="111">
        <f t="shared" si="49"/>
        <v>0.47534003214274051</v>
      </c>
      <c r="EB29" s="122">
        <f t="shared" si="49"/>
        <v>0.17436747070615899</v>
      </c>
      <c r="EC29" s="122">
        <f t="shared" si="49"/>
        <v>0.19105730241129101</v>
      </c>
      <c r="ED29" s="122">
        <f t="shared" si="49"/>
        <v>0.19698548419988499</v>
      </c>
      <c r="EE29" s="122">
        <f t="shared" si="49"/>
        <v>0.20986330704942352</v>
      </c>
      <c r="EF29" s="111">
        <f t="shared" si="49"/>
        <v>0.47530128977799896</v>
      </c>
    </row>
    <row r="30" spans="1:141" s="157" customFormat="1" ht="12.75" customHeight="1">
      <c r="A30" s="157" t="s">
        <v>888</v>
      </c>
      <c r="B30" s="158" t="e">
        <f>B10/B28</f>
        <v>#VALUE!</v>
      </c>
      <c r="C30" s="158">
        <f>C10/C28</f>
        <v>8.6890088597108214E-2</v>
      </c>
      <c r="D30" s="158">
        <f>D10/D28</f>
        <v>8.8656816613618641E-2</v>
      </c>
      <c r="E30" s="158">
        <f>E10/E28</f>
        <v>0.10000382127683273</v>
      </c>
      <c r="F30" s="171">
        <f>F10/F28</f>
        <v>0.28661516128848186</v>
      </c>
      <c r="G30" s="158">
        <f t="shared" ref="G30:U30" si="50">G10/G28</f>
        <v>8.0188507404914053E-2</v>
      </c>
      <c r="H30" s="158">
        <f t="shared" si="50"/>
        <v>8.6455644098824891E-2</v>
      </c>
      <c r="I30" s="158">
        <f t="shared" si="50"/>
        <v>0.11776251140669663</v>
      </c>
      <c r="J30" s="158">
        <f t="shared" si="50"/>
        <v>0.14356549839682131</v>
      </c>
      <c r="K30" s="171">
        <f t="shared" si="50"/>
        <v>0.33105789353998666</v>
      </c>
      <c r="L30" s="158">
        <f t="shared" si="50"/>
        <v>9.5047394386022346E-2</v>
      </c>
      <c r="M30" s="158">
        <f t="shared" si="50"/>
        <v>0.20004958289368299</v>
      </c>
      <c r="N30" s="158">
        <f t="shared" si="50"/>
        <v>0.13606189217872455</v>
      </c>
      <c r="O30" s="158">
        <f t="shared" si="50"/>
        <v>0.17227775089576475</v>
      </c>
      <c r="P30" s="170">
        <f t="shared" si="50"/>
        <v>0.37718478494252877</v>
      </c>
      <c r="Q30" s="158">
        <f t="shared" si="50"/>
        <v>0.11630413721641407</v>
      </c>
      <c r="R30" s="158">
        <f t="shared" si="50"/>
        <v>0.19407507662723891</v>
      </c>
      <c r="S30" s="158">
        <f t="shared" si="50"/>
        <v>0.23653672130386783</v>
      </c>
      <c r="T30" s="158">
        <f t="shared" si="50"/>
        <v>0.31843371652231411</v>
      </c>
      <c r="U30" s="170">
        <f t="shared" si="50"/>
        <v>0.49485663155783211</v>
      </c>
      <c r="V30" s="172">
        <f t="shared" ref="V30:AS30" si="51">V9/V28</f>
        <v>0.30939618435331934</v>
      </c>
      <c r="W30" s="172">
        <f t="shared" si="51"/>
        <v>0.47407873666480055</v>
      </c>
      <c r="X30" s="172">
        <f t="shared" si="51"/>
        <v>0.28673942240371808</v>
      </c>
      <c r="Y30" s="172">
        <f t="shared" si="51"/>
        <v>0.15887575309700883</v>
      </c>
      <c r="Z30" s="170">
        <f t="shared" si="51"/>
        <v>0.5986468305317445</v>
      </c>
      <c r="AA30" s="172">
        <f t="shared" si="51"/>
        <v>0.13824396509187806</v>
      </c>
      <c r="AB30" s="172">
        <f t="shared" si="51"/>
        <v>0.2236156653180445</v>
      </c>
      <c r="AC30" s="172">
        <f t="shared" si="51"/>
        <v>0.35756713933265499</v>
      </c>
      <c r="AD30" s="172">
        <f t="shared" si="51"/>
        <v>0.41468776431546739</v>
      </c>
      <c r="AE30" s="170">
        <f t="shared" si="51"/>
        <v>0.58786156356212327</v>
      </c>
      <c r="AF30" s="172">
        <f t="shared" si="51"/>
        <v>0.25643720542560677</v>
      </c>
      <c r="AG30" s="172">
        <f t="shared" si="51"/>
        <v>0.38506589421866783</v>
      </c>
      <c r="AH30" s="172">
        <f t="shared" si="51"/>
        <v>0.26837806698085698</v>
      </c>
      <c r="AI30" s="172">
        <f t="shared" si="51"/>
        <v>0.37656608348513715</v>
      </c>
      <c r="AJ30" s="170">
        <f t="shared" si="51"/>
        <v>0.54699038700467939</v>
      </c>
      <c r="AK30" s="172">
        <f t="shared" si="51"/>
        <v>0.16597717190848826</v>
      </c>
      <c r="AL30" s="172">
        <f t="shared" si="51"/>
        <v>0.25370750627424138</v>
      </c>
      <c r="AM30" s="172">
        <f t="shared" si="51"/>
        <v>0.2162686567164179</v>
      </c>
      <c r="AN30" s="172">
        <f t="shared" si="51"/>
        <v>0.28479196556671449</v>
      </c>
      <c r="AO30" s="170">
        <f t="shared" si="51"/>
        <v>0.49919336252592761</v>
      </c>
      <c r="AP30" s="172">
        <f t="shared" si="51"/>
        <v>0.16946798166412003</v>
      </c>
      <c r="AQ30" s="172">
        <f t="shared" si="51"/>
        <v>0.17961264573623278</v>
      </c>
      <c r="AR30" s="172">
        <f t="shared" si="51"/>
        <v>0.24519183764682878</v>
      </c>
      <c r="AS30" s="172">
        <f t="shared" si="51"/>
        <v>0.1524008350730689</v>
      </c>
      <c r="AT30" s="170">
        <f t="shared" ref="AT30:AY30" si="52">AT9/AT28</f>
        <v>0.47128397392049737</v>
      </c>
      <c r="AU30" s="172">
        <f t="shared" si="52"/>
        <v>0.16078584149599287</v>
      </c>
      <c r="AV30" s="172">
        <f t="shared" si="52"/>
        <v>0.22257499308364181</v>
      </c>
      <c r="AW30" s="172">
        <f t="shared" si="52"/>
        <v>0.19231639056934471</v>
      </c>
      <c r="AX30" s="172">
        <f t="shared" si="52"/>
        <v>0.21346242508068233</v>
      </c>
      <c r="AY30" s="170">
        <f t="shared" si="52"/>
        <v>0.49645706357464942</v>
      </c>
      <c r="AZ30" s="172">
        <f>AZ9/AZ28</f>
        <v>0.18373379552685312</v>
      </c>
      <c r="BA30" s="172">
        <f t="shared" ref="BA30:BF30" si="53">BA9/BA28</f>
        <v>0.15569751894220771</v>
      </c>
      <c r="BB30" s="172">
        <f t="shared" si="53"/>
        <v>0.12713059079841088</v>
      </c>
      <c r="BC30" s="172">
        <f t="shared" si="53"/>
        <v>0.196600066232476</v>
      </c>
      <c r="BD30" s="170">
        <f t="shared" si="53"/>
        <v>0.4482002249718785</v>
      </c>
      <c r="BE30" s="172">
        <f t="shared" si="53"/>
        <v>9.2715807031049521E-2</v>
      </c>
      <c r="BF30" s="172">
        <f t="shared" si="53"/>
        <v>0.10189818409517847</v>
      </c>
      <c r="BG30" s="172">
        <f t="shared" ref="BG30:BL30" si="54">BG9/BG28</f>
        <v>0.12840648854961831</v>
      </c>
      <c r="BH30" s="172">
        <f t="shared" si="54"/>
        <v>0.11086654406935505</v>
      </c>
      <c r="BI30" s="170">
        <f t="shared" si="54"/>
        <v>0.33133782991202348</v>
      </c>
      <c r="BJ30" s="172">
        <f t="shared" si="54"/>
        <v>7.574763099219621E-2</v>
      </c>
      <c r="BK30" s="172">
        <f t="shared" si="54"/>
        <v>7.8889375529810679E-2</v>
      </c>
      <c r="BL30" s="172">
        <f t="shared" si="54"/>
        <v>8.179029957203994E-2</v>
      </c>
      <c r="BM30" s="172">
        <f t="shared" ref="BM30:CC30" si="55">BM9/BM28</f>
        <v>0.14185115794951861</v>
      </c>
      <c r="BN30" s="170">
        <f t="shared" si="55"/>
        <v>0.29111178947368421</v>
      </c>
      <c r="BO30" s="172">
        <f t="shared" si="55"/>
        <v>7.2737445796614911E-2</v>
      </c>
      <c r="BP30" s="172">
        <f>BP9/BP28</f>
        <v>0.10376063683777106</v>
      </c>
      <c r="BQ30" s="172">
        <f>BQ9/BQ28</f>
        <v>0.10463849574579398</v>
      </c>
      <c r="BR30" s="172">
        <f>BR9/BR28</f>
        <v>0.16752510588857716</v>
      </c>
      <c r="BS30" s="170">
        <f t="shared" si="55"/>
        <v>0.33982219329417274</v>
      </c>
      <c r="BT30" s="172">
        <f>BT9/BT28</f>
        <v>9.2748727846327067E-2</v>
      </c>
      <c r="BU30" s="172">
        <f>BU9/BU28</f>
        <v>0.15388865350492364</v>
      </c>
      <c r="BV30" s="172">
        <f>BV9/BV28</f>
        <v>0.14059321091337282</v>
      </c>
      <c r="BW30" s="172">
        <f>BW9/BW28</f>
        <v>0.29461548830409756</v>
      </c>
      <c r="BX30" s="170">
        <f t="shared" si="55"/>
        <v>0.45085073071467474</v>
      </c>
      <c r="BY30" s="172">
        <f t="shared" si="55"/>
        <v>0.15264348218652149</v>
      </c>
      <c r="BZ30" s="172">
        <f t="shared" si="55"/>
        <v>0.22997744178627094</v>
      </c>
      <c r="CA30" s="172">
        <f t="shared" si="55"/>
        <v>0.20673361118581005</v>
      </c>
      <c r="CB30" s="172">
        <f>CB9/CB28</f>
        <v>0.24396446710562603</v>
      </c>
      <c r="CC30" s="170">
        <f t="shared" si="55"/>
        <v>0.51113382995719558</v>
      </c>
      <c r="CD30" s="172">
        <f>CD9/CD28</f>
        <v>0.15656799408593361</v>
      </c>
      <c r="CE30" s="172">
        <f>CE9/CE28</f>
        <v>0.10823504261393342</v>
      </c>
      <c r="CF30" s="172">
        <f>CF9/CF28</f>
        <v>0.2901257246354948</v>
      </c>
      <c r="CG30" s="172">
        <f>CG9/CG28</f>
        <v>0.2592769792826205</v>
      </c>
      <c r="CH30" s="170">
        <f t="shared" ref="CH30:DG30" si="56">CH9/CH28</f>
        <v>0.48416387270990546</v>
      </c>
      <c r="CI30" s="172">
        <f t="shared" si="56"/>
        <v>0.17485786961009758</v>
      </c>
      <c r="CJ30" s="172">
        <f t="shared" si="56"/>
        <v>0.2286016487645024</v>
      </c>
      <c r="CK30" s="172">
        <f>CK9/CK28</f>
        <v>0.17777365698451425</v>
      </c>
      <c r="CL30" s="172">
        <f>CL9/CL28</f>
        <v>0.17425184649846623</v>
      </c>
      <c r="CM30" s="170">
        <f t="shared" si="56"/>
        <v>0.43968780824537801</v>
      </c>
      <c r="CN30" s="172">
        <f>CN9/CN28</f>
        <v>0.15421678611884454</v>
      </c>
      <c r="CO30" s="172">
        <f>CO9/CO28</f>
        <v>0.17000198424993027</v>
      </c>
      <c r="CP30" s="172">
        <f>CP9/CP28</f>
        <v>0.20650165517507688</v>
      </c>
      <c r="CQ30" s="172">
        <f>CQ9/CQ28</f>
        <v>0.22936009292432044</v>
      </c>
      <c r="CR30" s="170">
        <f t="shared" si="56"/>
        <v>0.47697673093455017</v>
      </c>
      <c r="CS30" s="172">
        <f t="shared" si="56"/>
        <v>0.14831863010000182</v>
      </c>
      <c r="CT30" s="172">
        <f t="shared" si="56"/>
        <v>0.20406385368450061</v>
      </c>
      <c r="CU30" s="172">
        <f t="shared" si="56"/>
        <v>0.18968289116038875</v>
      </c>
      <c r="CV30" s="172">
        <f>CV9/CV28</f>
        <v>0.20735738196818751</v>
      </c>
      <c r="CW30" s="170">
        <f t="shared" si="56"/>
        <v>0.47205940817855679</v>
      </c>
      <c r="CX30" s="172">
        <f t="shared" ref="CX30:CZ30" si="57">CX9/CX28</f>
        <v>0.1845571303025007</v>
      </c>
      <c r="CY30" s="172">
        <f t="shared" si="57"/>
        <v>0.21679191132215739</v>
      </c>
      <c r="CZ30" s="172">
        <f t="shared" si="57"/>
        <v>0.27141007175374399</v>
      </c>
      <c r="DA30" s="172">
        <f>DA9/DA28</f>
        <v>0.31788575594394286</v>
      </c>
      <c r="DB30" s="170">
        <f t="shared" si="56"/>
        <v>0.54995431400291839</v>
      </c>
      <c r="DC30" s="172">
        <f t="shared" si="56"/>
        <v>0.19646617574698308</v>
      </c>
      <c r="DD30" s="172">
        <f t="shared" si="56"/>
        <v>0.19703483245964884</v>
      </c>
      <c r="DE30" s="172">
        <f t="shared" si="56"/>
        <v>0.19241963006058049</v>
      </c>
      <c r="DF30" s="172">
        <f>DF9/DF28</f>
        <v>0.17009730829710865</v>
      </c>
      <c r="DG30" s="170">
        <f t="shared" si="56"/>
        <v>0.4519626843764637</v>
      </c>
      <c r="DH30" s="172">
        <f>DH9/DH28</f>
        <v>0.15744364645935427</v>
      </c>
      <c r="DI30" s="172">
        <f>DI9/DI28</f>
        <v>0.17008341830596008</v>
      </c>
      <c r="DJ30" s="172">
        <f t="shared" ref="DJ30:DV30" si="58">DJ9/DJ28</f>
        <v>0.17677353337069579</v>
      </c>
      <c r="DK30" s="172">
        <f t="shared" si="58"/>
        <v>0.18990823811499274</v>
      </c>
      <c r="DL30" s="170">
        <f t="shared" si="58"/>
        <v>0.43707170476831003</v>
      </c>
      <c r="DM30" s="172">
        <f t="shared" si="58"/>
        <v>0.15657744159560399</v>
      </c>
      <c r="DN30" s="172">
        <f t="shared" si="58"/>
        <v>0.17353357722935833</v>
      </c>
      <c r="DO30" s="172">
        <f t="shared" si="58"/>
        <v>0.17919525413962764</v>
      </c>
      <c r="DP30" s="172">
        <f t="shared" si="58"/>
        <v>0.19250544874663109</v>
      </c>
      <c r="DQ30" s="170">
        <f t="shared" si="58"/>
        <v>0.44729987096307827</v>
      </c>
      <c r="DR30" s="172">
        <f t="shared" si="58"/>
        <v>0.15222819821328029</v>
      </c>
      <c r="DS30" s="172">
        <f t="shared" si="58"/>
        <v>0.16919751306578085</v>
      </c>
      <c r="DT30" s="172">
        <f t="shared" si="58"/>
        <v>0.17548527985718937</v>
      </c>
      <c r="DU30" s="172">
        <f t="shared" si="58"/>
        <v>0.18950023872400915</v>
      </c>
      <c r="DV30" s="170">
        <f t="shared" si="58"/>
        <v>0.43932907855491765</v>
      </c>
      <c r="DW30" s="172">
        <f t="shared" ref="DW30:EF30" si="59">DW9/DW28</f>
        <v>0.14922639099802523</v>
      </c>
      <c r="DX30" s="172">
        <f t="shared" si="59"/>
        <v>0.16672718655005386</v>
      </c>
      <c r="DY30" s="172">
        <f t="shared" si="59"/>
        <v>0.17339661938042414</v>
      </c>
      <c r="DZ30" s="172">
        <f t="shared" si="59"/>
        <v>0.18792639697381611</v>
      </c>
      <c r="EA30" s="170">
        <f t="shared" si="59"/>
        <v>0.43540042804653589</v>
      </c>
      <c r="EB30" s="172">
        <f t="shared" si="59"/>
        <v>0.1482425536242902</v>
      </c>
      <c r="EC30" s="172">
        <f t="shared" si="59"/>
        <v>0.16605980593100325</v>
      </c>
      <c r="ED30" s="172">
        <f t="shared" si="59"/>
        <v>0.17292115669014718</v>
      </c>
      <c r="EE30" s="172">
        <f t="shared" si="59"/>
        <v>0.18747370390691703</v>
      </c>
      <c r="EF30" s="170">
        <f t="shared" si="59"/>
        <v>0.4347052692572061</v>
      </c>
    </row>
    <row r="31" spans="1:141" ht="12.75" customHeight="1">
      <c r="B31" s="129"/>
      <c r="C31" s="129"/>
      <c r="D31" s="129"/>
      <c r="E31" s="129"/>
      <c r="F31" s="134"/>
      <c r="G31" s="129"/>
      <c r="H31" s="129"/>
      <c r="I31" s="129"/>
      <c r="J31" s="129"/>
      <c r="K31" s="134"/>
      <c r="L31" s="129"/>
      <c r="M31" s="129"/>
      <c r="N31" s="129"/>
      <c r="O31" s="129"/>
      <c r="P31" s="134"/>
      <c r="Q31" s="129"/>
      <c r="R31" s="129"/>
      <c r="S31" s="129"/>
      <c r="T31" s="129"/>
      <c r="U31" s="134"/>
      <c r="V31" s="129"/>
      <c r="W31" s="129"/>
      <c r="X31" s="129"/>
      <c r="Y31" s="129"/>
      <c r="Z31" s="134"/>
      <c r="AA31" s="129"/>
      <c r="AB31" s="129"/>
      <c r="AC31" s="129"/>
      <c r="AD31" s="129"/>
      <c r="AE31" s="134"/>
      <c r="AF31" s="129"/>
      <c r="AG31" s="129"/>
      <c r="AH31" s="129"/>
      <c r="AI31" s="129">
        <f>1-'Balance Sheet'!AI14/AI27</f>
        <v>0.61506419400855927</v>
      </c>
      <c r="AJ31" s="134"/>
      <c r="AK31" s="129">
        <f>1-'Balance Sheet'!AK14/AK27</f>
        <v>0.71964046342397547</v>
      </c>
      <c r="AL31" s="129">
        <f>1-'Balance Sheet'!AL14/AL27</f>
        <v>0.74455424745065435</v>
      </c>
      <c r="AM31" s="129">
        <f>1-'Balance Sheet'!AM14/AM27</f>
        <v>0.56046916565900839</v>
      </c>
      <c r="AN31" s="129">
        <f>1-'Balance Sheet'!AN14/AN27</f>
        <v>0.59890339425587469</v>
      </c>
      <c r="AO31" s="134"/>
      <c r="AP31" s="129">
        <f>1-'Balance Sheet'!AP14/AP27</f>
        <v>0.63167826086956524</v>
      </c>
      <c r="AQ31" s="129">
        <f>1-'Balance Sheet'!AQ14/AQ27</f>
        <v>0.7394962162162162</v>
      </c>
      <c r="AR31" s="129"/>
      <c r="AS31" s="129"/>
      <c r="AT31" s="134"/>
      <c r="AU31" s="129"/>
      <c r="AV31" s="107"/>
      <c r="AW31" s="129"/>
      <c r="AX31" s="347"/>
      <c r="AY31" s="134"/>
      <c r="AZ31" s="380"/>
      <c r="BA31" s="129"/>
      <c r="BB31" s="129"/>
      <c r="BC31" s="129"/>
      <c r="BD31" s="134"/>
      <c r="BE31" s="129"/>
      <c r="BF31" s="129"/>
      <c r="BG31" s="129"/>
      <c r="BH31" s="129"/>
      <c r="BI31" s="134"/>
      <c r="BJ31" s="129"/>
      <c r="BK31" s="129"/>
      <c r="BL31" s="129"/>
      <c r="BM31" s="129"/>
      <c r="BN31" s="134"/>
      <c r="BO31" s="129"/>
      <c r="BP31" s="129"/>
      <c r="BQ31" s="129"/>
      <c r="BR31" s="129"/>
      <c r="BS31" s="134"/>
      <c r="BT31" s="129"/>
      <c r="BU31" s="129"/>
      <c r="BV31" s="129"/>
      <c r="BW31" s="129"/>
      <c r="BX31" s="134"/>
      <c r="BY31" s="129"/>
      <c r="BZ31" s="457"/>
      <c r="CA31" s="457"/>
      <c r="CB31" s="129"/>
      <c r="CC31" s="134"/>
      <c r="CD31" s="335"/>
      <c r="CE31" s="335"/>
      <c r="CF31" s="335"/>
      <c r="CG31" s="335"/>
      <c r="CH31" s="134"/>
      <c r="CI31" s="129"/>
      <c r="CJ31" s="129"/>
      <c r="CK31" s="129"/>
      <c r="CL31" s="129"/>
      <c r="CM31" s="134"/>
      <c r="CN31" s="129"/>
      <c r="CO31" s="129"/>
      <c r="CP31" s="129"/>
      <c r="CQ31" s="129"/>
      <c r="CR31" s="134"/>
      <c r="CS31" s="129"/>
      <c r="CT31" s="129"/>
      <c r="CU31" s="129"/>
      <c r="CV31" s="129"/>
      <c r="CW31" s="134"/>
      <c r="CX31" s="129"/>
      <c r="CY31" s="129"/>
      <c r="CZ31" s="129"/>
      <c r="DA31" s="129"/>
      <c r="DB31" s="134"/>
      <c r="DC31" s="129"/>
      <c r="DD31" s="129"/>
      <c r="DE31" s="129"/>
      <c r="DF31" s="129"/>
      <c r="DG31" s="134"/>
      <c r="DH31" s="129"/>
      <c r="DI31" s="129"/>
      <c r="DJ31" s="129"/>
      <c r="DK31" s="129"/>
      <c r="DL31" s="134"/>
      <c r="DM31" s="129"/>
      <c r="DN31" s="129"/>
      <c r="DO31" s="129"/>
      <c r="DP31" s="129"/>
      <c r="DQ31" s="134"/>
      <c r="DR31" s="129"/>
      <c r="DS31" s="129"/>
      <c r="DT31" s="129"/>
      <c r="DU31" s="129"/>
      <c r="DV31" s="134"/>
      <c r="DW31" s="129"/>
      <c r="DX31" s="129"/>
      <c r="DY31" s="129"/>
      <c r="DZ31" s="129"/>
      <c r="EA31" s="134"/>
      <c r="EB31" s="129"/>
      <c r="EC31" s="129"/>
      <c r="ED31" s="129"/>
      <c r="EE31" s="129"/>
      <c r="EF31" s="134"/>
    </row>
    <row r="32" spans="1:141" s="70" customFormat="1" ht="12.75" customHeight="1" thickBot="1">
      <c r="A32" s="69" t="s">
        <v>662</v>
      </c>
      <c r="B32" s="93" t="str">
        <f>Macro!B$3</f>
        <v>1Q04</v>
      </c>
      <c r="C32" s="93" t="str">
        <f>Macro!C$3</f>
        <v>2Q04</v>
      </c>
      <c r="D32" s="93" t="str">
        <f>Macro!D$3</f>
        <v>3Q04</v>
      </c>
      <c r="E32" s="93" t="str">
        <f>Macro!E$3</f>
        <v>4Q04</v>
      </c>
      <c r="F32" s="92" t="str">
        <f>Macro!F$3</f>
        <v>2004</v>
      </c>
      <c r="G32" s="93" t="str">
        <f>Macro!G$3</f>
        <v>1Q05</v>
      </c>
      <c r="H32" s="93" t="str">
        <f>Macro!H$3</f>
        <v>2Q05</v>
      </c>
      <c r="I32" s="93" t="str">
        <f>Macro!I$3</f>
        <v>3Q05</v>
      </c>
      <c r="J32" s="93" t="str">
        <f>Macro!J$3</f>
        <v>4Q05</v>
      </c>
      <c r="K32" s="92" t="str">
        <f>Macro!K$3</f>
        <v>2005</v>
      </c>
      <c r="L32" s="93" t="str">
        <f>Macro!L$3</f>
        <v>1Q06</v>
      </c>
      <c r="M32" s="93" t="str">
        <f>Macro!M$3</f>
        <v>2Q06</v>
      </c>
      <c r="N32" s="93" t="str">
        <f>Macro!N$3</f>
        <v>3Q06</v>
      </c>
      <c r="O32" s="94" t="str">
        <f>Macro!O$3</f>
        <v>4Q06</v>
      </c>
      <c r="P32" s="92" t="str">
        <f>Macro!P$3</f>
        <v>2006</v>
      </c>
      <c r="Q32" s="93" t="str">
        <f>Macro!Q$3</f>
        <v>1Q07</v>
      </c>
      <c r="R32" s="93" t="str">
        <f>Macro!R$3</f>
        <v>2Q07</v>
      </c>
      <c r="S32" s="93" t="str">
        <f>Macro!S$3</f>
        <v>3Q07</v>
      </c>
      <c r="T32" s="94" t="str">
        <f>Macro!T$3</f>
        <v>4Q07</v>
      </c>
      <c r="U32" s="92" t="str">
        <f>Macro!U$3</f>
        <v>2007</v>
      </c>
      <c r="V32" s="93" t="str">
        <f>Macro!V$3</f>
        <v>1Q08</v>
      </c>
      <c r="W32" s="93" t="str">
        <f>Macro!W$3</f>
        <v>2Q08</v>
      </c>
      <c r="X32" s="93" t="str">
        <f>Macro!X$3</f>
        <v>3Q08</v>
      </c>
      <c r="Y32" s="94" t="str">
        <f>Macro!Y$3</f>
        <v>4Q08</v>
      </c>
      <c r="Z32" s="92" t="str">
        <f>Macro!Z$3</f>
        <v>2008</v>
      </c>
      <c r="AA32" s="93" t="str">
        <f>Macro!AA$3</f>
        <v>1Q09</v>
      </c>
      <c r="AB32" s="93" t="str">
        <f>Macro!AB$3</f>
        <v>2Q09</v>
      </c>
      <c r="AC32" s="93" t="str">
        <f>Macro!AC$3</f>
        <v>3Q09</v>
      </c>
      <c r="AD32" s="94" t="str">
        <f>Macro!AD$3</f>
        <v>4Q09</v>
      </c>
      <c r="AE32" s="92" t="str">
        <f>Macro!AE$3</f>
        <v>2009</v>
      </c>
      <c r="AF32" s="93" t="str">
        <f>Macro!AF$3</f>
        <v>1Q10</v>
      </c>
      <c r="AG32" s="93" t="str">
        <f>Macro!AG$3</f>
        <v>2Q10</v>
      </c>
      <c r="AH32" s="93" t="str">
        <f>Macro!AH$3</f>
        <v>3Q10</v>
      </c>
      <c r="AI32" s="94" t="str">
        <f>Macro!AI$3</f>
        <v>4Q10</v>
      </c>
      <c r="AJ32" s="92" t="str">
        <f>Macro!AJ$3</f>
        <v>2010</v>
      </c>
      <c r="AK32" s="93" t="str">
        <f>Macro!AK$3</f>
        <v>1Q11</v>
      </c>
      <c r="AL32" s="93" t="str">
        <f>Macro!AL$3</f>
        <v>2Q11</v>
      </c>
      <c r="AM32" s="93" t="str">
        <f>Macro!AM$3</f>
        <v>3Q11</v>
      </c>
      <c r="AN32" s="94" t="str">
        <f>Macro!AN$3</f>
        <v>4Q11</v>
      </c>
      <c r="AO32" s="92" t="str">
        <f>Macro!AO$3</f>
        <v>2011</v>
      </c>
      <c r="AP32" s="93" t="str">
        <f>Macro!AP$3</f>
        <v>1Q12</v>
      </c>
      <c r="AQ32" s="310" t="str">
        <f>Macro!AQ$3</f>
        <v>2Q12</v>
      </c>
      <c r="AR32" s="310" t="str">
        <f>Macro!AR$3</f>
        <v>3Q12</v>
      </c>
      <c r="AS32" s="310" t="str">
        <f>Macro!AS$3</f>
        <v>4Q12</v>
      </c>
      <c r="AT32" s="311" t="str">
        <f>Macro!AT$3</f>
        <v>2012</v>
      </c>
      <c r="AU32" s="310" t="str">
        <f>Macro!AU$3</f>
        <v>1Q13</v>
      </c>
      <c r="AV32" s="310" t="str">
        <f>Macro!AV$3</f>
        <v>2Q13</v>
      </c>
      <c r="AW32" s="310" t="str">
        <f>Macro!AW$3</f>
        <v>3Q13</v>
      </c>
      <c r="AX32" s="310" t="str">
        <f>Macro!AX$3</f>
        <v>4Q13</v>
      </c>
      <c r="AY32" s="311" t="str">
        <f>Macro!AY$3</f>
        <v>2013</v>
      </c>
      <c r="AZ32" s="310" t="str">
        <f>Macro!AZ$3</f>
        <v>1Q14</v>
      </c>
      <c r="BA32" s="310" t="str">
        <f>Macro!BA$3</f>
        <v>2Q14</v>
      </c>
      <c r="BB32" s="310" t="str">
        <f>Macro!BB$3</f>
        <v>3Q14</v>
      </c>
      <c r="BC32" s="310" t="str">
        <f>Macro!BC$3</f>
        <v>4Q14</v>
      </c>
      <c r="BD32" s="311" t="str">
        <f>Macro!BD$3</f>
        <v>2014</v>
      </c>
      <c r="BE32" s="310" t="str">
        <f>Macro!BE$3</f>
        <v>1Q15</v>
      </c>
      <c r="BF32" s="310" t="str">
        <f>Macro!BF$3</f>
        <v>2Q15</v>
      </c>
      <c r="BG32" s="310" t="str">
        <f>Macro!BG$3</f>
        <v>3Q15</v>
      </c>
      <c r="BH32" s="310" t="str">
        <f>Macro!BH$3</f>
        <v>4Q15</v>
      </c>
      <c r="BI32" s="311" t="str">
        <f>Macro!BI$3</f>
        <v>2015</v>
      </c>
      <c r="BJ32" s="310" t="str">
        <f>Macro!BJ$3</f>
        <v>1Q16</v>
      </c>
      <c r="BK32" s="310" t="str">
        <f>Macro!BK$3</f>
        <v>2Q16</v>
      </c>
      <c r="BL32" s="310" t="str">
        <f>Macro!BL$3</f>
        <v>3Q16</v>
      </c>
      <c r="BM32" s="310" t="str">
        <f>Macro!BM$3</f>
        <v>4Q16</v>
      </c>
      <c r="BN32" s="311" t="str">
        <f>Macro!BN$3</f>
        <v>2016</v>
      </c>
      <c r="BO32" s="310" t="str">
        <f>Macro!BO$3</f>
        <v>1Q17</v>
      </c>
      <c r="BP32" s="310" t="str">
        <f>Macro!BP$3</f>
        <v>2Q17</v>
      </c>
      <c r="BQ32" s="310" t="str">
        <f>Macro!BQ$3</f>
        <v>3Q17</v>
      </c>
      <c r="BR32" s="310" t="str">
        <f>Macro!BR$3</f>
        <v>4Q17</v>
      </c>
      <c r="BS32" s="311" t="str">
        <f>Macro!BS$3</f>
        <v>2017</v>
      </c>
      <c r="BT32" s="310" t="str">
        <f>Macro!BT$3</f>
        <v>1Q18</v>
      </c>
      <c r="BU32" s="310" t="str">
        <f>Macro!BU$3</f>
        <v>2Q18</v>
      </c>
      <c r="BV32" s="310" t="str">
        <f>Macro!BV$3</f>
        <v>3Q18</v>
      </c>
      <c r="BW32" s="310" t="str">
        <f>Macro!BW$3</f>
        <v>4Q18</v>
      </c>
      <c r="BX32" s="311" t="str">
        <f>Macro!BX$3</f>
        <v>2018</v>
      </c>
      <c r="BY32" s="310" t="str">
        <f>Macro!BY$3</f>
        <v>1Q19</v>
      </c>
      <c r="BZ32" s="310" t="str">
        <f>Macro!BZ$3</f>
        <v>2Q19</v>
      </c>
      <c r="CA32" s="310" t="str">
        <f>Macro!CA$3</f>
        <v>3Q19</v>
      </c>
      <c r="CB32" s="310" t="str">
        <f>Macro!CB$3</f>
        <v>4Q19</v>
      </c>
      <c r="CC32" s="311" t="str">
        <f>Macro!CC$3</f>
        <v>2019</v>
      </c>
      <c r="CD32" s="310" t="str">
        <f>Macro!CD$3</f>
        <v>1Q20</v>
      </c>
      <c r="CE32" s="310" t="str">
        <f>Macro!CE$3</f>
        <v>2Q20</v>
      </c>
      <c r="CF32" s="310" t="str">
        <f>Macro!CF$3</f>
        <v>3Q20</v>
      </c>
      <c r="CG32" s="310" t="str">
        <f>Macro!CG$3</f>
        <v>4Q20</v>
      </c>
      <c r="CH32" s="311" t="str">
        <f>Macro!CH$3</f>
        <v>2020</v>
      </c>
      <c r="CI32" s="310" t="str">
        <f>Macro!CI$3</f>
        <v>1Q21</v>
      </c>
      <c r="CJ32" s="310" t="str">
        <f>Macro!CJ$3</f>
        <v>2Q21</v>
      </c>
      <c r="CK32" s="310" t="str">
        <f>Macro!CK$3</f>
        <v>3Q21</v>
      </c>
      <c r="CL32" s="310" t="str">
        <f>Macro!CL$3</f>
        <v>4Q21</v>
      </c>
      <c r="CM32" s="311" t="str">
        <f>Macro!CM$3</f>
        <v>2021</v>
      </c>
      <c r="CN32" s="310" t="str">
        <f>Macro!CN$3</f>
        <v>1Q22</v>
      </c>
      <c r="CO32" s="310" t="str">
        <f>Macro!CO$3</f>
        <v>2Q22</v>
      </c>
      <c r="CP32" s="310" t="str">
        <f>Macro!CP$3</f>
        <v>3Q22</v>
      </c>
      <c r="CQ32" s="310" t="str">
        <f>Macro!CQ$3</f>
        <v>4Q22</v>
      </c>
      <c r="CR32" s="311" t="str">
        <f>Macro!CR$3</f>
        <v>2022</v>
      </c>
      <c r="CS32" s="310" t="str">
        <f>Macro!CS$3</f>
        <v>1Q23</v>
      </c>
      <c r="CT32" s="310" t="str">
        <f>Macro!CT$3</f>
        <v>2Q23</v>
      </c>
      <c r="CU32" s="310" t="str">
        <f>Macro!CU$3</f>
        <v>3Q23</v>
      </c>
      <c r="CV32" s="310" t="str">
        <f>Macro!CV$3</f>
        <v>4Q23</v>
      </c>
      <c r="CW32" s="311" t="str">
        <f>Macro!CW$3</f>
        <v>2023</v>
      </c>
      <c r="CX32" s="310" t="str">
        <f>Macro!CX$3</f>
        <v>1Q24</v>
      </c>
      <c r="CY32" s="310" t="str">
        <f>Macro!CY$3</f>
        <v>2Q24</v>
      </c>
      <c r="CZ32" s="310" t="str">
        <f>Macro!CZ$3</f>
        <v>3Q24</v>
      </c>
      <c r="DA32" s="310" t="str">
        <f>Macro!DA$3</f>
        <v>4Q24</v>
      </c>
      <c r="DB32" s="311" t="str">
        <f>Macro!DB$3</f>
        <v>2024</v>
      </c>
      <c r="DC32" s="310" t="str">
        <f>Macro!DC$3</f>
        <v>1Q25</v>
      </c>
      <c r="DD32" s="310" t="str">
        <f>Macro!DD$3</f>
        <v>2Q25</v>
      </c>
      <c r="DE32" s="310" t="str">
        <f>Macro!DE$3</f>
        <v>3Q25</v>
      </c>
      <c r="DF32" s="310" t="str">
        <f>Macro!DF$3</f>
        <v>4Q25</v>
      </c>
      <c r="DG32" s="311" t="str">
        <f>Macro!DG$3</f>
        <v>2025</v>
      </c>
      <c r="DH32" s="310" t="str">
        <f>Macro!DH$3</f>
        <v>1Q26</v>
      </c>
      <c r="DI32" s="310" t="str">
        <f>Macro!DI$3</f>
        <v>2Q26</v>
      </c>
      <c r="DJ32" s="310" t="str">
        <f>Macro!DJ$3</f>
        <v>3Q26E</v>
      </c>
      <c r="DK32" s="310" t="str">
        <f>Macro!DK$3</f>
        <v>4Q26E</v>
      </c>
      <c r="DL32" s="311" t="str">
        <f>Macro!DL$3</f>
        <v>2026E</v>
      </c>
      <c r="DM32" s="310" t="str">
        <f>Macro!DM$3</f>
        <v>1Q27E</v>
      </c>
      <c r="DN32" s="310" t="str">
        <f>Macro!DN$3</f>
        <v>2Q27E</v>
      </c>
      <c r="DO32" s="310" t="str">
        <f>Macro!DO$3</f>
        <v>3Q27E</v>
      </c>
      <c r="DP32" s="310" t="str">
        <f>Macro!DP$3</f>
        <v>4Q27E</v>
      </c>
      <c r="DQ32" s="311" t="str">
        <f>Macro!DQ$3</f>
        <v>2027E</v>
      </c>
      <c r="DR32" s="310" t="str">
        <f>Macro!DR$3</f>
        <v>1Q28E</v>
      </c>
      <c r="DS32" s="310" t="str">
        <f>Macro!DS$3</f>
        <v>2Q28E</v>
      </c>
      <c r="DT32" s="310" t="str">
        <f>Macro!DT$3</f>
        <v>3Q28E</v>
      </c>
      <c r="DU32" s="310" t="str">
        <f>Macro!DU$3</f>
        <v>4Q28E</v>
      </c>
      <c r="DV32" s="311" t="str">
        <f>Macro!DV$3</f>
        <v>2028E</v>
      </c>
      <c r="DW32" s="310" t="str">
        <f>Macro!DW$3</f>
        <v>1Q29E</v>
      </c>
      <c r="DX32" s="310" t="str">
        <f>Macro!DX$3</f>
        <v>2Q29E</v>
      </c>
      <c r="DY32" s="310" t="str">
        <f>Macro!DY$3</f>
        <v>3Q29E</v>
      </c>
      <c r="DZ32" s="310" t="str">
        <f>Macro!DZ$3</f>
        <v>4Q29E</v>
      </c>
      <c r="EA32" s="311" t="str">
        <f>Macro!EA$3</f>
        <v>2029E</v>
      </c>
      <c r="EB32" s="310" t="str">
        <f>Macro!EB$3</f>
        <v>1Q30E</v>
      </c>
      <c r="EC32" s="310" t="str">
        <f>Macro!EC$3</f>
        <v>2Q30E</v>
      </c>
      <c r="ED32" s="310" t="str">
        <f>Macro!ED$3</f>
        <v>3Q30E</v>
      </c>
      <c r="EE32" s="310" t="str">
        <f>Macro!EE$3</f>
        <v>4Q30E</v>
      </c>
      <c r="EF32" s="311" t="str">
        <f>Macro!EF$3</f>
        <v>2030E</v>
      </c>
    </row>
    <row r="33" spans="1:136" ht="12.75" customHeight="1" outlineLevel="1">
      <c r="A33" s="66" t="s">
        <v>882</v>
      </c>
      <c r="B33" s="395">
        <f>'Balance Sheet'!B107</f>
        <v>0</v>
      </c>
      <c r="C33" s="395">
        <f>'Balance Sheet'!C107</f>
        <v>0</v>
      </c>
      <c r="D33" s="395">
        <f>'Balance Sheet'!D107</f>
        <v>0</v>
      </c>
      <c r="E33" s="395">
        <f>'Balance Sheet'!E107</f>
        <v>678686</v>
      </c>
      <c r="F33" s="145">
        <f>'Balance Sheet'!F107</f>
        <v>678686</v>
      </c>
      <c r="G33" s="114">
        <f>'Balance Sheet'!G107</f>
        <v>787581</v>
      </c>
      <c r="H33" s="114">
        <f>'Balance Sheet'!H107</f>
        <v>829557</v>
      </c>
      <c r="I33" s="114">
        <f>'Balance Sheet'!I107</f>
        <v>923700</v>
      </c>
      <c r="J33" s="114">
        <f>'Balance Sheet'!J107</f>
        <v>1019955</v>
      </c>
      <c r="K33" s="145">
        <f>'Balance Sheet'!K107</f>
        <v>1019955</v>
      </c>
      <c r="L33" s="114">
        <f>'Balance Sheet'!L107</f>
        <v>1073204</v>
      </c>
      <c r="M33" s="114">
        <f>'Balance Sheet'!M107</f>
        <v>1354948</v>
      </c>
      <c r="N33" s="114">
        <f>'Balance Sheet'!N107</f>
        <v>1405597</v>
      </c>
      <c r="O33" s="114">
        <f>'Balance Sheet'!O107</f>
        <v>1597155</v>
      </c>
      <c r="P33" s="145">
        <f>'Balance Sheet'!P107</f>
        <v>1597155</v>
      </c>
      <c r="Q33" s="114">
        <f>'Balance Sheet'!Q107</f>
        <v>2105488</v>
      </c>
      <c r="R33" s="114">
        <f>'Balance Sheet'!R107</f>
        <v>2014566</v>
      </c>
      <c r="S33" s="114">
        <f>'Balance Sheet'!S107</f>
        <v>2288236</v>
      </c>
      <c r="T33" s="114">
        <f>'Balance Sheet'!T107</f>
        <v>3443482</v>
      </c>
      <c r="U33" s="145">
        <f>'Balance Sheet'!U107</f>
        <v>3443482</v>
      </c>
      <c r="V33" s="114">
        <f>'Balance Sheet'!V107</f>
        <v>3931943</v>
      </c>
      <c r="W33" s="114">
        <f>'Balance Sheet'!W107</f>
        <v>5050187</v>
      </c>
      <c r="X33" s="114">
        <f>'Balance Sheet'!X107</f>
        <v>5336883</v>
      </c>
      <c r="Y33" s="114">
        <f>'Balance Sheet'!Y107</f>
        <v>5124185</v>
      </c>
      <c r="Z33" s="145">
        <f>'Balance Sheet'!Z107</f>
        <v>5124185</v>
      </c>
      <c r="AA33" s="114">
        <f>'Balance Sheet'!AA107</f>
        <v>4920585</v>
      </c>
      <c r="AB33" s="114">
        <f>'Balance Sheet'!AB107</f>
        <v>4331559</v>
      </c>
      <c r="AC33" s="114">
        <f>'Balance Sheet'!AC107</f>
        <v>4520845</v>
      </c>
      <c r="AD33" s="114">
        <f>'Balance Sheet'!AD107</f>
        <v>5224037</v>
      </c>
      <c r="AE33" s="145">
        <f>'Balance Sheet'!AE107</f>
        <v>5224037</v>
      </c>
      <c r="AF33" s="114">
        <f>'Balance Sheet'!AF107</f>
        <v>5232174</v>
      </c>
      <c r="AG33" s="114">
        <f>'Balance Sheet'!AG107</f>
        <v>5855621</v>
      </c>
      <c r="AH33" s="114">
        <f>'Balance Sheet'!AH107</f>
        <v>5805608</v>
      </c>
      <c r="AI33" s="307">
        <f>'Balance Sheet'!AI107</f>
        <v>6136163</v>
      </c>
      <c r="AJ33" s="145">
        <f>'Balance Sheet'!AJ107</f>
        <v>6136163</v>
      </c>
      <c r="AK33" s="114">
        <f>'Balance Sheet'!AK107</f>
        <v>5973998</v>
      </c>
      <c r="AL33" s="114">
        <f>'Balance Sheet'!AL107</f>
        <v>6309143</v>
      </c>
      <c r="AM33" s="114">
        <f>'Balance Sheet'!AM107</f>
        <v>6353160</v>
      </c>
      <c r="AN33" s="114">
        <f>'Balance Sheet'!AN107</f>
        <v>6393107</v>
      </c>
      <c r="AO33" s="145">
        <f>'Balance Sheet'!AO107</f>
        <v>6393107</v>
      </c>
      <c r="AP33" s="114">
        <f>'Balance Sheet'!AP107</f>
        <v>6364599</v>
      </c>
      <c r="AQ33" s="114">
        <f>'Balance Sheet'!AQ107</f>
        <v>6163228</v>
      </c>
      <c r="AR33" s="114">
        <f>'Balance Sheet'!AR107</f>
        <v>5911000</v>
      </c>
      <c r="AS33" s="114">
        <f>'Balance Sheet'!AS107</f>
        <v>5859663</v>
      </c>
      <c r="AT33" s="145">
        <f>'Balance Sheet'!AT107</f>
        <v>5859663</v>
      </c>
      <c r="AU33" s="114">
        <f>'Balance Sheet'!AU107</f>
        <v>5615465</v>
      </c>
      <c r="AV33" s="114">
        <f>'Balance Sheet'!AV107</f>
        <v>5537249</v>
      </c>
      <c r="AW33" s="114">
        <f>'Balance Sheet'!AW107</f>
        <v>5563129</v>
      </c>
      <c r="AX33" s="114">
        <f>'Balance Sheet'!AX107</f>
        <v>5174827</v>
      </c>
      <c r="AY33" s="145">
        <f>'Balance Sheet'!AY107</f>
        <v>5174827</v>
      </c>
      <c r="AZ33" s="114">
        <f>'Balance Sheet'!AZ107</f>
        <v>5341345</v>
      </c>
      <c r="BA33" s="114">
        <f>'Balance Sheet'!BA107</f>
        <v>5084443</v>
      </c>
      <c r="BB33" s="114">
        <f>'Balance Sheet'!BB107</f>
        <v>4778927</v>
      </c>
      <c r="BC33" s="114">
        <f>'Balance Sheet'!BC107</f>
        <v>4526998</v>
      </c>
      <c r="BD33" s="145">
        <f>'Balance Sheet'!BD107</f>
        <v>4526998</v>
      </c>
      <c r="BE33" s="114">
        <f>'Balance Sheet'!BE107</f>
        <v>4326712</v>
      </c>
      <c r="BF33" s="114">
        <f>'Balance Sheet'!BF107</f>
        <v>4202747</v>
      </c>
      <c r="BG33" s="114">
        <f>'Balance Sheet'!BG107</f>
        <v>3896118</v>
      </c>
      <c r="BH33" s="114">
        <f>'Balance Sheet'!BH107</f>
        <v>3522505</v>
      </c>
      <c r="BI33" s="145">
        <f>'Balance Sheet'!BI107</f>
        <v>3522505</v>
      </c>
      <c r="BJ33" s="114">
        <f>'Balance Sheet'!BJ107</f>
        <v>3103436</v>
      </c>
      <c r="BK33" s="114">
        <f>'Balance Sheet'!BK107</f>
        <v>2753979</v>
      </c>
      <c r="BL33" s="114">
        <f>'Balance Sheet'!BL107</f>
        <v>2305948</v>
      </c>
      <c r="BM33" s="114">
        <f>'Balance Sheet'!BM107</f>
        <v>2164418</v>
      </c>
      <c r="BN33" s="145">
        <f>'Balance Sheet'!BN107</f>
        <v>2164418</v>
      </c>
      <c r="BO33" s="114">
        <f>'Balance Sheet'!BO107</f>
        <v>1978884</v>
      </c>
      <c r="BP33" s="114">
        <f>'Balance Sheet'!BP107</f>
        <v>1788427</v>
      </c>
      <c r="BQ33" s="114">
        <f>'Balance Sheet'!BQ107</f>
        <v>1635741</v>
      </c>
      <c r="BR33" s="114">
        <f>'Balance Sheet'!BR107</f>
        <v>1654031</v>
      </c>
      <c r="BS33" s="145">
        <f>'Balance Sheet'!BS107</f>
        <v>1654031</v>
      </c>
      <c r="BT33" s="114">
        <f>'Balance Sheet'!BT107</f>
        <v>1586324</v>
      </c>
      <c r="BU33" s="114">
        <f>'Balance Sheet'!BU107</f>
        <v>1524369</v>
      </c>
      <c r="BV33" s="114">
        <f>'Balance Sheet'!BV107</f>
        <v>1478452</v>
      </c>
      <c r="BW33" s="114">
        <f>'Balance Sheet'!BW107</f>
        <v>1741082</v>
      </c>
      <c r="BX33" s="145">
        <f>'Balance Sheet'!BX107</f>
        <v>1741082</v>
      </c>
      <c r="BY33" s="114">
        <f>'Balance Sheet'!BY107</f>
        <v>1900930</v>
      </c>
      <c r="BZ33" s="114">
        <f>'Balance Sheet'!BZ107</f>
        <v>2340856</v>
      </c>
      <c r="CA33" s="114">
        <f>'Balance Sheet'!CA107</f>
        <v>2550134</v>
      </c>
      <c r="CB33" s="114">
        <f>'Balance Sheet'!CB107</f>
        <v>2965999</v>
      </c>
      <c r="CC33" s="145">
        <f>'Balance Sheet'!CC107</f>
        <v>2965999</v>
      </c>
      <c r="CD33" s="114">
        <f>'Balance Sheet'!CD107</f>
        <v>3055603</v>
      </c>
      <c r="CE33" s="114">
        <f>'Balance Sheet'!CE107</f>
        <v>3042962</v>
      </c>
      <c r="CF33" s="114">
        <f>'Balance Sheet'!CF107</f>
        <v>3020133</v>
      </c>
      <c r="CG33" s="114">
        <f>'Balance Sheet'!CG107</f>
        <v>3355329</v>
      </c>
      <c r="CH33" s="145">
        <f>'Balance Sheet'!CH107</f>
        <v>3355329</v>
      </c>
      <c r="CI33" s="114">
        <f>'Balance Sheet'!CI107</f>
        <v>3595960</v>
      </c>
      <c r="CJ33" s="114">
        <f>'Balance Sheet'!CJ107</f>
        <v>3950785</v>
      </c>
      <c r="CK33" s="114">
        <f>'Balance Sheet'!CK107</f>
        <v>3883986</v>
      </c>
      <c r="CL33" s="114">
        <f>'Balance Sheet'!CL107</f>
        <v>4353240</v>
      </c>
      <c r="CM33" s="145">
        <f>'Balance Sheet'!CM107</f>
        <v>4353240</v>
      </c>
      <c r="CN33" s="114">
        <f>'Balance Sheet'!CN107</f>
        <v>4470134</v>
      </c>
      <c r="CO33" s="114">
        <f>'Balance Sheet'!CO107</f>
        <v>4661255</v>
      </c>
      <c r="CP33" s="114">
        <f>'Balance Sheet'!CP107</f>
        <v>5108347</v>
      </c>
      <c r="CQ33" s="114">
        <f>'Balance Sheet'!CQ107</f>
        <v>5243826</v>
      </c>
      <c r="CR33" s="145">
        <f>'Balance Sheet'!CR107</f>
        <v>5243826</v>
      </c>
      <c r="CS33" s="114">
        <f>'Balance Sheet'!CS107</f>
        <v>5757631</v>
      </c>
      <c r="CT33" s="114">
        <f>'Balance Sheet'!CT107</f>
        <v>6251830</v>
      </c>
      <c r="CU33" s="114">
        <f>'Balance Sheet'!CU107</f>
        <v>6352544</v>
      </c>
      <c r="CV33" s="114">
        <f>'Balance Sheet'!CV107</f>
        <v>6633654</v>
      </c>
      <c r="CW33" s="145">
        <f>'Balance Sheet'!CW107</f>
        <v>6633654</v>
      </c>
      <c r="CX33" s="114">
        <f>'Balance Sheet'!CX107</f>
        <v>7105013</v>
      </c>
      <c r="CY33" s="114">
        <f>'Balance Sheet'!CY107</f>
        <v>7265935</v>
      </c>
      <c r="CZ33" s="114">
        <f>'Balance Sheet'!CZ107</f>
        <v>7789363</v>
      </c>
      <c r="DA33" s="114">
        <f>'Balance Sheet'!DA107</f>
        <v>8790289</v>
      </c>
      <c r="DB33" s="145">
        <f>'Balance Sheet'!DB107</f>
        <v>8790289</v>
      </c>
      <c r="DC33" s="114">
        <f>'Balance Sheet'!DC107</f>
        <v>9436956</v>
      </c>
      <c r="DD33" s="114">
        <f>'Balance Sheet'!DD107</f>
        <v>9849027</v>
      </c>
      <c r="DE33" s="114">
        <f>'Balance Sheet'!DE107</f>
        <v>9631190</v>
      </c>
      <c r="DF33" s="114">
        <f>'Balance Sheet'!DF107</f>
        <v>11217258</v>
      </c>
      <c r="DG33" s="145">
        <f>'Balance Sheet'!DG107</f>
        <v>11217258</v>
      </c>
      <c r="DH33" s="114">
        <f>'Balance Sheet'!DH107</f>
        <v>11662105</v>
      </c>
      <c r="DI33" s="114">
        <f>'Balance Sheet'!DI107</f>
        <v>12228757</v>
      </c>
      <c r="DJ33" s="114">
        <f>'Balance Sheet'!DJ107</f>
        <v>13287646.29133299</v>
      </c>
      <c r="DK33" s="114">
        <f>'Balance Sheet'!DK107</f>
        <v>14635898.182284229</v>
      </c>
      <c r="DL33" s="145">
        <f>'Balance Sheet'!DL107</f>
        <v>14635898.182284229</v>
      </c>
      <c r="DM33" s="114">
        <f>'Balance Sheet'!DM107</f>
        <v>15077028.030728379</v>
      </c>
      <c r="DN33" s="114">
        <f>'Balance Sheet'!DN107</f>
        <v>15793209.360161014</v>
      </c>
      <c r="DO33" s="114">
        <f>'Balance Sheet'!DO107</f>
        <v>16670921.773550915</v>
      </c>
      <c r="DP33" s="114">
        <f>'Balance Sheet'!DP107</f>
        <v>17891565.636004262</v>
      </c>
      <c r="DQ33" s="145">
        <f>'Balance Sheet'!DQ107</f>
        <v>17891565.636004262</v>
      </c>
      <c r="DR33" s="114">
        <f>'Balance Sheet'!DR107</f>
        <v>18013808.9889144</v>
      </c>
      <c r="DS33" s="114">
        <f>'Balance Sheet'!DS107</f>
        <v>18464077.235237479</v>
      </c>
      <c r="DT33" s="114">
        <f>'Balance Sheet'!DT107</f>
        <v>19128549.423532307</v>
      </c>
      <c r="DU33" s="114">
        <f>'Balance Sheet'!DU107</f>
        <v>20191598.970282041</v>
      </c>
      <c r="DV33" s="145">
        <f>'Balance Sheet'!DV107</f>
        <v>20191598.970282041</v>
      </c>
      <c r="DW33" s="114">
        <f>'Balance Sheet'!DW107</f>
        <v>20139474.173778206</v>
      </c>
      <c r="DX33" s="114">
        <f>'Balance Sheet'!DX107</f>
        <v>20458662.416751813</v>
      </c>
      <c r="DY33" s="114">
        <f>'Balance Sheet'!DY107</f>
        <v>21023312.224957764</v>
      </c>
      <c r="DZ33" s="114">
        <f>'Balance Sheet'!DZ107</f>
        <v>22026012.605413582</v>
      </c>
      <c r="EA33" s="145">
        <f>'Balance Sheet'!EA107</f>
        <v>22026012.605413582</v>
      </c>
      <c r="EB33" s="114">
        <f>'Balance Sheet'!EB107</f>
        <v>21881653.752962973</v>
      </c>
      <c r="EC33" s="114">
        <f>'Balance Sheet'!EC107</f>
        <v>22139521.462031644</v>
      </c>
      <c r="ED33" s="114">
        <f>'Balance Sheet'!ED107</f>
        <v>22663043.801678244</v>
      </c>
      <c r="EE33" s="114">
        <f>'Balance Sheet'!EE107</f>
        <v>23650142.818364345</v>
      </c>
      <c r="EF33" s="145">
        <f>'Balance Sheet'!EF107</f>
        <v>23650142.818364345</v>
      </c>
    </row>
    <row r="34" spans="1:136" ht="12.75" customHeight="1" outlineLevel="1">
      <c r="A34" s="66" t="s">
        <v>883</v>
      </c>
      <c r="B34" s="395">
        <f t="shared" ref="B34:AZ34" si="60">B14</f>
        <v>0</v>
      </c>
      <c r="C34" s="395">
        <f t="shared" si="60"/>
        <v>0</v>
      </c>
      <c r="D34" s="395">
        <f t="shared" si="60"/>
        <v>0</v>
      </c>
      <c r="E34" s="395">
        <f t="shared" si="60"/>
        <v>0</v>
      </c>
      <c r="F34" s="145">
        <f t="shared" si="60"/>
        <v>0</v>
      </c>
      <c r="G34" s="114">
        <f t="shared" si="60"/>
        <v>0</v>
      </c>
      <c r="H34" s="114">
        <f t="shared" si="60"/>
        <v>0</v>
      </c>
      <c r="I34" s="114">
        <f t="shared" si="60"/>
        <v>0</v>
      </c>
      <c r="J34" s="114">
        <f t="shared" si="60"/>
        <v>0</v>
      </c>
      <c r="K34" s="145">
        <f t="shared" si="60"/>
        <v>0</v>
      </c>
      <c r="L34" s="114">
        <f t="shared" si="60"/>
        <v>0</v>
      </c>
      <c r="M34" s="114">
        <f t="shared" si="60"/>
        <v>0</v>
      </c>
      <c r="N34" s="114">
        <f t="shared" si="60"/>
        <v>0</v>
      </c>
      <c r="O34" s="114">
        <f t="shared" si="60"/>
        <v>0</v>
      </c>
      <c r="P34" s="145">
        <f t="shared" si="60"/>
        <v>0</v>
      </c>
      <c r="Q34" s="114">
        <f t="shared" si="60"/>
        <v>0</v>
      </c>
      <c r="R34" s="114">
        <f t="shared" si="60"/>
        <v>0</v>
      </c>
      <c r="S34" s="114">
        <f t="shared" si="60"/>
        <v>0</v>
      </c>
      <c r="T34" s="114">
        <f t="shared" si="60"/>
        <v>0</v>
      </c>
      <c r="U34" s="145">
        <f t="shared" si="60"/>
        <v>0</v>
      </c>
      <c r="V34" s="114">
        <f t="shared" si="60"/>
        <v>0</v>
      </c>
      <c r="W34" s="114">
        <f t="shared" si="60"/>
        <v>0</v>
      </c>
      <c r="X34" s="114">
        <f t="shared" si="60"/>
        <v>0</v>
      </c>
      <c r="Y34" s="114">
        <f t="shared" si="60"/>
        <v>0</v>
      </c>
      <c r="Z34" s="145">
        <f t="shared" si="60"/>
        <v>0</v>
      </c>
      <c r="AA34" s="114">
        <f t="shared" si="60"/>
        <v>0</v>
      </c>
      <c r="AB34" s="114">
        <f t="shared" si="60"/>
        <v>0</v>
      </c>
      <c r="AC34" s="114">
        <f t="shared" si="60"/>
        <v>0</v>
      </c>
      <c r="AD34" s="114">
        <f t="shared" si="60"/>
        <v>0</v>
      </c>
      <c r="AE34" s="145">
        <f t="shared" si="60"/>
        <v>0</v>
      </c>
      <c r="AF34" s="114">
        <f t="shared" si="60"/>
        <v>0</v>
      </c>
      <c r="AG34" s="114">
        <f t="shared" si="60"/>
        <v>0</v>
      </c>
      <c r="AH34" s="114">
        <f t="shared" si="60"/>
        <v>0</v>
      </c>
      <c r="AI34" s="307">
        <f t="shared" si="60"/>
        <v>0</v>
      </c>
      <c r="AJ34" s="145">
        <f t="shared" si="60"/>
        <v>0</v>
      </c>
      <c r="AK34" s="114">
        <f t="shared" si="60"/>
        <v>744941.06</v>
      </c>
      <c r="AL34" s="114">
        <f t="shared" si="60"/>
        <v>887790.28</v>
      </c>
      <c r="AM34" s="114">
        <f t="shared" si="60"/>
        <v>919488.44</v>
      </c>
      <c r="AN34" s="114">
        <f t="shared" si="60"/>
        <v>1337584.02</v>
      </c>
      <c r="AO34" s="145">
        <f t="shared" si="60"/>
        <v>3889803.8000000003</v>
      </c>
      <c r="AP34" s="114">
        <f t="shared" si="60"/>
        <v>1220000</v>
      </c>
      <c r="AQ34" s="114">
        <f t="shared" si="60"/>
        <v>1314100</v>
      </c>
      <c r="AR34" s="114">
        <f t="shared" si="60"/>
        <v>1755500</v>
      </c>
      <c r="AS34" s="114">
        <f t="shared" si="60"/>
        <v>1153400</v>
      </c>
      <c r="AT34" s="145">
        <f t="shared" si="60"/>
        <v>5443000</v>
      </c>
      <c r="AU34" s="114">
        <f t="shared" si="60"/>
        <v>1155600</v>
      </c>
      <c r="AV34" s="114">
        <f t="shared" si="60"/>
        <v>1689500</v>
      </c>
      <c r="AW34" s="114">
        <f t="shared" si="60"/>
        <v>1360600</v>
      </c>
      <c r="AX34" s="114">
        <f t="shared" si="60"/>
        <v>1805700</v>
      </c>
      <c r="AY34" s="145">
        <f t="shared" si="60"/>
        <v>6011400</v>
      </c>
      <c r="AZ34" s="114">
        <f t="shared" si="60"/>
        <v>1547700</v>
      </c>
      <c r="BA34" s="114">
        <f>BA14</f>
        <v>1257600</v>
      </c>
      <c r="BB34" s="114">
        <f>BB14</f>
        <v>992000</v>
      </c>
      <c r="BC34" s="114">
        <f>BC14</f>
        <v>1781000</v>
      </c>
      <c r="BD34" s="145">
        <f t="shared" ref="BD34:CC34" si="61">BD14</f>
        <v>5578300</v>
      </c>
      <c r="BE34" s="114">
        <f t="shared" si="61"/>
        <v>722627</v>
      </c>
      <c r="BF34" s="114">
        <f t="shared" si="61"/>
        <v>813657</v>
      </c>
      <c r="BG34" s="114">
        <f t="shared" si="61"/>
        <v>1009275</v>
      </c>
      <c r="BH34" s="114">
        <f t="shared" si="61"/>
        <v>844027</v>
      </c>
      <c r="BI34" s="145">
        <f t="shared" si="61"/>
        <v>3389586</v>
      </c>
      <c r="BJ34" s="114">
        <f>BJ14</f>
        <v>543565</v>
      </c>
      <c r="BK34" s="114">
        <f>BK14</f>
        <v>558379</v>
      </c>
      <c r="BL34" s="114">
        <f>BL14</f>
        <v>573350</v>
      </c>
      <c r="BM34" s="114">
        <f>BM14</f>
        <v>1090268</v>
      </c>
      <c r="BN34" s="145">
        <f t="shared" si="61"/>
        <v>2765562</v>
      </c>
      <c r="BO34" s="114">
        <f t="shared" si="61"/>
        <v>520000</v>
      </c>
      <c r="BP34" s="114">
        <f t="shared" si="61"/>
        <v>756000</v>
      </c>
      <c r="BQ34" s="114">
        <f t="shared" si="61"/>
        <v>729630</v>
      </c>
      <c r="BR34" s="114">
        <f t="shared" si="61"/>
        <v>1253291</v>
      </c>
      <c r="BS34" s="145">
        <f t="shared" si="61"/>
        <v>3258921</v>
      </c>
      <c r="BT34" s="114">
        <f>BT14</f>
        <v>613092</v>
      </c>
      <c r="BU34" s="114">
        <f>BU14</f>
        <v>1060935</v>
      </c>
      <c r="BV34" s="114">
        <f>BV14</f>
        <v>943000</v>
      </c>
      <c r="BW34" s="114">
        <f>BW14</f>
        <v>2439179.7254579798</v>
      </c>
      <c r="BX34" s="145">
        <f t="shared" si="61"/>
        <v>5056206.7254579794</v>
      </c>
      <c r="BY34" s="114">
        <f t="shared" si="61"/>
        <v>773031.06656818045</v>
      </c>
      <c r="BZ34" s="114">
        <f t="shared" si="61"/>
        <v>1305470.9368501434</v>
      </c>
      <c r="CA34" s="114">
        <f t="shared" si="61"/>
        <v>1123366.3303312066</v>
      </c>
      <c r="CB34" s="114">
        <f t="shared" si="61"/>
        <v>1387445.1095968094</v>
      </c>
      <c r="CC34" s="145">
        <f t="shared" si="61"/>
        <v>4589313.4433463402</v>
      </c>
      <c r="CD34" s="114">
        <f>CD14</f>
        <v>846188.98344586894</v>
      </c>
      <c r="CE34" s="114">
        <f>CE14</f>
        <v>512378.08895439724</v>
      </c>
      <c r="CF34" s="114">
        <f>CF14</f>
        <v>1711627.1025532619</v>
      </c>
      <c r="CG34" s="114">
        <f>CG14</f>
        <v>1860194.7667020492</v>
      </c>
      <c r="CH34" s="145">
        <f t="shared" ref="CH34:DG34" si="62">CH14</f>
        <v>4930388.9416555772</v>
      </c>
      <c r="CI34" s="114">
        <f t="shared" si="62"/>
        <v>1030911.8944871745</v>
      </c>
      <c r="CJ34" s="114">
        <f t="shared" si="62"/>
        <v>1559954.8194156727</v>
      </c>
      <c r="CK34" s="114">
        <f>CK14</f>
        <v>1365603.6801327136</v>
      </c>
      <c r="CL34" s="114">
        <f>CL14</f>
        <v>1574515.098491831</v>
      </c>
      <c r="CM34" s="145">
        <f t="shared" si="62"/>
        <v>5530985.4925273918</v>
      </c>
      <c r="CN34" s="114">
        <f>CN14</f>
        <v>1312487.3405780916</v>
      </c>
      <c r="CO34" s="114">
        <f>CO14</f>
        <v>1622040.8707555183</v>
      </c>
      <c r="CP34" s="114">
        <f>CP14</f>
        <v>2285717.5363245821</v>
      </c>
      <c r="CQ34" s="114">
        <f>CQ14</f>
        <v>2690936.3394353595</v>
      </c>
      <c r="CR34" s="145">
        <f t="shared" si="62"/>
        <v>7911182.0870935516</v>
      </c>
      <c r="CS34" s="114">
        <f t="shared" si="62"/>
        <v>1544551.4591390239</v>
      </c>
      <c r="CT34" s="114">
        <f t="shared" si="62"/>
        <v>2491233.4593098299</v>
      </c>
      <c r="CU34" s="114">
        <f t="shared" si="62"/>
        <v>2263188.9775623744</v>
      </c>
      <c r="CV34" s="114">
        <f t="shared" si="62"/>
        <v>2592935.6974654002</v>
      </c>
      <c r="CW34" s="145">
        <f t="shared" si="62"/>
        <v>8891909.593476627</v>
      </c>
      <c r="CX34" s="114">
        <f>CX14</f>
        <v>2147129.3423621999</v>
      </c>
      <c r="CY34" s="114">
        <f t="shared" ref="CY34:DA34" si="63">CY14</f>
        <v>2371504.7187608392</v>
      </c>
      <c r="CZ34" s="114">
        <f t="shared" si="63"/>
        <v>3200576.8936927989</v>
      </c>
      <c r="DA34" s="114">
        <f t="shared" si="63"/>
        <v>4904954.6169577716</v>
      </c>
      <c r="DB34" s="145">
        <f t="shared" si="62"/>
        <v>12624165.571773611</v>
      </c>
      <c r="DC34" s="114">
        <f>DC14</f>
        <v>3028851.5868528695</v>
      </c>
      <c r="DD34" s="114">
        <f t="shared" ref="DD34:DF34" si="64">DD14</f>
        <v>3257882.2354527083</v>
      </c>
      <c r="DE34" s="114">
        <f t="shared" si="64"/>
        <v>3538946.510364268</v>
      </c>
      <c r="DF34" s="114">
        <f t="shared" si="64"/>
        <v>3329590.5512721697</v>
      </c>
      <c r="DG34" s="145">
        <f t="shared" si="62"/>
        <v>13155270.883942015</v>
      </c>
      <c r="DH34" s="114">
        <f>DH14</f>
        <v>2941578.6030330556</v>
      </c>
      <c r="DI34" s="114">
        <f t="shared" ref="DI34" si="65">DI14</f>
        <v>3466756.4684406542</v>
      </c>
      <c r="DJ34" s="114">
        <f t="shared" ref="DJ34:DV34" si="66">DJ14</f>
        <v>3805594.6138359904</v>
      </c>
      <c r="DK34" s="114">
        <f t="shared" si="66"/>
        <v>4397528.3402859829</v>
      </c>
      <c r="DL34" s="145">
        <f t="shared" si="66"/>
        <v>14611458.025595684</v>
      </c>
      <c r="DM34" s="114">
        <f t="shared" si="66"/>
        <v>3316552.774652279</v>
      </c>
      <c r="DN34" s="114">
        <f t="shared" si="66"/>
        <v>3716870.8459032634</v>
      </c>
      <c r="DO34" s="114">
        <f t="shared" si="66"/>
        <v>3982582.1204070724</v>
      </c>
      <c r="DP34" s="114">
        <f t="shared" si="66"/>
        <v>4600095.3050696943</v>
      </c>
      <c r="DQ34" s="145">
        <f t="shared" si="66"/>
        <v>15616101.04603231</v>
      </c>
      <c r="DR34" s="114">
        <f t="shared" si="66"/>
        <v>3322817.4370337804</v>
      </c>
      <c r="DS34" s="114">
        <f t="shared" si="66"/>
        <v>3759351.6709191324</v>
      </c>
      <c r="DT34" s="114">
        <f t="shared" si="66"/>
        <v>4068774.7647660752</v>
      </c>
      <c r="DU34" s="114">
        <f t="shared" si="66"/>
        <v>4742276.2871479029</v>
      </c>
      <c r="DV34" s="145">
        <f t="shared" si="66"/>
        <v>15893220.159866892</v>
      </c>
      <c r="DW34" s="114">
        <f t="shared" ref="DW34:EF34" si="67">DW14</f>
        <v>3421594.3527196106</v>
      </c>
      <c r="DX34" s="114">
        <f t="shared" si="67"/>
        <v>3899426.5327310851</v>
      </c>
      <c r="DY34" s="114">
        <f t="shared" si="67"/>
        <v>4235700.15468805</v>
      </c>
      <c r="DZ34" s="114">
        <f t="shared" si="67"/>
        <v>4954882.1518994262</v>
      </c>
      <c r="EA34" s="145">
        <f t="shared" si="67"/>
        <v>16511603.192038171</v>
      </c>
      <c r="EB34" s="114">
        <f t="shared" si="67"/>
        <v>3583949.2144891392</v>
      </c>
      <c r="EC34" s="114">
        <f t="shared" si="67"/>
        <v>4092994.8737343829</v>
      </c>
      <c r="ED34" s="114">
        <f t="shared" si="67"/>
        <v>4446867.4933537757</v>
      </c>
      <c r="EE34" s="114">
        <f t="shared" si="67"/>
        <v>5196974.1520375945</v>
      </c>
      <c r="EF34" s="145">
        <f t="shared" si="67"/>
        <v>17320785.733614892</v>
      </c>
    </row>
    <row r="35" spans="1:136" ht="12.75" customHeight="1" outlineLevel="1">
      <c r="A35" s="66" t="s">
        <v>727</v>
      </c>
      <c r="B35" s="114" t="e">
        <f>'Balance Sheet'!A107+B10</f>
        <v>#VALUE!</v>
      </c>
      <c r="C35" s="114">
        <f>'Balance Sheet'!B107+C10</f>
        <v>154390.93333333332</v>
      </c>
      <c r="D35" s="114">
        <f>'Balance Sheet'!C107+D10</f>
        <v>154390.93333333332</v>
      </c>
      <c r="E35" s="114">
        <f>'Balance Sheet'!D107+E10</f>
        <v>182508.80000000008</v>
      </c>
      <c r="F35" s="145" t="e">
        <f>'Balance Sheet'!A107+F10</f>
        <v>#VALUE!</v>
      </c>
      <c r="G35" s="114">
        <f>'Balance Sheet'!F107+G10</f>
        <v>824572.1</v>
      </c>
      <c r="H35" s="114">
        <f>'Balance Sheet'!G107+H10</f>
        <v>942201.86</v>
      </c>
      <c r="I35" s="114">
        <f>'Balance Sheet'!H107+I10</f>
        <v>1071375.72</v>
      </c>
      <c r="J35" s="114">
        <f>'Balance Sheet'!I107+J10</f>
        <v>1201489.054</v>
      </c>
      <c r="K35" s="145">
        <f>'Balance Sheet'!F107+K10</f>
        <v>1498800.7340000002</v>
      </c>
      <c r="L35" s="114">
        <f>'Balance Sheet'!K107+L10</f>
        <v>1183270.98</v>
      </c>
      <c r="M35" s="114">
        <f>'Balance Sheet'!L107+M10</f>
        <v>1504976.02</v>
      </c>
      <c r="N35" s="114">
        <f>'Balance Sheet'!M107+N10</f>
        <v>1646487</v>
      </c>
      <c r="O35" s="114">
        <f>'Balance Sheet'!N107+O10</f>
        <v>1869869</v>
      </c>
      <c r="P35" s="145">
        <f>'Balance Sheet'!K107+P9</f>
        <v>2935052</v>
      </c>
      <c r="Q35" s="114">
        <f>'Balance Sheet'!P107+Q9</f>
        <v>1985942</v>
      </c>
      <c r="R35" s="114">
        <f>'Balance Sheet'!Q107+R9</f>
        <v>2803805</v>
      </c>
      <c r="S35" s="114">
        <f>'Balance Sheet'!R107+S9</f>
        <v>3073084</v>
      </c>
      <c r="T35" s="114">
        <f>'Balance Sheet'!S107+T9</f>
        <v>4534824</v>
      </c>
      <c r="U35" s="145">
        <f>'Balance Sheet'!P107+U9</f>
        <v>5989365</v>
      </c>
      <c r="V35" s="114">
        <f>'Balance Sheet'!U107+V9</f>
        <v>4495494</v>
      </c>
      <c r="W35" s="114">
        <f>'Balance Sheet'!V107+W9</f>
        <v>5872846</v>
      </c>
      <c r="X35" s="114">
        <f>'Balance Sheet'!W107+X9</f>
        <v>6102730</v>
      </c>
      <c r="Y35" s="114">
        <f>'Balance Sheet'!X107+Y9</f>
        <v>5902950</v>
      </c>
      <c r="Z35" s="145">
        <f>'Balance Sheet'!U107+Z9</f>
        <v>8055007</v>
      </c>
      <c r="AA35" s="114">
        <f>'Balance Sheet'!Z107+AA9</f>
        <v>5625977</v>
      </c>
      <c r="AB35" s="114">
        <f>'Balance Sheet'!AA107+AB9</f>
        <v>5760415</v>
      </c>
      <c r="AC35" s="114">
        <f>'Balance Sheet'!AB107+AC9</f>
        <v>5962476</v>
      </c>
      <c r="AD35" s="114">
        <f>'Balance Sheet'!AC107+AD9</f>
        <v>6789394</v>
      </c>
      <c r="AE35" s="145">
        <f>'Balance Sheet'!Z107+AE9</f>
        <v>10365273</v>
      </c>
      <c r="AF35" s="114">
        <f>'Balance Sheet'!AE107+AF9</f>
        <v>6289789</v>
      </c>
      <c r="AG35" s="114">
        <f>'Balance Sheet'!AF107+AG9</f>
        <v>6772076</v>
      </c>
      <c r="AH35" s="114">
        <f>'Balance Sheet'!AG107+AH9</f>
        <v>6880990</v>
      </c>
      <c r="AI35" s="114">
        <f>'Balance Sheet'!AH107+AI9</f>
        <v>8346993</v>
      </c>
      <c r="AJ35" s="145">
        <f>'Balance Sheet'!AE107+AJ9</f>
        <v>11396445</v>
      </c>
      <c r="AK35" s="114">
        <f>'Balance Sheet'!AJ107+AK9</f>
        <v>7135163</v>
      </c>
      <c r="AL35" s="114">
        <f>'Balance Sheet'!AK107+AL9</f>
        <v>7641998</v>
      </c>
      <c r="AM35" s="114">
        <f>'Balance Sheet'!AL107+AM9</f>
        <v>7758143</v>
      </c>
      <c r="AN35" s="114">
        <f>'Balance Sheet'!AM107+AN9</f>
        <v>8735160</v>
      </c>
      <c r="AO35" s="145">
        <f>'Balance Sheet'!AJ107+AO9</f>
        <v>12634163</v>
      </c>
      <c r="AP35" s="114">
        <f>'Balance Sheet'!AO107+AP9</f>
        <v>7613107</v>
      </c>
      <c r="AQ35" s="114">
        <f>'Balance Sheet'!AP107+AQ9</f>
        <v>7678699</v>
      </c>
      <c r="AR35" s="114">
        <f>'Balance Sheet'!AQ107+AR9</f>
        <v>7918728</v>
      </c>
      <c r="AS35" s="114">
        <f>'Balance Sheet'!AR107+AS9</f>
        <v>7064400</v>
      </c>
      <c r="AT35" s="145">
        <f>'Balance Sheet'!AO107+AT9</f>
        <v>11836107</v>
      </c>
      <c r="AU35" s="114">
        <f>'Balance Sheet'!AT107+AU9</f>
        <v>7015263</v>
      </c>
      <c r="AV35" s="114">
        <f>'Balance Sheet'!AU107+AV9</f>
        <v>7304965</v>
      </c>
      <c r="AW35" s="114">
        <f>'Balance Sheet'!AV107+AW9</f>
        <v>6897849</v>
      </c>
      <c r="AX35" s="114">
        <f>'Balance Sheet'!AW107+AX9</f>
        <v>7368829</v>
      </c>
      <c r="AY35" s="145">
        <f>'Balance Sheet'!AT107+AY9</f>
        <v>11871063</v>
      </c>
      <c r="AZ35" s="114">
        <f>'Balance Sheet'!AY107+AZ9</f>
        <v>6722527</v>
      </c>
      <c r="BA35" s="114">
        <f>'Balance Sheet'!AZ107+BA9</f>
        <v>6598945</v>
      </c>
      <c r="BB35" s="114">
        <f>'Balance Sheet'!BA107+BB9</f>
        <v>6076443</v>
      </c>
      <c r="BC35" s="114">
        <f>'Balance Sheet'!BB107+BC9</f>
        <v>6559927</v>
      </c>
      <c r="BD35" s="145">
        <f>'Balance Sheet'!AY107+BD9</f>
        <v>10753127</v>
      </c>
      <c r="BE35" s="114">
        <f>'Balance Sheet'!BD107+BE9</f>
        <v>5249625</v>
      </c>
      <c r="BF35" s="114">
        <f>'Balance Sheet'!BE107+BF9</f>
        <v>5140369</v>
      </c>
      <c r="BG35" s="114">
        <f>'Balance Sheet'!BF107+BG9</f>
        <v>5212022</v>
      </c>
      <c r="BH35" s="114">
        <f>'Balance Sheet'!BG107+BH9</f>
        <v>4740145</v>
      </c>
      <c r="BI35" s="145">
        <f>'Balance Sheet'!BD107+BI9</f>
        <v>7916584</v>
      </c>
      <c r="BJ35" s="114">
        <f>'Balance Sheet'!BI107+BJ9</f>
        <v>4066070</v>
      </c>
      <c r="BK35" s="114">
        <f>'Balance Sheet'!BJ107+BK9</f>
        <v>3661815</v>
      </c>
      <c r="BL35" s="114">
        <f>'Balance Sheet'!BK107+BL9</f>
        <v>3327329</v>
      </c>
      <c r="BM35" s="114">
        <f>'Balance Sheet'!BL107+BM9</f>
        <v>3396216</v>
      </c>
      <c r="BN35" s="145">
        <f>'Balance Sheet'!BI107+BN9</f>
        <v>6288067</v>
      </c>
      <c r="BO35" s="114">
        <f>'Balance Sheet'!BN107+BO9</f>
        <v>2684418</v>
      </c>
      <c r="BP35" s="114">
        <f>'Balance Sheet'!BO107+BP9</f>
        <v>2734884</v>
      </c>
      <c r="BQ35" s="114">
        <f>'Balance Sheet'!BP107+BQ9</f>
        <v>2518057</v>
      </c>
      <c r="BR35" s="114">
        <f>'Balance Sheet'!BQ107+BR9</f>
        <v>2889032</v>
      </c>
      <c r="BS35" s="145">
        <f>'Balance Sheet'!BN107+BS9</f>
        <v>5423339</v>
      </c>
      <c r="BT35" s="114">
        <f>'Balance Sheet'!BS107+BT9</f>
        <v>2267123</v>
      </c>
      <c r="BU35" s="114">
        <f>'Balance Sheet'!BT107+BU9</f>
        <v>2647259</v>
      </c>
      <c r="BV35" s="114">
        <f>'Balance Sheet'!BU107+BV9</f>
        <v>2467369</v>
      </c>
      <c r="BW35" s="114">
        <f>'Balance Sheet'!BV107+BW9</f>
        <v>3917631.7254579798</v>
      </c>
      <c r="BX35" s="145">
        <f>'Balance Sheet'!BS107+BX9</f>
        <v>6710237.7254579794</v>
      </c>
      <c r="BY35" s="114">
        <f>'Balance Sheet'!BX107+BY9</f>
        <v>2514113.0665681805</v>
      </c>
      <c r="BZ35" s="114">
        <f>'Balance Sheet'!BY107+BZ9</f>
        <v>3206400.9368501436</v>
      </c>
      <c r="CA35" s="114">
        <f>'Balance Sheet'!BZ107+CA9</f>
        <v>3464222.3303312063</v>
      </c>
      <c r="CB35" s="114">
        <f>'Balance Sheet'!CA107+CB9</f>
        <v>3937579.1095968094</v>
      </c>
      <c r="CC35" s="145">
        <f>'Balance Sheet'!BX107+CC9</f>
        <v>6330395.4433463402</v>
      </c>
      <c r="CD35" s="114">
        <f>'Balance Sheet'!CC107+CD9</f>
        <v>3812187.9834458688</v>
      </c>
      <c r="CE35" s="114">
        <f>'Balance Sheet'!CD107+CE9</f>
        <v>3567981.0889543975</v>
      </c>
      <c r="CF35" s="114">
        <f>'Balance Sheet'!CE107+CF9</f>
        <v>4754589.1025532614</v>
      </c>
      <c r="CG35" s="114">
        <f>'Balance Sheet'!CF107+CG9</f>
        <v>4880327.7667020494</v>
      </c>
      <c r="CH35" s="145">
        <f>'Balance Sheet'!CC107+CH9</f>
        <v>7896387.9416555772</v>
      </c>
      <c r="CI35" s="114">
        <f>'Balance Sheet'!CH107+CI9</f>
        <v>4386240.8944871742</v>
      </c>
      <c r="CJ35" s="114">
        <f>'Balance Sheet'!CI107+CJ9</f>
        <v>5155914.8194156727</v>
      </c>
      <c r="CK35" s="114">
        <f>'Balance Sheet'!CJ107+CK9</f>
        <v>5316388.6801327132</v>
      </c>
      <c r="CL35" s="114">
        <f>'Balance Sheet'!CK107+CL9</f>
        <v>5458501.0984918308</v>
      </c>
      <c r="CM35" s="145">
        <f>'Balance Sheet'!CH107+CM9</f>
        <v>8886314.4925273918</v>
      </c>
      <c r="CN35" s="114">
        <f>'Balance Sheet'!CM107+CN9</f>
        <v>5665727.3405780913</v>
      </c>
      <c r="CO35" s="114">
        <f>'Balance Sheet'!CN107+CO9</f>
        <v>6092174.8707555179</v>
      </c>
      <c r="CP35" s="114">
        <f>'Balance Sheet'!CO107+CP9</f>
        <v>6946972.5363245821</v>
      </c>
      <c r="CQ35" s="114">
        <f>'Balance Sheet'!CP107+CQ9</f>
        <v>7799283.3394353595</v>
      </c>
      <c r="CR35" s="145">
        <f>'Balance Sheet'!CM107+CR9</f>
        <v>12264422.087093551</v>
      </c>
      <c r="CS35" s="114">
        <f>'Balance Sheet'!CR107+CS9</f>
        <v>6788377.4591390239</v>
      </c>
      <c r="CT35" s="114">
        <f>'Balance Sheet'!CS107+CT9</f>
        <v>8248864.4593098294</v>
      </c>
      <c r="CU35" s="114">
        <f>'Balance Sheet'!CT107+CU9</f>
        <v>8515018.9775623754</v>
      </c>
      <c r="CV35" s="114">
        <f>'Balance Sheet'!CU107+CV9</f>
        <v>8945479.6974654011</v>
      </c>
      <c r="CW35" s="145">
        <f>'Balance Sheet'!CR107+CW9</f>
        <v>14135735.593476627</v>
      </c>
      <c r="CX35" s="114">
        <f>'Balance Sheet'!CW107+CX9</f>
        <v>8780783.342362199</v>
      </c>
      <c r="CY35" s="114">
        <f>'Balance Sheet'!CX107+CY9</f>
        <v>9476517.7187608387</v>
      </c>
      <c r="CZ35" s="114">
        <f>'Balance Sheet'!CY107+CZ9</f>
        <v>10466511.893692799</v>
      </c>
      <c r="DA35" s="114">
        <f>'Balance Sheet'!CZ107+DA9</f>
        <v>12694317.616957773</v>
      </c>
      <c r="DB35" s="145">
        <f>'Balance Sheet'!CW107+DB9</f>
        <v>19257819.571773611</v>
      </c>
      <c r="DC35" s="114">
        <f>'Balance Sheet'!DB107+DC9</f>
        <v>11819140.586852869</v>
      </c>
      <c r="DD35" s="114">
        <f>'Balance Sheet'!DC107+DD9</f>
        <v>12694838.235452708</v>
      </c>
      <c r="DE35" s="114">
        <f>'Balance Sheet'!DD107+DE9</f>
        <v>13395866.54355466</v>
      </c>
      <c r="DF35" s="114">
        <f>'Balance Sheet'!DE107+DF9</f>
        <v>12960780.551272169</v>
      </c>
      <c r="DG35" s="145">
        <f>'Balance Sheet'!DB107+DG9</f>
        <v>21953452.917132407</v>
      </c>
      <c r="DH35" s="114">
        <f>'Balance Sheet'!DG107+DH9</f>
        <v>14158836.603033055</v>
      </c>
      <c r="DI35" s="114">
        <f>'Balance Sheet'!DH107+DI9</f>
        <v>15128861.468440654</v>
      </c>
      <c r="DJ35" s="114">
        <f>'Balance Sheet'!DI107+DJ9</f>
        <v>16034351.61383599</v>
      </c>
      <c r="DK35" s="114">
        <f>'Balance Sheet'!DJ107+DK9</f>
        <v>17685174.631618973</v>
      </c>
      <c r="DL35" s="145">
        <f>'Balance Sheet'!DG107+DL9</f>
        <v>25828716.025595684</v>
      </c>
      <c r="DM35" s="114">
        <f>'Balance Sheet'!DL107+DM9</f>
        <v>17952450.956936508</v>
      </c>
      <c r="DN35" s="114">
        <f>'Balance Sheet'!DM107+DN9</f>
        <v>18793898.876631644</v>
      </c>
      <c r="DO35" s="114">
        <f>'Balance Sheet'!DN107+DO9</f>
        <v>19775791.480568085</v>
      </c>
      <c r="DP35" s="114">
        <f>'Balance Sheet'!DO107+DP9</f>
        <v>21271017.078620609</v>
      </c>
      <c r="DQ35" s="145">
        <f>'Balance Sheet'!DL107+DQ9</f>
        <v>30251999.228316538</v>
      </c>
      <c r="DR35" s="114">
        <f>'Balance Sheet'!DQ107+DR9</f>
        <v>21214383.073038042</v>
      </c>
      <c r="DS35" s="114">
        <f>'Balance Sheet'!DR107+DS9</f>
        <v>21773160.659833532</v>
      </c>
      <c r="DT35" s="114">
        <f>'Balance Sheet'!DS107+DT9</f>
        <v>22532852.000003554</v>
      </c>
      <c r="DU35" s="114">
        <f>'Balance Sheet'!DT107+DU9</f>
        <v>23870825.710680209</v>
      </c>
      <c r="DV35" s="145">
        <f>'Balance Sheet'!DQ107+DV9</f>
        <v>33784785.795871153</v>
      </c>
      <c r="DW35" s="114">
        <f>'Balance Sheet'!DV107+DW9</f>
        <v>23613193.323001653</v>
      </c>
      <c r="DX35" s="114">
        <f>'Balance Sheet'!DW107+DX9</f>
        <v>24038900.706509292</v>
      </c>
      <c r="DY35" s="114">
        <f>'Balance Sheet'!DX107+DY9</f>
        <v>24694362.571439862</v>
      </c>
      <c r="DZ35" s="114">
        <f>'Balance Sheet'!DY107+DZ9</f>
        <v>25978194.376857191</v>
      </c>
      <c r="EA35" s="145">
        <f>'Balance Sheet'!DV107+EA9</f>
        <v>36703202.162320212</v>
      </c>
      <c r="EB35" s="114">
        <f>'Balance Sheet'!EA107+EB9</f>
        <v>25609961.819902722</v>
      </c>
      <c r="EC35" s="114">
        <f>'Balance Sheet'!EB107+EC9</f>
        <v>25974648.626697354</v>
      </c>
      <c r="ED35" s="114">
        <f>'Balance Sheet'!EC107+ED9</f>
        <v>26586388.95538542</v>
      </c>
      <c r="EE35" s="114">
        <f>'Balance Sheet'!ED107+EE9</f>
        <v>27860017.953715838</v>
      </c>
      <c r="EF35" s="145">
        <f>'Balance Sheet'!EA107+EF9</f>
        <v>39346798.339028478</v>
      </c>
    </row>
    <row r="36" spans="1:136" ht="12.75" customHeight="1">
      <c r="A36" s="71" t="s">
        <v>728</v>
      </c>
      <c r="B36" s="114">
        <f>'Income Statement'!B5</f>
        <v>105655</v>
      </c>
      <c r="C36" s="114">
        <f>'Income Statement'!C5</f>
        <v>105655</v>
      </c>
      <c r="D36" s="114">
        <f>'Income Statement'!D5</f>
        <v>113887</v>
      </c>
      <c r="E36" s="114">
        <f>'Income Statement'!E5</f>
        <v>188437</v>
      </c>
      <c r="F36" s="145">
        <f>SUM(B36:E36)</f>
        <v>513634</v>
      </c>
      <c r="G36" s="114">
        <f>'Income Statement'!G5</f>
        <v>167756</v>
      </c>
      <c r="H36" s="114">
        <f>'Income Statement'!H5</f>
        <v>143200</v>
      </c>
      <c r="I36" s="114">
        <f>'Income Statement'!I5</f>
        <v>245810</v>
      </c>
      <c r="J36" s="114">
        <f>'Income Statement'!J5</f>
        <v>114407</v>
      </c>
      <c r="K36" s="145">
        <f>SUM(G36:J36)</f>
        <v>671173</v>
      </c>
      <c r="L36" s="114">
        <f>'Income Statement'!L5</f>
        <v>227048</v>
      </c>
      <c r="M36" s="114">
        <f>'Income Statement'!M5</f>
        <v>254121</v>
      </c>
      <c r="N36" s="114">
        <f>'Income Statement'!N5</f>
        <v>216933</v>
      </c>
      <c r="O36" s="114">
        <f>'Income Statement'!O5</f>
        <v>384406</v>
      </c>
      <c r="P36" s="145">
        <f>SUM(L36:O36)</f>
        <v>1082508</v>
      </c>
      <c r="Q36" s="114">
        <f>'Income Statement'!Q5</f>
        <v>293395</v>
      </c>
      <c r="R36" s="114">
        <f>'Income Statement'!R5</f>
        <v>374670</v>
      </c>
      <c r="S36" s="114">
        <f>'Income Statement'!S5</f>
        <v>418305</v>
      </c>
      <c r="T36" s="114">
        <f>'Income Statement'!T5</f>
        <v>943955</v>
      </c>
      <c r="U36" s="145">
        <f>SUM(Q36:T36)</f>
        <v>2030325</v>
      </c>
      <c r="V36" s="114">
        <f>'Income Statement'!V5</f>
        <v>563551</v>
      </c>
      <c r="W36" s="114">
        <f>'Income Statement'!W5</f>
        <v>822659</v>
      </c>
      <c r="X36" s="114">
        <f>'Income Statement'!X5</f>
        <v>765847</v>
      </c>
      <c r="Y36" s="114">
        <f>'Income Statement'!Y5</f>
        <v>778765</v>
      </c>
      <c r="Z36" s="145">
        <f>SUM(V36:Y36)</f>
        <v>2930822</v>
      </c>
      <c r="AA36" s="114">
        <f>'Income Statement'!AA5</f>
        <v>690242</v>
      </c>
      <c r="AB36" s="114">
        <f>'Income Statement'!AB5</f>
        <v>900919</v>
      </c>
      <c r="AC36" s="114">
        <f>'Income Statement'!AC5</f>
        <v>1383635</v>
      </c>
      <c r="AD36" s="114">
        <f>'Income Statement'!AD5</f>
        <v>1217520</v>
      </c>
      <c r="AE36" s="145">
        <f>SUM(AA36:AD36)</f>
        <v>4192316</v>
      </c>
      <c r="AF36" s="114">
        <f>'Income Statement'!AF5</f>
        <v>1158647</v>
      </c>
      <c r="AG36" s="174">
        <f>'Income Statement'!AG5+36600</f>
        <v>1254997</v>
      </c>
      <c r="AH36" s="114">
        <f>'Income Statement'!AH5</f>
        <v>1185629</v>
      </c>
      <c r="AI36" s="174">
        <f>'Income Statement'!AI5+267000</f>
        <v>1680874</v>
      </c>
      <c r="AJ36" s="145">
        <f>SUM(AF36:AI36)</f>
        <v>5280147</v>
      </c>
      <c r="AK36" s="114">
        <f>'Income Statement'!AK5</f>
        <v>1225791</v>
      </c>
      <c r="AL36" s="114">
        <f>'Income Statement'!AL5</f>
        <v>1412445</v>
      </c>
      <c r="AM36" s="114">
        <f>'Income Statement'!AM5</f>
        <v>1586902</v>
      </c>
      <c r="AN36" s="114">
        <f>'Income Statement'!AN5-195000-168000</f>
        <v>1678513</v>
      </c>
      <c r="AO36" s="145">
        <f>SUM(AK36:AN36)</f>
        <v>5903651</v>
      </c>
      <c r="AP36" s="114">
        <f>'Income Statement'!AP5</f>
        <v>1505576</v>
      </c>
      <c r="AQ36" s="114">
        <f>'Income Statement'!AQ5</f>
        <v>1414248</v>
      </c>
      <c r="AR36" s="114">
        <f>'Income Statement'!AR5</f>
        <v>1394730</v>
      </c>
      <c r="AS36" s="114">
        <f>'Income Statement'!AS5</f>
        <v>1401400</v>
      </c>
      <c r="AT36" s="145">
        <f>SUM(AP36:AS36)</f>
        <v>5715954</v>
      </c>
      <c r="AU36" s="114">
        <f>'Income Statement'!AU5</f>
        <v>1233951</v>
      </c>
      <c r="AV36" s="114">
        <f>'Income Statement'!AV5</f>
        <v>1389783</v>
      </c>
      <c r="AW36" s="114">
        <f>'Income Statement'!AW5</f>
        <v>1414214</v>
      </c>
      <c r="AX36" s="114">
        <f>'Income Statement'!AX5</f>
        <v>1410416</v>
      </c>
      <c r="AY36" s="145">
        <f>SUM(AU36:AX36)</f>
        <v>5448364</v>
      </c>
      <c r="AZ36" s="114">
        <f>'Income Statement'!AZ5</f>
        <v>1335416</v>
      </c>
      <c r="BA36" s="114">
        <f>'Income Statement'!BA5</f>
        <v>1380637</v>
      </c>
      <c r="BB36" s="114">
        <f>'Income Statement'!BB5</f>
        <v>1607593</v>
      </c>
      <c r="BC36" s="114">
        <f>'Income Statement'!BC5</f>
        <v>1558582</v>
      </c>
      <c r="BD36" s="145">
        <f>SUM(AZ36:BC36)</f>
        <v>5882228</v>
      </c>
      <c r="BE36" s="114">
        <f>'Income Statement'!BE5</f>
        <v>1054045</v>
      </c>
      <c r="BF36" s="114">
        <f>'Income Statement'!BF5</f>
        <v>1156905</v>
      </c>
      <c r="BG36" s="114">
        <f>'Income Statement'!BG5</f>
        <v>1164221</v>
      </c>
      <c r="BH36" s="114">
        <f>'Income Statement'!BH5</f>
        <v>1046063</v>
      </c>
      <c r="BI36" s="145">
        <f>SUM(BE36:BH36)</f>
        <v>4421234</v>
      </c>
      <c r="BJ36" s="114">
        <f>'Income Statement'!BJ5</f>
        <v>820283</v>
      </c>
      <c r="BK36" s="114">
        <f>'Income Statement'!BK5</f>
        <v>635730</v>
      </c>
      <c r="BL36" s="114">
        <f>'Income Statement'!BL5</f>
        <v>839121</v>
      </c>
      <c r="BM36" s="114">
        <f>'Income Statement'!BM5</f>
        <v>942441</v>
      </c>
      <c r="BN36" s="145">
        <f>SUM(BJ36:BM36)</f>
        <v>3237575</v>
      </c>
      <c r="BO36" s="114">
        <f>'Income Statement'!BO5</f>
        <v>694805</v>
      </c>
      <c r="BP36" s="114">
        <f>'Income Statement'!BP5</f>
        <v>585273</v>
      </c>
      <c r="BQ36" s="114">
        <f>'Income Statement'!BQ5</f>
        <v>608783</v>
      </c>
      <c r="BR36" s="114">
        <f>'Income Statement'!BR5</f>
        <v>826977</v>
      </c>
      <c r="BS36" s="145">
        <f>SUM(BO36:BR36)</f>
        <v>2715838</v>
      </c>
      <c r="BT36" s="114">
        <f>'Income Statement'!BT5</f>
        <v>460031</v>
      </c>
      <c r="BU36" s="114">
        <f>'Income Statement'!BU5</f>
        <v>652795</v>
      </c>
      <c r="BV36" s="114">
        <f>'Income Statement'!BV5</f>
        <v>737779</v>
      </c>
      <c r="BW36" s="114">
        <f>'Income Statement'!BW5</f>
        <v>1103392</v>
      </c>
      <c r="BX36" s="145">
        <f>SUM(BT36:BW36)</f>
        <v>2953997</v>
      </c>
      <c r="BY36" s="114">
        <f>'Income Statement'!BY5</f>
        <v>843476</v>
      </c>
      <c r="BZ36" s="114">
        <f>'Income Statement'!BZ5</f>
        <v>955662</v>
      </c>
      <c r="CA36" s="114">
        <f>'Income Statement'!CA5</f>
        <v>951409</v>
      </c>
      <c r="CB36" s="114">
        <f>'Income Statement'!CB5</f>
        <v>1257071</v>
      </c>
      <c r="CC36" s="145">
        <f>SUM(BY36:CB36)</f>
        <v>4007618</v>
      </c>
      <c r="CD36" s="114">
        <f>'Income Statement'!CD5</f>
        <v>773705</v>
      </c>
      <c r="CE36" s="114">
        <f>'Income Statement'!CE5</f>
        <v>847257</v>
      </c>
      <c r="CF36" s="114">
        <f>'Income Statement'!CF5</f>
        <v>1174787</v>
      </c>
      <c r="CG36" s="114">
        <f>'Income Statement'!CG5</f>
        <v>1059393</v>
      </c>
      <c r="CH36" s="145">
        <f>SUM(CD36:CG36)</f>
        <v>3855142</v>
      </c>
      <c r="CI36" s="114">
        <f>'Income Statement'!CI5</f>
        <v>1009104</v>
      </c>
      <c r="CJ36" s="114">
        <f>'Income Statement'!CJ5</f>
        <v>1189173</v>
      </c>
      <c r="CK36" s="114">
        <f>'Income Statement'!CK5</f>
        <v>1296990</v>
      </c>
      <c r="CL36" s="114">
        <f>'Income Statement'!CL5</f>
        <v>1308788</v>
      </c>
      <c r="CM36" s="145">
        <f>SUM(CI36:CL36)</f>
        <v>4804055</v>
      </c>
      <c r="CN36" s="114">
        <f>'Income Statement'!CN5</f>
        <v>1239201</v>
      </c>
      <c r="CO36" s="114">
        <f>'Income Statement'!CO5</f>
        <v>1254408</v>
      </c>
      <c r="CP36" s="114">
        <f>'Income Statement'!CP5</f>
        <v>1569855</v>
      </c>
      <c r="CQ36" s="114">
        <f>'Income Statement'!CQ5</f>
        <v>1391761</v>
      </c>
      <c r="CR36" s="145">
        <f>SUM(CN36:CQ36)</f>
        <v>5455225</v>
      </c>
      <c r="CS36" s="114">
        <f>'Income Statement'!CS5</f>
        <v>1301102</v>
      </c>
      <c r="CT36" s="114">
        <f>'Income Statement'!CT5</f>
        <v>1658000</v>
      </c>
      <c r="CU36" s="114">
        <f>'Income Statement'!CU5</f>
        <v>1651415</v>
      </c>
      <c r="CV36" s="114">
        <f>'Income Statement'!CV5</f>
        <v>1733240</v>
      </c>
      <c r="CW36" s="145">
        <f>SUM(CS36:CV36)</f>
        <v>6343757</v>
      </c>
      <c r="CX36" s="114">
        <f>'Income Statement'!CX5</f>
        <v>1594820</v>
      </c>
      <c r="CY36" s="114">
        <f>'Income Statement'!CY5</f>
        <v>1885707</v>
      </c>
      <c r="CZ36" s="114">
        <f>'Income Statement'!CZ5</f>
        <v>2061472</v>
      </c>
      <c r="DA36" s="114">
        <f>'Income Statement'!DA5</f>
        <v>2548108</v>
      </c>
      <c r="DB36" s="145">
        <f>SUM(CX36:DA36)</f>
        <v>8090107</v>
      </c>
      <c r="DC36" s="114">
        <f>'Income Statement'!DC5</f>
        <v>1975256</v>
      </c>
      <c r="DD36" s="114">
        <f>'Income Statement'!DD5</f>
        <v>2141635</v>
      </c>
      <c r="DE36" s="114">
        <f>'Income Statement'!DE5</f>
        <v>2163059</v>
      </c>
      <c r="DF36" s="114">
        <f>'Income Statement'!DF5</f>
        <v>3288140</v>
      </c>
      <c r="DG36" s="145">
        <f>SUM(DC36:DF36)</f>
        <v>9568090</v>
      </c>
      <c r="DH36" s="114">
        <f>'Income Statement'!DH5</f>
        <v>2050085</v>
      </c>
      <c r="DI36" s="114">
        <f>'Income Statement'!DI5</f>
        <v>2504583</v>
      </c>
      <c r="DJ36" s="114">
        <f>DJ38+DJ40</f>
        <v>2746705.322503</v>
      </c>
      <c r="DK36" s="114">
        <f>DK38+DK40</f>
        <v>3049276.4493347453</v>
      </c>
      <c r="DL36" s="145">
        <f>SUM(DH36:DK36)</f>
        <v>10350649.771837745</v>
      </c>
      <c r="DM36" s="114">
        <f>DM38+DM40</f>
        <v>2875422.9262081278</v>
      </c>
      <c r="DN36" s="114">
        <f>DN38+DN40</f>
        <v>3000689.5164706293</v>
      </c>
      <c r="DO36" s="114">
        <f>DO38+DO40</f>
        <v>3104869.7070171717</v>
      </c>
      <c r="DP36" s="114">
        <f>DP38+DP40</f>
        <v>3379451.4426163482</v>
      </c>
      <c r="DQ36" s="145">
        <f>SUM(DM36:DP36)</f>
        <v>12360433.592312276</v>
      </c>
      <c r="DR36" s="114">
        <f>DR38+DR40</f>
        <v>3200574.0841236431</v>
      </c>
      <c r="DS36" s="114">
        <f>DS38+DS40</f>
        <v>3309083.4245960535</v>
      </c>
      <c r="DT36" s="114">
        <f>DT38+DT40</f>
        <v>3404302.5764712477</v>
      </c>
      <c r="DU36" s="114">
        <f>DU38+DU40</f>
        <v>3679226.7403981723</v>
      </c>
      <c r="DV36" s="145">
        <f>SUM(DR36:DU36)</f>
        <v>13593186.825589117</v>
      </c>
      <c r="DW36" s="114">
        <f>DW38+DW40</f>
        <v>3473719.1492234441</v>
      </c>
      <c r="DX36" s="114">
        <f>DX38+DX40</f>
        <v>3580238.2897574753</v>
      </c>
      <c r="DY36" s="114">
        <f>DY38+DY40</f>
        <v>3671050.3464821</v>
      </c>
      <c r="DZ36" s="114">
        <f>DZ38+DZ40</f>
        <v>3952181.7714436082</v>
      </c>
      <c r="EA36" s="145">
        <f>SUM(DW36:DZ36)</f>
        <v>14677189.556906629</v>
      </c>
      <c r="EB36" s="114">
        <f>EB38+EB40</f>
        <v>3728308.0669397488</v>
      </c>
      <c r="EC36" s="114">
        <f>EC38+EC40</f>
        <v>3835127.1646657125</v>
      </c>
      <c r="ED36" s="114">
        <f>ED38+ED40</f>
        <v>3923345.1537071764</v>
      </c>
      <c r="EE36" s="114">
        <f>EE38+EE40</f>
        <v>4209875.1353514949</v>
      </c>
      <c r="EF36" s="145">
        <f>SUM(EB36:EE36)</f>
        <v>15696655.520664133</v>
      </c>
    </row>
    <row r="37" spans="1:136" s="175" customFormat="1" ht="12.75" customHeight="1">
      <c r="A37" s="175" t="s">
        <v>729</v>
      </c>
      <c r="B37" s="158"/>
      <c r="C37" s="158"/>
      <c r="D37" s="158"/>
      <c r="E37" s="158"/>
      <c r="F37" s="170" t="e">
        <f>F36/F35</f>
        <v>#VALUE!</v>
      </c>
      <c r="G37" s="158"/>
      <c r="H37" s="158"/>
      <c r="I37" s="158"/>
      <c r="J37" s="158"/>
      <c r="K37" s="170">
        <f>K36/K35</f>
        <v>0.4478066928942403</v>
      </c>
      <c r="L37" s="158"/>
      <c r="M37" s="158"/>
      <c r="N37" s="158"/>
      <c r="O37" s="158"/>
      <c r="P37" s="170">
        <f t="shared" ref="P37:AI37" si="68">P36/P35</f>
        <v>0.36882072276743311</v>
      </c>
      <c r="Q37" s="158">
        <f t="shared" si="68"/>
        <v>0.14773593589339468</v>
      </c>
      <c r="R37" s="158">
        <f t="shared" si="68"/>
        <v>0.1336291218540519</v>
      </c>
      <c r="S37" s="158">
        <f t="shared" si="68"/>
        <v>0.13611896062717452</v>
      </c>
      <c r="T37" s="158">
        <f>T36/T35</f>
        <v>0.20815692075370509</v>
      </c>
      <c r="U37" s="170">
        <f t="shared" si="68"/>
        <v>0.33898835686253886</v>
      </c>
      <c r="V37" s="158">
        <f t="shared" si="68"/>
        <v>0.12535908178278071</v>
      </c>
      <c r="W37" s="158">
        <f t="shared" si="68"/>
        <v>0.1400784219439774</v>
      </c>
      <c r="X37" s="158">
        <f t="shared" si="68"/>
        <v>0.12549252547630324</v>
      </c>
      <c r="Y37" s="158">
        <f t="shared" si="68"/>
        <v>0.13192810374473779</v>
      </c>
      <c r="Z37" s="170">
        <f t="shared" si="68"/>
        <v>0.36385095630581077</v>
      </c>
      <c r="AA37" s="158">
        <f t="shared" si="68"/>
        <v>0.12268837928061206</v>
      </c>
      <c r="AB37" s="158">
        <f t="shared" si="68"/>
        <v>0.15639828033223302</v>
      </c>
      <c r="AC37" s="158">
        <f t="shared" si="68"/>
        <v>0.23205711855276231</v>
      </c>
      <c r="AD37" s="158">
        <f t="shared" si="68"/>
        <v>0.17932675581944427</v>
      </c>
      <c r="AE37" s="170">
        <f t="shared" si="68"/>
        <v>0.40445784688931974</v>
      </c>
      <c r="AF37" s="158">
        <f>AF36/AF35</f>
        <v>0.18421078990090128</v>
      </c>
      <c r="AG37" s="158">
        <f t="shared" si="68"/>
        <v>0.18531939098143613</v>
      </c>
      <c r="AH37" s="158">
        <f t="shared" si="68"/>
        <v>0.17230500262316906</v>
      </c>
      <c r="AI37" s="158">
        <f t="shared" si="68"/>
        <v>0.20137479449186071</v>
      </c>
      <c r="AJ37" s="170">
        <f t="shared" ref="AJ37:AO37" si="69">AJ36/AJ35</f>
        <v>0.46331527068309458</v>
      </c>
      <c r="AK37" s="158">
        <f>AK36/AK35</f>
        <v>0.17179579499445213</v>
      </c>
      <c r="AL37" s="158">
        <f t="shared" si="69"/>
        <v>0.1848266644403728</v>
      </c>
      <c r="AM37" s="158">
        <f t="shared" si="69"/>
        <v>0.20454662926424533</v>
      </c>
      <c r="AN37" s="158">
        <f>AN36/AN35</f>
        <v>0.19215595364023097</v>
      </c>
      <c r="AO37" s="171">
        <f t="shared" si="69"/>
        <v>0.46727677963312647</v>
      </c>
      <c r="AP37" s="158">
        <f t="shared" ref="AP37:AX37" si="70">AP36/AP35</f>
        <v>0.19776104552320098</v>
      </c>
      <c r="AQ37" s="158">
        <f t="shared" si="70"/>
        <v>0.18417807495775002</v>
      </c>
      <c r="AR37" s="158">
        <f t="shared" si="70"/>
        <v>0.17613056036272492</v>
      </c>
      <c r="AS37" s="158">
        <f t="shared" si="70"/>
        <v>0.19837495045580658</v>
      </c>
      <c r="AT37" s="171">
        <f t="shared" si="70"/>
        <v>0.48292517125774548</v>
      </c>
      <c r="AU37" s="158">
        <f t="shared" si="70"/>
        <v>0.17589518739354462</v>
      </c>
      <c r="AV37" s="158">
        <f t="shared" si="70"/>
        <v>0.19025183556663175</v>
      </c>
      <c r="AW37" s="158">
        <f t="shared" si="70"/>
        <v>0.20502246424936238</v>
      </c>
      <c r="AX37" s="158">
        <f t="shared" si="70"/>
        <v>0.19140300310944927</v>
      </c>
      <c r="AY37" s="171">
        <f t="shared" ref="AY37:CG37" si="71">AY36/AY35</f>
        <v>0.45896176273346373</v>
      </c>
      <c r="AZ37" s="158">
        <f t="shared" si="71"/>
        <v>0.19864791915302088</v>
      </c>
      <c r="BA37" s="158">
        <f t="shared" si="71"/>
        <v>0.20922086788115374</v>
      </c>
      <c r="BB37" s="158">
        <f t="shared" si="71"/>
        <v>0.26456152061329302</v>
      </c>
      <c r="BC37" s="158">
        <f t="shared" ref="BC37:BH37" si="72">BC36/BC35</f>
        <v>0.23759136344047732</v>
      </c>
      <c r="BD37" s="171">
        <f t="shared" si="72"/>
        <v>0.5470248793676481</v>
      </c>
      <c r="BE37" s="158">
        <f t="shared" si="72"/>
        <v>0.20078481796318784</v>
      </c>
      <c r="BF37" s="158">
        <f t="shared" si="72"/>
        <v>0.22506263655391276</v>
      </c>
      <c r="BG37" s="158">
        <f t="shared" si="72"/>
        <v>0.22337223442264825</v>
      </c>
      <c r="BH37" s="158">
        <f t="shared" si="72"/>
        <v>0.22068164581463226</v>
      </c>
      <c r="BI37" s="171">
        <f t="shared" si="71"/>
        <v>0.55847749483868292</v>
      </c>
      <c r="BJ37" s="158">
        <f t="shared" si="71"/>
        <v>0.20173853376847914</v>
      </c>
      <c r="BK37" s="158">
        <f t="shared" si="71"/>
        <v>0.1736106275166823</v>
      </c>
      <c r="BL37" s="158">
        <f t="shared" si="71"/>
        <v>0.25219057087531771</v>
      </c>
      <c r="BM37" s="158">
        <f t="shared" si="71"/>
        <v>0.27749736765859417</v>
      </c>
      <c r="BN37" s="171">
        <f t="shared" si="71"/>
        <v>0.51487603424072925</v>
      </c>
      <c r="BO37" s="158">
        <f>BO36/BO35</f>
        <v>0.25882891561597338</v>
      </c>
      <c r="BP37" s="158">
        <f>BP36/BP35</f>
        <v>0.21400286081603462</v>
      </c>
      <c r="BQ37" s="158">
        <f>BQ36/BQ35</f>
        <v>0.24176696556114496</v>
      </c>
      <c r="BR37" s="158">
        <f>BR36/BR35</f>
        <v>0.28624708899036078</v>
      </c>
      <c r="BS37" s="171">
        <f t="shared" si="71"/>
        <v>0.50076862242983522</v>
      </c>
      <c r="BT37" s="158">
        <f t="shared" si="71"/>
        <v>0.20291400157821168</v>
      </c>
      <c r="BU37" s="158">
        <f t="shared" si="71"/>
        <v>0.24659279654918539</v>
      </c>
      <c r="BV37" s="158">
        <f t="shared" si="71"/>
        <v>0.29901445628927009</v>
      </c>
      <c r="BW37" s="158">
        <f t="shared" si="71"/>
        <v>0.28164770895380958</v>
      </c>
      <c r="BX37" s="171">
        <f t="shared" si="71"/>
        <v>0.4402224065464666</v>
      </c>
      <c r="BY37" s="158">
        <f>BY36/BY35</f>
        <v>0.33549644652671223</v>
      </c>
      <c r="BZ37" s="158">
        <f>BZ36/BZ35</f>
        <v>0.29804819135900362</v>
      </c>
      <c r="CA37" s="158">
        <f>CA36/CA35</f>
        <v>0.27463855066976545</v>
      </c>
      <c r="CB37" s="158">
        <f>CB36/CB35</f>
        <v>0.31924971283401554</v>
      </c>
      <c r="CC37" s="171">
        <f t="shared" si="71"/>
        <v>0.63307545885024741</v>
      </c>
      <c r="CD37" s="158">
        <f t="shared" si="71"/>
        <v>0.20295562636463732</v>
      </c>
      <c r="CE37" s="158">
        <f t="shared" si="71"/>
        <v>0.23746118011188508</v>
      </c>
      <c r="CF37" s="158">
        <f t="shared" si="71"/>
        <v>0.2470848636255713</v>
      </c>
      <c r="CG37" s="158">
        <f t="shared" si="71"/>
        <v>0.21707414965612029</v>
      </c>
      <c r="CH37" s="171">
        <f t="shared" ref="CH37:DG37" si="73">CH36/CH35</f>
        <v>0.48821588155048534</v>
      </c>
      <c r="CI37" s="158">
        <f t="shared" si="73"/>
        <v>0.23006123563990466</v>
      </c>
      <c r="CJ37" s="158">
        <f t="shared" si="73"/>
        <v>0.23064248375902585</v>
      </c>
      <c r="CK37" s="158">
        <f>CK36/CK35</f>
        <v>0.24396071808045894</v>
      </c>
      <c r="CL37" s="158">
        <f>CL36/CL35</f>
        <v>0.23977058470531673</v>
      </c>
      <c r="CM37" s="171">
        <f t="shared" si="73"/>
        <v>0.54061275954612986</v>
      </c>
      <c r="CN37" s="158">
        <f>CN36/CN35</f>
        <v>0.21871878498719999</v>
      </c>
      <c r="CO37" s="158">
        <f>CO36/CO35</f>
        <v>0.20590479206721052</v>
      </c>
      <c r="CP37" s="158">
        <f>CP36/CP35</f>
        <v>0.22597685420396946</v>
      </c>
      <c r="CQ37" s="158">
        <f>CQ36/CQ35</f>
        <v>0.17844729309459331</v>
      </c>
      <c r="CR37" s="171">
        <f t="shared" si="73"/>
        <v>0.44480081990498349</v>
      </c>
      <c r="CS37" s="158">
        <f t="shared" si="73"/>
        <v>0.19166612461249613</v>
      </c>
      <c r="CT37" s="158">
        <f t="shared" si="73"/>
        <v>0.20099736250712047</v>
      </c>
      <c r="CU37" s="158">
        <f t="shared" si="73"/>
        <v>0.19394143505159356</v>
      </c>
      <c r="CV37" s="158">
        <f t="shared" si="73"/>
        <v>0.19375595927975708</v>
      </c>
      <c r="CW37" s="171">
        <f t="shared" si="73"/>
        <v>0.44877445238347008</v>
      </c>
      <c r="CX37" s="158">
        <f>CX36/CX35</f>
        <v>0.18162616452519859</v>
      </c>
      <c r="CY37" s="158">
        <f t="shared" ref="CY37:DA37" si="74">CY36/CY35</f>
        <v>0.19898733437355692</v>
      </c>
      <c r="CZ37" s="158">
        <f t="shared" si="74"/>
        <v>0.19695883604185832</v>
      </c>
      <c r="DA37" s="158">
        <f t="shared" si="74"/>
        <v>0.20072823738048717</v>
      </c>
      <c r="DB37" s="171">
        <f t="shared" si="73"/>
        <v>0.42009465141410685</v>
      </c>
      <c r="DC37" s="158">
        <f>DC36/DC35</f>
        <v>0.16712348799685101</v>
      </c>
      <c r="DD37" s="158">
        <f t="shared" ref="DD37:DF37" si="75">DD36/DD35</f>
        <v>0.16870124378734375</v>
      </c>
      <c r="DE37" s="158">
        <f t="shared" si="75"/>
        <v>0.16147212223764223</v>
      </c>
      <c r="DF37" s="158">
        <f t="shared" si="75"/>
        <v>0.25369922644645437</v>
      </c>
      <c r="DG37" s="171">
        <f t="shared" si="73"/>
        <v>0.43583531192640279</v>
      </c>
      <c r="DH37" s="158">
        <f>DH36/DH35</f>
        <v>0.14479191034387939</v>
      </c>
      <c r="DI37" s="158">
        <f t="shared" ref="DI37" si="76">DI36/DI35</f>
        <v>0.16554999893578573</v>
      </c>
      <c r="DJ37" s="158">
        <f t="shared" ref="DJ37:DV37" si="77">DJ36/DJ35</f>
        <v>0.17130130289352496</v>
      </c>
      <c r="DK37" s="158">
        <f t="shared" si="77"/>
        <v>0.17241992306273327</v>
      </c>
      <c r="DL37" s="171">
        <f t="shared" si="77"/>
        <v>0.40074194015608366</v>
      </c>
      <c r="DM37" s="158">
        <f t="shared" si="77"/>
        <v>0.16016882224636383</v>
      </c>
      <c r="DN37" s="158">
        <f t="shared" si="77"/>
        <v>0.1596629595683145</v>
      </c>
      <c r="DO37" s="158">
        <f t="shared" si="77"/>
        <v>0.15700356216174971</v>
      </c>
      <c r="DP37" s="158">
        <f t="shared" si="77"/>
        <v>0.15887587462909883</v>
      </c>
      <c r="DQ37" s="171">
        <f t="shared" si="77"/>
        <v>0.40858237166496547</v>
      </c>
      <c r="DR37" s="158">
        <f t="shared" si="77"/>
        <v>0.15086811966695102</v>
      </c>
      <c r="DS37" s="158">
        <f t="shared" si="77"/>
        <v>0.15197992961584814</v>
      </c>
      <c r="DT37" s="158">
        <f t="shared" si="77"/>
        <v>0.15108174395636695</v>
      </c>
      <c r="DU37" s="158">
        <f t="shared" si="77"/>
        <v>0.15413068592562446</v>
      </c>
      <c r="DV37" s="171">
        <f t="shared" si="77"/>
        <v>0.40234639662123722</v>
      </c>
      <c r="DW37" s="158">
        <f t="shared" ref="DW37:EF37" si="78">DW36/DW35</f>
        <v>0.14710924954989837</v>
      </c>
      <c r="DX37" s="158">
        <f t="shared" si="78"/>
        <v>0.14893519189868831</v>
      </c>
      <c r="DY37" s="158">
        <f t="shared" si="78"/>
        <v>0.14865944953476282</v>
      </c>
      <c r="DZ37" s="158">
        <f t="shared" si="78"/>
        <v>0.15213458310884106</v>
      </c>
      <c r="EA37" s="171">
        <f t="shared" si="78"/>
        <v>0.39988852994342672</v>
      </c>
      <c r="EB37" s="158">
        <f t="shared" si="78"/>
        <v>0.14558038364751888</v>
      </c>
      <c r="EC37" s="158">
        <f t="shared" si="78"/>
        <v>0.1476488563823681</v>
      </c>
      <c r="ED37" s="158">
        <f t="shared" si="78"/>
        <v>0.14756968914774157</v>
      </c>
      <c r="EE37" s="158">
        <f t="shared" si="78"/>
        <v>0.15110812715000427</v>
      </c>
      <c r="EF37" s="171">
        <f t="shared" si="78"/>
        <v>0.3989309469455477</v>
      </c>
    </row>
    <row r="38" spans="1:136" ht="12.75" customHeight="1">
      <c r="A38" s="66" t="s">
        <v>884</v>
      </c>
      <c r="B38" s="395"/>
      <c r="C38" s="395"/>
      <c r="D38" s="395"/>
      <c r="E38" s="395"/>
      <c r="F38" s="145"/>
      <c r="G38" s="114"/>
      <c r="H38" s="114"/>
      <c r="I38" s="114"/>
      <c r="J38" s="114"/>
      <c r="K38" s="145"/>
      <c r="L38" s="114"/>
      <c r="M38" s="114"/>
      <c r="N38" s="114"/>
      <c r="O38" s="114"/>
      <c r="P38" s="145"/>
      <c r="Q38" s="114"/>
      <c r="R38" s="114"/>
      <c r="S38" s="114"/>
      <c r="T38" s="114"/>
      <c r="U38" s="145"/>
      <c r="V38" s="114"/>
      <c r="W38" s="114"/>
      <c r="X38" s="114"/>
      <c r="Y38" s="114"/>
      <c r="Z38" s="145">
        <f>SUM(V38:Y38)</f>
        <v>0</v>
      </c>
      <c r="AA38" s="114"/>
      <c r="AB38" s="114"/>
      <c r="AC38" s="114"/>
      <c r="AD38" s="114"/>
      <c r="AE38" s="145">
        <f>SUM(AA38:AD38)</f>
        <v>0</v>
      </c>
      <c r="AF38" s="114"/>
      <c r="AG38" s="114"/>
      <c r="AH38" s="114"/>
      <c r="AI38" s="307"/>
      <c r="AJ38" s="145">
        <f>SUM(AF38:AI38)</f>
        <v>0</v>
      </c>
      <c r="AK38" s="307"/>
      <c r="AL38" s="307"/>
      <c r="AM38" s="307"/>
      <c r="AN38" s="307">
        <v>152576</v>
      </c>
      <c r="AO38" s="145">
        <f>SUM(AK38:AN38)</f>
        <v>152576</v>
      </c>
      <c r="AP38" s="79">
        <f>AP36-AP40</f>
        <v>482678.88</v>
      </c>
      <c r="AQ38" s="79">
        <f>AQ36-AQ40</f>
        <v>395912.16000000003</v>
      </c>
      <c r="AR38" s="79">
        <f>AR36-AR40</f>
        <v>408613.52</v>
      </c>
      <c r="AS38" s="79">
        <f>AS36-AS40</f>
        <v>455640</v>
      </c>
      <c r="AT38" s="145">
        <f>SUM(AP38:AS38)</f>
        <v>1742844.56</v>
      </c>
      <c r="AU38" s="79">
        <f>AU36-AU40</f>
        <v>296404.91999999993</v>
      </c>
      <c r="AV38" s="79">
        <f>AV36-AV40</f>
        <v>491308.6</v>
      </c>
      <c r="AW38" s="79">
        <f>AW36-AW40</f>
        <v>528254.16</v>
      </c>
      <c r="AX38" s="79">
        <f>AX36-AX40</f>
        <v>464684.06999999995</v>
      </c>
      <c r="AY38" s="145">
        <f>SUM(AU38:AX38)</f>
        <v>1780651.75</v>
      </c>
      <c r="AZ38" s="79">
        <f>AZ36-AZ40</f>
        <v>507443.67999999993</v>
      </c>
      <c r="BA38" s="79">
        <f>BA36-BA40</f>
        <v>526021.79999999993</v>
      </c>
      <c r="BB38" s="79">
        <f>BB36-BB40</f>
        <v>489015.54000000004</v>
      </c>
      <c r="BC38" s="79">
        <f>BC36-BC40</f>
        <v>746164.40999999992</v>
      </c>
      <c r="BD38" s="145">
        <f>SUM(AZ38:BC38)</f>
        <v>2268645.4299999997</v>
      </c>
      <c r="BE38" s="79">
        <f>BE36-BE40</f>
        <v>284455.33999999997</v>
      </c>
      <c r="BF38" s="79">
        <f>BF36-BF40</f>
        <v>421363.95999999996</v>
      </c>
      <c r="BG38" s="79">
        <f>BG36-BG40</f>
        <v>449754.00999999989</v>
      </c>
      <c r="BH38" s="79">
        <f>BH36-BH40</f>
        <v>344761.76</v>
      </c>
      <c r="BI38" s="145">
        <f>SUM(BE38:BH38)</f>
        <v>1500335.0699999998</v>
      </c>
      <c r="BJ38" s="79">
        <f>BJ36-BJ40</f>
        <v>221457.14999999991</v>
      </c>
      <c r="BK38" s="79">
        <f>BK36-BK40</f>
        <v>108145.88</v>
      </c>
      <c r="BL38" s="79">
        <f>BL36-BL40</f>
        <v>370944.56999999995</v>
      </c>
      <c r="BM38" s="79">
        <f>BM36-BM40</f>
        <v>527370.3600000001</v>
      </c>
      <c r="BN38" s="145">
        <f>SUM(BJ38:BM38)</f>
        <v>1227917.96</v>
      </c>
      <c r="BO38" s="79">
        <f>BO36-BO40</f>
        <v>326853.94</v>
      </c>
      <c r="BP38" s="79">
        <f>BP36-BP40</f>
        <v>229073.88</v>
      </c>
      <c r="BQ38" s="79">
        <f>BQ36-BQ40</f>
        <v>286866.14</v>
      </c>
      <c r="BR38" s="79">
        <f>BR36-BR40</f>
        <v>532543.62</v>
      </c>
      <c r="BS38" s="145">
        <f>SUM(BO38:BR38)</f>
        <v>1375337.58</v>
      </c>
      <c r="BT38" s="79">
        <f>BT36-BT40</f>
        <v>195386.03999999998</v>
      </c>
      <c r="BU38" s="79">
        <f>BU36-BU40</f>
        <v>398983.16000000003</v>
      </c>
      <c r="BV38" s="79">
        <f>BV36-BV40</f>
        <v>493879.95999999996</v>
      </c>
      <c r="BW38" s="79">
        <f>BW36-BW40</f>
        <v>866839.67999999993</v>
      </c>
      <c r="BX38" s="145">
        <f>SUM(BT38:BW38)</f>
        <v>1955088.8399999999</v>
      </c>
      <c r="BY38" s="79">
        <f>BY36-BY40</f>
        <v>564902.88</v>
      </c>
      <c r="BZ38" s="79">
        <f>BZ36-BZ40</f>
        <v>651513.19999999995</v>
      </c>
      <c r="CA38" s="79">
        <f>CA36-CA40</f>
        <v>576872.04</v>
      </c>
      <c r="CB38" s="79">
        <f>CB36-CB40</f>
        <v>849049.56</v>
      </c>
      <c r="CC38" s="145">
        <f>SUM(BY38:CB38)</f>
        <v>2642337.6800000002</v>
      </c>
      <c r="CD38" s="79">
        <f>CD36-CD40</f>
        <v>299145.15999999997</v>
      </c>
      <c r="CE38" s="79">
        <f>CE36-CE40</f>
        <v>358360.52</v>
      </c>
      <c r="CF38" s="79">
        <f>CF36-CF40</f>
        <v>687913.08000000007</v>
      </c>
      <c r="CG38" s="79">
        <f>CG36-CG40</f>
        <v>576171.72</v>
      </c>
      <c r="CH38" s="145">
        <f>SUM(CD38:CG38)</f>
        <v>1921590.48</v>
      </c>
      <c r="CI38" s="79">
        <f>CI36-CI40</f>
        <v>505804.65</v>
      </c>
      <c r="CJ38" s="79">
        <f>CJ36-CJ40</f>
        <v>649779</v>
      </c>
      <c r="CK38" s="79">
        <f>CK36-CK40</f>
        <v>704372.25</v>
      </c>
      <c r="CL38" s="79">
        <f>CL36-CL40</f>
        <v>726190.1</v>
      </c>
      <c r="CM38" s="145">
        <f>SUM(CI38:CL38)</f>
        <v>2586146</v>
      </c>
      <c r="CN38" s="79">
        <f>CN36-CN40</f>
        <v>695046</v>
      </c>
      <c r="CO38" s="79">
        <f>CO36-CO40</f>
        <v>695641.25</v>
      </c>
      <c r="CP38" s="79">
        <f>CP36-CP40</f>
        <v>987198.125</v>
      </c>
      <c r="CQ38" s="79">
        <f>CQ36-CQ40</f>
        <v>753217.625</v>
      </c>
      <c r="CR38" s="145">
        <f>SUM(CN38:CQ38)</f>
        <v>3131103</v>
      </c>
      <c r="CS38" s="79">
        <f>CS36-CS40</f>
        <v>645623.75</v>
      </c>
      <c r="CT38" s="79">
        <f>CT36-CT40</f>
        <v>938296.125</v>
      </c>
      <c r="CU38" s="79">
        <f>CU36-CU40</f>
        <v>869936.25</v>
      </c>
      <c r="CV38" s="79">
        <f>CV36-CV40</f>
        <v>939172</v>
      </c>
      <c r="CW38" s="145">
        <f>SUM(CS38:CV38)</f>
        <v>3393028.125</v>
      </c>
      <c r="CX38" s="79">
        <f>CX36-CX40</f>
        <v>765613.25</v>
      </c>
      <c r="CY38" s="79">
        <f>CY36-CY40</f>
        <v>997580.375</v>
      </c>
      <c r="CZ38" s="79">
        <f>CZ36-CZ40</f>
        <v>1153230.125</v>
      </c>
      <c r="DA38" s="79">
        <f>DA36-DA40</f>
        <v>1574437.625</v>
      </c>
      <c r="DB38" s="145">
        <f>SUM(CX38:DA38)</f>
        <v>4490861.375</v>
      </c>
      <c r="DC38" s="79">
        <f>DC36-DC40</f>
        <v>1096227.1000000001</v>
      </c>
      <c r="DD38" s="79">
        <f>DD36-DD40</f>
        <v>1197939.3999999999</v>
      </c>
      <c r="DE38" s="79">
        <f>DE36-DE40</f>
        <v>1178156.2999999998</v>
      </c>
      <c r="DF38" s="79">
        <f>DF36-DF40</f>
        <v>2084241.25</v>
      </c>
      <c r="DG38" s="145">
        <f>SUM(DC38:DF38)</f>
        <v>5556564.0499999998</v>
      </c>
      <c r="DH38" s="79">
        <f>DH36-DH40</f>
        <v>928359.2</v>
      </c>
      <c r="DI38" s="79">
        <f>DI36-DI40</f>
        <v>1338372.5</v>
      </c>
      <c r="DJ38" s="114">
        <f>DJ34*DJ39</f>
        <v>1523829.6225030001</v>
      </c>
      <c r="DK38" s="114">
        <f>DK34*DK39</f>
        <v>1720511.8202014465</v>
      </c>
      <c r="DL38" s="145">
        <f>SUM(DH38:DK38)</f>
        <v>5511073.1427044468</v>
      </c>
      <c r="DM38" s="114">
        <f>DM34*DM39</f>
        <v>1411833.1079797049</v>
      </c>
      <c r="DN38" s="114">
        <f>DN34*DN39</f>
        <v>1492986.7133977911</v>
      </c>
      <c r="DO38" s="114">
        <f>DO34*DO39</f>
        <v>1525548.7710010703</v>
      </c>
      <c r="DP38" s="114">
        <f>DP34*DP39</f>
        <v>1712359.2652612564</v>
      </c>
      <c r="DQ38" s="145">
        <f>SUM(DM38:DP38)</f>
        <v>6142727.8576398222</v>
      </c>
      <c r="DR38" s="114">
        <f>DR34*DR39</f>
        <v>1411417.5205232168</v>
      </c>
      <c r="DS38" s="114">
        <f>DS34*DS39</f>
        <v>1507702.5257046134</v>
      </c>
      <c r="DT38" s="114">
        <f>DT34*DT39</f>
        <v>1557894.8529474994</v>
      </c>
      <c r="DU38" s="114">
        <f>DU34*DU39</f>
        <v>1766371.7980449414</v>
      </c>
      <c r="DV38" s="145">
        <f>SUM(DR38:DU38)</f>
        <v>6243386.6972202715</v>
      </c>
      <c r="DW38" s="114">
        <f>DW34*DW39</f>
        <v>1454559.2521952402</v>
      </c>
      <c r="DX38" s="114">
        <f>DX34*DX39</f>
        <v>1566290.8723796546</v>
      </c>
      <c r="DY38" s="114">
        <f>DY34*DY39</f>
        <v>1625184.1048069187</v>
      </c>
      <c r="DZ38" s="114">
        <f>DZ34*DZ39</f>
        <v>1849850.5489478318</v>
      </c>
      <c r="EA38" s="145">
        <f>SUM(DW38:DZ38)</f>
        <v>6495884.7783296453</v>
      </c>
      <c r="EB38" s="114">
        <f>EB34*EB39</f>
        <v>1525706.8063983901</v>
      </c>
      <c r="EC38" s="114">
        <f>EC34*EC39</f>
        <v>1646961.789369415</v>
      </c>
      <c r="ED38" s="114">
        <f>ED34*ED39</f>
        <v>1709393.0075040122</v>
      </c>
      <c r="EE38" s="114">
        <f>EE34*EE39</f>
        <v>1943570.7551836704</v>
      </c>
      <c r="EF38" s="145">
        <f>SUM(EB38:EE38)</f>
        <v>6825632.3584554885</v>
      </c>
    </row>
    <row r="39" spans="1:136" ht="12.75" customHeight="1">
      <c r="A39" s="66" t="s">
        <v>729</v>
      </c>
      <c r="B39" s="66" t="e">
        <f t="shared" ref="B39:AO39" si="79">B38/B34</f>
        <v>#DIV/0!</v>
      </c>
      <c r="C39" s="66" t="e">
        <f t="shared" si="79"/>
        <v>#DIV/0!</v>
      </c>
      <c r="D39" s="66" t="e">
        <f t="shared" si="79"/>
        <v>#DIV/0!</v>
      </c>
      <c r="E39" s="66" t="e">
        <f t="shared" si="79"/>
        <v>#DIV/0!</v>
      </c>
      <c r="F39" s="67" t="e">
        <f t="shared" si="79"/>
        <v>#DIV/0!</v>
      </c>
      <c r="G39" s="66" t="e">
        <f t="shared" si="79"/>
        <v>#DIV/0!</v>
      </c>
      <c r="H39" s="66" t="e">
        <f t="shared" si="79"/>
        <v>#DIV/0!</v>
      </c>
      <c r="I39" s="66" t="e">
        <f t="shared" si="79"/>
        <v>#DIV/0!</v>
      </c>
      <c r="J39" s="66" t="e">
        <f t="shared" si="79"/>
        <v>#DIV/0!</v>
      </c>
      <c r="K39" s="67" t="e">
        <f t="shared" si="79"/>
        <v>#DIV/0!</v>
      </c>
      <c r="L39" s="66" t="e">
        <f t="shared" si="79"/>
        <v>#DIV/0!</v>
      </c>
      <c r="M39" s="66" t="e">
        <f t="shared" si="79"/>
        <v>#DIV/0!</v>
      </c>
      <c r="N39" s="66" t="e">
        <f t="shared" si="79"/>
        <v>#DIV/0!</v>
      </c>
      <c r="O39" s="66" t="e">
        <f t="shared" si="79"/>
        <v>#DIV/0!</v>
      </c>
      <c r="P39" s="67" t="e">
        <f t="shared" si="79"/>
        <v>#DIV/0!</v>
      </c>
      <c r="Q39" s="66" t="e">
        <f t="shared" si="79"/>
        <v>#DIV/0!</v>
      </c>
      <c r="R39" s="66" t="e">
        <f t="shared" si="79"/>
        <v>#DIV/0!</v>
      </c>
      <c r="S39" s="66" t="e">
        <f t="shared" si="79"/>
        <v>#DIV/0!</v>
      </c>
      <c r="T39" s="66" t="e">
        <f t="shared" si="79"/>
        <v>#DIV/0!</v>
      </c>
      <c r="U39" s="67" t="e">
        <f t="shared" si="79"/>
        <v>#DIV/0!</v>
      </c>
      <c r="V39" s="66" t="e">
        <f t="shared" si="79"/>
        <v>#DIV/0!</v>
      </c>
      <c r="W39" s="66" t="e">
        <f t="shared" si="79"/>
        <v>#DIV/0!</v>
      </c>
      <c r="X39" s="66" t="e">
        <f t="shared" si="79"/>
        <v>#DIV/0!</v>
      </c>
      <c r="Y39" s="66" t="e">
        <f t="shared" si="79"/>
        <v>#DIV/0!</v>
      </c>
      <c r="Z39" s="67" t="e">
        <f t="shared" si="79"/>
        <v>#DIV/0!</v>
      </c>
      <c r="AA39" s="66" t="e">
        <f t="shared" si="79"/>
        <v>#DIV/0!</v>
      </c>
      <c r="AB39" s="66" t="e">
        <f t="shared" si="79"/>
        <v>#DIV/0!</v>
      </c>
      <c r="AC39" s="66" t="e">
        <f t="shared" si="79"/>
        <v>#DIV/0!</v>
      </c>
      <c r="AD39" s="66" t="e">
        <f t="shared" si="79"/>
        <v>#DIV/0!</v>
      </c>
      <c r="AE39" s="111" t="e">
        <f t="shared" si="79"/>
        <v>#DIV/0!</v>
      </c>
      <c r="AF39" s="395" t="e">
        <f t="shared" si="79"/>
        <v>#DIV/0!</v>
      </c>
      <c r="AG39" s="395" t="e">
        <f t="shared" si="79"/>
        <v>#DIV/0!</v>
      </c>
      <c r="AH39" s="395" t="e">
        <f t="shared" si="79"/>
        <v>#DIV/0!</v>
      </c>
      <c r="AI39" s="395" t="e">
        <f t="shared" si="79"/>
        <v>#DIV/0!</v>
      </c>
      <c r="AJ39" s="111" t="e">
        <f t="shared" si="79"/>
        <v>#DIV/0!</v>
      </c>
      <c r="AK39" s="395">
        <f t="shared" si="79"/>
        <v>0</v>
      </c>
      <c r="AL39" s="395">
        <f t="shared" si="79"/>
        <v>0</v>
      </c>
      <c r="AM39" s="395">
        <f t="shared" si="79"/>
        <v>0</v>
      </c>
      <c r="AN39" s="395">
        <f t="shared" si="79"/>
        <v>0.11406834839429376</v>
      </c>
      <c r="AO39" s="111">
        <f t="shared" si="79"/>
        <v>3.9224600479849395E-2</v>
      </c>
      <c r="AP39" s="131">
        <f>AP38/(AP9)</f>
        <v>0.39563842622950818</v>
      </c>
      <c r="AQ39" s="131">
        <f>AQ38/(AQ9)</f>
        <v>0.30128008522943461</v>
      </c>
      <c r="AR39" s="131">
        <f>AR38/(AR9)</f>
        <v>0.23276190259185417</v>
      </c>
      <c r="AS39" s="131">
        <f>AS38/(AS9)</f>
        <v>0.39504074908964798</v>
      </c>
      <c r="AT39" s="91">
        <f>AT38/AT10</f>
        <v>0.39760107678970663</v>
      </c>
      <c r="AU39" s="131">
        <f>AU38/(AU9)</f>
        <v>0.25649439252336442</v>
      </c>
      <c r="AV39" s="131">
        <f>AV38/(AV9)</f>
        <v>0.29080118378218406</v>
      </c>
      <c r="AW39" s="131">
        <f>AW38/(AW9)</f>
        <v>0.38825088931353818</v>
      </c>
      <c r="AX39" s="131">
        <f>AX38/(AX9)</f>
        <v>0.25734289749127759</v>
      </c>
      <c r="AY39" s="91">
        <f>AY38/AY10</f>
        <v>0.35006718633271733</v>
      </c>
      <c r="AZ39" s="131">
        <f>AZ38/(AZ9)</f>
        <v>0.32786953543968467</v>
      </c>
      <c r="BA39" s="131">
        <f>BA38/(BA9)</f>
        <v>0.41827433206106862</v>
      </c>
      <c r="BB39" s="131">
        <f>BB38/(BB9)</f>
        <v>0.49295921370967744</v>
      </c>
      <c r="BC39" s="131">
        <f>BC38/(BC9)</f>
        <v>0.4189581190342504</v>
      </c>
      <c r="BD39" s="91">
        <f>BD38/BD34</f>
        <v>0.4066911836939569</v>
      </c>
      <c r="BE39" s="131">
        <f>BE38/(BE9)</f>
        <v>0.39364061957275326</v>
      </c>
      <c r="BF39" s="131">
        <f>BF38/(BF9)</f>
        <v>0.51786435807717501</v>
      </c>
      <c r="BG39" s="131">
        <f>BG38/(BG9)</f>
        <v>0.44562087637165282</v>
      </c>
      <c r="BH39" s="131">
        <f>BH38/(BH9)</f>
        <v>0.40847243038433606</v>
      </c>
      <c r="BI39" s="91">
        <f>BI38/BI34</f>
        <v>0.44263077260762812</v>
      </c>
      <c r="BJ39" s="131">
        <f>BJ38/(BJ9)</f>
        <v>0.40741613238527113</v>
      </c>
      <c r="BK39" s="131">
        <f>BK38/(BK9)</f>
        <v>0.19367827228459525</v>
      </c>
      <c r="BL39" s="131">
        <f>BL38/(BL9)</f>
        <v>0.64697753553675752</v>
      </c>
      <c r="BM39" s="131">
        <f>BM38/(BM9)</f>
        <v>0.48370708853236094</v>
      </c>
      <c r="BN39" s="91">
        <f>BN38/BN34</f>
        <v>0.44400304892821058</v>
      </c>
      <c r="BO39" s="131">
        <f>BO38/(BO9)</f>
        <v>0.62856526923076927</v>
      </c>
      <c r="BP39" s="131">
        <f>BP38/(BP9)</f>
        <v>0.30300777777777776</v>
      </c>
      <c r="BQ39" s="131">
        <f>BQ38/(BQ9)</f>
        <v>0.39316659128599429</v>
      </c>
      <c r="BR39" s="131">
        <f>BR38/(BR9)</f>
        <v>0.42491617669001053</v>
      </c>
      <c r="BS39" s="91">
        <f>BS38/BS34</f>
        <v>0.4220223748903395</v>
      </c>
      <c r="BT39" s="131">
        <f>BT38/(BT9)</f>
        <v>0.31868959307901584</v>
      </c>
      <c r="BU39" s="131">
        <f>BU38/(BU9)</f>
        <v>0.37606748764061892</v>
      </c>
      <c r="BV39" s="131">
        <f>BV38/(BV9)</f>
        <v>0.52373272534464466</v>
      </c>
      <c r="BW39" s="131">
        <f>BW38/(BW9)</f>
        <v>0.35538163545420676</v>
      </c>
      <c r="BX39" s="91">
        <f>BX38/BX34</f>
        <v>0.38667106512005056</v>
      </c>
      <c r="BY39" s="131">
        <f>BY38/(BY9)</f>
        <v>0.73076348989161388</v>
      </c>
      <c r="BZ39" s="131">
        <f>BZ38/(BZ9)</f>
        <v>0.4990637337143477</v>
      </c>
      <c r="CA39" s="131">
        <f>CA38/(CA9)</f>
        <v>0.51352085639767975</v>
      </c>
      <c r="CB39" s="131">
        <f>CB38/(CB9)</f>
        <v>0.61195182002315995</v>
      </c>
      <c r="CC39" s="91">
        <f>CC38/CC34</f>
        <v>0.57575881722153965</v>
      </c>
      <c r="CD39" s="131">
        <f>CD38/(CD9)</f>
        <v>0.35352050883694403</v>
      </c>
      <c r="CE39" s="131">
        <f>CE38/(CE9)</f>
        <v>0.69940641047180863</v>
      </c>
      <c r="CF39" s="131">
        <f>CF38/(CF9)</f>
        <v>0.40190592855992346</v>
      </c>
      <c r="CG39" s="131">
        <f>CG38/(CG9)</f>
        <v>0.30973730832578267</v>
      </c>
      <c r="CH39" s="91">
        <f>CH38/CH34</f>
        <v>0.38974419721028103</v>
      </c>
      <c r="CI39" s="131">
        <f>CI38/(CI9)</f>
        <v>0.49063809691672222</v>
      </c>
      <c r="CJ39" s="131">
        <f>CJ38/(CJ9)</f>
        <v>0.4165370637102131</v>
      </c>
      <c r="CK39" s="131">
        <f>CK38/(CK9)</f>
        <v>0.51579551245171429</v>
      </c>
      <c r="CL39" s="131">
        <f>CL38/(CL9)</f>
        <v>0.46121507548297902</v>
      </c>
      <c r="CM39" s="91">
        <f>CM38/CM34</f>
        <v>0.46757417886812369</v>
      </c>
      <c r="CN39" s="131">
        <f>CN38/(CN9)</f>
        <v>0.52956396493231206</v>
      </c>
      <c r="CO39" s="131">
        <f>CO38/(CO9)</f>
        <v>0.42886789262959968</v>
      </c>
      <c r="CP39" s="131">
        <f>CP38/(CP9)</f>
        <v>0.43189856546640831</v>
      </c>
      <c r="CQ39" s="131">
        <f>CQ38/(CQ9)</f>
        <v>0.2799091208371165</v>
      </c>
      <c r="CR39" s="91">
        <f>CR38/CR34</f>
        <v>0.3957819407428555</v>
      </c>
      <c r="CS39" s="131">
        <f>CS38/(CS9)</f>
        <v>0.41800080287379277</v>
      </c>
      <c r="CT39" s="131">
        <f>CT38/(CT9)</f>
        <v>0.37663917907555122</v>
      </c>
      <c r="CU39" s="131">
        <f>CU38/(CU9)</f>
        <v>0.38438515679631274</v>
      </c>
      <c r="CV39" s="131">
        <f>CV38/(CV9)</f>
        <v>0.36220412288590209</v>
      </c>
      <c r="CW39" s="91">
        <f>CW38/CW34</f>
        <v>0.3815859899755647</v>
      </c>
      <c r="CX39" s="131">
        <f>CX38/(CX9)</f>
        <v>0.35657528165382801</v>
      </c>
      <c r="CY39" s="131">
        <f>CY38/(CY9)</f>
        <v>0.42065291589268128</v>
      </c>
      <c r="CZ39" s="131">
        <f>CZ38/(CZ9)</f>
        <v>0.36031945593077525</v>
      </c>
      <c r="DA39" s="131">
        <f>DA38/(DA9)</f>
        <v>0.32098923393842177</v>
      </c>
      <c r="DB39" s="91">
        <f>DB38/DB34</f>
        <v>0.35573530380820756</v>
      </c>
      <c r="DC39" s="131">
        <f>DC38/(DC9)</f>
        <v>0.36192829809103844</v>
      </c>
      <c r="DD39" s="131">
        <f>DD38/(DD9)</f>
        <v>0.36770494248191787</v>
      </c>
      <c r="DE39" s="131">
        <f>DE38/(DE9)</f>
        <v>0.33217073553297694</v>
      </c>
      <c r="DF39" s="131">
        <f>DF38/(DF9)</f>
        <v>0.62597524167157825</v>
      </c>
      <c r="DG39" s="91">
        <f>DG38/DG34</f>
        <v>0.42238309640454619</v>
      </c>
      <c r="DH39" s="131">
        <f>DH38/(DH9)</f>
        <v>0.31559897771991224</v>
      </c>
      <c r="DI39" s="131">
        <f>DI38/(DI9)</f>
        <v>0.38605898977438108</v>
      </c>
      <c r="DJ39" s="399">
        <f>(DJ15*20%+DJ17*50%)/(DJ15+DJ17)</f>
        <v>0.40041827286669385</v>
      </c>
      <c r="DK39" s="399">
        <f>(DK15*20%+DK17*50%)/(DK15+DK17)</f>
        <v>0.39124519208659769</v>
      </c>
      <c r="DL39" s="91">
        <f>DL38/DL34</f>
        <v>0.37717475785444554</v>
      </c>
      <c r="DM39" s="399">
        <f>(DM15*15%+DM17*50%)/(DM15+DM17)</f>
        <v>0.42569294201197422</v>
      </c>
      <c r="DN39" s="399">
        <f>(DN15*15%+DN17*50%)/(DN15+DN17)</f>
        <v>0.40167839435243269</v>
      </c>
      <c r="DO39" s="399">
        <f>(DO15*15%+DO17*50%)/(DO15+DO17)</f>
        <v>0.38305519506654617</v>
      </c>
      <c r="DP39" s="399">
        <f>(DP15*15%+DP17*50%)/(DP15+DP17)</f>
        <v>0.37224430184611429</v>
      </c>
      <c r="DQ39" s="91">
        <f>DQ38/DQ34</f>
        <v>0.39335861362145497</v>
      </c>
      <c r="DR39" s="399">
        <f>(DR15*15%+DR17*50%)/(DR15+DR17)</f>
        <v>0.42476529248719846</v>
      </c>
      <c r="DS39" s="399">
        <f>(DS15*15%+DS17*50%)/(DS15+DS17)</f>
        <v>0.40105386717811153</v>
      </c>
      <c r="DT39" s="399">
        <f>(DT15*15%+DT17*50%)/(DT15+DT17)</f>
        <v>0.3828904137034646</v>
      </c>
      <c r="DU39" s="399">
        <f>(DU15*15%+DU17*50%)/(DU15+DU17)</f>
        <v>0.37247340540491192</v>
      </c>
      <c r="DV39" s="91">
        <f>DV38/DV34</f>
        <v>0.39283333612818716</v>
      </c>
      <c r="DW39" s="399">
        <f>(DW15*15%+DW17*50%)/(DW15+DW17)</f>
        <v>0.42511154223734976</v>
      </c>
      <c r="DX39" s="399">
        <f>(DX15*15%+DX17*50%)/(DX15+DX17)</f>
        <v>0.40167210722717572</v>
      </c>
      <c r="DY39" s="399">
        <f>(DY15*15%+DY17*50%)/(DY15+DY17)</f>
        <v>0.38368724070521698</v>
      </c>
      <c r="DZ39" s="399">
        <f>(DZ15*15%+DZ17*50%)/(DZ15+DZ17)</f>
        <v>0.37333895988599891</v>
      </c>
      <c r="EA39" s="91">
        <f>EA38/EA34</f>
        <v>0.39341332896504771</v>
      </c>
      <c r="EB39" s="399">
        <f>(EB15*15%+EB17*50%)/(EB15+EB17)</f>
        <v>0.42570547602356756</v>
      </c>
      <c r="EC39" s="399">
        <f>(EC15*15%+EC17*50%)/(EC15+EC17)</f>
        <v>0.40238550014765923</v>
      </c>
      <c r="ED39" s="399">
        <f>(ED15*15%+ED17*50%)/(ED15+ED17)</f>
        <v>0.38440385508649549</v>
      </c>
      <c r="EE39" s="399">
        <f>(EE15*15%+EE17*50%)/(EE15+EE17)</f>
        <v>0.3739812241362887</v>
      </c>
      <c r="EF39" s="91">
        <f>EF38/EF34</f>
        <v>0.39407175075255446</v>
      </c>
    </row>
    <row r="40" spans="1:136" ht="12.75" customHeight="1">
      <c r="A40" s="66" t="s">
        <v>885</v>
      </c>
      <c r="B40" s="395"/>
      <c r="C40" s="395"/>
      <c r="D40" s="395"/>
      <c r="E40" s="395"/>
      <c r="F40" s="145"/>
      <c r="G40" s="114"/>
      <c r="H40" s="114"/>
      <c r="I40" s="114"/>
      <c r="J40" s="114"/>
      <c r="K40" s="145"/>
      <c r="L40" s="114"/>
      <c r="M40" s="114"/>
      <c r="N40" s="114"/>
      <c r="O40" s="114"/>
      <c r="P40" s="145"/>
      <c r="Q40" s="114"/>
      <c r="R40" s="114"/>
      <c r="S40" s="114"/>
      <c r="T40" s="114"/>
      <c r="U40" s="145"/>
      <c r="V40" s="114"/>
      <c r="W40" s="114"/>
      <c r="X40" s="114"/>
      <c r="Y40" s="114"/>
      <c r="Z40" s="145">
        <f>SUM(V40:Y40)</f>
        <v>0</v>
      </c>
      <c r="AA40" s="114"/>
      <c r="AB40" s="114"/>
      <c r="AC40" s="114"/>
      <c r="AD40" s="114"/>
      <c r="AE40" s="145">
        <f>SUM(AA40:AD40)</f>
        <v>0</v>
      </c>
      <c r="AF40" s="114"/>
      <c r="AG40" s="114"/>
      <c r="AH40" s="114"/>
      <c r="AI40" s="307"/>
      <c r="AJ40" s="145">
        <f>SUM(AF40:AI40)</f>
        <v>0</v>
      </c>
      <c r="AK40" s="79">
        <f>AK36-AK38</f>
        <v>1225791</v>
      </c>
      <c r="AL40" s="79">
        <f>AL36-AL38</f>
        <v>1412445</v>
      </c>
      <c r="AM40" s="79">
        <f>AM36-AM38</f>
        <v>1586902</v>
      </c>
      <c r="AN40" s="79">
        <f>AN36-AN38</f>
        <v>1525937</v>
      </c>
      <c r="AO40" s="145">
        <f>SUM(AK40:AN40)</f>
        <v>5751075</v>
      </c>
      <c r="AP40" s="114">
        <f>AP41*AO33</f>
        <v>1022897.12</v>
      </c>
      <c r="AQ40" s="114">
        <f>AQ41*AP33</f>
        <v>1018335.84</v>
      </c>
      <c r="AR40" s="114">
        <f>AR41*AQ33</f>
        <v>986116.48</v>
      </c>
      <c r="AS40" s="114">
        <f>AS41*AR33</f>
        <v>945760</v>
      </c>
      <c r="AT40" s="106">
        <f>SUM(AP40:AS40)</f>
        <v>3973109.44</v>
      </c>
      <c r="AU40" s="114">
        <f>AU41*AT33</f>
        <v>937546.08000000007</v>
      </c>
      <c r="AV40" s="114">
        <f>AV41*AU33</f>
        <v>898474.4</v>
      </c>
      <c r="AW40" s="114">
        <f>AW41*AV33</f>
        <v>885959.84</v>
      </c>
      <c r="AX40" s="114">
        <f>AX41*AW33</f>
        <v>945731.93</v>
      </c>
      <c r="AY40" s="106">
        <f>SUM(AU40:AX40)</f>
        <v>3667712.25</v>
      </c>
      <c r="AZ40" s="114">
        <f>AZ41*AY33</f>
        <v>827972.32000000007</v>
      </c>
      <c r="BA40" s="114">
        <f>BA41*AZ33</f>
        <v>854615.20000000007</v>
      </c>
      <c r="BB40" s="114">
        <f t="shared" ref="BB40:CI40" si="80">BB41*BA33</f>
        <v>1118577.46</v>
      </c>
      <c r="BC40" s="114">
        <f t="shared" si="80"/>
        <v>812417.59000000008</v>
      </c>
      <c r="BD40" s="145">
        <f>SUM(AZ40:BC40)</f>
        <v>3613582.5700000003</v>
      </c>
      <c r="BE40" s="114">
        <f t="shared" si="80"/>
        <v>769589.66</v>
      </c>
      <c r="BF40" s="114">
        <f>BF41*BE33</f>
        <v>735541.04</v>
      </c>
      <c r="BG40" s="114">
        <f t="shared" si="80"/>
        <v>714466.99000000011</v>
      </c>
      <c r="BH40" s="114">
        <f t="shared" si="80"/>
        <v>701301.24</v>
      </c>
      <c r="BI40" s="145">
        <f>SUM(BE40:BH40)</f>
        <v>2920898.9300000006</v>
      </c>
      <c r="BJ40" s="114">
        <f t="shared" si="80"/>
        <v>598825.85000000009</v>
      </c>
      <c r="BK40" s="114">
        <f>BK41*BJ33</f>
        <v>527584.12</v>
      </c>
      <c r="BL40" s="114">
        <f t="shared" si="80"/>
        <v>468176.43000000005</v>
      </c>
      <c r="BM40" s="114">
        <f t="shared" si="80"/>
        <v>415070.63999999996</v>
      </c>
      <c r="BN40" s="145">
        <f>SUM(BJ40:BM40)</f>
        <v>2009657.0400000003</v>
      </c>
      <c r="BO40" s="114">
        <f t="shared" si="80"/>
        <v>367951.06</v>
      </c>
      <c r="BP40" s="114">
        <f>BP41*BO33</f>
        <v>356199.12</v>
      </c>
      <c r="BQ40" s="114">
        <f t="shared" si="80"/>
        <v>321916.86</v>
      </c>
      <c r="BR40" s="114">
        <f t="shared" si="80"/>
        <v>294433.38</v>
      </c>
      <c r="BS40" s="145">
        <f>SUM(BO40:BR40)</f>
        <v>1340500.42</v>
      </c>
      <c r="BT40" s="114">
        <f t="shared" si="80"/>
        <v>264644.96000000002</v>
      </c>
      <c r="BU40" s="114">
        <f>BU41*BT33</f>
        <v>253811.84</v>
      </c>
      <c r="BV40" s="114">
        <f t="shared" si="80"/>
        <v>243899.04</v>
      </c>
      <c r="BW40" s="114">
        <f t="shared" si="80"/>
        <v>236552.32000000001</v>
      </c>
      <c r="BX40" s="145">
        <f>SUM(BT40:BW40)</f>
        <v>998908.16000000015</v>
      </c>
      <c r="BY40" s="114">
        <f t="shared" si="80"/>
        <v>278573.12</v>
      </c>
      <c r="BZ40" s="114">
        <f>BZ41*BY33</f>
        <v>304148.8</v>
      </c>
      <c r="CA40" s="114">
        <f t="shared" si="80"/>
        <v>374536.96000000002</v>
      </c>
      <c r="CB40" s="114">
        <f t="shared" si="80"/>
        <v>408021.44</v>
      </c>
      <c r="CC40" s="145">
        <f>SUM(BY40:CB40)</f>
        <v>1365280.3199999998</v>
      </c>
      <c r="CD40" s="114">
        <f t="shared" si="80"/>
        <v>474559.84</v>
      </c>
      <c r="CE40" s="114">
        <f>CE41*CD33</f>
        <v>488896.48</v>
      </c>
      <c r="CF40" s="114">
        <f t="shared" si="80"/>
        <v>486873.92</v>
      </c>
      <c r="CG40" s="114">
        <f t="shared" si="80"/>
        <v>483221.28</v>
      </c>
      <c r="CH40" s="145">
        <f>SUM(CD40:CG40)</f>
        <v>1933551.52</v>
      </c>
      <c r="CI40" s="114">
        <f t="shared" si="80"/>
        <v>503299.35</v>
      </c>
      <c r="CJ40" s="114">
        <f>CJ41*CI33</f>
        <v>539394</v>
      </c>
      <c r="CK40" s="114">
        <f>CK41*CJ33</f>
        <v>592617.75</v>
      </c>
      <c r="CL40" s="114">
        <f>CL41*CK33</f>
        <v>582597.9</v>
      </c>
      <c r="CM40" s="145">
        <f>SUM(CI40:CL40)</f>
        <v>2217909</v>
      </c>
      <c r="CN40" s="114">
        <f>CN41*CM33</f>
        <v>544155</v>
      </c>
      <c r="CO40" s="114">
        <f>CO41*CN33</f>
        <v>558766.75</v>
      </c>
      <c r="CP40" s="114">
        <f>CP41*CO33</f>
        <v>582656.875</v>
      </c>
      <c r="CQ40" s="114">
        <f>CQ41*CP33</f>
        <v>638543.375</v>
      </c>
      <c r="CR40" s="145">
        <f>SUM(CN40:CQ40)</f>
        <v>2324122</v>
      </c>
      <c r="CS40" s="114">
        <f>CS41*CR33</f>
        <v>655478.25</v>
      </c>
      <c r="CT40" s="114">
        <f>CT41*CS33</f>
        <v>719703.875</v>
      </c>
      <c r="CU40" s="114">
        <f>CU41*CT33</f>
        <v>781478.75</v>
      </c>
      <c r="CV40" s="114">
        <f>CV41*CU33</f>
        <v>794068</v>
      </c>
      <c r="CW40" s="145">
        <f>SUM(CS40:CV40)</f>
        <v>2950728.875</v>
      </c>
      <c r="CX40" s="114">
        <f>CX41*CW33</f>
        <v>829206.75</v>
      </c>
      <c r="CY40" s="114">
        <f>CY41*CX33</f>
        <v>888126.625</v>
      </c>
      <c r="CZ40" s="114">
        <f>CZ41*CY33</f>
        <v>908241.875</v>
      </c>
      <c r="DA40" s="114">
        <f>DA41*CZ33</f>
        <v>973670.375</v>
      </c>
      <c r="DB40" s="145">
        <f>SUM(CX40:DA40)</f>
        <v>3599245.625</v>
      </c>
      <c r="DC40" s="114">
        <f>DC41*DB33</f>
        <v>879028.9</v>
      </c>
      <c r="DD40" s="114">
        <f>DD41*DC33</f>
        <v>943695.60000000009</v>
      </c>
      <c r="DE40" s="114">
        <f>DE41*DD33</f>
        <v>984902.70000000007</v>
      </c>
      <c r="DF40" s="114">
        <f>DF41*DE33</f>
        <v>1203898.75</v>
      </c>
      <c r="DG40" s="145">
        <f>SUM(DC40:DF40)</f>
        <v>4011525.95</v>
      </c>
      <c r="DH40" s="114">
        <f>DH41*DG33</f>
        <v>1121725.8</v>
      </c>
      <c r="DI40" s="114">
        <f>DI41*DH33</f>
        <v>1166210.5</v>
      </c>
      <c r="DJ40" s="114">
        <f>DJ41*DI33</f>
        <v>1222875.7</v>
      </c>
      <c r="DK40" s="114">
        <f>DK41*DJ33</f>
        <v>1328764.629133299</v>
      </c>
      <c r="DL40" s="145">
        <f>SUM(DH40:DK40)</f>
        <v>4839576.629133299</v>
      </c>
      <c r="DM40" s="114">
        <f>DM41*DL33</f>
        <v>1463589.8182284229</v>
      </c>
      <c r="DN40" s="114">
        <f>DN41*DM33</f>
        <v>1507702.8030728381</v>
      </c>
      <c r="DO40" s="114">
        <f>DO41*DN33</f>
        <v>1579320.9360161014</v>
      </c>
      <c r="DP40" s="114">
        <f>DP41*DO33</f>
        <v>1667092.1773550916</v>
      </c>
      <c r="DQ40" s="145">
        <f>SUM(DM40:DP40)</f>
        <v>6217705.7346724533</v>
      </c>
      <c r="DR40" s="114">
        <f>DR41*DQ33</f>
        <v>1789156.5636004263</v>
      </c>
      <c r="DS40" s="114">
        <f>DS41*DR33</f>
        <v>1801380.8988914401</v>
      </c>
      <c r="DT40" s="114">
        <f>DT41*DS33</f>
        <v>1846407.7235237481</v>
      </c>
      <c r="DU40" s="114">
        <f>DU41*DT33</f>
        <v>1912854.9423532309</v>
      </c>
      <c r="DV40" s="145">
        <f>SUM(DR40:DU40)</f>
        <v>7349800.1283688452</v>
      </c>
      <c r="DW40" s="114">
        <f>DW41*DV33</f>
        <v>2019159.8970282041</v>
      </c>
      <c r="DX40" s="114">
        <f>DX41*DW33</f>
        <v>2013947.4173778207</v>
      </c>
      <c r="DY40" s="114">
        <f>DY41*DX33</f>
        <v>2045866.2416751813</v>
      </c>
      <c r="DZ40" s="114">
        <f>DZ41*DY33</f>
        <v>2102331.2224957766</v>
      </c>
      <c r="EA40" s="145">
        <f>SUM(DW40:DZ40)</f>
        <v>8181304.7785769822</v>
      </c>
      <c r="EB40" s="114">
        <f>EB41*EA33</f>
        <v>2202601.2605413585</v>
      </c>
      <c r="EC40" s="114">
        <f>EC41*EB33</f>
        <v>2188165.3752962975</v>
      </c>
      <c r="ED40" s="114">
        <f>ED41*EC33</f>
        <v>2213952.1462031645</v>
      </c>
      <c r="EE40" s="114">
        <f>EE41*ED33</f>
        <v>2266304.3801678247</v>
      </c>
      <c r="EF40" s="145">
        <f>SUM(EB40:EE40)</f>
        <v>8871023.1622086447</v>
      </c>
    </row>
    <row r="41" spans="1:136" ht="12.75" customHeight="1">
      <c r="A41" s="66" t="s">
        <v>729</v>
      </c>
      <c r="B41" s="395"/>
      <c r="C41" s="395"/>
      <c r="D41" s="395"/>
      <c r="E41" s="395"/>
      <c r="F41" s="145"/>
      <c r="G41" s="114"/>
      <c r="H41" s="114"/>
      <c r="I41" s="114"/>
      <c r="J41" s="114"/>
      <c r="K41" s="145"/>
      <c r="L41" s="114"/>
      <c r="M41" s="114"/>
      <c r="N41" s="114"/>
      <c r="O41" s="114"/>
      <c r="P41" s="145"/>
      <c r="Q41" s="114"/>
      <c r="R41" s="114"/>
      <c r="S41" s="114"/>
      <c r="T41" s="114"/>
      <c r="U41" s="145"/>
      <c r="V41" s="114"/>
      <c r="W41" s="114"/>
      <c r="X41" s="114"/>
      <c r="Y41" s="114"/>
      <c r="Z41" s="111">
        <f>Z40/U33</f>
        <v>0</v>
      </c>
      <c r="AA41" s="114"/>
      <c r="AB41" s="114"/>
      <c r="AC41" s="114"/>
      <c r="AD41" s="114"/>
      <c r="AE41" s="111">
        <f>AE40/Z33</f>
        <v>0</v>
      </c>
      <c r="AF41" s="114"/>
      <c r="AG41" s="114"/>
      <c r="AH41" s="114"/>
      <c r="AI41" s="307"/>
      <c r="AJ41" s="111">
        <f>AJ40/AE33</f>
        <v>0</v>
      </c>
      <c r="AK41" s="122">
        <f>AK40/AJ33</f>
        <v>0.19976506491108531</v>
      </c>
      <c r="AL41" s="122">
        <f>AL40/AK33</f>
        <v>0.23643211798865685</v>
      </c>
      <c r="AM41" s="122">
        <f>AM40/AL33</f>
        <v>0.25152417689692563</v>
      </c>
      <c r="AN41" s="122">
        <f>AN40/AM33</f>
        <v>0.24018551398044438</v>
      </c>
      <c r="AO41" s="111">
        <f>AO40/AJ33</f>
        <v>0.93724286659268996</v>
      </c>
      <c r="AP41" s="357">
        <v>0.16</v>
      </c>
      <c r="AQ41" s="357">
        <v>0.16</v>
      </c>
      <c r="AR41" s="357">
        <v>0.16</v>
      </c>
      <c r="AS41" s="357">
        <v>0.16</v>
      </c>
      <c r="AT41" s="111">
        <f>AT40/AO33</f>
        <v>0.62146769012312797</v>
      </c>
      <c r="AU41" s="357">
        <v>0.16</v>
      </c>
      <c r="AV41" s="357">
        <v>0.16</v>
      </c>
      <c r="AW41" s="357">
        <v>0.16</v>
      </c>
      <c r="AX41" s="357">
        <v>0.17</v>
      </c>
      <c r="AY41" s="111">
        <f>AY40/AT33</f>
        <v>0.62592545851186321</v>
      </c>
      <c r="AZ41" s="357">
        <v>0.16</v>
      </c>
      <c r="BA41" s="357">
        <v>0.16</v>
      </c>
      <c r="BB41" s="357">
        <v>0.22</v>
      </c>
      <c r="BC41" s="357">
        <v>0.17</v>
      </c>
      <c r="BD41" s="111">
        <f>BD40/AY33</f>
        <v>0.69830016926169713</v>
      </c>
      <c r="BE41" s="357">
        <v>0.17</v>
      </c>
      <c r="BF41" s="357">
        <v>0.17</v>
      </c>
      <c r="BG41" s="357">
        <v>0.17</v>
      </c>
      <c r="BH41" s="357">
        <v>0.18</v>
      </c>
      <c r="BI41" s="111">
        <f>BI40/BD33</f>
        <v>0.64521763208201122</v>
      </c>
      <c r="BJ41" s="357">
        <v>0.17</v>
      </c>
      <c r="BK41" s="357">
        <v>0.17</v>
      </c>
      <c r="BL41" s="357">
        <v>0.17</v>
      </c>
      <c r="BM41" s="357">
        <v>0.18</v>
      </c>
      <c r="BN41" s="111">
        <f>BN40/BI33</f>
        <v>0.57051928670079965</v>
      </c>
      <c r="BO41" s="357">
        <v>0.17</v>
      </c>
      <c r="BP41" s="357">
        <v>0.18</v>
      </c>
      <c r="BQ41" s="357">
        <v>0.18</v>
      </c>
      <c r="BR41" s="357">
        <v>0.18</v>
      </c>
      <c r="BS41" s="111">
        <f>BS40/BN33</f>
        <v>0.61933527627288254</v>
      </c>
      <c r="BT41" s="357">
        <v>0.16</v>
      </c>
      <c r="BU41" s="357">
        <v>0.16</v>
      </c>
      <c r="BV41" s="357">
        <v>0.16</v>
      </c>
      <c r="BW41" s="357">
        <v>0.16</v>
      </c>
      <c r="BX41" s="111">
        <f>BX40/BS33</f>
        <v>0.60392348148251163</v>
      </c>
      <c r="BY41" s="357">
        <v>0.16</v>
      </c>
      <c r="BZ41" s="357">
        <v>0.16</v>
      </c>
      <c r="CA41" s="357">
        <v>0.16</v>
      </c>
      <c r="CB41" s="357">
        <v>0.16</v>
      </c>
      <c r="CC41" s="111">
        <f>CC40/BX33</f>
        <v>0.78415624307183684</v>
      </c>
      <c r="CD41" s="357">
        <v>0.16</v>
      </c>
      <c r="CE41" s="357">
        <v>0.16</v>
      </c>
      <c r="CF41" s="357">
        <v>0.16</v>
      </c>
      <c r="CG41" s="357">
        <v>0.16</v>
      </c>
      <c r="CH41" s="111">
        <f>CH40/CC33</f>
        <v>0.65190565472206841</v>
      </c>
      <c r="CI41" s="357">
        <v>0.15</v>
      </c>
      <c r="CJ41" s="357">
        <v>0.15</v>
      </c>
      <c r="CK41" s="357">
        <v>0.15</v>
      </c>
      <c r="CL41" s="357">
        <v>0.15</v>
      </c>
      <c r="CM41" s="111">
        <f>CM40/CH33</f>
        <v>0.66101088745693792</v>
      </c>
      <c r="CN41" s="357">
        <v>0.125</v>
      </c>
      <c r="CO41" s="357">
        <v>0.125</v>
      </c>
      <c r="CP41" s="357">
        <v>0.125</v>
      </c>
      <c r="CQ41" s="357">
        <v>0.125</v>
      </c>
      <c r="CR41" s="111">
        <f>CR40/CM33</f>
        <v>0.53388326855399659</v>
      </c>
      <c r="CS41" s="357">
        <v>0.125</v>
      </c>
      <c r="CT41" s="357">
        <v>0.125</v>
      </c>
      <c r="CU41" s="357">
        <v>0.125</v>
      </c>
      <c r="CV41" s="357">
        <v>0.125</v>
      </c>
      <c r="CW41" s="111">
        <f>CW40/CR33</f>
        <v>0.56270533671407097</v>
      </c>
      <c r="CX41" s="357">
        <v>0.125</v>
      </c>
      <c r="CY41" s="357">
        <v>0.125</v>
      </c>
      <c r="CZ41" s="357">
        <v>0.125</v>
      </c>
      <c r="DA41" s="357">
        <v>0.125</v>
      </c>
      <c r="DB41" s="111">
        <f>DB40/CW33</f>
        <v>0.5425736140293117</v>
      </c>
      <c r="DC41" s="357">
        <v>0.1</v>
      </c>
      <c r="DD41" s="357">
        <v>0.1</v>
      </c>
      <c r="DE41" s="357">
        <v>0.1</v>
      </c>
      <c r="DF41" s="357">
        <v>0.125</v>
      </c>
      <c r="DG41" s="111">
        <f>DG40/DB33</f>
        <v>0.45635882392490168</v>
      </c>
      <c r="DH41" s="357">
        <v>0.1</v>
      </c>
      <c r="DI41" s="357">
        <v>0.1</v>
      </c>
      <c r="DJ41" s="173">
        <v>0.1</v>
      </c>
      <c r="DK41" s="173">
        <v>0.1</v>
      </c>
      <c r="DL41" s="111">
        <f>DL40/DG33</f>
        <v>0.43144025296853289</v>
      </c>
      <c r="DM41" s="173">
        <v>0.1</v>
      </c>
      <c r="DN41" s="173">
        <f>DM41</f>
        <v>0.1</v>
      </c>
      <c r="DO41" s="173">
        <f>DN41</f>
        <v>0.1</v>
      </c>
      <c r="DP41" s="173">
        <f>DO41</f>
        <v>0.1</v>
      </c>
      <c r="DQ41" s="111">
        <f>DQ40/DL33</f>
        <v>0.42482570302371797</v>
      </c>
      <c r="DR41" s="173">
        <f>DP41</f>
        <v>0.1</v>
      </c>
      <c r="DS41" s="173">
        <f>DR41</f>
        <v>0.1</v>
      </c>
      <c r="DT41" s="173">
        <f>DS41</f>
        <v>0.1</v>
      </c>
      <c r="DU41" s="173">
        <f>DT41</f>
        <v>0.1</v>
      </c>
      <c r="DV41" s="111">
        <f>DV40/DQ33</f>
        <v>0.41079692397508272</v>
      </c>
      <c r="DW41" s="173">
        <f>DU41</f>
        <v>0.1</v>
      </c>
      <c r="DX41" s="173">
        <f>DW41</f>
        <v>0.1</v>
      </c>
      <c r="DY41" s="173">
        <f>DX41</f>
        <v>0.1</v>
      </c>
      <c r="DZ41" s="173">
        <f>DY41</f>
        <v>0.1</v>
      </c>
      <c r="EA41" s="111">
        <f>EA40/DV33</f>
        <v>0.40518360089353062</v>
      </c>
      <c r="EB41" s="173">
        <f>DZ41</f>
        <v>0.1</v>
      </c>
      <c r="EC41" s="173">
        <f>EB41</f>
        <v>0.1</v>
      </c>
      <c r="ED41" s="173">
        <f>EC41</f>
        <v>0.1</v>
      </c>
      <c r="EE41" s="173">
        <f>ED41</f>
        <v>0.1</v>
      </c>
      <c r="EF41" s="111">
        <f>EF40/EA33</f>
        <v>0.40275211501641983</v>
      </c>
    </row>
    <row r="42" spans="1:136" s="135" customFormat="1" ht="12.75" customHeight="1" outlineLevel="1">
      <c r="A42" s="176" t="s">
        <v>135</v>
      </c>
      <c r="B42" s="163">
        <f>'Income Statement'!B6</f>
        <v>10828.5</v>
      </c>
      <c r="C42" s="163">
        <f>'Income Statement'!C6</f>
        <v>10828.5</v>
      </c>
      <c r="D42" s="163">
        <f>'Income Statement'!D6</f>
        <v>13892</v>
      </c>
      <c r="E42" s="163">
        <f>'Income Statement'!E6</f>
        <v>7819</v>
      </c>
      <c r="F42" s="165">
        <f>SUM(B42:E42)</f>
        <v>43368</v>
      </c>
      <c r="G42" s="163">
        <f>'Income Statement'!G6</f>
        <v>10300</v>
      </c>
      <c r="H42" s="163">
        <f>'Income Statement'!H6</f>
        <v>11133</v>
      </c>
      <c r="I42" s="163">
        <f>'Income Statement'!I6</f>
        <v>18069</v>
      </c>
      <c r="J42" s="163">
        <f>'Income Statement'!J6</f>
        <v>14524</v>
      </c>
      <c r="K42" s="165">
        <f>SUM(G42:J42)</f>
        <v>54026</v>
      </c>
      <c r="L42" s="163">
        <f>'Income Statement'!L6</f>
        <v>14400</v>
      </c>
      <c r="M42" s="163">
        <f>'Income Statement'!M6</f>
        <v>21226</v>
      </c>
      <c r="N42" s="163">
        <f>'Income Statement'!N6</f>
        <v>20875</v>
      </c>
      <c r="O42" s="163">
        <f>'Income Statement'!O6</f>
        <v>17759</v>
      </c>
      <c r="P42" s="165">
        <f>SUM(L42:O42)</f>
        <v>74260</v>
      </c>
      <c r="Q42" s="163">
        <f>'Income Statement'!Q6</f>
        <v>5866</v>
      </c>
      <c r="R42" s="163">
        <f>'Income Statement'!R6</f>
        <v>12628</v>
      </c>
      <c r="S42" s="163">
        <f>'Income Statement'!S6</f>
        <v>13363</v>
      </c>
      <c r="T42" s="163">
        <f>'Income Statement'!T6</f>
        <v>17257</v>
      </c>
      <c r="U42" s="165">
        <f>SUM(Q42:T42)</f>
        <v>49114</v>
      </c>
      <c r="V42" s="163">
        <f>'Income Statement'!V6</f>
        <v>9028</v>
      </c>
      <c r="W42" s="163">
        <f>'Income Statement'!W6</f>
        <v>7460</v>
      </c>
      <c r="X42" s="163">
        <f>'Income Statement'!X6</f>
        <v>8145</v>
      </c>
      <c r="Y42" s="163">
        <f>'Income Statement'!Y6</f>
        <v>11994</v>
      </c>
      <c r="Z42" s="165">
        <f>SUM(V42:Y42)</f>
        <v>36627</v>
      </c>
      <c r="AA42" s="163">
        <f>'Income Statement'!AA6</f>
        <v>8754</v>
      </c>
      <c r="AB42" s="163">
        <f>'Income Statement'!AB6</f>
        <v>8796</v>
      </c>
      <c r="AC42" s="163">
        <f>'Income Statement'!AC6</f>
        <v>13351</v>
      </c>
      <c r="AD42" s="163">
        <f>'Income Statement'!AD6</f>
        <v>10776</v>
      </c>
      <c r="AE42" s="165">
        <f>SUM(AA42:AD42)</f>
        <v>41677</v>
      </c>
      <c r="AF42" s="163">
        <f>'Income Statement'!AF6</f>
        <v>11522</v>
      </c>
      <c r="AG42" s="163">
        <f>'Income Statement'!AG6</f>
        <v>16142</v>
      </c>
      <c r="AH42" s="163">
        <f>'Income Statement'!AH6</f>
        <v>17910</v>
      </c>
      <c r="AI42" s="163">
        <f>'Income Statement'!AI6</f>
        <v>31430</v>
      </c>
      <c r="AJ42" s="165">
        <f>SUM(AF42:AI42)</f>
        <v>77004</v>
      </c>
      <c r="AK42" s="163">
        <f>'Income Statement'!AK6</f>
        <v>23092</v>
      </c>
      <c r="AL42" s="163">
        <f>'Income Statement'!AL6</f>
        <v>25691</v>
      </c>
      <c r="AM42" s="163">
        <f>'Income Statement'!AM6</f>
        <v>32488</v>
      </c>
      <c r="AN42" s="163">
        <f>'Income Statement'!AN6</f>
        <v>27837</v>
      </c>
      <c r="AO42" s="165">
        <f>SUM(AK42:AN42)</f>
        <v>109108</v>
      </c>
      <c r="AP42" s="163">
        <f>'Income Statement'!AP6</f>
        <v>17066</v>
      </c>
      <c r="AQ42" s="163">
        <f>'Income Statement'!AQ6</f>
        <v>24691</v>
      </c>
      <c r="AR42" s="163">
        <f>'Income Statement'!AR6</f>
        <v>14390</v>
      </c>
      <c r="AS42" s="163">
        <f>'Income Statement'!AS6</f>
        <v>30650</v>
      </c>
      <c r="AT42" s="165">
        <f>SUM(AP42:AS42)</f>
        <v>86797</v>
      </c>
      <c r="AU42" s="163">
        <f>'Income Statement'!AU6</f>
        <v>16991</v>
      </c>
      <c r="AV42" s="163">
        <f>'Income Statement'!AV6</f>
        <v>20367</v>
      </c>
      <c r="AW42" s="163">
        <f>'Income Statement'!AW6</f>
        <v>20924</v>
      </c>
      <c r="AX42" s="163">
        <f>'Income Statement'!AX6</f>
        <v>25690</v>
      </c>
      <c r="AY42" s="165">
        <f>SUM(AU42:AX42)</f>
        <v>83972</v>
      </c>
      <c r="AZ42" s="163">
        <f>'Income Statement'!AZ6</f>
        <v>15651</v>
      </c>
      <c r="BA42" s="163">
        <f>'Income Statement'!BA6</f>
        <v>16580</v>
      </c>
      <c r="BB42" s="163">
        <f>'Income Statement'!BB6</f>
        <v>20784</v>
      </c>
      <c r="BC42" s="163">
        <f>'Income Statement'!BC6</f>
        <v>11320</v>
      </c>
      <c r="BD42" s="165">
        <f>SUM(AZ42:BC42)</f>
        <v>64335</v>
      </c>
      <c r="BE42" s="163">
        <f>'Income Statement'!BE6</f>
        <v>13965</v>
      </c>
      <c r="BF42" s="163">
        <f>'Income Statement'!BF6</f>
        <v>8957</v>
      </c>
      <c r="BG42" s="163">
        <f>'Income Statement'!BG6</f>
        <v>8655</v>
      </c>
      <c r="BH42" s="163">
        <f>'Income Statement'!BH6</f>
        <v>12991</v>
      </c>
      <c r="BI42" s="165">
        <f>SUM(BE42:BH42)</f>
        <v>44568</v>
      </c>
      <c r="BJ42" s="163">
        <f>'Income Statement'!BJ6</f>
        <v>12943</v>
      </c>
      <c r="BK42" s="163">
        <f>'Income Statement'!BK6</f>
        <v>26460</v>
      </c>
      <c r="BL42" s="163">
        <f>'Income Statement'!BL6</f>
        <v>8263</v>
      </c>
      <c r="BM42" s="163">
        <f>'Income Statement'!BM6</f>
        <v>5463</v>
      </c>
      <c r="BN42" s="165">
        <f>SUM(BJ42:BM42)</f>
        <v>53129</v>
      </c>
      <c r="BO42" s="163">
        <f>'Income Statement'!BO6</f>
        <v>17607</v>
      </c>
      <c r="BP42" s="163">
        <f>'Income Statement'!BP6</f>
        <v>5834</v>
      </c>
      <c r="BQ42" s="163">
        <f>'Income Statement'!BQ6</f>
        <v>5714</v>
      </c>
      <c r="BR42" s="163">
        <f>'Income Statement'!BR6</f>
        <v>4928</v>
      </c>
      <c r="BS42" s="165">
        <f>SUM(BO42:BR42)</f>
        <v>34083</v>
      </c>
      <c r="BT42" s="163">
        <f>'Income Statement'!BT6</f>
        <v>4121</v>
      </c>
      <c r="BU42" s="163">
        <f>'Income Statement'!BU6</f>
        <v>4726</v>
      </c>
      <c r="BV42" s="163">
        <f>'Income Statement'!BV6</f>
        <v>6810</v>
      </c>
      <c r="BW42" s="163">
        <f>'Income Statement'!BW6</f>
        <v>7674</v>
      </c>
      <c r="BX42" s="165">
        <f>SUM(BT42:BW42)</f>
        <v>23331</v>
      </c>
      <c r="BY42" s="163">
        <f>'Income Statement'!BY6</f>
        <v>4433</v>
      </c>
      <c r="BZ42" s="163">
        <f>'Income Statement'!BZ6</f>
        <v>3977</v>
      </c>
      <c r="CA42" s="163">
        <f>'Income Statement'!CA6</f>
        <v>8469</v>
      </c>
      <c r="CB42" s="163">
        <f>'Income Statement'!CB6</f>
        <v>8221</v>
      </c>
      <c r="CC42" s="165">
        <f>SUM(BY42:CB42)</f>
        <v>25100</v>
      </c>
      <c r="CD42" s="163">
        <f>'Income Statement'!CD6</f>
        <v>11484</v>
      </c>
      <c r="CE42" s="163">
        <f>'Income Statement'!CE6</f>
        <v>13481</v>
      </c>
      <c r="CF42" s="163">
        <f>'Income Statement'!CF6</f>
        <v>17678</v>
      </c>
      <c r="CG42" s="163">
        <f>'Income Statement'!CG6</f>
        <v>28012</v>
      </c>
      <c r="CH42" s="165">
        <f>SUM(CD42:CG42)</f>
        <v>70655</v>
      </c>
      <c r="CI42" s="163">
        <f>'Income Statement'!CI6</f>
        <v>21130</v>
      </c>
      <c r="CJ42" s="163">
        <f>'Income Statement'!CJ6</f>
        <v>24781</v>
      </c>
      <c r="CK42" s="163">
        <f>'Income Statement'!CK6</f>
        <v>24806</v>
      </c>
      <c r="CL42" s="163">
        <f>'Income Statement'!CL6</f>
        <v>42888</v>
      </c>
      <c r="CM42" s="165">
        <f>SUM(CI42:CL42)</f>
        <v>113605</v>
      </c>
      <c r="CN42" s="163">
        <f>'Income Statement'!CN6</f>
        <v>19900</v>
      </c>
      <c r="CO42" s="163">
        <f>'Income Statement'!CO6</f>
        <v>29683</v>
      </c>
      <c r="CP42" s="163">
        <f>'Income Statement'!CP6</f>
        <v>30252</v>
      </c>
      <c r="CQ42" s="163">
        <f>'Income Statement'!CQ6</f>
        <v>20788</v>
      </c>
      <c r="CR42" s="165">
        <f>SUM(CN42:CQ42)</f>
        <v>100623</v>
      </c>
      <c r="CS42" s="163">
        <f>'Income Statement'!CS6</f>
        <v>16220</v>
      </c>
      <c r="CT42" s="163">
        <f>'Income Statement'!CT6</f>
        <v>20440</v>
      </c>
      <c r="CU42" s="163">
        <f>'Income Statement'!CU6</f>
        <v>21576</v>
      </c>
      <c r="CV42" s="163">
        <f>'Income Statement'!CV6</f>
        <v>27681</v>
      </c>
      <c r="CW42" s="165">
        <f>SUM(CS42:CV42)</f>
        <v>85917</v>
      </c>
      <c r="CX42" s="163">
        <f>'Income Statement'!CX6</f>
        <v>19755</v>
      </c>
      <c r="CY42" s="163">
        <f>'Income Statement'!CY6</f>
        <v>23583</v>
      </c>
      <c r="CZ42" s="163">
        <f>'Income Statement'!CZ6</f>
        <v>25333</v>
      </c>
      <c r="DA42" s="163">
        <f>'Income Statement'!DA6</f>
        <v>26871</v>
      </c>
      <c r="DB42" s="165">
        <f>SUM(CX42:DA42)</f>
        <v>95542</v>
      </c>
      <c r="DC42" s="163">
        <f>'Income Statement'!DC6</f>
        <v>28111</v>
      </c>
      <c r="DD42" s="163">
        <f>'Income Statement'!DD6</f>
        <v>26268</v>
      </c>
      <c r="DE42" s="163">
        <f>'Income Statement'!DE6</f>
        <v>28314</v>
      </c>
      <c r="DF42" s="163">
        <f>'Income Statement'!DF6</f>
        <v>28942</v>
      </c>
      <c r="DG42" s="165">
        <f>SUM(DC42:DF42)</f>
        <v>111635</v>
      </c>
      <c r="DH42" s="163">
        <f>'Income Statement'!DH6</f>
        <v>31221</v>
      </c>
      <c r="DI42" s="163">
        <f>'Income Statement'!DI6</f>
        <v>44339</v>
      </c>
      <c r="DJ42" s="163">
        <f>DJ43*DJ36</f>
        <v>32960.463870036001</v>
      </c>
      <c r="DK42" s="163">
        <f>DK43*DK36</f>
        <v>36591.317392016943</v>
      </c>
      <c r="DL42" s="165">
        <f>SUM(DH42:DK42)</f>
        <v>145111.78126205294</v>
      </c>
      <c r="DM42" s="163">
        <f>DM43*DM36</f>
        <v>28754.229262081277</v>
      </c>
      <c r="DN42" s="163">
        <f>DN43*DN36</f>
        <v>30006.895164706293</v>
      </c>
      <c r="DO42" s="163">
        <f>DO43*DO36</f>
        <v>31048.697070171718</v>
      </c>
      <c r="DP42" s="163">
        <f>DP43*DP36</f>
        <v>33794.514426163485</v>
      </c>
      <c r="DQ42" s="165">
        <f>SUM(DM42:DP42)</f>
        <v>123604.33592312278</v>
      </c>
      <c r="DR42" s="163">
        <f>DR43*DR36</f>
        <v>32005.740841236431</v>
      </c>
      <c r="DS42" s="163">
        <f>DS43*DS36</f>
        <v>33090.834245960534</v>
      </c>
      <c r="DT42" s="163">
        <f>DT43*DT36</f>
        <v>34043.025764712474</v>
      </c>
      <c r="DU42" s="163">
        <f>DU43*DU36</f>
        <v>36792.267403981721</v>
      </c>
      <c r="DV42" s="165">
        <f>SUM(DR42:DU42)</f>
        <v>135931.86825589114</v>
      </c>
      <c r="DW42" s="163">
        <f>DW43*DW36</f>
        <v>34737.191492234444</v>
      </c>
      <c r="DX42" s="163">
        <f>DX43*DX36</f>
        <v>35802.382897574753</v>
      </c>
      <c r="DY42" s="163">
        <f>DY43*DY36</f>
        <v>36710.503464820998</v>
      </c>
      <c r="DZ42" s="163">
        <f>DZ43*DZ36</f>
        <v>39521.817714436082</v>
      </c>
      <c r="EA42" s="165">
        <f>SUM(DW42:DZ42)</f>
        <v>146771.89556906628</v>
      </c>
      <c r="EB42" s="163">
        <f>EB43*EB36</f>
        <v>37283.080669397488</v>
      </c>
      <c r="EC42" s="163">
        <f>EC43*EC36</f>
        <v>38351.271646657129</v>
      </c>
      <c r="ED42" s="163">
        <f>ED43*ED36</f>
        <v>39233.451537071764</v>
      </c>
      <c r="EE42" s="163">
        <f>EE43*EE36</f>
        <v>42098.751353514948</v>
      </c>
      <c r="EF42" s="165">
        <f>SUM(EB42:EE42)</f>
        <v>156966.55520664132</v>
      </c>
    </row>
    <row r="43" spans="1:136" s="135" customFormat="1" ht="12.75" customHeight="1" outlineLevel="1">
      <c r="A43" s="135" t="s">
        <v>136</v>
      </c>
      <c r="B43" s="177">
        <f>B42/B36</f>
        <v>0.1024892338270787</v>
      </c>
      <c r="C43" s="177">
        <f>C42/C36</f>
        <v>0.1024892338270787</v>
      </c>
      <c r="D43" s="177">
        <f>D42/D36</f>
        <v>0.12198055967757514</v>
      </c>
      <c r="E43" s="177">
        <f>E42/E36</f>
        <v>4.1493974113364147E-2</v>
      </c>
      <c r="F43" s="178">
        <f>F42/F36</f>
        <v>8.4433662880572552E-2</v>
      </c>
      <c r="G43" s="177">
        <f t="shared" ref="G43:AI43" si="81">G42/G36</f>
        <v>6.1398698109158538E-2</v>
      </c>
      <c r="H43" s="177">
        <f t="shared" si="81"/>
        <v>7.7744413407821233E-2</v>
      </c>
      <c r="I43" s="177">
        <f t="shared" si="81"/>
        <v>7.3507993979089539E-2</v>
      </c>
      <c r="J43" s="177">
        <f t="shared" si="81"/>
        <v>0.12695027402169448</v>
      </c>
      <c r="K43" s="178">
        <f t="shared" si="81"/>
        <v>8.0494894758877375E-2</v>
      </c>
      <c r="L43" s="177">
        <f t="shared" si="81"/>
        <v>6.342271237799936E-2</v>
      </c>
      <c r="M43" s="177">
        <f t="shared" si="81"/>
        <v>8.3527138646550259E-2</v>
      </c>
      <c r="N43" s="177">
        <f t="shared" si="81"/>
        <v>9.6227867590454194E-2</v>
      </c>
      <c r="O43" s="177">
        <f t="shared" si="81"/>
        <v>4.6198550490887239E-2</v>
      </c>
      <c r="P43" s="170">
        <f t="shared" si="81"/>
        <v>6.8599954919501743E-2</v>
      </c>
      <c r="Q43" s="177">
        <f t="shared" si="81"/>
        <v>1.9993524088685901E-2</v>
      </c>
      <c r="R43" s="177">
        <f t="shared" si="81"/>
        <v>3.3704326473963757E-2</v>
      </c>
      <c r="S43" s="177">
        <f t="shared" si="81"/>
        <v>3.1945589940354527E-2</v>
      </c>
      <c r="T43" s="177">
        <f t="shared" si="81"/>
        <v>1.828159181316906E-2</v>
      </c>
      <c r="U43" s="170">
        <f t="shared" si="81"/>
        <v>2.41902158521419E-2</v>
      </c>
      <c r="V43" s="177">
        <f t="shared" si="81"/>
        <v>1.6019845586291215E-2</v>
      </c>
      <c r="W43" s="177">
        <f t="shared" si="81"/>
        <v>9.0681558215493906E-3</v>
      </c>
      <c r="X43" s="177">
        <f t="shared" si="81"/>
        <v>1.0635283548802828E-2</v>
      </c>
      <c r="Y43" s="177">
        <f t="shared" si="81"/>
        <v>1.5401308482019607E-2</v>
      </c>
      <c r="Z43" s="170">
        <f t="shared" si="81"/>
        <v>1.2497176560023093E-2</v>
      </c>
      <c r="AA43" s="177">
        <f t="shared" si="81"/>
        <v>1.2682508453556868E-2</v>
      </c>
      <c r="AB43" s="177">
        <f t="shared" si="81"/>
        <v>9.7633638540201729E-3</v>
      </c>
      <c r="AC43" s="177">
        <f t="shared" si="81"/>
        <v>9.6492210734767485E-3</v>
      </c>
      <c r="AD43" s="177">
        <f t="shared" si="81"/>
        <v>8.8507786319731909E-3</v>
      </c>
      <c r="AE43" s="170">
        <f t="shared" si="81"/>
        <v>9.9412830521363373E-3</v>
      </c>
      <c r="AF43" s="177">
        <f t="shared" si="81"/>
        <v>9.9443575135481303E-3</v>
      </c>
      <c r="AG43" s="177">
        <f t="shared" si="81"/>
        <v>1.2862182140674441E-2</v>
      </c>
      <c r="AH43" s="177">
        <f t="shared" si="81"/>
        <v>1.5105905810333586E-2</v>
      </c>
      <c r="AI43" s="177">
        <f t="shared" si="81"/>
        <v>1.8698605606369066E-2</v>
      </c>
      <c r="AJ43" s="170">
        <f t="shared" ref="AJ43:BO43" si="82">AJ42/AJ36</f>
        <v>1.4583684886045787E-2</v>
      </c>
      <c r="AK43" s="177">
        <f t="shared" si="82"/>
        <v>1.883844798991019E-2</v>
      </c>
      <c r="AL43" s="177">
        <f t="shared" si="82"/>
        <v>1.8189026829363266E-2</v>
      </c>
      <c r="AM43" s="177">
        <f t="shared" si="82"/>
        <v>2.0472593770755849E-2</v>
      </c>
      <c r="AN43" s="177">
        <f t="shared" si="82"/>
        <v>1.6584321956398314E-2</v>
      </c>
      <c r="AO43" s="179">
        <f t="shared" si="82"/>
        <v>1.8481444787301959E-2</v>
      </c>
      <c r="AP43" s="177">
        <f t="shared" si="82"/>
        <v>1.1335196629064225E-2</v>
      </c>
      <c r="AQ43" s="177">
        <f t="shared" si="82"/>
        <v>1.7458748394906694E-2</v>
      </c>
      <c r="AR43" s="177">
        <f t="shared" si="82"/>
        <v>1.0317409104271077E-2</v>
      </c>
      <c r="AS43" s="177">
        <f t="shared" si="82"/>
        <v>2.1870986156700443E-2</v>
      </c>
      <c r="AT43" s="179">
        <f t="shared" si="82"/>
        <v>1.5185041727067783E-2</v>
      </c>
      <c r="AU43" s="177">
        <f t="shared" si="82"/>
        <v>1.3769590526690282E-2</v>
      </c>
      <c r="AV43" s="177">
        <f t="shared" si="82"/>
        <v>1.4654805822203899E-2</v>
      </c>
      <c r="AW43" s="177">
        <f t="shared" si="82"/>
        <v>1.4795497711096058E-2</v>
      </c>
      <c r="AX43" s="177">
        <f t="shared" si="82"/>
        <v>1.8214484237274675E-2</v>
      </c>
      <c r="AY43" s="179">
        <f t="shared" si="82"/>
        <v>1.5412332949854305E-2</v>
      </c>
      <c r="AZ43" s="177">
        <f t="shared" si="82"/>
        <v>1.1719943448333704E-2</v>
      </c>
      <c r="BA43" s="177">
        <f t="shared" si="82"/>
        <v>1.2008949492154709E-2</v>
      </c>
      <c r="BB43" s="177">
        <f t="shared" si="82"/>
        <v>1.2928645496714653E-2</v>
      </c>
      <c r="BC43" s="177">
        <f t="shared" si="82"/>
        <v>7.2630121482219097E-3</v>
      </c>
      <c r="BD43" s="179">
        <f t="shared" si="82"/>
        <v>1.0937182305752174E-2</v>
      </c>
      <c r="BE43" s="177">
        <f t="shared" si="82"/>
        <v>1.3248959959015032E-2</v>
      </c>
      <c r="BF43" s="177">
        <f t="shared" si="82"/>
        <v>7.7422087379689771E-3</v>
      </c>
      <c r="BG43" s="177">
        <f t="shared" si="82"/>
        <v>7.4341555426332287E-3</v>
      </c>
      <c r="BH43" s="177">
        <f t="shared" si="82"/>
        <v>1.2418946086421181E-2</v>
      </c>
      <c r="BI43" s="179">
        <f t="shared" si="82"/>
        <v>1.008044360465879E-2</v>
      </c>
      <c r="BJ43" s="177">
        <f t="shared" si="82"/>
        <v>1.5778700765467529E-2</v>
      </c>
      <c r="BK43" s="177">
        <f t="shared" si="82"/>
        <v>4.1621443065452311E-2</v>
      </c>
      <c r="BL43" s="177">
        <f t="shared" si="82"/>
        <v>9.847209162921677E-3</v>
      </c>
      <c r="BM43" s="177">
        <f t="shared" si="82"/>
        <v>5.7966493393220376E-3</v>
      </c>
      <c r="BN43" s="179">
        <f t="shared" si="82"/>
        <v>1.6410121773240773E-2</v>
      </c>
      <c r="BO43" s="177">
        <f t="shared" si="82"/>
        <v>2.5340922992782147E-2</v>
      </c>
      <c r="BP43" s="177">
        <f t="shared" ref="BP43:CU43" si="83">BP42/BP36</f>
        <v>9.9679978403240874E-3</v>
      </c>
      <c r="BQ43" s="177">
        <f t="shared" si="83"/>
        <v>9.385938832063314E-3</v>
      </c>
      <c r="BR43" s="177">
        <f t="shared" si="83"/>
        <v>5.9590532747585481E-3</v>
      </c>
      <c r="BS43" s="179">
        <f t="shared" si="83"/>
        <v>1.2549717619386723E-2</v>
      </c>
      <c r="BT43" s="177">
        <f t="shared" si="83"/>
        <v>8.9580919546726201E-3</v>
      </c>
      <c r="BU43" s="177">
        <f t="shared" si="83"/>
        <v>7.2396387839980389E-3</v>
      </c>
      <c r="BV43" s="177">
        <f t="shared" si="83"/>
        <v>9.2304063954110928E-3</v>
      </c>
      <c r="BW43" s="177">
        <f t="shared" si="83"/>
        <v>6.95491720077724E-3</v>
      </c>
      <c r="BX43" s="179">
        <f t="shared" si="83"/>
        <v>7.8981122865053686E-3</v>
      </c>
      <c r="BY43" s="177">
        <f t="shared" si="83"/>
        <v>5.2556326439637882E-3</v>
      </c>
      <c r="BZ43" s="177">
        <f t="shared" si="83"/>
        <v>4.1615131709746749E-3</v>
      </c>
      <c r="CA43" s="177">
        <f t="shared" si="83"/>
        <v>8.9015344609941673E-3</v>
      </c>
      <c r="CB43" s="177">
        <f t="shared" si="83"/>
        <v>6.5398056275262099E-3</v>
      </c>
      <c r="CC43" s="179">
        <f t="shared" si="83"/>
        <v>6.2630719794152037E-3</v>
      </c>
      <c r="CD43" s="177">
        <f t="shared" si="83"/>
        <v>1.4842866467193568E-2</v>
      </c>
      <c r="CE43" s="177">
        <f t="shared" si="83"/>
        <v>1.5911346852253802E-2</v>
      </c>
      <c r="CF43" s="177">
        <f t="shared" si="83"/>
        <v>1.5047834203136398E-2</v>
      </c>
      <c r="CG43" s="177">
        <f t="shared" si="83"/>
        <v>2.6441556627238429E-2</v>
      </c>
      <c r="CH43" s="179">
        <f t="shared" si="83"/>
        <v>1.8327470168414031E-2</v>
      </c>
      <c r="CI43" s="177">
        <f t="shared" si="83"/>
        <v>2.0939367993784586E-2</v>
      </c>
      <c r="CJ43" s="177">
        <f t="shared" si="83"/>
        <v>2.0838851874369835E-2</v>
      </c>
      <c r="CK43" s="177">
        <f t="shared" si="83"/>
        <v>1.9125822095775603E-2</v>
      </c>
      <c r="CL43" s="177">
        <f t="shared" si="83"/>
        <v>3.2769249106807216E-2</v>
      </c>
      <c r="CM43" s="179">
        <f t="shared" si="83"/>
        <v>2.3647730927310366E-2</v>
      </c>
      <c r="CN43" s="177">
        <f t="shared" si="83"/>
        <v>1.605873462013023E-2</v>
      </c>
      <c r="CO43" s="177">
        <f t="shared" si="83"/>
        <v>2.3662954955644414E-2</v>
      </c>
      <c r="CP43" s="177">
        <f t="shared" si="83"/>
        <v>1.9270569574897044E-2</v>
      </c>
      <c r="CQ43" s="177">
        <f t="shared" si="83"/>
        <v>1.4936472569643783E-2</v>
      </c>
      <c r="CR43" s="179">
        <f t="shared" si="83"/>
        <v>1.8445252029018051E-2</v>
      </c>
      <c r="CS43" s="177">
        <f t="shared" si="83"/>
        <v>1.2466355443308826E-2</v>
      </c>
      <c r="CT43" s="177">
        <f t="shared" si="83"/>
        <v>1.2328106151990349E-2</v>
      </c>
      <c r="CU43" s="177">
        <f t="shared" si="83"/>
        <v>1.3065159272502671E-2</v>
      </c>
      <c r="CV43" s="177">
        <f t="shared" ref="CV43:CZ43" si="84">CV42/CV36</f>
        <v>1.5970667651335074E-2</v>
      </c>
      <c r="CW43" s="179">
        <f t="shared" si="84"/>
        <v>1.3543551557854439E-2</v>
      </c>
      <c r="CX43" s="177">
        <f t="shared" si="84"/>
        <v>1.2386977840759459E-2</v>
      </c>
      <c r="CY43" s="177">
        <f t="shared" si="84"/>
        <v>1.2506184682986275E-2</v>
      </c>
      <c r="CZ43" s="177">
        <f t="shared" si="84"/>
        <v>1.228879169835923E-2</v>
      </c>
      <c r="DA43" s="177">
        <f t="shared" ref="DA43" si="85">DA42/DA36</f>
        <v>1.0545471385043335E-2</v>
      </c>
      <c r="DB43" s="179">
        <f>DB42/DB36</f>
        <v>1.1809732553599106E-2</v>
      </c>
      <c r="DC43" s="177">
        <f t="shared" ref="DC43:DF43" si="86">DC42/DC36</f>
        <v>1.423157302142102E-2</v>
      </c>
      <c r="DD43" s="177">
        <f t="shared" si="86"/>
        <v>1.22653953638225E-2</v>
      </c>
      <c r="DE43" s="177">
        <f t="shared" si="86"/>
        <v>1.3089795516442224E-2</v>
      </c>
      <c r="DF43" s="177">
        <f t="shared" si="86"/>
        <v>8.8019366571982938E-3</v>
      </c>
      <c r="DG43" s="179">
        <f>DG42/DG36</f>
        <v>1.1667427877455167E-2</v>
      </c>
      <c r="DH43" s="177">
        <f t="shared" ref="DH43:DI43" si="87">DH42/DH36</f>
        <v>1.5229124646051261E-2</v>
      </c>
      <c r="DI43" s="177">
        <f t="shared" si="87"/>
        <v>1.7703146591668155E-2</v>
      </c>
      <c r="DJ43" s="173">
        <v>1.2E-2</v>
      </c>
      <c r="DK43" s="173">
        <v>1.2E-2</v>
      </c>
      <c r="DL43" s="179">
        <f>DL42/DL36</f>
        <v>1.401958180991458E-2</v>
      </c>
      <c r="DM43" s="173">
        <v>0.01</v>
      </c>
      <c r="DN43" s="173">
        <f>DM43</f>
        <v>0.01</v>
      </c>
      <c r="DO43" s="173">
        <f>DN43</f>
        <v>0.01</v>
      </c>
      <c r="DP43" s="173">
        <f>DO43</f>
        <v>0.01</v>
      </c>
      <c r="DQ43" s="179">
        <f>DQ42/DQ36</f>
        <v>1.0000000000000002E-2</v>
      </c>
      <c r="DR43" s="173">
        <f>DP43</f>
        <v>0.01</v>
      </c>
      <c r="DS43" s="173">
        <f>DR43</f>
        <v>0.01</v>
      </c>
      <c r="DT43" s="173">
        <f>DS43</f>
        <v>0.01</v>
      </c>
      <c r="DU43" s="173">
        <f>DT43</f>
        <v>0.01</v>
      </c>
      <c r="DV43" s="179">
        <f>DV42/DV36</f>
        <v>9.9999999999999985E-3</v>
      </c>
      <c r="DW43" s="173">
        <f>DU43</f>
        <v>0.01</v>
      </c>
      <c r="DX43" s="173">
        <f>DW43</f>
        <v>0.01</v>
      </c>
      <c r="DY43" s="173">
        <f>DX43</f>
        <v>0.01</v>
      </c>
      <c r="DZ43" s="173">
        <f>DY43</f>
        <v>0.01</v>
      </c>
      <c r="EA43" s="179">
        <f>EA42/EA36</f>
        <v>0.01</v>
      </c>
      <c r="EB43" s="173">
        <f>DZ43</f>
        <v>0.01</v>
      </c>
      <c r="EC43" s="173">
        <f>EB43</f>
        <v>0.01</v>
      </c>
      <c r="ED43" s="173">
        <f>EC43</f>
        <v>0.01</v>
      </c>
      <c r="EE43" s="173">
        <f>ED43</f>
        <v>0.01</v>
      </c>
      <c r="EF43" s="179">
        <f>EF42/EF36</f>
        <v>0.01</v>
      </c>
    </row>
    <row r="44" spans="1:136" s="180" customFormat="1" ht="12.75" customHeight="1">
      <c r="B44" s="181"/>
      <c r="C44" s="181"/>
      <c r="D44" s="181"/>
      <c r="E44" s="181"/>
      <c r="F44" s="182"/>
      <c r="G44" s="181"/>
      <c r="H44" s="181"/>
      <c r="I44" s="181"/>
      <c r="J44" s="181"/>
      <c r="K44" s="182"/>
      <c r="L44" s="181"/>
      <c r="M44" s="181"/>
      <c r="N44" s="181"/>
      <c r="O44" s="181"/>
      <c r="P44" s="182"/>
      <c r="Q44" s="181"/>
      <c r="R44" s="181"/>
      <c r="S44" s="181"/>
      <c r="T44" s="181"/>
      <c r="U44" s="182"/>
      <c r="V44" s="181"/>
      <c r="W44" s="181"/>
      <c r="X44" s="181"/>
      <c r="Y44" s="181"/>
      <c r="Z44" s="182"/>
      <c r="AA44" s="181"/>
      <c r="AB44" s="181"/>
      <c r="AC44" s="181"/>
      <c r="AD44" s="181"/>
      <c r="AE44" s="182"/>
      <c r="AF44" s="181"/>
      <c r="AG44" s="181"/>
      <c r="AH44" s="181"/>
      <c r="AI44" s="181"/>
      <c r="AJ44" s="182"/>
      <c r="AK44" s="181"/>
      <c r="AL44" s="181"/>
      <c r="AM44" s="181"/>
      <c r="AN44" s="181">
        <f>(AN36-195000-168000)/AN35</f>
        <v>0.15059976005018796</v>
      </c>
      <c r="AO44" s="182"/>
      <c r="AP44" s="181"/>
      <c r="AQ44" s="181"/>
      <c r="AR44" s="181"/>
      <c r="AS44" s="181"/>
      <c r="AT44" s="182"/>
      <c r="AU44" s="181"/>
      <c r="AV44" s="181"/>
      <c r="AW44" s="181"/>
      <c r="AX44" s="181"/>
      <c r="AY44" s="182" t="e">
        <f>AX44/AW44</f>
        <v>#DIV/0!</v>
      </c>
      <c r="AZ44" s="368">
        <f>AY27*20%</f>
        <v>194180</v>
      </c>
      <c r="BA44" s="368">
        <f>AZ27*20%</f>
        <v>219800</v>
      </c>
      <c r="BB44" s="368">
        <f>BA27*20%</f>
        <v>217000</v>
      </c>
      <c r="BC44" s="368">
        <f>BB27*20%</f>
        <v>248600</v>
      </c>
      <c r="BD44" s="145">
        <f>SUM(AZ44:BC44)</f>
        <v>879580</v>
      </c>
      <c r="BE44" s="368">
        <f>BD27*20%</f>
        <v>275800</v>
      </c>
      <c r="BF44" s="368">
        <f>BE27*20%</f>
        <v>311400</v>
      </c>
      <c r="BG44" s="181"/>
      <c r="BH44" s="181"/>
      <c r="BI44" s="182"/>
      <c r="BJ44" s="181"/>
      <c r="BK44" s="181"/>
      <c r="BL44" s="181"/>
      <c r="BM44" s="181"/>
      <c r="BN44" s="182"/>
      <c r="BO44" s="181"/>
      <c r="BP44" s="181"/>
      <c r="BQ44" s="181"/>
      <c r="BR44" s="181"/>
      <c r="BS44" s="182"/>
      <c r="BT44" s="181"/>
      <c r="BU44" s="181"/>
      <c r="BV44" s="181"/>
      <c r="BW44" s="181"/>
      <c r="BX44" s="182"/>
      <c r="BY44" s="181"/>
      <c r="BZ44" s="181"/>
      <c r="CA44" s="181"/>
      <c r="CB44" s="181"/>
      <c r="CC44" s="182"/>
      <c r="CD44" s="181"/>
      <c r="CE44" s="181"/>
      <c r="CF44" s="181"/>
      <c r="CG44" s="181"/>
      <c r="CH44" s="182"/>
      <c r="CI44" s="181"/>
      <c r="CJ44" s="181"/>
      <c r="CK44" s="181"/>
      <c r="CL44" s="181"/>
      <c r="CM44" s="182"/>
      <c r="CN44" s="181"/>
      <c r="CO44" s="181"/>
      <c r="CP44" s="181"/>
      <c r="CQ44" s="181"/>
      <c r="CR44" s="182"/>
      <c r="CS44" s="181"/>
      <c r="CT44" s="181"/>
      <c r="CU44" s="181"/>
      <c r="CV44" s="181"/>
      <c r="CW44" s="182"/>
      <c r="CX44" s="181"/>
      <c r="CY44" s="181"/>
      <c r="CZ44" s="181"/>
      <c r="DA44" s="181"/>
      <c r="DB44" s="182"/>
      <c r="DC44" s="181"/>
      <c r="DD44" s="181"/>
      <c r="DE44" s="181"/>
      <c r="DF44" s="181"/>
      <c r="DG44" s="182"/>
      <c r="DH44" s="181"/>
      <c r="DI44" s="181"/>
      <c r="DJ44" s="181"/>
      <c r="DK44" s="181"/>
      <c r="DL44" s="182"/>
      <c r="DM44" s="181"/>
      <c r="DN44" s="181"/>
      <c r="DO44" s="181"/>
      <c r="DP44" s="181"/>
      <c r="DQ44" s="182"/>
      <c r="DR44" s="181"/>
      <c r="DS44" s="181"/>
      <c r="DT44" s="181"/>
      <c r="DU44" s="181"/>
      <c r="DV44" s="182"/>
      <c r="DW44" s="181"/>
      <c r="DX44" s="181"/>
      <c r="DY44" s="181"/>
      <c r="DZ44" s="181"/>
      <c r="EA44" s="182"/>
      <c r="EB44" s="181"/>
      <c r="EC44" s="181"/>
      <c r="ED44" s="181"/>
      <c r="EE44" s="181"/>
      <c r="EF44" s="182"/>
    </row>
    <row r="45" spans="1:136" s="70" customFormat="1" ht="12.75" customHeight="1" thickBot="1">
      <c r="A45" s="69" t="s">
        <v>88</v>
      </c>
      <c r="B45" s="93" t="str">
        <f>Macro!B$3</f>
        <v>1Q04</v>
      </c>
      <c r="C45" s="93" t="str">
        <f>Macro!C$3</f>
        <v>2Q04</v>
      </c>
      <c r="D45" s="93" t="str">
        <f>Macro!D$3</f>
        <v>3Q04</v>
      </c>
      <c r="E45" s="93" t="str">
        <f>Macro!E$3</f>
        <v>4Q04</v>
      </c>
      <c r="F45" s="92" t="str">
        <f>Macro!F$3</f>
        <v>2004</v>
      </c>
      <c r="G45" s="93" t="str">
        <f>Macro!G$3</f>
        <v>1Q05</v>
      </c>
      <c r="H45" s="93" t="str">
        <f>Macro!H$3</f>
        <v>2Q05</v>
      </c>
      <c r="I45" s="93" t="str">
        <f>Macro!I$3</f>
        <v>3Q05</v>
      </c>
      <c r="J45" s="93" t="str">
        <f>Macro!J$3</f>
        <v>4Q05</v>
      </c>
      <c r="K45" s="92" t="str">
        <f>Macro!K$3</f>
        <v>2005</v>
      </c>
      <c r="L45" s="93" t="str">
        <f>Macro!L$3</f>
        <v>1Q06</v>
      </c>
      <c r="M45" s="93" t="str">
        <f>Macro!M$3</f>
        <v>2Q06</v>
      </c>
      <c r="N45" s="93" t="str">
        <f>Macro!N$3</f>
        <v>3Q06</v>
      </c>
      <c r="O45" s="94" t="str">
        <f>Macro!O$3</f>
        <v>4Q06</v>
      </c>
      <c r="P45" s="92" t="str">
        <f>Macro!P$3</f>
        <v>2006</v>
      </c>
      <c r="Q45" s="93" t="str">
        <f>Macro!Q$3</f>
        <v>1Q07</v>
      </c>
      <c r="R45" s="93" t="str">
        <f>Macro!R$3</f>
        <v>2Q07</v>
      </c>
      <c r="S45" s="93" t="str">
        <f>Macro!S$3</f>
        <v>3Q07</v>
      </c>
      <c r="T45" s="94" t="str">
        <f>Macro!T$3</f>
        <v>4Q07</v>
      </c>
      <c r="U45" s="92" t="str">
        <f>Macro!U$3</f>
        <v>2007</v>
      </c>
      <c r="V45" s="93" t="str">
        <f>Macro!V$3</f>
        <v>1Q08</v>
      </c>
      <c r="W45" s="93" t="str">
        <f>Macro!W$3</f>
        <v>2Q08</v>
      </c>
      <c r="X45" s="93" t="str">
        <f>Macro!X$3</f>
        <v>3Q08</v>
      </c>
      <c r="Y45" s="94" t="str">
        <f>Macro!Y$3</f>
        <v>4Q08</v>
      </c>
      <c r="Z45" s="92" t="str">
        <f>Macro!Z$3</f>
        <v>2008</v>
      </c>
      <c r="AA45" s="93" t="str">
        <f>Macro!AA$3</f>
        <v>1Q09</v>
      </c>
      <c r="AB45" s="93" t="str">
        <f>Macro!AB$3</f>
        <v>2Q09</v>
      </c>
      <c r="AC45" s="93" t="str">
        <f>Macro!AC$3</f>
        <v>3Q09</v>
      </c>
      <c r="AD45" s="94" t="str">
        <f>Macro!AD$3</f>
        <v>4Q09</v>
      </c>
      <c r="AE45" s="92" t="str">
        <f>Macro!AE$3</f>
        <v>2009</v>
      </c>
      <c r="AF45" s="93" t="str">
        <f>Macro!AF$3</f>
        <v>1Q10</v>
      </c>
      <c r="AG45" s="93" t="str">
        <f>Macro!AG$3</f>
        <v>2Q10</v>
      </c>
      <c r="AH45" s="93" t="str">
        <f>Macro!AH$3</f>
        <v>3Q10</v>
      </c>
      <c r="AI45" s="94" t="str">
        <f>Macro!AI$3</f>
        <v>4Q10</v>
      </c>
      <c r="AJ45" s="92" t="str">
        <f>Macro!AJ$3</f>
        <v>2010</v>
      </c>
      <c r="AK45" s="93" t="str">
        <f>Macro!AK$3</f>
        <v>1Q11</v>
      </c>
      <c r="AL45" s="93" t="str">
        <f>Macro!AL$3</f>
        <v>2Q11</v>
      </c>
      <c r="AM45" s="93" t="str">
        <f>Macro!AM$3</f>
        <v>3Q11</v>
      </c>
      <c r="AN45" s="94" t="str">
        <f>Macro!AN$3</f>
        <v>4Q11</v>
      </c>
      <c r="AO45" s="92" t="str">
        <f>Macro!AO$3</f>
        <v>2011</v>
      </c>
      <c r="AP45" s="93" t="str">
        <f>Macro!AP$3</f>
        <v>1Q12</v>
      </c>
      <c r="AQ45" s="310" t="str">
        <f>Macro!AQ$3</f>
        <v>2Q12</v>
      </c>
      <c r="AR45" s="310" t="str">
        <f>Macro!AR$3</f>
        <v>3Q12</v>
      </c>
      <c r="AS45" s="310" t="str">
        <f>Macro!AS$3</f>
        <v>4Q12</v>
      </c>
      <c r="AT45" s="311" t="str">
        <f>Macro!AT$3</f>
        <v>2012</v>
      </c>
      <c r="AU45" s="310" t="str">
        <f>Macro!AU$3</f>
        <v>1Q13</v>
      </c>
      <c r="AV45" s="310" t="str">
        <f>Macro!AV$3</f>
        <v>2Q13</v>
      </c>
      <c r="AW45" s="310" t="str">
        <f>Macro!AW$3</f>
        <v>3Q13</v>
      </c>
      <c r="AX45" s="310" t="str">
        <f>Macro!AX$3</f>
        <v>4Q13</v>
      </c>
      <c r="AY45" s="311" t="str">
        <f>Macro!AY$3</f>
        <v>2013</v>
      </c>
      <c r="AZ45" s="310" t="str">
        <f>Macro!AZ$3</f>
        <v>1Q14</v>
      </c>
      <c r="BA45" s="310" t="str">
        <f>Macro!BA$3</f>
        <v>2Q14</v>
      </c>
      <c r="BB45" s="310" t="str">
        <f>Macro!BB$3</f>
        <v>3Q14</v>
      </c>
      <c r="BC45" s="310" t="str">
        <f>Macro!BC$3</f>
        <v>4Q14</v>
      </c>
      <c r="BD45" s="311" t="str">
        <f>Macro!BD$3</f>
        <v>2014</v>
      </c>
      <c r="BE45" s="310" t="str">
        <f>Macro!BE$3</f>
        <v>1Q15</v>
      </c>
      <c r="BF45" s="310" t="str">
        <f>Macro!BF$3</f>
        <v>2Q15</v>
      </c>
      <c r="BG45" s="310" t="str">
        <f>Macro!BG$3</f>
        <v>3Q15</v>
      </c>
      <c r="BH45" s="310" t="str">
        <f>Macro!BH$3</f>
        <v>4Q15</v>
      </c>
      <c r="BI45" s="311" t="str">
        <f>Macro!BI$3</f>
        <v>2015</v>
      </c>
      <c r="BJ45" s="310" t="str">
        <f>Macro!BJ$3</f>
        <v>1Q16</v>
      </c>
      <c r="BK45" s="310" t="str">
        <f>Macro!BK$3</f>
        <v>2Q16</v>
      </c>
      <c r="BL45" s="310" t="str">
        <f>Macro!BL$3</f>
        <v>3Q16</v>
      </c>
      <c r="BM45" s="310" t="str">
        <f>Macro!BM$3</f>
        <v>4Q16</v>
      </c>
      <c r="BN45" s="311" t="str">
        <f>Macro!BN$3</f>
        <v>2016</v>
      </c>
      <c r="BO45" s="310" t="str">
        <f>Macro!BO$3</f>
        <v>1Q17</v>
      </c>
      <c r="BP45" s="310" t="str">
        <f>Macro!BP$3</f>
        <v>2Q17</v>
      </c>
      <c r="BQ45" s="310" t="str">
        <f>Macro!BQ$3</f>
        <v>3Q17</v>
      </c>
      <c r="BR45" s="310" t="str">
        <f>Macro!BR$3</f>
        <v>4Q17</v>
      </c>
      <c r="BS45" s="311" t="str">
        <f>Macro!BS$3</f>
        <v>2017</v>
      </c>
      <c r="BT45" s="310" t="str">
        <f>Macro!BT$3</f>
        <v>1Q18</v>
      </c>
      <c r="BU45" s="310" t="str">
        <f>Macro!BU$3</f>
        <v>2Q18</v>
      </c>
      <c r="BV45" s="310" t="str">
        <f>Macro!BV$3</f>
        <v>3Q18</v>
      </c>
      <c r="BW45" s="310" t="str">
        <f>Macro!BW$3</f>
        <v>4Q18</v>
      </c>
      <c r="BX45" s="311" t="str">
        <f>Macro!BX$3</f>
        <v>2018</v>
      </c>
      <c r="BY45" s="310" t="str">
        <f>Macro!BY$3</f>
        <v>1Q19</v>
      </c>
      <c r="BZ45" s="310" t="str">
        <f>Macro!BZ$3</f>
        <v>2Q19</v>
      </c>
      <c r="CA45" s="310" t="str">
        <f>Macro!CA$3</f>
        <v>3Q19</v>
      </c>
      <c r="CB45" s="310" t="str">
        <f>Macro!CB$3</f>
        <v>4Q19</v>
      </c>
      <c r="CC45" s="311" t="str">
        <f>Macro!CC$3</f>
        <v>2019</v>
      </c>
      <c r="CD45" s="310" t="str">
        <f>Macro!CD$3</f>
        <v>1Q20</v>
      </c>
      <c r="CE45" s="310" t="str">
        <f>Macro!CE$3</f>
        <v>2Q20</v>
      </c>
      <c r="CF45" s="310" t="str">
        <f>Macro!CF$3</f>
        <v>3Q20</v>
      </c>
      <c r="CG45" s="310" t="str">
        <f>Macro!CG$3</f>
        <v>4Q20</v>
      </c>
      <c r="CH45" s="311" t="str">
        <f>Macro!CH$3</f>
        <v>2020</v>
      </c>
      <c r="CI45" s="310" t="str">
        <f>Macro!CI$3</f>
        <v>1Q21</v>
      </c>
      <c r="CJ45" s="310" t="str">
        <f>Macro!CJ$3</f>
        <v>2Q21</v>
      </c>
      <c r="CK45" s="310" t="str">
        <f>Macro!CK$3</f>
        <v>3Q21</v>
      </c>
      <c r="CL45" s="310" t="str">
        <f>Macro!CL$3</f>
        <v>4Q21</v>
      </c>
      <c r="CM45" s="311" t="str">
        <f>Macro!CM$3</f>
        <v>2021</v>
      </c>
      <c r="CN45" s="310" t="str">
        <f>Macro!CN$3</f>
        <v>1Q22</v>
      </c>
      <c r="CO45" s="310" t="str">
        <f>Macro!CO$3</f>
        <v>2Q22</v>
      </c>
      <c r="CP45" s="310" t="str">
        <f>Macro!CP$3</f>
        <v>3Q22</v>
      </c>
      <c r="CQ45" s="310" t="str">
        <f>Macro!CQ$3</f>
        <v>4Q22</v>
      </c>
      <c r="CR45" s="311" t="str">
        <f>Macro!CR$3</f>
        <v>2022</v>
      </c>
      <c r="CS45" s="310" t="str">
        <f>Macro!CS$3</f>
        <v>1Q23</v>
      </c>
      <c r="CT45" s="310" t="str">
        <f>Macro!CT$3</f>
        <v>2Q23</v>
      </c>
      <c r="CU45" s="310" t="str">
        <f>Macro!CU$3</f>
        <v>3Q23</v>
      </c>
      <c r="CV45" s="310" t="str">
        <f>Macro!CV$3</f>
        <v>4Q23</v>
      </c>
      <c r="CW45" s="311" t="str">
        <f>Macro!CW$3</f>
        <v>2023</v>
      </c>
      <c r="CX45" s="310" t="str">
        <f>Macro!CX$3</f>
        <v>1Q24</v>
      </c>
      <c r="CY45" s="310" t="str">
        <f>Macro!CY$3</f>
        <v>2Q24</v>
      </c>
      <c r="CZ45" s="310" t="str">
        <f>Macro!CZ$3</f>
        <v>3Q24</v>
      </c>
      <c r="DA45" s="310" t="str">
        <f>Macro!DA$3</f>
        <v>4Q24</v>
      </c>
      <c r="DB45" s="311" t="str">
        <f>Macro!DB$3</f>
        <v>2024</v>
      </c>
      <c r="DC45" s="310" t="str">
        <f>Macro!DC$3</f>
        <v>1Q25</v>
      </c>
      <c r="DD45" s="310" t="str">
        <f>Macro!DD$3</f>
        <v>2Q25</v>
      </c>
      <c r="DE45" s="310" t="str">
        <f>Macro!DE$3</f>
        <v>3Q25</v>
      </c>
      <c r="DF45" s="310" t="str">
        <f>Macro!DF$3</f>
        <v>4Q25</v>
      </c>
      <c r="DG45" s="311" t="str">
        <f>Macro!DG$3</f>
        <v>2025</v>
      </c>
      <c r="DH45" s="310" t="str">
        <f>Macro!DH$3</f>
        <v>1Q26</v>
      </c>
      <c r="DI45" s="310" t="str">
        <f>Macro!DI$3</f>
        <v>2Q26</v>
      </c>
      <c r="DJ45" s="310" t="str">
        <f>Macro!DJ$3</f>
        <v>3Q26E</v>
      </c>
      <c r="DK45" s="310" t="str">
        <f>Macro!DK$3</f>
        <v>4Q26E</v>
      </c>
      <c r="DL45" s="311" t="str">
        <f>Macro!DL$3</f>
        <v>2026E</v>
      </c>
      <c r="DM45" s="310" t="str">
        <f>Macro!DM$3</f>
        <v>1Q27E</v>
      </c>
      <c r="DN45" s="310" t="str">
        <f>Macro!DN$3</f>
        <v>2Q27E</v>
      </c>
      <c r="DO45" s="310" t="str">
        <f>Macro!DO$3</f>
        <v>3Q27E</v>
      </c>
      <c r="DP45" s="310" t="str">
        <f>Macro!DP$3</f>
        <v>4Q27E</v>
      </c>
      <c r="DQ45" s="311" t="str">
        <f>Macro!DQ$3</f>
        <v>2027E</v>
      </c>
      <c r="DR45" s="310" t="str">
        <f>Macro!DR$3</f>
        <v>1Q28E</v>
      </c>
      <c r="DS45" s="310" t="str">
        <f>Macro!DS$3</f>
        <v>2Q28E</v>
      </c>
      <c r="DT45" s="310" t="str">
        <f>Macro!DT$3</f>
        <v>3Q28E</v>
      </c>
      <c r="DU45" s="310" t="str">
        <f>Macro!DU$3</f>
        <v>4Q28E</v>
      </c>
      <c r="DV45" s="311" t="str">
        <f>Macro!DV$3</f>
        <v>2028E</v>
      </c>
      <c r="DW45" s="310" t="str">
        <f>Macro!DW$3</f>
        <v>1Q29E</v>
      </c>
      <c r="DX45" s="310" t="str">
        <f>Macro!DX$3</f>
        <v>2Q29E</v>
      </c>
      <c r="DY45" s="310" t="str">
        <f>Macro!DY$3</f>
        <v>3Q29E</v>
      </c>
      <c r="DZ45" s="310" t="str">
        <f>Macro!DZ$3</f>
        <v>4Q29E</v>
      </c>
      <c r="EA45" s="311" t="str">
        <f>Macro!EA$3</f>
        <v>2029E</v>
      </c>
      <c r="EB45" s="310" t="str">
        <f>Macro!EB$3</f>
        <v>1Q30E</v>
      </c>
      <c r="EC45" s="310" t="str">
        <f>Macro!EC$3</f>
        <v>2Q30E</v>
      </c>
      <c r="ED45" s="310" t="str">
        <f>Macro!ED$3</f>
        <v>3Q30E</v>
      </c>
      <c r="EE45" s="310" t="str">
        <f>Macro!EE$3</f>
        <v>4Q30E</v>
      </c>
      <c r="EF45" s="311" t="str">
        <f>Macro!EF$3</f>
        <v>2030E</v>
      </c>
    </row>
    <row r="46" spans="1:136" ht="12.75" customHeight="1">
      <c r="A46" s="66" t="s">
        <v>730</v>
      </c>
      <c r="B46" s="169">
        <v>0</v>
      </c>
      <c r="C46" s="169">
        <v>0</v>
      </c>
      <c r="D46" s="169">
        <v>0</v>
      </c>
      <c r="E46" s="169">
        <v>0</v>
      </c>
      <c r="F46" s="130">
        <f>E46</f>
        <v>0</v>
      </c>
      <c r="G46" s="169">
        <v>0</v>
      </c>
      <c r="H46" s="169">
        <v>0</v>
      </c>
      <c r="I46" s="169">
        <v>0</v>
      </c>
      <c r="J46" s="169">
        <v>0</v>
      </c>
      <c r="K46" s="130">
        <f>J46</f>
        <v>0</v>
      </c>
      <c r="L46" s="169">
        <v>0</v>
      </c>
      <c r="M46" s="169">
        <v>15473762</v>
      </c>
      <c r="N46" s="169">
        <v>15985864</v>
      </c>
      <c r="O46" s="169">
        <v>18085086</v>
      </c>
      <c r="P46" s="130">
        <f>O46</f>
        <v>18085086</v>
      </c>
      <c r="Q46" s="169">
        <v>24895751</v>
      </c>
      <c r="R46" s="169">
        <v>18838796</v>
      </c>
      <c r="S46" s="169">
        <v>20701199</v>
      </c>
      <c r="T46" s="169">
        <f>22098448+483102</f>
        <v>22581550</v>
      </c>
      <c r="U46" s="130">
        <f>T46</f>
        <v>22581550</v>
      </c>
      <c r="V46" s="169">
        <v>23615260</v>
      </c>
      <c r="W46" s="169">
        <v>32118281</v>
      </c>
      <c r="X46" s="169">
        <v>34567546</v>
      </c>
      <c r="Y46" s="169">
        <v>34651897</v>
      </c>
      <c r="Z46" s="130">
        <f>Y46</f>
        <v>34651897</v>
      </c>
      <c r="AA46" s="169">
        <f>34017649+3500000</f>
        <v>37517649</v>
      </c>
      <c r="AB46" s="169">
        <v>37542559</v>
      </c>
      <c r="AC46" s="169">
        <v>37123945</v>
      </c>
      <c r="AD46" s="169">
        <v>34583346</v>
      </c>
      <c r="AE46" s="130">
        <f>AD46</f>
        <v>34583346</v>
      </c>
      <c r="AF46" s="169">
        <v>39074000</v>
      </c>
      <c r="AG46" s="169">
        <f>34984276*39074/34436</f>
        <v>39696120.351492621</v>
      </c>
      <c r="AH46" s="169">
        <f>37197733*43327/37997</f>
        <v>42415616.435271204</v>
      </c>
      <c r="AI46" s="169">
        <v>43427000</v>
      </c>
      <c r="AJ46" s="130">
        <f>AI46</f>
        <v>43427000</v>
      </c>
      <c r="AK46" s="169">
        <v>44633000</v>
      </c>
      <c r="AL46" s="169">
        <v>45802000</v>
      </c>
      <c r="AM46" s="169">
        <v>45630000</v>
      </c>
      <c r="AN46" s="169">
        <v>48931000</v>
      </c>
      <c r="AO46" s="130">
        <f>AN46</f>
        <v>48931000</v>
      </c>
      <c r="AP46" s="169">
        <v>49785000</v>
      </c>
      <c r="AQ46" s="169">
        <v>51615000</v>
      </c>
      <c r="AR46" s="169">
        <v>55664000</v>
      </c>
      <c r="AS46" s="169">
        <v>57055000</v>
      </c>
      <c r="AT46" s="130">
        <f>AS46</f>
        <v>57055000</v>
      </c>
      <c r="AU46" s="169">
        <v>54878000</v>
      </c>
      <c r="AV46" s="169">
        <v>57439000</v>
      </c>
      <c r="AW46" s="169">
        <v>59639000</v>
      </c>
      <c r="AX46" s="169">
        <v>55079000</v>
      </c>
      <c r="AY46" s="130">
        <f>AX46</f>
        <v>55079000</v>
      </c>
      <c r="AZ46" s="169">
        <v>50921000</v>
      </c>
      <c r="BA46" s="169">
        <v>52311000</v>
      </c>
      <c r="BB46" s="169">
        <v>51727000</v>
      </c>
      <c r="BC46" s="169">
        <v>54298000</v>
      </c>
      <c r="BD46" s="130">
        <f>BC46</f>
        <v>54298000</v>
      </c>
      <c r="BE46" s="169">
        <v>54903000</v>
      </c>
      <c r="BF46" s="169">
        <v>54032000</v>
      </c>
      <c r="BG46" s="169">
        <v>52930000</v>
      </c>
      <c r="BH46" s="169">
        <v>53877000</v>
      </c>
      <c r="BI46" s="130">
        <f>BH46</f>
        <v>53877000</v>
      </c>
      <c r="BJ46" s="169">
        <v>53667000</v>
      </c>
      <c r="BK46" s="169">
        <v>51836000</v>
      </c>
      <c r="BL46" s="169">
        <v>52257000</v>
      </c>
      <c r="BM46" s="169">
        <v>50898000</v>
      </c>
      <c r="BN46" s="130">
        <f>BM46</f>
        <v>50898000</v>
      </c>
      <c r="BO46" s="169">
        <v>49925000</v>
      </c>
      <c r="BP46" s="169">
        <v>50233000</v>
      </c>
      <c r="BQ46" s="169">
        <v>47459000</v>
      </c>
      <c r="BR46" s="169">
        <v>45449000</v>
      </c>
      <c r="BS46" s="130">
        <f>BR46</f>
        <v>45449000</v>
      </c>
      <c r="BT46" s="169">
        <v>45003000</v>
      </c>
      <c r="BU46" s="169">
        <v>43372096</v>
      </c>
      <c r="BV46" s="169">
        <v>43441000</v>
      </c>
      <c r="BW46" s="169">
        <v>41147146.558668397</v>
      </c>
      <c r="BX46" s="130">
        <f>BW46</f>
        <v>41147146.558668397</v>
      </c>
      <c r="BY46" s="169">
        <v>41068000</v>
      </c>
      <c r="BZ46" s="169">
        <v>39324000</v>
      </c>
      <c r="CA46" s="169">
        <v>37965000</v>
      </c>
      <c r="CB46" s="169">
        <v>37786000</v>
      </c>
      <c r="CC46" s="130">
        <f>CB46</f>
        <v>37786000</v>
      </c>
      <c r="CD46" s="169">
        <v>37413000</v>
      </c>
      <c r="CE46" s="169">
        <v>37339000</v>
      </c>
      <c r="CF46" s="169">
        <v>34524000</v>
      </c>
      <c r="CG46" s="169">
        <v>32049000</v>
      </c>
      <c r="CH46" s="130">
        <f>CG46</f>
        <v>32049000</v>
      </c>
      <c r="CI46" s="169">
        <v>30200000</v>
      </c>
      <c r="CJ46" s="169">
        <v>32074000</v>
      </c>
      <c r="CK46" s="169">
        <v>31045000</v>
      </c>
      <c r="CL46" s="169">
        <v>29500000</v>
      </c>
      <c r="CM46" s="130">
        <f>CL46</f>
        <v>29500000</v>
      </c>
      <c r="CN46" s="169">
        <v>30858000</v>
      </c>
      <c r="CO46" s="169">
        <v>32938000</v>
      </c>
      <c r="CP46" s="169">
        <v>31402000</v>
      </c>
      <c r="CQ46" s="169">
        <v>28463000</v>
      </c>
      <c r="CR46" s="130">
        <f>CQ46</f>
        <v>28463000</v>
      </c>
      <c r="CS46" s="169">
        <v>28965000</v>
      </c>
      <c r="CT46" s="169">
        <v>26929000</v>
      </c>
      <c r="CU46" s="169">
        <v>26677000</v>
      </c>
      <c r="CV46" s="169">
        <v>25975000</v>
      </c>
      <c r="CW46" s="130">
        <f>CV46</f>
        <v>25975000</v>
      </c>
      <c r="CX46" s="307">
        <v>10321427.21241435</v>
      </c>
      <c r="CY46" s="169">
        <v>11726077.935278058</v>
      </c>
      <c r="CZ46" s="169">
        <v>14696046.775522759</v>
      </c>
      <c r="DA46" s="169">
        <v>20408863.299987704</v>
      </c>
      <c r="DB46" s="130">
        <f>DA46</f>
        <v>20408863.299987704</v>
      </c>
      <c r="DC46" s="169">
        <v>19058961.520058818</v>
      </c>
      <c r="DD46" s="169">
        <v>20214453.771604367</v>
      </c>
      <c r="DE46" s="169">
        <v>18434645.021040641</v>
      </c>
      <c r="DF46" s="169">
        <v>19841277.998725064</v>
      </c>
      <c r="DG46" s="130">
        <f>DF46</f>
        <v>19841277.998725064</v>
      </c>
      <c r="DH46" s="169">
        <v>18208741.413550403</v>
      </c>
      <c r="DI46" s="169">
        <v>17475589.458483893</v>
      </c>
      <c r="DJ46" s="114">
        <f>DI46</f>
        <v>17475589.458483893</v>
      </c>
      <c r="DK46" s="114">
        <f>DJ46</f>
        <v>17475589.458483893</v>
      </c>
      <c r="DL46" s="130">
        <f>DK46</f>
        <v>17475589.458483893</v>
      </c>
      <c r="DM46" s="114">
        <f>DM47*SUM(DN4:DP4,DM4)</f>
        <v>17475589.458483893</v>
      </c>
      <c r="DN46" s="114">
        <f>DM46</f>
        <v>17475589.458483893</v>
      </c>
      <c r="DO46" s="114">
        <f>DN46</f>
        <v>17475589.458483893</v>
      </c>
      <c r="DP46" s="114">
        <f>DO46</f>
        <v>17475589.458483893</v>
      </c>
      <c r="DQ46" s="130">
        <f>DP46</f>
        <v>17475589.458483893</v>
      </c>
      <c r="DR46" s="114">
        <f>DR47*SUM(DS4:DU4,DR4)</f>
        <v>17475589.458483893</v>
      </c>
      <c r="DS46" s="114">
        <f>DR46</f>
        <v>17475589.458483893</v>
      </c>
      <c r="DT46" s="114">
        <f>DS46</f>
        <v>17475589.458483893</v>
      </c>
      <c r="DU46" s="114">
        <f>DT46</f>
        <v>17475589.458483893</v>
      </c>
      <c r="DV46" s="130">
        <f>DU46</f>
        <v>17475589.458483893</v>
      </c>
      <c r="DW46" s="114">
        <f>DW47*SUM(DX4:DZ4,DW4)</f>
        <v>17475589.458483893</v>
      </c>
      <c r="DX46" s="114">
        <f>DW46</f>
        <v>17475589.458483893</v>
      </c>
      <c r="DY46" s="114">
        <f>DX46</f>
        <v>17475589.458483893</v>
      </c>
      <c r="DZ46" s="114">
        <f>DY46</f>
        <v>17475589.458483893</v>
      </c>
      <c r="EA46" s="130">
        <f>DZ46</f>
        <v>17475589.458483893</v>
      </c>
      <c r="EB46" s="114">
        <f>EB47*SUM(EC4:EE4,EB4)</f>
        <v>17475589.458483893</v>
      </c>
      <c r="EC46" s="114">
        <f>EB46</f>
        <v>17475589.458483893</v>
      </c>
      <c r="ED46" s="114">
        <f>EC46</f>
        <v>17475589.458483893</v>
      </c>
      <c r="EE46" s="114">
        <f>ED46</f>
        <v>17475589.458483893</v>
      </c>
      <c r="EF46" s="130">
        <f>EE46</f>
        <v>17475589.458483893</v>
      </c>
    </row>
    <row r="47" spans="1:136" ht="12.75" customHeight="1">
      <c r="A47" s="309" t="s">
        <v>89</v>
      </c>
      <c r="B47" s="183">
        <f>B46/SUM(E5,B5:D5)</f>
        <v>0</v>
      </c>
      <c r="C47" s="183">
        <f>C46/SUM(G5,C5:E5)</f>
        <v>0</v>
      </c>
      <c r="D47" s="183">
        <f>D46/SUM(G5:H5,D5:E5)</f>
        <v>0</v>
      </c>
      <c r="E47" s="183">
        <f>E46/SUM(E5,G5:I5)</f>
        <v>0</v>
      </c>
      <c r="F47" s="184">
        <f>F48/K4</f>
        <v>0</v>
      </c>
      <c r="G47" s="183">
        <f>G46/SUM(J5,G5:I5)</f>
        <v>0</v>
      </c>
      <c r="H47" s="183">
        <f>H46/SUM(L5,H5:J5)</f>
        <v>0</v>
      </c>
      <c r="I47" s="183">
        <f>I46/SUM(L5:M5,I5:J5)</f>
        <v>0</v>
      </c>
      <c r="J47" s="183">
        <f>J46/SUM(J5,L5:N5)</f>
        <v>0</v>
      </c>
      <c r="K47" s="184">
        <f>K48/P4</f>
        <v>0</v>
      </c>
      <c r="L47" s="183">
        <f>L46/SUM(O5,L5:N5)</f>
        <v>0</v>
      </c>
      <c r="M47" s="183">
        <f>M46/SUM(Q5,M5:O5)</f>
        <v>7.7110465266009989</v>
      </c>
      <c r="N47" s="183">
        <f>N46/SUM(Q5:R5,N5:O5)</f>
        <v>8.6341795650250646</v>
      </c>
      <c r="O47" s="183">
        <f>O46/SUM(O5,Q5:S5)</f>
        <v>7.6726002290950746</v>
      </c>
      <c r="P47" s="184">
        <f>P48/U4</f>
        <v>3.292172603319754</v>
      </c>
      <c r="Q47" s="183">
        <f>Q46/SUM(T4,Q4:S4)</f>
        <v>4.5319723324108256</v>
      </c>
      <c r="R47" s="183">
        <f>R46/SUM(V4,R4:T4)</f>
        <v>3.1259233595403337</v>
      </c>
      <c r="S47" s="183">
        <f>S46/SUM(V4:W4,S4:T4)</f>
        <v>2.7379217362126842</v>
      </c>
      <c r="T47" s="183">
        <f>T46/SUM(T4,V4:X4)</f>
        <v>3.2076407063995709</v>
      </c>
      <c r="U47" s="184">
        <f>U48/Z4</f>
        <v>4.6777513616438702</v>
      </c>
      <c r="V47" s="183">
        <f>V46/SUM(Y4,V4:X4)</f>
        <v>4.8918836227173967</v>
      </c>
      <c r="W47" s="183">
        <f>W46/SUM(AA4,W4:Y4)</f>
        <v>6.9136322297549642</v>
      </c>
      <c r="X47" s="183">
        <f>X46/SUM(AA4:AB4,X4:Y4)</f>
        <v>11.12466039539277</v>
      </c>
      <c r="Y47" s="183">
        <f>Y46/SUM(Y4,AA4:AC4)</f>
        <v>8.6487319506602507</v>
      </c>
      <c r="Z47" s="184">
        <f>Z48/AE4</f>
        <v>6.0772672139473807</v>
      </c>
      <c r="AA47" s="183">
        <f>AA46/SUM(AD4,AA4:AC4)</f>
        <v>6.5798642484734877</v>
      </c>
      <c r="AB47" s="183">
        <f>AB46/SUM(AF4,AB4:AD4)</f>
        <v>6.5357036787897966</v>
      </c>
      <c r="AC47" s="183">
        <f>AC46/SUM(AF4:AG4,AC4:AD4)</f>
        <v>5.9613722609827251</v>
      </c>
      <c r="AD47" s="183">
        <f>AD46/SUM(AD4,AF4:AH4)</f>
        <v>6.1372811387193025</v>
      </c>
      <c r="AE47" s="184">
        <f>AE48/AJ4</f>
        <v>4.5445311766989294</v>
      </c>
      <c r="AF47" s="183">
        <f>AF46/SUM(AI4,AF4:AH4)</f>
        <v>5.1346394070236565</v>
      </c>
      <c r="AG47" s="183">
        <f>AG46/SUM(AK4,AG4:AI4)</f>
        <v>4.8613915313254381</v>
      </c>
      <c r="AH47" s="183">
        <f>AH46/SUM(AK4:AL4,AH4:AI4)</f>
        <v>4.8797163024070009</v>
      </c>
      <c r="AI47" s="183">
        <f>AI46/SUM(AI4,AK4:AM4)</f>
        <v>4.7775381448361838</v>
      </c>
      <c r="AJ47" s="184">
        <f>AJ48/AO4</f>
        <v>5.493542143679397</v>
      </c>
      <c r="AK47" s="183">
        <f>AK46/SUM(AN4,AK4:AM4)</f>
        <v>5.6461018835941355</v>
      </c>
      <c r="AL47" s="183">
        <f>AL46/SUM(AP4,AL4:AN4)</f>
        <v>5.9925946278342561</v>
      </c>
      <c r="AM47" s="183">
        <f>AM46/SUM(AP4:AQ4,AM4:AN4)</f>
        <v>6.4463720614828208</v>
      </c>
      <c r="AN47" s="183">
        <f>AN46/SUM(AN4,AP4:AR4)</f>
        <v>7.1545963650187892</v>
      </c>
      <c r="AO47" s="184">
        <f>AO48/AT4</f>
        <v>9.719524064914685</v>
      </c>
      <c r="AP47" s="183">
        <f>AP46/SUM(AS4,AP4:AR4)</f>
        <v>9.8891603599308748</v>
      </c>
      <c r="AQ47" s="183">
        <f>AQ46/SUM(AU4,AQ4:AS4)</f>
        <v>10.541202900030633</v>
      </c>
      <c r="AR47" s="183">
        <f>AR46/SUM(AU4:AV4,AR4:AS4)</f>
        <v>10.962443626051165</v>
      </c>
      <c r="AS47" s="183">
        <f>AS46/SUM(AS4,AU4:AW4)</f>
        <v>11.900838513203453</v>
      </c>
      <c r="AT47" s="184">
        <f>AT48/AY4</f>
        <v>10.406558931893628</v>
      </c>
      <c r="AU47" s="183">
        <f>AU46/SUM(AX4,AU4:AW4)</f>
        <v>10.009484551125379</v>
      </c>
      <c r="AV47" s="183">
        <f>AV46/SUM(AZ4,AV4:AX4)</f>
        <v>8.6436826581592729</v>
      </c>
      <c r="AW47" s="183">
        <f>AW46/SUM(AZ4:BA4,AW4:AX4)</f>
        <v>9.5196973566594298</v>
      </c>
      <c r="AX47" s="183">
        <f>AX46/SUM(AX4,AZ4:BB4)</f>
        <v>9.4741640291729734</v>
      </c>
      <c r="AY47" s="184">
        <f>AY48/BD4</f>
        <v>9.5923023336816442</v>
      </c>
      <c r="AZ47" s="183">
        <f>AZ46/SUM(BC4,AZ4:BB4)</f>
        <v>8.868164402647162</v>
      </c>
      <c r="BA47" s="183">
        <f>BA46/SUM(BE4,BA4:BC4)</f>
        <v>12.193137849051327</v>
      </c>
      <c r="BB47" s="183">
        <f>BB46/SUM(BE4:BF4,BB4:BC4)</f>
        <v>11.582400358262428</v>
      </c>
      <c r="BC47" s="183">
        <f>BC46/SUM(BC4,BE4:BG4)</f>
        <v>12.648031679478221</v>
      </c>
      <c r="BD47" s="184">
        <f>BD48/BI4</f>
        <v>18.729906864436014</v>
      </c>
      <c r="BE47" s="183">
        <f>BE46/SUM(BH4,BE4:BG4)</f>
        <v>18.938599517074852</v>
      </c>
      <c r="BF47" s="183">
        <f>BF46/SUM(BJ4,BF4:BH4)</f>
        <v>17.721220072154804</v>
      </c>
      <c r="BG47" s="183">
        <f>BG46/SUM(BJ4:BK4,BG4:BH4)</f>
        <v>20.507555211158465</v>
      </c>
      <c r="BH47" s="183">
        <f>BH46/SUM(BH4,BJ4:BL4)</f>
        <v>22.23565827486587</v>
      </c>
      <c r="BI47" s="184">
        <f>BI48/BN4</f>
        <v>18.344228804902961</v>
      </c>
      <c r="BJ47" s="183">
        <f>BJ46/SUM(BM4,BJ4:BL4)</f>
        <v>18.272727272727273</v>
      </c>
      <c r="BK47" s="183">
        <f>BK46/SUM(BO4,BK4:BM4)</f>
        <v>17.655313351498638</v>
      </c>
      <c r="BL47" s="183">
        <f>BL46/SUM(BO4:BP4,BL4:BM4)</f>
        <v>17.54768300873069</v>
      </c>
      <c r="BM47" s="183">
        <f>BM46/SUM(BM4,BO4:BQ4)</f>
        <v>16.64495216268611</v>
      </c>
      <c r="BN47" s="184">
        <f>BN48/BS4</f>
        <v>16.671050222447715</v>
      </c>
      <c r="BO47" s="183">
        <f>BO46/SUM(BR4,BO4:BQ4)</f>
        <v>16.352355345115765</v>
      </c>
      <c r="BP47" s="183">
        <f>BP46/SUM(BT4,BP4:BR4)</f>
        <v>17.470378990332915</v>
      </c>
      <c r="BQ47" s="183">
        <f>BQ46/SUM(BT4:BU4,BQ4:BR4)</f>
        <v>14.753972480432543</v>
      </c>
      <c r="BR47" s="183">
        <f>BR46/SUM(BR4,BT4:BV4)</f>
        <v>12.61480908474979</v>
      </c>
      <c r="BS47" s="184">
        <f>BS48/BX4</f>
        <v>9.019782676566706</v>
      </c>
      <c r="BT47" s="183">
        <f>BT46/SUM(BW4,BT4:BV4)</f>
        <v>8.9312697703696777</v>
      </c>
      <c r="BU47" s="183">
        <f>BU46/SUM(BY4,BU4:BW4)</f>
        <v>8.5936920181325256</v>
      </c>
      <c r="BV47" s="183">
        <f>BV46/SUM(BY4:BZ4,BV4:BW4)</f>
        <v>7.7662343824393725</v>
      </c>
      <c r="BW47" s="183">
        <f>BW46/SUM(BW4,BY4:CA4)</f>
        <v>7.2643030665610961</v>
      </c>
      <c r="BX47" s="184">
        <f>BX48/CC4</f>
        <v>9.4443424893461838</v>
      </c>
      <c r="BY47" s="183">
        <f>BY46/SUM(CB4,BY4:CA4)</f>
        <v>9.4261762914580345</v>
      </c>
      <c r="BZ47" s="183">
        <f>BZ46/SUM(CD4,BZ4:CB4)</f>
        <v>7.8980216302963617</v>
      </c>
      <c r="CA47" s="183">
        <f>CA46/SUM(CD4:CE4,CA4:CB4)</f>
        <v>10.246431714145045</v>
      </c>
      <c r="CB47" s="183">
        <f>CB46/SUM(CB4,CD4:CF4)</f>
        <v>8.6513845550649116</v>
      </c>
      <c r="CC47" s="184">
        <f>CC48/CH4</f>
        <v>6.4665921268833086</v>
      </c>
      <c r="CD47" s="183">
        <f>CD46/SUM(CG4,CD4:CF4)</f>
        <v>6.4027579326492665</v>
      </c>
      <c r="CE47" s="183">
        <f>CE46/SUM(CI4,CE4:CG4)</f>
        <v>7.1805164059153315</v>
      </c>
      <c r="CF47" s="183">
        <f>CF46/SUM(CI4:CJ4,CF4:CG4)</f>
        <v>5.0217293615173126</v>
      </c>
      <c r="CG47" s="183">
        <f>CG46/SUM(CG4,CI4:CK4)</f>
        <v>4.3172542375185294</v>
      </c>
      <c r="CH47" s="184">
        <f>CH48/CM4</f>
        <v>4.5107788643638571</v>
      </c>
      <c r="CI47" s="183">
        <f>CI46/SUM(CL4,CI4:CK4)</f>
        <v>4.2505389155289857</v>
      </c>
      <c r="CJ47" s="183">
        <f>CJ46/SUM(CN4,CJ4:CL4)</f>
        <v>4.1539647379720011</v>
      </c>
      <c r="CK47" s="183">
        <f>CK46/SUM(CN4:CO4,CK4:CL4)</f>
        <v>3.8239691826617062</v>
      </c>
      <c r="CL47" s="183">
        <f>CL46/SUM(CL4,CN4:CP4)</f>
        <v>3.3346180671408625</v>
      </c>
      <c r="CM47" s="184">
        <f>CM48/CR4</f>
        <v>3.2370994867656537</v>
      </c>
      <c r="CN47" s="183">
        <f>CN46/SUM(CQ4,CN4:CP4)</f>
        <v>3.386115795342866</v>
      </c>
      <c r="CO47" s="183">
        <f>CO46/SUM(CS4,CO4:CQ4)</f>
        <v>3.4965396423991155</v>
      </c>
      <c r="CP47" s="183">
        <f>CP46/SUM(CS4:CT4,CP4:CQ4)</f>
        <v>2.9601227866000328</v>
      </c>
      <c r="CQ47" s="183">
        <f>CQ46/SUM(CQ4,CS4:CU4)</f>
        <v>2.8910667185826049</v>
      </c>
      <c r="CR47" s="184">
        <f>CR48/CW4</f>
        <v>2.9140753698356976</v>
      </c>
      <c r="CS47" s="183">
        <f>CS46/SUM(CV4,CS4:CU4)</f>
        <v>2.9654707194354417</v>
      </c>
      <c r="CT47" s="183">
        <f>CT46/SUM(CX4,CT4:CV4)</f>
        <v>2.6602774480353419</v>
      </c>
      <c r="CU47" s="183">
        <f>CU46/SUM(CX4:CY4,CU4:CV4)</f>
        <v>3.305859693348645</v>
      </c>
      <c r="CV47" s="183">
        <f>CV46/SUM(CV4,CX4:CZ4)</f>
        <v>2.8772812903648526</v>
      </c>
      <c r="CW47" s="184">
        <f>CW48/DB4</f>
        <v>1.9948657219697816</v>
      </c>
      <c r="CX47" s="183">
        <f>CX46/SUM(DA4,CX4:CZ4)</f>
        <v>0.79267993639466816</v>
      </c>
      <c r="CY47" s="183">
        <f>CY46/SUM(DC4,CY4:DA4)</f>
        <v>0.72458347232678311</v>
      </c>
      <c r="CZ47" s="183">
        <f>CZ46/SUM(DC4:DD4,CZ4:DA4)</f>
        <v>0.779705791011437</v>
      </c>
      <c r="DA47" s="183">
        <f>DA46/SUM(DA4,DC4:DE4)</f>
        <v>0.9823478601189779</v>
      </c>
      <c r="DB47" s="184">
        <f>DB48/DG4</f>
        <v>1.0990227504914891</v>
      </c>
      <c r="DC47" s="183">
        <f>DC46/SUM(DF4,DC4:DE4)</f>
        <v>1.0263301783837766</v>
      </c>
      <c r="DD47" s="183">
        <f>DD46/SUM(DH4,DD4:DF4)</f>
        <v>1.2527441009428268</v>
      </c>
      <c r="DE47" s="183">
        <f>DE46/SUM(DH4:DI4,DE4:DF4)</f>
        <v>1.0859111443509064</v>
      </c>
      <c r="DF47" s="183">
        <f>DF46/SUM(DF4,DH4:DJ4)</f>
        <v>1.219269635170924</v>
      </c>
      <c r="DG47" s="184">
        <f>DG48/DL4</f>
        <v>1.1552203643440269</v>
      </c>
      <c r="DH47" s="183">
        <f>DH46/SUM(DK4,DH4:DJ4)</f>
        <v>1.0601690521830054</v>
      </c>
      <c r="DI47" s="183">
        <f>DI46/SUM(DM4,DI4:DK4)</f>
        <v>1.0177991185133279</v>
      </c>
      <c r="DJ47" s="185">
        <f>((DI46-DJ4)/SUM(DJ4:DK4,DM4:DN4))+0.15</f>
        <v>0.98318841431592441</v>
      </c>
      <c r="DK47" s="185">
        <f>((DJ46-DK4)/SUM(DK4,DM4:DO4))+0.15</f>
        <v>0.90577656141906582</v>
      </c>
      <c r="DL47" s="184">
        <f>DL48/DQ4</f>
        <v>1.0818529351120281</v>
      </c>
      <c r="DM47" s="185">
        <f>((DK46-DM4)/SUM(DM4:DO4,DP4))+0.15</f>
        <v>1.0818529351120281</v>
      </c>
      <c r="DN47" s="185">
        <f>((DM46-DN4)/SUM(DN4:DP4,DR4))+0.15</f>
        <v>1.0060744326913613</v>
      </c>
      <c r="DO47" s="185">
        <f>((DN46-DO4)/SUM(DO4:DP4,DR4:DS4))+0.15</f>
        <v>0.93872073487633712</v>
      </c>
      <c r="DP47" s="185">
        <f>((DO46-DP4)/SUM(DP4,DR4:DT4))+0.15</f>
        <v>0.86105458840129045</v>
      </c>
      <c r="DQ47" s="184">
        <f>DQ48/DV4</f>
        <v>1.0352659666143811</v>
      </c>
      <c r="DR47" s="185">
        <f>((DP46-DR4)/SUM(DR4:DT4,DU4))+0.15</f>
        <v>1.0352659666143811</v>
      </c>
      <c r="DS47" s="185">
        <f>((DR46-DS4)/SUM(DS4:DU4,DW4))+0.15</f>
        <v>0.95979981784393464</v>
      </c>
      <c r="DT47" s="185">
        <f>((DS46-DT4)/SUM(DT4:DU4,DW4:DX4))+0.15</f>
        <v>0.89289673596063646</v>
      </c>
      <c r="DU47" s="185">
        <f>((DT46-DU4)/SUM(DU4,DW4:DY4))+0.15</f>
        <v>0.8157915633853593</v>
      </c>
      <c r="DV47" s="184">
        <f>DV48/EA4</f>
        <v>0.99068513551615411</v>
      </c>
      <c r="DW47" s="185">
        <f>((DU46-DW4)/SUM(DW4:DY4,DZ4))+0.15</f>
        <v>0.99068513551615411</v>
      </c>
      <c r="DX47" s="185">
        <f>((DW46-DX4)/SUM(DX4:DZ4,EB4))+0.15</f>
        <v>0.91551788976027237</v>
      </c>
      <c r="DY47" s="185">
        <f>((DX46-DY4)/SUM(DY4:DZ4,EB4:EC4))+0.15</f>
        <v>0.84904601929489421</v>
      </c>
      <c r="DZ47" s="185">
        <f>((DY46-DZ4)/SUM(DZ4,EB4:ED4))+0.15</f>
        <v>0.77247766384858307</v>
      </c>
      <c r="EA47" s="184">
        <f>EA48/EF4</f>
        <v>0.94802405312550631</v>
      </c>
      <c r="EB47" s="185">
        <f>((DZ46-EB4)/SUM(EB4:ED4,EE4))+0.15</f>
        <v>0.94802405312550642</v>
      </c>
      <c r="EC47" s="185">
        <f>((EB46-EC4)/SUM(EC4:EE4,EG4))+0.15</f>
        <v>1.0064988860300075</v>
      </c>
      <c r="ED47" s="185">
        <f>((EC46-ED4)/SUM(ED4:EE4,EG4:EH4))+0.15</f>
        <v>1.2103556398817561</v>
      </c>
      <c r="EE47" s="185">
        <f>((ED46-EE4)/SUM(EE4,EG4:EI4))+0.15</f>
        <v>1.8586401517871609</v>
      </c>
      <c r="EF47" s="184" t="e">
        <f>EF48/EK4</f>
        <v>#DIV/0!</v>
      </c>
    </row>
    <row r="48" spans="1:136" s="96" customFormat="1" ht="12.75" customHeight="1">
      <c r="A48" s="96" t="s">
        <v>95</v>
      </c>
      <c r="B48" s="186">
        <f>B46</f>
        <v>0</v>
      </c>
      <c r="C48" s="186">
        <f>C46</f>
        <v>0</v>
      </c>
      <c r="D48" s="186">
        <f>D46</f>
        <v>0</v>
      </c>
      <c r="E48" s="186">
        <f>E46</f>
        <v>0</v>
      </c>
      <c r="F48" s="187">
        <f>E48</f>
        <v>0</v>
      </c>
      <c r="G48" s="186">
        <f>G46</f>
        <v>0</v>
      </c>
      <c r="H48" s="186">
        <f>H46</f>
        <v>0</v>
      </c>
      <c r="I48" s="186">
        <f>I46</f>
        <v>0</v>
      </c>
      <c r="J48" s="186">
        <f>J46</f>
        <v>0</v>
      </c>
      <c r="K48" s="187">
        <f>J48</f>
        <v>0</v>
      </c>
      <c r="L48" s="186">
        <f>L46</f>
        <v>0</v>
      </c>
      <c r="M48" s="186">
        <f>M46</f>
        <v>15473762</v>
      </c>
      <c r="N48" s="186">
        <f>N46</f>
        <v>15985864</v>
      </c>
      <c r="O48" s="186">
        <f>O46</f>
        <v>18085086</v>
      </c>
      <c r="P48" s="187">
        <f>O48</f>
        <v>18085086</v>
      </c>
      <c r="Q48" s="186">
        <f>Q46</f>
        <v>24895751</v>
      </c>
      <c r="R48" s="186">
        <f>R46</f>
        <v>18838796</v>
      </c>
      <c r="S48" s="186">
        <f>S46</f>
        <v>20701199</v>
      </c>
      <c r="T48" s="186">
        <f>T46</f>
        <v>22581550</v>
      </c>
      <c r="U48" s="187">
        <f>T48</f>
        <v>22581550</v>
      </c>
      <c r="V48" s="186">
        <f>V46</f>
        <v>23615260</v>
      </c>
      <c r="W48" s="186">
        <f>W46</f>
        <v>32118281</v>
      </c>
      <c r="X48" s="186">
        <f>X46</f>
        <v>34567546</v>
      </c>
      <c r="Y48" s="186">
        <f>Y46</f>
        <v>34651897</v>
      </c>
      <c r="Z48" s="187">
        <f>Y48</f>
        <v>34651897</v>
      </c>
      <c r="AA48" s="186">
        <f>AA46</f>
        <v>37517649</v>
      </c>
      <c r="AB48" s="186">
        <f>AB46</f>
        <v>37542559</v>
      </c>
      <c r="AC48" s="186">
        <f>AC46</f>
        <v>37123945</v>
      </c>
      <c r="AD48" s="186">
        <f>AD46</f>
        <v>34583346</v>
      </c>
      <c r="AE48" s="187">
        <f>AD48</f>
        <v>34583346</v>
      </c>
      <c r="AF48" s="186">
        <f>AF46</f>
        <v>39074000</v>
      </c>
      <c r="AG48" s="186">
        <f>AG46</f>
        <v>39696120.351492621</v>
      </c>
      <c r="AH48" s="186">
        <f>AH46</f>
        <v>42415616.435271204</v>
      </c>
      <c r="AI48" s="186">
        <f>AI46</f>
        <v>43427000</v>
      </c>
      <c r="AJ48" s="187">
        <f>AI48</f>
        <v>43427000</v>
      </c>
      <c r="AK48" s="186">
        <f>AK46</f>
        <v>44633000</v>
      </c>
      <c r="AL48" s="186">
        <f>AL46</f>
        <v>45802000</v>
      </c>
      <c r="AM48" s="186">
        <f>AM46</f>
        <v>45630000</v>
      </c>
      <c r="AN48" s="186">
        <f>AN46</f>
        <v>48931000</v>
      </c>
      <c r="AO48" s="187">
        <f>AN48</f>
        <v>48931000</v>
      </c>
      <c r="AP48" s="186">
        <f>AP46</f>
        <v>49785000</v>
      </c>
      <c r="AQ48" s="186">
        <f>AQ46</f>
        <v>51615000</v>
      </c>
      <c r="AR48" s="186">
        <f>AR46</f>
        <v>55664000</v>
      </c>
      <c r="AS48" s="186">
        <f>AS46</f>
        <v>57055000</v>
      </c>
      <c r="AT48" s="187">
        <f>AS48</f>
        <v>57055000</v>
      </c>
      <c r="AU48" s="186">
        <f>AU46</f>
        <v>54878000</v>
      </c>
      <c r="AV48" s="186">
        <f>AV46</f>
        <v>57439000</v>
      </c>
      <c r="AW48" s="186">
        <f>AW46</f>
        <v>59639000</v>
      </c>
      <c r="AX48" s="186">
        <f>AX46</f>
        <v>55079000</v>
      </c>
      <c r="AY48" s="187">
        <f>AX48</f>
        <v>55079000</v>
      </c>
      <c r="AZ48" s="186">
        <f>AZ46</f>
        <v>50921000</v>
      </c>
      <c r="BA48" s="186">
        <f>BA46</f>
        <v>52311000</v>
      </c>
      <c r="BB48" s="186">
        <f>BB46</f>
        <v>51727000</v>
      </c>
      <c r="BC48" s="186">
        <f>BC46</f>
        <v>54298000</v>
      </c>
      <c r="BD48" s="187">
        <f>BC48</f>
        <v>54298000</v>
      </c>
      <c r="BE48" s="186">
        <f>BE46</f>
        <v>54903000</v>
      </c>
      <c r="BF48" s="186">
        <f>BF46</f>
        <v>54032000</v>
      </c>
      <c r="BG48" s="186">
        <f>BG46</f>
        <v>52930000</v>
      </c>
      <c r="BH48" s="186">
        <f>BH46</f>
        <v>53877000</v>
      </c>
      <c r="BI48" s="187">
        <f>BH48</f>
        <v>53877000</v>
      </c>
      <c r="BJ48" s="186">
        <f>BJ46</f>
        <v>53667000</v>
      </c>
      <c r="BK48" s="186">
        <f>BK46</f>
        <v>51836000</v>
      </c>
      <c r="BL48" s="186">
        <f>BL46</f>
        <v>52257000</v>
      </c>
      <c r="BM48" s="186">
        <f>BM46</f>
        <v>50898000</v>
      </c>
      <c r="BN48" s="187">
        <f>BM48</f>
        <v>50898000</v>
      </c>
      <c r="BO48" s="186">
        <f>BO46</f>
        <v>49925000</v>
      </c>
      <c r="BP48" s="186">
        <f>BP46</f>
        <v>50233000</v>
      </c>
      <c r="BQ48" s="186">
        <f>BQ46</f>
        <v>47459000</v>
      </c>
      <c r="BR48" s="186">
        <f>BR46</f>
        <v>45449000</v>
      </c>
      <c r="BS48" s="187">
        <f>BR48</f>
        <v>45449000</v>
      </c>
      <c r="BT48" s="186">
        <f>BT46</f>
        <v>45003000</v>
      </c>
      <c r="BU48" s="186">
        <f>BU46</f>
        <v>43372096</v>
      </c>
      <c r="BV48" s="186">
        <f>BV46</f>
        <v>43441000</v>
      </c>
      <c r="BW48" s="186">
        <f>BW46</f>
        <v>41147146.558668397</v>
      </c>
      <c r="BX48" s="187">
        <f>BW48</f>
        <v>41147146.558668397</v>
      </c>
      <c r="BY48" s="186">
        <f>BY46</f>
        <v>41068000</v>
      </c>
      <c r="BZ48" s="186">
        <f>BZ46</f>
        <v>39324000</v>
      </c>
      <c r="CA48" s="186">
        <f>CA46</f>
        <v>37965000</v>
      </c>
      <c r="CB48" s="186">
        <f>CB46</f>
        <v>37786000</v>
      </c>
      <c r="CC48" s="187">
        <f>CB48</f>
        <v>37786000</v>
      </c>
      <c r="CD48" s="186">
        <f>CD46</f>
        <v>37413000</v>
      </c>
      <c r="CE48" s="186">
        <f>CE46</f>
        <v>37339000</v>
      </c>
      <c r="CF48" s="186">
        <f>CF46</f>
        <v>34524000</v>
      </c>
      <c r="CG48" s="186">
        <f>CG46</f>
        <v>32049000</v>
      </c>
      <c r="CH48" s="187">
        <f>CG48</f>
        <v>32049000</v>
      </c>
      <c r="CI48" s="186">
        <f>CI46</f>
        <v>30200000</v>
      </c>
      <c r="CJ48" s="186">
        <f>CJ46</f>
        <v>32074000</v>
      </c>
      <c r="CK48" s="186">
        <f>CK46</f>
        <v>31045000</v>
      </c>
      <c r="CL48" s="186">
        <f>CL46</f>
        <v>29500000</v>
      </c>
      <c r="CM48" s="187">
        <f>CL48</f>
        <v>29500000</v>
      </c>
      <c r="CN48" s="186">
        <f>CN46</f>
        <v>30858000</v>
      </c>
      <c r="CO48" s="186">
        <f>CO46</f>
        <v>32938000</v>
      </c>
      <c r="CP48" s="186">
        <f>CP46</f>
        <v>31402000</v>
      </c>
      <c r="CQ48" s="186">
        <f>CQ46</f>
        <v>28463000</v>
      </c>
      <c r="CR48" s="187">
        <f>CQ48</f>
        <v>28463000</v>
      </c>
      <c r="CS48" s="186">
        <f>CS46</f>
        <v>28965000</v>
      </c>
      <c r="CT48" s="186">
        <f>CT46</f>
        <v>26929000</v>
      </c>
      <c r="CU48" s="186">
        <f>CU46</f>
        <v>26677000</v>
      </c>
      <c r="CV48" s="186">
        <f>CV46</f>
        <v>25975000</v>
      </c>
      <c r="CW48" s="187">
        <f>CV48</f>
        <v>25975000</v>
      </c>
      <c r="CX48" s="186">
        <f>CX46</f>
        <v>10321427.21241435</v>
      </c>
      <c r="CY48" s="186">
        <f>CY46</f>
        <v>11726077.935278058</v>
      </c>
      <c r="CZ48" s="186">
        <f>CZ46</f>
        <v>14696046.775522759</v>
      </c>
      <c r="DA48" s="186">
        <f>DA46</f>
        <v>20408863.299987704</v>
      </c>
      <c r="DB48" s="187">
        <f>DA48</f>
        <v>20408863.299987704</v>
      </c>
      <c r="DC48" s="186">
        <f>DC46</f>
        <v>19058961.520058818</v>
      </c>
      <c r="DD48" s="186">
        <f>DD46</f>
        <v>20214453.771604367</v>
      </c>
      <c r="DE48" s="186">
        <f>DE46</f>
        <v>18434645.021040641</v>
      </c>
      <c r="DF48" s="186">
        <f>DF46</f>
        <v>19841277.998725064</v>
      </c>
      <c r="DG48" s="187">
        <f>DF48</f>
        <v>19841277.998725064</v>
      </c>
      <c r="DH48" s="186">
        <f>DH46</f>
        <v>18208741.413550403</v>
      </c>
      <c r="DI48" s="186">
        <f>DI46</f>
        <v>17475589.458483893</v>
      </c>
      <c r="DJ48" s="186">
        <f>DJ46</f>
        <v>17475589.458483893</v>
      </c>
      <c r="DK48" s="186">
        <f>DK46</f>
        <v>17475589.458483893</v>
      </c>
      <c r="DL48" s="187">
        <f>DK48</f>
        <v>17475589.458483893</v>
      </c>
      <c r="DM48" s="186">
        <f>DM46</f>
        <v>17475589.458483893</v>
      </c>
      <c r="DN48" s="186">
        <f>DN46</f>
        <v>17475589.458483893</v>
      </c>
      <c r="DO48" s="186">
        <f>DO46</f>
        <v>17475589.458483893</v>
      </c>
      <c r="DP48" s="186">
        <f>DP46</f>
        <v>17475589.458483893</v>
      </c>
      <c r="DQ48" s="187">
        <f>DP48</f>
        <v>17475589.458483893</v>
      </c>
      <c r="DR48" s="186">
        <f>DR46</f>
        <v>17475589.458483893</v>
      </c>
      <c r="DS48" s="186">
        <f>DS46</f>
        <v>17475589.458483893</v>
      </c>
      <c r="DT48" s="186">
        <f>DT46</f>
        <v>17475589.458483893</v>
      </c>
      <c r="DU48" s="186">
        <f>DU46</f>
        <v>17475589.458483893</v>
      </c>
      <c r="DV48" s="187">
        <f>DU48</f>
        <v>17475589.458483893</v>
      </c>
      <c r="DW48" s="186">
        <f>DW46</f>
        <v>17475589.458483893</v>
      </c>
      <c r="DX48" s="186">
        <f>DX46</f>
        <v>17475589.458483893</v>
      </c>
      <c r="DY48" s="186">
        <f>DY46</f>
        <v>17475589.458483893</v>
      </c>
      <c r="DZ48" s="186">
        <f>DZ46</f>
        <v>17475589.458483893</v>
      </c>
      <c r="EA48" s="187">
        <f>DZ48</f>
        <v>17475589.458483893</v>
      </c>
      <c r="EB48" s="186">
        <f>EB46</f>
        <v>17475589.458483893</v>
      </c>
      <c r="EC48" s="186">
        <f>EC46</f>
        <v>17475589.458483893</v>
      </c>
      <c r="ED48" s="186">
        <f>ED46</f>
        <v>17475589.458483893</v>
      </c>
      <c r="EE48" s="186">
        <f>EE46</f>
        <v>17475589.458483893</v>
      </c>
      <c r="EF48" s="187">
        <f>EE48</f>
        <v>17475589.458483893</v>
      </c>
    </row>
    <row r="49" spans="1:201" ht="12.75" customHeight="1">
      <c r="K49" s="188"/>
      <c r="N49" s="183"/>
      <c r="P49" s="188"/>
      <c r="Q49" s="189"/>
      <c r="R49" s="189"/>
      <c r="S49" s="189"/>
      <c r="T49" s="189"/>
      <c r="V49" s="189"/>
      <c r="X49" s="114"/>
      <c r="Y49" s="114"/>
      <c r="AA49" s="189"/>
      <c r="AB49" s="114"/>
      <c r="AC49" s="114"/>
      <c r="AD49" s="114"/>
      <c r="AF49" s="189"/>
      <c r="AG49" s="114"/>
      <c r="AH49" s="114"/>
      <c r="AI49" s="114"/>
      <c r="AK49" s="189"/>
      <c r="AL49" s="114"/>
      <c r="AM49" s="114"/>
      <c r="AN49" s="114"/>
      <c r="AP49" s="114">
        <f>AO46-AP46</f>
        <v>-854000</v>
      </c>
      <c r="AQ49" s="114">
        <f>AP46-AQ46</f>
        <v>-1830000</v>
      </c>
      <c r="AR49" s="114">
        <f>AQ46-AR46</f>
        <v>-4049000</v>
      </c>
      <c r="AS49" s="114">
        <f>AR46-AS46</f>
        <v>-1391000</v>
      </c>
      <c r="CH49" s="67"/>
      <c r="CM49" s="67"/>
      <c r="CR49" s="67"/>
      <c r="CW49" s="67"/>
      <c r="DB49" s="67"/>
      <c r="DG49" s="67"/>
      <c r="DL49" s="67"/>
      <c r="DQ49" s="67"/>
      <c r="DV49" s="67"/>
      <c r="EA49" s="67"/>
      <c r="EF49" s="67"/>
    </row>
    <row r="50" spans="1:201" ht="12.75" hidden="1" customHeight="1">
      <c r="AI50" s="156"/>
      <c r="AK50" s="114"/>
      <c r="AL50" s="114"/>
      <c r="AM50" s="114"/>
      <c r="AN50" s="114"/>
      <c r="AP50" s="114"/>
      <c r="AQ50" s="114"/>
      <c r="AR50" s="114"/>
      <c r="AS50" s="114"/>
      <c r="AU50" s="114"/>
      <c r="AV50" s="114"/>
      <c r="AW50" s="114"/>
      <c r="AX50" s="114"/>
      <c r="AZ50" s="114"/>
      <c r="BA50" s="114"/>
      <c r="CH50" s="67"/>
      <c r="CM50" s="67"/>
      <c r="CR50" s="67"/>
      <c r="CW50" s="67"/>
      <c r="DB50" s="67"/>
      <c r="DG50" s="67"/>
      <c r="DL50" s="67"/>
      <c r="DQ50" s="67"/>
      <c r="DV50" s="67"/>
      <c r="EA50" s="67"/>
      <c r="EF50" s="67"/>
    </row>
    <row r="51" spans="1:201" s="70" customFormat="1" ht="12.75" customHeight="1" thickBot="1">
      <c r="A51" s="69" t="s">
        <v>832</v>
      </c>
      <c r="B51" s="93" t="str">
        <f>Macro!B$3</f>
        <v>1Q04</v>
      </c>
      <c r="C51" s="93" t="str">
        <f>Macro!C$3</f>
        <v>2Q04</v>
      </c>
      <c r="D51" s="93" t="str">
        <f>Macro!D$3</f>
        <v>3Q04</v>
      </c>
      <c r="E51" s="93" t="str">
        <f>Macro!E$3</f>
        <v>4Q04</v>
      </c>
      <c r="F51" s="92" t="str">
        <f>Macro!F$3</f>
        <v>2004</v>
      </c>
      <c r="G51" s="93" t="str">
        <f>Macro!G$3</f>
        <v>1Q05</v>
      </c>
      <c r="H51" s="93" t="str">
        <f>Macro!H$3</f>
        <v>2Q05</v>
      </c>
      <c r="I51" s="93" t="str">
        <f>Macro!I$3</f>
        <v>3Q05</v>
      </c>
      <c r="J51" s="93" t="str">
        <f>Macro!J$3</f>
        <v>4Q05</v>
      </c>
      <c r="K51" s="92" t="str">
        <f>Macro!K$3</f>
        <v>2005</v>
      </c>
      <c r="L51" s="93" t="str">
        <f>Macro!L$3</f>
        <v>1Q06</v>
      </c>
      <c r="M51" s="93" t="str">
        <f>Macro!M$3</f>
        <v>2Q06</v>
      </c>
      <c r="N51" s="93" t="str">
        <f>Macro!N$3</f>
        <v>3Q06</v>
      </c>
      <c r="O51" s="94" t="str">
        <f>Macro!O$3</f>
        <v>4Q06</v>
      </c>
      <c r="P51" s="92" t="str">
        <f>Macro!P$3</f>
        <v>2006</v>
      </c>
      <c r="Q51" s="93" t="str">
        <f>Macro!Q$3</f>
        <v>1Q07</v>
      </c>
      <c r="R51" s="93" t="str">
        <f>Macro!R$3</f>
        <v>2Q07</v>
      </c>
      <c r="S51" s="93" t="str">
        <f>Macro!S$3</f>
        <v>3Q07</v>
      </c>
      <c r="T51" s="94" t="str">
        <f>Macro!T$3</f>
        <v>4Q07</v>
      </c>
      <c r="U51" s="92" t="str">
        <f>Macro!U$3</f>
        <v>2007</v>
      </c>
      <c r="V51" s="93" t="str">
        <f>Macro!V$3</f>
        <v>1Q08</v>
      </c>
      <c r="W51" s="93" t="str">
        <f>Macro!W$3</f>
        <v>2Q08</v>
      </c>
      <c r="X51" s="93" t="str">
        <f>Macro!X$3</f>
        <v>3Q08</v>
      </c>
      <c r="Y51" s="94" t="str">
        <f>Macro!Y$3</f>
        <v>4Q08</v>
      </c>
      <c r="Z51" s="92" t="str">
        <f>Macro!Z$3</f>
        <v>2008</v>
      </c>
      <c r="AA51" s="93" t="str">
        <f>Macro!AA$3</f>
        <v>1Q09</v>
      </c>
      <c r="AB51" s="93" t="str">
        <f>Macro!AB$3</f>
        <v>2Q09</v>
      </c>
      <c r="AC51" s="93" t="str">
        <f>Macro!AC$3</f>
        <v>3Q09</v>
      </c>
      <c r="AD51" s="94" t="str">
        <f>Macro!AD$3</f>
        <v>4Q09</v>
      </c>
      <c r="AE51" s="92" t="str">
        <f>Macro!AE$3</f>
        <v>2009</v>
      </c>
      <c r="AF51" s="93" t="str">
        <f>Macro!AF$3</f>
        <v>1Q10</v>
      </c>
      <c r="AG51" s="93" t="str">
        <f>Macro!AG$3</f>
        <v>2Q10</v>
      </c>
      <c r="AH51" s="93" t="str">
        <f>Macro!AH$3</f>
        <v>3Q10</v>
      </c>
      <c r="AI51" s="94" t="str">
        <f>Macro!AI$3</f>
        <v>4Q10</v>
      </c>
      <c r="AJ51" s="92" t="str">
        <f>Macro!AJ$3</f>
        <v>2010</v>
      </c>
      <c r="AK51" s="93" t="str">
        <f>Macro!AK$3</f>
        <v>1Q11</v>
      </c>
      <c r="AL51" s="93" t="str">
        <f>Macro!AL$3</f>
        <v>2Q11</v>
      </c>
      <c r="AM51" s="93" t="str">
        <f>Macro!AM$3</f>
        <v>3Q11</v>
      </c>
      <c r="AN51" s="94" t="str">
        <f>Macro!AN$3</f>
        <v>4Q11</v>
      </c>
      <c r="AO51" s="92" t="str">
        <f>Macro!AO$3</f>
        <v>2011</v>
      </c>
      <c r="AP51" s="93" t="str">
        <f>Macro!AP$3</f>
        <v>1Q12</v>
      </c>
      <c r="AQ51" s="310" t="str">
        <f>Macro!AQ$3</f>
        <v>2Q12</v>
      </c>
      <c r="AR51" s="310" t="str">
        <f>Macro!AR$3</f>
        <v>3Q12</v>
      </c>
      <c r="AS51" s="310" t="str">
        <f>Macro!AS$3</f>
        <v>4Q12</v>
      </c>
      <c r="AT51" s="311" t="str">
        <f>Macro!AT$3</f>
        <v>2012</v>
      </c>
      <c r="AU51" s="310" t="str">
        <f>Macro!AU$3</f>
        <v>1Q13</v>
      </c>
      <c r="AV51" s="310" t="str">
        <f>Macro!AV$3</f>
        <v>2Q13</v>
      </c>
      <c r="AW51" s="310" t="str">
        <f>Macro!AW$3</f>
        <v>3Q13</v>
      </c>
      <c r="AX51" s="310" t="str">
        <f>Macro!AX$3</f>
        <v>4Q13</v>
      </c>
      <c r="AY51" s="311" t="str">
        <f>Macro!AY$3</f>
        <v>2013</v>
      </c>
      <c r="AZ51" s="310" t="str">
        <f>Macro!AZ$3</f>
        <v>1Q14</v>
      </c>
      <c r="BA51" s="310" t="str">
        <f>Macro!BA$3</f>
        <v>2Q14</v>
      </c>
      <c r="BB51" s="310" t="str">
        <f>Macro!BB$3</f>
        <v>3Q14</v>
      </c>
      <c r="BC51" s="310" t="str">
        <f>Macro!BC$3</f>
        <v>4Q14</v>
      </c>
      <c r="BD51" s="311" t="str">
        <f>Macro!BD$3</f>
        <v>2014</v>
      </c>
      <c r="BE51" s="310" t="str">
        <f>Macro!BE$3</f>
        <v>1Q15</v>
      </c>
      <c r="BF51" s="310" t="str">
        <f>Macro!BF$3</f>
        <v>2Q15</v>
      </c>
      <c r="BG51" s="310" t="str">
        <f>Macro!BG$3</f>
        <v>3Q15</v>
      </c>
      <c r="BH51" s="310" t="str">
        <f>Macro!BH$3</f>
        <v>4Q15</v>
      </c>
      <c r="BI51" s="311" t="str">
        <f>Macro!BI$3</f>
        <v>2015</v>
      </c>
      <c r="BJ51" s="310" t="str">
        <f>Macro!BJ$3</f>
        <v>1Q16</v>
      </c>
      <c r="BK51" s="310" t="str">
        <f>Macro!BK$3</f>
        <v>2Q16</v>
      </c>
      <c r="BL51" s="310" t="str">
        <f>Macro!BL$3</f>
        <v>3Q16</v>
      </c>
      <c r="BM51" s="310" t="str">
        <f>Macro!BM$3</f>
        <v>4Q16</v>
      </c>
      <c r="BN51" s="311" t="str">
        <f>Macro!BN$3</f>
        <v>2016</v>
      </c>
      <c r="BO51" s="310" t="str">
        <f>Macro!BO$3</f>
        <v>1Q17</v>
      </c>
      <c r="BP51" s="310" t="str">
        <f>Macro!BP$3</f>
        <v>2Q17</v>
      </c>
      <c r="BQ51" s="310" t="str">
        <f>Macro!BQ$3</f>
        <v>3Q17</v>
      </c>
      <c r="BR51" s="310" t="str">
        <f>Macro!BR$3</f>
        <v>4Q17</v>
      </c>
      <c r="BS51" s="311" t="str">
        <f>Macro!BS$3</f>
        <v>2017</v>
      </c>
      <c r="BT51" s="310" t="str">
        <f>Macro!BT$3</f>
        <v>1Q18</v>
      </c>
      <c r="BU51" s="310" t="str">
        <f>Macro!BU$3</f>
        <v>2Q18</v>
      </c>
      <c r="BV51" s="310" t="str">
        <f>Macro!BV$3</f>
        <v>3Q18</v>
      </c>
      <c r="BW51" s="310" t="str">
        <f>Macro!BW$3</f>
        <v>4Q18</v>
      </c>
      <c r="BX51" s="311" t="str">
        <f>Macro!BX$3</f>
        <v>2018</v>
      </c>
      <c r="BY51" s="310" t="str">
        <f>Macro!BY$3</f>
        <v>1Q19</v>
      </c>
      <c r="BZ51" s="310" t="str">
        <f>Macro!BZ$3</f>
        <v>2Q19</v>
      </c>
      <c r="CA51" s="310" t="str">
        <f>Macro!CA$3</f>
        <v>3Q19</v>
      </c>
      <c r="CB51" s="310" t="str">
        <f>Macro!CB$3</f>
        <v>4Q19</v>
      </c>
      <c r="CC51" s="311" t="str">
        <f>Macro!CC$3</f>
        <v>2019</v>
      </c>
      <c r="CD51" s="310" t="str">
        <f>Macro!CD$3</f>
        <v>1Q20</v>
      </c>
      <c r="CE51" s="310" t="str">
        <f>Macro!CE$3</f>
        <v>2Q20</v>
      </c>
      <c r="CF51" s="310" t="str">
        <f>Macro!CF$3</f>
        <v>3Q20</v>
      </c>
      <c r="CG51" s="310" t="str">
        <f>Macro!CG$3</f>
        <v>4Q20</v>
      </c>
      <c r="CH51" s="311" t="str">
        <f>Macro!CH$3</f>
        <v>2020</v>
      </c>
      <c r="CI51" s="310" t="str">
        <f>Macro!CI$3</f>
        <v>1Q21</v>
      </c>
      <c r="CJ51" s="310" t="str">
        <f>Macro!CJ$3</f>
        <v>2Q21</v>
      </c>
      <c r="CK51" s="310" t="str">
        <f>Macro!CK$3</f>
        <v>3Q21</v>
      </c>
      <c r="CL51" s="310" t="str">
        <f>Macro!CL$3</f>
        <v>4Q21</v>
      </c>
      <c r="CM51" s="311" t="str">
        <f>Macro!CM$3</f>
        <v>2021</v>
      </c>
      <c r="CN51" s="310" t="str">
        <f>Macro!CN$3</f>
        <v>1Q22</v>
      </c>
      <c r="CO51" s="310" t="str">
        <f>Macro!CO$3</f>
        <v>2Q22</v>
      </c>
      <c r="CP51" s="310" t="str">
        <f>Macro!CP$3</f>
        <v>3Q22</v>
      </c>
      <c r="CQ51" s="310" t="str">
        <f>Macro!CQ$3</f>
        <v>4Q22</v>
      </c>
      <c r="CR51" s="311" t="str">
        <f>Macro!CR$3</f>
        <v>2022</v>
      </c>
      <c r="CS51" s="310" t="str">
        <f>Macro!CS$3</f>
        <v>1Q23</v>
      </c>
      <c r="CT51" s="310" t="str">
        <f>Macro!CT$3</f>
        <v>2Q23</v>
      </c>
      <c r="CU51" s="310" t="str">
        <f>Macro!CU$3</f>
        <v>3Q23</v>
      </c>
      <c r="CV51" s="310" t="str">
        <f>Macro!CV$3</f>
        <v>4Q23</v>
      </c>
      <c r="CW51" s="311" t="str">
        <f>Macro!CW$3</f>
        <v>2023</v>
      </c>
      <c r="CX51" s="310" t="str">
        <f>Macro!CX$3</f>
        <v>1Q24</v>
      </c>
      <c r="CY51" s="310" t="str">
        <f>Macro!CY$3</f>
        <v>2Q24</v>
      </c>
      <c r="CZ51" s="310" t="str">
        <f>Macro!CZ$3</f>
        <v>3Q24</v>
      </c>
      <c r="DA51" s="310" t="str">
        <f>Macro!DA$3</f>
        <v>4Q24</v>
      </c>
      <c r="DB51" s="311" t="str">
        <f>Macro!DB$3</f>
        <v>2024</v>
      </c>
      <c r="DC51" s="310" t="str">
        <f>Macro!DC$3</f>
        <v>1Q25</v>
      </c>
      <c r="DD51" s="310" t="str">
        <f>Macro!DD$3</f>
        <v>2Q25</v>
      </c>
      <c r="DE51" s="310" t="str">
        <f>Macro!DE$3</f>
        <v>3Q25</v>
      </c>
      <c r="DF51" s="310" t="str">
        <f>Macro!DF$3</f>
        <v>4Q25</v>
      </c>
      <c r="DG51" s="311" t="str">
        <f>Macro!DG$3</f>
        <v>2025</v>
      </c>
      <c r="DH51" s="310" t="str">
        <f>Macro!DH$3</f>
        <v>1Q26</v>
      </c>
      <c r="DI51" s="310" t="str">
        <f>Macro!DI$3</f>
        <v>2Q26</v>
      </c>
      <c r="DJ51" s="310" t="str">
        <f>Macro!DJ$3</f>
        <v>3Q26E</v>
      </c>
      <c r="DK51" s="310" t="str">
        <f>Macro!DK$3</f>
        <v>4Q26E</v>
      </c>
      <c r="DL51" s="311" t="str">
        <f>Macro!DL$3</f>
        <v>2026E</v>
      </c>
      <c r="DM51" s="310" t="str">
        <f>Macro!DM$3</f>
        <v>1Q27E</v>
      </c>
      <c r="DN51" s="310" t="str">
        <f>Macro!DN$3</f>
        <v>2Q27E</v>
      </c>
      <c r="DO51" s="310" t="str">
        <f>Macro!DO$3</f>
        <v>3Q27E</v>
      </c>
      <c r="DP51" s="310" t="str">
        <f>Macro!DP$3</f>
        <v>4Q27E</v>
      </c>
      <c r="DQ51" s="311" t="str">
        <f>Macro!DQ$3</f>
        <v>2027E</v>
      </c>
      <c r="DR51" s="310" t="str">
        <f>Macro!DR$3</f>
        <v>1Q28E</v>
      </c>
      <c r="DS51" s="310" t="str">
        <f>Macro!DS$3</f>
        <v>2Q28E</v>
      </c>
      <c r="DT51" s="310" t="str">
        <f>Macro!DT$3</f>
        <v>3Q28E</v>
      </c>
      <c r="DU51" s="310" t="str">
        <f>Macro!DU$3</f>
        <v>4Q28E</v>
      </c>
      <c r="DV51" s="311" t="str">
        <f>Macro!DV$3</f>
        <v>2028E</v>
      </c>
      <c r="DW51" s="310" t="str">
        <f>Macro!DW$3</f>
        <v>1Q29E</v>
      </c>
      <c r="DX51" s="310" t="str">
        <f>Macro!DX$3</f>
        <v>2Q29E</v>
      </c>
      <c r="DY51" s="310" t="str">
        <f>Macro!DY$3</f>
        <v>3Q29E</v>
      </c>
      <c r="DZ51" s="310" t="str">
        <f>Macro!DZ$3</f>
        <v>4Q29E</v>
      </c>
      <c r="EA51" s="311" t="str">
        <f>Macro!EA$3</f>
        <v>2029E</v>
      </c>
      <c r="EB51" s="310" t="str">
        <f>Macro!EB$3</f>
        <v>1Q30E</v>
      </c>
      <c r="EC51" s="310" t="str">
        <f>Macro!EC$3</f>
        <v>2Q30E</v>
      </c>
      <c r="ED51" s="310" t="str">
        <f>Macro!ED$3</f>
        <v>3Q30E</v>
      </c>
      <c r="EE51" s="310" t="str">
        <f>Macro!EE$3</f>
        <v>4Q30E</v>
      </c>
      <c r="EF51" s="311" t="str">
        <f>Macro!EF$3</f>
        <v>2030E</v>
      </c>
    </row>
    <row r="52" spans="1:201" ht="12.75" customHeight="1">
      <c r="A52" s="66" t="s">
        <v>836</v>
      </c>
      <c r="B52" s="331"/>
      <c r="C52" s="331"/>
      <c r="D52" s="331"/>
      <c r="E52" s="331"/>
      <c r="F52" s="130"/>
      <c r="G52" s="331"/>
      <c r="H52" s="331"/>
      <c r="I52" s="331"/>
      <c r="J52" s="331"/>
      <c r="K52" s="130"/>
      <c r="L52" s="169"/>
      <c r="M52" s="169"/>
      <c r="N52" s="169"/>
      <c r="O52" s="169"/>
      <c r="P52" s="130"/>
      <c r="Q52" s="169"/>
      <c r="R52" s="169"/>
      <c r="S52" s="169"/>
      <c r="T52" s="169"/>
      <c r="U52" s="130"/>
      <c r="V52" s="169"/>
      <c r="W52" s="169"/>
      <c r="X52" s="169"/>
      <c r="Y52" s="169"/>
      <c r="Z52" s="130"/>
      <c r="AA52" s="169"/>
      <c r="AB52" s="169"/>
      <c r="AC52" s="169"/>
      <c r="AD52" s="169"/>
      <c r="AE52" s="130"/>
      <c r="AF52" s="169">
        <v>839400</v>
      </c>
      <c r="AG52" s="169">
        <v>546000</v>
      </c>
      <c r="AH52" s="169">
        <f>4097379-AF52-AG52-AI52</f>
        <v>1181279</v>
      </c>
      <c r="AI52" s="169">
        <v>1530700</v>
      </c>
      <c r="AJ52" s="145">
        <f>SUM(AF52:AI52)</f>
        <v>4097379</v>
      </c>
      <c r="AK52" s="169">
        <v>1078098</v>
      </c>
      <c r="AL52" s="169">
        <v>2504583</v>
      </c>
      <c r="AM52" s="169">
        <v>1107258</v>
      </c>
      <c r="AN52" s="169">
        <f>6094047-AK52-AL52-AM52</f>
        <v>1404108</v>
      </c>
      <c r="AO52" s="145">
        <f>SUM(AK52:AN52)</f>
        <v>6094047</v>
      </c>
      <c r="AP52" s="169">
        <v>575194</v>
      </c>
      <c r="AQ52" s="169">
        <v>1442700</v>
      </c>
      <c r="AR52" s="169">
        <v>2011300</v>
      </c>
      <c r="AS52" s="169">
        <f>5835934-AR52-AQ52-AP52</f>
        <v>1806740</v>
      </c>
      <c r="AT52" s="145">
        <f>SUM(AP52:AS52)</f>
        <v>5835934</v>
      </c>
      <c r="AU52" s="169">
        <v>1032524</v>
      </c>
      <c r="AV52" s="169">
        <f>2518085-AU52</f>
        <v>1485561</v>
      </c>
      <c r="AW52" s="169">
        <v>1535000</v>
      </c>
      <c r="AX52" s="169">
        <v>1734000</v>
      </c>
      <c r="AY52" s="145">
        <f>SUM(AU52:AX52)</f>
        <v>5787085</v>
      </c>
      <c r="AZ52" s="169">
        <v>1540000</v>
      </c>
      <c r="BA52" s="169">
        <v>1847000</v>
      </c>
      <c r="BB52" s="169">
        <v>1601000</v>
      </c>
      <c r="BC52" s="169">
        <v>1810000</v>
      </c>
      <c r="BD52" s="145">
        <f>SUM(AZ52:BC52)</f>
        <v>6798000</v>
      </c>
      <c r="BE52" s="169">
        <v>2468000</v>
      </c>
      <c r="BF52" s="169">
        <v>1894000</v>
      </c>
      <c r="BG52" s="169">
        <v>1379000</v>
      </c>
      <c r="BH52" s="169">
        <v>1172000</v>
      </c>
      <c r="BI52" s="145">
        <f>SUM(BE52:BH52)</f>
        <v>6913000</v>
      </c>
      <c r="BJ52" s="169">
        <v>1985000</v>
      </c>
      <c r="BK52" s="169">
        <v>2132000</v>
      </c>
      <c r="BL52" s="169">
        <v>1381000</v>
      </c>
      <c r="BM52" s="169">
        <v>2396000</v>
      </c>
      <c r="BN52" s="145">
        <f>SUM(BJ52:BM52)</f>
        <v>7894000</v>
      </c>
      <c r="BO52" s="169">
        <v>1055000</v>
      </c>
      <c r="BP52" s="169">
        <v>1197000</v>
      </c>
      <c r="BQ52" s="169">
        <v>1532000</v>
      </c>
      <c r="BR52" s="169">
        <v>1666000</v>
      </c>
      <c r="BS52" s="145">
        <f>SUM(BO52:BR52)</f>
        <v>5450000</v>
      </c>
      <c r="BT52" s="169">
        <v>1005000</v>
      </c>
      <c r="BU52" s="169">
        <v>2145052</v>
      </c>
      <c r="BV52" s="169">
        <v>641000</v>
      </c>
      <c r="BW52" s="169">
        <v>486264.933595774</v>
      </c>
      <c r="BX52" s="145">
        <f>SUM(BT52:BW52)</f>
        <v>4277316.9335957738</v>
      </c>
      <c r="BY52" s="169">
        <v>357000</v>
      </c>
      <c r="BZ52" s="169">
        <v>2145000</v>
      </c>
      <c r="CA52" s="169">
        <v>1233000</v>
      </c>
      <c r="CB52" s="169">
        <v>1480000</v>
      </c>
      <c r="CC52" s="145">
        <f>SUM(BY52:CB52)</f>
        <v>5215000</v>
      </c>
      <c r="CD52" s="169">
        <v>231298.26044869568</v>
      </c>
      <c r="CE52" s="169">
        <v>112547.68895114069</v>
      </c>
      <c r="CF52" s="169">
        <v>461893.80803745758</v>
      </c>
      <c r="CG52" s="169">
        <v>690434.25286325195</v>
      </c>
      <c r="CH52" s="145">
        <f>SUM(CD52:CG52)</f>
        <v>1496174.010300546</v>
      </c>
      <c r="CI52" s="169">
        <v>399685.29304000002</v>
      </c>
      <c r="CJ52" s="169">
        <v>392000</v>
      </c>
      <c r="CK52" s="169">
        <v>642000</v>
      </c>
      <c r="CL52" s="169">
        <v>781000</v>
      </c>
      <c r="CM52" s="145">
        <f>SUM(CI52:CL52)</f>
        <v>2214685.2930399999</v>
      </c>
      <c r="CN52" s="169">
        <v>779000</v>
      </c>
      <c r="CO52" s="169">
        <v>833000</v>
      </c>
      <c r="CP52" s="169">
        <v>1628000</v>
      </c>
      <c r="CQ52" s="169">
        <v>1043000</v>
      </c>
      <c r="CR52" s="145">
        <f>SUM(CN52:CQ52)</f>
        <v>4283000</v>
      </c>
      <c r="CS52" s="169">
        <v>1097849.1915213224</v>
      </c>
      <c r="CT52" s="169">
        <v>1259096.7275895164</v>
      </c>
      <c r="CU52" s="169">
        <v>1544703.0942129656</v>
      </c>
      <c r="CV52" s="169">
        <v>2093051.3654425987</v>
      </c>
      <c r="CW52" s="145">
        <f>SUM(CS52:CV52)</f>
        <v>5994700.3787664026</v>
      </c>
      <c r="CX52" s="169">
        <v>675615.14168482309</v>
      </c>
      <c r="CY52" s="169">
        <v>1132178.0263073549</v>
      </c>
      <c r="CZ52" s="169">
        <v>1123339.0148493131</v>
      </c>
      <c r="DA52" s="169">
        <v>2340016.2825303087</v>
      </c>
      <c r="DB52" s="145">
        <f>SUM(CX52:DA52)</f>
        <v>5271148.4653717997</v>
      </c>
      <c r="DC52" s="169">
        <v>700240.1570623843</v>
      </c>
      <c r="DD52" s="169">
        <v>1969840.5813558244</v>
      </c>
      <c r="DE52" s="169">
        <v>2252237.3057237933</v>
      </c>
      <c r="DF52" s="169">
        <v>2915152.0912655438</v>
      </c>
      <c r="DG52" s="145">
        <f>SUM(DC52:DF52)</f>
        <v>7837470.1354075465</v>
      </c>
      <c r="DH52" s="169">
        <v>1130257.7722550479</v>
      </c>
      <c r="DI52" s="169">
        <v>2205831.4947413839</v>
      </c>
      <c r="DJ52" s="114">
        <f>AVERAGE(CS4:CV4,CO4:CQ4,CX4)</f>
        <v>2442849.8748815581</v>
      </c>
      <c r="DK52" s="114">
        <f>AVERAGE(CS4:CV4,CP4:CQ4,CX4:CY4)</f>
        <v>2334744.2750969338</v>
      </c>
      <c r="DL52" s="145">
        <f>SUM(DH52:DK52)</f>
        <v>8113683.4169749245</v>
      </c>
      <c r="DM52" s="114">
        <f>AVERAGE(CX4:CZ4,CS4:CV4)</f>
        <v>2293058.4600514495</v>
      </c>
      <c r="DN52" s="114">
        <f>AVERAGE(CX4:DA4,CS4:CV4)</f>
        <v>2848543.3997585005</v>
      </c>
      <c r="DO52" s="114">
        <f>AVERAGE(CX4:DA4,CT4:CV4,DC4)</f>
        <v>3288228.3210786842</v>
      </c>
      <c r="DP52" s="114">
        <f>AVERAGE(CX4:DA4,CU4:CV4,DC4:DD4)</f>
        <v>3364725.6814050307</v>
      </c>
      <c r="DQ52" s="145">
        <f>SUM(DM52:DP52)</f>
        <v>11794555.862293664</v>
      </c>
      <c r="DR52" s="114">
        <f>AVERAGE(DC4:DE4,CX4:DA4)</f>
        <v>3865655.0851338007</v>
      </c>
      <c r="DS52" s="114">
        <f>AVERAGE(DC4:DF4,CX4:DA4)</f>
        <v>3948867.0470840316</v>
      </c>
      <c r="DT52" s="114">
        <f>AVERAGE(DC4:DF4,CY4:DA4,DH4)</f>
        <v>4039917.2308589704</v>
      </c>
      <c r="DU52" s="114">
        <f>AVERAGE(DC4:DF4,CZ4:DA4,DH4:DI4)</f>
        <v>4478049.4014641652</v>
      </c>
      <c r="DV52" s="145">
        <f>SUM(DR52:DU52)</f>
        <v>16332488.764540967</v>
      </c>
      <c r="DW52" s="114">
        <f>AVERAGE(DH4:DJ4,DC4:DF4)</f>
        <v>4330249.1041791774</v>
      </c>
      <c r="DX52" s="114">
        <f>AVERAGE(DH4:DK4,DC4:DF4)</f>
        <v>4468166.0763535276</v>
      </c>
      <c r="DY52" s="114">
        <f>AVERAGE(DH4:DK4,DD4:DF4,DM4)</f>
        <v>4163264.8285500812</v>
      </c>
      <c r="DZ52" s="114">
        <f>AVERAGE(DH4:DK4,DE4:DF4,DM4:DN4)</f>
        <v>4091675.7898508534</v>
      </c>
      <c r="EA52" s="145">
        <f>SUM(DW52:DZ52)</f>
        <v>17053355.79893364</v>
      </c>
      <c r="EB52" s="114">
        <f>AVERAGE(DM4:DO4,DH4:DK4)</f>
        <v>3953574.3578919107</v>
      </c>
      <c r="EC52" s="114">
        <f>AVERAGE(DM4:DP4,DH4:DK4)</f>
        <v>4166088.2573677534</v>
      </c>
      <c r="ED52" s="114">
        <f>AVERAGE(DM4:DP4,DI4:DK4,DR4)</f>
        <v>4179050.2035616958</v>
      </c>
      <c r="EE52" s="114">
        <f>AVERAGE(DM4:DP4,DJ4:DK4,DR4:DS4)</f>
        <v>4022443.4101528018</v>
      </c>
      <c r="EF52" s="145">
        <f>SUM(EB52:EE52)</f>
        <v>16321156.228974162</v>
      </c>
    </row>
    <row r="53" spans="1:201" ht="12.75" customHeight="1">
      <c r="A53" s="66" t="s">
        <v>841</v>
      </c>
      <c r="Q53" s="190">
        <f>Q30</f>
        <v>0.11630413721641407</v>
      </c>
      <c r="R53" s="190">
        <f>R30</f>
        <v>0.19407507662723891</v>
      </c>
      <c r="S53" s="190">
        <f>S30</f>
        <v>0.23653672130386783</v>
      </c>
      <c r="T53" s="190">
        <f>T30</f>
        <v>0.31843371652231411</v>
      </c>
      <c r="V53" s="169"/>
      <c r="W53" s="169"/>
      <c r="X53" s="169"/>
      <c r="Y53" s="169"/>
      <c r="AA53" s="169">
        <v>1266</v>
      </c>
      <c r="AB53" s="169">
        <v>1550</v>
      </c>
      <c r="AC53" s="169">
        <v>1100</v>
      </c>
      <c r="AD53" s="169">
        <v>3594</v>
      </c>
      <c r="AE53" s="145">
        <f>SUM(AA53:AD53)</f>
        <v>7510</v>
      </c>
      <c r="AF53" s="169">
        <v>3166</v>
      </c>
      <c r="AG53" s="169">
        <v>2155</v>
      </c>
      <c r="AH53" s="169">
        <v>3814</v>
      </c>
      <c r="AI53" s="169">
        <v>6265</v>
      </c>
      <c r="AJ53" s="145">
        <f>SUM(AF53:AI53)</f>
        <v>15400</v>
      </c>
      <c r="AK53" s="169">
        <v>3862</v>
      </c>
      <c r="AL53" s="169">
        <v>10392</v>
      </c>
      <c r="AM53" s="169">
        <v>3615</v>
      </c>
      <c r="AN53" s="169">
        <v>5925</v>
      </c>
      <c r="AO53" s="145">
        <f>SUM(AK53:AN53)</f>
        <v>23794</v>
      </c>
      <c r="AP53" s="169">
        <v>4329</v>
      </c>
      <c r="AQ53" s="169">
        <v>5675</v>
      </c>
      <c r="AR53" s="169">
        <v>9238</v>
      </c>
      <c r="AS53" s="169">
        <v>4850</v>
      </c>
      <c r="AT53" s="145">
        <f>SUM(AP53:AS53)</f>
        <v>24092</v>
      </c>
      <c r="AU53" s="169">
        <v>5186</v>
      </c>
      <c r="AV53" s="169">
        <f>10365-AU53</f>
        <v>5179</v>
      </c>
      <c r="AW53" s="169">
        <v>6506</v>
      </c>
      <c r="AX53" s="169">
        <v>8175</v>
      </c>
      <c r="AY53" s="145">
        <f>SUM(AU53:AX53)</f>
        <v>25046</v>
      </c>
      <c r="AZ53" s="169">
        <v>4814</v>
      </c>
      <c r="BA53" s="169">
        <v>5432</v>
      </c>
      <c r="BB53" s="169">
        <v>5106</v>
      </c>
      <c r="BC53" s="169">
        <v>5452</v>
      </c>
      <c r="BD53" s="145">
        <f>SUM(AZ53:BC53)</f>
        <v>20804</v>
      </c>
      <c r="BE53" s="169">
        <v>5452</v>
      </c>
      <c r="BF53" s="169">
        <v>5864</v>
      </c>
      <c r="BG53" s="169">
        <v>6755</v>
      </c>
      <c r="BH53" s="169">
        <v>4389</v>
      </c>
      <c r="BI53" s="145">
        <f>SUM(BE53:BH53)</f>
        <v>22460</v>
      </c>
      <c r="BJ53" s="169">
        <v>4433</v>
      </c>
      <c r="BK53" s="169">
        <v>5764</v>
      </c>
      <c r="BL53" s="169">
        <v>3751</v>
      </c>
      <c r="BM53" s="169">
        <f>21281-SUM(BJ53:BL53)</f>
        <v>7333</v>
      </c>
      <c r="BN53" s="145">
        <f>SUM(BJ53:BM53)</f>
        <v>21281</v>
      </c>
      <c r="BO53" s="169">
        <v>4440</v>
      </c>
      <c r="BP53" s="169">
        <v>4119</v>
      </c>
      <c r="BQ53" s="169">
        <v>4495</v>
      </c>
      <c r="BR53" s="169">
        <v>6419</v>
      </c>
      <c r="BS53" s="145">
        <f>SUM(BO53:BR53)</f>
        <v>19473</v>
      </c>
      <c r="BT53" s="169">
        <v>3207</v>
      </c>
      <c r="BU53" s="169">
        <v>5075</v>
      </c>
      <c r="BV53" s="169">
        <v>3536</v>
      </c>
      <c r="BW53" s="169">
        <v>2490</v>
      </c>
      <c r="BX53" s="145">
        <f>SUM(BT53:BW53)</f>
        <v>14308</v>
      </c>
      <c r="BY53" s="169">
        <f>4460-BZ53</f>
        <v>1445</v>
      </c>
      <c r="BZ53" s="169">
        <v>3015</v>
      </c>
      <c r="CA53" s="169">
        <v>4632</v>
      </c>
      <c r="CB53" s="169">
        <v>4089</v>
      </c>
      <c r="CC53" s="145">
        <f>SUM(BY53:CB53)</f>
        <v>13181</v>
      </c>
      <c r="CD53" s="169">
        <v>847</v>
      </c>
      <c r="CE53" s="169">
        <v>142</v>
      </c>
      <c r="CF53" s="169">
        <v>958</v>
      </c>
      <c r="CG53" s="169">
        <v>370</v>
      </c>
      <c r="CH53" s="145">
        <f>SUM(CD53:CG53)</f>
        <v>2317</v>
      </c>
      <c r="CI53" s="169">
        <v>408</v>
      </c>
      <c r="CJ53" s="169">
        <v>1317</v>
      </c>
      <c r="CK53" s="169">
        <v>925</v>
      </c>
      <c r="CL53" s="169">
        <v>2194</v>
      </c>
      <c r="CM53" s="145">
        <f>SUM(CI53:CL53)</f>
        <v>4844</v>
      </c>
      <c r="CN53" s="169">
        <v>902</v>
      </c>
      <c r="CO53" s="169">
        <v>2744</v>
      </c>
      <c r="CP53" s="169">
        <v>4289</v>
      </c>
      <c r="CQ53" s="169">
        <v>3163</v>
      </c>
      <c r="CR53" s="145">
        <f>SUM(CN53:CQ53)</f>
        <v>11098</v>
      </c>
      <c r="CS53" s="169">
        <v>2714</v>
      </c>
      <c r="CT53" s="169">
        <v>3388</v>
      </c>
      <c r="CU53" s="169">
        <v>4477</v>
      </c>
      <c r="CV53" s="169">
        <v>4942</v>
      </c>
      <c r="CW53" s="145">
        <f>SUM(CS53:CV53)</f>
        <v>15521</v>
      </c>
      <c r="CX53" s="169">
        <v>1452</v>
      </c>
      <c r="CY53" s="169">
        <v>2855</v>
      </c>
      <c r="CZ53" s="169">
        <v>1805</v>
      </c>
      <c r="DA53" s="169">
        <v>3875</v>
      </c>
      <c r="DB53" s="145">
        <f>SUM(CX53:DA53)</f>
        <v>9987</v>
      </c>
      <c r="DC53" s="169">
        <v>821</v>
      </c>
      <c r="DD53" s="169">
        <v>2793</v>
      </c>
      <c r="DE53" s="169">
        <v>3722</v>
      </c>
      <c r="DF53" s="169">
        <v>7018</v>
      </c>
      <c r="DG53" s="145">
        <f>SUM(DC53:DF53)</f>
        <v>14354</v>
      </c>
      <c r="DH53" s="169">
        <v>2479</v>
      </c>
      <c r="DI53" s="169">
        <v>2963</v>
      </c>
      <c r="DJ53" s="114">
        <f>AVERAGE(CQ7,CS7:CW7,CX7:CY7)</f>
        <v>4860.625</v>
      </c>
      <c r="DK53" s="114">
        <f>AVERAGE(CS7,CT7:CV7,CX7:CZ7)</f>
        <v>3672.7142857142858</v>
      </c>
      <c r="DL53" s="145">
        <f>SUM(DH53:DK53)</f>
        <v>13975.339285714286</v>
      </c>
      <c r="DM53" s="114">
        <f>AVERAGE(CT7:CV7,CX7,CY7:DA7)</f>
        <v>4633.8571428571431</v>
      </c>
      <c r="DN53" s="114">
        <f>AVERAGE(CU7:CV7,CX7:DA7,DC7)</f>
        <v>4919.4285714285716</v>
      </c>
      <c r="DO53" s="114">
        <f>AVERAGE(CV7,CX7:DB7,DC7:DD7)</f>
        <v>7193.5</v>
      </c>
      <c r="DP53" s="114">
        <f>AVERAGE(CX7,CY7:DA7,DC7:DE7)</f>
        <v>5781.4285714285716</v>
      </c>
      <c r="DQ53" s="145">
        <f>SUM(DM53:DP53)</f>
        <v>22528.214285714286</v>
      </c>
      <c r="DR53" s="114">
        <f>AVERAGE(CY7:DA7,DC7,DD7:DF7)</f>
        <v>6523</v>
      </c>
      <c r="DS53" s="114">
        <f>AVERAGE(CZ7:DA7,DC7:DF7,DH7)</f>
        <v>6889</v>
      </c>
      <c r="DT53" s="114">
        <f>AVERAGE(DA7,DC7:DG7,DH7:DI7)</f>
        <v>9857.375</v>
      </c>
      <c r="DU53" s="114">
        <f>AVERAGE(DC7,DD7:DF7,DH7:DJ7)</f>
        <v>6915.3322826081512</v>
      </c>
      <c r="DV53" s="145">
        <f>SUM(DR53:DU53)</f>
        <v>30184.707282608149</v>
      </c>
      <c r="DW53" s="114">
        <f>AVERAGE(DD7:DF7,DH7,DI7:DK7)</f>
        <v>7209.2102778819908</v>
      </c>
      <c r="DX53" s="114">
        <f>AVERAGE(DE7:DF7,DH7:DK7,DM7)</f>
        <v>6756.4320015962439</v>
      </c>
      <c r="DY53" s="114">
        <f>AVERAGE(DF7,DH7:DL7,DM7:DN7)</f>
        <v>9283.7763027008587</v>
      </c>
      <c r="DZ53" s="114">
        <f>AVERAGE(DH7,DI7:DK7,DM7:DO7)</f>
        <v>6304.009998456243</v>
      </c>
      <c r="EA53" s="145">
        <f>SUM(DW53:DZ53)</f>
        <v>29553.428580635336</v>
      </c>
      <c r="EB53" s="114">
        <f>AVERAGE(DI7:DK7,DM7,DN7:DP7)</f>
        <v>6700.4813592532937</v>
      </c>
      <c r="EC53" s="114">
        <f>AVERAGE(DJ7:DK7,DM7:DP7,DR7)</f>
        <v>6112.8459401104028</v>
      </c>
      <c r="ED53" s="114">
        <f>AVERAGE(DK7,DM7:DQ7,DR7:DS7)</f>
        <v>8176.2759546717652</v>
      </c>
      <c r="EE53" s="114">
        <f>AVERAGE(DM7,DN7:DP7,DR7:DT7)</f>
        <v>5679.6422305169854</v>
      </c>
      <c r="EF53" s="145">
        <f>SUM(EB53:EE53)</f>
        <v>26669.245484552448</v>
      </c>
    </row>
    <row r="54" spans="1:201" ht="12.75" customHeight="1">
      <c r="Q54" s="190">
        <f>Q5/Q28</f>
        <v>6.0414648323968222E-2</v>
      </c>
      <c r="R54" s="190">
        <f>R5/R28</f>
        <v>0.17601288563021289</v>
      </c>
      <c r="S54" s="190">
        <f>S5/S28</f>
        <v>0.3099729397724143</v>
      </c>
      <c r="T54" s="190">
        <f>T5/T28</f>
        <v>0.46193038608432685</v>
      </c>
      <c r="V54" s="190">
        <f>V5/V28</f>
        <v>0.15422547430893974</v>
      </c>
      <c r="W54" s="190">
        <f>W5/W28</f>
        <v>0.34503763020108197</v>
      </c>
      <c r="X54" s="190">
        <f>X5/X28</f>
        <v>0.20365431399203973</v>
      </c>
      <c r="Y54" s="190">
        <f>Y5/Y28</f>
        <v>0.17956111698326727</v>
      </c>
      <c r="AA54" s="190">
        <f>AA5/AA28</f>
        <v>0.11464431365515652</v>
      </c>
      <c r="AB54" s="190">
        <f>AB5/AB28</f>
        <v>0.13044091823462298</v>
      </c>
      <c r="AC54" s="190">
        <f>AC5/AC28</f>
        <v>0.32687399600407702</v>
      </c>
      <c r="AD54" s="190">
        <f>AD5/AD28</f>
        <v>0.380099146348441</v>
      </c>
      <c r="AF54" s="190">
        <f>AF5/AF28</f>
        <v>0.11587354752025748</v>
      </c>
      <c r="AG54" s="190">
        <f>AG5/AG28</f>
        <v>0.19856986427563872</v>
      </c>
      <c r="AH54" s="190">
        <f>AH5/AH28</f>
        <v>0.26909025617348414</v>
      </c>
      <c r="AI54" s="190"/>
      <c r="AK54" s="190">
        <f>AK5/AK28</f>
        <v>0.15069198690790675</v>
      </c>
      <c r="AL54" s="190">
        <f>AL5/AL28</f>
        <v>0.19919385504601111</v>
      </c>
      <c r="AM54" s="190">
        <f>AM5/AM28</f>
        <v>0.2162686567164179</v>
      </c>
      <c r="AN54" s="190">
        <f>AN5/AN28</f>
        <v>0.31264945002391198</v>
      </c>
      <c r="AP54" s="190">
        <f>AP5/AP28</f>
        <v>9.5013196277260736E-2</v>
      </c>
      <c r="AQ54" s="190">
        <f>AQ5/AQ28</f>
        <v>0.12455749490862868</v>
      </c>
      <c r="CR54" s="114"/>
    </row>
    <row r="55" spans="1:201" ht="12.75" hidden="1" customHeight="1" outlineLevel="1">
      <c r="A55" s="359" t="s">
        <v>855</v>
      </c>
      <c r="B55" s="360"/>
      <c r="C55" s="360"/>
      <c r="D55" s="360"/>
      <c r="E55" s="360"/>
      <c r="F55" s="361"/>
      <c r="G55" s="360"/>
      <c r="H55" s="360"/>
      <c r="I55" s="360"/>
      <c r="J55" s="360"/>
      <c r="K55" s="361"/>
      <c r="L55" s="360"/>
      <c r="M55" s="360"/>
      <c r="N55" s="360"/>
      <c r="O55" s="362"/>
      <c r="P55" s="361"/>
      <c r="Q55" s="360">
        <f>Q9/Q28</f>
        <v>0.16376460578081431</v>
      </c>
      <c r="R55" s="360">
        <f>R9/R28</f>
        <v>0.27427013635013975</v>
      </c>
      <c r="S55" s="360">
        <f>S9/S28</f>
        <v>0.35595548631234031</v>
      </c>
      <c r="T55" s="362">
        <f>T9/T28</f>
        <v>0.53244063454294022</v>
      </c>
      <c r="U55" s="361"/>
      <c r="V55" s="360">
        <f>V9/V28</f>
        <v>0.30939618435331934</v>
      </c>
      <c r="W55" s="360">
        <f>W9/W28</f>
        <v>0.47407873666480055</v>
      </c>
      <c r="X55" s="360">
        <f>X9/X28</f>
        <v>0.28673942240371808</v>
      </c>
      <c r="Y55" s="362">
        <f>Y9/Y28</f>
        <v>0.15887575309700883</v>
      </c>
      <c r="Z55" s="361" t="str">
        <f>Macro!Z$3</f>
        <v>2008</v>
      </c>
      <c r="AA55" s="360" t="str">
        <f>Macro!AA$3</f>
        <v>1Q09</v>
      </c>
      <c r="AB55" s="360" t="str">
        <f>Macro!AB$3</f>
        <v>2Q09</v>
      </c>
      <c r="AC55" s="360" t="str">
        <f>Macro!AC$3</f>
        <v>3Q09</v>
      </c>
      <c r="AD55" s="362" t="str">
        <f>Macro!AD$3</f>
        <v>4Q09</v>
      </c>
      <c r="AE55" s="361" t="str">
        <f>Macro!AE$3</f>
        <v>2009</v>
      </c>
      <c r="AF55" s="360" t="str">
        <f>Macro!AF$3</f>
        <v>1Q10</v>
      </c>
      <c r="AG55" s="360" t="str">
        <f>Macro!AG$3</f>
        <v>2Q10</v>
      </c>
      <c r="AH55" s="360" t="str">
        <f>Macro!AH$3</f>
        <v>3Q10</v>
      </c>
      <c r="AI55" s="362" t="str">
        <f>Macro!AI$3</f>
        <v>4Q10</v>
      </c>
      <c r="AJ55" s="361" t="str">
        <f>Macro!AJ$3</f>
        <v>2010</v>
      </c>
      <c r="AK55" s="360" t="str">
        <f>Macro!AK$3</f>
        <v>1Q11</v>
      </c>
      <c r="AL55" s="360" t="str">
        <f>Macro!AL$3</f>
        <v>2Q11</v>
      </c>
      <c r="AM55" s="360" t="str">
        <f>Macro!AM$3</f>
        <v>3Q11</v>
      </c>
      <c r="AN55" s="362" t="str">
        <f>Macro!AN$3</f>
        <v>4Q11</v>
      </c>
      <c r="AO55" s="361" t="str">
        <f>Macro!AO$3</f>
        <v>2011</v>
      </c>
      <c r="AP55" s="360" t="str">
        <f>Macro!AP$3</f>
        <v>1Q12</v>
      </c>
      <c r="AQ55" s="363" t="str">
        <f>Macro!AQ$3</f>
        <v>2Q12</v>
      </c>
      <c r="AR55" s="363" t="str">
        <f>Macro!AR$3</f>
        <v>3Q12</v>
      </c>
      <c r="AS55" s="363" t="str">
        <f>Macro!AS$3</f>
        <v>4Q12</v>
      </c>
      <c r="AT55" s="364" t="str">
        <f>Macro!AT$3</f>
        <v>2012</v>
      </c>
      <c r="AU55" s="363" t="str">
        <f>Macro!AU$3</f>
        <v>1Q13</v>
      </c>
      <c r="AV55" s="363" t="str">
        <f>Macro!AV$3</f>
        <v>2Q13</v>
      </c>
      <c r="AW55" s="363" t="str">
        <f>Macro!AW$3</f>
        <v>3Q13</v>
      </c>
      <c r="AX55" s="363" t="str">
        <f>Macro!AX$3</f>
        <v>4Q13</v>
      </c>
      <c r="AY55" s="364" t="str">
        <f>Macro!AY$3</f>
        <v>2013</v>
      </c>
      <c r="AZ55" s="363" t="str">
        <f>Macro!AZ$3</f>
        <v>1Q14</v>
      </c>
      <c r="BA55" s="363" t="str">
        <f>Macro!BA$3</f>
        <v>2Q14</v>
      </c>
      <c r="BB55" s="363" t="str">
        <f>Macro!BB$3</f>
        <v>3Q14</v>
      </c>
      <c r="BC55" s="363" t="str">
        <f>Macro!BC$3</f>
        <v>4Q14</v>
      </c>
      <c r="BD55" s="364" t="str">
        <f>Macro!BD$3</f>
        <v>2014</v>
      </c>
      <c r="BE55" s="363" t="str">
        <f>Macro!BE$3</f>
        <v>1Q15</v>
      </c>
      <c r="BF55" s="363" t="str">
        <f>Macro!BF$3</f>
        <v>2Q15</v>
      </c>
      <c r="BG55" s="363" t="str">
        <f>Macro!BG$3</f>
        <v>3Q15</v>
      </c>
      <c r="BH55" s="363" t="str">
        <f>Macro!BH$3</f>
        <v>4Q15</v>
      </c>
      <c r="BI55" s="364" t="str">
        <f>Macro!BI$3</f>
        <v>2015</v>
      </c>
      <c r="BJ55" s="363" t="str">
        <f>Macro!BJ$3</f>
        <v>1Q16</v>
      </c>
      <c r="BK55" s="363" t="str">
        <f>Macro!BK$3</f>
        <v>2Q16</v>
      </c>
      <c r="BL55" s="363" t="str">
        <f>Macro!BL$3</f>
        <v>3Q16</v>
      </c>
      <c r="BM55" s="363" t="str">
        <f>Macro!BM$3</f>
        <v>4Q16</v>
      </c>
      <c r="BN55" s="364" t="str">
        <f>Macro!BN$3</f>
        <v>2016</v>
      </c>
      <c r="BO55" s="363" t="str">
        <f>Macro!BO$3</f>
        <v>1Q17</v>
      </c>
      <c r="BP55" s="363" t="str">
        <f>Macro!BP$3</f>
        <v>2Q17</v>
      </c>
      <c r="BQ55" s="363" t="str">
        <f>Macro!BQ$3</f>
        <v>3Q17</v>
      </c>
      <c r="BR55" s="363" t="str">
        <f>Macro!BR$3</f>
        <v>4Q17</v>
      </c>
      <c r="BS55" s="364" t="str">
        <f>Macro!BS$3</f>
        <v>2017</v>
      </c>
      <c r="BT55" s="363" t="str">
        <f>Macro!BT$3</f>
        <v>1Q18</v>
      </c>
      <c r="BU55" s="363" t="str">
        <f>Macro!BU$3</f>
        <v>2Q18</v>
      </c>
      <c r="BV55" s="363" t="str">
        <f>Macro!BV$3</f>
        <v>3Q18</v>
      </c>
      <c r="BW55" s="363" t="str">
        <f>Macro!BW$3</f>
        <v>4Q18</v>
      </c>
      <c r="BX55" s="364" t="str">
        <f>Macro!BX$3</f>
        <v>2018</v>
      </c>
      <c r="BY55" s="363" t="str">
        <f>Macro!BY$3</f>
        <v>1Q19</v>
      </c>
      <c r="BZ55" s="363" t="str">
        <f>Macro!BZ$3</f>
        <v>2Q19</v>
      </c>
      <c r="CA55" s="363" t="str">
        <f>Macro!CA$3</f>
        <v>3Q19</v>
      </c>
      <c r="CB55" s="363" t="str">
        <f>Macro!CB$3</f>
        <v>4Q19</v>
      </c>
      <c r="CC55" s="364" t="str">
        <f>Macro!CC$3</f>
        <v>2019</v>
      </c>
      <c r="CD55" s="363" t="str">
        <f>Macro!CD$3</f>
        <v>1Q20</v>
      </c>
      <c r="CE55" s="363" t="str">
        <f>Macro!CE$3</f>
        <v>2Q20</v>
      </c>
      <c r="CF55" s="363" t="str">
        <f>Macro!CF$3</f>
        <v>3Q20</v>
      </c>
      <c r="CG55" s="363" t="str">
        <f>Macro!CG$3</f>
        <v>4Q20</v>
      </c>
      <c r="CH55" s="364" t="str">
        <f>Macro!CH$3</f>
        <v>2020</v>
      </c>
      <c r="CI55" s="363" t="str">
        <f>Macro!CI$3</f>
        <v>1Q21</v>
      </c>
      <c r="CJ55" s="363" t="str">
        <f>Macro!CJ$3</f>
        <v>2Q21</v>
      </c>
      <c r="CK55" s="363" t="str">
        <f>Macro!CK$3</f>
        <v>3Q21</v>
      </c>
      <c r="CL55" s="363" t="str">
        <f>Macro!CL$3</f>
        <v>4Q21</v>
      </c>
      <c r="CM55" s="364" t="str">
        <f>Macro!CM$3</f>
        <v>2021</v>
      </c>
      <c r="CN55" s="363" t="str">
        <f>Macro!CN$3</f>
        <v>1Q22</v>
      </c>
      <c r="CO55" s="363" t="str">
        <f>Macro!CO$3</f>
        <v>2Q22</v>
      </c>
      <c r="CP55" s="363" t="str">
        <f>Macro!CP$3</f>
        <v>3Q22</v>
      </c>
      <c r="CQ55" s="363" t="str">
        <f>Macro!CQ$3</f>
        <v>4Q22</v>
      </c>
      <c r="CR55" s="364"/>
      <c r="CS55" s="363" t="str">
        <f>Macro!CS$3</f>
        <v>1Q23</v>
      </c>
      <c r="CT55" s="363" t="str">
        <f>Macro!CT$3</f>
        <v>2Q23</v>
      </c>
      <c r="CU55" s="363" t="str">
        <f>Macro!CU$3</f>
        <v>3Q23</v>
      </c>
      <c r="CV55" s="363" t="str">
        <f>Macro!CV$3</f>
        <v>4Q23</v>
      </c>
      <c r="CW55" s="364" t="str">
        <f>Macro!CW$3</f>
        <v>2023</v>
      </c>
      <c r="CX55" s="363" t="str">
        <f>Macro!CX$3</f>
        <v>1Q24</v>
      </c>
      <c r="CY55" s="363" t="str">
        <f>Macro!CY$3</f>
        <v>2Q24</v>
      </c>
      <c r="CZ55" s="363" t="str">
        <f>Macro!CZ$3</f>
        <v>3Q24</v>
      </c>
      <c r="DA55" s="363" t="str">
        <f>Macro!DA$3</f>
        <v>4Q24</v>
      </c>
      <c r="DB55" s="364" t="str">
        <f>Macro!DB$3</f>
        <v>2024</v>
      </c>
      <c r="DC55" s="363" t="str">
        <f>Macro!DC$3</f>
        <v>1Q25</v>
      </c>
      <c r="DD55" s="363" t="str">
        <f>Macro!DD$3</f>
        <v>2Q25</v>
      </c>
      <c r="DE55" s="363" t="str">
        <f>Macro!DE$3</f>
        <v>3Q25</v>
      </c>
      <c r="DF55" s="363" t="str">
        <f>Macro!DF$3</f>
        <v>4Q25</v>
      </c>
      <c r="DG55" s="364" t="str">
        <f>Macro!DG$3</f>
        <v>2025</v>
      </c>
      <c r="DH55" s="363" t="str">
        <f>Macro!DH$3</f>
        <v>1Q26</v>
      </c>
      <c r="DI55" s="363" t="str">
        <f>Macro!DI$3</f>
        <v>2Q26</v>
      </c>
      <c r="DJ55" s="363" t="str">
        <f>Macro!DJ$3</f>
        <v>3Q26E</v>
      </c>
      <c r="DK55" s="363" t="str">
        <f>Macro!DK$3</f>
        <v>4Q26E</v>
      </c>
      <c r="DL55" s="364" t="str">
        <f>Macro!DL$3</f>
        <v>2026E</v>
      </c>
      <c r="DM55" s="363" t="str">
        <f>Macro!DM$3</f>
        <v>1Q27E</v>
      </c>
      <c r="DN55" s="363" t="str">
        <f>Macro!DN$3</f>
        <v>2Q27E</v>
      </c>
      <c r="DO55" s="363" t="str">
        <f>Macro!DO$3</f>
        <v>3Q27E</v>
      </c>
      <c r="DP55" s="363" t="str">
        <f>Macro!DP$3</f>
        <v>4Q27E</v>
      </c>
      <c r="DQ55" s="364" t="str">
        <f>Macro!DQ$3</f>
        <v>2027E</v>
      </c>
      <c r="DR55" s="363" t="str">
        <f>Macro!DR$3</f>
        <v>1Q28E</v>
      </c>
      <c r="DS55" s="363" t="str">
        <f>Macro!DS$3</f>
        <v>2Q28E</v>
      </c>
      <c r="DT55" s="363" t="str">
        <f>Macro!DT$3</f>
        <v>3Q28E</v>
      </c>
      <c r="DU55" s="363" t="str">
        <f>Macro!DU$3</f>
        <v>4Q28E</v>
      </c>
      <c r="DV55" s="364" t="str">
        <f>Macro!DV$3</f>
        <v>2028E</v>
      </c>
      <c r="DW55" s="363" t="str">
        <f>Macro!DW$3</f>
        <v>1Q29E</v>
      </c>
      <c r="DX55" s="363" t="str">
        <f>Macro!DX$3</f>
        <v>2Q29E</v>
      </c>
      <c r="DY55" s="363" t="str">
        <f>Macro!DY$3</f>
        <v>3Q29E</v>
      </c>
      <c r="DZ55" s="363" t="str">
        <f>Macro!DZ$3</f>
        <v>4Q29E</v>
      </c>
      <c r="EA55" s="364" t="str">
        <f>Macro!EA$3</f>
        <v>2029E</v>
      </c>
      <c r="EB55" s="363" t="str">
        <f>Macro!EB$3</f>
        <v>1Q30E</v>
      </c>
      <c r="EC55" s="363" t="str">
        <f>Macro!EC$3</f>
        <v>2Q30E</v>
      </c>
      <c r="ED55" s="363" t="str">
        <f>Macro!ED$3</f>
        <v>3Q30E</v>
      </c>
      <c r="EE55" s="363" t="str">
        <f>Macro!EE$3</f>
        <v>4Q30E</v>
      </c>
      <c r="EF55" s="364" t="str">
        <f>Macro!EF$3</f>
        <v>2030E</v>
      </c>
      <c r="EG55" s="70"/>
      <c r="EH55" s="70"/>
      <c r="EI55" s="70"/>
      <c r="EJ55" s="70"/>
      <c r="EK55" s="70"/>
      <c r="EL55" s="70"/>
      <c r="EM55" s="70"/>
      <c r="EN55" s="70"/>
      <c r="EO55" s="70"/>
      <c r="EP55" s="70"/>
      <c r="EQ55" s="70"/>
      <c r="ER55" s="70"/>
      <c r="ES55" s="70"/>
      <c r="ET55" s="70"/>
      <c r="EU55" s="70"/>
      <c r="EV55" s="70"/>
      <c r="EW55" s="70"/>
      <c r="EX55" s="70"/>
      <c r="EY55" s="70"/>
      <c r="EZ55" s="70"/>
      <c r="FA55" s="70"/>
      <c r="FB55" s="70"/>
      <c r="FC55" s="70"/>
      <c r="FD55" s="70"/>
      <c r="FE55" s="70"/>
      <c r="FF55" s="70"/>
      <c r="FG55" s="70"/>
      <c r="FH55" s="70"/>
      <c r="FI55" s="70"/>
      <c r="FJ55" s="70"/>
      <c r="FK55" s="70"/>
      <c r="FL55" s="70"/>
      <c r="FM55" s="70"/>
      <c r="FN55" s="70"/>
      <c r="FO55" s="70"/>
      <c r="FP55" s="70"/>
      <c r="FQ55" s="70"/>
      <c r="FR55" s="70"/>
      <c r="FS55" s="70"/>
      <c r="FT55" s="70"/>
      <c r="FU55" s="70"/>
      <c r="FV55" s="70"/>
      <c r="FW55" s="70"/>
      <c r="FX55" s="70"/>
      <c r="FY55" s="70"/>
      <c r="FZ55" s="70"/>
      <c r="GA55" s="70"/>
      <c r="GB55" s="70"/>
      <c r="GC55" s="70"/>
      <c r="GD55" s="70"/>
      <c r="GE55" s="70"/>
      <c r="GF55" s="70"/>
      <c r="GG55" s="70"/>
      <c r="GH55" s="70"/>
      <c r="GI55" s="70"/>
      <c r="GJ55" s="70"/>
      <c r="GK55" s="70"/>
      <c r="GL55" s="70"/>
      <c r="GM55" s="70"/>
      <c r="GN55" s="70"/>
      <c r="GO55" s="70"/>
      <c r="GP55" s="70"/>
      <c r="GQ55" s="70"/>
      <c r="GR55" s="70"/>
      <c r="GS55" s="70"/>
    </row>
    <row r="56" spans="1:201" ht="12.75" hidden="1" customHeight="1" outlineLevel="1">
      <c r="A56" s="365" t="s">
        <v>856</v>
      </c>
      <c r="B56" s="180"/>
      <c r="C56" s="180"/>
      <c r="D56" s="180"/>
      <c r="E56" s="180"/>
      <c r="F56" s="366"/>
      <c r="G56" s="180"/>
      <c r="H56" s="180"/>
      <c r="I56" s="180"/>
      <c r="J56" s="180"/>
      <c r="K56" s="366"/>
      <c r="L56" s="180"/>
      <c r="M56" s="180"/>
      <c r="N56" s="180"/>
      <c r="O56" s="180"/>
      <c r="P56" s="366"/>
      <c r="Q56" s="367">
        <f>Q37</f>
        <v>0.14773593589339468</v>
      </c>
      <c r="R56" s="367">
        <f>R37</f>
        <v>0.1336291218540519</v>
      </c>
      <c r="S56" s="367">
        <f>S37</f>
        <v>0.13611896062717452</v>
      </c>
      <c r="T56" s="367">
        <f>T37</f>
        <v>0.20815692075370509</v>
      </c>
      <c r="U56" s="366"/>
      <c r="V56" s="367">
        <f>V37</f>
        <v>0.12535908178278071</v>
      </c>
      <c r="W56" s="367">
        <f>W37</f>
        <v>0.1400784219439774</v>
      </c>
      <c r="X56" s="367">
        <f>X37</f>
        <v>0.12549252547630324</v>
      </c>
      <c r="Y56" s="367">
        <f>Y37</f>
        <v>0.13192810374473779</v>
      </c>
      <c r="Z56" s="366"/>
      <c r="AA56" s="367">
        <f>AA37</f>
        <v>0.12268837928061206</v>
      </c>
      <c r="AB56" s="367">
        <f>AB37</f>
        <v>0.15639828033223302</v>
      </c>
      <c r="AC56" s="367">
        <f>AC37</f>
        <v>0.23205711855276231</v>
      </c>
      <c r="AD56" s="367">
        <f>AD37</f>
        <v>0.17932675581944427</v>
      </c>
      <c r="AE56" s="366"/>
      <c r="AF56" s="367">
        <f>AF37</f>
        <v>0.18421078990090128</v>
      </c>
      <c r="AG56" s="367">
        <f>AG37</f>
        <v>0.18531939098143613</v>
      </c>
      <c r="AH56" s="367">
        <f>AH37</f>
        <v>0.17230500262316906</v>
      </c>
      <c r="AI56" s="367">
        <f>AI37</f>
        <v>0.20137479449186071</v>
      </c>
      <c r="AJ56" s="366"/>
      <c r="AK56" s="367">
        <f>AK37</f>
        <v>0.17179579499445213</v>
      </c>
      <c r="AL56" s="367">
        <f>AL37</f>
        <v>0.1848266644403728</v>
      </c>
      <c r="AM56" s="367">
        <f>AM37</f>
        <v>0.20454662926424533</v>
      </c>
      <c r="AN56" s="367">
        <f>AN37</f>
        <v>0.19215595364023097</v>
      </c>
      <c r="AO56" s="366"/>
      <c r="AP56" s="148">
        <v>0</v>
      </c>
      <c r="AQ56" s="148">
        <v>0</v>
      </c>
      <c r="AR56" s="148">
        <v>0</v>
      </c>
      <c r="AS56" s="368">
        <v>563000</v>
      </c>
      <c r="AT56" s="369">
        <f>SUM(AP56:AS56)</f>
        <v>563000</v>
      </c>
      <c r="AU56" s="368">
        <v>203000</v>
      </c>
      <c r="AV56" s="368">
        <v>491600</v>
      </c>
      <c r="AW56" s="148">
        <v>0</v>
      </c>
      <c r="AX56" s="368">
        <v>469000</v>
      </c>
      <c r="AY56" s="369">
        <f>SUM(AU56:AX56)</f>
        <v>1163600</v>
      </c>
      <c r="AZ56" s="148">
        <v>0</v>
      </c>
      <c r="BA56" s="148">
        <v>0</v>
      </c>
      <c r="BB56" s="148">
        <v>0</v>
      </c>
      <c r="BC56" s="368">
        <v>106000</v>
      </c>
      <c r="BD56" s="369">
        <f>SUM(AZ56:BC56)</f>
        <v>106000</v>
      </c>
      <c r="BE56" s="148">
        <v>0</v>
      </c>
      <c r="BF56" s="180"/>
      <c r="BG56" s="180"/>
      <c r="BH56" s="180"/>
      <c r="BI56" s="369">
        <f>SUM(BE56:BH56)</f>
        <v>0</v>
      </c>
      <c r="BJ56" s="180"/>
      <c r="BK56" s="180"/>
      <c r="BL56" s="180"/>
      <c r="BM56" s="180"/>
      <c r="BN56" s="366"/>
      <c r="BO56" s="180"/>
      <c r="BP56" s="180"/>
      <c r="BQ56" s="180"/>
      <c r="BR56" s="180"/>
      <c r="BS56" s="366"/>
      <c r="BT56" s="180"/>
      <c r="BU56" s="180"/>
      <c r="BV56" s="180"/>
      <c r="BW56" s="180"/>
      <c r="BX56" s="366"/>
      <c r="BY56" s="180"/>
      <c r="BZ56" s="180"/>
      <c r="CA56" s="180"/>
      <c r="CB56" s="180"/>
      <c r="CC56" s="366"/>
      <c r="CD56" s="180"/>
      <c r="CE56" s="180"/>
      <c r="CF56" s="180"/>
      <c r="CG56" s="180"/>
      <c r="CH56" s="366"/>
      <c r="CI56" s="180"/>
      <c r="CJ56" s="180"/>
      <c r="CK56" s="180"/>
      <c r="CL56" s="180"/>
      <c r="CM56" s="366"/>
      <c r="CN56" s="180"/>
      <c r="CO56" s="180"/>
      <c r="CP56" s="180"/>
      <c r="CQ56" s="180"/>
      <c r="CR56" s="366"/>
      <c r="CS56" s="180"/>
      <c r="CT56" s="180"/>
      <c r="CU56" s="180"/>
      <c r="CV56" s="180"/>
      <c r="CW56" s="366"/>
      <c r="CX56" s="180"/>
      <c r="CY56" s="180"/>
      <c r="CZ56" s="180"/>
      <c r="DA56" s="180"/>
      <c r="DB56" s="366"/>
      <c r="DC56" s="180"/>
      <c r="DD56" s="180"/>
      <c r="DE56" s="180"/>
      <c r="DF56" s="180"/>
      <c r="DG56" s="366"/>
      <c r="DH56" s="180"/>
      <c r="DI56" s="180"/>
      <c r="DJ56" s="180"/>
      <c r="DK56" s="180"/>
      <c r="DL56" s="366"/>
      <c r="DM56" s="180"/>
      <c r="DN56" s="180"/>
      <c r="DO56" s="180"/>
      <c r="DP56" s="180"/>
      <c r="DQ56" s="366"/>
      <c r="DR56" s="180"/>
      <c r="DS56" s="180"/>
      <c r="DT56" s="180"/>
      <c r="DU56" s="180"/>
      <c r="DV56" s="366"/>
      <c r="DW56" s="180"/>
      <c r="DX56" s="180"/>
      <c r="DY56" s="180"/>
      <c r="DZ56" s="180"/>
      <c r="EA56" s="366"/>
      <c r="EB56" s="180"/>
      <c r="EC56" s="180"/>
      <c r="ED56" s="180"/>
      <c r="EE56" s="180"/>
      <c r="EF56" s="366"/>
    </row>
    <row r="57" spans="1:201" ht="12.75" hidden="1" customHeight="1" outlineLevel="1">
      <c r="A57" s="370" t="s">
        <v>857</v>
      </c>
      <c r="AP57" s="148">
        <f>AP56*AP58</f>
        <v>0</v>
      </c>
      <c r="AQ57" s="148">
        <f>AQ56*AQ58</f>
        <v>0</v>
      </c>
      <c r="AR57" s="148">
        <f>AR56*AR58</f>
        <v>0</v>
      </c>
      <c r="AS57" s="148">
        <f>AS56*AS58</f>
        <v>281500</v>
      </c>
      <c r="AT57" s="130">
        <f>SUM(AP57:AS57)</f>
        <v>281500</v>
      </c>
      <c r="AU57" s="148">
        <f>AU56*AU58</f>
        <v>101500</v>
      </c>
      <c r="AV57" s="148">
        <f>AV56*AV58</f>
        <v>245800</v>
      </c>
      <c r="AW57" s="148">
        <f>AW56*AW58</f>
        <v>0</v>
      </c>
      <c r="AX57" s="148">
        <f>AX56*AX58</f>
        <v>234500</v>
      </c>
      <c r="AY57" s="130">
        <f>SUM(AU57:AX57)</f>
        <v>581800</v>
      </c>
      <c r="AZ57" s="148">
        <f>AZ56*AZ58</f>
        <v>0</v>
      </c>
      <c r="BA57" s="148">
        <f>BA56*BA58</f>
        <v>0</v>
      </c>
      <c r="BB57" s="148">
        <f>BB56*BB58</f>
        <v>0</v>
      </c>
      <c r="BC57" s="148">
        <f>BC56*BC58</f>
        <v>53000</v>
      </c>
      <c r="BD57" s="130">
        <f>SUM(AZ57:BC57)</f>
        <v>53000</v>
      </c>
      <c r="BE57" s="148">
        <f>BE56*BE58</f>
        <v>0</v>
      </c>
      <c r="BI57" s="130">
        <f>SUM(BE57:BH57)</f>
        <v>0</v>
      </c>
      <c r="CH57" s="67"/>
      <c r="CM57" s="67"/>
      <c r="CR57" s="67"/>
      <c r="CW57" s="67"/>
      <c r="DB57" s="67"/>
      <c r="DG57" s="67"/>
      <c r="DL57" s="67"/>
      <c r="DQ57" s="67"/>
      <c r="DV57" s="67"/>
      <c r="EA57" s="67"/>
      <c r="EF57" s="67"/>
    </row>
    <row r="58" spans="1:201" ht="12.75" hidden="1" customHeight="1" outlineLevel="1">
      <c r="A58" s="371" t="s">
        <v>858</v>
      </c>
      <c r="B58" s="157"/>
      <c r="C58" s="157"/>
      <c r="D58" s="157"/>
      <c r="E58" s="157"/>
      <c r="F58" s="372"/>
      <c r="G58" s="157"/>
      <c r="H58" s="157"/>
      <c r="I58" s="157"/>
      <c r="J58" s="157"/>
      <c r="K58" s="372"/>
      <c r="L58" s="157"/>
      <c r="M58" s="157"/>
      <c r="N58" s="157"/>
      <c r="O58" s="157"/>
      <c r="P58" s="372"/>
      <c r="Q58" s="157"/>
      <c r="R58" s="157"/>
      <c r="S58" s="157"/>
      <c r="T58" s="157"/>
      <c r="U58" s="372"/>
      <c r="V58" s="157"/>
      <c r="W58" s="157"/>
      <c r="X58" s="157"/>
      <c r="Y58" s="157"/>
      <c r="Z58" s="372"/>
      <c r="AA58" s="157"/>
      <c r="AB58" s="157"/>
      <c r="AC58" s="157"/>
      <c r="AD58" s="157"/>
      <c r="AE58" s="372"/>
      <c r="AF58" s="157"/>
      <c r="AG58" s="157"/>
      <c r="AH58" s="157"/>
      <c r="AI58" s="157"/>
      <c r="AJ58" s="372"/>
      <c r="AK58" s="157"/>
      <c r="AL58" s="157"/>
      <c r="AM58" s="157"/>
      <c r="AN58" s="157"/>
      <c r="AO58" s="372"/>
      <c r="AP58" s="373">
        <v>0.5</v>
      </c>
      <c r="AQ58" s="373">
        <v>0.5</v>
      </c>
      <c r="AR58" s="373">
        <v>0.5</v>
      </c>
      <c r="AS58" s="373">
        <v>0.5</v>
      </c>
      <c r="AT58" s="374">
        <f>AT57/AT56</f>
        <v>0.5</v>
      </c>
      <c r="AU58" s="373">
        <v>0.5</v>
      </c>
      <c r="AV58" s="373">
        <v>0.5</v>
      </c>
      <c r="AW58" s="373">
        <v>0.5</v>
      </c>
      <c r="AX58" s="373">
        <v>0.5</v>
      </c>
      <c r="AY58" s="374">
        <f>AY57/AY56</f>
        <v>0.5</v>
      </c>
      <c r="AZ58" s="373">
        <v>0.5</v>
      </c>
      <c r="BA58" s="373">
        <v>0.5</v>
      </c>
      <c r="BB58" s="373">
        <v>0.5</v>
      </c>
      <c r="BC58" s="373">
        <v>0.5</v>
      </c>
      <c r="BD58" s="374">
        <f>BD57/BD56</f>
        <v>0.5</v>
      </c>
      <c r="BE58" s="373">
        <v>0.5</v>
      </c>
      <c r="BF58" s="157"/>
      <c r="BG58" s="157"/>
      <c r="BH58" s="157"/>
      <c r="BI58" s="374" t="e">
        <f>BI57/BI56</f>
        <v>#DIV/0!</v>
      </c>
      <c r="BJ58" s="157"/>
      <c r="BK58" s="157"/>
      <c r="BL58" s="157"/>
      <c r="BM58" s="157"/>
      <c r="BN58" s="372"/>
      <c r="BO58" s="157"/>
      <c r="BP58" s="157"/>
      <c r="BQ58" s="157"/>
      <c r="BR58" s="157"/>
      <c r="BS58" s="372"/>
      <c r="BT58" s="157"/>
      <c r="BU58" s="157"/>
      <c r="BV58" s="157"/>
      <c r="BW58" s="157"/>
      <c r="BX58" s="372"/>
      <c r="BY58" s="157"/>
      <c r="BZ58" s="157"/>
      <c r="CA58" s="157"/>
      <c r="CB58" s="157"/>
      <c r="CC58" s="372"/>
      <c r="CD58" s="157"/>
      <c r="CE58" s="157"/>
      <c r="CF58" s="157"/>
      <c r="CG58" s="157"/>
      <c r="CH58" s="372"/>
      <c r="CI58" s="157"/>
      <c r="CJ58" s="157"/>
      <c r="CK58" s="157"/>
      <c r="CL58" s="157"/>
      <c r="CM58" s="372"/>
      <c r="CN58" s="157"/>
      <c r="CO58" s="157"/>
      <c r="CP58" s="157"/>
      <c r="CQ58" s="157"/>
      <c r="CR58" s="372"/>
      <c r="CS58" s="157"/>
      <c r="CT58" s="157"/>
      <c r="CU58" s="157"/>
      <c r="CV58" s="157"/>
      <c r="CW58" s="372"/>
      <c r="CX58" s="157"/>
      <c r="CY58" s="157"/>
      <c r="CZ58" s="157"/>
      <c r="DA58" s="157"/>
      <c r="DB58" s="372"/>
      <c r="DC58" s="157"/>
      <c r="DD58" s="157"/>
      <c r="DE58" s="157"/>
      <c r="DF58" s="157"/>
      <c r="DG58" s="372"/>
      <c r="DH58" s="157"/>
      <c r="DI58" s="157"/>
      <c r="DJ58" s="157"/>
      <c r="DK58" s="157"/>
      <c r="DL58" s="372"/>
      <c r="DM58" s="157"/>
      <c r="DN58" s="157"/>
      <c r="DO58" s="157"/>
      <c r="DP58" s="157"/>
      <c r="DQ58" s="372"/>
      <c r="DR58" s="157"/>
      <c r="DS58" s="157"/>
      <c r="DT58" s="157"/>
      <c r="DU58" s="157"/>
      <c r="DV58" s="372"/>
      <c r="DW58" s="157"/>
      <c r="DX58" s="157"/>
      <c r="DY58" s="157"/>
      <c r="DZ58" s="157"/>
      <c r="EA58" s="372"/>
      <c r="EB58" s="157"/>
      <c r="EC58" s="157"/>
      <c r="ED58" s="157"/>
      <c r="EE58" s="157"/>
      <c r="EF58" s="372"/>
    </row>
    <row r="59" spans="1:201" ht="12.75" hidden="1" customHeight="1" outlineLevel="1">
      <c r="A59" s="365" t="s">
        <v>72</v>
      </c>
      <c r="B59" s="180"/>
      <c r="C59" s="180"/>
      <c r="D59" s="180"/>
      <c r="E59" s="180"/>
      <c r="F59" s="366"/>
      <c r="G59" s="180"/>
      <c r="H59" s="180"/>
      <c r="I59" s="180"/>
      <c r="J59" s="180"/>
      <c r="K59" s="366"/>
      <c r="L59" s="180"/>
      <c r="M59" s="180"/>
      <c r="N59" s="180"/>
      <c r="O59" s="180"/>
      <c r="P59" s="366"/>
      <c r="Q59" s="180"/>
      <c r="R59" s="180"/>
      <c r="S59" s="180"/>
      <c r="T59" s="180"/>
      <c r="U59" s="366"/>
      <c r="V59" s="180"/>
      <c r="W59" s="180"/>
      <c r="X59" s="180"/>
      <c r="Y59" s="180"/>
      <c r="Z59" s="366"/>
      <c r="AA59" s="180"/>
      <c r="AB59" s="180"/>
      <c r="AC59" s="180"/>
      <c r="AD59" s="180"/>
      <c r="AE59" s="366"/>
      <c r="AF59" s="180"/>
      <c r="AG59" s="180"/>
      <c r="AH59" s="180"/>
      <c r="AI59" s="180"/>
      <c r="AJ59" s="366"/>
      <c r="AK59" s="180"/>
      <c r="AL59" s="180"/>
      <c r="AM59" s="180"/>
      <c r="AN59" s="180"/>
      <c r="AO59" s="366"/>
      <c r="AP59" s="148">
        <v>0</v>
      </c>
      <c r="AQ59" s="148">
        <v>0</v>
      </c>
      <c r="AR59" s="148">
        <v>0</v>
      </c>
      <c r="AS59" s="368">
        <v>563000</v>
      </c>
      <c r="AT59" s="369">
        <f>SUM(AP59:AS59)</f>
        <v>563000</v>
      </c>
      <c r="AU59" s="368">
        <v>203000</v>
      </c>
      <c r="AV59" s="368">
        <v>491600</v>
      </c>
      <c r="AW59" s="148">
        <v>0</v>
      </c>
      <c r="AX59" s="368">
        <v>469000</v>
      </c>
      <c r="AY59" s="369">
        <f>SUM(AU59:AX59)</f>
        <v>1163600</v>
      </c>
      <c r="AZ59" s="148">
        <v>0</v>
      </c>
      <c r="BA59" s="148">
        <v>0</v>
      </c>
      <c r="BB59" s="148">
        <v>0</v>
      </c>
      <c r="BC59" s="368">
        <v>106000</v>
      </c>
      <c r="BD59" s="369">
        <f>SUM(AZ59:BC59)</f>
        <v>106000</v>
      </c>
      <c r="BE59" s="148">
        <v>0</v>
      </c>
      <c r="BF59" s="180"/>
      <c r="BG59" s="180"/>
      <c r="BH59" s="180"/>
      <c r="BI59" s="369">
        <f>SUM(BE59:BH59)</f>
        <v>0</v>
      </c>
      <c r="BJ59" s="180"/>
      <c r="BK59" s="180"/>
      <c r="BL59" s="180"/>
      <c r="BM59" s="180"/>
      <c r="BN59" s="366"/>
      <c r="BO59" s="180"/>
      <c r="BP59" s="180"/>
      <c r="BQ59" s="180"/>
      <c r="BR59" s="180"/>
      <c r="BS59" s="366"/>
      <c r="BT59" s="180"/>
      <c r="BU59" s="180"/>
      <c r="BV59" s="180"/>
      <c r="BW59" s="180"/>
      <c r="BX59" s="366"/>
      <c r="BY59" s="180"/>
      <c r="BZ59" s="180"/>
      <c r="CA59" s="180"/>
      <c r="CB59" s="180"/>
      <c r="CC59" s="366"/>
      <c r="CD59" s="180"/>
      <c r="CE59" s="180"/>
      <c r="CF59" s="180"/>
      <c r="CG59" s="180"/>
      <c r="CH59" s="366"/>
      <c r="CI59" s="180"/>
      <c r="CJ59" s="180"/>
      <c r="CK59" s="180"/>
      <c r="CL59" s="180"/>
      <c r="CM59" s="366"/>
      <c r="CN59" s="180"/>
      <c r="CO59" s="180"/>
      <c r="CP59" s="180"/>
      <c r="CQ59" s="180"/>
      <c r="CR59" s="366"/>
      <c r="CS59" s="180"/>
      <c r="CT59" s="180"/>
      <c r="CU59" s="180"/>
      <c r="CV59" s="180"/>
      <c r="CW59" s="366"/>
      <c r="CX59" s="180"/>
      <c r="CY59" s="180"/>
      <c r="CZ59" s="180"/>
      <c r="DA59" s="180"/>
      <c r="DB59" s="366"/>
      <c r="DC59" s="180"/>
      <c r="DD59" s="180"/>
      <c r="DE59" s="180"/>
      <c r="DF59" s="180"/>
      <c r="DG59" s="366"/>
      <c r="DH59" s="180"/>
      <c r="DI59" s="180"/>
      <c r="DJ59" s="180"/>
      <c r="DK59" s="180"/>
      <c r="DL59" s="366"/>
      <c r="DM59" s="180"/>
      <c r="DN59" s="180"/>
      <c r="DO59" s="180"/>
      <c r="DP59" s="180"/>
      <c r="DQ59" s="366"/>
      <c r="DR59" s="180"/>
      <c r="DS59" s="180"/>
      <c r="DT59" s="180"/>
      <c r="DU59" s="180"/>
      <c r="DV59" s="366"/>
      <c r="DW59" s="180"/>
      <c r="DX59" s="180"/>
      <c r="DY59" s="180"/>
      <c r="DZ59" s="180"/>
      <c r="EA59" s="366"/>
      <c r="EB59" s="180"/>
      <c r="EC59" s="180"/>
      <c r="ED59" s="180"/>
      <c r="EE59" s="180"/>
      <c r="EF59" s="366"/>
    </row>
    <row r="60" spans="1:201" ht="12.75" hidden="1" customHeight="1" outlineLevel="1">
      <c r="A60" s="370" t="s">
        <v>859</v>
      </c>
      <c r="AK60" s="66">
        <v>21.744</v>
      </c>
      <c r="AL60" s="66">
        <v>3.6760000000000002</v>
      </c>
      <c r="AM60" s="66">
        <v>50.680999999999997</v>
      </c>
      <c r="AP60" s="148">
        <f>AP59*AP61</f>
        <v>0</v>
      </c>
      <c r="AQ60" s="148">
        <f>AQ59*AQ61</f>
        <v>0</v>
      </c>
      <c r="AR60" s="148">
        <f>AR59*AR61</f>
        <v>0</v>
      </c>
      <c r="AS60" s="148">
        <f>AS59*AS61</f>
        <v>281500</v>
      </c>
      <c r="AT60" s="130">
        <f>SUM(AP60:AS60)</f>
        <v>281500</v>
      </c>
      <c r="AU60" s="148">
        <f>AU59*AU61</f>
        <v>101500</v>
      </c>
      <c r="AV60" s="148">
        <f>AV59*AV61</f>
        <v>245800</v>
      </c>
      <c r="AW60" s="148">
        <f>AW59*AW61</f>
        <v>0</v>
      </c>
      <c r="AX60" s="148">
        <f>AX59*AX61</f>
        <v>234500</v>
      </c>
      <c r="AY60" s="130">
        <f>SUM(AU60:AX60)</f>
        <v>581800</v>
      </c>
      <c r="AZ60" s="148">
        <f>AZ59*AZ61</f>
        <v>0</v>
      </c>
      <c r="BA60" s="148">
        <f>BA59*BA61</f>
        <v>0</v>
      </c>
      <c r="BB60" s="148">
        <f>BB59*BB61</f>
        <v>0</v>
      </c>
      <c r="BC60" s="148">
        <f>BC59*BC61</f>
        <v>53000</v>
      </c>
      <c r="BD60" s="130">
        <f>SUM(AZ60:BC60)</f>
        <v>53000</v>
      </c>
      <c r="BE60" s="148">
        <f>BE59*BE61</f>
        <v>0</v>
      </c>
      <c r="BI60" s="130">
        <f>SUM(BE60:BH60)</f>
        <v>0</v>
      </c>
      <c r="CH60" s="67"/>
      <c r="CM60" s="67"/>
      <c r="CR60" s="67"/>
      <c r="CW60" s="67"/>
      <c r="DB60" s="67"/>
      <c r="DG60" s="67"/>
      <c r="DL60" s="67"/>
      <c r="DQ60" s="67"/>
      <c r="DV60" s="67"/>
      <c r="EA60" s="67"/>
      <c r="EF60" s="67"/>
    </row>
    <row r="61" spans="1:201" ht="12.75" hidden="1" customHeight="1" outlineLevel="1">
      <c r="A61" s="371" t="s">
        <v>858</v>
      </c>
      <c r="B61" s="157"/>
      <c r="C61" s="157"/>
      <c r="D61" s="157"/>
      <c r="E61" s="157"/>
      <c r="F61" s="372"/>
      <c r="G61" s="157"/>
      <c r="H61" s="157"/>
      <c r="I61" s="157"/>
      <c r="J61" s="157"/>
      <c r="K61" s="372"/>
      <c r="L61" s="157"/>
      <c r="M61" s="157"/>
      <c r="N61" s="157"/>
      <c r="O61" s="157"/>
      <c r="P61" s="372"/>
      <c r="Q61" s="157"/>
      <c r="R61" s="157"/>
      <c r="S61" s="157"/>
      <c r="T61" s="157"/>
      <c r="U61" s="372"/>
      <c r="V61" s="157"/>
      <c r="W61" s="157"/>
      <c r="X61" s="157"/>
      <c r="Y61" s="157"/>
      <c r="Z61" s="372"/>
      <c r="AA61" s="157"/>
      <c r="AB61" s="157"/>
      <c r="AC61" s="157"/>
      <c r="AD61" s="157"/>
      <c r="AE61" s="372"/>
      <c r="AF61" s="157"/>
      <c r="AG61" s="157"/>
      <c r="AH61" s="157"/>
      <c r="AI61" s="157"/>
      <c r="AJ61" s="372"/>
      <c r="AK61" s="157">
        <v>30.242999999999999</v>
      </c>
      <c r="AL61" s="157">
        <v>31.62</v>
      </c>
      <c r="AM61" s="157">
        <v>96.488</v>
      </c>
      <c r="AN61" s="157"/>
      <c r="AO61" s="372"/>
      <c r="AP61" s="373">
        <v>0.5</v>
      </c>
      <c r="AQ61" s="373">
        <v>0.5</v>
      </c>
      <c r="AR61" s="373">
        <v>0.5</v>
      </c>
      <c r="AS61" s="373">
        <v>0.5</v>
      </c>
      <c r="AT61" s="374">
        <f>AT60/AT59</f>
        <v>0.5</v>
      </c>
      <c r="AU61" s="373">
        <v>0.5</v>
      </c>
      <c r="AV61" s="373">
        <v>0.5</v>
      </c>
      <c r="AW61" s="373">
        <v>0.5</v>
      </c>
      <c r="AX61" s="373">
        <v>0.5</v>
      </c>
      <c r="AY61" s="374">
        <f>AY60/AY59</f>
        <v>0.5</v>
      </c>
      <c r="AZ61" s="373">
        <v>0.5</v>
      </c>
      <c r="BA61" s="373">
        <v>0.5</v>
      </c>
      <c r="BB61" s="373">
        <v>0.5</v>
      </c>
      <c r="BC61" s="373">
        <v>0.5</v>
      </c>
      <c r="BD61" s="374">
        <f>BD60/BD59</f>
        <v>0.5</v>
      </c>
      <c r="BE61" s="373">
        <v>0.5</v>
      </c>
      <c r="BF61" s="157"/>
      <c r="BG61" s="157"/>
      <c r="BH61" s="157"/>
      <c r="BI61" s="374" t="e">
        <f>BI60/BI59</f>
        <v>#DIV/0!</v>
      </c>
      <c r="BJ61" s="157"/>
      <c r="BK61" s="157"/>
      <c r="BL61" s="157"/>
      <c r="BM61" s="157"/>
      <c r="BN61" s="372"/>
      <c r="BO61" s="157"/>
      <c r="BP61" s="157"/>
      <c r="BQ61" s="157"/>
      <c r="BR61" s="157"/>
      <c r="BS61" s="372"/>
      <c r="BT61" s="157"/>
      <c r="BU61" s="157"/>
      <c r="BV61" s="157"/>
      <c r="BW61" s="157"/>
      <c r="BX61" s="372"/>
      <c r="BY61" s="157"/>
      <c r="BZ61" s="157"/>
      <c r="CA61" s="157"/>
      <c r="CB61" s="157"/>
      <c r="CC61" s="372"/>
      <c r="CD61" s="157"/>
      <c r="CE61" s="157"/>
      <c r="CF61" s="157"/>
      <c r="CG61" s="157"/>
      <c r="CH61" s="372"/>
      <c r="CI61" s="157"/>
      <c r="CJ61" s="157"/>
      <c r="CK61" s="157"/>
      <c r="CL61" s="157"/>
      <c r="CM61" s="372"/>
      <c r="CN61" s="157"/>
      <c r="CO61" s="157"/>
      <c r="CP61" s="157"/>
      <c r="CQ61" s="157"/>
      <c r="CR61" s="372"/>
      <c r="CS61" s="157"/>
      <c r="CT61" s="157"/>
      <c r="CU61" s="157"/>
      <c r="CV61" s="157"/>
      <c r="CW61" s="372"/>
      <c r="CX61" s="157"/>
      <c r="CY61" s="157"/>
      <c r="CZ61" s="157"/>
      <c r="DA61" s="157"/>
      <c r="DB61" s="372"/>
      <c r="DC61" s="157"/>
      <c r="DD61" s="157"/>
      <c r="DE61" s="157"/>
      <c r="DF61" s="157"/>
      <c r="DG61" s="372"/>
      <c r="DH61" s="157"/>
      <c r="DI61" s="157"/>
      <c r="DJ61" s="157"/>
      <c r="DK61" s="157"/>
      <c r="DL61" s="372"/>
      <c r="DM61" s="157"/>
      <c r="DN61" s="157"/>
      <c r="DO61" s="157"/>
      <c r="DP61" s="157"/>
      <c r="DQ61" s="372"/>
      <c r="DR61" s="157"/>
      <c r="DS61" s="157"/>
      <c r="DT61" s="157"/>
      <c r="DU61" s="157"/>
      <c r="DV61" s="372"/>
      <c r="DW61" s="157"/>
      <c r="DX61" s="157"/>
      <c r="DY61" s="157"/>
      <c r="DZ61" s="157"/>
      <c r="EA61" s="372"/>
      <c r="EB61" s="157"/>
      <c r="EC61" s="157"/>
      <c r="ED61" s="157"/>
      <c r="EE61" s="157"/>
      <c r="EF61" s="372"/>
    </row>
    <row r="62" spans="1:201" ht="12.75" customHeight="1" collapsed="1">
      <c r="AK62" s="66">
        <v>24.446000000000002</v>
      </c>
      <c r="AL62" s="66">
        <v>16.821000000000002</v>
      </c>
      <c r="AM62" s="66">
        <v>41.225000000000001</v>
      </c>
      <c r="BT62" s="355">
        <f>(BT27-'Balance Sheet'!BT77)/Forecasts!BT27</f>
        <v>0.55706321414519533</v>
      </c>
      <c r="BU62" s="355">
        <f>(BU27-'Balance Sheet'!BU77)/Forecasts!BU27</f>
        <v>0.49724220117184287</v>
      </c>
      <c r="BV62" s="355">
        <f>(BV27-'Balance Sheet'!BV77)/Forecasts!BV27</f>
        <v>0.39851248680970808</v>
      </c>
      <c r="BW62" s="355">
        <f>(BW27-'Balance Sheet'!BW77)/Forecasts!BW27</f>
        <v>0.36693394696808862</v>
      </c>
      <c r="BY62" s="355">
        <f>(BY27-'Balance Sheet'!BY77)/Forecasts!BY27</f>
        <v>0.30082424996196028</v>
      </c>
      <c r="BZ62" s="355">
        <f>(BZ27-'Balance Sheet'!BZ77)/Forecasts!BZ27</f>
        <v>0.32151770378244299</v>
      </c>
      <c r="CA62" s="355">
        <f>(CA27-'Balance Sheet'!CA77)/Forecasts!CA27</f>
        <v>0.32811849182092423</v>
      </c>
      <c r="CE62" s="355"/>
      <c r="CK62" s="405"/>
      <c r="CQ62" s="356"/>
      <c r="CR62" s="114"/>
    </row>
    <row r="63" spans="1:201" ht="12.75" customHeight="1">
      <c r="Q63" s="156">
        <f>Q30</f>
        <v>0.11630413721641407</v>
      </c>
      <c r="R63" s="156">
        <f>R30</f>
        <v>0.19407507662723891</v>
      </c>
      <c r="S63" s="156">
        <f>S30</f>
        <v>0.23653672130386783</v>
      </c>
      <c r="T63" s="156">
        <f>T30</f>
        <v>0.31843371652231411</v>
      </c>
      <c r="V63" s="156">
        <f>V30</f>
        <v>0.30939618435331934</v>
      </c>
      <c r="W63" s="156">
        <f>W30</f>
        <v>0.47407873666480055</v>
      </c>
      <c r="X63" s="156">
        <f>X30</f>
        <v>0.28673942240371808</v>
      </c>
      <c r="Y63" s="156">
        <f>Y30</f>
        <v>0.15887575309700883</v>
      </c>
      <c r="AA63" s="156">
        <f>AA30</f>
        <v>0.13824396509187806</v>
      </c>
      <c r="AB63" s="156">
        <f>AB30</f>
        <v>0.2236156653180445</v>
      </c>
      <c r="AC63" s="156">
        <f>AC30</f>
        <v>0.35756713933265499</v>
      </c>
      <c r="AD63" s="156">
        <f>AD30</f>
        <v>0.41468776431546739</v>
      </c>
      <c r="AF63" s="156">
        <f>AF30</f>
        <v>0.25643720542560677</v>
      </c>
      <c r="AG63" s="156">
        <f>AG30</f>
        <v>0.38506589421866783</v>
      </c>
      <c r="AH63" s="156">
        <f>AH30</f>
        <v>0.26837806698085698</v>
      </c>
      <c r="AI63" s="156">
        <f>AI30</f>
        <v>0.37656608348513715</v>
      </c>
      <c r="AK63" s="156">
        <v>57.295999999999999</v>
      </c>
      <c r="AL63" s="66">
        <v>10.041</v>
      </c>
      <c r="AM63" s="66">
        <v>17.806999999999999</v>
      </c>
      <c r="CR63" s="114"/>
    </row>
    <row r="64" spans="1:201" ht="12.75" customHeight="1">
      <c r="Q64" s="156">
        <f>Q5/Q24</f>
        <v>6.8365883408875436E-2</v>
      </c>
      <c r="R64" s="156">
        <f>R5/R24</f>
        <v>0.21839861322765222</v>
      </c>
      <c r="S64" s="156">
        <f>S5/S24</f>
        <v>0.40600897046652507</v>
      </c>
      <c r="T64" s="156">
        <f>T5/T24</f>
        <v>0.6777482943072406</v>
      </c>
      <c r="V64" s="156">
        <f>V5/V24</f>
        <v>0.19556545898674224</v>
      </c>
      <c r="W64" s="156">
        <f>W5/W24</f>
        <v>0.48324319146679801</v>
      </c>
      <c r="X64" s="156">
        <f>X5/X24</f>
        <v>0.25573466758529906</v>
      </c>
      <c r="Y64" s="156">
        <f>Y5/Y24</f>
        <v>0.19907979335492057</v>
      </c>
      <c r="AA64" s="156">
        <f>AA5/AA24</f>
        <v>0.12742123651551385</v>
      </c>
      <c r="AB64" s="156">
        <f>AB5/AB24</f>
        <v>0.15956306828027103</v>
      </c>
      <c r="AC64" s="156">
        <f>AC5/AC24</f>
        <v>0.43964835704051142</v>
      </c>
      <c r="AD64" s="156">
        <f>AD5/AD24</f>
        <v>0.56589301294950556</v>
      </c>
      <c r="AF64" s="156">
        <f>AF5/AF24</f>
        <v>0.15025735046340558</v>
      </c>
      <c r="AG64" s="156">
        <f>AG5/AG24</f>
        <v>0.28436389445533861</v>
      </c>
      <c r="AH64" s="156">
        <f>AH5/AH24</f>
        <v>0.32882496624881619</v>
      </c>
      <c r="AI64" s="156">
        <f>AI5/AI24</f>
        <v>0.70859856413466615</v>
      </c>
      <c r="AK64" s="156">
        <v>82.210499999999996</v>
      </c>
      <c r="AL64" s="66">
        <v>20.876000000000001</v>
      </c>
      <c r="AM64" s="66">
        <v>34.624000000000002</v>
      </c>
    </row>
    <row r="65" spans="37:50" ht="12.75" customHeight="1">
      <c r="AK65" s="66">
        <v>19.582999999999998</v>
      </c>
      <c r="AL65" s="66">
        <v>21.5</v>
      </c>
      <c r="AM65" s="66">
        <v>21.22</v>
      </c>
    </row>
    <row r="66" spans="37:50" ht="12.75" customHeight="1">
      <c r="AK66" s="66">
        <v>18.315999999999999</v>
      </c>
      <c r="AL66" s="66">
        <v>6.72</v>
      </c>
      <c r="AM66" s="66">
        <v>43.192</v>
      </c>
    </row>
    <row r="67" spans="37:50" ht="12.75" customHeight="1">
      <c r="AK67" s="66">
        <v>15.83</v>
      </c>
      <c r="AL67" s="66">
        <v>44.670999999999999</v>
      </c>
      <c r="AM67" s="66">
        <v>8.9109999999999996</v>
      </c>
    </row>
    <row r="68" spans="37:50" ht="12.75" customHeight="1">
      <c r="AK68" s="66">
        <v>60.613</v>
      </c>
      <c r="AL68" s="66">
        <v>19.765999999999998</v>
      </c>
      <c r="AM68" s="66">
        <v>37.744999999999997</v>
      </c>
    </row>
    <row r="69" spans="37:50" ht="12.75" customHeight="1">
      <c r="AK69" s="66">
        <v>155.238</v>
      </c>
      <c r="AL69" s="66">
        <v>13.755000000000001</v>
      </c>
      <c r="AM69" s="66">
        <v>104.42</v>
      </c>
    </row>
    <row r="70" spans="37:50" ht="12.75" customHeight="1">
      <c r="AL70" s="66">
        <v>8.8260000000000005</v>
      </c>
      <c r="AM70" s="66">
        <v>213.697</v>
      </c>
    </row>
    <row r="71" spans="37:50" ht="12.75" customHeight="1">
      <c r="AL71" s="66">
        <v>225.61099999999999</v>
      </c>
      <c r="AM71" s="66">
        <v>35.034999999999997</v>
      </c>
    </row>
    <row r="72" spans="37:50" ht="12.75" customHeight="1">
      <c r="AL72" s="66">
        <v>30.327999999999999</v>
      </c>
      <c r="AM72" s="66">
        <v>28.492999999999999</v>
      </c>
    </row>
    <row r="73" spans="37:50" ht="12.75" customHeight="1">
      <c r="AL73" s="66">
        <v>167.566</v>
      </c>
      <c r="AM73" s="66">
        <v>37.908999999999999</v>
      </c>
    </row>
    <row r="74" spans="37:50" ht="12.75" customHeight="1">
      <c r="AL74" s="66">
        <v>75.055000000000007</v>
      </c>
      <c r="AM74" s="66">
        <v>99.248000000000005</v>
      </c>
      <c r="AV74" s="66">
        <v>77.8</v>
      </c>
      <c r="AW74" s="66">
        <v>864</v>
      </c>
      <c r="AX74" s="335">
        <f>AV74*1000000/AW74</f>
        <v>90046.296296296292</v>
      </c>
    </row>
    <row r="75" spans="37:50" ht="12.75" customHeight="1">
      <c r="AL75" s="66">
        <v>26.32</v>
      </c>
      <c r="AM75" s="66">
        <v>201.767</v>
      </c>
      <c r="AV75" s="66">
        <v>74.900000000000006</v>
      </c>
      <c r="AW75" s="66">
        <v>832</v>
      </c>
      <c r="AX75" s="335">
        <f t="shared" ref="AX75:AX81" si="88">AV75*1000000/AW75</f>
        <v>90024.038461538468</v>
      </c>
    </row>
    <row r="76" spans="37:50" ht="12.75" customHeight="1">
      <c r="AL76" s="66">
        <v>27.808</v>
      </c>
      <c r="AM76" s="66">
        <v>56.523000000000003</v>
      </c>
      <c r="AV76" s="66">
        <v>105.6</v>
      </c>
      <c r="AW76" s="66">
        <v>1100</v>
      </c>
      <c r="AX76" s="335">
        <f t="shared" si="88"/>
        <v>96000</v>
      </c>
    </row>
    <row r="77" spans="37:50" ht="12.75" customHeight="1">
      <c r="AL77" s="66">
        <v>21.744</v>
      </c>
      <c r="AM77" s="66">
        <v>102.16200000000001</v>
      </c>
      <c r="AV77" s="66">
        <v>57.6</v>
      </c>
      <c r="AW77" s="66">
        <v>600</v>
      </c>
      <c r="AX77" s="335">
        <f t="shared" si="88"/>
        <v>96000</v>
      </c>
    </row>
    <row r="78" spans="37:50" ht="12.75" customHeight="1">
      <c r="AM78" s="66">
        <v>20.797000000000001</v>
      </c>
      <c r="AV78" s="66">
        <v>52.5</v>
      </c>
      <c r="AW78" s="66">
        <v>700</v>
      </c>
      <c r="AX78" s="335">
        <f t="shared" si="88"/>
        <v>75000</v>
      </c>
    </row>
    <row r="79" spans="37:50" ht="12.75" customHeight="1">
      <c r="AM79" s="66">
        <v>44.067999999999998</v>
      </c>
      <c r="AV79" s="66">
        <v>60</v>
      </c>
      <c r="AW79" s="66">
        <v>800</v>
      </c>
      <c r="AX79" s="335">
        <f t="shared" si="88"/>
        <v>75000</v>
      </c>
    </row>
    <row r="80" spans="37:50" ht="12.75" customHeight="1">
      <c r="AM80" s="66">
        <v>22.718</v>
      </c>
      <c r="AV80" s="66">
        <v>40.5</v>
      </c>
      <c r="AW80" s="66">
        <v>540</v>
      </c>
      <c r="AX80" s="335">
        <f t="shared" si="88"/>
        <v>75000</v>
      </c>
    </row>
    <row r="81" spans="39:50" ht="12.75" customHeight="1">
      <c r="AM81" s="66">
        <v>89.001999999999995</v>
      </c>
      <c r="AV81" s="66">
        <v>64.5</v>
      </c>
      <c r="AW81" s="66">
        <v>480</v>
      </c>
      <c r="AX81" s="335">
        <f t="shared" si="88"/>
        <v>134375</v>
      </c>
    </row>
    <row r="82" spans="39:50" ht="12.75" customHeight="1">
      <c r="AM82" s="66">
        <v>41.482999999999997</v>
      </c>
    </row>
    <row r="88" spans="39:50" ht="12.75" customHeight="1">
      <c r="AW88" s="66">
        <v>700</v>
      </c>
    </row>
    <row r="89" spans="39:50" ht="12.75" customHeight="1">
      <c r="AW89" s="66">
        <v>1260</v>
      </c>
    </row>
    <row r="90" spans="39:50" ht="12.75" customHeight="1">
      <c r="AW90" s="66">
        <v>600</v>
      </c>
    </row>
    <row r="91" spans="39:50" ht="12.75" customHeight="1">
      <c r="AW91" s="66">
        <v>980</v>
      </c>
    </row>
    <row r="92" spans="39:50" ht="12.75" customHeight="1">
      <c r="AW92" s="66">
        <v>1500</v>
      </c>
    </row>
    <row r="93" spans="39:50" ht="12.75" customHeight="1">
      <c r="AW93" s="66">
        <v>2396</v>
      </c>
    </row>
  </sheetData>
  <phoneticPr fontId="4" type="noConversion"/>
  <pageMargins left="0.53" right="0.65" top="0.64" bottom="0.98425196850393704" header="0.51181102362204722" footer="0.51181102362204722"/>
  <pageSetup paperSize="9" scale="77" orientation="landscape" r:id="rId1"/>
  <headerFooter alignWithMargins="0"/>
  <ignoredErrors>
    <ignoredError sqref="A1:CI1 A40:CP40 A39:CP39 CR39 A3:CT3 A2:AD2 DG2 A66:DG1048576 A62:CP62 CS62:CW62 CK1:CM1 A5:CD5 A4:CH4 CW4 A17:CR17 A16:CR16 DB16 CW16 CW39 A55:CQ61 A41:CH41 CW41 DB41 CR41 DB4 DG39 A31:CS31 A23:CP30 CR23:CR30 CR40 A42:CP43 CR42:CR43 A32:CP38 CR32:CR38 A8:CR8 A6:CR6 CW6 A22:CW22 A20:CR20 CW20 A19:CR19 A18:CR18 CW18 CW5 CW17 CW7:CW10 A21:CR21 CW21 CW19 CW23 CW40 CW42 CW32:CW38 EG3:XFD3 EG2:XFD2 EG63:XFD1048576 EG62:XFD62 EG16:XFD16 EG54:XFD61 EG41:XFD41 EG4:XFD4 EG39:XFD39 EG31:XFD31 EG6:EH6 EG22:XFD22 EG20 EG18:XFD18 EG1:XFD1 EG5:EH5 EG17:XFD17 EG7:XFD15 EG21:XFD21 EG19:XFD19 EG23:XFD23 EG40:XFD40 EG42:XFD53 EG32:XFD38 DG20 CW12:CW15 CW11 DG4 BO2:CM2 CW30 CW25:CW29 CW24 CU31 CW45:CW53 CW3 A7:CP7 CR7 A13:CR15 A12:CP12 CR12 A11:CR11 A9:CH9 CM9 A10:CH10 CM10 CR9 CR10 CM4 CM5 CR5 CR4 CW43 DB43 DG16 DB18 DG18 DB11 A54:CQ54 CW54 CW31 DB20 DB5 DB17 DB7:DB10 DB21 DB19 DB12:DB15 DB3 DB40 DB42 CY32 CY45 DE44:DG44 A65:CW65 CY63:DG65 CY62:DG62 CY55:DG61 CY23 DB30 DB25:DB27 DB24 CY54:DG54 DG6 A45:CP53 A44:BW44 CR45:CR53 CY48:CY51 DB47 DB6 DB46 DB52:DB53 DB33:DB38 DG43 CS54:CU54 A63:CQ63 CS63:CW63 DB23 DB32 DB45 DA49:DG50 DB31:DG31 CF5 CH5 A64:AJ64 AL64:CW64 DG41 DB48 DB51 DG1 DG11 DG5 DG17 DG7:DG8 DG21 DG19 DG12:DG13 DD3:DE3 DB29 DB28 DG28 DE22:DG22 CM41 DG40 DG42 DG33:DG38 DE32 DG47 DG46 DG45 DD48 DG52 DG51 DG30 DG25:DG27 DG24 DG23 DG29 DG9:DG10 EG27:XFD30 EG24 EJ24:XFD24 EG25 EJ25:XFD25 EG26 EJ26:XFD26 EL20:XFD20 DG14:DG15 DG48 CS55:CW61 DG3 DG32 DG53 EJ5:XFD5 EJ6:XFD6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F49"/>
  <sheetViews>
    <sheetView workbookViewId="0">
      <pane xSplit="15" ySplit="3" topLeftCell="CR4" activePane="bottomRight" state="frozen"/>
      <selection activeCell="Q13" sqref="Q13"/>
      <selection pane="topRight" activeCell="Q13" sqref="Q13"/>
      <selection pane="bottomLeft" activeCell="Q13" sqref="Q13"/>
      <selection pane="bottomRight" activeCell="DK11" sqref="DK11"/>
    </sheetView>
  </sheetViews>
  <sheetFormatPr defaultColWidth="10.7109375" defaultRowHeight="12.75" outlineLevelRow="1" outlineLevelCol="1"/>
  <cols>
    <col min="1" max="1" width="30.7109375" style="66" customWidth="1"/>
    <col min="2" max="5" width="10.7109375" style="66" hidden="1" customWidth="1" outlineLevel="1"/>
    <col min="6" max="6" width="10.7109375" style="67" hidden="1" customWidth="1" collapsed="1"/>
    <col min="7" max="10" width="10.7109375" style="66" hidden="1" customWidth="1" outlineLevel="1"/>
    <col min="11" max="11" width="10.7109375" style="67" hidden="1" customWidth="1" collapsed="1"/>
    <col min="12" max="15" width="10.7109375" style="66" hidden="1" customWidth="1" outlineLevel="1"/>
    <col min="16" max="16" width="10.7109375" style="67" hidden="1" customWidth="1" collapsed="1"/>
    <col min="17" max="20" width="10.7109375" style="66" hidden="1" customWidth="1" outlineLevel="1"/>
    <col min="21" max="21" width="10.7109375" style="67" hidden="1" customWidth="1" collapsed="1"/>
    <col min="22" max="25" width="10.7109375" style="66" hidden="1" customWidth="1" outlineLevel="1"/>
    <col min="26" max="26" width="10.7109375" style="67" customWidth="1" collapsed="1"/>
    <col min="27" max="30" width="10.7109375" style="66" hidden="1" customWidth="1" outlineLevel="1"/>
    <col min="31" max="31" width="10.7109375" style="67" customWidth="1" collapsed="1"/>
    <col min="32" max="35" width="10.7109375" style="66" hidden="1" customWidth="1" outlineLevel="1"/>
    <col min="36" max="36" width="10.7109375" style="67" customWidth="1" collapsed="1"/>
    <col min="37" max="40" width="10.7109375" style="66" hidden="1" customWidth="1" outlineLevel="1"/>
    <col min="41" max="41" width="10.7109375" style="67" customWidth="1" collapsed="1"/>
    <col min="42" max="45" width="10.7109375" style="66" hidden="1" customWidth="1" outlineLevel="1"/>
    <col min="46" max="46" width="10.7109375" style="67" customWidth="1" collapsed="1"/>
    <col min="47" max="50" width="10.7109375" style="66" hidden="1" customWidth="1" outlineLevel="1"/>
    <col min="51" max="51" width="10.7109375" style="67" customWidth="1" collapsed="1"/>
    <col min="52" max="55" width="10.7109375" style="66" hidden="1" customWidth="1" outlineLevel="1"/>
    <col min="56" max="56" width="10.7109375" style="67" customWidth="1" collapsed="1"/>
    <col min="57" max="60" width="10.7109375" style="66" hidden="1" customWidth="1" outlineLevel="1"/>
    <col min="61" max="61" width="10.7109375" style="67" customWidth="1" collapsed="1"/>
    <col min="62" max="65" width="10.7109375" style="66" hidden="1" customWidth="1" outlineLevel="1"/>
    <col min="66" max="66" width="10.7109375" style="67" customWidth="1" collapsed="1"/>
    <col min="67" max="70" width="10.7109375" style="66" hidden="1" customWidth="1" outlineLevel="1"/>
    <col min="71" max="71" width="10.7109375" style="67" customWidth="1" collapsed="1"/>
    <col min="72" max="75" width="10.7109375" style="66" hidden="1" customWidth="1" outlineLevel="1"/>
    <col min="76" max="76" width="10.7109375" style="67" customWidth="1" collapsed="1"/>
    <col min="77" max="80" width="10.7109375" style="66" hidden="1" customWidth="1" outlineLevel="1"/>
    <col min="81" max="81" width="11.140625" style="67" customWidth="1" collapsed="1"/>
    <col min="82" max="85" width="10.7109375" style="66" hidden="1" customWidth="1" outlineLevel="1"/>
    <col min="86" max="86" width="10.7109375" style="67" customWidth="1" collapsed="1"/>
    <col min="87" max="90" width="10.7109375" style="66" hidden="1" customWidth="1" outlineLevel="1"/>
    <col min="91" max="91" width="10.7109375" style="66" collapsed="1"/>
    <col min="92" max="95" width="10.7109375" style="66" hidden="1" customWidth="1" outlineLevel="1"/>
    <col min="96" max="96" width="10.7109375" style="66" collapsed="1"/>
    <col min="97" max="100" width="0" style="66" hidden="1" customWidth="1" outlineLevel="1"/>
    <col min="101" max="101" width="10.7109375" style="66" collapsed="1"/>
    <col min="102" max="105" width="10.7109375" style="66" customWidth="1" outlineLevel="1"/>
    <col min="106" max="106" width="10.7109375" style="66"/>
    <col min="107" max="110" width="10.7109375" style="66" hidden="1" customWidth="1" outlineLevel="1"/>
    <col min="111" max="111" width="10.7109375" style="66" collapsed="1"/>
    <col min="112" max="115" width="10.7109375" style="66" customWidth="1" outlineLevel="1"/>
    <col min="116" max="116" width="10.7109375" style="66"/>
    <col min="117" max="120" width="10.7109375" style="66" customWidth="1" outlineLevel="1"/>
    <col min="121" max="121" width="10.7109375" style="66"/>
    <col min="122" max="125" width="10.7109375" style="66" hidden="1" customWidth="1" outlineLevel="1"/>
    <col min="126" max="126" width="10.7109375" style="66" collapsed="1"/>
    <col min="127" max="130" width="10.7109375" style="66" hidden="1" customWidth="1" outlineLevel="1"/>
    <col min="131" max="131" width="10.7109375" style="66" collapsed="1"/>
    <col min="132" max="135" width="10.7109375" style="66" hidden="1" customWidth="1" outlineLevel="1"/>
    <col min="136" max="136" width="10.7109375" style="66" collapsed="1"/>
    <col min="137" max="16384" width="10.7109375" style="66"/>
  </cols>
  <sheetData>
    <row r="1" spans="1:136" ht="30" customHeight="1"/>
    <row r="2" spans="1:136">
      <c r="A2" s="68" t="str">
        <f ca="1">DCF!$A$2</f>
        <v>Cyrela - TP: R$35</v>
      </c>
      <c r="B2" s="68"/>
      <c r="C2" s="68"/>
      <c r="D2" s="68"/>
      <c r="E2" s="68"/>
      <c r="G2" s="68"/>
      <c r="H2" s="68"/>
      <c r="I2" s="68"/>
      <c r="J2" s="68"/>
      <c r="L2" s="141"/>
      <c r="M2" s="141"/>
      <c r="N2" s="141"/>
      <c r="O2" s="141"/>
      <c r="P2" s="142"/>
      <c r="Q2" s="123"/>
      <c r="R2" s="123"/>
      <c r="S2" s="123"/>
      <c r="T2" s="123"/>
      <c r="U2" s="142"/>
      <c r="V2" s="141"/>
      <c r="W2" s="141"/>
      <c r="X2" s="141"/>
      <c r="Y2" s="141"/>
      <c r="Z2" s="143"/>
      <c r="AA2" s="141"/>
      <c r="AB2" s="141"/>
      <c r="AC2" s="141"/>
      <c r="AD2" s="141"/>
      <c r="AE2" s="142"/>
      <c r="AF2" s="141"/>
      <c r="AG2" s="141"/>
      <c r="AH2" s="141"/>
      <c r="AI2" s="141"/>
      <c r="AJ2" s="142"/>
      <c r="AK2" s="141"/>
      <c r="AL2" s="141"/>
      <c r="AM2" s="141"/>
      <c r="AN2" s="141"/>
      <c r="AO2" s="142"/>
      <c r="AP2" s="141"/>
      <c r="AQ2" s="141"/>
      <c r="AR2" s="141"/>
      <c r="AS2" s="141"/>
      <c r="AT2" s="142"/>
      <c r="AU2" s="141"/>
      <c r="AV2" s="141"/>
      <c r="AW2" s="141"/>
      <c r="AX2" s="141"/>
      <c r="AY2" s="142"/>
      <c r="AZ2" s="141"/>
      <c r="BA2" s="141"/>
      <c r="BB2" s="141"/>
      <c r="BC2" s="141"/>
      <c r="BD2" s="142"/>
      <c r="BE2" s="141"/>
      <c r="BF2" s="141"/>
      <c r="BG2" s="141"/>
      <c r="BH2" s="141"/>
      <c r="BI2" s="142"/>
      <c r="BJ2" s="141"/>
      <c r="BK2" s="141"/>
      <c r="BL2" s="141"/>
      <c r="BM2" s="141"/>
      <c r="BN2" s="142"/>
      <c r="BO2" s="141"/>
      <c r="BP2" s="141"/>
      <c r="BQ2" s="141"/>
      <c r="BR2" s="141"/>
      <c r="BS2" s="142"/>
      <c r="BT2" s="141"/>
      <c r="BU2" s="141"/>
      <c r="BV2" s="141"/>
      <c r="BW2" s="141"/>
      <c r="BX2" s="142"/>
      <c r="BY2" s="141"/>
      <c r="BZ2" s="141"/>
      <c r="CA2" s="141"/>
      <c r="CB2" s="141"/>
      <c r="CC2" s="142"/>
      <c r="CD2" s="141"/>
      <c r="CE2" s="141"/>
      <c r="CF2" s="141"/>
      <c r="CG2" s="141"/>
      <c r="CH2" s="142"/>
    </row>
    <row r="3" spans="1:136" s="70" customFormat="1" ht="12.75" customHeight="1" thickBot="1">
      <c r="A3" s="69" t="s">
        <v>731</v>
      </c>
      <c r="B3" s="93" t="str">
        <f>Macro!B$3</f>
        <v>1Q04</v>
      </c>
      <c r="C3" s="93" t="str">
        <f>Macro!C$3</f>
        <v>2Q04</v>
      </c>
      <c r="D3" s="93" t="str">
        <f>Macro!D$3</f>
        <v>3Q04</v>
      </c>
      <c r="E3" s="93" t="str">
        <f>Macro!E$3</f>
        <v>4Q04</v>
      </c>
      <c r="F3" s="92" t="str">
        <f>Macro!F$3</f>
        <v>2004</v>
      </c>
      <c r="G3" s="93" t="str">
        <f>Macro!G$3</f>
        <v>1Q05</v>
      </c>
      <c r="H3" s="93" t="str">
        <f>Macro!H$3</f>
        <v>2Q05</v>
      </c>
      <c r="I3" s="93" t="str">
        <f>Macro!I$3</f>
        <v>3Q05</v>
      </c>
      <c r="J3" s="93" t="str">
        <f>Macro!J$3</f>
        <v>4Q05</v>
      </c>
      <c r="K3" s="92" t="str">
        <f>Macro!K$3</f>
        <v>2005</v>
      </c>
      <c r="L3" s="93" t="str">
        <f>Macro!L$3</f>
        <v>1Q06</v>
      </c>
      <c r="M3" s="93" t="str">
        <f>Macro!M$3</f>
        <v>2Q06</v>
      </c>
      <c r="N3" s="93" t="str">
        <f>Macro!N$3</f>
        <v>3Q06</v>
      </c>
      <c r="O3" s="94" t="str">
        <f>Macro!O$3</f>
        <v>4Q06</v>
      </c>
      <c r="P3" s="92" t="str">
        <f>Macro!P$3</f>
        <v>2006</v>
      </c>
      <c r="Q3" s="93" t="str">
        <f>Macro!Q$3</f>
        <v>1Q07</v>
      </c>
      <c r="R3" s="93" t="str">
        <f>Macro!R$3</f>
        <v>2Q07</v>
      </c>
      <c r="S3" s="93" t="str">
        <f>Macro!S$3</f>
        <v>3Q07</v>
      </c>
      <c r="T3" s="94" t="str">
        <f>Macro!T$3</f>
        <v>4Q07</v>
      </c>
      <c r="U3" s="92" t="str">
        <f>Macro!U$3</f>
        <v>2007</v>
      </c>
      <c r="V3" s="93" t="str">
        <f>Macro!V$3</f>
        <v>1Q08</v>
      </c>
      <c r="W3" s="93" t="str">
        <f>Macro!W$3</f>
        <v>2Q08</v>
      </c>
      <c r="X3" s="93" t="str">
        <f>Macro!X$3</f>
        <v>3Q08</v>
      </c>
      <c r="Y3" s="94" t="str">
        <f>Macro!Y$3</f>
        <v>4Q08</v>
      </c>
      <c r="Z3" s="92" t="str">
        <f>Macro!Z$3</f>
        <v>2008</v>
      </c>
      <c r="AA3" s="93" t="str">
        <f>Macro!AA$3</f>
        <v>1Q09</v>
      </c>
      <c r="AB3" s="93" t="str">
        <f>Macro!AB$3</f>
        <v>2Q09</v>
      </c>
      <c r="AC3" s="93" t="str">
        <f>Macro!AC$3</f>
        <v>3Q09</v>
      </c>
      <c r="AD3" s="94" t="str">
        <f>Macro!AD$3</f>
        <v>4Q09</v>
      </c>
      <c r="AE3" s="92" t="str">
        <f>Macro!AE$3</f>
        <v>2009</v>
      </c>
      <c r="AF3" s="93" t="str">
        <f>Macro!AF$3</f>
        <v>1Q10</v>
      </c>
      <c r="AG3" s="93" t="str">
        <f>Macro!AG$3</f>
        <v>2Q10</v>
      </c>
      <c r="AH3" s="93" t="str">
        <f>Macro!AH$3</f>
        <v>3Q10</v>
      </c>
      <c r="AI3" s="94" t="str">
        <f>Macro!AI$3</f>
        <v>4Q10</v>
      </c>
      <c r="AJ3" s="92" t="str">
        <f>Macro!AJ$3</f>
        <v>2010</v>
      </c>
      <c r="AK3" s="93" t="str">
        <f>Macro!AK$3</f>
        <v>1Q11</v>
      </c>
      <c r="AL3" s="93" t="str">
        <f>Macro!AL$3</f>
        <v>2Q11</v>
      </c>
      <c r="AM3" s="93" t="str">
        <f>Macro!AM$3</f>
        <v>3Q11</v>
      </c>
      <c r="AN3" s="94" t="str">
        <f>Macro!AN$3</f>
        <v>4Q11</v>
      </c>
      <c r="AO3" s="92" t="str">
        <f>Macro!AO$3</f>
        <v>2011</v>
      </c>
      <c r="AP3" s="310" t="str">
        <f>Macro!AP$3</f>
        <v>1Q12</v>
      </c>
      <c r="AQ3" s="310" t="str">
        <f>Macro!AQ$3</f>
        <v>2Q12</v>
      </c>
      <c r="AR3" s="310" t="str">
        <f>Macro!AR$3</f>
        <v>3Q12</v>
      </c>
      <c r="AS3" s="310" t="str">
        <f>Macro!AS$3</f>
        <v>4Q12</v>
      </c>
      <c r="AT3" s="311" t="str">
        <f>Macro!AT$3</f>
        <v>2012</v>
      </c>
      <c r="AU3" s="310" t="str">
        <f>Macro!AU$3</f>
        <v>1Q13</v>
      </c>
      <c r="AV3" s="310" t="str">
        <f>Macro!AV$3</f>
        <v>2Q13</v>
      </c>
      <c r="AW3" s="310" t="str">
        <f>Macro!AW$3</f>
        <v>3Q13</v>
      </c>
      <c r="AX3" s="310" t="str">
        <f>Macro!AX$3</f>
        <v>4Q13</v>
      </c>
      <c r="AY3" s="311" t="str">
        <f>Macro!AY$3</f>
        <v>2013</v>
      </c>
      <c r="AZ3" s="310" t="str">
        <f>Macro!AZ$3</f>
        <v>1Q14</v>
      </c>
      <c r="BA3" s="310" t="str">
        <f>Macro!BA$3</f>
        <v>2Q14</v>
      </c>
      <c r="BB3" s="310" t="str">
        <f>Macro!BB$3</f>
        <v>3Q14</v>
      </c>
      <c r="BC3" s="310" t="str">
        <f>Macro!BC$3</f>
        <v>4Q14</v>
      </c>
      <c r="BD3" s="311" t="str">
        <f>Macro!BD$3</f>
        <v>2014</v>
      </c>
      <c r="BE3" s="310" t="str">
        <f>Macro!BE$3</f>
        <v>1Q15</v>
      </c>
      <c r="BF3" s="310" t="str">
        <f>Macro!BF$3</f>
        <v>2Q15</v>
      </c>
      <c r="BG3" s="310" t="str">
        <f>Macro!BG$3</f>
        <v>3Q15</v>
      </c>
      <c r="BH3" s="310" t="str">
        <f>Macro!BH$3</f>
        <v>4Q15</v>
      </c>
      <c r="BI3" s="311" t="str">
        <f>Macro!BI$3</f>
        <v>2015</v>
      </c>
      <c r="BJ3" s="310" t="str">
        <f>Macro!BJ$3</f>
        <v>1Q16</v>
      </c>
      <c r="BK3" s="310" t="str">
        <f>Macro!BK$3</f>
        <v>2Q16</v>
      </c>
      <c r="BL3" s="310" t="str">
        <f>Macro!BL$3</f>
        <v>3Q16</v>
      </c>
      <c r="BM3" s="310" t="str">
        <f>Macro!BM$3</f>
        <v>4Q16</v>
      </c>
      <c r="BN3" s="311" t="str">
        <f>Macro!BN$3</f>
        <v>2016</v>
      </c>
      <c r="BO3" s="310" t="str">
        <f>Macro!BO$3</f>
        <v>1Q17</v>
      </c>
      <c r="BP3" s="310" t="str">
        <f>Macro!BP$3</f>
        <v>2Q17</v>
      </c>
      <c r="BQ3" s="310" t="str">
        <f>Macro!BQ$3</f>
        <v>3Q17</v>
      </c>
      <c r="BR3" s="310" t="str">
        <f>Macro!BR$3</f>
        <v>4Q17</v>
      </c>
      <c r="BS3" s="311" t="str">
        <f>Macro!BS$3</f>
        <v>2017</v>
      </c>
      <c r="BT3" s="310" t="str">
        <f>Macro!BT$3</f>
        <v>1Q18</v>
      </c>
      <c r="BU3" s="310" t="str">
        <f>Macro!BU$3</f>
        <v>2Q18</v>
      </c>
      <c r="BV3" s="310" t="str">
        <f>Macro!BV$3</f>
        <v>3Q18</v>
      </c>
      <c r="BW3" s="310" t="str">
        <f>Macro!BW$3</f>
        <v>4Q18</v>
      </c>
      <c r="BX3" s="311" t="str">
        <f>Macro!BX$3</f>
        <v>2018</v>
      </c>
      <c r="BY3" s="310" t="str">
        <f>Macro!BY$3</f>
        <v>1Q19</v>
      </c>
      <c r="BZ3" s="310" t="str">
        <f>Macro!BZ$3</f>
        <v>2Q19</v>
      </c>
      <c r="CA3" s="310" t="str">
        <f>Macro!CA$3</f>
        <v>3Q19</v>
      </c>
      <c r="CB3" s="310" t="str">
        <f>Macro!CB$3</f>
        <v>4Q19</v>
      </c>
      <c r="CC3" s="311" t="str">
        <f>Macro!CC$3</f>
        <v>2019</v>
      </c>
      <c r="CD3" s="310" t="str">
        <f>Macro!CD$3</f>
        <v>1Q20</v>
      </c>
      <c r="CE3" s="310" t="str">
        <f>Macro!CE$3</f>
        <v>2Q20</v>
      </c>
      <c r="CF3" s="310" t="str">
        <f>Macro!CF$3</f>
        <v>3Q20</v>
      </c>
      <c r="CG3" s="310" t="str">
        <f>Macro!CG$3</f>
        <v>4Q20</v>
      </c>
      <c r="CH3" s="311" t="str">
        <f>Macro!CH$3</f>
        <v>2020</v>
      </c>
      <c r="CI3" s="310" t="str">
        <f>Macro!CI$3</f>
        <v>1Q21</v>
      </c>
      <c r="CJ3" s="310" t="str">
        <f>Macro!CJ$3</f>
        <v>2Q21</v>
      </c>
      <c r="CK3" s="310" t="str">
        <f>Macro!CK$3</f>
        <v>3Q21</v>
      </c>
      <c r="CL3" s="310" t="str">
        <f>Macro!CL$3</f>
        <v>4Q21</v>
      </c>
      <c r="CM3" s="311" t="str">
        <f>Macro!CM$3</f>
        <v>2021</v>
      </c>
      <c r="CN3" s="310" t="str">
        <f>Macro!CN$3</f>
        <v>1Q22</v>
      </c>
      <c r="CO3" s="310" t="str">
        <f>Macro!CO$3</f>
        <v>2Q22</v>
      </c>
      <c r="CP3" s="310" t="str">
        <f>Macro!CP$3</f>
        <v>3Q22</v>
      </c>
      <c r="CQ3" s="310" t="str">
        <f>Macro!CQ$3</f>
        <v>4Q22</v>
      </c>
      <c r="CR3" s="311" t="str">
        <f>Macro!CR$3</f>
        <v>2022</v>
      </c>
      <c r="CS3" s="310" t="str">
        <f>Macro!CS$3</f>
        <v>1Q23</v>
      </c>
      <c r="CT3" s="310" t="str">
        <f>Macro!CT$3</f>
        <v>2Q23</v>
      </c>
      <c r="CU3" s="310" t="str">
        <f>Macro!CU$3</f>
        <v>3Q23</v>
      </c>
      <c r="CV3" s="310" t="str">
        <f>Macro!CV$3</f>
        <v>4Q23</v>
      </c>
      <c r="CW3" s="311" t="str">
        <f>Macro!CW$3</f>
        <v>2023</v>
      </c>
      <c r="CX3" s="310" t="str">
        <f>Macro!CX$3</f>
        <v>1Q24</v>
      </c>
      <c r="CY3" s="310" t="str">
        <f>Macro!CY$3</f>
        <v>2Q24</v>
      </c>
      <c r="CZ3" s="310" t="str">
        <f>Macro!CZ$3</f>
        <v>3Q24</v>
      </c>
      <c r="DA3" s="310" t="str">
        <f>Macro!DA$3</f>
        <v>4Q24</v>
      </c>
      <c r="DB3" s="311" t="str">
        <f>Macro!DB$3</f>
        <v>2024</v>
      </c>
      <c r="DC3" s="310" t="str">
        <f>Macro!DC$3</f>
        <v>1Q25</v>
      </c>
      <c r="DD3" s="310" t="str">
        <f>Macro!DD$3</f>
        <v>2Q25</v>
      </c>
      <c r="DE3" s="310" t="str">
        <f>Macro!DE$3</f>
        <v>3Q25</v>
      </c>
      <c r="DF3" s="310" t="str">
        <f>Macro!DF$3</f>
        <v>4Q25</v>
      </c>
      <c r="DG3" s="311" t="str">
        <f>Macro!DG$3</f>
        <v>2025</v>
      </c>
      <c r="DH3" s="310" t="str">
        <f>Macro!DH$3</f>
        <v>1Q26</v>
      </c>
      <c r="DI3" s="310" t="str">
        <f>Macro!DI$3</f>
        <v>2Q26</v>
      </c>
      <c r="DJ3" s="310" t="str">
        <f>Macro!DJ$3</f>
        <v>3Q26E</v>
      </c>
      <c r="DK3" s="310" t="str">
        <f>Macro!DK$3</f>
        <v>4Q26E</v>
      </c>
      <c r="DL3" s="311" t="str">
        <f>Macro!DL$3</f>
        <v>2026E</v>
      </c>
      <c r="DM3" s="310" t="str">
        <f>Macro!DM$3</f>
        <v>1Q27E</v>
      </c>
      <c r="DN3" s="310" t="str">
        <f>Macro!DN$3</f>
        <v>2Q27E</v>
      </c>
      <c r="DO3" s="310" t="str">
        <f>Macro!DO$3</f>
        <v>3Q27E</v>
      </c>
      <c r="DP3" s="310" t="str">
        <f>Macro!DP$3</f>
        <v>4Q27E</v>
      </c>
      <c r="DQ3" s="311" t="str">
        <f>Macro!DQ$3</f>
        <v>2027E</v>
      </c>
      <c r="DR3" s="310" t="str">
        <f>Macro!DR$3</f>
        <v>1Q28E</v>
      </c>
      <c r="DS3" s="310" t="str">
        <f>Macro!DS$3</f>
        <v>2Q28E</v>
      </c>
      <c r="DT3" s="310" t="str">
        <f>Macro!DT$3</f>
        <v>3Q28E</v>
      </c>
      <c r="DU3" s="310" t="str">
        <f>Macro!DU$3</f>
        <v>4Q28E</v>
      </c>
      <c r="DV3" s="311" t="str">
        <f>Macro!DV$3</f>
        <v>2028E</v>
      </c>
      <c r="DW3" s="310" t="str">
        <f>Macro!DW$3</f>
        <v>1Q29E</v>
      </c>
      <c r="DX3" s="310" t="str">
        <f>Macro!DX$3</f>
        <v>2Q29E</v>
      </c>
      <c r="DY3" s="310" t="str">
        <f>Macro!DY$3</f>
        <v>3Q29E</v>
      </c>
      <c r="DZ3" s="310" t="str">
        <f>Macro!DZ$3</f>
        <v>4Q29E</v>
      </c>
      <c r="EA3" s="311" t="str">
        <f>Macro!EA$3</f>
        <v>2029E</v>
      </c>
      <c r="EB3" s="310" t="str">
        <f>Macro!EB$3</f>
        <v>1Q30E</v>
      </c>
      <c r="EC3" s="310" t="str">
        <f>Macro!EC$3</f>
        <v>2Q30E</v>
      </c>
      <c r="ED3" s="310" t="str">
        <f>Macro!ED$3</f>
        <v>3Q30E</v>
      </c>
      <c r="EE3" s="310" t="str">
        <f>Macro!EE$3</f>
        <v>4Q30E</v>
      </c>
      <c r="EF3" s="311" t="str">
        <f>Macro!EF$3</f>
        <v>2030E</v>
      </c>
    </row>
    <row r="4" spans="1:136" ht="12" customHeight="1" outlineLevel="1">
      <c r="A4" s="66" t="s">
        <v>9</v>
      </c>
      <c r="B4" s="144">
        <f>'Income Statement'!B47</f>
        <v>22251</v>
      </c>
      <c r="C4" s="144">
        <f>'Income Statement'!C47</f>
        <v>22251</v>
      </c>
      <c r="D4" s="144">
        <f>'Income Statement'!D47</f>
        <v>21936</v>
      </c>
      <c r="E4" s="144">
        <f>'Income Statement'!E47</f>
        <v>18095</v>
      </c>
      <c r="F4" s="145">
        <f>'Income Statement'!F47</f>
        <v>84533</v>
      </c>
      <c r="G4" s="144">
        <f>'Income Statement'!G47</f>
        <v>40497</v>
      </c>
      <c r="H4" s="144">
        <f>'Income Statement'!H47</f>
        <v>34500</v>
      </c>
      <c r="I4" s="144">
        <f>'Income Statement'!I47</f>
        <v>30495</v>
      </c>
      <c r="J4" s="144">
        <f>'Income Statement'!J47</f>
        <v>22309</v>
      </c>
      <c r="K4" s="145">
        <f>'Income Statement'!K47</f>
        <v>127801</v>
      </c>
      <c r="L4" s="144">
        <f>'Income Statement'!L47</f>
        <v>57413</v>
      </c>
      <c r="M4" s="144">
        <f>'Income Statement'!M47</f>
        <v>72958</v>
      </c>
      <c r="N4" s="144">
        <f>'Income Statement'!N47</f>
        <v>31008</v>
      </c>
      <c r="O4" s="144">
        <f>'Income Statement'!O47</f>
        <v>80627</v>
      </c>
      <c r="P4" s="145">
        <f>'Income Statement'!P47</f>
        <v>242006</v>
      </c>
      <c r="Q4" s="144">
        <f>'Income Statement'!Q47</f>
        <v>43313</v>
      </c>
      <c r="R4" s="144">
        <f>'Income Statement'!R47</f>
        <v>197457</v>
      </c>
      <c r="S4" s="144">
        <f>'Income Statement'!S47</f>
        <v>90013</v>
      </c>
      <c r="T4" s="144">
        <f>'Income Statement'!T47</f>
        <v>83904</v>
      </c>
      <c r="U4" s="145">
        <f>'Income Statement'!U47</f>
        <v>414687</v>
      </c>
      <c r="V4" s="144">
        <f>'Income Statement'!V47</f>
        <v>68510</v>
      </c>
      <c r="W4" s="144">
        <f>'Income Statement'!W47</f>
        <v>94027</v>
      </c>
      <c r="X4" s="144">
        <f>'Income Statement'!X47</f>
        <v>77899</v>
      </c>
      <c r="Y4" s="144">
        <f>'Income Statement'!Y47</f>
        <v>37270</v>
      </c>
      <c r="Z4" s="145">
        <f>'Income Statement'!Z47</f>
        <v>277706</v>
      </c>
      <c r="AA4" s="144">
        <f>'Income Statement'!AA47</f>
        <v>100457</v>
      </c>
      <c r="AB4" s="144">
        <f>'Income Statement'!AB47</f>
        <v>157071</v>
      </c>
      <c r="AC4" s="144">
        <f>'Income Statement'!AC47</f>
        <v>264103</v>
      </c>
      <c r="AD4" s="144">
        <f>'Income Statement'!AD47</f>
        <v>207718</v>
      </c>
      <c r="AE4" s="145">
        <f>'Income Statement'!AE47</f>
        <v>729349</v>
      </c>
      <c r="AF4" s="144">
        <f>'Income Statement'!AF47</f>
        <v>174240</v>
      </c>
      <c r="AG4" s="144">
        <f>'Income Statement'!AG47</f>
        <v>167794</v>
      </c>
      <c r="AH4" s="144">
        <f>'Income Statement'!AH47</f>
        <v>176034</v>
      </c>
      <c r="AI4" s="144">
        <f>'Income Statement'!AI47</f>
        <v>82526</v>
      </c>
      <c r="AJ4" s="145">
        <f>'Income Statement'!AJ47</f>
        <v>600594</v>
      </c>
      <c r="AK4" s="144">
        <f>'Income Statement'!AK47</f>
        <v>74181</v>
      </c>
      <c r="AL4" s="144">
        <f>'Income Statement'!AL47</f>
        <v>95872</v>
      </c>
      <c r="AM4" s="144">
        <f>'Income Statement'!AM47</f>
        <v>146753</v>
      </c>
      <c r="AN4" s="144">
        <f>'Income Statement'!AN47</f>
        <v>181365</v>
      </c>
      <c r="AO4" s="145">
        <f>'Income Statement'!AO47</f>
        <v>498171</v>
      </c>
      <c r="AP4" s="144">
        <f>'Income Statement'!AP47</f>
        <v>117906</v>
      </c>
      <c r="AQ4" s="144">
        <f>'Income Statement'!AQ47</f>
        <v>142745</v>
      </c>
      <c r="AR4" s="144">
        <f>'Income Statement'!AR47</f>
        <v>150395</v>
      </c>
      <c r="AS4" s="144">
        <f>'Income Statement'!AS47</f>
        <v>249102</v>
      </c>
      <c r="AT4" s="145">
        <f>'Income Statement'!AT47</f>
        <v>660148</v>
      </c>
      <c r="AU4" s="144">
        <f>'Income Statement'!AU47</f>
        <v>172929</v>
      </c>
      <c r="AV4" s="144">
        <f>'Income Statement'!AV47</f>
        <v>182777</v>
      </c>
      <c r="AW4" s="144">
        <f>'Income Statement'!AW47</f>
        <v>174604</v>
      </c>
      <c r="AX4" s="144">
        <f>'Income Statement'!AX47</f>
        <v>182522</v>
      </c>
      <c r="AY4" s="145">
        <f>'Income Statement'!AY47</f>
        <v>712832</v>
      </c>
      <c r="AZ4" s="144">
        <f>'Income Statement'!AZ47</f>
        <v>163453</v>
      </c>
      <c r="BA4" s="144">
        <f>'Income Statement'!BA47</f>
        <v>168894</v>
      </c>
      <c r="BB4" s="144">
        <f>'Income Statement'!BB47</f>
        <v>179129</v>
      </c>
      <c r="BC4" s="144">
        <f>'Income Statement'!BC47</f>
        <v>150023</v>
      </c>
      <c r="BD4" s="145">
        <f>'Income Statement'!BD47</f>
        <v>661499</v>
      </c>
      <c r="BE4" s="144">
        <f>'Income Statement'!BE47</f>
        <v>100541</v>
      </c>
      <c r="BF4" s="144">
        <f>'Income Statement'!BF47</f>
        <v>118006</v>
      </c>
      <c r="BG4" s="144">
        <f>'Income Statement'!BG47</f>
        <v>131232</v>
      </c>
      <c r="BH4" s="144">
        <f>'Income Statement'!BH47</f>
        <v>98021</v>
      </c>
      <c r="BI4" s="145">
        <f>'Income Statement'!BI47</f>
        <v>447800</v>
      </c>
      <c r="BJ4" s="144">
        <f>'Income Statement'!BJ47</f>
        <v>61272</v>
      </c>
      <c r="BK4" s="144">
        <f>'Income Statement'!BK47</f>
        <v>44703</v>
      </c>
      <c r="BL4" s="144">
        <f>'Income Statement'!BL47</f>
        <v>14444</v>
      </c>
      <c r="BM4" s="144">
        <f>'Income Statement'!BM47</f>
        <v>30933</v>
      </c>
      <c r="BN4" s="145">
        <f>'Income Statement'!BN47</f>
        <v>151352</v>
      </c>
      <c r="BO4" s="144">
        <f>'Income Statement'!BO47</f>
        <v>4025</v>
      </c>
      <c r="BP4" s="144">
        <f>'Income Statement'!BP47</f>
        <v>-141028</v>
      </c>
      <c r="BQ4" s="144">
        <f>'Income Statement'!BQ47</f>
        <v>-6763</v>
      </c>
      <c r="BR4" s="144">
        <f>'Income Statement'!BR47</f>
        <v>48762</v>
      </c>
      <c r="BS4" s="145">
        <f>'Income Statement'!BS47</f>
        <v>-95004</v>
      </c>
      <c r="BT4" s="144">
        <f>'Income Statement'!BT47</f>
        <v>-51284</v>
      </c>
      <c r="BU4" s="144">
        <f>'Income Statement'!BU47</f>
        <v>-28437</v>
      </c>
      <c r="BV4" s="144">
        <f>'Income Statement'!BV47</f>
        <v>-120753</v>
      </c>
      <c r="BW4" s="144">
        <f>'Income Statement'!BW47</f>
        <v>116111</v>
      </c>
      <c r="BX4" s="145">
        <f>'Income Statement'!BX47</f>
        <v>-84363</v>
      </c>
      <c r="BY4" s="144">
        <f>'Income Statement'!BY47</f>
        <v>48410</v>
      </c>
      <c r="BZ4" s="144">
        <f>'Income Statement'!BZ47</f>
        <v>113835</v>
      </c>
      <c r="CA4" s="144">
        <f>'Income Statement'!CA47</f>
        <v>104383</v>
      </c>
      <c r="CB4" s="144">
        <f>'Income Statement'!CB47</f>
        <v>149215</v>
      </c>
      <c r="CC4" s="145">
        <f>'Income Statement'!CC47</f>
        <v>415843</v>
      </c>
      <c r="CD4" s="144">
        <f>'Income Statement'!CD47</f>
        <v>27935</v>
      </c>
      <c r="CE4" s="144">
        <f>'Income Statement'!CE47</f>
        <v>67811</v>
      </c>
      <c r="CF4" s="144">
        <f>'Income Statement'!CF47</f>
        <v>1403281</v>
      </c>
      <c r="CG4" s="144">
        <f>'Income Statement'!CG47</f>
        <v>261231</v>
      </c>
      <c r="CH4" s="145">
        <f>'Income Statement'!CH47</f>
        <v>1760258</v>
      </c>
      <c r="CI4" s="144">
        <f>'Income Statement'!CI47</f>
        <v>192285</v>
      </c>
      <c r="CJ4" s="144">
        <f>'Income Statement'!CJ47</f>
        <v>266974</v>
      </c>
      <c r="CK4" s="144">
        <f>'Income Statement'!CK47</f>
        <v>237547</v>
      </c>
      <c r="CL4" s="144">
        <f>'Income Statement'!CL47</f>
        <v>217549</v>
      </c>
      <c r="CM4" s="145">
        <f>'Income Statement'!CM47</f>
        <v>914355</v>
      </c>
      <c r="CN4" s="144">
        <f>'Income Statement'!CN47</f>
        <v>161751</v>
      </c>
      <c r="CO4" s="144">
        <f>'Income Statement'!CO47</f>
        <v>150797</v>
      </c>
      <c r="CP4" s="144">
        <f>'Income Statement'!CP47</f>
        <v>288628</v>
      </c>
      <c r="CQ4" s="144">
        <f>'Income Statement'!CQ47</f>
        <v>207704</v>
      </c>
      <c r="CR4" s="145">
        <f>'Income Statement'!CR47</f>
        <v>808880</v>
      </c>
      <c r="CS4" s="144">
        <f>'Income Statement'!CS47</f>
        <v>163576</v>
      </c>
      <c r="CT4" s="144">
        <f>'Income Statement'!CT47</f>
        <v>279385</v>
      </c>
      <c r="CU4" s="144">
        <f>'Income Statement'!CU47</f>
        <v>251319</v>
      </c>
      <c r="CV4" s="144">
        <f>'Income Statement'!CV47</f>
        <v>247810</v>
      </c>
      <c r="CW4" s="145">
        <f>'Income Statement'!CW47</f>
        <v>942090</v>
      </c>
      <c r="CX4" s="144">
        <f>'Income Statement'!CX47</f>
        <v>267258</v>
      </c>
      <c r="CY4" s="144">
        <f>'Income Statement'!CY47</f>
        <v>412005</v>
      </c>
      <c r="CZ4" s="144">
        <f>'Income Statement'!CZ47</f>
        <v>473101</v>
      </c>
      <c r="DA4" s="144">
        <f>'Income Statement'!DA47</f>
        <v>496632</v>
      </c>
      <c r="DB4" s="145">
        <f>'Income Statement'!DB47</f>
        <v>1648996</v>
      </c>
      <c r="DC4" s="144">
        <f>'Income Statement'!DC47</f>
        <v>327632</v>
      </c>
      <c r="DD4" s="144">
        <f>'Income Statement'!DD47</f>
        <v>387807</v>
      </c>
      <c r="DE4" s="144">
        <f>'Income Statement'!DE47</f>
        <v>609115</v>
      </c>
      <c r="DF4" s="144">
        <f>'Income Statement'!DF47</f>
        <v>682202</v>
      </c>
      <c r="DG4" s="145">
        <f>'Income Statement'!DG47</f>
        <v>2006756</v>
      </c>
      <c r="DH4" s="144">
        <f>'Income Statement'!DH47</f>
        <v>296776</v>
      </c>
      <c r="DI4" s="144">
        <f>'Income Statement'!DI47</f>
        <v>451576</v>
      </c>
      <c r="DJ4" s="144">
        <f ca="1">'Income Statement'!DJ47</f>
        <v>524530.08119783562</v>
      </c>
      <c r="DK4" s="144">
        <f ca="1">'Income Statement'!DK47</f>
        <v>617188.0403730016</v>
      </c>
      <c r="DL4" s="145">
        <f ca="1">'Income Statement'!DL47</f>
        <v>1890070.1215708372</v>
      </c>
      <c r="DM4" s="144">
        <f ca="1">'Income Statement'!DM47</f>
        <v>537656.98535306158</v>
      </c>
      <c r="DN4" s="144">
        <f ca="1">'Income Statement'!DN47</f>
        <v>555649.42660106672</v>
      </c>
      <c r="DO4" s="144">
        <f ca="1">'Income Statement'!DO47</f>
        <v>547147.32407476974</v>
      </c>
      <c r="DP4" s="144">
        <f ca="1">'Income Statement'!DP47</f>
        <v>577282.30497594236</v>
      </c>
      <c r="DQ4" s="145">
        <f ca="1">'Income Statement'!DQ47</f>
        <v>2217736.0410048403</v>
      </c>
      <c r="DR4" s="144">
        <f ca="1">'Income Statement'!DR47</f>
        <v>611473.40168903861</v>
      </c>
      <c r="DS4" s="144">
        <f ca="1">'Income Statement'!DS47</f>
        <v>567852.47253617586</v>
      </c>
      <c r="DT4" s="144">
        <f ca="1">'Income Statement'!DT47</f>
        <v>561667.86547324131</v>
      </c>
      <c r="DU4" s="144">
        <f ca="1">'Income Statement'!DU47</f>
        <v>619834.6238907387</v>
      </c>
      <c r="DV4" s="145">
        <f ca="1">'Income Statement'!DV47</f>
        <v>2360828.3635891946</v>
      </c>
      <c r="DW4" s="144">
        <f ca="1">'Income Statement'!DW47</f>
        <v>645667.82554050046</v>
      </c>
      <c r="DX4" s="144">
        <f ca="1">'Income Statement'!DX47</f>
        <v>592457.1195786579</v>
      </c>
      <c r="DY4" s="144">
        <f ca="1">'Income Statement'!DY47</f>
        <v>580881.41955141374</v>
      </c>
      <c r="DZ4" s="144">
        <f ca="1">'Income Statement'!DZ47</f>
        <v>654367.96635930741</v>
      </c>
      <c r="EA4" s="145">
        <f ca="1">'Income Statement'!EA47</f>
        <v>2473374.3310298794</v>
      </c>
      <c r="EB4" s="144">
        <f ca="1">'Income Statement'!EB47</f>
        <v>700167.74572222121</v>
      </c>
      <c r="EC4" s="144">
        <f ca="1">'Income Statement'!EC47</f>
        <v>654288.5156274942</v>
      </c>
      <c r="ED4" s="144">
        <f ca="1">'Income Statement'!ED47</f>
        <v>645005.66094672435</v>
      </c>
      <c r="EE4" s="144">
        <f ca="1">'Income Statement'!EE47</f>
        <v>718082.45151681791</v>
      </c>
      <c r="EF4" s="145">
        <f ca="1">'Income Statement'!EF47</f>
        <v>2717544.3738132576</v>
      </c>
    </row>
    <row r="5" spans="1:136" ht="12" customHeight="1" outlineLevel="1">
      <c r="A5" s="66" t="s">
        <v>144</v>
      </c>
      <c r="B5" s="144">
        <f>'Income Statement'!B68</f>
        <v>763</v>
      </c>
      <c r="C5" s="144">
        <f>'Income Statement'!C68</f>
        <v>1244</v>
      </c>
      <c r="D5" s="144">
        <f>'Income Statement'!D68</f>
        <v>1023</v>
      </c>
      <c r="E5" s="144">
        <f>'Income Statement'!E68</f>
        <v>470</v>
      </c>
      <c r="F5" s="145">
        <f>'Income Statement'!F68</f>
        <v>3500</v>
      </c>
      <c r="G5" s="144">
        <f>'Income Statement'!G68</f>
        <v>1106</v>
      </c>
      <c r="H5" s="144">
        <f>'Income Statement'!H68</f>
        <v>651</v>
      </c>
      <c r="I5" s="144">
        <f>'Income Statement'!I68</f>
        <v>1017</v>
      </c>
      <c r="J5" s="144">
        <f>'Income Statement'!J68</f>
        <v>313</v>
      </c>
      <c r="K5" s="145">
        <f>'Income Statement'!K68</f>
        <v>3087</v>
      </c>
      <c r="L5" s="144">
        <f>'Income Statement'!L68</f>
        <v>794</v>
      </c>
      <c r="M5" s="144">
        <f>'Income Statement'!M68</f>
        <v>1233</v>
      </c>
      <c r="N5" s="144">
        <f>'Income Statement'!N68</f>
        <v>1572</v>
      </c>
      <c r="O5" s="144">
        <f>'Income Statement'!O68</f>
        <v>1459</v>
      </c>
      <c r="P5" s="145">
        <f>'Income Statement'!P68</f>
        <v>5058</v>
      </c>
      <c r="Q5" s="144">
        <f>'Income Statement'!Q68</f>
        <v>5166</v>
      </c>
      <c r="R5" s="144">
        <f>'Income Statement'!R68</f>
        <v>9222</v>
      </c>
      <c r="S5" s="144">
        <f>'Income Statement'!S68</f>
        <v>1690</v>
      </c>
      <c r="T5" s="144">
        <f>'Income Statement'!T68</f>
        <v>5</v>
      </c>
      <c r="U5" s="145">
        <f>'Income Statement'!U68</f>
        <v>16083</v>
      </c>
      <c r="V5" s="144">
        <f>'Income Statement'!V68</f>
        <v>1822</v>
      </c>
      <c r="W5" s="144">
        <f>'Income Statement'!W68</f>
        <v>12870</v>
      </c>
      <c r="X5" s="144">
        <f>'Income Statement'!X68</f>
        <v>3863</v>
      </c>
      <c r="Y5" s="144">
        <f>'Income Statement'!Y68</f>
        <v>3215</v>
      </c>
      <c r="Z5" s="145">
        <f>'Income Statement'!Z68</f>
        <v>21770</v>
      </c>
      <c r="AA5" s="144">
        <f>'Income Statement'!AA68</f>
        <v>2987</v>
      </c>
      <c r="AB5" s="144">
        <f>'Income Statement'!AB68</f>
        <v>3250</v>
      </c>
      <c r="AC5" s="144">
        <f>'Income Statement'!AC68</f>
        <v>3304</v>
      </c>
      <c r="AD5" s="144">
        <f>'Income Statement'!AD68</f>
        <v>26852</v>
      </c>
      <c r="AE5" s="145">
        <f>'Income Statement'!AE68</f>
        <v>36393</v>
      </c>
      <c r="AF5" s="144">
        <f>'Income Statement'!AF68</f>
        <v>18320</v>
      </c>
      <c r="AG5" s="144">
        <f>'Income Statement'!AG68</f>
        <v>10916</v>
      </c>
      <c r="AH5" s="144">
        <f>'Income Statement'!AH68</f>
        <v>11322</v>
      </c>
      <c r="AI5" s="144">
        <f>'Income Statement'!AI68</f>
        <v>18975</v>
      </c>
      <c r="AJ5" s="145">
        <f>'Income Statement'!AJ68</f>
        <v>59533</v>
      </c>
      <c r="AK5" s="144">
        <f>'Income Statement'!AK68</f>
        <v>10409</v>
      </c>
      <c r="AL5" s="144">
        <f>'Income Statement'!AL68</f>
        <v>6201</v>
      </c>
      <c r="AM5" s="144">
        <f>'Income Statement'!AM68</f>
        <v>9000</v>
      </c>
      <c r="AN5" s="144">
        <f>'Income Statement'!AN68</f>
        <v>7507</v>
      </c>
      <c r="AO5" s="145">
        <f>'Income Statement'!AO68</f>
        <v>33117</v>
      </c>
      <c r="AP5" s="144">
        <f>'Income Statement'!AP68</f>
        <v>22651</v>
      </c>
      <c r="AQ5" s="144">
        <f>'Income Statement'!AQ68</f>
        <v>32515</v>
      </c>
      <c r="AR5" s="144">
        <f>'Income Statement'!AR68</f>
        <v>30082</v>
      </c>
      <c r="AS5" s="144">
        <f>'Income Statement'!AS68</f>
        <v>-65386</v>
      </c>
      <c r="AT5" s="145">
        <f>'Income Statement'!AT68</f>
        <v>19862</v>
      </c>
      <c r="AU5" s="144">
        <f>'Income Statement'!AU68</f>
        <v>26262</v>
      </c>
      <c r="AV5" s="144">
        <f>'Income Statement'!AV68</f>
        <v>25204</v>
      </c>
      <c r="AW5" s="144">
        <f>'Income Statement'!AW68</f>
        <v>25591</v>
      </c>
      <c r="AX5" s="144">
        <f>'Income Statement'!AX68</f>
        <v>18955</v>
      </c>
      <c r="AY5" s="145">
        <f>'Income Statement'!AY68</f>
        <v>96012</v>
      </c>
      <c r="AZ5" s="144">
        <f>'Income Statement'!AZ68</f>
        <v>24639</v>
      </c>
      <c r="BA5" s="144">
        <f>'Income Statement'!BA68</f>
        <v>23136</v>
      </c>
      <c r="BB5" s="144">
        <f>'Income Statement'!BB68</f>
        <v>19917</v>
      </c>
      <c r="BC5" s="144">
        <f>'Income Statement'!BC68</f>
        <v>12408</v>
      </c>
      <c r="BD5" s="145">
        <f>'Income Statement'!BD68</f>
        <v>80100</v>
      </c>
      <c r="BE5" s="144">
        <f>'Income Statement'!BE68</f>
        <v>18848</v>
      </c>
      <c r="BF5" s="144">
        <f>'Income Statement'!BF68</f>
        <v>17303</v>
      </c>
      <c r="BG5" s="144">
        <f>'Income Statement'!BG68</f>
        <v>21106</v>
      </c>
      <c r="BH5" s="144">
        <f>'Income Statement'!BH68</f>
        <v>9932</v>
      </c>
      <c r="BI5" s="145">
        <f>'Income Statement'!BI68</f>
        <v>67189</v>
      </c>
      <c r="BJ5" s="144">
        <f>'Income Statement'!BJ68</f>
        <v>29847</v>
      </c>
      <c r="BK5" s="144">
        <f>'Income Statement'!BK68</f>
        <v>17590</v>
      </c>
      <c r="BL5" s="144">
        <f>'Income Statement'!BL68</f>
        <v>25607</v>
      </c>
      <c r="BM5" s="144">
        <f>'Income Statement'!BM68</f>
        <v>15588</v>
      </c>
      <c r="BN5" s="145">
        <f>'Income Statement'!BN68</f>
        <v>88632</v>
      </c>
      <c r="BO5" s="144">
        <f>'Income Statement'!BO68</f>
        <v>21342</v>
      </c>
      <c r="BP5" s="144">
        <f>'Income Statement'!BP68</f>
        <v>28661</v>
      </c>
      <c r="BQ5" s="144">
        <f>'Income Statement'!BQ68</f>
        <v>761</v>
      </c>
      <c r="BR5" s="144">
        <f>'Income Statement'!BR68</f>
        <v>-6308</v>
      </c>
      <c r="BS5" s="145">
        <f>'Income Statement'!BS68</f>
        <v>44456</v>
      </c>
      <c r="BT5" s="144">
        <f>'Income Statement'!BT68</f>
        <v>15867</v>
      </c>
      <c r="BU5" s="144">
        <f>'Income Statement'!BU68</f>
        <v>9584</v>
      </c>
      <c r="BV5" s="144">
        <f>'Income Statement'!BV68</f>
        <v>22894</v>
      </c>
      <c r="BW5" s="144">
        <f>'Income Statement'!BW68</f>
        <v>13024</v>
      </c>
      <c r="BX5" s="145">
        <f>'Income Statement'!BX68</f>
        <v>61369</v>
      </c>
      <c r="BY5" s="144">
        <f>'Income Statement'!BY68</f>
        <v>24359</v>
      </c>
      <c r="BZ5" s="144">
        <f>'Income Statement'!BZ68</f>
        <v>-7881</v>
      </c>
      <c r="CA5" s="144">
        <f>'Income Statement'!CA68</f>
        <v>31538</v>
      </c>
      <c r="CB5" s="144">
        <f>'Income Statement'!CB68</f>
        <v>26662</v>
      </c>
      <c r="CC5" s="145">
        <f>'Income Statement'!CC68</f>
        <v>74678</v>
      </c>
      <c r="CD5" s="144">
        <f>'Income Statement'!CD68</f>
        <v>17199</v>
      </c>
      <c r="CE5" s="144">
        <f>'Income Statement'!CE68</f>
        <v>13725</v>
      </c>
      <c r="CF5" s="144">
        <f>'Income Statement'!CF68</f>
        <v>8963</v>
      </c>
      <c r="CG5" s="144">
        <f>'Income Statement'!CG68</f>
        <v>11276</v>
      </c>
      <c r="CH5" s="145">
        <f>'Income Statement'!CH68</f>
        <v>51163</v>
      </c>
      <c r="CI5" s="144">
        <f>'Income Statement'!CI68</f>
        <v>10932</v>
      </c>
      <c r="CJ5" s="144">
        <f>'Income Statement'!CJ68</f>
        <v>10462</v>
      </c>
      <c r="CK5" s="144">
        <f>'Income Statement'!CK68</f>
        <v>11020</v>
      </c>
      <c r="CL5" s="144">
        <f>'Income Statement'!CL68</f>
        <v>7758</v>
      </c>
      <c r="CM5" s="145">
        <f>'Income Statement'!CM68</f>
        <v>40172</v>
      </c>
      <c r="CN5" s="144">
        <f>'Income Statement'!CN68</f>
        <v>8532</v>
      </c>
      <c r="CO5" s="144">
        <f>'Income Statement'!CO68</f>
        <v>9251</v>
      </c>
      <c r="CP5" s="144">
        <f>'Income Statement'!CP68</f>
        <v>22832</v>
      </c>
      <c r="CQ5" s="144">
        <f>'Income Statement'!CQ68</f>
        <v>22658</v>
      </c>
      <c r="CR5" s="145">
        <f>'Income Statement'!CR68</f>
        <v>63273</v>
      </c>
      <c r="CS5" s="144">
        <f>'Income Statement'!CS68</f>
        <v>29284</v>
      </c>
      <c r="CT5" s="144">
        <f>'Income Statement'!CT68</f>
        <v>16071</v>
      </c>
      <c r="CU5" s="144">
        <f>'Income Statement'!CU68</f>
        <v>42302</v>
      </c>
      <c r="CV5" s="144">
        <f>'Income Statement'!CV68</f>
        <v>3292</v>
      </c>
      <c r="CW5" s="145">
        <f>'Income Statement'!CW68</f>
        <v>90949</v>
      </c>
      <c r="CX5" s="144">
        <f>'Income Statement'!CX68</f>
        <v>23638</v>
      </c>
      <c r="CY5" s="144">
        <f>'Income Statement'!CY68</f>
        <v>16365</v>
      </c>
      <c r="CZ5" s="144">
        <f>'Income Statement'!CZ68</f>
        <v>39999</v>
      </c>
      <c r="DA5" s="144">
        <f>'Income Statement'!DA68</f>
        <v>20057</v>
      </c>
      <c r="DB5" s="145">
        <f>'Income Statement'!DB68</f>
        <v>100059</v>
      </c>
      <c r="DC5" s="144">
        <f>'Income Statement'!DC68</f>
        <v>30272</v>
      </c>
      <c r="DD5" s="144">
        <f>'Income Statement'!DD68</f>
        <v>23802</v>
      </c>
      <c r="DE5" s="144">
        <f>'Income Statement'!DE68</f>
        <v>28629</v>
      </c>
      <c r="DF5" s="144">
        <f>'Income Statement'!DF68</f>
        <v>49872</v>
      </c>
      <c r="DG5" s="145">
        <f>'Income Statement'!DG68</f>
        <v>132575</v>
      </c>
      <c r="DH5" s="144">
        <f>'Income Statement'!DH68</f>
        <v>54583</v>
      </c>
      <c r="DI5" s="144">
        <f>'Income Statement'!DI68</f>
        <v>41166</v>
      </c>
      <c r="DJ5" s="144">
        <f>'Income Statement'!DJ68</f>
        <v>42672.762305488272</v>
      </c>
      <c r="DK5" s="144">
        <f>'Income Statement'!DK68</f>
        <v>42939.215041441901</v>
      </c>
      <c r="DL5" s="145">
        <f>'Income Statement'!DL68</f>
        <v>181360.97734693019</v>
      </c>
      <c r="DM5" s="144">
        <f>'Income Statement'!DM68</f>
        <v>43207.331533305885</v>
      </c>
      <c r="DN5" s="144">
        <f>'Income Statement'!DN68</f>
        <v>43477.122169728405</v>
      </c>
      <c r="DO5" s="144">
        <f>'Income Statement'!DO68</f>
        <v>43748.597404225344</v>
      </c>
      <c r="DP5" s="144">
        <f>'Income Statement'!DP68</f>
        <v>44021.767755585286</v>
      </c>
      <c r="DQ5" s="145">
        <f>'Income Statement'!DQ68</f>
        <v>174454.81886284493</v>
      </c>
      <c r="DR5" s="144">
        <f>'Income Statement'!DR68</f>
        <v>44296.643808277149</v>
      </c>
      <c r="DS5" s="144">
        <f>'Income Statement'!DS68</f>
        <v>44573.236212860276</v>
      </c>
      <c r="DT5" s="144">
        <f>'Income Statement'!DT68</f>
        <v>44851.555686397056</v>
      </c>
      <c r="DU5" s="144">
        <f>'Income Statement'!DU68</f>
        <v>45131.613012868285</v>
      </c>
      <c r="DV5" s="145">
        <f>'Income Statement'!DV68</f>
        <v>178853.04872040276</v>
      </c>
      <c r="DW5" s="144">
        <f>'Income Statement'!DW68</f>
        <v>45413.419043590897</v>
      </c>
      <c r="DX5" s="144">
        <f>'Income Statement'!DX68</f>
        <v>45696.984697638487</v>
      </c>
      <c r="DY5" s="144">
        <f>'Income Statement'!DY68</f>
        <v>45982.320962264392</v>
      </c>
      <c r="DZ5" s="144">
        <f>'Income Statement'!DZ68</f>
        <v>46269.438893327351</v>
      </c>
      <c r="EA5" s="145">
        <f>'Income Statement'!EA68</f>
        <v>183362.1635968211</v>
      </c>
      <c r="EB5" s="144">
        <f>'Income Statement'!EB68</f>
        <v>46558.349615719948</v>
      </c>
      <c r="EC5" s="144">
        <f>'Income Statement'!EC68</f>
        <v>46849.064323799641</v>
      </c>
      <c r="ED5" s="144">
        <f>'Income Statement'!ED68</f>
        <v>47141.594281822501</v>
      </c>
      <c r="EE5" s="144">
        <f>'Income Statement'!EE68</f>
        <v>47435.950824379681</v>
      </c>
      <c r="EF5" s="145">
        <f>'Income Statement'!EF68</f>
        <v>187984.95904572177</v>
      </c>
    </row>
    <row r="6" spans="1:136" ht="12" customHeight="1" outlineLevel="1">
      <c r="A6" s="66" t="s">
        <v>145</v>
      </c>
      <c r="B6" s="144" t="e">
        <f>(SUM('Balance Sheet'!B41:B41)-SUM('Balance Sheet'!A41:A41)+SUM('Balance Sheet'!B32:B37)-SUM('Balance Sheet'!A32:A37)+SUM('Balance Sheet'!B39:B40)-SUM('Balance Sheet'!A39:A40))-(('Balance Sheet'!B8-'Balance Sheet'!A8)+('Balance Sheet'!B11-'Balance Sheet'!A11)+(SUM('Balance Sheet'!B15:B18)-SUM('Balance Sheet'!A15:A18)))</f>
        <v>#VALUE!</v>
      </c>
      <c r="C6" s="144">
        <f>(SUM('Balance Sheet'!C41:C41)-SUM('Balance Sheet'!B41:B41)+SUM('Balance Sheet'!C32:C37)-SUM('Balance Sheet'!B32:B37)+SUM('Balance Sheet'!C39:C40)-SUM('Balance Sheet'!B39:B40))-(('Balance Sheet'!C8-'Balance Sheet'!B8)+('Balance Sheet'!C11-'Balance Sheet'!B11)+(SUM('Balance Sheet'!C15:C18)-SUM('Balance Sheet'!B15:B18)))</f>
        <v>-2733</v>
      </c>
      <c r="D6" s="144">
        <f>(SUM('Balance Sheet'!D41:D41)-SUM('Balance Sheet'!C41:C41)+SUM('Balance Sheet'!D32:D37)-SUM('Balance Sheet'!C32:C37)+SUM('Balance Sheet'!D39:D40)-SUM('Balance Sheet'!C39:C40))-(('Balance Sheet'!D8-'Balance Sheet'!C8)+('Balance Sheet'!D11-'Balance Sheet'!C11)+(SUM('Balance Sheet'!D15:D18)-SUM('Balance Sheet'!C15:C18)))</f>
        <v>-30388</v>
      </c>
      <c r="E6" s="144">
        <f>(SUM('Balance Sheet'!E41:E41)-SUM('Balance Sheet'!D41:D41)+SUM('Balance Sheet'!E32:E37)-SUM('Balance Sheet'!D32:D37)+SUM('Balance Sheet'!E39:E40)-SUM('Balance Sheet'!D39:D40))-(('Balance Sheet'!E8-'Balance Sheet'!D8)+('Balance Sheet'!E11-'Balance Sheet'!D11)+(SUM('Balance Sheet'!E15:E18)-SUM('Balance Sheet'!D15:D18)))</f>
        <v>-288973</v>
      </c>
      <c r="F6" s="145" t="e">
        <f>(SUM('Balance Sheet'!F41:F41)-SUM('Balance Sheet'!A41:A41)+SUM('Balance Sheet'!F32:F37)-SUM('Balance Sheet'!A32:A37)+SUM('Balance Sheet'!F39:F40)-SUM('Balance Sheet'!A39:A40))-(('Balance Sheet'!F8-'Balance Sheet'!A8)+('Balance Sheet'!F11-'Balance Sheet'!A11)+(SUM('Balance Sheet'!F15:F18)-SUM('Balance Sheet'!A15:A18)))</f>
        <v>#VALUE!</v>
      </c>
      <c r="G6" s="144">
        <f>(SUM('Balance Sheet'!G41:G41)-SUM('Balance Sheet'!F41:F41)+SUM('Balance Sheet'!G32:G37)-SUM('Balance Sheet'!F32:F37)+SUM('Balance Sheet'!G39:G40)-SUM('Balance Sheet'!F39:F40))-(('Balance Sheet'!G8-'Balance Sheet'!F8)+('Balance Sheet'!G11-'Balance Sheet'!F11)+(SUM('Balance Sheet'!G15:G18)-SUM('Balance Sheet'!F15:F18)))</f>
        <v>57271.5</v>
      </c>
      <c r="H6" s="144">
        <f>(SUM('Balance Sheet'!H41:H41)-SUM('Balance Sheet'!G41:G41)+SUM('Balance Sheet'!H32:H37)-SUM('Balance Sheet'!G32:G37)+SUM('Balance Sheet'!H39:H40)-SUM('Balance Sheet'!G39:G40))-(('Balance Sheet'!H8-'Balance Sheet'!G8)+('Balance Sheet'!H11-'Balance Sheet'!G11)+(SUM('Balance Sheet'!H15:H18)-SUM('Balance Sheet'!G15:G18)))</f>
        <v>-81490.5</v>
      </c>
      <c r="I6" s="144">
        <f>(SUM('Balance Sheet'!I41:I41)-SUM('Balance Sheet'!H41:H41)+SUM('Balance Sheet'!I32:I37)-SUM('Balance Sheet'!H32:H37)+SUM('Balance Sheet'!I39:I40)-SUM('Balance Sheet'!H39:H40))-(('Balance Sheet'!I8-'Balance Sheet'!H8)+('Balance Sheet'!I11-'Balance Sheet'!H11)+(SUM('Balance Sheet'!I15:I18)-SUM('Balance Sheet'!H15:H18)))</f>
        <v>-92437</v>
      </c>
      <c r="J6" s="144">
        <f>(SUM('Balance Sheet'!J41:J41)-SUM('Balance Sheet'!I41:I41)+SUM('Balance Sheet'!J32:J37)-SUM('Balance Sheet'!I32:I37)+SUM('Balance Sheet'!J39:J40)-SUM('Balance Sheet'!I39:I40))-(('Balance Sheet'!J8-'Balance Sheet'!I8)+('Balance Sheet'!J11-'Balance Sheet'!I11)+(SUM('Balance Sheet'!J15:J18)-SUM('Balance Sheet'!I15:I18)))</f>
        <v>-47612</v>
      </c>
      <c r="K6" s="145">
        <f>(SUM('Balance Sheet'!K41:K41)-SUM('Balance Sheet'!F41:F41)+SUM('Balance Sheet'!K32:K37)-SUM('Balance Sheet'!F32:F37)+SUM('Balance Sheet'!K39:K40)-SUM('Balance Sheet'!F39:F40))-(('Balance Sheet'!K8-'Balance Sheet'!F8)+('Balance Sheet'!K11-'Balance Sheet'!F11)+(SUM('Balance Sheet'!K15:K18)-SUM('Balance Sheet'!F15:F18)))</f>
        <v>-164268</v>
      </c>
      <c r="L6" s="144">
        <f>(SUM('Balance Sheet'!L41:L41)-SUM('Balance Sheet'!K41:K41)+SUM('Balance Sheet'!L32:L37)-SUM('Balance Sheet'!K32:K37)+SUM('Balance Sheet'!L39:L40)-SUM('Balance Sheet'!K39:K40))-(('Balance Sheet'!L8-'Balance Sheet'!K8)+('Balance Sheet'!L11-'Balance Sheet'!K11)+(SUM('Balance Sheet'!L15:L18)-SUM('Balance Sheet'!K15:K18)))</f>
        <v>-153101</v>
      </c>
      <c r="M6" s="144">
        <f>(SUM('Balance Sheet'!M41:M41)-SUM('Balance Sheet'!L41:L41)+SUM('Balance Sheet'!M32:M37)-SUM('Balance Sheet'!L32:L37)+SUM('Balance Sheet'!M39:M40)-SUM('Balance Sheet'!L39:L40))-(('Balance Sheet'!M8-'Balance Sheet'!L8)+('Balance Sheet'!M11-'Balance Sheet'!L11)+(SUM('Balance Sheet'!M15:M18)-SUM('Balance Sheet'!L15:L18)))</f>
        <v>-190144</v>
      </c>
      <c r="N6" s="144">
        <f>(SUM('Balance Sheet'!N41:N41)-SUM('Balance Sheet'!M41:M41)+SUM('Balance Sheet'!N32:N37)-SUM('Balance Sheet'!M32:M37)+SUM('Balance Sheet'!N39:N40)-SUM('Balance Sheet'!M39:M40))-(('Balance Sheet'!N8-'Balance Sheet'!M8)+('Balance Sheet'!N11-'Balance Sheet'!M11)+(SUM('Balance Sheet'!N15:N18)-SUM('Balance Sheet'!M15:M18)))</f>
        <v>-116232</v>
      </c>
      <c r="O6" s="144">
        <f>(SUM('Balance Sheet'!O41:O41)-SUM('Balance Sheet'!N41:N41)+SUM('Balance Sheet'!O32:O37)-SUM('Balance Sheet'!N32:N37)+SUM('Balance Sheet'!O39:O40)-SUM('Balance Sheet'!N39:N40))-(('Balance Sheet'!O8-'Balance Sheet'!N8)+('Balance Sheet'!O11-'Balance Sheet'!N11)+(SUM('Balance Sheet'!O15:O18)-SUM('Balance Sheet'!N15:N18)))</f>
        <v>-189554</v>
      </c>
      <c r="P6" s="145">
        <f>(SUM('Balance Sheet'!P41:P41)-SUM('Balance Sheet'!K41:K41)+SUM('Balance Sheet'!P32:P37)-SUM('Balance Sheet'!K32:K37)+SUM('Balance Sheet'!P39:P40)-SUM('Balance Sheet'!K39:K40))-(('Balance Sheet'!P8-'Balance Sheet'!K8)+('Balance Sheet'!P11-'Balance Sheet'!K11)+(SUM('Balance Sheet'!P15:P18)-SUM('Balance Sheet'!K15:K18)))</f>
        <v>-649031</v>
      </c>
      <c r="Q6" s="144">
        <f>(SUM('Balance Sheet'!Q41:Q41)-SUM('Balance Sheet'!P41:P41)+SUM('Balance Sheet'!Q32:Q37)-SUM('Balance Sheet'!P32:P37)+SUM('Balance Sheet'!Q39:Q40)-SUM('Balance Sheet'!P39:P40))-(('Balance Sheet'!Q8-'Balance Sheet'!P8)+('Balance Sheet'!Q11-'Balance Sheet'!P11)+(SUM('Balance Sheet'!Q15:Q18)-SUM('Balance Sheet'!P15:P18)))</f>
        <v>-100386</v>
      </c>
      <c r="R6" s="144">
        <f>(SUM('Balance Sheet'!R41:R41)-SUM('Balance Sheet'!Q41:Q41)+SUM('Balance Sheet'!R32:R37)-SUM('Balance Sheet'!Q32:Q37)+SUM('Balance Sheet'!R39:R40)-SUM('Balance Sheet'!Q39:Q40))-(('Balance Sheet'!R8-'Balance Sheet'!Q8)+('Balance Sheet'!R11-'Balance Sheet'!Q11)+(SUM('Balance Sheet'!R15:R18)-SUM('Balance Sheet'!Q15:Q18)))</f>
        <v>-130437</v>
      </c>
      <c r="S6" s="144">
        <f>(SUM('Balance Sheet'!S41:S41)-SUM('Balance Sheet'!R41:R41)+SUM('Balance Sheet'!S32:S37)-SUM('Balance Sheet'!R32:R37)+SUM('Balance Sheet'!S39:S40)-SUM('Balance Sheet'!R39:R40))-(('Balance Sheet'!S8-'Balance Sheet'!R8)+('Balance Sheet'!S11-'Balance Sheet'!R11)+(SUM('Balance Sheet'!S15:S18)-SUM('Balance Sheet'!R15:R18)))</f>
        <v>-142517</v>
      </c>
      <c r="T6" s="144">
        <f>(SUM('Balance Sheet'!T41:T41)-SUM('Balance Sheet'!S41:S41)+SUM('Balance Sheet'!T32:T37)-SUM('Balance Sheet'!S32:S37)+SUM('Balance Sheet'!T39:T40)-SUM('Balance Sheet'!S39:S40))-(('Balance Sheet'!T8-'Balance Sheet'!S8)+('Balance Sheet'!T11-'Balance Sheet'!S11)+(SUM('Balance Sheet'!T15:T18)-SUM('Balance Sheet'!S15:S18)))</f>
        <v>-283632</v>
      </c>
      <c r="U6" s="145">
        <f>(SUM('Balance Sheet'!U41:U41)-SUM('Balance Sheet'!P41:P41)+SUM('Balance Sheet'!U32:U37)-SUM('Balance Sheet'!P32:P37)+SUM('Balance Sheet'!U39:U40)-SUM('Balance Sheet'!P39:P40))-(('Balance Sheet'!U8-'Balance Sheet'!P8)+('Balance Sheet'!U11-'Balance Sheet'!P11)+(SUM('Balance Sheet'!U15:U18)-SUM('Balance Sheet'!P15:P18)))</f>
        <v>-656972</v>
      </c>
      <c r="V6" s="144">
        <f>(SUM('Balance Sheet'!V41:V41)-SUM('Balance Sheet'!U41:U41)+SUM('Balance Sheet'!V32:V37)-SUM('Balance Sheet'!U32:U37)+SUM('Balance Sheet'!V39:V40)-SUM('Balance Sheet'!U39:U40))-(('Balance Sheet'!V8-'Balance Sheet'!U8)+('Balance Sheet'!V11-'Balance Sheet'!U11)+(SUM('Balance Sheet'!V15:V18)-SUM('Balance Sheet'!U15:U18)))</f>
        <v>-366481</v>
      </c>
      <c r="W6" s="144">
        <f>(SUM('Balance Sheet'!W41:W41)-SUM('Balance Sheet'!V41:V41)+SUM('Balance Sheet'!W32:W37)-SUM('Balance Sheet'!V32:V37)+SUM('Balance Sheet'!W39:W40)-SUM('Balance Sheet'!V39:V40))-(('Balance Sheet'!W8-'Balance Sheet'!V8)+('Balance Sheet'!W11-'Balance Sheet'!V11)+(SUM('Balance Sheet'!W15:W18)-SUM('Balance Sheet'!V15:V18)))</f>
        <v>-374333</v>
      </c>
      <c r="X6" s="144">
        <f>(SUM('Balance Sheet'!X41:X41)-SUM('Balance Sheet'!W41:W41)+SUM('Balance Sheet'!X32:X37)-SUM('Balance Sheet'!W32:W37)+SUM('Balance Sheet'!X39:X40)-SUM('Balance Sheet'!W39:W40))-(('Balance Sheet'!X8-'Balance Sheet'!W8)+('Balance Sheet'!X11-'Balance Sheet'!W11)+(SUM('Balance Sheet'!X15:X18)-SUM('Balance Sheet'!W15:W18)))</f>
        <v>-379892</v>
      </c>
      <c r="Y6" s="144">
        <f>(SUM('Balance Sheet'!Y41:Y41)-SUM('Balance Sheet'!X41:X41)+SUM('Balance Sheet'!Y32:Y37)-SUM('Balance Sheet'!X32:X37)+SUM('Balance Sheet'!Y39:Y40)-SUM('Balance Sheet'!X39:X40))-(('Balance Sheet'!Y8-'Balance Sheet'!X8)+('Balance Sheet'!Y11-'Balance Sheet'!X11)+(SUM('Balance Sheet'!Y15:Y18)-SUM('Balance Sheet'!X15:X18)))</f>
        <v>13088</v>
      </c>
      <c r="Z6" s="145">
        <f>(SUM('Balance Sheet'!Z41:Z41)-SUM('Balance Sheet'!U41:U41)+SUM('Balance Sheet'!Z32:Z37)-SUM('Balance Sheet'!U32:U37)+SUM('Balance Sheet'!Z39:Z40)-SUM('Balance Sheet'!U39:U40))-(('Balance Sheet'!Z8-'Balance Sheet'!U8)+('Balance Sheet'!Z11-'Balance Sheet'!U11)+(SUM('Balance Sheet'!Z15:Z18)-SUM('Balance Sheet'!U15:U18)))</f>
        <v>-1107618</v>
      </c>
      <c r="AA6" s="144">
        <f>(SUM('Balance Sheet'!AA41:AA41)-SUM('Balance Sheet'!Z41:Z41)+SUM('Balance Sheet'!AA32:AA37)-SUM('Balance Sheet'!Z32:Z37)+SUM('Balance Sheet'!AA39:AA40)-SUM('Balance Sheet'!Z39:Z40))-(('Balance Sheet'!AA8-'Balance Sheet'!Z8)+('Balance Sheet'!AA11-'Balance Sheet'!Z11)+(SUM('Balance Sheet'!AA15:AA18)-SUM('Balance Sheet'!Z15:Z18)))</f>
        <v>-174412</v>
      </c>
      <c r="AB6" s="144">
        <f>(SUM('Balance Sheet'!AB41:AB41)-SUM('Balance Sheet'!AA41:AA41)+SUM('Balance Sheet'!AB32:AB37)-SUM('Balance Sheet'!AA32:AA37)+SUM('Balance Sheet'!AB39:AB40)-SUM('Balance Sheet'!AA39:AA40))-(('Balance Sheet'!AB8-'Balance Sheet'!AA8)+('Balance Sheet'!AB11-'Balance Sheet'!AA11)+(SUM('Balance Sheet'!AB15:AB18)-SUM('Balance Sheet'!AA15:AA18)))</f>
        <v>-509230</v>
      </c>
      <c r="AC6" s="144">
        <f>(SUM('Balance Sheet'!AC41:AC41)-SUM('Balance Sheet'!AB41:AB41)+SUM('Balance Sheet'!AC32:AC37)-SUM('Balance Sheet'!AB32:AB37)+SUM('Balance Sheet'!AC39:AC40)-SUM('Balance Sheet'!AB39:AB40))-(('Balance Sheet'!AC8-'Balance Sheet'!AB8)+('Balance Sheet'!AC11-'Balance Sheet'!AB11)+(SUM('Balance Sheet'!AC15:AC18)-SUM('Balance Sheet'!AB15:AB18)))</f>
        <v>-533989</v>
      </c>
      <c r="AD6" s="144">
        <f>(SUM('Balance Sheet'!AD41:AD41)-SUM('Balance Sheet'!AC41:AC41)+SUM('Balance Sheet'!AD32:AD37)-SUM('Balance Sheet'!AC32:AC37)+SUM('Balance Sheet'!AD39:AD40)-SUM('Balance Sheet'!AC39:AC40))-(('Balance Sheet'!AD8-'Balance Sheet'!AC8)+('Balance Sheet'!AD11-'Balance Sheet'!AC11)+(SUM('Balance Sheet'!AD15:AD18)-SUM('Balance Sheet'!AC15:AC18)))</f>
        <v>-451160</v>
      </c>
      <c r="AE6" s="145">
        <f>(SUM('Balance Sheet'!AE41:AE41)-SUM('Balance Sheet'!Z41:Z41)+SUM('Balance Sheet'!AE32:AE37)-SUM('Balance Sheet'!Z32:Z37)+SUM('Balance Sheet'!AE39:AE40)-SUM('Balance Sheet'!Z39:Z40))-(('Balance Sheet'!AE8-'Balance Sheet'!Z8)+('Balance Sheet'!AE11-'Balance Sheet'!Z11)+(SUM('Balance Sheet'!AE15:AE18)-SUM('Balance Sheet'!Z15:Z18)))</f>
        <v>-1668791</v>
      </c>
      <c r="AF6" s="144">
        <f>(SUM('Balance Sheet'!AF41:AF41)-SUM('Balance Sheet'!AE41:AE41)+SUM('Balance Sheet'!AF32:AF37)-SUM('Balance Sheet'!AE32:AE37)+SUM('Balance Sheet'!AF39:AF40)-SUM('Balance Sheet'!AE39:AE40))-(('Balance Sheet'!AF8-'Balance Sheet'!AE8)+('Balance Sheet'!AF11-'Balance Sheet'!AE11)+(SUM('Balance Sheet'!AF15:AF18)-SUM('Balance Sheet'!AE15:AE18)))</f>
        <v>-504080</v>
      </c>
      <c r="AG6" s="144">
        <f>(SUM('Balance Sheet'!AG41:AG41)-SUM('Balance Sheet'!AF41:AF41)+SUM('Balance Sheet'!AG32:AG37)-SUM('Balance Sheet'!AF32:AF37)+SUM('Balance Sheet'!AG39:AG40)-SUM('Balance Sheet'!AF39:AF40))-(('Balance Sheet'!AG8-'Balance Sheet'!AF8)+('Balance Sheet'!AG11-'Balance Sheet'!AF11)+(SUM('Balance Sheet'!AG15:AG18)-SUM('Balance Sheet'!AF15:AF18)))</f>
        <v>-404259</v>
      </c>
      <c r="AH6" s="144">
        <f>(SUM('Balance Sheet'!AH41:AH41)-SUM('Balance Sheet'!AG41:AG41)+SUM('Balance Sheet'!AH32:AH37)-SUM('Balance Sheet'!AG32:AG37)+SUM('Balance Sheet'!AH39:AH40)-SUM('Balance Sheet'!AG39:AG40))-(('Balance Sheet'!AH8-'Balance Sheet'!AG8)+('Balance Sheet'!AH11-'Balance Sheet'!AG11)+(SUM('Balance Sheet'!AH15:AH18)-SUM('Balance Sheet'!AG15:AG18)))</f>
        <v>-439072</v>
      </c>
      <c r="AI6" s="144">
        <f>(SUM('Balance Sheet'!AI41:AI41)-SUM('Balance Sheet'!AH41:AH41)+SUM('Balance Sheet'!AI32:AI37)-SUM('Balance Sheet'!AH32:AH37)+SUM('Balance Sheet'!AI39:AI40)-SUM('Balance Sheet'!AH39:AH40))-(('Balance Sheet'!AI8-'Balance Sheet'!AH8)+('Balance Sheet'!AI11-'Balance Sheet'!AH11)+(SUM('Balance Sheet'!AI15:AI18)-SUM('Balance Sheet'!AH15:AH18)))</f>
        <v>-483302</v>
      </c>
      <c r="AJ6" s="145">
        <f>(SUM('Balance Sheet'!AJ41:AJ41)-SUM('Balance Sheet'!AE41:AE41)+SUM('Balance Sheet'!AJ32:AJ37)-SUM('Balance Sheet'!AE32:AE37)+SUM('Balance Sheet'!AJ39:AJ40)-SUM('Balance Sheet'!AE39:AE40))-(('Balance Sheet'!AJ8-'Balance Sheet'!AE8)+('Balance Sheet'!AJ11-'Balance Sheet'!AE11)+(SUM('Balance Sheet'!AJ15:AJ18)-SUM('Balance Sheet'!AE15:AE18)))</f>
        <v>-1830713</v>
      </c>
      <c r="AK6" s="144">
        <f>(SUM('Balance Sheet'!AK41:AK41)-SUM('Balance Sheet'!AJ41:AJ41)+SUM('Balance Sheet'!AK32:AK37)-SUM('Balance Sheet'!AJ32:AJ37)+SUM('Balance Sheet'!AK39:AK40)-SUM('Balance Sheet'!AJ39:AJ40))-(('Balance Sheet'!AK8-'Balance Sheet'!AJ8)+('Balance Sheet'!AK11-'Balance Sheet'!AJ11)+(SUM('Balance Sheet'!AK15:AK18)-SUM('Balance Sheet'!AJ15:AJ18)))</f>
        <v>-226139</v>
      </c>
      <c r="AL6" s="144">
        <f>(SUM('Balance Sheet'!AL41:AL41)-SUM('Balance Sheet'!AK41:AK41)+SUM('Balance Sheet'!AL32:AL37)-SUM('Balance Sheet'!AK32:AK37)+SUM('Balance Sheet'!AL39:AL40)-SUM('Balance Sheet'!AK39:AK40))-(('Balance Sheet'!AL8-'Balance Sheet'!AK8)+('Balance Sheet'!AL11-'Balance Sheet'!AK11)+(SUM('Balance Sheet'!AL15:AL18)-SUM('Balance Sheet'!AK15:AK18)))</f>
        <v>-120002</v>
      </c>
      <c r="AM6" s="144">
        <f>(SUM('Balance Sheet'!AM41:AM41)-SUM('Balance Sheet'!AL41:AL41)+SUM('Balance Sheet'!AM32:AM37)-SUM('Balance Sheet'!AL32:AL37)+SUM('Balance Sheet'!AM39:AM40)-SUM('Balance Sheet'!AL39:AL40))-(('Balance Sheet'!AM8-'Balance Sheet'!AL8)+('Balance Sheet'!AM11-'Balance Sheet'!AL11)+(SUM('Balance Sheet'!AM15:AM18)-SUM('Balance Sheet'!AL15:AL18)))</f>
        <v>-260894</v>
      </c>
      <c r="AN6" s="144">
        <f>(SUM('Balance Sheet'!AN41:AN41)-SUM('Balance Sheet'!AM41:AM41)+SUM('Balance Sheet'!AN32:AN37)-SUM('Balance Sheet'!AM32:AM37)+SUM('Balance Sheet'!AN39:AN40)-SUM('Balance Sheet'!AM39:AM40))-(('Balance Sheet'!AN8-'Balance Sheet'!AM8)+('Balance Sheet'!AN11-'Balance Sheet'!AM11)+(SUM('Balance Sheet'!AN15:AN18)-SUM('Balance Sheet'!AM15:AM18)))</f>
        <v>336</v>
      </c>
      <c r="AO6" s="145">
        <f>(SUM('Balance Sheet'!AO41:AO41)-SUM('Balance Sheet'!AJ41:AJ41)+SUM('Balance Sheet'!AO32:AO37)-SUM('Balance Sheet'!AJ32:AJ37)+SUM('Balance Sheet'!AO39:AO40)-SUM('Balance Sheet'!AJ39:AJ40))-(('Balance Sheet'!AO8-'Balance Sheet'!AJ8)+('Balance Sheet'!AO11-'Balance Sheet'!AJ11)+(SUM('Balance Sheet'!AO15:AO18)-SUM('Balance Sheet'!AJ15:AJ18)))</f>
        <v>-606699</v>
      </c>
      <c r="AP6" s="144">
        <f>(SUM('Balance Sheet'!AP41:AP41)-SUM('Balance Sheet'!AO41:AO41)+SUM('Balance Sheet'!AP32:AP37)-SUM('Balance Sheet'!AO32:AO37)+SUM('Balance Sheet'!AP39:AP40)-SUM('Balance Sheet'!AO39:AO40))-(('Balance Sheet'!AP8-'Balance Sheet'!AO8)+('Balance Sheet'!AP11-'Balance Sheet'!AO11)+(SUM('Balance Sheet'!AP15:AP18)-SUM('Balance Sheet'!AO15:AO18)))</f>
        <v>-60429</v>
      </c>
      <c r="AQ6" s="144">
        <f>(SUM('Balance Sheet'!AQ41:AQ41)-SUM('Balance Sheet'!AP41:AP41)+SUM('Balance Sheet'!AQ32:AQ37)-SUM('Balance Sheet'!AP32:AP37)+SUM('Balance Sheet'!AQ39:AQ40)-SUM('Balance Sheet'!AP39:AP40))-(('Balance Sheet'!AQ8-'Balance Sheet'!AP8)+('Balance Sheet'!AQ11-'Balance Sheet'!AP11)+(SUM('Balance Sheet'!AQ15:AQ18)-SUM('Balance Sheet'!AP15:AP18)))</f>
        <v>-122396</v>
      </c>
      <c r="AR6" s="144">
        <f>(SUM('Balance Sheet'!AR41:AR41)-SUM('Balance Sheet'!AQ41:AQ41)+SUM('Balance Sheet'!AR32:AR37)-SUM('Balance Sheet'!AQ32:AQ37)+SUM('Balance Sheet'!AR39:AR40)-SUM('Balance Sheet'!AQ39:AQ40))-(('Balance Sheet'!AR8-'Balance Sheet'!AQ8)+('Balance Sheet'!AR11-'Balance Sheet'!AQ11)+(SUM('Balance Sheet'!AR15:AR18)-SUM('Balance Sheet'!AQ15:AQ18)))</f>
        <v>-62639</v>
      </c>
      <c r="AS6" s="144">
        <f>(SUM('Balance Sheet'!AS41:AS41)-SUM('Balance Sheet'!AR41:AR41)+SUM('Balance Sheet'!AS32:AS37)-SUM('Balance Sheet'!AR32:AR37)+SUM('Balance Sheet'!AS39:AS40)-SUM('Balance Sheet'!AR39:AR40))-(('Balance Sheet'!AS8-'Balance Sheet'!AR8)+('Balance Sheet'!AS11-'Balance Sheet'!AR11)+(SUM('Balance Sheet'!AS15:AS18)-SUM('Balance Sheet'!AR15:AR18)))</f>
        <v>312373</v>
      </c>
      <c r="AT6" s="145">
        <f>(SUM('Balance Sheet'!AT41:AT41)-SUM('Balance Sheet'!AO41:AO41)+SUM('Balance Sheet'!AT32:AT37)-SUM('Balance Sheet'!AO32:AO37)+SUM('Balance Sheet'!AT39:AT40)-SUM('Balance Sheet'!AO39:AO40))-(('Balance Sheet'!AT8-'Balance Sheet'!AO8)+('Balance Sheet'!AT11-'Balance Sheet'!AO11)+(SUM('Balance Sheet'!AT15:AT18)-SUM('Balance Sheet'!AO15:AO18)))</f>
        <v>66909</v>
      </c>
      <c r="AU6" s="144">
        <f>(SUM('Balance Sheet'!AU41:AU41)-SUM('Balance Sheet'!AT41:AT41)+SUM('Balance Sheet'!AU32:AU37)-SUM('Balance Sheet'!AT32:AT37)+SUM('Balance Sheet'!AU39:AU40)-SUM('Balance Sheet'!AT39:AT40))-(('Balance Sheet'!AU8-'Balance Sheet'!AT8)+('Balance Sheet'!AU11-'Balance Sheet'!AT11)+(SUM('Balance Sheet'!AU15:AU18)-SUM('Balance Sheet'!AT15:AT18)))</f>
        <v>48069</v>
      </c>
      <c r="AV6" s="144">
        <f>(SUM('Balance Sheet'!AV41:AV41)-SUM('Balance Sheet'!AU41:AU41)+SUM('Balance Sheet'!AV32:AV37)-SUM('Balance Sheet'!AU32:AU37)+SUM('Balance Sheet'!AV39:AV40)-SUM('Balance Sheet'!AU39:AU40))-(('Balance Sheet'!AV8-'Balance Sheet'!AU8)+('Balance Sheet'!AV11-'Balance Sheet'!AU11)+(SUM('Balance Sheet'!AV15:AV18)-SUM('Balance Sheet'!AU15:AU18)))</f>
        <v>-236347</v>
      </c>
      <c r="AW6" s="144">
        <f>(SUM('Balance Sheet'!AW41:AW41)-SUM('Balance Sheet'!AV41:AV41)+SUM('Balance Sheet'!AW32:AW37)-SUM('Balance Sheet'!AV32:AV37)+SUM('Balance Sheet'!AW39:AW40)-SUM('Balance Sheet'!AV39:AV40))-(('Balance Sheet'!AW8-'Balance Sheet'!AV8)+('Balance Sheet'!AW11-'Balance Sheet'!AV11)+(SUM('Balance Sheet'!AW15:AW18)-SUM('Balance Sheet'!AV15:AV18)))</f>
        <v>-259367</v>
      </c>
      <c r="AX6" s="144">
        <f>(SUM('Balance Sheet'!AX41:AX41)-SUM('Balance Sheet'!AW41:AW41)+SUM('Balance Sheet'!AX32:AX37)-SUM('Balance Sheet'!AW32:AW37)+SUM('Balance Sheet'!AX39:AX40)-SUM('Balance Sheet'!AW39:AW40))-(('Balance Sheet'!AX8-'Balance Sheet'!AW8)+('Balance Sheet'!AX11-'Balance Sheet'!AW11)+(SUM('Balance Sheet'!AX15:AX18)-SUM('Balance Sheet'!AW15:AW18)))</f>
        <v>-250086</v>
      </c>
      <c r="AY6" s="145">
        <f>(SUM('Balance Sheet'!AY41:AY41)-SUM('Balance Sheet'!AT41:AT41)+SUM('Balance Sheet'!AY32:AY37)-SUM('Balance Sheet'!AT32:AT37)+SUM('Balance Sheet'!AY39:AY40)-SUM('Balance Sheet'!AT39:AT40))-(('Balance Sheet'!AY8-'Balance Sheet'!AT8)+('Balance Sheet'!AY11-'Balance Sheet'!AT11)+(SUM('Balance Sheet'!AY15:AY18)-SUM('Balance Sheet'!AT15:AT18)))</f>
        <v>-697731</v>
      </c>
      <c r="AZ6" s="144">
        <f>(SUM('Balance Sheet'!AZ41:AZ41)-SUM('Balance Sheet'!AY41:AY41)+SUM('Balance Sheet'!AZ32:AZ37)-SUM('Balance Sheet'!AY32:AY37)+SUM('Balance Sheet'!AZ39:AZ40)-SUM('Balance Sheet'!AY39:AY40))-(('Balance Sheet'!AZ8-'Balance Sheet'!AY8)+('Balance Sheet'!AZ11-'Balance Sheet'!AY11)+(SUM('Balance Sheet'!AZ15:AZ18)-SUM('Balance Sheet'!AY15:AY18)))</f>
        <v>59837</v>
      </c>
      <c r="BA6" s="144">
        <f>(SUM('Balance Sheet'!BA41:BA41)-SUM('Balance Sheet'!AZ41:AZ41)+SUM('Balance Sheet'!BA32:BA37)-SUM('Balance Sheet'!AZ32:AZ37)+SUM('Balance Sheet'!BA39:BA40)-SUM('Balance Sheet'!AZ39:AZ40))-(('Balance Sheet'!BA8-'Balance Sheet'!AZ8)+('Balance Sheet'!BA11-'Balance Sheet'!AZ11)+(SUM('Balance Sheet'!BA15:BA18)-SUM('Balance Sheet'!AZ15:AZ18)))</f>
        <v>-61962</v>
      </c>
      <c r="BB6" s="144">
        <f>(SUM('Balance Sheet'!BB41:BB41)-SUM('Balance Sheet'!BA41:BA41)+SUM('Balance Sheet'!BB32:BB37)-SUM('Balance Sheet'!BA32:BA37)+SUM('Balance Sheet'!BB39:BB40)-SUM('Balance Sheet'!BA39:BA40))-(('Balance Sheet'!BB8-'Balance Sheet'!BA8)+('Balance Sheet'!BB11-'Balance Sheet'!BA11)+(SUM('Balance Sheet'!BB15:BB18)-SUM('Balance Sheet'!BA15:BA18)))</f>
        <v>-45559</v>
      </c>
      <c r="BC6" s="144">
        <f>(SUM('Balance Sheet'!BC41:BC41)-SUM('Balance Sheet'!BB41:BB41)+SUM('Balance Sheet'!BC32:BC37)-SUM('Balance Sheet'!BB32:BB37)+SUM('Balance Sheet'!BC39:BC40)-SUM('Balance Sheet'!BB39:BB40))-(('Balance Sheet'!BC8-'Balance Sheet'!BB8)+('Balance Sheet'!BC11-'Balance Sheet'!BB11)+(SUM('Balance Sheet'!BC15:BC18)-SUM('Balance Sheet'!BB15:BB18)))</f>
        <v>248458</v>
      </c>
      <c r="BD6" s="145">
        <f>(SUM('Balance Sheet'!BD41:BD41)-SUM('Balance Sheet'!AY41:AY41)+SUM('Balance Sheet'!BD32:BD37)-SUM('Balance Sheet'!AY32:AY37)+SUM('Balance Sheet'!BD39:BD40)-SUM('Balance Sheet'!AY39:AY40))-(('Balance Sheet'!BD8-'Balance Sheet'!AY8)+('Balance Sheet'!BD11-'Balance Sheet'!AY11)+(SUM('Balance Sheet'!BD15:BD18)-SUM('Balance Sheet'!AY15:AY18)))</f>
        <v>200774</v>
      </c>
      <c r="BE6" s="144">
        <f>(SUM('Balance Sheet'!BE41:BE41)-SUM('Balance Sheet'!BD41:BD41)+SUM('Balance Sheet'!BE32:BE37)-SUM('Balance Sheet'!BD32:BD37)+SUM('Balance Sheet'!BE39:BE40)-SUM('Balance Sheet'!BD39:BD40))-(('Balance Sheet'!BE8-'Balance Sheet'!BD8)+('Balance Sheet'!BE11-'Balance Sheet'!BD11)+(SUM('Balance Sheet'!BE15:BE18)-SUM('Balance Sheet'!BD15:BD18)))</f>
        <v>252706</v>
      </c>
      <c r="BF6" s="144">
        <f>(SUM('Balance Sheet'!BF41:BF41)-SUM('Balance Sheet'!BE41:BE41)+SUM('Balance Sheet'!BF32:BF37)-SUM('Balance Sheet'!BE32:BE37)+SUM('Balance Sheet'!BF39:BF40)-SUM('Balance Sheet'!BE39:BE40))-(('Balance Sheet'!BF8-'Balance Sheet'!BE8)+('Balance Sheet'!BF11-'Balance Sheet'!BE11)+(SUM('Balance Sheet'!BF15:BF18)-SUM('Balance Sheet'!BE15:BE18)))</f>
        <v>367180</v>
      </c>
      <c r="BG6" s="144">
        <f>(SUM('Balance Sheet'!BG41:BG41)-SUM('Balance Sheet'!BF41:BF41)+SUM('Balance Sheet'!BG32:BG37)-SUM('Balance Sheet'!BF32:BF37)+SUM('Balance Sheet'!BG39:BG40)-SUM('Balance Sheet'!BF39:BF40))-(('Balance Sheet'!BG8-'Balance Sheet'!BF8)+('Balance Sheet'!BG11-'Balance Sheet'!BF11)+(SUM('Balance Sheet'!BG15:BG18)-SUM('Balance Sheet'!BF15:BF18)))</f>
        <v>-215553</v>
      </c>
      <c r="BH6" s="144">
        <f>(SUM('Balance Sheet'!BH41:BH41)-SUM('Balance Sheet'!BG41:BG41)+SUM('Balance Sheet'!BH32:BH37)-SUM('Balance Sheet'!BG32:BG37)+SUM('Balance Sheet'!BH39:BH40)-SUM('Balance Sheet'!BG39:BG40))-(('Balance Sheet'!BH8-'Balance Sheet'!BG8)+('Balance Sheet'!BH11-'Balance Sheet'!BG11)+(SUM('Balance Sheet'!BH15:BH18)-SUM('Balance Sheet'!BG15:BG18)))</f>
        <v>-5918</v>
      </c>
      <c r="BI6" s="145">
        <f>(SUM('Balance Sheet'!BI41:BI41)-SUM('Balance Sheet'!BD41:BD41)+SUM('Balance Sheet'!BI32:BI37)-SUM('Balance Sheet'!BD32:BD37)+SUM('Balance Sheet'!BI39:BI40)-SUM('Balance Sheet'!BD39:BD40))-(('Balance Sheet'!BI8-'Balance Sheet'!BD8)+('Balance Sheet'!BI11-'Balance Sheet'!BD11)+(SUM('Balance Sheet'!BI15:BI18)-SUM('Balance Sheet'!BD15:BD18)))</f>
        <v>398415</v>
      </c>
      <c r="BJ6" s="144">
        <f>(SUM('Balance Sheet'!BJ41:BJ41)-SUM('Balance Sheet'!BI41:BI41)+SUM('Balance Sheet'!BJ32:BJ37)-SUM('Balance Sheet'!BI32:BI37)+SUM('Balance Sheet'!BJ39:BJ40)-SUM('Balance Sheet'!BI39:BI40))-(('Balance Sheet'!BJ8-'Balance Sheet'!BI8)+('Balance Sheet'!BJ11-'Balance Sheet'!BI11)+(SUM('Balance Sheet'!BJ15:BJ18)-SUM('Balance Sheet'!BI15:BI18)))</f>
        <v>-77861</v>
      </c>
      <c r="BK6" s="144">
        <f>(SUM('Balance Sheet'!BK41:BK41)-SUM('Balance Sheet'!BJ41:BJ41)+SUM('Balance Sheet'!BK32:BK37)-SUM('Balance Sheet'!BJ32:BJ37)+SUM('Balance Sheet'!BK39:BK40)-SUM('Balance Sheet'!BJ39:BJ40))-(('Balance Sheet'!BK8-'Balance Sheet'!BJ8)+('Balance Sheet'!BK11-'Balance Sheet'!BJ11)+(SUM('Balance Sheet'!BK15:BK18)-SUM('Balance Sheet'!BJ15:BJ18)))</f>
        <v>-17371</v>
      </c>
      <c r="BL6" s="144">
        <f>(SUM('Balance Sheet'!BL41:BL41)-SUM('Balance Sheet'!BK41:BK41)+SUM('Balance Sheet'!BL32:BL37)-SUM('Balance Sheet'!BK32:BK37)+SUM('Balance Sheet'!BL39:BL40)-SUM('Balance Sheet'!BK39:BK40))-(('Balance Sheet'!BL8-'Balance Sheet'!BK8)+('Balance Sheet'!BL11-'Balance Sheet'!BK11)+(SUM('Balance Sheet'!BL15:BL18)-SUM('Balance Sheet'!BK15:BK18)))</f>
        <v>-193722</v>
      </c>
      <c r="BM6" s="144">
        <f>(SUM('Balance Sheet'!BM41:BM41)-SUM('Balance Sheet'!BL41:BL41)+SUM('Balance Sheet'!BM32:BM37)-SUM('Balance Sheet'!BL32:BL37)+SUM('Balance Sheet'!BM39:BM40)-SUM('Balance Sheet'!BL39:BL40))-(('Balance Sheet'!BM8-'Balance Sheet'!BL8)+('Balance Sheet'!BM11-'Balance Sheet'!BL11)+(SUM('Balance Sheet'!BM15:BM18)-SUM('Balance Sheet'!BL15:BL18)))</f>
        <v>331039</v>
      </c>
      <c r="BN6" s="145">
        <f>(SUM('Balance Sheet'!BN41:BN41)-SUM('Balance Sheet'!BI41:BI41)+SUM('Balance Sheet'!BN32:BN37)-SUM('Balance Sheet'!BI32:BI37)+SUM('Balance Sheet'!BN39:BN40)-SUM('Balance Sheet'!BI39:BI40))-(('Balance Sheet'!BN8-'Balance Sheet'!BI8)+('Balance Sheet'!BN11-'Balance Sheet'!BI11)+(SUM('Balance Sheet'!BN15:BN18)-SUM('Balance Sheet'!BI15:BI18)))</f>
        <v>42085</v>
      </c>
      <c r="BO6" s="144">
        <f>(SUM('Balance Sheet'!BO41:BO41)-SUM('Balance Sheet'!BN41:BN41)+SUM('Balance Sheet'!BO32:BO37)-SUM('Balance Sheet'!BN32:BN37)+SUM('Balance Sheet'!BO39:BO40)-SUM('Balance Sheet'!BN39:BN40))-(('Balance Sheet'!BO8-'Balance Sheet'!BN8)+('Balance Sheet'!BO11-'Balance Sheet'!BN11)+(SUM('Balance Sheet'!BO15:BO18)-SUM('Balance Sheet'!BN15:BN18)))</f>
        <v>94490</v>
      </c>
      <c r="BP6" s="144">
        <f>(SUM('Balance Sheet'!BP41:BP41)-SUM('Balance Sheet'!BO41:BO41)+SUM('Balance Sheet'!BP32:BP37)-SUM('Balance Sheet'!BO32:BO37)+SUM('Balance Sheet'!BP39:BP40)-SUM('Balance Sheet'!BO39:BO40))-(('Balance Sheet'!BP8-'Balance Sheet'!BO8)+('Balance Sheet'!BP11-'Balance Sheet'!BO11)+(SUM('Balance Sheet'!BP15:BP18)-SUM('Balance Sheet'!BO15:BO18)))</f>
        <v>295924</v>
      </c>
      <c r="BQ6" s="144">
        <f>(SUM('Balance Sheet'!BQ41:BQ41)-SUM('Balance Sheet'!BP41:BP41)+SUM('Balance Sheet'!BQ32:BQ37)-SUM('Balance Sheet'!BP32:BP37)+SUM('Balance Sheet'!BQ39:BQ40)-SUM('Balance Sheet'!BP39:BP40))-(('Balance Sheet'!BQ8-'Balance Sheet'!BP8)+('Balance Sheet'!BQ11-'Balance Sheet'!BP11)+(SUM('Balance Sheet'!BQ15:BQ18)-SUM('Balance Sheet'!BP15:BP18)))</f>
        <v>166396</v>
      </c>
      <c r="BR6" s="144">
        <f>(SUM('Balance Sheet'!BR41:BR41)-SUM('Balance Sheet'!BQ41:BQ41)+SUM('Balance Sheet'!BR32:BR37)-SUM('Balance Sheet'!BQ32:BQ37)+SUM('Balance Sheet'!BR39:BR40)-SUM('Balance Sheet'!BQ39:BQ40))-(('Balance Sheet'!BR8-'Balance Sheet'!BQ8)+('Balance Sheet'!BR11-'Balance Sheet'!BQ11)+(SUM('Balance Sheet'!BR15:BR18)-SUM('Balance Sheet'!BQ15:BQ18)))</f>
        <v>300737</v>
      </c>
      <c r="BS6" s="145">
        <f>(SUM('Balance Sheet'!BS41:BS41)-SUM('Balance Sheet'!BN41:BN41)+SUM('Balance Sheet'!BS32:BS37)-SUM('Balance Sheet'!BN32:BN37)+SUM('Balance Sheet'!BS39:BS40)-SUM('Balance Sheet'!BN39:BN40))-(('Balance Sheet'!BS8-'Balance Sheet'!BN8)+('Balance Sheet'!BS11-'Balance Sheet'!BN11)+(SUM('Balance Sheet'!BS15:BS18)-SUM('Balance Sheet'!BN15:BN18)))</f>
        <v>857547</v>
      </c>
      <c r="BT6" s="144">
        <f>(SUM('Balance Sheet'!BT41:BT41)-SUM('Balance Sheet'!BS41:BS41)+SUM('Balance Sheet'!BT32:BT37)-SUM('Balance Sheet'!BS32:BS37)+SUM('Balance Sheet'!BT39:BT40)-SUM('Balance Sheet'!BS39:BS40))-(('Balance Sheet'!BT8-'Balance Sheet'!BS8)+('Balance Sheet'!BT11-'Balance Sheet'!BS11)+(SUM('Balance Sheet'!BT15:BT18)-SUM('Balance Sheet'!BS15:BS18)))</f>
        <v>633105</v>
      </c>
      <c r="BU6" s="144">
        <f>(SUM('Balance Sheet'!BU41:BU41)-SUM('Balance Sheet'!BT41:BT41)+SUM('Balance Sheet'!BU32:BU37)-SUM('Balance Sheet'!BT32:BT37)+SUM('Balance Sheet'!BU39:BU40)-SUM('Balance Sheet'!BT39:BT40))-(('Balance Sheet'!BU8-'Balance Sheet'!BT8)+('Balance Sheet'!BU11-'Balance Sheet'!BT11)+(SUM('Balance Sheet'!BU15:BU18)-SUM('Balance Sheet'!BT15:BT18)))</f>
        <v>175179</v>
      </c>
      <c r="BV6" s="144">
        <f>(SUM('Balance Sheet'!BV41:BV41)-SUM('Balance Sheet'!BU41:BU41)+SUM('Balance Sheet'!BV32:BV37)-SUM('Balance Sheet'!BU32:BU37)+SUM('Balance Sheet'!BV39:BV40)-SUM('Balance Sheet'!BU39:BU40))-(('Balance Sheet'!BV8-'Balance Sheet'!BU8)+('Balance Sheet'!BV11-'Balance Sheet'!BU11)+(SUM('Balance Sheet'!BV15:BV18)-SUM('Balance Sheet'!BU15:BU18)))</f>
        <v>289570</v>
      </c>
      <c r="BW6" s="144">
        <f>(SUM('Balance Sheet'!BW41:BW41)-SUM('Balance Sheet'!BV41:BV41)+SUM('Balance Sheet'!BW32:BW37)-SUM('Balance Sheet'!BV32:BV37)+SUM('Balance Sheet'!BW39:BW40)-SUM('Balance Sheet'!BV39:BV40))-(('Balance Sheet'!BW8-'Balance Sheet'!BV8)+('Balance Sheet'!BW11-'Balance Sheet'!BV11)+(SUM('Balance Sheet'!BW15:BW18)-SUM('Balance Sheet'!BV15:BV18)))</f>
        <v>112747</v>
      </c>
      <c r="BX6" s="145">
        <f>(SUM('Balance Sheet'!BX41:BX41)-SUM('Balance Sheet'!BS41:BS41)+SUM('Balance Sheet'!BX32:BX37)-SUM('Balance Sheet'!BS32:BS37)+SUM('Balance Sheet'!BX39:BX40)-SUM('Balance Sheet'!BS39:BS40))-(('Balance Sheet'!BX8-'Balance Sheet'!BS8)+('Balance Sheet'!BX11-'Balance Sheet'!BS11)+(SUM('Balance Sheet'!BX15:BX18)-SUM('Balance Sheet'!BS15:BS18)))</f>
        <v>1210601</v>
      </c>
      <c r="BY6" s="144">
        <f>(SUM('Balance Sheet'!BY41:BY41)-SUM('Balance Sheet'!BX41:BX41)+SUM('Balance Sheet'!BY32:BY37)-SUM('Balance Sheet'!BX32:BX37)+SUM('Balance Sheet'!BY39:BY40)-SUM('Balance Sheet'!BX39:BX40))-(('Balance Sheet'!BY8-'Balance Sheet'!BX8)+('Balance Sheet'!BY11-'Balance Sheet'!BX11)+(SUM('Balance Sheet'!BY15:BY18)-SUM('Balance Sheet'!BX15:BX18)))</f>
        <v>44177</v>
      </c>
      <c r="BZ6" s="144">
        <f>(SUM('Balance Sheet'!BZ41:BZ41)-SUM('Balance Sheet'!BY41:BY41)+SUM('Balance Sheet'!BZ32:BZ37)-SUM('Balance Sheet'!BY32:BY37)+SUM('Balance Sheet'!BZ39:BZ40)-SUM('Balance Sheet'!BY39:BY40))-(('Balance Sheet'!BZ8-'Balance Sheet'!BY8)+('Balance Sheet'!BZ11-'Balance Sheet'!BY11)+(SUM('Balance Sheet'!BZ15:BZ18)-SUM('Balance Sheet'!BY15:BY18)))</f>
        <v>242618</v>
      </c>
      <c r="CA6" s="144">
        <f>(SUM('Balance Sheet'!CA41:CA41)-SUM('Balance Sheet'!BZ41:BZ41)+SUM('Balance Sheet'!CA32:CA37)-SUM('Balance Sheet'!BZ32:BZ37)+SUM('Balance Sheet'!CA39:CA40)-SUM('Balance Sheet'!BZ39:BZ40))-(('Balance Sheet'!CA8-'Balance Sheet'!BZ8)+('Balance Sheet'!CA11-'Balance Sheet'!BZ11)+(SUM('Balance Sheet'!CA15:CA18)-SUM('Balance Sheet'!BZ15:BZ18)))</f>
        <v>-81799</v>
      </c>
      <c r="CB6" s="144">
        <f>(SUM('Balance Sheet'!CB41:CB41)-SUM('Balance Sheet'!CA41:CA41)+SUM('Balance Sheet'!CB32:CB37)-SUM('Balance Sheet'!CA32:CA37)+SUM('Balance Sheet'!CB39:CB40)-SUM('Balance Sheet'!CA39:CA40))-(('Balance Sheet'!CB8-'Balance Sheet'!CA8)+('Balance Sheet'!CB11-'Balance Sheet'!CA11)+(SUM('Balance Sheet'!CB15:CB18)-SUM('Balance Sheet'!CA15:CA18)))</f>
        <v>100557</v>
      </c>
      <c r="CC6" s="145">
        <f>(SUM('Balance Sheet'!CC41:CC41)-SUM('Balance Sheet'!BX41:BX41)+SUM('Balance Sheet'!CC32:CC37)-SUM('Balance Sheet'!BX32:BX37)+SUM('Balance Sheet'!CC39:CC40)-SUM('Balance Sheet'!BX39:BX40))-(('Balance Sheet'!CC8-'Balance Sheet'!BX8)+('Balance Sheet'!CC11-'Balance Sheet'!BX11)+(SUM('Balance Sheet'!CC15:CC18)-SUM('Balance Sheet'!BX15:BX18)))</f>
        <v>305553</v>
      </c>
      <c r="CD6" s="144">
        <f>(SUM('Balance Sheet'!CD41:CD41)-SUM('Balance Sheet'!CC41:CC41)+SUM('Balance Sheet'!CD32:CD37)-SUM('Balance Sheet'!CC32:CC37)+SUM('Balance Sheet'!CD39:CD40)-SUM('Balance Sheet'!CC39:CC40))-(('Balance Sheet'!CD8-'Balance Sheet'!CC8)+('Balance Sheet'!CD11-'Balance Sheet'!CC11)+(SUM('Balance Sheet'!CD15:CD18)-SUM('Balance Sheet'!CC15:CC18)))</f>
        <v>12475</v>
      </c>
      <c r="CE6" s="144">
        <f>(SUM('Balance Sheet'!CE41:CE41)-SUM('Balance Sheet'!CD41:CD41)+SUM('Balance Sheet'!CE32:CE37)-SUM('Balance Sheet'!CD32:CD37)+SUM('Balance Sheet'!CE39:CE40)-SUM('Balance Sheet'!CD39:CD40))-(('Balance Sheet'!CE8-'Balance Sheet'!CD8)+('Balance Sheet'!CE11-'Balance Sheet'!CD11)+(SUM('Balance Sheet'!CE15:CE18)-SUM('Balance Sheet'!CD15:CD18)))</f>
        <v>-139677</v>
      </c>
      <c r="CF6" s="144">
        <f>(SUM('Balance Sheet'!CF41:CF41)-SUM('Balance Sheet'!CE41:CE41)+SUM('Balance Sheet'!CF32:CF37)-SUM('Balance Sheet'!CE32:CE37)+SUM('Balance Sheet'!CF39:CF40)-SUM('Balance Sheet'!CE39:CE40))-(('Balance Sheet'!CF8-'Balance Sheet'!CE8)+('Balance Sheet'!CF11-'Balance Sheet'!CE11)+(SUM('Balance Sheet'!CF15:CF18)-SUM('Balance Sheet'!CE15:CE18)))</f>
        <v>943950</v>
      </c>
      <c r="CG6" s="144">
        <f>(SUM('Balance Sheet'!CG41:CG41)-SUM('Balance Sheet'!CF41:CF41)+SUM('Balance Sheet'!CG32:CG37)-SUM('Balance Sheet'!CF32:CF37)+SUM('Balance Sheet'!CG39:CG40)-SUM('Balance Sheet'!CF39:CF40))-(('Balance Sheet'!CG8-'Balance Sheet'!CF8)+('Balance Sheet'!CG11-'Balance Sheet'!CF11)+(SUM('Balance Sheet'!CG15:CG18)-SUM('Balance Sheet'!CF15:CF18)))</f>
        <v>-55544</v>
      </c>
      <c r="CH6" s="145">
        <f>(SUM('Balance Sheet'!CH41:CH41)-SUM('Balance Sheet'!CC41:CC41)+SUM('Balance Sheet'!CH32:CH37)-SUM('Balance Sheet'!CC32:CC37)+SUM('Balance Sheet'!CH39:CH40)-SUM('Balance Sheet'!CC39:CC40))-(('Balance Sheet'!CH8-'Balance Sheet'!CC8)+('Balance Sheet'!CH11-'Balance Sheet'!CC11)+(SUM('Balance Sheet'!CH15:CH18)-SUM('Balance Sheet'!CC15:CC18)))</f>
        <v>761204</v>
      </c>
      <c r="CI6" s="144">
        <f>(SUM('Balance Sheet'!CI41:CI41)-SUM('Balance Sheet'!CH41:CH41)+SUM('Balance Sheet'!CI32:CI37)-SUM('Balance Sheet'!CH32:CH37)+SUM('Balance Sheet'!CI39:CI40)-SUM('Balance Sheet'!CH39:CH40))-(('Balance Sheet'!CI8-'Balance Sheet'!CH8)+('Balance Sheet'!CI11-'Balance Sheet'!CH11)+(SUM('Balance Sheet'!CI15:CI18)-SUM('Balance Sheet'!CH15:CH18)))</f>
        <v>-117037</v>
      </c>
      <c r="CJ6" s="144">
        <f>(SUM('Balance Sheet'!CJ41:CJ41)-SUM('Balance Sheet'!CI41:CI41)+SUM('Balance Sheet'!CJ32:CJ37)-SUM('Balance Sheet'!CI32:CI37)+SUM('Balance Sheet'!CJ39:CJ40)-SUM('Balance Sheet'!CI39:CI40))-(('Balance Sheet'!CJ8-'Balance Sheet'!CI8)+('Balance Sheet'!CJ11-'Balance Sheet'!CI11)+(SUM('Balance Sheet'!CJ15:CJ18)-SUM('Balance Sheet'!CI15:CI18)))</f>
        <v>-140135</v>
      </c>
      <c r="CK6" s="144">
        <f>(SUM('Balance Sheet'!CK41:CK41)-SUM('Balance Sheet'!CJ41:CJ41)+SUM('Balance Sheet'!CK32:CK37)-SUM('Balance Sheet'!CJ32:CJ37)+SUM('Balance Sheet'!CK39:CK40)-SUM('Balance Sheet'!CJ39:CJ40))-(('Balance Sheet'!CK8-'Balance Sheet'!CJ8)+('Balance Sheet'!CK11-'Balance Sheet'!CJ11)+(SUM('Balance Sheet'!CK15:CK18)-SUM('Balance Sheet'!CJ15:CJ18)))</f>
        <v>-65144</v>
      </c>
      <c r="CL6" s="144">
        <f>(SUM('Balance Sheet'!CL41:CL41)-SUM('Balance Sheet'!CK41:CK41)+SUM('Balance Sheet'!CL32:CL37)-SUM('Balance Sheet'!CK32:CK37)+SUM('Balance Sheet'!CL39:CL40)-SUM('Balance Sheet'!CK39:CK40))-(('Balance Sheet'!CL8-'Balance Sheet'!CK8)+('Balance Sheet'!CL11-'Balance Sheet'!CK11)+(SUM('Balance Sheet'!CL15:CL18)-SUM('Balance Sheet'!CK15:CK18)))</f>
        <v>-296187</v>
      </c>
      <c r="CM6" s="145">
        <f>(SUM('Balance Sheet'!CM41:CM41)-SUM('Balance Sheet'!CH41:CH41)+SUM('Balance Sheet'!CM32:CM37)-SUM('Balance Sheet'!CH32:CH37)+SUM('Balance Sheet'!CM39:CM40)-SUM('Balance Sheet'!CH39:CH40))-(('Balance Sheet'!CM8-'Balance Sheet'!CH8)+('Balance Sheet'!CM11-'Balance Sheet'!CH11)+(SUM('Balance Sheet'!CM15:CM18)-SUM('Balance Sheet'!CH15:CH18)))</f>
        <v>-618503</v>
      </c>
      <c r="CN6" s="144">
        <f>(SUM('Balance Sheet'!CN41:CN41)-SUM('Balance Sheet'!CM41:CM41)+SUM('Balance Sheet'!CN32:CN37)-SUM('Balance Sheet'!CM32:CM37)+SUM('Balance Sheet'!CN39:CN40)-SUM('Balance Sheet'!CM39:CM40))-(('Balance Sheet'!CN8-'Balance Sheet'!CM8)+('Balance Sheet'!CN11-'Balance Sheet'!CM11)+(SUM('Balance Sheet'!CN15:CN18)-SUM('Balance Sheet'!CM15:CM18)))</f>
        <v>-186410</v>
      </c>
      <c r="CO6" s="144">
        <f>(SUM('Balance Sheet'!CO41:CO41)-SUM('Balance Sheet'!CN41:CN41)+SUM('Balance Sheet'!CO32:CO37)-SUM('Balance Sheet'!CN32:CN37)+SUM('Balance Sheet'!CO39:CO40)-SUM('Balance Sheet'!CN39:CN40))-(('Balance Sheet'!CO8-'Balance Sheet'!CN8)+('Balance Sheet'!CO11-'Balance Sheet'!CN11)+(SUM('Balance Sheet'!CO15:CO18)-SUM('Balance Sheet'!CN15:CN18)))</f>
        <v>83782</v>
      </c>
      <c r="CP6" s="144">
        <f>(SUM('Balance Sheet'!CP41:CP41)-SUM('Balance Sheet'!CO41:CO41)+SUM('Balance Sheet'!CP32:CP37)-SUM('Balance Sheet'!CO32:CO37)+SUM('Balance Sheet'!CP39:CP40)-SUM('Balance Sheet'!CO39:CO40))-(('Balance Sheet'!CP8-'Balance Sheet'!CO8)+('Balance Sheet'!CP11-'Balance Sheet'!CO11)+(SUM('Balance Sheet'!CP15:CP18)-SUM('Balance Sheet'!CO15:CO18)))</f>
        <v>293798</v>
      </c>
      <c r="CQ6" s="144">
        <f>(SUM('Balance Sheet'!CQ41:CQ41)-SUM('Balance Sheet'!CP41:CP41)+SUM('Balance Sheet'!CQ32:CQ37)-SUM('Balance Sheet'!CP32:CP37)+SUM('Balance Sheet'!CQ39:CQ40)-SUM('Balance Sheet'!CP39:CP40))-(('Balance Sheet'!CQ8-'Balance Sheet'!CP8)+('Balance Sheet'!CQ11-'Balance Sheet'!CP11)+(SUM('Balance Sheet'!CQ15:CQ18)-SUM('Balance Sheet'!CP15:CP18)))</f>
        <v>-745402</v>
      </c>
      <c r="CR6" s="145">
        <f>(SUM('Balance Sheet'!CR41:CR41)-SUM('Balance Sheet'!CM41:CM41)+SUM('Balance Sheet'!CR32:CR37)-SUM('Balance Sheet'!CM32:CM37)+SUM('Balance Sheet'!CR39:CR40)-SUM('Balance Sheet'!CM39:CM40))-(('Balance Sheet'!CR8-'Balance Sheet'!CM8)+('Balance Sheet'!CR11-'Balance Sheet'!CM11)+(SUM('Balance Sheet'!CR15:CR18)-SUM('Balance Sheet'!CM15:CM18)))</f>
        <v>-554232</v>
      </c>
      <c r="CS6" s="144">
        <f>(SUM('Balance Sheet'!CS41:CS41)-SUM('Balance Sheet'!CR41:CR41)+SUM('Balance Sheet'!CS32:CS37)-SUM('Balance Sheet'!CR32:CR37)+SUM('Balance Sheet'!CS39:CS40)-SUM('Balance Sheet'!CR39:CR40))-(('Balance Sheet'!CS8-'Balance Sheet'!CR8)+('Balance Sheet'!CS11-'Balance Sheet'!CR11)+(SUM('Balance Sheet'!CS15:CS18)-SUM('Balance Sheet'!CR15:CR18)))</f>
        <v>-177603</v>
      </c>
      <c r="CT6" s="144">
        <f>(SUM('Balance Sheet'!CT41:CT41)-SUM('Balance Sheet'!CS41:CS41)+SUM('Balance Sheet'!CT32:CT37)-SUM('Balance Sheet'!CS32:CS37)+SUM('Balance Sheet'!CT39:CT40)-SUM('Balance Sheet'!CS39:CS40))-(('Balance Sheet'!CT8-'Balance Sheet'!CS8)+('Balance Sheet'!CT11-'Balance Sheet'!CS11)+(SUM('Balance Sheet'!CT15:CT18)-SUM('Balance Sheet'!CS15:CS18)))</f>
        <v>-264949</v>
      </c>
      <c r="CU6" s="144">
        <f>(SUM('Balance Sheet'!CU41:CU41)-SUM('Balance Sheet'!CT41:CT41)+SUM('Balance Sheet'!CU32:CU37)-SUM('Balance Sheet'!CT32:CT37)+SUM('Balance Sheet'!CU39:CU40)-SUM('Balance Sheet'!CT39:CT40))-(('Balance Sheet'!CU8-'Balance Sheet'!CT8)+('Balance Sheet'!CU11-'Balance Sheet'!CT11)+(SUM('Balance Sheet'!CU15:CU18)-SUM('Balance Sheet'!CT15:CT18)))</f>
        <v>-123236</v>
      </c>
      <c r="CV6" s="144">
        <f>(SUM('Balance Sheet'!CV41:CV41)-SUM('Balance Sheet'!CU41:CU41)+SUM('Balance Sheet'!CV32:CV37)-SUM('Balance Sheet'!CU32:CU37)+SUM('Balance Sheet'!CV39:CV40)-SUM('Balance Sheet'!CU39:CU40))-(('Balance Sheet'!CV8-'Balance Sheet'!CU8)+('Balance Sheet'!CV11-'Balance Sheet'!CU11)+(SUM('Balance Sheet'!CV15:CV18)-SUM('Balance Sheet'!CU15:CU18)))</f>
        <v>-324217</v>
      </c>
      <c r="CW6" s="145">
        <f>(SUM('Balance Sheet'!CW41:CW41)-SUM('Balance Sheet'!CR41:CR41)+SUM('Balance Sheet'!CW32:CW37)-SUM('Balance Sheet'!CR32:CR37)+SUM('Balance Sheet'!CW39:CW40)-SUM('Balance Sheet'!CR39:CR40))-(('Balance Sheet'!CW8-'Balance Sheet'!CR8)+('Balance Sheet'!CW11-'Balance Sheet'!CR11)+(SUM('Balance Sheet'!CW15:CW18)-SUM('Balance Sheet'!CR15:CR18)))</f>
        <v>-890005</v>
      </c>
      <c r="CX6" s="144">
        <f>(SUM('Balance Sheet'!CX41:CX41)-SUM('Balance Sheet'!CW41:CW41)+SUM('Balance Sheet'!CX32:CX37)-SUM('Balance Sheet'!CW32:CW37)+SUM('Balance Sheet'!CX39:CX40)-SUM('Balance Sheet'!CW39:CW40))-(('Balance Sheet'!CX8-'Balance Sheet'!CW8)+('Balance Sheet'!CX11-'Balance Sheet'!CW11)+(SUM('Balance Sheet'!CX15:CX18)-SUM('Balance Sheet'!CW15:CW18)))</f>
        <v>3130</v>
      </c>
      <c r="CY6" s="144">
        <f>(SUM('Balance Sheet'!CY41:CY41)-SUM('Balance Sheet'!CX41:CX41)+SUM('Balance Sheet'!CY32:CY37)-SUM('Balance Sheet'!CX32:CX37)+SUM('Balance Sheet'!CY39:CY40)-SUM('Balance Sheet'!CX39:CX40))-(('Balance Sheet'!CY8-'Balance Sheet'!CX8)+('Balance Sheet'!CY11-'Balance Sheet'!CX11)+(SUM('Balance Sheet'!CY15:CY18)-SUM('Balance Sheet'!CX15:CX18)))</f>
        <v>-482570</v>
      </c>
      <c r="CZ6" s="144">
        <f>(SUM('Balance Sheet'!CZ41:CZ41)-SUM('Balance Sheet'!CY41:CY41)+SUM('Balance Sheet'!CZ32:CZ37)-SUM('Balance Sheet'!CY32:CY37)+SUM('Balance Sheet'!CZ39:CZ40)-SUM('Balance Sheet'!CY39:CY40))-(('Balance Sheet'!CZ8-'Balance Sheet'!CY8)+('Balance Sheet'!CZ11-'Balance Sheet'!CY11)+(SUM('Balance Sheet'!CZ15:CZ18)-SUM('Balance Sheet'!CY15:CY18)))</f>
        <v>-475798</v>
      </c>
      <c r="DA6" s="144">
        <f>(SUM('Balance Sheet'!DA41:DA41)-SUM('Balance Sheet'!CZ41:CZ41)+SUM('Balance Sheet'!DA32:DA37)-SUM('Balance Sheet'!CZ32:CZ37)+SUM('Balance Sheet'!DA39:DA40)-SUM('Balance Sheet'!CZ39:CZ40))-(('Balance Sheet'!DA8-'Balance Sheet'!CZ8)+('Balance Sheet'!DA11-'Balance Sheet'!CZ11)+(SUM('Balance Sheet'!DA15:DA18)-SUM('Balance Sheet'!CZ15:CZ18)))</f>
        <v>-391309</v>
      </c>
      <c r="DB6" s="145">
        <f>(SUM('Balance Sheet'!DB41:DB41)-SUM('Balance Sheet'!CW41:CW41)+SUM('Balance Sheet'!DB32:DB37)-SUM('Balance Sheet'!CW32:CW37)+SUM('Balance Sheet'!DB39:DB40)-SUM('Balance Sheet'!CW39:CW40))-(('Balance Sheet'!DB8-'Balance Sheet'!CW8)+('Balance Sheet'!DB11-'Balance Sheet'!CW11)+(SUM('Balance Sheet'!DB15:DB18)-SUM('Balance Sheet'!CW15:CW18)))</f>
        <v>-1346547</v>
      </c>
      <c r="DC6" s="144">
        <f>(SUM('Balance Sheet'!DC41:DC41)-SUM('Balance Sheet'!DB41:DB41)+SUM('Balance Sheet'!DC32:DC37)-SUM('Balance Sheet'!DB32:DB37)+SUM('Balance Sheet'!DC39:DC40)-SUM('Balance Sheet'!DB39:DB40))-(('Balance Sheet'!DC8-'Balance Sheet'!DB8)+('Balance Sheet'!DC11-'Balance Sheet'!DB11)+(SUM('Balance Sheet'!DC15:DC18)-SUM('Balance Sheet'!DB15:DB18)))</f>
        <v>-430918</v>
      </c>
      <c r="DD6" s="144">
        <f>(SUM('Balance Sheet'!DD41:DD41)-SUM('Balance Sheet'!DC41:DC41)+SUM('Balance Sheet'!DD32:DD37)-SUM('Balance Sheet'!DC32:DC37)+SUM('Balance Sheet'!DD39:DD40)-SUM('Balance Sheet'!DC39:DC40))-(('Balance Sheet'!DD8-'Balance Sheet'!DC8)+('Balance Sheet'!DD11-'Balance Sheet'!DC11)+(SUM('Balance Sheet'!DD15:DD18)-SUM('Balance Sheet'!DC15:DC18)))</f>
        <v>-766703</v>
      </c>
      <c r="DE6" s="144">
        <f>(SUM('Balance Sheet'!DE41:DE41)-SUM('Balance Sheet'!DD41:DD41)+SUM('Balance Sheet'!DE32:DE37)-SUM('Balance Sheet'!DD32:DD37)+SUM('Balance Sheet'!DE39:DE40)-SUM('Balance Sheet'!DD39:DD40))-(('Balance Sheet'!DE8-'Balance Sheet'!DD8)+('Balance Sheet'!DE11-'Balance Sheet'!DD11)+(SUM('Balance Sheet'!DE15:DE18)-SUM('Balance Sheet'!DD15:DD18)))</f>
        <v>-128524</v>
      </c>
      <c r="DF6" s="144">
        <f>(SUM('Balance Sheet'!DF41:DF41)-SUM('Balance Sheet'!DE41:DE41)+SUM('Balance Sheet'!DF32:DF37)-SUM('Balance Sheet'!DE32:DE37)+SUM('Balance Sheet'!DF39:DF40)-SUM('Balance Sheet'!DE39:DE40))-(('Balance Sheet'!DF8-'Balance Sheet'!DE8)+('Balance Sheet'!DF11-'Balance Sheet'!DE11)+(SUM('Balance Sheet'!DF15:DF18)-SUM('Balance Sheet'!DE15:DE18)))</f>
        <v>-415255</v>
      </c>
      <c r="DG6" s="145">
        <f>(SUM('Balance Sheet'!DG41:DG41)-SUM('Balance Sheet'!DB41:DB41)+SUM('Balance Sheet'!DG32:DG37)-SUM('Balance Sheet'!DB32:DB37)+SUM('Balance Sheet'!DG39:DG40)-SUM('Balance Sheet'!DB39:DB40))-(('Balance Sheet'!DG8-'Balance Sheet'!DB8)+('Balance Sheet'!DG11-'Balance Sheet'!DB11)+(SUM('Balance Sheet'!DG15:DG18)-SUM('Balance Sheet'!DB15:DB18)))</f>
        <v>-1741400</v>
      </c>
      <c r="DH6" s="144">
        <f>(SUM('Balance Sheet'!DH41:DH41)-SUM('Balance Sheet'!DG41:DG41)+SUM('Balance Sheet'!DH32:DH37)-SUM('Balance Sheet'!DG32:DG37)+SUM('Balance Sheet'!DH39:DH40)-SUM('Balance Sheet'!DG39:DG40))-(('Balance Sheet'!DH8-'Balance Sheet'!DG8)+('Balance Sheet'!DH11-'Balance Sheet'!DG11)+(SUM('Balance Sheet'!DH15:DH18)-SUM('Balance Sheet'!DG15:DG18)))</f>
        <v>-347817</v>
      </c>
      <c r="DI6" s="144">
        <f>(SUM('Balance Sheet'!DI41:DI41)-SUM('Balance Sheet'!DH41:DH41)+SUM('Balance Sheet'!DI32:DI37)-SUM('Balance Sheet'!DH32:DH37)+SUM('Balance Sheet'!DI39:DI40)-SUM('Balance Sheet'!DH39:DH40))-(('Balance Sheet'!DI8-'Balance Sheet'!DH8)+('Balance Sheet'!DI11-'Balance Sheet'!DH11)+(SUM('Balance Sheet'!DI15:DI18)-SUM('Balance Sheet'!DH15:DH18)))</f>
        <v>-1624</v>
      </c>
      <c r="DJ6" s="144">
        <f>(SUM('Balance Sheet'!DJ41:DJ41)-SUM('Balance Sheet'!DI41:DI41)+SUM('Balance Sheet'!DJ32:DJ37)-SUM('Balance Sheet'!DI32:DI37)+SUM('Balance Sheet'!DJ39:DJ40)-SUM('Balance Sheet'!DI39:DI40))-(('Balance Sheet'!DJ8-'Balance Sheet'!DI8)+('Balance Sheet'!DJ11-'Balance Sheet'!DI11)+(SUM('Balance Sheet'!DJ15:DJ18)-SUM('Balance Sheet'!DI15:DI18)))</f>
        <v>-30868.353717956226</v>
      </c>
      <c r="DK6" s="144">
        <f>(SUM('Balance Sheet'!DK41:DK41)-SUM('Balance Sheet'!DJ41:DJ41)+SUM('Balance Sheet'!DK32:DK37)-SUM('Balance Sheet'!DJ32:DJ37)+SUM('Balance Sheet'!DK39:DK40)-SUM('Balance Sheet'!DJ39:DJ40))-(('Balance Sheet'!DK8-'Balance Sheet'!DJ8)+('Balance Sheet'!DK11-'Balance Sheet'!DJ11)+(SUM('Balance Sheet'!DK15:DK18)-SUM('Balance Sheet'!DJ15:DJ18)))</f>
        <v>-417293.2559573641</v>
      </c>
      <c r="DL6" s="145">
        <f>(SUM('Balance Sheet'!DL41:DL41)-SUM('Balance Sheet'!DG41:DG41)+SUM('Balance Sheet'!DL32:DL37)-SUM('Balance Sheet'!DG32:DG37)+SUM('Balance Sheet'!DL39:DL40)-SUM('Balance Sheet'!DG39:DG40))-(('Balance Sheet'!DL8-'Balance Sheet'!DG8)+('Balance Sheet'!DL11-'Balance Sheet'!DG11)+(SUM('Balance Sheet'!DL15:DL18)-SUM('Balance Sheet'!DG15:DG18)))</f>
        <v>-797602.60967532033</v>
      </c>
      <c r="DM6" s="144">
        <f>(SUM('Balance Sheet'!DM41:DM41)-SUM('Balance Sheet'!DL41:DL41)+SUM('Balance Sheet'!DM32:DM37)-SUM('Balance Sheet'!DL32:DL37)+SUM('Balance Sheet'!DM39:DM40)-SUM('Balance Sheet'!DL39:DL40))-(('Balance Sheet'!DM8-'Balance Sheet'!DL8)+('Balance Sheet'!DM11-'Balance Sheet'!DL11)+(SUM('Balance Sheet'!DM15:DM18)-SUM('Balance Sheet'!DL15:DL18)))</f>
        <v>-682192.71033328306</v>
      </c>
      <c r="DN6" s="144">
        <f>(SUM('Balance Sheet'!DN41:DN41)-SUM('Balance Sheet'!DM41:DM41)+SUM('Balance Sheet'!DN32:DN37)-SUM('Balance Sheet'!DM32:DM37)+SUM('Balance Sheet'!DN39:DN40)-SUM('Balance Sheet'!DM39:DM40))-(('Balance Sheet'!DN8-'Balance Sheet'!DM8)+('Balance Sheet'!DN11-'Balance Sheet'!DM11)+(SUM('Balance Sheet'!DN15:DN18)-SUM('Balance Sheet'!DM15:DM18)))</f>
        <v>-591774.0878281137</v>
      </c>
      <c r="DO6" s="144">
        <f>(SUM('Balance Sheet'!DO41:DO41)-SUM('Balance Sheet'!DN41:DN41)+SUM('Balance Sheet'!DO32:DO37)-SUM('Balance Sheet'!DN32:DN37)+SUM('Balance Sheet'!DO39:DO40)-SUM('Balance Sheet'!DN39:DN40))-(('Balance Sheet'!DO8-'Balance Sheet'!DN8)+('Balance Sheet'!DO11-'Balance Sheet'!DN11)+(SUM('Balance Sheet'!DO15:DO18)-SUM('Balance Sheet'!DN15:DN18)))</f>
        <v>-701750.09901199723</v>
      </c>
      <c r="DP6" s="144">
        <f>(SUM('Balance Sheet'!DP41:DP41)-SUM('Balance Sheet'!DO41:DO41)+SUM('Balance Sheet'!DP32:DP37)-SUM('Balance Sheet'!DO32:DO37)+SUM('Balance Sheet'!DP39:DP40)-SUM('Balance Sheet'!DO39:DO40))-(('Balance Sheet'!DP8-'Balance Sheet'!DO8)+('Balance Sheet'!DP11-'Balance Sheet'!DO11)+(SUM('Balance Sheet'!DP15:DP18)-SUM('Balance Sheet'!DO15:DO18)))</f>
        <v>-612756.73262952408</v>
      </c>
      <c r="DQ6" s="145">
        <f>(SUM('Balance Sheet'!DQ41:DQ41)-SUM('Balance Sheet'!DL41:DL41)+SUM('Balance Sheet'!DQ32:DQ37)-SUM('Balance Sheet'!DL32:DL37)+SUM('Balance Sheet'!DQ39:DQ40)-SUM('Balance Sheet'!DL39:DL40))-(('Balance Sheet'!DQ8-'Balance Sheet'!DL8)+('Balance Sheet'!DQ11-'Balance Sheet'!DL11)+(SUM('Balance Sheet'!DQ15:DQ18)-SUM('Balance Sheet'!DL15:DL18)))</f>
        <v>-2588473.6298029181</v>
      </c>
      <c r="DR6" s="144">
        <f>(SUM('Balance Sheet'!DR41:DR41)-SUM('Balance Sheet'!DQ41:DQ41)+SUM('Balance Sheet'!DR32:DR37)-SUM('Balance Sheet'!DQ32:DQ37)+SUM('Balance Sheet'!DR39:DR40)-SUM('Balance Sheet'!DQ39:DQ40))-(('Balance Sheet'!DR8-'Balance Sheet'!DQ8)+('Balance Sheet'!DR11-'Balance Sheet'!DQ11)+(SUM('Balance Sheet'!DR15:DR18)-SUM('Balance Sheet'!DQ15:DQ18)))</f>
        <v>-555876.64707823587</v>
      </c>
      <c r="DS6" s="144">
        <f>(SUM('Balance Sheet'!DS41:DS41)-SUM('Balance Sheet'!DR41:DR41)+SUM('Balance Sheet'!DS32:DS37)-SUM('Balance Sheet'!DR32:DR37)+SUM('Balance Sheet'!DS39:DS40)-SUM('Balance Sheet'!DR39:DR40))-(('Balance Sheet'!DS8-'Balance Sheet'!DR8)+('Balance Sheet'!DS11-'Balance Sheet'!DR11)+(SUM('Balance Sheet'!DS15:DS18)-SUM('Balance Sheet'!DR15:DR18)))</f>
        <v>-500816.13474657782</v>
      </c>
      <c r="DT6" s="144">
        <f>(SUM('Balance Sheet'!DT41:DT41)-SUM('Balance Sheet'!DS41:DS41)+SUM('Balance Sheet'!DT32:DT37)-SUM('Balance Sheet'!DS32:DS37)+SUM('Balance Sheet'!DT39:DT40)-SUM('Balance Sheet'!DS39:DS40))-(('Balance Sheet'!DT8-'Balance Sheet'!DS8)+('Balance Sheet'!DT11-'Balance Sheet'!DS11)+(SUM('Balance Sheet'!DT15:DT18)-SUM('Balance Sheet'!DS15:DS18)))</f>
        <v>-491691.06142788008</v>
      </c>
      <c r="DU6" s="144">
        <f>(SUM('Balance Sheet'!DU41:DU41)-SUM('Balance Sheet'!DT41:DT41)+SUM('Balance Sheet'!DU32:DU37)-SUM('Balance Sheet'!DT32:DT37)+SUM('Balance Sheet'!DU39:DU40)-SUM('Balance Sheet'!DT39:DT40))-(('Balance Sheet'!DU8-'Balance Sheet'!DT8)+('Balance Sheet'!DU11-'Balance Sheet'!DT11)+(SUM('Balance Sheet'!DU15:DU18)-SUM('Balance Sheet'!DT15:DT18)))</f>
        <v>-673223.32340431958</v>
      </c>
      <c r="DV6" s="145">
        <f>(SUM('Balance Sheet'!DV41:DV41)-SUM('Balance Sheet'!DQ41:DQ41)+SUM('Balance Sheet'!DV32:DV37)-SUM('Balance Sheet'!DQ32:DQ37)+SUM('Balance Sheet'!DV39:DV40)-SUM('Balance Sheet'!DQ39:DQ40))-(('Balance Sheet'!DV8-'Balance Sheet'!DQ8)+('Balance Sheet'!DV11-'Balance Sheet'!DQ11)+(SUM('Balance Sheet'!DV15:DV18)-SUM('Balance Sheet'!DQ15:DQ18)))</f>
        <v>-2221607.1666570134</v>
      </c>
      <c r="DW6" s="144">
        <f>(SUM('Balance Sheet'!DW41:DW41)-SUM('Balance Sheet'!DV41:DV41)+SUM('Balance Sheet'!DW32:DW37)-SUM('Balance Sheet'!DV32:DV37)+SUM('Balance Sheet'!DW39:DW40)-SUM('Balance Sheet'!DV39:DV40))-(('Balance Sheet'!DW8-'Balance Sheet'!DV8)+('Balance Sheet'!DW11-'Balance Sheet'!DV11)+(SUM('Balance Sheet'!DW15:DW18)-SUM('Balance Sheet'!DV15:DV18)))</f>
        <v>-249034.25938335573</v>
      </c>
      <c r="DX6" s="144">
        <f>(SUM('Balance Sheet'!DX41:DX41)-SUM('Balance Sheet'!DW41:DW41)+SUM('Balance Sheet'!DX32:DX37)-SUM('Balance Sheet'!DW32:DW37)+SUM('Balance Sheet'!DX39:DX40)-SUM('Balance Sheet'!DW39:DW40))-(('Balance Sheet'!DX8-'Balance Sheet'!DW8)+('Balance Sheet'!DX11-'Balance Sheet'!DW11)+(SUM('Balance Sheet'!DX15:DX18)-SUM('Balance Sheet'!DW15:DW18)))</f>
        <v>-329694.74765323754</v>
      </c>
      <c r="DY6" s="144">
        <f>(SUM('Balance Sheet'!DY41:DY41)-SUM('Balance Sheet'!DX41:DX41)+SUM('Balance Sheet'!DY32:DY37)-SUM('Balance Sheet'!DX32:DX37)+SUM('Balance Sheet'!DY39:DY40)-SUM('Balance Sheet'!DX39:DX40))-(('Balance Sheet'!DY8-'Balance Sheet'!DX8)+('Balance Sheet'!DY11-'Balance Sheet'!DX11)+(SUM('Balance Sheet'!DY15:DY18)-SUM('Balance Sheet'!DX15:DX18)))</f>
        <v>-174593.63396274019</v>
      </c>
      <c r="DZ6" s="144">
        <f>(SUM('Balance Sheet'!DZ41:DZ41)-SUM('Balance Sheet'!DY41:DY41)+SUM('Balance Sheet'!DZ32:DZ37)-SUM('Balance Sheet'!DY32:DY37)+SUM('Balance Sheet'!DZ39:DZ40)-SUM('Balance Sheet'!DY39:DY40))-(('Balance Sheet'!DZ8-'Balance Sheet'!DY8)+('Balance Sheet'!DZ11-'Balance Sheet'!DY11)+(SUM('Balance Sheet'!DZ15:DZ18)-SUM('Balance Sheet'!DY15:DY18)))</f>
        <v>-199045.41874069627</v>
      </c>
      <c r="EA6" s="145">
        <f>(SUM('Balance Sheet'!EA41:EA41)-SUM('Balance Sheet'!DV41:DV41)+SUM('Balance Sheet'!EA32:EA37)-SUM('Balance Sheet'!DV32:DV37)+SUM('Balance Sheet'!EA39:EA40)-SUM('Balance Sheet'!DV39:DV40))-(('Balance Sheet'!EA8-'Balance Sheet'!DV8)+('Balance Sheet'!EA11-'Balance Sheet'!DV11)+(SUM('Balance Sheet'!EA15:EA18)-SUM('Balance Sheet'!DV15:DV18)))</f>
        <v>-952368.05974002974</v>
      </c>
      <c r="EB6" s="144">
        <f>(SUM('Balance Sheet'!EB41:EB41)-SUM('Balance Sheet'!EA41:EA41)+SUM('Balance Sheet'!EB32:EB37)-SUM('Balance Sheet'!EA32:EA37)+SUM('Balance Sheet'!EB39:EB40)-SUM('Balance Sheet'!EA39:EA40))-(('Balance Sheet'!EB8-'Balance Sheet'!EA8)+('Balance Sheet'!EB11-'Balance Sheet'!EA11)+(SUM('Balance Sheet'!EB15:EB18)-SUM('Balance Sheet'!EA15:EA18)))</f>
        <v>70129.812874724623</v>
      </c>
      <c r="EC6" s="144">
        <f>(SUM('Balance Sheet'!EC41:EC41)-SUM('Balance Sheet'!EB41:EB41)+SUM('Balance Sheet'!EC32:EC37)-SUM('Balance Sheet'!EB32:EB37)+SUM('Balance Sheet'!EC39:EC40)-SUM('Balance Sheet'!EB39:EB40))-(('Balance Sheet'!EC8-'Balance Sheet'!EB8)+('Balance Sheet'!EC11-'Balance Sheet'!EB11)+(SUM('Balance Sheet'!EC15:EC18)-SUM('Balance Sheet'!EB15:EB18)))</f>
        <v>-153022.26024259115</v>
      </c>
      <c r="ED6" s="144">
        <f>(SUM('Balance Sheet'!ED41:ED41)-SUM('Balance Sheet'!EC41:EC41)+SUM('Balance Sheet'!ED32:ED37)-SUM('Balance Sheet'!EC32:EC37)+SUM('Balance Sheet'!ED39:ED40)-SUM('Balance Sheet'!EC39:EC40))-(('Balance Sheet'!ED8-'Balance Sheet'!EC8)+('Balance Sheet'!ED11-'Balance Sheet'!EC11)+(SUM('Balance Sheet'!ED15:ED18)-SUM('Balance Sheet'!EC15:EC18)))</f>
        <v>-219743.31414893782</v>
      </c>
      <c r="EE6" s="144">
        <f>(SUM('Balance Sheet'!EE41:EE41)-SUM('Balance Sheet'!ED41:ED41)+SUM('Balance Sheet'!EE32:EE37)-SUM('Balance Sheet'!ED32:ED37)+SUM('Balance Sheet'!EE39:EE40)-SUM('Balance Sheet'!ED39:ED40))-(('Balance Sheet'!EE8-'Balance Sheet'!ED8)+('Balance Sheet'!EE11-'Balance Sheet'!ED11)+(SUM('Balance Sheet'!EE15:EE18)-SUM('Balance Sheet'!ED15:ED18)))</f>
        <v>-182677.18499967968</v>
      </c>
      <c r="EF6" s="145">
        <f>(SUM('Balance Sheet'!EF41:EF41)-SUM('Balance Sheet'!EA41:EA41)+SUM('Balance Sheet'!EF32:EF37)-SUM('Balance Sheet'!EA32:EA37)+SUM('Balance Sheet'!EF39:EF40)-SUM('Balance Sheet'!EA39:EA40))-(('Balance Sheet'!EF8-'Balance Sheet'!EA8)+('Balance Sheet'!EF11-'Balance Sheet'!EA11)+(SUM('Balance Sheet'!EF15:EF18)-SUM('Balance Sheet'!EA15:EA18)))</f>
        <v>-485312.94651648402</v>
      </c>
    </row>
    <row r="7" spans="1:136" ht="12" customHeight="1">
      <c r="A7" s="68" t="s">
        <v>146</v>
      </c>
      <c r="B7" s="146" t="e">
        <f t="shared" ref="B7:K7" si="0">SUM(B4:B6)</f>
        <v>#VALUE!</v>
      </c>
      <c r="C7" s="146">
        <f t="shared" si="0"/>
        <v>20762</v>
      </c>
      <c r="D7" s="146">
        <f t="shared" si="0"/>
        <v>-7429</v>
      </c>
      <c r="E7" s="146">
        <f t="shared" si="0"/>
        <v>-270408</v>
      </c>
      <c r="F7" s="147" t="e">
        <f t="shared" si="0"/>
        <v>#VALUE!</v>
      </c>
      <c r="G7" s="146">
        <f t="shared" si="0"/>
        <v>98874.5</v>
      </c>
      <c r="H7" s="146">
        <f t="shared" si="0"/>
        <v>-46339.5</v>
      </c>
      <c r="I7" s="146">
        <f t="shared" si="0"/>
        <v>-60925</v>
      </c>
      <c r="J7" s="146">
        <f t="shared" si="0"/>
        <v>-24990</v>
      </c>
      <c r="K7" s="147">
        <f t="shared" si="0"/>
        <v>-33380</v>
      </c>
      <c r="L7" s="146">
        <f t="shared" ref="L7:BW7" si="1">SUM(L4:L6)</f>
        <v>-94894</v>
      </c>
      <c r="M7" s="146">
        <f t="shared" si="1"/>
        <v>-115953</v>
      </c>
      <c r="N7" s="146">
        <f t="shared" si="1"/>
        <v>-83652</v>
      </c>
      <c r="O7" s="146">
        <f t="shared" si="1"/>
        <v>-107468</v>
      </c>
      <c r="P7" s="147">
        <f t="shared" si="1"/>
        <v>-401967</v>
      </c>
      <c r="Q7" s="146">
        <f t="shared" si="1"/>
        <v>-51907</v>
      </c>
      <c r="R7" s="146">
        <f t="shared" si="1"/>
        <v>76242</v>
      </c>
      <c r="S7" s="146">
        <f t="shared" si="1"/>
        <v>-50814</v>
      </c>
      <c r="T7" s="146">
        <f t="shared" si="1"/>
        <v>-199723</v>
      </c>
      <c r="U7" s="147">
        <f t="shared" si="1"/>
        <v>-226202</v>
      </c>
      <c r="V7" s="146">
        <f t="shared" si="1"/>
        <v>-296149</v>
      </c>
      <c r="W7" s="146">
        <f t="shared" si="1"/>
        <v>-267436</v>
      </c>
      <c r="X7" s="146">
        <f t="shared" si="1"/>
        <v>-298130</v>
      </c>
      <c r="Y7" s="146">
        <f t="shared" si="1"/>
        <v>53573</v>
      </c>
      <c r="Z7" s="147">
        <f t="shared" si="1"/>
        <v>-808142</v>
      </c>
      <c r="AA7" s="146">
        <f t="shared" si="1"/>
        <v>-70968</v>
      </c>
      <c r="AB7" s="146">
        <f t="shared" si="1"/>
        <v>-348909</v>
      </c>
      <c r="AC7" s="146">
        <f t="shared" si="1"/>
        <v>-266582</v>
      </c>
      <c r="AD7" s="146">
        <f t="shared" si="1"/>
        <v>-216590</v>
      </c>
      <c r="AE7" s="147">
        <f t="shared" si="1"/>
        <v>-903049</v>
      </c>
      <c r="AF7" s="146">
        <f t="shared" si="1"/>
        <v>-311520</v>
      </c>
      <c r="AG7" s="146">
        <f t="shared" si="1"/>
        <v>-225549</v>
      </c>
      <c r="AH7" s="146">
        <f t="shared" si="1"/>
        <v>-251716</v>
      </c>
      <c r="AI7" s="146">
        <f t="shared" si="1"/>
        <v>-381801</v>
      </c>
      <c r="AJ7" s="147">
        <f t="shared" si="1"/>
        <v>-1170586</v>
      </c>
      <c r="AK7" s="146">
        <f t="shared" si="1"/>
        <v>-141549</v>
      </c>
      <c r="AL7" s="146">
        <f t="shared" si="1"/>
        <v>-17929</v>
      </c>
      <c r="AM7" s="146">
        <f t="shared" si="1"/>
        <v>-105141</v>
      </c>
      <c r="AN7" s="146">
        <f t="shared" si="1"/>
        <v>189208</v>
      </c>
      <c r="AO7" s="147">
        <f t="shared" si="1"/>
        <v>-75411</v>
      </c>
      <c r="AP7" s="146">
        <f t="shared" si="1"/>
        <v>80128</v>
      </c>
      <c r="AQ7" s="146">
        <f t="shared" si="1"/>
        <v>52864</v>
      </c>
      <c r="AR7" s="146">
        <f t="shared" si="1"/>
        <v>117838</v>
      </c>
      <c r="AS7" s="146">
        <f t="shared" si="1"/>
        <v>496089</v>
      </c>
      <c r="AT7" s="147">
        <f t="shared" si="1"/>
        <v>746919</v>
      </c>
      <c r="AU7" s="146">
        <f t="shared" si="1"/>
        <v>247260</v>
      </c>
      <c r="AV7" s="146">
        <f t="shared" si="1"/>
        <v>-28366</v>
      </c>
      <c r="AW7" s="146">
        <f t="shared" si="1"/>
        <v>-59172</v>
      </c>
      <c r="AX7" s="146">
        <f t="shared" si="1"/>
        <v>-48609</v>
      </c>
      <c r="AY7" s="147">
        <f t="shared" si="1"/>
        <v>111113</v>
      </c>
      <c r="AZ7" s="146">
        <f t="shared" si="1"/>
        <v>247929</v>
      </c>
      <c r="BA7" s="146">
        <f t="shared" si="1"/>
        <v>130068</v>
      </c>
      <c r="BB7" s="146">
        <f t="shared" si="1"/>
        <v>153487</v>
      </c>
      <c r="BC7" s="146">
        <f t="shared" si="1"/>
        <v>410889</v>
      </c>
      <c r="BD7" s="147">
        <f t="shared" si="1"/>
        <v>942373</v>
      </c>
      <c r="BE7" s="146">
        <f t="shared" si="1"/>
        <v>372095</v>
      </c>
      <c r="BF7" s="146">
        <f t="shared" si="1"/>
        <v>502489</v>
      </c>
      <c r="BG7" s="146">
        <f t="shared" si="1"/>
        <v>-63215</v>
      </c>
      <c r="BH7" s="146">
        <f t="shared" si="1"/>
        <v>102035</v>
      </c>
      <c r="BI7" s="147">
        <f t="shared" si="1"/>
        <v>913404</v>
      </c>
      <c r="BJ7" s="146">
        <f t="shared" si="1"/>
        <v>13258</v>
      </c>
      <c r="BK7" s="146">
        <f t="shared" si="1"/>
        <v>44922</v>
      </c>
      <c r="BL7" s="146">
        <f t="shared" si="1"/>
        <v>-153671</v>
      </c>
      <c r="BM7" s="146">
        <f t="shared" si="1"/>
        <v>377560</v>
      </c>
      <c r="BN7" s="147">
        <f t="shared" si="1"/>
        <v>282069</v>
      </c>
      <c r="BO7" s="146">
        <f t="shared" si="1"/>
        <v>119857</v>
      </c>
      <c r="BP7" s="146">
        <f t="shared" si="1"/>
        <v>183557</v>
      </c>
      <c r="BQ7" s="146">
        <f t="shared" si="1"/>
        <v>160394</v>
      </c>
      <c r="BR7" s="146">
        <f t="shared" si="1"/>
        <v>343191</v>
      </c>
      <c r="BS7" s="147">
        <f t="shared" si="1"/>
        <v>806999</v>
      </c>
      <c r="BT7" s="146">
        <f t="shared" si="1"/>
        <v>597688</v>
      </c>
      <c r="BU7" s="146">
        <f t="shared" si="1"/>
        <v>156326</v>
      </c>
      <c r="BV7" s="146">
        <f t="shared" si="1"/>
        <v>191711</v>
      </c>
      <c r="BW7" s="146">
        <f t="shared" si="1"/>
        <v>241882</v>
      </c>
      <c r="BX7" s="147">
        <f t="shared" ref="BX7:CC7" si="2">SUM(BX4:BX6)</f>
        <v>1187607</v>
      </c>
      <c r="BY7" s="146">
        <f t="shared" si="2"/>
        <v>116946</v>
      </c>
      <c r="BZ7" s="146">
        <f t="shared" si="2"/>
        <v>348572</v>
      </c>
      <c r="CA7" s="146">
        <f t="shared" si="2"/>
        <v>54122</v>
      </c>
      <c r="CB7" s="146">
        <f t="shared" si="2"/>
        <v>276434</v>
      </c>
      <c r="CC7" s="147">
        <f t="shared" si="2"/>
        <v>796074</v>
      </c>
      <c r="CD7" s="146">
        <f t="shared" ref="CD7:DG7" si="3">SUM(CD4:CD6)</f>
        <v>57609</v>
      </c>
      <c r="CE7" s="146">
        <f t="shared" si="3"/>
        <v>-58141</v>
      </c>
      <c r="CF7" s="146">
        <f t="shared" si="3"/>
        <v>2356194</v>
      </c>
      <c r="CG7" s="146">
        <f t="shared" si="3"/>
        <v>216963</v>
      </c>
      <c r="CH7" s="147">
        <f t="shared" si="3"/>
        <v>2572625</v>
      </c>
      <c r="CI7" s="146">
        <f t="shared" si="3"/>
        <v>86180</v>
      </c>
      <c r="CJ7" s="146">
        <f t="shared" si="3"/>
        <v>137301</v>
      </c>
      <c r="CK7" s="146">
        <f t="shared" si="3"/>
        <v>183423</v>
      </c>
      <c r="CL7" s="146">
        <f t="shared" si="3"/>
        <v>-70880</v>
      </c>
      <c r="CM7" s="147">
        <f t="shared" si="3"/>
        <v>336024</v>
      </c>
      <c r="CN7" s="146">
        <f t="shared" si="3"/>
        <v>-16127</v>
      </c>
      <c r="CO7" s="146">
        <f t="shared" si="3"/>
        <v>243830</v>
      </c>
      <c r="CP7" s="146">
        <f t="shared" si="3"/>
        <v>605258</v>
      </c>
      <c r="CQ7" s="146">
        <f t="shared" si="3"/>
        <v>-515040</v>
      </c>
      <c r="CR7" s="147">
        <f t="shared" si="3"/>
        <v>317921</v>
      </c>
      <c r="CS7" s="146">
        <f t="shared" si="3"/>
        <v>15257</v>
      </c>
      <c r="CT7" s="146">
        <f t="shared" si="3"/>
        <v>30507</v>
      </c>
      <c r="CU7" s="146">
        <f t="shared" si="3"/>
        <v>170385</v>
      </c>
      <c r="CV7" s="146">
        <f t="shared" si="3"/>
        <v>-73115</v>
      </c>
      <c r="CW7" s="147">
        <f t="shared" si="3"/>
        <v>143034</v>
      </c>
      <c r="CX7" s="146">
        <f t="shared" si="3"/>
        <v>294026</v>
      </c>
      <c r="CY7" s="146">
        <f t="shared" si="3"/>
        <v>-54200</v>
      </c>
      <c r="CZ7" s="146">
        <f t="shared" si="3"/>
        <v>37302</v>
      </c>
      <c r="DA7" s="146">
        <f t="shared" si="3"/>
        <v>125380</v>
      </c>
      <c r="DB7" s="147">
        <f t="shared" si="3"/>
        <v>402508</v>
      </c>
      <c r="DC7" s="146">
        <f t="shared" si="3"/>
        <v>-73014</v>
      </c>
      <c r="DD7" s="146">
        <f t="shared" si="3"/>
        <v>-355094</v>
      </c>
      <c r="DE7" s="146">
        <f t="shared" si="3"/>
        <v>509220</v>
      </c>
      <c r="DF7" s="146">
        <f t="shared" si="3"/>
        <v>316819</v>
      </c>
      <c r="DG7" s="147">
        <f t="shared" si="3"/>
        <v>397931</v>
      </c>
      <c r="DH7" s="146">
        <f t="shared" ref="DH7:EF7" si="4">SUM(DH4:DH6)</f>
        <v>3542</v>
      </c>
      <c r="DI7" s="146">
        <f t="shared" si="4"/>
        <v>491118</v>
      </c>
      <c r="DJ7" s="146">
        <f t="shared" ca="1" si="4"/>
        <v>536334.48978536762</v>
      </c>
      <c r="DK7" s="146">
        <f t="shared" ca="1" si="4"/>
        <v>242833.99945707945</v>
      </c>
      <c r="DL7" s="147">
        <f t="shared" ca="1" si="4"/>
        <v>1273828.4892424471</v>
      </c>
      <c r="DM7" s="146">
        <f t="shared" ca="1" si="4"/>
        <v>-101328.39344691555</v>
      </c>
      <c r="DN7" s="146">
        <f t="shared" ca="1" si="4"/>
        <v>7352.4609426814131</v>
      </c>
      <c r="DO7" s="146">
        <f t="shared" ca="1" si="4"/>
        <v>-110854.1775330021</v>
      </c>
      <c r="DP7" s="146">
        <f t="shared" ca="1" si="4"/>
        <v>8547.340102003538</v>
      </c>
      <c r="DQ7" s="147">
        <f t="shared" ca="1" si="4"/>
        <v>-196282.76993523305</v>
      </c>
      <c r="DR7" s="146">
        <f t="shared" ca="1" si="4"/>
        <v>99893.398419079836</v>
      </c>
      <c r="DS7" s="146">
        <f t="shared" ca="1" si="4"/>
        <v>111609.57400245836</v>
      </c>
      <c r="DT7" s="146">
        <f t="shared" ca="1" si="4"/>
        <v>114828.35973175825</v>
      </c>
      <c r="DU7" s="146">
        <f t="shared" ca="1" si="4"/>
        <v>-8257.086500712554</v>
      </c>
      <c r="DV7" s="147">
        <f t="shared" ca="1" si="4"/>
        <v>318074.24565258389</v>
      </c>
      <c r="DW7" s="146">
        <f t="shared" ca="1" si="4"/>
        <v>442046.98520073562</v>
      </c>
      <c r="DX7" s="146">
        <f t="shared" ca="1" si="4"/>
        <v>308459.35662305891</v>
      </c>
      <c r="DY7" s="146">
        <f t="shared" ca="1" si="4"/>
        <v>452270.10655093798</v>
      </c>
      <c r="DZ7" s="146">
        <f t="shared" ca="1" si="4"/>
        <v>501591.98651193851</v>
      </c>
      <c r="EA7" s="147">
        <f t="shared" ca="1" si="4"/>
        <v>1704368.4348866707</v>
      </c>
      <c r="EB7" s="146">
        <f t="shared" ca="1" si="4"/>
        <v>816855.90821266582</v>
      </c>
      <c r="EC7" s="146">
        <f t="shared" ca="1" si="4"/>
        <v>548115.31970870274</v>
      </c>
      <c r="ED7" s="146">
        <f t="shared" ca="1" si="4"/>
        <v>472403.9410796091</v>
      </c>
      <c r="EE7" s="146">
        <f t="shared" ca="1" si="4"/>
        <v>582841.21734151791</v>
      </c>
      <c r="EF7" s="147">
        <f t="shared" ca="1" si="4"/>
        <v>2420216.3863424952</v>
      </c>
    </row>
    <row r="8" spans="1:136" ht="12" customHeight="1" outlineLevel="1">
      <c r="A8" s="66" t="s">
        <v>147</v>
      </c>
      <c r="B8" s="144" t="e">
        <f>-('Balance Sheet'!B19-'Balance Sheet'!A19)-B5</f>
        <v>#VALUE!</v>
      </c>
      <c r="C8" s="144">
        <f>-('Balance Sheet'!C19-'Balance Sheet'!B19)-C5</f>
        <v>-729</v>
      </c>
      <c r="D8" s="144">
        <f>-('Balance Sheet'!D19-'Balance Sheet'!C19)-D5</f>
        <v>1330</v>
      </c>
      <c r="E8" s="144">
        <f>-('Balance Sheet'!E19-'Balance Sheet'!D19)-E5</f>
        <v>-13731</v>
      </c>
      <c r="F8" s="145" t="e">
        <f>-('Balance Sheet'!F19-'Balance Sheet'!A19)-F5</f>
        <v>#VALUE!</v>
      </c>
      <c r="G8" s="144">
        <f>-('Balance Sheet'!G19-'Balance Sheet'!F19)-G5</f>
        <v>-12410.5</v>
      </c>
      <c r="H8" s="144">
        <f>-('Balance Sheet'!H19-'Balance Sheet'!G19)-H5</f>
        <v>-11955.5</v>
      </c>
      <c r="I8" s="144">
        <f>-('Balance Sheet'!I19-'Balance Sheet'!H19)-I5</f>
        <v>67</v>
      </c>
      <c r="J8" s="144">
        <f>-('Balance Sheet'!J19-'Balance Sheet'!I19)-J5</f>
        <v>-1882</v>
      </c>
      <c r="K8" s="145">
        <f>-('Balance Sheet'!K19-'Balance Sheet'!F19)-K5</f>
        <v>-26181</v>
      </c>
      <c r="L8" s="144">
        <f>-('Balance Sheet'!L19-'Balance Sheet'!K19)-L5</f>
        <v>-3649</v>
      </c>
      <c r="M8" s="144">
        <f>-('Balance Sheet'!M19-'Balance Sheet'!L19)-M5</f>
        <v>-71101</v>
      </c>
      <c r="N8" s="144">
        <f>-('Balance Sheet'!N19-'Balance Sheet'!M19)-N5</f>
        <v>-465</v>
      </c>
      <c r="O8" s="144">
        <f>-('Balance Sheet'!O19-'Balance Sheet'!N19)-O5</f>
        <v>-30144</v>
      </c>
      <c r="P8" s="145">
        <f>-('Balance Sheet'!P19-'Balance Sheet'!K19)-P5</f>
        <v>-105359</v>
      </c>
      <c r="Q8" s="144">
        <f>-('Balance Sheet'!Q19-'Balance Sheet'!P19)-Q5</f>
        <v>-306911</v>
      </c>
      <c r="R8" s="144">
        <f>-('Balance Sheet'!R19-'Balance Sheet'!Q19)-R5</f>
        <v>308064</v>
      </c>
      <c r="S8" s="144">
        <f>-('Balance Sheet'!S19-'Balance Sheet'!R19)-S5</f>
        <v>-12123</v>
      </c>
      <c r="T8" s="144">
        <f>-('Balance Sheet'!T19-'Balance Sheet'!S19)-T5</f>
        <v>-24871</v>
      </c>
      <c r="U8" s="145">
        <f>-('Balance Sheet'!U19-'Balance Sheet'!P19)-U5</f>
        <v>-35841</v>
      </c>
      <c r="V8" s="144">
        <f>-('Balance Sheet'!V19-'Balance Sheet'!U19)-V5</f>
        <v>-20894</v>
      </c>
      <c r="W8" s="144">
        <f>-('Balance Sheet'!W19-'Balance Sheet'!V19)-W5</f>
        <v>-16931</v>
      </c>
      <c r="X8" s="144">
        <f>-('Balance Sheet'!X19-'Balance Sheet'!W19)-X5</f>
        <v>-12366</v>
      </c>
      <c r="Y8" s="144">
        <f>-('Balance Sheet'!Y19-'Balance Sheet'!X19)-Y5</f>
        <v>-144922</v>
      </c>
      <c r="Z8" s="145">
        <f>-('Balance Sheet'!Z19-'Balance Sheet'!U19)-Z5</f>
        <v>-195113</v>
      </c>
      <c r="AA8" s="144">
        <f>-('Balance Sheet'!AA19-'Balance Sheet'!Z19)-AA5</f>
        <v>-12888</v>
      </c>
      <c r="AB8" s="144">
        <f>-('Balance Sheet'!AB19-'Balance Sheet'!AA19)-AB5</f>
        <v>-32921</v>
      </c>
      <c r="AC8" s="144">
        <f>-('Balance Sheet'!AC19-'Balance Sheet'!AB19)-AC5</f>
        <v>177246</v>
      </c>
      <c r="AD8" s="144">
        <f>-('Balance Sheet'!AD19-'Balance Sheet'!AC19)-AD5</f>
        <v>-16023</v>
      </c>
      <c r="AE8" s="145">
        <f>-('Balance Sheet'!AE19-'Balance Sheet'!Z19)-AE5</f>
        <v>115414</v>
      </c>
      <c r="AF8" s="144">
        <f>-('Balance Sheet'!AF19-'Balance Sheet'!AE19)-AF5</f>
        <v>-21167</v>
      </c>
      <c r="AG8" s="144">
        <f>-('Balance Sheet'!AG19-'Balance Sheet'!AF19)-AG5</f>
        <v>-20414</v>
      </c>
      <c r="AH8" s="144">
        <f>-('Balance Sheet'!AH19-'Balance Sheet'!AG19)-AH5</f>
        <v>-15836</v>
      </c>
      <c r="AI8" s="144">
        <f>-('Balance Sheet'!AI19-'Balance Sheet'!AH19)-AI5</f>
        <v>-14181</v>
      </c>
      <c r="AJ8" s="145">
        <f>-('Balance Sheet'!AJ19-'Balance Sheet'!AE19)-AJ5</f>
        <v>-71598</v>
      </c>
      <c r="AK8" s="144">
        <f>-('Balance Sheet'!AK19-'Balance Sheet'!AJ19)-AK5</f>
        <v>-32</v>
      </c>
      <c r="AL8" s="144">
        <f>-('Balance Sheet'!AL19-'Balance Sheet'!AK19)-AL5</f>
        <v>-5181</v>
      </c>
      <c r="AM8" s="144">
        <f>-('Balance Sheet'!AM19-'Balance Sheet'!AL19)-AM5</f>
        <v>-32146</v>
      </c>
      <c r="AN8" s="144">
        <f>-('Balance Sheet'!AN19-'Balance Sheet'!AM19)-AN5</f>
        <v>-22795</v>
      </c>
      <c r="AO8" s="145">
        <f>-('Balance Sheet'!AO19-'Balance Sheet'!AJ19)-AO5</f>
        <v>-60154</v>
      </c>
      <c r="AP8" s="144">
        <f>-('Balance Sheet'!AP19-'Balance Sheet'!AO19)-AP5</f>
        <v>-14916</v>
      </c>
      <c r="AQ8" s="144">
        <f>-('Balance Sheet'!AQ19-'Balance Sheet'!AP19)-AQ5</f>
        <v>-28518</v>
      </c>
      <c r="AR8" s="144">
        <f>-('Balance Sheet'!AR19-'Balance Sheet'!AQ19)-AR5</f>
        <v>-17614</v>
      </c>
      <c r="AS8" s="144">
        <f>-('Balance Sheet'!AS19-'Balance Sheet'!AR19)-AS5</f>
        <v>-583812</v>
      </c>
      <c r="AT8" s="145">
        <f>-('Balance Sheet'!AT19-'Balance Sheet'!AO19)-AT5</f>
        <v>-644860</v>
      </c>
      <c r="AU8" s="144">
        <f>-('Balance Sheet'!AU19-'Balance Sheet'!AT19)-AU5</f>
        <v>-406298</v>
      </c>
      <c r="AV8" s="144">
        <f>-('Balance Sheet'!AV19-'Balance Sheet'!AU19)-AV5</f>
        <v>356625</v>
      </c>
      <c r="AW8" s="144">
        <f>-('Balance Sheet'!AW19-'Balance Sheet'!AV19)-AW5</f>
        <v>-38624</v>
      </c>
      <c r="AX8" s="144">
        <f>-('Balance Sheet'!AX19-'Balance Sheet'!AW19)-AX5</f>
        <v>-45361</v>
      </c>
      <c r="AY8" s="145">
        <f>-('Balance Sheet'!AY19-'Balance Sheet'!AT19)-AY5</f>
        <v>-133658</v>
      </c>
      <c r="AZ8" s="144">
        <f>-('Balance Sheet'!AZ19-'Balance Sheet'!AY19)-AZ5</f>
        <v>-40640</v>
      </c>
      <c r="BA8" s="144">
        <f>-('Balance Sheet'!BA19-'Balance Sheet'!AZ19)-BA5</f>
        <v>-25641</v>
      </c>
      <c r="BB8" s="144">
        <f>-('Balance Sheet'!BB19-'Balance Sheet'!BA19)-BB5</f>
        <v>-37295</v>
      </c>
      <c r="BC8" s="144">
        <f>-('Balance Sheet'!BC19-'Balance Sheet'!BB19)-BC5</f>
        <v>11925</v>
      </c>
      <c r="BD8" s="145">
        <f>-('Balance Sheet'!BD19-'Balance Sheet'!AY19)-BD5</f>
        <v>-91651</v>
      </c>
      <c r="BE8" s="144">
        <f>-('Balance Sheet'!BE19-'Balance Sheet'!BD19)-BE5</f>
        <v>29088</v>
      </c>
      <c r="BF8" s="144">
        <f>-('Balance Sheet'!BF19-'Balance Sheet'!BE19)-BF5</f>
        <v>-121867</v>
      </c>
      <c r="BG8" s="144">
        <f>-('Balance Sheet'!BG19-'Balance Sheet'!BF19)-BG5</f>
        <v>5639</v>
      </c>
      <c r="BH8" s="144">
        <f>-('Balance Sheet'!BH19-'Balance Sheet'!BG19)-BH5</f>
        <v>16173</v>
      </c>
      <c r="BI8" s="145">
        <f>-('Balance Sheet'!BI19-'Balance Sheet'!BD19)-BI5</f>
        <v>-70967</v>
      </c>
      <c r="BJ8" s="144">
        <f>-('Balance Sheet'!BJ19-'Balance Sheet'!BI19)-BJ5</f>
        <v>30764</v>
      </c>
      <c r="BK8" s="144">
        <f>-('Balance Sheet'!BK19-'Balance Sheet'!BJ19)-BK5</f>
        <v>-4372</v>
      </c>
      <c r="BL8" s="144">
        <f>-('Balance Sheet'!BL19-'Balance Sheet'!BK19)-BL5</f>
        <v>-60558</v>
      </c>
      <c r="BM8" s="144">
        <f>-('Balance Sheet'!BM19-'Balance Sheet'!BL19)-BM5</f>
        <v>-138962</v>
      </c>
      <c r="BN8" s="145">
        <f>-('Balance Sheet'!BN19-'Balance Sheet'!BI19)-BN5</f>
        <v>-173128</v>
      </c>
      <c r="BO8" s="144">
        <f>-('Balance Sheet'!BO19-'Balance Sheet'!BN19)-BO5</f>
        <v>-9316</v>
      </c>
      <c r="BP8" s="144">
        <f>-('Balance Sheet'!BP19-'Balance Sheet'!BO19)-BP5</f>
        <v>-9689</v>
      </c>
      <c r="BQ8" s="144">
        <f>-('Balance Sheet'!BQ19-'Balance Sheet'!BP19)-BQ5</f>
        <v>104087</v>
      </c>
      <c r="BR8" s="144">
        <f>-('Balance Sheet'!BR19-'Balance Sheet'!BQ19)-BR5</f>
        <v>-12230</v>
      </c>
      <c r="BS8" s="145">
        <f>-('Balance Sheet'!BS19-'Balance Sheet'!BN19)-BS5</f>
        <v>72852</v>
      </c>
      <c r="BT8" s="144">
        <f>-('Balance Sheet'!BT19-'Balance Sheet'!BS19)-BT5</f>
        <v>-96423</v>
      </c>
      <c r="BU8" s="144">
        <f>-('Balance Sheet'!BU19-'Balance Sheet'!BT19)-BU5</f>
        <v>30446</v>
      </c>
      <c r="BV8" s="144">
        <f>-('Balance Sheet'!BV19-'Balance Sheet'!BU19)-BV5</f>
        <v>-3677</v>
      </c>
      <c r="BW8" s="144">
        <f>-('Balance Sheet'!BW19-'Balance Sheet'!BV19)-BW5</f>
        <v>-26296</v>
      </c>
      <c r="BX8" s="145">
        <f>-('Balance Sheet'!BX19-'Balance Sheet'!BS19)-BX5</f>
        <v>-95950</v>
      </c>
      <c r="BY8" s="144">
        <f>-('Balance Sheet'!BY19-'Balance Sheet'!BX19)-BY5</f>
        <v>63981</v>
      </c>
      <c r="BZ8" s="144">
        <f>-('Balance Sheet'!BZ19-'Balance Sheet'!BY19)-BZ5</f>
        <v>7881</v>
      </c>
      <c r="CA8" s="144">
        <f>-('Balance Sheet'!CA19-'Balance Sheet'!BZ19)-CA5</f>
        <v>-94951</v>
      </c>
      <c r="CB8" s="144">
        <f>-('Balance Sheet'!CB19-'Balance Sheet'!CA19)-CB5</f>
        <v>-14319</v>
      </c>
      <c r="CC8" s="145">
        <f>-('Balance Sheet'!CC19-'Balance Sheet'!BX19)-CC5</f>
        <v>-37408</v>
      </c>
      <c r="CD8" s="144">
        <f>-('Balance Sheet'!CD19-'Balance Sheet'!CC19)-CD5</f>
        <v>14220</v>
      </c>
      <c r="CE8" s="144">
        <f>-('Balance Sheet'!CE19-'Balance Sheet'!CD19)-CE5</f>
        <v>-4274</v>
      </c>
      <c r="CF8" s="144">
        <f>-('Balance Sheet'!CF19-'Balance Sheet'!CE19)-CF5</f>
        <v>-1285989</v>
      </c>
      <c r="CG8" s="144">
        <f>-('Balance Sheet'!CG19-'Balance Sheet'!CF19)-CG5</f>
        <v>-441</v>
      </c>
      <c r="CH8" s="145">
        <f>-('Balance Sheet'!CH19-'Balance Sheet'!CC19)-CH5</f>
        <v>-1276484</v>
      </c>
      <c r="CI8" s="144">
        <f>-('Balance Sheet'!CI19-'Balance Sheet'!CH19)-CI5</f>
        <v>-85544</v>
      </c>
      <c r="CJ8" s="144">
        <f>-('Balance Sheet'!CJ19-'Balance Sheet'!CI19)-CJ5</f>
        <v>8398</v>
      </c>
      <c r="CK8" s="144">
        <f>-('Balance Sheet'!CK19-'Balance Sheet'!CJ19)-CK5</f>
        <v>-69158</v>
      </c>
      <c r="CL8" s="144">
        <f>-('Balance Sheet'!CL19-'Balance Sheet'!CK19)-CL5</f>
        <v>36445</v>
      </c>
      <c r="CM8" s="145">
        <f>-('Balance Sheet'!CM19-'Balance Sheet'!CH19)-CM5</f>
        <v>-109859</v>
      </c>
      <c r="CN8" s="144">
        <f>-('Balance Sheet'!CN19-'Balance Sheet'!CM19)-CN5</f>
        <v>-130793</v>
      </c>
      <c r="CO8" s="144">
        <f>-('Balance Sheet'!CO19-'Balance Sheet'!CN19)-CO5</f>
        <v>-145634</v>
      </c>
      <c r="CP8" s="144">
        <f>-('Balance Sheet'!CP19-'Balance Sheet'!CO19)-CP5</f>
        <v>-169344</v>
      </c>
      <c r="CQ8" s="144">
        <f>-('Balance Sheet'!CQ19-'Balance Sheet'!CP19)-CQ5</f>
        <v>22555</v>
      </c>
      <c r="CR8" s="145">
        <f>-('Balance Sheet'!CR19-'Balance Sheet'!CM19)-CR5</f>
        <v>-423216</v>
      </c>
      <c r="CS8" s="144">
        <f>-('Balance Sheet'!CS19-'Balance Sheet'!CR19)-CS5</f>
        <v>-78092</v>
      </c>
      <c r="CT8" s="144">
        <f>-('Balance Sheet'!CT19-'Balance Sheet'!CS19)-CT5</f>
        <v>-40777</v>
      </c>
      <c r="CU8" s="144">
        <f>-('Balance Sheet'!CU19-'Balance Sheet'!CT19)-CU5</f>
        <v>-83998</v>
      </c>
      <c r="CV8" s="144">
        <f>-('Balance Sheet'!CV19-'Balance Sheet'!CU19)-CV5</f>
        <v>-71354</v>
      </c>
      <c r="CW8" s="145">
        <f>-('Balance Sheet'!CW19-'Balance Sheet'!CR19)-CW5</f>
        <v>-274221</v>
      </c>
      <c r="CX8" s="144">
        <f>-('Balance Sheet'!CX19-'Balance Sheet'!CW19)-CX5</f>
        <v>-135238</v>
      </c>
      <c r="CY8" s="144">
        <f>-('Balance Sheet'!CY19-'Balance Sheet'!CX19)-CY5</f>
        <v>-200184</v>
      </c>
      <c r="CZ8" s="144">
        <f>-('Balance Sheet'!CZ19-'Balance Sheet'!CY19)-CZ5</f>
        <v>-168901</v>
      </c>
      <c r="DA8" s="144">
        <f>-('Balance Sheet'!DA19-'Balance Sheet'!CZ19)-DA5</f>
        <v>-256603</v>
      </c>
      <c r="DB8" s="145">
        <f>-('Balance Sheet'!DB19-'Balance Sheet'!CW19)-DB5</f>
        <v>-760926</v>
      </c>
      <c r="DC8" s="144">
        <f>-('Balance Sheet'!DC19-'Balance Sheet'!DB19)-DC5</f>
        <v>32642</v>
      </c>
      <c r="DD8" s="144">
        <f>-('Balance Sheet'!DD19-'Balance Sheet'!DC19)-DD5</f>
        <v>-76279</v>
      </c>
      <c r="DE8" s="144">
        <f>-('Balance Sheet'!DE19-'Balance Sheet'!DD19)-DE5</f>
        <v>-110726</v>
      </c>
      <c r="DF8" s="144">
        <f>-('Balance Sheet'!DF19-'Balance Sheet'!DE19)-DF5</f>
        <v>-449115</v>
      </c>
      <c r="DG8" s="145">
        <f>-('Balance Sheet'!DG19-'Balance Sheet'!DB19)-DG5</f>
        <v>-603478</v>
      </c>
      <c r="DH8" s="144">
        <f>-('Balance Sheet'!DH19-'Balance Sheet'!DG19)-DH5</f>
        <v>3062</v>
      </c>
      <c r="DI8" s="144">
        <f>-('Balance Sheet'!DI19-'Balance Sheet'!DH19)-DI5</f>
        <v>-166754</v>
      </c>
      <c r="DJ8" s="144">
        <f>-('Balance Sheet'!DJ19-'Balance Sheet'!DI19)-DJ5</f>
        <v>-8802.0349034149403</v>
      </c>
      <c r="DK8" s="144">
        <f>-('Balance Sheet'!DK19-'Balance Sheet'!DJ19)-DK5</f>
        <v>-181236.28298545262</v>
      </c>
      <c r="DL8" s="145">
        <f>-('Balance Sheet'!DL19-'Balance Sheet'!DG19)-DL5</f>
        <v>-353730.31788886758</v>
      </c>
      <c r="DM8" s="144">
        <f>-('Balance Sheet'!DM19-'Balance Sheet'!DL19)-DM5</f>
        <v>-33015.188427328671</v>
      </c>
      <c r="DN8" s="144">
        <f>-('Balance Sheet'!DN19-'Balance Sheet'!DM19)-DN5</f>
        <v>-180990.74834514409</v>
      </c>
      <c r="DO8" s="144">
        <f>-('Balance Sheet'!DO19-'Balance Sheet'!DN19)-DO5</f>
        <v>-222370.1426701812</v>
      </c>
      <c r="DP8" s="144">
        <f>-('Balance Sheet'!DP19-'Balance Sheet'!DO19)-DP5</f>
        <v>-214895.89956785602</v>
      </c>
      <c r="DQ8" s="145">
        <f>-('Balance Sheet'!DQ19-'Balance Sheet'!DL19)-DQ5</f>
        <v>-651271.97901051003</v>
      </c>
      <c r="DR8" s="144">
        <f>-('Balance Sheet'!DR19-'Balance Sheet'!DQ19)-DR5</f>
        <v>-155034.1154403871</v>
      </c>
      <c r="DS8" s="144">
        <f>-('Balance Sheet'!DS19-'Balance Sheet'!DR19)-DS5</f>
        <v>-161318.9884076197</v>
      </c>
      <c r="DT8" s="144">
        <f>-('Balance Sheet'!DT19-'Balance Sheet'!DS19)-DT5</f>
        <v>-177107.47416148853</v>
      </c>
      <c r="DU8" s="144">
        <f>-('Balance Sheet'!DU19-'Balance Sheet'!DT19)-DU5</f>
        <v>-230920.71442074823</v>
      </c>
      <c r="DV8" s="145">
        <f>-('Balance Sheet'!DV19-'Balance Sheet'!DQ19)-DV5</f>
        <v>-724381.29243024357</v>
      </c>
      <c r="DW8" s="144">
        <f>-('Balance Sheet'!DW19-'Balance Sheet'!DV19)-DW5</f>
        <v>-85844.970006249496</v>
      </c>
      <c r="DX8" s="144">
        <f>-('Balance Sheet'!DX19-'Balance Sheet'!DW19)-DX5</f>
        <v>-123535.82803944446</v>
      </c>
      <c r="DY8" s="144">
        <f>-('Balance Sheet'!DY19-'Balance Sheet'!DX19)-DY5</f>
        <v>-107342.7624709636</v>
      </c>
      <c r="DZ8" s="144">
        <f>-('Balance Sheet'!DZ19-'Balance Sheet'!DY19)-DZ5</f>
        <v>-126495.6507465661</v>
      </c>
      <c r="EA8" s="145">
        <f>-('Balance Sheet'!EA19-'Balance Sheet'!DV19)-EA5</f>
        <v>-443219.21126322367</v>
      </c>
      <c r="EB8" s="144">
        <f>-('Balance Sheet'!EB19-'Balance Sheet'!EA19)-EB5</f>
        <v>-14244.06459499694</v>
      </c>
      <c r="EC8" s="144">
        <f>-('Balance Sheet'!EC19-'Balance Sheet'!EB19)-EC5</f>
        <v>-84947.377945752771</v>
      </c>
      <c r="ED8" s="144">
        <f>-('Balance Sheet'!ED19-'Balance Sheet'!EC19)-ED5</f>
        <v>-119565.43306755932</v>
      </c>
      <c r="EE8" s="144">
        <f>-('Balance Sheet'!EE19-'Balance Sheet'!ED19)-EE5</f>
        <v>-125419.7395542243</v>
      </c>
      <c r="EF8" s="145">
        <f>-('Balance Sheet'!EF19-'Balance Sheet'!EA19)-EF5</f>
        <v>-344176.61516253336</v>
      </c>
    </row>
    <row r="9" spans="1:136" ht="12" customHeight="1">
      <c r="A9" s="68" t="s">
        <v>148</v>
      </c>
      <c r="B9" s="146" t="e">
        <f t="shared" ref="B9:K9" si="5">SUM(B8)</f>
        <v>#VALUE!</v>
      </c>
      <c r="C9" s="146">
        <f t="shared" si="5"/>
        <v>-729</v>
      </c>
      <c r="D9" s="146">
        <f t="shared" si="5"/>
        <v>1330</v>
      </c>
      <c r="E9" s="146">
        <f t="shared" si="5"/>
        <v>-13731</v>
      </c>
      <c r="F9" s="147" t="e">
        <f t="shared" si="5"/>
        <v>#VALUE!</v>
      </c>
      <c r="G9" s="146">
        <f t="shared" si="5"/>
        <v>-12410.5</v>
      </c>
      <c r="H9" s="146">
        <f t="shared" si="5"/>
        <v>-11955.5</v>
      </c>
      <c r="I9" s="146">
        <f t="shared" si="5"/>
        <v>67</v>
      </c>
      <c r="J9" s="146">
        <f t="shared" si="5"/>
        <v>-1882</v>
      </c>
      <c r="K9" s="147">
        <f t="shared" si="5"/>
        <v>-26181</v>
      </c>
      <c r="L9" s="146">
        <f t="shared" ref="L9:BW9" si="6">SUM(L8)</f>
        <v>-3649</v>
      </c>
      <c r="M9" s="146">
        <f t="shared" si="6"/>
        <v>-71101</v>
      </c>
      <c r="N9" s="146">
        <f t="shared" si="6"/>
        <v>-465</v>
      </c>
      <c r="O9" s="146">
        <f t="shared" si="6"/>
        <v>-30144</v>
      </c>
      <c r="P9" s="147">
        <f t="shared" si="6"/>
        <v>-105359</v>
      </c>
      <c r="Q9" s="146">
        <f t="shared" si="6"/>
        <v>-306911</v>
      </c>
      <c r="R9" s="146">
        <f t="shared" si="6"/>
        <v>308064</v>
      </c>
      <c r="S9" s="146">
        <f t="shared" si="6"/>
        <v>-12123</v>
      </c>
      <c r="T9" s="146">
        <f t="shared" si="6"/>
        <v>-24871</v>
      </c>
      <c r="U9" s="147">
        <f t="shared" si="6"/>
        <v>-35841</v>
      </c>
      <c r="V9" s="146">
        <f t="shared" si="6"/>
        <v>-20894</v>
      </c>
      <c r="W9" s="146">
        <f t="shared" si="6"/>
        <v>-16931</v>
      </c>
      <c r="X9" s="146">
        <f t="shared" si="6"/>
        <v>-12366</v>
      </c>
      <c r="Y9" s="146">
        <f t="shared" si="6"/>
        <v>-144922</v>
      </c>
      <c r="Z9" s="147">
        <f t="shared" si="6"/>
        <v>-195113</v>
      </c>
      <c r="AA9" s="146">
        <f t="shared" si="6"/>
        <v>-12888</v>
      </c>
      <c r="AB9" s="146">
        <f t="shared" si="6"/>
        <v>-32921</v>
      </c>
      <c r="AC9" s="146">
        <f t="shared" si="6"/>
        <v>177246</v>
      </c>
      <c r="AD9" s="146">
        <f t="shared" si="6"/>
        <v>-16023</v>
      </c>
      <c r="AE9" s="147">
        <f t="shared" si="6"/>
        <v>115414</v>
      </c>
      <c r="AF9" s="146">
        <f t="shared" si="6"/>
        <v>-21167</v>
      </c>
      <c r="AG9" s="146">
        <f t="shared" si="6"/>
        <v>-20414</v>
      </c>
      <c r="AH9" s="146">
        <f t="shared" si="6"/>
        <v>-15836</v>
      </c>
      <c r="AI9" s="146">
        <f t="shared" si="6"/>
        <v>-14181</v>
      </c>
      <c r="AJ9" s="147">
        <f t="shared" si="6"/>
        <v>-71598</v>
      </c>
      <c r="AK9" s="146">
        <f t="shared" si="6"/>
        <v>-32</v>
      </c>
      <c r="AL9" s="146">
        <f t="shared" si="6"/>
        <v>-5181</v>
      </c>
      <c r="AM9" s="146">
        <f t="shared" si="6"/>
        <v>-32146</v>
      </c>
      <c r="AN9" s="146">
        <f t="shared" si="6"/>
        <v>-22795</v>
      </c>
      <c r="AO9" s="147">
        <f t="shared" si="6"/>
        <v>-60154</v>
      </c>
      <c r="AP9" s="146">
        <f t="shared" si="6"/>
        <v>-14916</v>
      </c>
      <c r="AQ9" s="146">
        <f t="shared" si="6"/>
        <v>-28518</v>
      </c>
      <c r="AR9" s="146">
        <f t="shared" si="6"/>
        <v>-17614</v>
      </c>
      <c r="AS9" s="146">
        <f t="shared" si="6"/>
        <v>-583812</v>
      </c>
      <c r="AT9" s="147">
        <f t="shared" si="6"/>
        <v>-644860</v>
      </c>
      <c r="AU9" s="146">
        <f t="shared" si="6"/>
        <v>-406298</v>
      </c>
      <c r="AV9" s="146">
        <f t="shared" si="6"/>
        <v>356625</v>
      </c>
      <c r="AW9" s="146">
        <f t="shared" si="6"/>
        <v>-38624</v>
      </c>
      <c r="AX9" s="146">
        <f t="shared" si="6"/>
        <v>-45361</v>
      </c>
      <c r="AY9" s="147">
        <f t="shared" si="6"/>
        <v>-133658</v>
      </c>
      <c r="AZ9" s="146">
        <f t="shared" si="6"/>
        <v>-40640</v>
      </c>
      <c r="BA9" s="146">
        <f t="shared" si="6"/>
        <v>-25641</v>
      </c>
      <c r="BB9" s="146">
        <f t="shared" si="6"/>
        <v>-37295</v>
      </c>
      <c r="BC9" s="146">
        <f t="shared" si="6"/>
        <v>11925</v>
      </c>
      <c r="BD9" s="147">
        <f t="shared" si="6"/>
        <v>-91651</v>
      </c>
      <c r="BE9" s="146">
        <f t="shared" si="6"/>
        <v>29088</v>
      </c>
      <c r="BF9" s="146">
        <f t="shared" si="6"/>
        <v>-121867</v>
      </c>
      <c r="BG9" s="146">
        <f t="shared" si="6"/>
        <v>5639</v>
      </c>
      <c r="BH9" s="146">
        <f t="shared" si="6"/>
        <v>16173</v>
      </c>
      <c r="BI9" s="147">
        <f t="shared" si="6"/>
        <v>-70967</v>
      </c>
      <c r="BJ9" s="146">
        <f t="shared" si="6"/>
        <v>30764</v>
      </c>
      <c r="BK9" s="146">
        <f t="shared" si="6"/>
        <v>-4372</v>
      </c>
      <c r="BL9" s="146">
        <f t="shared" si="6"/>
        <v>-60558</v>
      </c>
      <c r="BM9" s="146">
        <f t="shared" si="6"/>
        <v>-138962</v>
      </c>
      <c r="BN9" s="147">
        <f t="shared" si="6"/>
        <v>-173128</v>
      </c>
      <c r="BO9" s="146">
        <f t="shared" si="6"/>
        <v>-9316</v>
      </c>
      <c r="BP9" s="146">
        <f t="shared" si="6"/>
        <v>-9689</v>
      </c>
      <c r="BQ9" s="146">
        <f t="shared" si="6"/>
        <v>104087</v>
      </c>
      <c r="BR9" s="146">
        <f t="shared" si="6"/>
        <v>-12230</v>
      </c>
      <c r="BS9" s="147">
        <f t="shared" si="6"/>
        <v>72852</v>
      </c>
      <c r="BT9" s="146">
        <f t="shared" si="6"/>
        <v>-96423</v>
      </c>
      <c r="BU9" s="146">
        <f t="shared" si="6"/>
        <v>30446</v>
      </c>
      <c r="BV9" s="146">
        <f t="shared" si="6"/>
        <v>-3677</v>
      </c>
      <c r="BW9" s="146">
        <f t="shared" si="6"/>
        <v>-26296</v>
      </c>
      <c r="BX9" s="147">
        <f t="shared" ref="BX9:CC9" si="7">SUM(BX8)</f>
        <v>-95950</v>
      </c>
      <c r="BY9" s="146">
        <f t="shared" si="7"/>
        <v>63981</v>
      </c>
      <c r="BZ9" s="146">
        <f t="shared" si="7"/>
        <v>7881</v>
      </c>
      <c r="CA9" s="146">
        <f t="shared" si="7"/>
        <v>-94951</v>
      </c>
      <c r="CB9" s="146">
        <f t="shared" si="7"/>
        <v>-14319</v>
      </c>
      <c r="CC9" s="147">
        <f t="shared" si="7"/>
        <v>-37408</v>
      </c>
      <c r="CD9" s="146">
        <f t="shared" ref="CD9:DG9" si="8">SUM(CD8)</f>
        <v>14220</v>
      </c>
      <c r="CE9" s="146">
        <f t="shared" si="8"/>
        <v>-4274</v>
      </c>
      <c r="CF9" s="146">
        <f t="shared" si="8"/>
        <v>-1285989</v>
      </c>
      <c r="CG9" s="146">
        <f t="shared" si="8"/>
        <v>-441</v>
      </c>
      <c r="CH9" s="147">
        <f t="shared" si="8"/>
        <v>-1276484</v>
      </c>
      <c r="CI9" s="146">
        <f t="shared" si="8"/>
        <v>-85544</v>
      </c>
      <c r="CJ9" s="146">
        <f t="shared" si="8"/>
        <v>8398</v>
      </c>
      <c r="CK9" s="146">
        <f t="shared" si="8"/>
        <v>-69158</v>
      </c>
      <c r="CL9" s="146">
        <f t="shared" si="8"/>
        <v>36445</v>
      </c>
      <c r="CM9" s="147">
        <f t="shared" si="8"/>
        <v>-109859</v>
      </c>
      <c r="CN9" s="146">
        <f t="shared" si="8"/>
        <v>-130793</v>
      </c>
      <c r="CO9" s="146">
        <f t="shared" si="8"/>
        <v>-145634</v>
      </c>
      <c r="CP9" s="146">
        <f t="shared" si="8"/>
        <v>-169344</v>
      </c>
      <c r="CQ9" s="146">
        <f t="shared" si="8"/>
        <v>22555</v>
      </c>
      <c r="CR9" s="147">
        <f t="shared" si="8"/>
        <v>-423216</v>
      </c>
      <c r="CS9" s="146">
        <f t="shared" si="8"/>
        <v>-78092</v>
      </c>
      <c r="CT9" s="146">
        <f t="shared" si="8"/>
        <v>-40777</v>
      </c>
      <c r="CU9" s="146">
        <f t="shared" si="8"/>
        <v>-83998</v>
      </c>
      <c r="CV9" s="146">
        <f t="shared" si="8"/>
        <v>-71354</v>
      </c>
      <c r="CW9" s="147">
        <f t="shared" si="8"/>
        <v>-274221</v>
      </c>
      <c r="CX9" s="146">
        <f t="shared" si="8"/>
        <v>-135238</v>
      </c>
      <c r="CY9" s="146">
        <f t="shared" si="8"/>
        <v>-200184</v>
      </c>
      <c r="CZ9" s="146">
        <f t="shared" si="8"/>
        <v>-168901</v>
      </c>
      <c r="DA9" s="146">
        <f t="shared" si="8"/>
        <v>-256603</v>
      </c>
      <c r="DB9" s="147">
        <f t="shared" si="8"/>
        <v>-760926</v>
      </c>
      <c r="DC9" s="146">
        <f t="shared" si="8"/>
        <v>32642</v>
      </c>
      <c r="DD9" s="146">
        <f t="shared" si="8"/>
        <v>-76279</v>
      </c>
      <c r="DE9" s="146">
        <f t="shared" si="8"/>
        <v>-110726</v>
      </c>
      <c r="DF9" s="146">
        <f t="shared" si="8"/>
        <v>-449115</v>
      </c>
      <c r="DG9" s="147">
        <f t="shared" si="8"/>
        <v>-603478</v>
      </c>
      <c r="DH9" s="146">
        <f t="shared" ref="DH9:EF9" si="9">SUM(DH8)</f>
        <v>3062</v>
      </c>
      <c r="DI9" s="146">
        <f t="shared" si="9"/>
        <v>-166754</v>
      </c>
      <c r="DJ9" s="146">
        <f t="shared" si="9"/>
        <v>-8802.0349034149403</v>
      </c>
      <c r="DK9" s="146">
        <f t="shared" si="9"/>
        <v>-181236.28298545262</v>
      </c>
      <c r="DL9" s="147">
        <f t="shared" si="9"/>
        <v>-353730.31788886758</v>
      </c>
      <c r="DM9" s="146">
        <f t="shared" si="9"/>
        <v>-33015.188427328671</v>
      </c>
      <c r="DN9" s="146">
        <f t="shared" si="9"/>
        <v>-180990.74834514409</v>
      </c>
      <c r="DO9" s="146">
        <f t="shared" si="9"/>
        <v>-222370.1426701812</v>
      </c>
      <c r="DP9" s="146">
        <f t="shared" si="9"/>
        <v>-214895.89956785602</v>
      </c>
      <c r="DQ9" s="147">
        <f t="shared" si="9"/>
        <v>-651271.97901051003</v>
      </c>
      <c r="DR9" s="146">
        <f t="shared" si="9"/>
        <v>-155034.1154403871</v>
      </c>
      <c r="DS9" s="146">
        <f t="shared" si="9"/>
        <v>-161318.9884076197</v>
      </c>
      <c r="DT9" s="146">
        <f t="shared" si="9"/>
        <v>-177107.47416148853</v>
      </c>
      <c r="DU9" s="146">
        <f t="shared" si="9"/>
        <v>-230920.71442074823</v>
      </c>
      <c r="DV9" s="147">
        <f t="shared" si="9"/>
        <v>-724381.29243024357</v>
      </c>
      <c r="DW9" s="146">
        <f t="shared" si="9"/>
        <v>-85844.970006249496</v>
      </c>
      <c r="DX9" s="146">
        <f t="shared" si="9"/>
        <v>-123535.82803944446</v>
      </c>
      <c r="DY9" s="146">
        <f t="shared" si="9"/>
        <v>-107342.7624709636</v>
      </c>
      <c r="DZ9" s="146">
        <f t="shared" si="9"/>
        <v>-126495.6507465661</v>
      </c>
      <c r="EA9" s="147">
        <f t="shared" si="9"/>
        <v>-443219.21126322367</v>
      </c>
      <c r="EB9" s="146">
        <f t="shared" si="9"/>
        <v>-14244.06459499694</v>
      </c>
      <c r="EC9" s="146">
        <f t="shared" si="9"/>
        <v>-84947.377945752771</v>
      </c>
      <c r="ED9" s="146">
        <f t="shared" si="9"/>
        <v>-119565.43306755932</v>
      </c>
      <c r="EE9" s="146">
        <f t="shared" si="9"/>
        <v>-125419.7395542243</v>
      </c>
      <c r="EF9" s="147">
        <f t="shared" si="9"/>
        <v>-344176.61516253336</v>
      </c>
    </row>
    <row r="10" spans="1:136" ht="12" customHeight="1" outlineLevel="1">
      <c r="A10" s="66" t="s">
        <v>149</v>
      </c>
      <c r="B10" s="144" t="e">
        <f>('Balance Sheet'!B28-'Balance Sheet'!A28)+('Balance Sheet'!B31-'Balance Sheet'!A31)-('Balance Sheet'!B7-'Balance Sheet'!A7)</f>
        <v>#VALUE!</v>
      </c>
      <c r="C10" s="144">
        <f>('Balance Sheet'!C28-'Balance Sheet'!B28)+('Balance Sheet'!C31-'Balance Sheet'!B31)-('Balance Sheet'!C7-'Balance Sheet'!B7)</f>
        <v>7502</v>
      </c>
      <c r="D10" s="144">
        <f>('Balance Sheet'!D28-'Balance Sheet'!C28)+('Balance Sheet'!D31-'Balance Sheet'!C31)-('Balance Sheet'!D7-'Balance Sheet'!C7)</f>
        <v>10625</v>
      </c>
      <c r="E10" s="144">
        <f>('Balance Sheet'!E28-'Balance Sheet'!D28)+('Balance Sheet'!E31-'Balance Sheet'!D31)-('Balance Sheet'!E7-'Balance Sheet'!D7)</f>
        <v>160571</v>
      </c>
      <c r="F10" s="145" t="e">
        <f>('Balance Sheet'!F28-'Balance Sheet'!A28)+('Balance Sheet'!F31-'Balance Sheet'!A31)-('Balance Sheet'!F7-'Balance Sheet'!A7)</f>
        <v>#VALUE!</v>
      </c>
      <c r="G10" s="144">
        <f>('Balance Sheet'!G28-'Balance Sheet'!F28)+('Balance Sheet'!G31-'Balance Sheet'!F31)-('Balance Sheet'!G7-'Balance Sheet'!F7)</f>
        <v>289957</v>
      </c>
      <c r="H10" s="144">
        <f>('Balance Sheet'!H28-'Balance Sheet'!G28)+('Balance Sheet'!H31-'Balance Sheet'!G31)-('Balance Sheet'!H7-'Balance Sheet'!G7)</f>
        <v>-259314</v>
      </c>
      <c r="I10" s="144">
        <f>('Balance Sheet'!I28-'Balance Sheet'!H28)+('Balance Sheet'!I31-'Balance Sheet'!H31)-('Balance Sheet'!I7-'Balance Sheet'!H7)</f>
        <v>-109242</v>
      </c>
      <c r="J10" s="144">
        <f>('Balance Sheet'!J28-'Balance Sheet'!I28)+('Balance Sheet'!J31-'Balance Sheet'!I31)-('Balance Sheet'!J7-'Balance Sheet'!I7)</f>
        <v>8475</v>
      </c>
      <c r="K10" s="145">
        <f>('Balance Sheet'!K28-'Balance Sheet'!F28)+('Balance Sheet'!K31-'Balance Sheet'!F31)-('Balance Sheet'!K7-'Balance Sheet'!F7)</f>
        <v>-70124</v>
      </c>
      <c r="L10" s="144">
        <f>('Balance Sheet'!L28-'Balance Sheet'!K28)+('Balance Sheet'!L31-'Balance Sheet'!K31)-('Balance Sheet'!L7-'Balance Sheet'!K7)</f>
        <v>-3004</v>
      </c>
      <c r="M10" s="144">
        <f>('Balance Sheet'!M28-'Balance Sheet'!L28)+('Balance Sheet'!M31-'Balance Sheet'!L31)-('Balance Sheet'!M7-'Balance Sheet'!L7)</f>
        <v>32231</v>
      </c>
      <c r="N10" s="144">
        <f>('Balance Sheet'!N28-'Balance Sheet'!M28)+('Balance Sheet'!N31-'Balance Sheet'!M31)-('Balance Sheet'!N7-'Balance Sheet'!M7)</f>
        <v>-111820</v>
      </c>
      <c r="O10" s="144">
        <f>('Balance Sheet'!O28-'Balance Sheet'!N28)+('Balance Sheet'!O31-'Balance Sheet'!N31)-('Balance Sheet'!O7-'Balance Sheet'!N7)</f>
        <v>-82002</v>
      </c>
      <c r="P10" s="145">
        <f>('Balance Sheet'!P28-'Balance Sheet'!K28)+('Balance Sheet'!P31-'Balance Sheet'!K31)-('Balance Sheet'!P7-'Balance Sheet'!K7)</f>
        <v>-164595</v>
      </c>
      <c r="Q10" s="144">
        <f>('Balance Sheet'!Q28-'Balance Sheet'!P28)+('Balance Sheet'!Q31-'Balance Sheet'!P31)-('Balance Sheet'!Q7-'Balance Sheet'!P7)</f>
        <v>87129</v>
      </c>
      <c r="R10" s="144">
        <f>('Balance Sheet'!R28-'Balance Sheet'!Q28)+('Balance Sheet'!R31-'Balance Sheet'!Q31)-('Balance Sheet'!R7-'Balance Sheet'!Q7)</f>
        <v>205472</v>
      </c>
      <c r="S10" s="144">
        <f>('Balance Sheet'!S28-'Balance Sheet'!R28)+('Balance Sheet'!S31-'Balance Sheet'!R31)-('Balance Sheet'!S7-'Balance Sheet'!R7)</f>
        <v>252449</v>
      </c>
      <c r="T10" s="144">
        <f>('Balance Sheet'!T28-'Balance Sheet'!S28)+('Balance Sheet'!T31-'Balance Sheet'!S31)-('Balance Sheet'!T7-'Balance Sheet'!S7)</f>
        <v>48837</v>
      </c>
      <c r="U10" s="145">
        <f>('Balance Sheet'!U28-'Balance Sheet'!P28)+('Balance Sheet'!U31-'Balance Sheet'!P31)-('Balance Sheet'!U7-'Balance Sheet'!P7)</f>
        <v>593887</v>
      </c>
      <c r="V10" s="144">
        <f>('Balance Sheet'!V28-'Balance Sheet'!U28)+('Balance Sheet'!V31-'Balance Sheet'!U31)-('Balance Sheet'!V7-'Balance Sheet'!U7)</f>
        <v>660745</v>
      </c>
      <c r="W10" s="144">
        <f>('Balance Sheet'!W28-'Balance Sheet'!V28)+('Balance Sheet'!W31-'Balance Sheet'!V31)-('Balance Sheet'!W7-'Balance Sheet'!V7)</f>
        <v>145668</v>
      </c>
      <c r="X10" s="144">
        <f>('Balance Sheet'!X28-'Balance Sheet'!W28)+('Balance Sheet'!X31-'Balance Sheet'!W31)-('Balance Sheet'!X7-'Balance Sheet'!W7)</f>
        <v>154213</v>
      </c>
      <c r="Y10" s="144">
        <f>('Balance Sheet'!Y28-'Balance Sheet'!X28)+('Balance Sheet'!Y31-'Balance Sheet'!X31)-('Balance Sheet'!Y7-'Balance Sheet'!X7)</f>
        <v>309572</v>
      </c>
      <c r="Z10" s="145">
        <f>('Balance Sheet'!Z28-'Balance Sheet'!U28)+('Balance Sheet'!Z31-'Balance Sheet'!U31)-('Balance Sheet'!Z7-'Balance Sheet'!U7)</f>
        <v>1270198</v>
      </c>
      <c r="AA10" s="144">
        <f>('Balance Sheet'!AA28-'Balance Sheet'!Z28)+('Balance Sheet'!AA31-'Balance Sheet'!Z31)-('Balance Sheet'!AA7-'Balance Sheet'!Z7)</f>
        <v>79712</v>
      </c>
      <c r="AB10" s="144">
        <f>('Balance Sheet'!AB28-'Balance Sheet'!AA28)+('Balance Sheet'!AB31-'Balance Sheet'!AA31)-('Balance Sheet'!AB7-'Balance Sheet'!AA7)</f>
        <v>154506</v>
      </c>
      <c r="AC10" s="144">
        <f>('Balance Sheet'!AC28-'Balance Sheet'!AB28)+('Balance Sheet'!AC31-'Balance Sheet'!AB31)-('Balance Sheet'!AC7-'Balance Sheet'!AB7)</f>
        <v>429384</v>
      </c>
      <c r="AD10" s="144">
        <f>('Balance Sheet'!AD28-'Balance Sheet'!AC28)+('Balance Sheet'!AD31-'Balance Sheet'!AC31)-('Balance Sheet'!AD7-'Balance Sheet'!AC7)</f>
        <v>-173151</v>
      </c>
      <c r="AE10" s="145">
        <f>('Balance Sheet'!AE28-'Balance Sheet'!Z28)+('Balance Sheet'!AE31-'Balance Sheet'!Z31)-('Balance Sheet'!AE7-'Balance Sheet'!Z7)</f>
        <v>490451</v>
      </c>
      <c r="AF10" s="144">
        <f>('Balance Sheet'!AF28-'Balance Sheet'!AE28)+('Balance Sheet'!AF31-'Balance Sheet'!AE31)-('Balance Sheet'!AF7-'Balance Sheet'!AE7)</f>
        <v>-61650</v>
      </c>
      <c r="AG10" s="144">
        <f>('Balance Sheet'!AG28-'Balance Sheet'!AF28)+('Balance Sheet'!AG31-'Balance Sheet'!AF31)-('Balance Sheet'!AG7-'Balance Sheet'!AF7)</f>
        <v>140427</v>
      </c>
      <c r="AH10" s="144">
        <f>('Balance Sheet'!AH28-'Balance Sheet'!AG28)+('Balance Sheet'!AH31-'Balance Sheet'!AG31)-('Balance Sheet'!AH7-'Balance Sheet'!AG7)</f>
        <v>208908</v>
      </c>
      <c r="AI10" s="144">
        <f>('Balance Sheet'!AI28-'Balance Sheet'!AH28)+('Balance Sheet'!AI31-'Balance Sheet'!AH31)-('Balance Sheet'!AI7-'Balance Sheet'!AH7)</f>
        <v>523726</v>
      </c>
      <c r="AJ10" s="145">
        <f>('Balance Sheet'!AJ28-'Balance Sheet'!AE28)+('Balance Sheet'!AJ31-'Balance Sheet'!AE31)-('Balance Sheet'!AJ7-'Balance Sheet'!AE7)</f>
        <v>811411</v>
      </c>
      <c r="AK10" s="144">
        <f>('Balance Sheet'!AK28-'Balance Sheet'!AJ28)+('Balance Sheet'!AK31-'Balance Sheet'!AJ31)-('Balance Sheet'!AK7-'Balance Sheet'!AJ7)</f>
        <v>182901</v>
      </c>
      <c r="AL10" s="144">
        <f>('Balance Sheet'!AL28-'Balance Sheet'!AK28)+('Balance Sheet'!AL31-'Balance Sheet'!AK31)-('Balance Sheet'!AL7-'Balance Sheet'!AK7)</f>
        <v>545115</v>
      </c>
      <c r="AM10" s="144">
        <f>('Balance Sheet'!AM28-'Balance Sheet'!AL28)+('Balance Sheet'!AM31-'Balance Sheet'!AL31)-('Balance Sheet'!AM7-'Balance Sheet'!AL7)</f>
        <v>476838</v>
      </c>
      <c r="AN10" s="144">
        <f>('Balance Sheet'!AN28-'Balance Sheet'!AM28)+('Balance Sheet'!AN31-'Balance Sheet'!AM31)-('Balance Sheet'!AN7-'Balance Sheet'!AM7)</f>
        <v>-114634</v>
      </c>
      <c r="AO10" s="145">
        <f>('Balance Sheet'!AO28-'Balance Sheet'!AJ28)+('Balance Sheet'!AO31-'Balance Sheet'!AJ31)-('Balance Sheet'!AO7-'Balance Sheet'!AJ7)</f>
        <v>1090220</v>
      </c>
      <c r="AP10" s="144">
        <f>('Balance Sheet'!AP28-'Balance Sheet'!AO28)+('Balance Sheet'!AP31-'Balance Sheet'!AO31)-('Balance Sheet'!AP7-'Balance Sheet'!AO7)</f>
        <v>98613</v>
      </c>
      <c r="AQ10" s="144">
        <f>('Balance Sheet'!AQ28-'Balance Sheet'!AP28)+('Balance Sheet'!AQ31-'Balance Sheet'!AP31)-('Balance Sheet'!AQ7-'Balance Sheet'!AP7)</f>
        <v>-250770</v>
      </c>
      <c r="AR10" s="144">
        <f>('Balance Sheet'!AR28-'Balance Sheet'!AQ28)+('Balance Sheet'!AR31-'Balance Sheet'!AQ31)-('Balance Sheet'!AR7-'Balance Sheet'!AQ7)</f>
        <v>-120493</v>
      </c>
      <c r="AS10" s="144">
        <f>('Balance Sheet'!AS28-'Balance Sheet'!AR28)+('Balance Sheet'!AS31-'Balance Sheet'!AR31)-('Balance Sheet'!AS7-'Balance Sheet'!AR7)</f>
        <v>-29095</v>
      </c>
      <c r="AT10" s="145">
        <f>('Balance Sheet'!AT28-'Balance Sheet'!AO28)+('Balance Sheet'!AT31-'Balance Sheet'!AO31)-('Balance Sheet'!AT7-'Balance Sheet'!AO7)</f>
        <v>-301745</v>
      </c>
      <c r="AU10" s="144">
        <f>('Balance Sheet'!AU28-'Balance Sheet'!AT28)+('Balance Sheet'!AU31-'Balance Sheet'!AT31)-('Balance Sheet'!AU7-'Balance Sheet'!AT7)</f>
        <v>-307695</v>
      </c>
      <c r="AV10" s="144">
        <f>('Balance Sheet'!AV28-'Balance Sheet'!AU28)+('Balance Sheet'!AV31-'Balance Sheet'!AU31)-('Balance Sheet'!AV7-'Balance Sheet'!AU7)</f>
        <v>-22223</v>
      </c>
      <c r="AW10" s="144">
        <f>('Balance Sheet'!AW28-'Balance Sheet'!AV28)+('Balance Sheet'!AW31-'Balance Sheet'!AV31)-('Balance Sheet'!AW7-'Balance Sheet'!AV7)</f>
        <v>121023</v>
      </c>
      <c r="AX10" s="144">
        <f>('Balance Sheet'!AX28-'Balance Sheet'!AW28)+('Balance Sheet'!AX31-'Balance Sheet'!AW31)-('Balance Sheet'!AX7-'Balance Sheet'!AW7)</f>
        <v>380069</v>
      </c>
      <c r="AY10" s="145">
        <f>('Balance Sheet'!AY28-'Balance Sheet'!AT28)+('Balance Sheet'!AY31-'Balance Sheet'!AT31)-('Balance Sheet'!AY7-'Balance Sheet'!AT7)</f>
        <v>171174</v>
      </c>
      <c r="AZ10" s="144">
        <f>('Balance Sheet'!AZ28-'Balance Sheet'!AY28)+('Balance Sheet'!AZ31-'Balance Sheet'!AY31)-('Balance Sheet'!AZ7-'Balance Sheet'!AY7)</f>
        <v>399488</v>
      </c>
      <c r="BA10" s="144">
        <f>('Balance Sheet'!BA28-'Balance Sheet'!AZ28)+('Balance Sheet'!BA31-'Balance Sheet'!AZ31)-('Balance Sheet'!BA7-'Balance Sheet'!AZ7)</f>
        <v>-303291</v>
      </c>
      <c r="BB10" s="144">
        <f>('Balance Sheet'!BB28-'Balance Sheet'!BA28)+('Balance Sheet'!BB31-'Balance Sheet'!BA31)-('Balance Sheet'!BB7-'Balance Sheet'!BA7)</f>
        <v>-36294</v>
      </c>
      <c r="BC10" s="144">
        <f>('Balance Sheet'!BC28-'Balance Sheet'!BB28)+('Balance Sheet'!BC31-'Balance Sheet'!BB31)-('Balance Sheet'!BC7-'Balance Sheet'!BB7)</f>
        <v>-382537</v>
      </c>
      <c r="BD10" s="145">
        <f>('Balance Sheet'!BD28-'Balance Sheet'!AY28)+('Balance Sheet'!BD31-'Balance Sheet'!AY31)-('Balance Sheet'!BD7-'Balance Sheet'!AY7)</f>
        <v>-322634</v>
      </c>
      <c r="BE10" s="144">
        <f>('Balance Sheet'!BE28-'Balance Sheet'!BD28)+('Balance Sheet'!BE31-'Balance Sheet'!BD31)-('Balance Sheet'!BE7-'Balance Sheet'!BD7)</f>
        <v>-81923</v>
      </c>
      <c r="BF10" s="144">
        <f>('Balance Sheet'!BF28-'Balance Sheet'!BE28)+('Balance Sheet'!BF31-'Balance Sheet'!BE31)-('Balance Sheet'!BF7-'Balance Sheet'!BE7)</f>
        <v>114338</v>
      </c>
      <c r="BG10" s="144">
        <f>('Balance Sheet'!BG28-'Balance Sheet'!BF28)+('Balance Sheet'!BG31-'Balance Sheet'!BF31)-('Balance Sheet'!BG7-'Balance Sheet'!BF7)</f>
        <v>85389</v>
      </c>
      <c r="BH10" s="144">
        <f>('Balance Sheet'!BH28-'Balance Sheet'!BG28)+('Balance Sheet'!BH31-'Balance Sheet'!BG31)-('Balance Sheet'!BH7-'Balance Sheet'!BG7)</f>
        <v>-293535</v>
      </c>
      <c r="BI10" s="145">
        <f>('Balance Sheet'!BI28-'Balance Sheet'!BD28)+('Balance Sheet'!BI31-'Balance Sheet'!BD31)-('Balance Sheet'!BI7-'Balance Sheet'!BD7)</f>
        <v>-175731</v>
      </c>
      <c r="BJ10" s="144">
        <f>('Balance Sheet'!BJ28-'Balance Sheet'!BI28)+('Balance Sheet'!BJ31-'Balance Sheet'!BI31)-('Balance Sheet'!BJ7-'Balance Sheet'!BI7)</f>
        <v>-130716</v>
      </c>
      <c r="BK10" s="144">
        <f>('Balance Sheet'!BK28-'Balance Sheet'!BJ28)+('Balance Sheet'!BK31-'Balance Sheet'!BJ31)-('Balance Sheet'!BK7-'Balance Sheet'!BJ7)</f>
        <v>-175236</v>
      </c>
      <c r="BL10" s="144">
        <f>('Balance Sheet'!BL28-'Balance Sheet'!BK28)+('Balance Sheet'!BL31-'Balance Sheet'!BK31)-('Balance Sheet'!BL7-'Balance Sheet'!BK7)</f>
        <v>-66470</v>
      </c>
      <c r="BM10" s="144">
        <f>('Balance Sheet'!BM28-'Balance Sheet'!BL28)+('Balance Sheet'!BM31-'Balance Sheet'!BL31)-('Balance Sheet'!BM7-'Balance Sheet'!BL7)</f>
        <v>-137605</v>
      </c>
      <c r="BN10" s="145">
        <f>('Balance Sheet'!BN28-'Balance Sheet'!BI28)+('Balance Sheet'!BN31-'Balance Sheet'!BI31)-('Balance Sheet'!BN7-'Balance Sheet'!BI7)</f>
        <v>-510027</v>
      </c>
      <c r="BO10" s="144">
        <f>('Balance Sheet'!BO28-'Balance Sheet'!BN28)+('Balance Sheet'!BO31-'Balance Sheet'!BN31)-('Balance Sheet'!BO7-'Balance Sheet'!BN7)</f>
        <v>159247</v>
      </c>
      <c r="BP10" s="144">
        <f>('Balance Sheet'!BP28-'Balance Sheet'!BO28)+('Balance Sheet'!BP31-'Balance Sheet'!BO31)-('Balance Sheet'!BP7-'Balance Sheet'!BO7)</f>
        <v>-159258</v>
      </c>
      <c r="BQ10" s="144">
        <f>('Balance Sheet'!BQ28-'Balance Sheet'!BP28)+('Balance Sheet'!BQ31-'Balance Sheet'!BP31)-('Balance Sheet'!BQ7-'Balance Sheet'!BP7)</f>
        <v>-293989</v>
      </c>
      <c r="BR10" s="144">
        <f>('Balance Sheet'!BR28-'Balance Sheet'!BQ28)+('Balance Sheet'!BR31-'Balance Sheet'!BQ31)-('Balance Sheet'!BR7-'Balance Sheet'!BQ7)</f>
        <v>-579195</v>
      </c>
      <c r="BS10" s="145">
        <f>('Balance Sheet'!BS28-'Balance Sheet'!BN28)+('Balance Sheet'!BS31-'Balance Sheet'!BN31)-('Balance Sheet'!BS7-'Balance Sheet'!BN7)</f>
        <v>-873195</v>
      </c>
      <c r="BT10" s="144">
        <f>('Balance Sheet'!BT28-'Balance Sheet'!BS28)+('Balance Sheet'!BT31-'Balance Sheet'!BS31)-('Balance Sheet'!BT7-'Balance Sheet'!BS7)</f>
        <v>-469415</v>
      </c>
      <c r="BU10" s="144">
        <f>('Balance Sheet'!BU28-'Balance Sheet'!BT28)+('Balance Sheet'!BU31-'Balance Sheet'!BT31)-('Balance Sheet'!BU7-'Balance Sheet'!BT7)</f>
        <v>249917</v>
      </c>
      <c r="BV10" s="144">
        <f>('Balance Sheet'!BV28-'Balance Sheet'!BU28)+('Balance Sheet'!BV31-'Balance Sheet'!BU31)-('Balance Sheet'!BV7-'Balance Sheet'!BU7)</f>
        <v>636873</v>
      </c>
      <c r="BW10" s="144">
        <f>('Balance Sheet'!BW28-'Balance Sheet'!BV28)+('Balance Sheet'!BW31-'Balance Sheet'!BV31)-('Balance Sheet'!BW7-'Balance Sheet'!BV7)</f>
        <v>-579812</v>
      </c>
      <c r="BX10" s="145">
        <f>('Balance Sheet'!BX28-'Balance Sheet'!BS28)+('Balance Sheet'!BX31-'Balance Sheet'!BS31)-('Balance Sheet'!BX7-'Balance Sheet'!BS7)</f>
        <v>-162437</v>
      </c>
      <c r="BY10" s="144">
        <f>('Balance Sheet'!BY28-'Balance Sheet'!BX28)+('Balance Sheet'!BY31-'Balance Sheet'!BX31)-('Balance Sheet'!BY7-'Balance Sheet'!BX7)</f>
        <v>-275157</v>
      </c>
      <c r="BZ10" s="144">
        <f>('Balance Sheet'!BZ28-'Balance Sheet'!BY28)+('Balance Sheet'!BZ31-'Balance Sheet'!BY31)-('Balance Sheet'!BZ7-'Balance Sheet'!BY7)</f>
        <v>-101058</v>
      </c>
      <c r="CA10" s="144">
        <f>('Balance Sheet'!CA28-'Balance Sheet'!BZ28)+('Balance Sheet'!CA31-'Balance Sheet'!BZ31)-('Balance Sheet'!CA7-'Balance Sheet'!BZ7)</f>
        <v>416319</v>
      </c>
      <c r="CB10" s="144">
        <f>('Balance Sheet'!CB28-'Balance Sheet'!CA28)+('Balance Sheet'!CB31-'Balance Sheet'!CA31)-('Balance Sheet'!CB7-'Balance Sheet'!CA7)</f>
        <v>93952</v>
      </c>
      <c r="CC10" s="145">
        <f>('Balance Sheet'!CC28-'Balance Sheet'!BX28)+('Balance Sheet'!CC31-'Balance Sheet'!BX31)-('Balance Sheet'!CC7-'Balance Sheet'!BX7)</f>
        <v>134056</v>
      </c>
      <c r="CD10" s="144">
        <f>('Balance Sheet'!CD28-'Balance Sheet'!CC28)+('Balance Sheet'!CD31-'Balance Sheet'!CC31)-('Balance Sheet'!CD7-'Balance Sheet'!CC7)</f>
        <v>-69949</v>
      </c>
      <c r="CE10" s="144">
        <f>('Balance Sheet'!CE28-'Balance Sheet'!CD28)+('Balance Sheet'!CE31-'Balance Sheet'!CD31)-('Balance Sheet'!CE7-'Balance Sheet'!CD7)</f>
        <v>360724</v>
      </c>
      <c r="CF10" s="144">
        <f>('Balance Sheet'!CF28-'Balance Sheet'!CE28)+('Balance Sheet'!CF31-'Balance Sheet'!CE31)-('Balance Sheet'!CF7-'Balance Sheet'!CE7)</f>
        <v>-509552</v>
      </c>
      <c r="CG10" s="144">
        <f>('Balance Sheet'!CG28-'Balance Sheet'!CF28)+('Balance Sheet'!CG31-'Balance Sheet'!CF31)-('Balance Sheet'!CG7-'Balance Sheet'!CF7)</f>
        <v>381817</v>
      </c>
      <c r="CH10" s="145">
        <f>('Balance Sheet'!CH28-'Balance Sheet'!CC28)+('Balance Sheet'!CH31-'Balance Sheet'!CC31)-('Balance Sheet'!CH7-'Balance Sheet'!CC7)</f>
        <v>163040</v>
      </c>
      <c r="CI10" s="144">
        <f>('Balance Sheet'!CI28-'Balance Sheet'!CH28)+('Balance Sheet'!CI31-'Balance Sheet'!CH31)-('Balance Sheet'!CI7-'Balance Sheet'!CH7)</f>
        <v>29861</v>
      </c>
      <c r="CJ10" s="144">
        <f>('Balance Sheet'!CJ28-'Balance Sheet'!CI28)+('Balance Sheet'!CJ31-'Balance Sheet'!CI31)-('Balance Sheet'!CJ7-'Balance Sheet'!CI7)</f>
        <v>584325</v>
      </c>
      <c r="CK10" s="144">
        <f>('Balance Sheet'!CK28-'Balance Sheet'!CJ28)+('Balance Sheet'!CK31-'Balance Sheet'!CJ31)-('Balance Sheet'!CK7-'Balance Sheet'!CJ7)</f>
        <v>25333</v>
      </c>
      <c r="CL10" s="144">
        <f>('Balance Sheet'!CL28-'Balance Sheet'!CK28)+('Balance Sheet'!CL31-'Balance Sheet'!CK31)-('Balance Sheet'!CL7-'Balance Sheet'!CK7)</f>
        <v>141732</v>
      </c>
      <c r="CM10" s="145">
        <f>('Balance Sheet'!CM28-'Balance Sheet'!CH28)+('Balance Sheet'!CM31-'Balance Sheet'!CH31)-('Balance Sheet'!CM7-'Balance Sheet'!CH7)</f>
        <v>781251</v>
      </c>
      <c r="CN10" s="144">
        <f>('Balance Sheet'!CN28-'Balance Sheet'!CM28)+('Balance Sheet'!CN31-'Balance Sheet'!CM31)-('Balance Sheet'!CN7-'Balance Sheet'!CM7)</f>
        <v>67725</v>
      </c>
      <c r="CO10" s="144">
        <f>('Balance Sheet'!CO28-'Balance Sheet'!CN28)+('Balance Sheet'!CO31-'Balance Sheet'!CN31)-('Balance Sheet'!CO7-'Balance Sheet'!CN7)</f>
        <v>286101</v>
      </c>
      <c r="CP10" s="144">
        <f>('Balance Sheet'!CP28-'Balance Sheet'!CO28)+('Balance Sheet'!CP31-'Balance Sheet'!CO31)-('Balance Sheet'!CP7-'Balance Sheet'!CO7)</f>
        <v>578422</v>
      </c>
      <c r="CQ10" s="144">
        <f>('Balance Sheet'!CQ28-'Balance Sheet'!CP28)+('Balance Sheet'!CQ31-'Balance Sheet'!CP31)-('Balance Sheet'!CQ7-'Balance Sheet'!CP7)</f>
        <v>426513</v>
      </c>
      <c r="CR10" s="145">
        <f>('Balance Sheet'!CR28-'Balance Sheet'!CM28)+('Balance Sheet'!CR31-'Balance Sheet'!CM31)-('Balance Sheet'!CR7-'Balance Sheet'!CM7)</f>
        <v>1358761</v>
      </c>
      <c r="CS10" s="144">
        <f>('Balance Sheet'!CS28-'Balance Sheet'!CR28)+('Balance Sheet'!CS31-'Balance Sheet'!CR31)-('Balance Sheet'!CS7-'Balance Sheet'!CR7)</f>
        <v>-142177</v>
      </c>
      <c r="CT10" s="144">
        <f>('Balance Sheet'!CT28-'Balance Sheet'!CS28)+('Balance Sheet'!CT31-'Balance Sheet'!CS31)-('Balance Sheet'!CT7-'Balance Sheet'!CS7)</f>
        <v>144385</v>
      </c>
      <c r="CU10" s="144">
        <f>('Balance Sheet'!CU28-'Balance Sheet'!CT28)+('Balance Sheet'!CU31-'Balance Sheet'!CT31)-('Balance Sheet'!CU7-'Balance Sheet'!CT7)</f>
        <v>-31652</v>
      </c>
      <c r="CV10" s="144">
        <f>('Balance Sheet'!CV28-'Balance Sheet'!CU28)+('Balance Sheet'!CV31-'Balance Sheet'!CU31)-('Balance Sheet'!CV7-'Balance Sheet'!CU7)</f>
        <v>257460</v>
      </c>
      <c r="CW10" s="145">
        <f>('Balance Sheet'!CW28-'Balance Sheet'!CR28)+('Balance Sheet'!CW31-'Balance Sheet'!CR31)-('Balance Sheet'!CW7-'Balance Sheet'!CR7)</f>
        <v>228016</v>
      </c>
      <c r="CX10" s="144">
        <f>('Balance Sheet'!CX28-'Balance Sheet'!CW28)+('Balance Sheet'!CX31-'Balance Sheet'!CW31)-('Balance Sheet'!CX7-'Balance Sheet'!CW7)</f>
        <v>-56210</v>
      </c>
      <c r="CY10" s="144">
        <f>('Balance Sheet'!CY28-'Balance Sheet'!CX28)+('Balance Sheet'!CY31-'Balance Sheet'!CX31)-('Balance Sheet'!CY7-'Balance Sheet'!CX7)</f>
        <v>329625</v>
      </c>
      <c r="CZ10" s="144">
        <f>('Balance Sheet'!CZ28-'Balance Sheet'!CY28)+('Balance Sheet'!CZ31-'Balance Sheet'!CY31)-('Balance Sheet'!CZ7-'Balance Sheet'!CY7)</f>
        <v>258621</v>
      </c>
      <c r="DA10" s="144">
        <f>('Balance Sheet'!DA28-'Balance Sheet'!CZ28)+('Balance Sheet'!DA31-'Balance Sheet'!CZ31)-('Balance Sheet'!DA7-'Balance Sheet'!CZ7)</f>
        <v>564489</v>
      </c>
      <c r="DB10" s="145">
        <f>('Balance Sheet'!DB28-'Balance Sheet'!CW28)+('Balance Sheet'!DB31-'Balance Sheet'!CW31)-('Balance Sheet'!DB7-'Balance Sheet'!CW7)</f>
        <v>1096525</v>
      </c>
      <c r="DC10" s="144">
        <f>('Balance Sheet'!DC28-'Balance Sheet'!DB28)+('Balance Sheet'!DC31-'Balance Sheet'!DB31)-('Balance Sheet'!DC7-'Balance Sheet'!DB7)</f>
        <v>93440</v>
      </c>
      <c r="DD10" s="144">
        <f>('Balance Sheet'!DD28-'Balance Sheet'!DC28)+('Balance Sheet'!DD31-'Balance Sheet'!DC31)-('Balance Sheet'!DD7-'Balance Sheet'!DC7)</f>
        <v>940442</v>
      </c>
      <c r="DE10" s="144">
        <f>('Balance Sheet'!DE28-'Balance Sheet'!DD28)+('Balance Sheet'!DE31-'Balance Sheet'!DD31)-('Balance Sheet'!DE7-'Balance Sheet'!DD7)</f>
        <v>586683</v>
      </c>
      <c r="DF10" s="144">
        <f>('Balance Sheet'!DF28-'Balance Sheet'!DE28)+('Balance Sheet'!DF31-'Balance Sheet'!DE31)-('Balance Sheet'!DF7-'Balance Sheet'!DE7)</f>
        <v>1164213</v>
      </c>
      <c r="DG10" s="145">
        <f>('Balance Sheet'!DG28-'Balance Sheet'!DB28)+('Balance Sheet'!DG31-'Balance Sheet'!DB31)-('Balance Sheet'!DG7-'Balance Sheet'!DB7)</f>
        <v>2784778</v>
      </c>
      <c r="DH10" s="144">
        <f>('Balance Sheet'!DH28-'Balance Sheet'!DG28)+('Balance Sheet'!DH31-'Balance Sheet'!DG31)-('Balance Sheet'!DH7-'Balance Sheet'!DG7)</f>
        <v>33599</v>
      </c>
      <c r="DI10" s="144">
        <f>('Balance Sheet'!DI28-'Balance Sheet'!DH28)+('Balance Sheet'!DI31-'Balance Sheet'!DH31)-('Balance Sheet'!DI7-'Balance Sheet'!DH7)</f>
        <v>103953</v>
      </c>
      <c r="DJ10" s="144">
        <f>('Balance Sheet'!DJ28-'Balance Sheet'!DI28)+('Balance Sheet'!DJ31-'Balance Sheet'!DI31)-('Balance Sheet'!DJ7-'Balance Sheet'!DI7)</f>
        <v>0</v>
      </c>
      <c r="DK10" s="144">
        <f>('Balance Sheet'!DK28-'Balance Sheet'!DJ28)+('Balance Sheet'!DK31-'Balance Sheet'!DJ31)-('Balance Sheet'!DK7-'Balance Sheet'!DJ7)</f>
        <v>0</v>
      </c>
      <c r="DL10" s="145">
        <f>('Balance Sheet'!DL28-'Balance Sheet'!DG28)+('Balance Sheet'!DL31-'Balance Sheet'!DG31)-('Balance Sheet'!DL7-'Balance Sheet'!DG7)</f>
        <v>137552</v>
      </c>
      <c r="DM10" s="144">
        <f>('Balance Sheet'!DM28-'Balance Sheet'!DL28)+('Balance Sheet'!DM31-'Balance Sheet'!DL31)-('Balance Sheet'!DM7-'Balance Sheet'!DL7)</f>
        <v>500000</v>
      </c>
      <c r="DN10" s="144">
        <f>('Balance Sheet'!DN28-'Balance Sheet'!DM28)+('Balance Sheet'!DN31-'Balance Sheet'!DM31)-('Balance Sheet'!DN7-'Balance Sheet'!DM7)</f>
        <v>0</v>
      </c>
      <c r="DO10" s="144">
        <f>('Balance Sheet'!DO28-'Balance Sheet'!DN28)+('Balance Sheet'!DO31-'Balance Sheet'!DN31)-('Balance Sheet'!DO7-'Balance Sheet'!DN7)</f>
        <v>0</v>
      </c>
      <c r="DP10" s="144">
        <f>('Balance Sheet'!DP28-'Balance Sheet'!DO28)+('Balance Sheet'!DP31-'Balance Sheet'!DO31)-('Balance Sheet'!DP7-'Balance Sheet'!DO7)</f>
        <v>0</v>
      </c>
      <c r="DQ10" s="145">
        <f>('Balance Sheet'!DQ28-'Balance Sheet'!DL28)+('Balance Sheet'!DQ31-'Balance Sheet'!DL31)-('Balance Sheet'!DQ7-'Balance Sheet'!DL7)</f>
        <v>500000</v>
      </c>
      <c r="DR10" s="144">
        <f>('Balance Sheet'!DR28-'Balance Sheet'!DQ28)+('Balance Sheet'!DR31-'Balance Sheet'!DQ31)-('Balance Sheet'!DR7-'Balance Sheet'!DQ7)</f>
        <v>500000</v>
      </c>
      <c r="DS10" s="144">
        <f>('Balance Sheet'!DS28-'Balance Sheet'!DR28)+('Balance Sheet'!DS31-'Balance Sheet'!DR31)-('Balance Sheet'!DS7-'Balance Sheet'!DR7)</f>
        <v>0</v>
      </c>
      <c r="DT10" s="144">
        <f>('Balance Sheet'!DT28-'Balance Sheet'!DS28)+('Balance Sheet'!DT31-'Balance Sheet'!DS31)-('Balance Sheet'!DT7-'Balance Sheet'!DS7)</f>
        <v>0</v>
      </c>
      <c r="DU10" s="144">
        <f>('Balance Sheet'!DU28-'Balance Sheet'!DT28)+('Balance Sheet'!DU31-'Balance Sheet'!DT31)-('Balance Sheet'!DU7-'Balance Sheet'!DT7)</f>
        <v>0</v>
      </c>
      <c r="DV10" s="145">
        <f>('Balance Sheet'!DV28-'Balance Sheet'!DQ28)+('Balance Sheet'!DV31-'Balance Sheet'!DQ31)-('Balance Sheet'!DV7-'Balance Sheet'!DQ7)</f>
        <v>500000</v>
      </c>
      <c r="DW10" s="144">
        <f>('Balance Sheet'!DW28-'Balance Sheet'!DV28)+('Balance Sheet'!DW31-'Balance Sheet'!DV31)-('Balance Sheet'!DW7-'Balance Sheet'!DV7)</f>
        <v>500000</v>
      </c>
      <c r="DX10" s="144">
        <f>('Balance Sheet'!DX28-'Balance Sheet'!DW28)+('Balance Sheet'!DX31-'Balance Sheet'!DW31)-('Balance Sheet'!DX7-'Balance Sheet'!DW7)</f>
        <v>0</v>
      </c>
      <c r="DY10" s="144">
        <f>('Balance Sheet'!DY28-'Balance Sheet'!DX28)+('Balance Sheet'!DY31-'Balance Sheet'!DX31)-('Balance Sheet'!DY7-'Balance Sheet'!DX7)</f>
        <v>0</v>
      </c>
      <c r="DZ10" s="144">
        <f>('Balance Sheet'!DZ28-'Balance Sheet'!DY28)+('Balance Sheet'!DZ31-'Balance Sheet'!DY31)-('Balance Sheet'!DZ7-'Balance Sheet'!DY7)</f>
        <v>0</v>
      </c>
      <c r="EA10" s="145">
        <f>('Balance Sheet'!EA28-'Balance Sheet'!DV28)+('Balance Sheet'!EA31-'Balance Sheet'!DV31)-('Balance Sheet'!EA7-'Balance Sheet'!DV7)</f>
        <v>500000</v>
      </c>
      <c r="EB10" s="144">
        <f>('Balance Sheet'!EB28-'Balance Sheet'!EA28)+('Balance Sheet'!EB31-'Balance Sheet'!EA31)-('Balance Sheet'!EB7-'Balance Sheet'!EA7)</f>
        <v>500000</v>
      </c>
      <c r="EC10" s="144">
        <f>('Balance Sheet'!EC28-'Balance Sheet'!EB28)+('Balance Sheet'!EC31-'Balance Sheet'!EB31)-('Balance Sheet'!EC7-'Balance Sheet'!EB7)</f>
        <v>0</v>
      </c>
      <c r="ED10" s="144">
        <f>('Balance Sheet'!ED28-'Balance Sheet'!EC28)+('Balance Sheet'!ED31-'Balance Sheet'!EC31)-('Balance Sheet'!ED7-'Balance Sheet'!EC7)</f>
        <v>0</v>
      </c>
      <c r="EE10" s="144">
        <f>('Balance Sheet'!EE28-'Balance Sheet'!ED28)+('Balance Sheet'!EE31-'Balance Sheet'!ED31)-('Balance Sheet'!EE7-'Balance Sheet'!ED7)</f>
        <v>0</v>
      </c>
      <c r="EF10" s="145">
        <f>('Balance Sheet'!EF28-'Balance Sheet'!EA28)+('Balance Sheet'!EF31-'Balance Sheet'!EA31)-('Balance Sheet'!EF7-'Balance Sheet'!EA7)</f>
        <v>500000</v>
      </c>
    </row>
    <row r="11" spans="1:136" ht="12" customHeight="1" outlineLevel="1">
      <c r="A11" s="66" t="s">
        <v>150</v>
      </c>
      <c r="B11" s="144" t="e">
        <f>('Balance Sheet'!B42-'Balance Sheet'!A42)+('Balance Sheet'!B43-'Balance Sheet'!A43)+('Balance Sheet'!B38-'Balance Sheet'!A38)-B4</f>
        <v>#VALUE!</v>
      </c>
      <c r="C11" s="144">
        <f>('Balance Sheet'!C42-'Balance Sheet'!B42)+('Balance Sheet'!C43-'Balance Sheet'!B43)+('Balance Sheet'!C38-'Balance Sheet'!B38)-C4</f>
        <v>-20488</v>
      </c>
      <c r="D11" s="144">
        <f>('Balance Sheet'!D42-'Balance Sheet'!C42)+('Balance Sheet'!D43-'Balance Sheet'!C43)+('Balance Sheet'!D38-'Balance Sheet'!C38)-D4</f>
        <v>-16466</v>
      </c>
      <c r="E11" s="144">
        <f>('Balance Sheet'!E42-'Balance Sheet'!D42)+('Balance Sheet'!E43-'Balance Sheet'!D43)+('Balance Sheet'!E38-'Balance Sheet'!D38)-E4</f>
        <v>166309</v>
      </c>
      <c r="F11" s="145" t="e">
        <f>('Balance Sheet'!F42-'Balance Sheet'!A42)+('Balance Sheet'!F43-'Balance Sheet'!A43)+('Balance Sheet'!F38-'Balance Sheet'!A38)-F4</f>
        <v>#VALUE!</v>
      </c>
      <c r="G11" s="144">
        <f>('Balance Sheet'!G42-'Balance Sheet'!F42)+('Balance Sheet'!G43-'Balance Sheet'!F43)+('Balance Sheet'!G38-'Balance Sheet'!F38)-G4</f>
        <v>29104.5</v>
      </c>
      <c r="H11" s="144">
        <f>('Balance Sheet'!H42-'Balance Sheet'!G42)+('Balance Sheet'!H43-'Balance Sheet'!G43)+('Balance Sheet'!H38-'Balance Sheet'!G38)-H4</f>
        <v>-17997.5</v>
      </c>
      <c r="I11" s="144">
        <f>('Balance Sheet'!I42-'Balance Sheet'!H42)+('Balance Sheet'!I43-'Balance Sheet'!H43)+('Balance Sheet'!I38-'Balance Sheet'!H38)-I4</f>
        <v>487597</v>
      </c>
      <c r="J11" s="144">
        <f>('Balance Sheet'!J42-'Balance Sheet'!I42)+('Balance Sheet'!J43-'Balance Sheet'!I43)+('Balance Sheet'!J38-'Balance Sheet'!I38)-J4</f>
        <v>-16816</v>
      </c>
      <c r="K11" s="145">
        <f>('Balance Sheet'!K42-'Balance Sheet'!F42)+('Balance Sheet'!K43-'Balance Sheet'!F43)+('Balance Sheet'!K38-'Balance Sheet'!F38)-K4</f>
        <v>481888</v>
      </c>
      <c r="L11" s="144">
        <f>('Balance Sheet'!L42-'Balance Sheet'!K42)+('Balance Sheet'!L43-'Balance Sheet'!K43)+('Balance Sheet'!L38-'Balance Sheet'!K38)-L4</f>
        <v>10725</v>
      </c>
      <c r="M11" s="144">
        <f>('Balance Sheet'!M42-'Balance Sheet'!L42)+('Balance Sheet'!M43-'Balance Sheet'!L43)+('Balance Sheet'!M38-'Balance Sheet'!L38)-M4</f>
        <v>25185</v>
      </c>
      <c r="N11" s="144">
        <f>('Balance Sheet'!N42-'Balance Sheet'!M42)+('Balance Sheet'!N43-'Balance Sheet'!M43)+('Balance Sheet'!N38-'Balance Sheet'!M38)-N4</f>
        <v>726238</v>
      </c>
      <c r="O11" s="144">
        <f>('Balance Sheet'!O42-'Balance Sheet'!N42)+('Balance Sheet'!O43-'Balance Sheet'!N43)+('Balance Sheet'!O38-'Balance Sheet'!N38)-O4</f>
        <v>-49632</v>
      </c>
      <c r="P11" s="145">
        <f>('Balance Sheet'!P42-'Balance Sheet'!K42)+('Balance Sheet'!P43-'Balance Sheet'!K43)+('Balance Sheet'!P38-'Balance Sheet'!K38)-P4</f>
        <v>712516</v>
      </c>
      <c r="Q11" s="144">
        <f>('Balance Sheet'!Q42-'Balance Sheet'!P42)+('Balance Sheet'!Q43-'Balance Sheet'!P43)+('Balance Sheet'!Q38-'Balance Sheet'!P38)-Q4</f>
        <v>50520</v>
      </c>
      <c r="R11" s="144">
        <f>('Balance Sheet'!R42-'Balance Sheet'!Q42)+('Balance Sheet'!R43-'Balance Sheet'!Q43)+('Balance Sheet'!R38-'Balance Sheet'!Q38)-R4</f>
        <v>-289062</v>
      </c>
      <c r="S11" s="144">
        <f>('Balance Sheet'!S42-'Balance Sheet'!R42)+('Balance Sheet'!S43-'Balance Sheet'!R43)+('Balance Sheet'!S38-'Balance Sheet'!R38)-S4</f>
        <v>-28858</v>
      </c>
      <c r="T11" s="144">
        <f>('Balance Sheet'!T42-'Balance Sheet'!S42)+('Balance Sheet'!T43-'Balance Sheet'!S43)+('Balance Sheet'!T38-'Balance Sheet'!S38)-T4</f>
        <v>57776</v>
      </c>
      <c r="U11" s="145">
        <f>('Balance Sheet'!U42-'Balance Sheet'!P42)+('Balance Sheet'!U43-'Balance Sheet'!P43)+('Balance Sheet'!U38-'Balance Sheet'!P38)-U4</f>
        <v>-209624</v>
      </c>
      <c r="V11" s="144">
        <f>('Balance Sheet'!V42-'Balance Sheet'!U42)+('Balance Sheet'!V43-'Balance Sheet'!U43)+('Balance Sheet'!V38-'Balance Sheet'!U38)-V4</f>
        <v>39232</v>
      </c>
      <c r="W11" s="144">
        <f>('Balance Sheet'!W42-'Balance Sheet'!V42)+('Balance Sheet'!W43-'Balance Sheet'!V43)+('Balance Sheet'!W38-'Balance Sheet'!V38)-W4</f>
        <v>41954</v>
      </c>
      <c r="X11" s="144">
        <f>('Balance Sheet'!X42-'Balance Sheet'!W42)+('Balance Sheet'!X43-'Balance Sheet'!W43)+('Balance Sheet'!X38-'Balance Sheet'!W38)-X4</f>
        <v>5444</v>
      </c>
      <c r="Y11" s="144">
        <f>('Balance Sheet'!Y42-'Balance Sheet'!X42)+('Balance Sheet'!Y43-'Balance Sheet'!X43)+('Balance Sheet'!Y38-'Balance Sheet'!X38)-Y4</f>
        <v>-172799</v>
      </c>
      <c r="Z11" s="145">
        <f>('Balance Sheet'!Z42-'Balance Sheet'!U42)+('Balance Sheet'!Z43-'Balance Sheet'!U43)+('Balance Sheet'!Z38-'Balance Sheet'!U38)-Z4</f>
        <v>-86169</v>
      </c>
      <c r="AA11" s="144">
        <f>('Balance Sheet'!AA42-'Balance Sheet'!Z42)+('Balance Sheet'!AA43-'Balance Sheet'!Z43)+('Balance Sheet'!AA38-'Balance Sheet'!Z38)-AA4</f>
        <v>-133747</v>
      </c>
      <c r="AB11" s="144">
        <f>('Balance Sheet'!AB42-'Balance Sheet'!AA42)+('Balance Sheet'!AB43-'Balance Sheet'!AA43)+('Balance Sheet'!AB38-'Balance Sheet'!AA38)-AB4</f>
        <v>-57</v>
      </c>
      <c r="AC11" s="144">
        <f>('Balance Sheet'!AC42-'Balance Sheet'!AB42)+('Balance Sheet'!AC43-'Balance Sheet'!AB43)+('Balance Sheet'!AC38-'Balance Sheet'!AB38)-AC4</f>
        <v>26682</v>
      </c>
      <c r="AD11" s="144">
        <f>('Balance Sheet'!AD42-'Balance Sheet'!AC42)+('Balance Sheet'!AD43-'Balance Sheet'!AC43)+('Balance Sheet'!AD38-'Balance Sheet'!AC38)-AD4</f>
        <v>1206429</v>
      </c>
      <c r="AE11" s="145">
        <f>('Balance Sheet'!AE42-'Balance Sheet'!Z42)+('Balance Sheet'!AE43-'Balance Sheet'!Z43)+('Balance Sheet'!AE38-'Balance Sheet'!Z38)-AE4</f>
        <v>1099307</v>
      </c>
      <c r="AF11" s="144">
        <f>('Balance Sheet'!AF42-'Balance Sheet'!AE42)+('Balance Sheet'!AF43-'Balance Sheet'!AE43)+('Balance Sheet'!AF38-'Balance Sheet'!AE38)-AF4</f>
        <v>14696</v>
      </c>
      <c r="AG11" s="144">
        <f>('Balance Sheet'!AG42-'Balance Sheet'!AF42)+('Balance Sheet'!AG43-'Balance Sheet'!AF43)+('Balance Sheet'!AG38-'Balance Sheet'!AF38)-AG4</f>
        <v>-183462</v>
      </c>
      <c r="AH11" s="144">
        <f>('Balance Sheet'!AH42-'Balance Sheet'!AG42)+('Balance Sheet'!AH43-'Balance Sheet'!AG43)+('Balance Sheet'!AH38-'Balance Sheet'!AG38)-AH4</f>
        <v>47736</v>
      </c>
      <c r="AI11" s="144">
        <f>('Balance Sheet'!AI42-'Balance Sheet'!AH42)+('Balance Sheet'!AI43-'Balance Sheet'!AH43)+('Balance Sheet'!AI38-'Balance Sheet'!AH38)-AI4</f>
        <v>40642</v>
      </c>
      <c r="AJ11" s="145">
        <f>('Balance Sheet'!AJ42-'Balance Sheet'!AE42)+('Balance Sheet'!AJ43-'Balance Sheet'!AE43)+('Balance Sheet'!AJ38-'Balance Sheet'!AE38)-AJ4</f>
        <v>-80388</v>
      </c>
      <c r="AK11" s="144">
        <f>('Balance Sheet'!AK42-'Balance Sheet'!AJ42)+('Balance Sheet'!AK43-'Balance Sheet'!AJ43)+('Balance Sheet'!AK38-'Balance Sheet'!AJ38)-AK4</f>
        <v>17692</v>
      </c>
      <c r="AL11" s="144">
        <f>('Balance Sheet'!AL42-'Balance Sheet'!AK42)+('Balance Sheet'!AL43-'Balance Sheet'!AK43)+('Balance Sheet'!AL38-'Balance Sheet'!AK38)-AL4</f>
        <v>-167270</v>
      </c>
      <c r="AM11" s="144">
        <f>('Balance Sheet'!AM42-'Balance Sheet'!AL42)+('Balance Sheet'!AM43-'Balance Sheet'!AL43)+('Balance Sheet'!AM38-'Balance Sheet'!AL38)-AM4</f>
        <v>-131375</v>
      </c>
      <c r="AN11" s="144">
        <f>('Balance Sheet'!AN42-'Balance Sheet'!AM42)+('Balance Sheet'!AN43-'Balance Sheet'!AM43)+('Balance Sheet'!AN38-'Balance Sheet'!AM38)-AN4</f>
        <v>-633</v>
      </c>
      <c r="AO11" s="145">
        <f>('Balance Sheet'!AO42-'Balance Sheet'!AJ42)+('Balance Sheet'!AO43-'Balance Sheet'!AJ43)+('Balance Sheet'!AO38-'Balance Sheet'!AJ38)-AO4</f>
        <v>-281586</v>
      </c>
      <c r="AP11" s="144">
        <f>('Balance Sheet'!AP42-'Balance Sheet'!AO42)+('Balance Sheet'!AP43-'Balance Sheet'!AO43)+('Balance Sheet'!AP38-'Balance Sheet'!AO38)-AP4</f>
        <v>-134741</v>
      </c>
      <c r="AQ11" s="144">
        <f>('Balance Sheet'!AQ42-'Balance Sheet'!AP42)+('Balance Sheet'!AQ43-'Balance Sheet'!AP43)+('Balance Sheet'!AQ38-'Balance Sheet'!AP38)-AQ4</f>
        <v>3265</v>
      </c>
      <c r="AR11" s="144">
        <f>('Balance Sheet'!AR42-'Balance Sheet'!AQ42)+('Balance Sheet'!AR43-'Balance Sheet'!AQ43)+('Balance Sheet'!AR38-'Balance Sheet'!AQ38)-AR4</f>
        <v>38192</v>
      </c>
      <c r="AS11" s="144">
        <f>('Balance Sheet'!AS42-'Balance Sheet'!AR42)+('Balance Sheet'!AS43-'Balance Sheet'!AR43)+('Balance Sheet'!AS38-'Balance Sheet'!AR38)-AS4</f>
        <v>177635</v>
      </c>
      <c r="AT11" s="145">
        <f>('Balance Sheet'!AT42-'Balance Sheet'!AO42)+('Balance Sheet'!AT43-'Balance Sheet'!AO43)+('Balance Sheet'!AT38-'Balance Sheet'!AO38)-AT4</f>
        <v>84351</v>
      </c>
      <c r="AU11" s="144">
        <f>('Balance Sheet'!AU42-'Balance Sheet'!AT42)+('Balance Sheet'!AU43-'Balance Sheet'!AT43)+('Balance Sheet'!AU38-'Balance Sheet'!AT38)-AU4</f>
        <v>395072</v>
      </c>
      <c r="AV11" s="144">
        <f>('Balance Sheet'!AV42-'Balance Sheet'!AU42)+('Balance Sheet'!AV43-'Balance Sheet'!AU43)+('Balance Sheet'!AV38-'Balance Sheet'!AU38)-AV4</f>
        <v>-422663</v>
      </c>
      <c r="AW11" s="144">
        <f>('Balance Sheet'!AW42-'Balance Sheet'!AV42)+('Balance Sheet'!AW43-'Balance Sheet'!AV43)+('Balance Sheet'!AW38-'Balance Sheet'!AV38)-AW4</f>
        <v>34113</v>
      </c>
      <c r="AX11" s="144">
        <f>('Balance Sheet'!AX42-'Balance Sheet'!AW42)+('Balance Sheet'!AX43-'Balance Sheet'!AW43)+('Balance Sheet'!AX38-'Balance Sheet'!AW38)-AX4</f>
        <v>-140060</v>
      </c>
      <c r="AY11" s="145">
        <f>('Balance Sheet'!AY42-'Balance Sheet'!AT42)+('Balance Sheet'!AY43-'Balance Sheet'!AT43)+('Balance Sheet'!AY38-'Balance Sheet'!AT38)-AY4</f>
        <v>-133538</v>
      </c>
      <c r="AZ11" s="144">
        <f>('Balance Sheet'!AZ42-'Balance Sheet'!AY42)+('Balance Sheet'!AZ43-'Balance Sheet'!AY43)+('Balance Sheet'!AZ38-'Balance Sheet'!AY38)-AZ4</f>
        <v>-145344</v>
      </c>
      <c r="BA11" s="144">
        <f>('Balance Sheet'!BA42-'Balance Sheet'!AZ42)+('Balance Sheet'!BA43-'Balance Sheet'!AZ43)+('Balance Sheet'!BA38-'Balance Sheet'!AZ38)-BA4</f>
        <v>-231400</v>
      </c>
      <c r="BB11" s="144">
        <f>('Balance Sheet'!BB42-'Balance Sheet'!BA42)+('Balance Sheet'!BB43-'Balance Sheet'!BA43)+('Balance Sheet'!BB38-'Balance Sheet'!BA38)-BB4</f>
        <v>-55557</v>
      </c>
      <c r="BC11" s="144">
        <f>('Balance Sheet'!BC42-'Balance Sheet'!BB42)+('Balance Sheet'!BC43-'Balance Sheet'!BB43)+('Balance Sheet'!BC38-'Balance Sheet'!BB38)-BC4</f>
        <v>-68943</v>
      </c>
      <c r="BD11" s="145">
        <f>('Balance Sheet'!BD42-'Balance Sheet'!AY42)+('Balance Sheet'!BD43-'Balance Sheet'!AY43)+('Balance Sheet'!BD38-'Balance Sheet'!AY38)-BD4</f>
        <v>-501244</v>
      </c>
      <c r="BE11" s="144">
        <f>('Balance Sheet'!BE42-'Balance Sheet'!BD42)+('Balance Sheet'!BE43-'Balance Sheet'!BD43)+('Balance Sheet'!BE38-'Balance Sheet'!BD38)-BE4</f>
        <v>-51782</v>
      </c>
      <c r="BF11" s="144">
        <f>('Balance Sheet'!BF42-'Balance Sheet'!BE42)+('Balance Sheet'!BF43-'Balance Sheet'!BE43)+('Balance Sheet'!BF38-'Balance Sheet'!BE38)-BF4</f>
        <v>-275589</v>
      </c>
      <c r="BG11" s="144">
        <f>('Balance Sheet'!BG42-'Balance Sheet'!BF42)+('Balance Sheet'!BG43-'Balance Sheet'!BF43)+('Balance Sheet'!BG38-'Balance Sheet'!BF38)-BG4</f>
        <v>255230</v>
      </c>
      <c r="BH11" s="144">
        <f>('Balance Sheet'!BH42-'Balance Sheet'!BG42)+('Balance Sheet'!BH43-'Balance Sheet'!BG43)+('Balance Sheet'!BH38-'Balance Sheet'!BG38)-BH4</f>
        <v>-115244</v>
      </c>
      <c r="BI11" s="145">
        <f>('Balance Sheet'!BI42-'Balance Sheet'!BD42)+('Balance Sheet'!BI43-'Balance Sheet'!BD43)+('Balance Sheet'!BI38-'Balance Sheet'!BD38)-BI4</f>
        <v>-187385</v>
      </c>
      <c r="BJ11" s="144">
        <f>('Balance Sheet'!BJ42-'Balance Sheet'!BI42)+('Balance Sheet'!BJ43-'Balance Sheet'!BI43)+('Balance Sheet'!BJ38-'Balance Sheet'!BI38)-BJ4</f>
        <v>-6054</v>
      </c>
      <c r="BK11" s="144">
        <f>('Balance Sheet'!BK42-'Balance Sheet'!BJ42)+('Balance Sheet'!BK43-'Balance Sheet'!BJ43)+('Balance Sheet'!BK38-'Balance Sheet'!BJ38)-BK4</f>
        <v>-125768</v>
      </c>
      <c r="BL11" s="144">
        <f>('Balance Sheet'!BL42-'Balance Sheet'!BK42)+('Balance Sheet'!BL43-'Balance Sheet'!BK43)+('Balance Sheet'!BL38-'Balance Sheet'!BK38)-BL4</f>
        <v>-17610</v>
      </c>
      <c r="BM11" s="144">
        <f>('Balance Sheet'!BM42-'Balance Sheet'!BL42)+('Balance Sheet'!BM43-'Balance Sheet'!BL43)+('Balance Sheet'!BM38-'Balance Sheet'!BL38)-BM4</f>
        <v>15224</v>
      </c>
      <c r="BN11" s="145">
        <f>('Balance Sheet'!BN42-'Balance Sheet'!BI42)+('Balance Sheet'!BN43-'Balance Sheet'!BI43)+('Balance Sheet'!BN38-'Balance Sheet'!BI38)-BN4</f>
        <v>-134208</v>
      </c>
      <c r="BO11" s="144">
        <f>('Balance Sheet'!BO42-'Balance Sheet'!BN42)+('Balance Sheet'!BO43-'Balance Sheet'!BN43)+('Balance Sheet'!BO38-'Balance Sheet'!BN38)-BO4</f>
        <v>8868</v>
      </c>
      <c r="BP11" s="144">
        <f>('Balance Sheet'!BP42-'Balance Sheet'!BO42)+('Balance Sheet'!BP43-'Balance Sheet'!BO43)+('Balance Sheet'!BP38-'Balance Sheet'!BO38)-BP4</f>
        <v>-359652</v>
      </c>
      <c r="BQ11" s="144">
        <f>('Balance Sheet'!BQ42-'Balance Sheet'!BP42)+('Balance Sheet'!BQ43-'Balance Sheet'!BP43)+('Balance Sheet'!BQ38-'Balance Sheet'!BP38)-BQ4</f>
        <v>11641</v>
      </c>
      <c r="BR11" s="144">
        <f>('Balance Sheet'!BR42-'Balance Sheet'!BQ42)+('Balance Sheet'!BR43-'Balance Sheet'!BQ43)+('Balance Sheet'!BR38-'Balance Sheet'!BQ38)-BR4</f>
        <v>-3043</v>
      </c>
      <c r="BS11" s="145">
        <f>('Balance Sheet'!BS42-'Balance Sheet'!BN42)+('Balance Sheet'!BS43-'Balance Sheet'!BN43)+('Balance Sheet'!BS38-'Balance Sheet'!BN38)-BS4</f>
        <v>-342186</v>
      </c>
      <c r="BT11" s="144">
        <f>('Balance Sheet'!BT42-'Balance Sheet'!BS42)+('Balance Sheet'!BT43-'Balance Sheet'!BS43)+('Balance Sheet'!BT38-'Balance Sheet'!BS38)-BT4</f>
        <v>-279071</v>
      </c>
      <c r="BU11" s="144">
        <f>('Balance Sheet'!BU42-'Balance Sheet'!BT42)+('Balance Sheet'!BU43-'Balance Sheet'!BT43)+('Balance Sheet'!BU38-'Balance Sheet'!BT38)-BU4</f>
        <v>-25105</v>
      </c>
      <c r="BV11" s="144">
        <f>('Balance Sheet'!BV42-'Balance Sheet'!BU42)+('Balance Sheet'!BV43-'Balance Sheet'!BU43)+('Balance Sheet'!BV38-'Balance Sheet'!BU38)-BV4</f>
        <v>-212203</v>
      </c>
      <c r="BW11" s="144">
        <f>('Balance Sheet'!BW42-'Balance Sheet'!BV42)+('Balance Sheet'!BW43-'Balance Sheet'!BV43)+('Balance Sheet'!BW38-'Balance Sheet'!BV38)-BW4</f>
        <v>-226945</v>
      </c>
      <c r="BX11" s="145">
        <f>('Balance Sheet'!BX42-'Balance Sheet'!BS42)+('Balance Sheet'!BX43-'Balance Sheet'!BS43)+('Balance Sheet'!BX38-'Balance Sheet'!BS38)-BX4</f>
        <v>-743324</v>
      </c>
      <c r="BY11" s="144">
        <f>('Balance Sheet'!BY42-'Balance Sheet'!BX42)+('Balance Sheet'!BY43-'Balance Sheet'!BX43)+('Balance Sheet'!BY38-'Balance Sheet'!BX38)-BY4</f>
        <v>-18232</v>
      </c>
      <c r="BZ11" s="144">
        <f>('Balance Sheet'!BZ42-'Balance Sheet'!BY42)+('Balance Sheet'!BZ43-'Balance Sheet'!BY43)+('Balance Sheet'!BZ38-'Balance Sheet'!BY38)-BZ4</f>
        <v>-163474</v>
      </c>
      <c r="CA11" s="144">
        <f>('Balance Sheet'!CA42-'Balance Sheet'!BZ42)+('Balance Sheet'!CA43-'Balance Sheet'!BZ43)+('Balance Sheet'!CA38-'Balance Sheet'!BZ38)-CA4</f>
        <v>-142193</v>
      </c>
      <c r="CB11" s="144">
        <f>('Balance Sheet'!CB42-'Balance Sheet'!CA42)+('Balance Sheet'!CB43-'Balance Sheet'!CA43)+('Balance Sheet'!CB38-'Balance Sheet'!CA38)-CB4</f>
        <v>-454312</v>
      </c>
      <c r="CC11" s="145">
        <f>('Balance Sheet'!CC42-'Balance Sheet'!BX42)+('Balance Sheet'!CC43-'Balance Sheet'!BX43)+('Balance Sheet'!CC38-'Balance Sheet'!BX38)-CC4</f>
        <v>-778211</v>
      </c>
      <c r="CD11" s="144">
        <f>('Balance Sheet'!CD42-'Balance Sheet'!CC42)+('Balance Sheet'!CD43-'Balance Sheet'!CC43)+('Balance Sheet'!CD38-'Balance Sheet'!CC38)-CD4</f>
        <v>7322</v>
      </c>
      <c r="CE11" s="144">
        <f>('Balance Sheet'!CE42-'Balance Sheet'!CD42)+('Balance Sheet'!CE43-'Balance Sheet'!CD43)+('Balance Sheet'!CE38-'Balance Sheet'!CD38)-CE4</f>
        <v>23265</v>
      </c>
      <c r="CF11" s="144">
        <f>('Balance Sheet'!CF42-'Balance Sheet'!CE42)+('Balance Sheet'!CF43-'Balance Sheet'!CE43)+('Balance Sheet'!CF38-'Balance Sheet'!CE38)-CF4</f>
        <v>-158400</v>
      </c>
      <c r="CG11" s="144">
        <f>('Balance Sheet'!CG42-'Balance Sheet'!CF42)+('Balance Sheet'!CG43-'Balance Sheet'!CF43)+('Balance Sheet'!CG38-'Balance Sheet'!CF38)-CG4</f>
        <v>-593198</v>
      </c>
      <c r="CH11" s="145">
        <f>('Balance Sheet'!CH42-'Balance Sheet'!CC42)+('Balance Sheet'!CH43-'Balance Sheet'!CC43)+('Balance Sheet'!CH38-'Balance Sheet'!CC38)-CH4</f>
        <v>-721011</v>
      </c>
      <c r="CI11" s="144">
        <f>('Balance Sheet'!CI42-'Balance Sheet'!CH42)+('Balance Sheet'!CI43-'Balance Sheet'!CH43)+('Balance Sheet'!CI38-'Balance Sheet'!CH38)-CI4</f>
        <v>12135</v>
      </c>
      <c r="CJ11" s="144">
        <f>('Balance Sheet'!CJ42-'Balance Sheet'!CI42)+('Balance Sheet'!CJ43-'Balance Sheet'!CI43)+('Balance Sheet'!CJ38-'Balance Sheet'!CI38)-CJ4</f>
        <v>-393046</v>
      </c>
      <c r="CK11" s="144">
        <f>('Balance Sheet'!CK42-'Balance Sheet'!CJ42)+('Balance Sheet'!CK43-'Balance Sheet'!CJ43)+('Balance Sheet'!CK38-'Balance Sheet'!CJ38)-CK4</f>
        <v>73950</v>
      </c>
      <c r="CL11" s="144">
        <f>('Balance Sheet'!CL42-'Balance Sheet'!CK42)+('Balance Sheet'!CL43-'Balance Sheet'!CK43)+('Balance Sheet'!CL38-'Balance Sheet'!CK38)-CL4</f>
        <v>197000</v>
      </c>
      <c r="CM11" s="145">
        <f>('Balance Sheet'!CM42-'Balance Sheet'!CH42)+('Balance Sheet'!CM43-'Balance Sheet'!CH43)+('Balance Sheet'!CM38-'Balance Sheet'!CH38)-CM4</f>
        <v>-109961</v>
      </c>
      <c r="CN11" s="144">
        <f>('Balance Sheet'!CN42-'Balance Sheet'!CM42)+('Balance Sheet'!CN43-'Balance Sheet'!CM43)+('Balance Sheet'!CN38-'Balance Sheet'!CM38)-CN4</f>
        <v>21836</v>
      </c>
      <c r="CO11" s="144">
        <f>('Balance Sheet'!CO42-'Balance Sheet'!CN42)+('Balance Sheet'!CO43-'Balance Sheet'!CN43)+('Balance Sheet'!CO38-'Balance Sheet'!CN38)-CO4</f>
        <v>-61821</v>
      </c>
      <c r="CP11" s="144">
        <f>('Balance Sheet'!CP42-'Balance Sheet'!CO42)+('Balance Sheet'!CP43-'Balance Sheet'!CO43)+('Balance Sheet'!CP38-'Balance Sheet'!CO38)-CP4</f>
        <v>-597937</v>
      </c>
      <c r="CQ11" s="144">
        <f>('Balance Sheet'!CQ42-'Balance Sheet'!CP42)+('Balance Sheet'!CQ43-'Balance Sheet'!CP43)+('Balance Sheet'!CQ38-'Balance Sheet'!CP38)-CQ4</f>
        <v>701415</v>
      </c>
      <c r="CR11" s="145">
        <f>('Balance Sheet'!CR42-'Balance Sheet'!CM42)+('Balance Sheet'!CR43-'Balance Sheet'!CM43)+('Balance Sheet'!CR38-'Balance Sheet'!CM38)-CR4</f>
        <v>63493</v>
      </c>
      <c r="CS11" s="144">
        <f>('Balance Sheet'!CS42-'Balance Sheet'!CR42)+('Balance Sheet'!CS43-'Balance Sheet'!CR43)+('Balance Sheet'!CS38-'Balance Sheet'!CR38)-CS4</f>
        <v>7981</v>
      </c>
      <c r="CT11" s="144">
        <f>('Balance Sheet'!CT42-'Balance Sheet'!CS42)+('Balance Sheet'!CT43-'Balance Sheet'!CS43)+('Balance Sheet'!CT38-'Balance Sheet'!CS38)-CT4</f>
        <v>93415</v>
      </c>
      <c r="CU11" s="144">
        <f>('Balance Sheet'!CU42-'Balance Sheet'!CT42)+('Balance Sheet'!CU43-'Balance Sheet'!CT43)+('Balance Sheet'!CU38-'Balance Sheet'!CT38)-CU4</f>
        <v>-147189</v>
      </c>
      <c r="CV11" s="144">
        <f>('Balance Sheet'!CV42-'Balance Sheet'!CU42)+('Balance Sheet'!CV43-'Balance Sheet'!CU43)+('Balance Sheet'!CV38-'Balance Sheet'!CU38)-CV4</f>
        <v>-64182</v>
      </c>
      <c r="CW11" s="145">
        <f>('Balance Sheet'!CW42-'Balance Sheet'!CR42)+('Balance Sheet'!CW43-'Balance Sheet'!CR43)+('Balance Sheet'!CW38-'Balance Sheet'!CR38)-CW4</f>
        <v>-109975</v>
      </c>
      <c r="CX11" s="144">
        <f>('Balance Sheet'!CX42-'Balance Sheet'!CW42)+('Balance Sheet'!CX43-'Balance Sheet'!CW43)+('Balance Sheet'!CX38-'Balance Sheet'!CW38)-CX4</f>
        <v>-227201</v>
      </c>
      <c r="CY11" s="144">
        <f>('Balance Sheet'!CY42-'Balance Sheet'!CX42)+('Balance Sheet'!CY43-'Balance Sheet'!CX43)+('Balance Sheet'!CY38-'Balance Sheet'!CX38)-CY4</f>
        <v>281991</v>
      </c>
      <c r="CZ11" s="144">
        <f>('Balance Sheet'!CZ42-'Balance Sheet'!CY42)+('Balance Sheet'!CZ43-'Balance Sheet'!CY43)+('Balance Sheet'!CZ38-'Balance Sheet'!CY38)-CZ4</f>
        <v>144486</v>
      </c>
      <c r="DA11" s="144">
        <f>('Balance Sheet'!DA42-'Balance Sheet'!CZ42)+('Balance Sheet'!DA43-'Balance Sheet'!CZ43)+('Balance Sheet'!DA38-'Balance Sheet'!CZ38)-DA4</f>
        <v>-230933</v>
      </c>
      <c r="DB11" s="145">
        <f>('Balance Sheet'!DB42-'Balance Sheet'!CW42)+('Balance Sheet'!DB43-'Balance Sheet'!CW43)+('Balance Sheet'!DB38-'Balance Sheet'!CW38)-DB4</f>
        <v>-31657</v>
      </c>
      <c r="DC11" s="144">
        <f>('Balance Sheet'!DC42-'Balance Sheet'!DB42)+('Balance Sheet'!DC43-'Balance Sheet'!DB43)+('Balance Sheet'!DC38-'Balance Sheet'!DB38)-DC4</f>
        <v>140580</v>
      </c>
      <c r="DD11" s="144">
        <f>('Balance Sheet'!DD42-'Balance Sheet'!DC42)+('Balance Sheet'!DD43-'Balance Sheet'!DC43)+('Balance Sheet'!DD38-'Balance Sheet'!DC38)-DD4</f>
        <v>69575</v>
      </c>
      <c r="DE11" s="144">
        <f>('Balance Sheet'!DE42-'Balance Sheet'!DD42)+('Balance Sheet'!DE43-'Balance Sheet'!DD43)+('Balance Sheet'!DE38-'Balance Sheet'!DD38)-DE4</f>
        <v>4966</v>
      </c>
      <c r="DF11" s="144">
        <f>('Balance Sheet'!DF42-'Balance Sheet'!DE42)+('Balance Sheet'!DF43-'Balance Sheet'!DE43)+('Balance Sheet'!DF38-'Balance Sheet'!DE38)-DF4</f>
        <v>-1096004</v>
      </c>
      <c r="DG11" s="145">
        <f>('Balance Sheet'!DG42-'Balance Sheet'!DB42)+('Balance Sheet'!DG43-'Balance Sheet'!DB43)+('Balance Sheet'!DG38-'Balance Sheet'!DB38)-DG4</f>
        <v>-880883</v>
      </c>
      <c r="DH11" s="144">
        <f>('Balance Sheet'!DH42-'Balance Sheet'!DG42)+('Balance Sheet'!DH43-'Balance Sheet'!DG43)+('Balance Sheet'!DH38-'Balance Sheet'!DG38)-DH4</f>
        <v>164439</v>
      </c>
      <c r="DI11" s="144">
        <f>('Balance Sheet'!DI42-'Balance Sheet'!DH42)+('Balance Sheet'!DI43-'Balance Sheet'!DH43)+('Balance Sheet'!DI38-'Balance Sheet'!DH38)-DI4</f>
        <v>71931</v>
      </c>
      <c r="DJ11" s="144">
        <f ca="1">('Balance Sheet'!DJ42-'Balance Sheet'!DI42)+('Balance Sheet'!DJ43-'Balance Sheet'!DI43)+('Balance Sheet'!DJ38-'Balance Sheet'!DI38)-DJ4</f>
        <v>-14879.797473197221</v>
      </c>
      <c r="DK11" s="144">
        <f ca="1">('Balance Sheet'!DK42-'Balance Sheet'!DJ42)+('Balance Sheet'!DK43-'Balance Sheet'!DJ43)+('Balance Sheet'!DK38-'Balance Sheet'!DJ38)-DK4</f>
        <v>-449406.77518813696</v>
      </c>
      <c r="DL11" s="145">
        <f ca="1">('Balance Sheet'!DL42-'Balance Sheet'!DG42)+('Balance Sheet'!DL43-'Balance Sheet'!DG43)+('Balance Sheet'!DL38-'Balance Sheet'!DG38)-DL4</f>
        <v>-227916.57266133418</v>
      </c>
      <c r="DM11" s="144">
        <f ca="1">('Balance Sheet'!DM42-'Balance Sheet'!DL42)+('Balance Sheet'!DM43-'Balance Sheet'!DL43)+('Balance Sheet'!DM38-'Balance Sheet'!DL38)-DM4</f>
        <v>-5662.295844645123</v>
      </c>
      <c r="DN11" s="144">
        <f ca="1">('Balance Sheet'!DN42-'Balance Sheet'!DM42)+('Balance Sheet'!DN43-'Balance Sheet'!DM43)+('Balance Sheet'!DN38-'Balance Sheet'!DM38)-DN4</f>
        <v>51955.572953481926</v>
      </c>
      <c r="DO11" s="144">
        <f ca="1">('Balance Sheet'!DO42-'Balance Sheet'!DN42)+('Balance Sheet'!DO43-'Balance Sheet'!DN43)+('Balance Sheet'!DO38-'Balance Sheet'!DN38)-DO4</f>
        <v>-877051.54974557844</v>
      </c>
      <c r="DP11" s="144">
        <f ca="1">('Balance Sheet'!DP42-'Balance Sheet'!DO42)+('Balance Sheet'!DP43-'Balance Sheet'!DO43)+('Balance Sheet'!DP38-'Balance Sheet'!DO38)-DP4</f>
        <v>1009985.208668742</v>
      </c>
      <c r="DQ11" s="145">
        <f ca="1">('Balance Sheet'!DQ42-'Balance Sheet'!DL42)+('Balance Sheet'!DQ43-'Balance Sheet'!DL43)+('Balance Sheet'!DQ38-'Balance Sheet'!DL38)-DQ4</f>
        <v>179226.93603200046</v>
      </c>
      <c r="DR11" s="144">
        <f ca="1">('Balance Sheet'!DR42-'Balance Sheet'!DQ42)+('Balance Sheet'!DR43-'Balance Sheet'!DQ43)+('Balance Sheet'!DR38-'Balance Sheet'!DQ38)-DR4</f>
        <v>-1732712.1300127038</v>
      </c>
      <c r="DS11" s="144">
        <f ca="1">('Balance Sheet'!DS42-'Balance Sheet'!DR42)+('Balance Sheet'!DS43-'Balance Sheet'!DR43)+('Balance Sheet'!DS38-'Balance Sheet'!DR38)-DS4</f>
        <v>-901224.97854168934</v>
      </c>
      <c r="DT11" s="144">
        <f ca="1">('Balance Sheet'!DT42-'Balance Sheet'!DS42)+('Balance Sheet'!DT43-'Balance Sheet'!DS43)+('Balance Sheet'!DT38-'Balance Sheet'!DS38)-DT4</f>
        <v>49850.618646900635</v>
      </c>
      <c r="DU11" s="144">
        <f ca="1">('Balance Sheet'!DU42-'Balance Sheet'!DT42)+('Balance Sheet'!DU43-'Balance Sheet'!DT43)+('Balance Sheet'!DU38-'Balance Sheet'!DT38)-DU4</f>
        <v>1844914.8545834271</v>
      </c>
      <c r="DV11" s="145">
        <f ca="1">('Balance Sheet'!DV42-'Balance Sheet'!DQ42)+('Balance Sheet'!DV43-'Balance Sheet'!DQ43)+('Balance Sheet'!DV38-'Balance Sheet'!DQ38)-DV4</f>
        <v>-739171.63532406557</v>
      </c>
      <c r="DW11" s="144">
        <f ca="1">('Balance Sheet'!DW42-'Balance Sheet'!DV42)+('Balance Sheet'!DW43-'Balance Sheet'!DV43)+('Balance Sheet'!DW38-'Balance Sheet'!DV38)-DW4</f>
        <v>-1874659.8855016127</v>
      </c>
      <c r="DX11" s="144">
        <f ca="1">('Balance Sheet'!DX42-'Balance Sheet'!DW42)+('Balance Sheet'!DX43-'Balance Sheet'!DW43)+('Balance Sheet'!DX38-'Balance Sheet'!DW38)-DX4</f>
        <v>-1745602.3853528637</v>
      </c>
      <c r="DY11" s="144">
        <f ca="1">('Balance Sheet'!DY42-'Balance Sheet'!DX42)+('Balance Sheet'!DY43-'Balance Sheet'!DX43)+('Balance Sheet'!DY38-'Balance Sheet'!DX38)-DY4</f>
        <v>22146.156058005057</v>
      </c>
      <c r="DZ11" s="144">
        <f ca="1">('Balance Sheet'!DZ42-'Balance Sheet'!DY42)+('Balance Sheet'!DZ43-'Balance Sheet'!DY43)+('Balance Sheet'!DZ38-'Balance Sheet'!DY38)-DZ4</f>
        <v>1918158.2514481735</v>
      </c>
      <c r="EA11" s="145">
        <f ca="1">('Balance Sheet'!EA42-'Balance Sheet'!DV42)+('Balance Sheet'!EA43-'Balance Sheet'!DV43)+('Balance Sheet'!EA38-'Balance Sheet'!DV38)-EA4</f>
        <v>-1679957.8633482973</v>
      </c>
      <c r="EB11" s="144">
        <f ca="1">('Balance Sheet'!EB42-'Balance Sheet'!EA42)+('Balance Sheet'!EB43-'Balance Sheet'!EA43)+('Balance Sheet'!EB38-'Balance Sheet'!EA38)-EB4</f>
        <v>-1993123.6046712729</v>
      </c>
      <c r="EC11" s="144">
        <f ca="1">('Balance Sheet'!EC42-'Balance Sheet'!EB42)+('Balance Sheet'!EC43-'Balance Sheet'!EB43)+('Balance Sheet'!EC38-'Balance Sheet'!EB38)-EC4</f>
        <v>-1875626.226334312</v>
      </c>
      <c r="ED11" s="144">
        <f ca="1">('Balance Sheet'!ED42-'Balance Sheet'!EC42)+('Balance Sheet'!ED43-'Balance Sheet'!EC43)+('Balance Sheet'!ED38-'Balance Sheet'!EC38)-ED4</f>
        <v>26417.384756701882</v>
      </c>
      <c r="EE11" s="144">
        <f ca="1">('Balance Sheet'!EE42-'Balance Sheet'!ED42)+('Balance Sheet'!EE43-'Balance Sheet'!ED43)+('Balance Sheet'!EE38-'Balance Sheet'!ED38)-EE4</f>
        <v>2007274.6167607764</v>
      </c>
      <c r="EF11" s="145">
        <f ca="1">('Balance Sheet'!EF42-'Balance Sheet'!EA42)+('Balance Sheet'!EF43-'Balance Sheet'!EA43)+('Balance Sheet'!EF38-'Balance Sheet'!EA38)-EF4</f>
        <v>-1835057.8294881068</v>
      </c>
    </row>
    <row r="12" spans="1:136" ht="12" customHeight="1">
      <c r="A12" s="68" t="s">
        <v>151</v>
      </c>
      <c r="B12" s="146" t="e">
        <f t="shared" ref="B12:K12" si="10">SUM(B10:B11)</f>
        <v>#VALUE!</v>
      </c>
      <c r="C12" s="146">
        <f t="shared" si="10"/>
        <v>-12986</v>
      </c>
      <c r="D12" s="146">
        <f t="shared" si="10"/>
        <v>-5841</v>
      </c>
      <c r="E12" s="146">
        <f t="shared" si="10"/>
        <v>326880</v>
      </c>
      <c r="F12" s="147" t="e">
        <f t="shared" si="10"/>
        <v>#VALUE!</v>
      </c>
      <c r="G12" s="146">
        <f t="shared" si="10"/>
        <v>319061.5</v>
      </c>
      <c r="H12" s="146">
        <f t="shared" si="10"/>
        <v>-277311.5</v>
      </c>
      <c r="I12" s="146">
        <f t="shared" si="10"/>
        <v>378355</v>
      </c>
      <c r="J12" s="146">
        <f t="shared" si="10"/>
        <v>-8341</v>
      </c>
      <c r="K12" s="147">
        <f t="shared" si="10"/>
        <v>411764</v>
      </c>
      <c r="L12" s="146">
        <f t="shared" ref="L12:BW12" si="11">SUM(L10:L11)</f>
        <v>7721</v>
      </c>
      <c r="M12" s="146">
        <f t="shared" si="11"/>
        <v>57416</v>
      </c>
      <c r="N12" s="146">
        <f t="shared" si="11"/>
        <v>614418</v>
      </c>
      <c r="O12" s="146">
        <f t="shared" si="11"/>
        <v>-131634</v>
      </c>
      <c r="P12" s="147">
        <f t="shared" si="11"/>
        <v>547921</v>
      </c>
      <c r="Q12" s="146">
        <f t="shared" si="11"/>
        <v>137649</v>
      </c>
      <c r="R12" s="146">
        <f t="shared" si="11"/>
        <v>-83590</v>
      </c>
      <c r="S12" s="146">
        <f t="shared" si="11"/>
        <v>223591</v>
      </c>
      <c r="T12" s="146">
        <f t="shared" si="11"/>
        <v>106613</v>
      </c>
      <c r="U12" s="147">
        <f t="shared" si="11"/>
        <v>384263</v>
      </c>
      <c r="V12" s="146">
        <f t="shared" si="11"/>
        <v>699977</v>
      </c>
      <c r="W12" s="146">
        <f t="shared" si="11"/>
        <v>187622</v>
      </c>
      <c r="X12" s="146">
        <f t="shared" si="11"/>
        <v>159657</v>
      </c>
      <c r="Y12" s="146">
        <f t="shared" si="11"/>
        <v>136773</v>
      </c>
      <c r="Z12" s="147">
        <f t="shared" si="11"/>
        <v>1184029</v>
      </c>
      <c r="AA12" s="146">
        <f t="shared" si="11"/>
        <v>-54035</v>
      </c>
      <c r="AB12" s="146">
        <f t="shared" si="11"/>
        <v>154449</v>
      </c>
      <c r="AC12" s="146">
        <f t="shared" si="11"/>
        <v>456066</v>
      </c>
      <c r="AD12" s="146">
        <f t="shared" si="11"/>
        <v>1033278</v>
      </c>
      <c r="AE12" s="147">
        <f t="shared" si="11"/>
        <v>1589758</v>
      </c>
      <c r="AF12" s="146">
        <f t="shared" si="11"/>
        <v>-46954</v>
      </c>
      <c r="AG12" s="146">
        <f t="shared" si="11"/>
        <v>-43035</v>
      </c>
      <c r="AH12" s="146">
        <f t="shared" si="11"/>
        <v>256644</v>
      </c>
      <c r="AI12" s="146">
        <f t="shared" si="11"/>
        <v>564368</v>
      </c>
      <c r="AJ12" s="147">
        <f t="shared" si="11"/>
        <v>731023</v>
      </c>
      <c r="AK12" s="146">
        <f t="shared" si="11"/>
        <v>200593</v>
      </c>
      <c r="AL12" s="146">
        <f t="shared" si="11"/>
        <v>377845</v>
      </c>
      <c r="AM12" s="146">
        <f t="shared" si="11"/>
        <v>345463</v>
      </c>
      <c r="AN12" s="146">
        <f t="shared" si="11"/>
        <v>-115267</v>
      </c>
      <c r="AO12" s="147">
        <f t="shared" si="11"/>
        <v>808634</v>
      </c>
      <c r="AP12" s="146">
        <f t="shared" si="11"/>
        <v>-36128</v>
      </c>
      <c r="AQ12" s="146">
        <f t="shared" si="11"/>
        <v>-247505</v>
      </c>
      <c r="AR12" s="146">
        <f t="shared" si="11"/>
        <v>-82301</v>
      </c>
      <c r="AS12" s="146">
        <f t="shared" si="11"/>
        <v>148540</v>
      </c>
      <c r="AT12" s="147">
        <f t="shared" si="11"/>
        <v>-217394</v>
      </c>
      <c r="AU12" s="146">
        <f t="shared" si="11"/>
        <v>87377</v>
      </c>
      <c r="AV12" s="146">
        <f t="shared" si="11"/>
        <v>-444886</v>
      </c>
      <c r="AW12" s="146">
        <f t="shared" si="11"/>
        <v>155136</v>
      </c>
      <c r="AX12" s="146">
        <f t="shared" si="11"/>
        <v>240009</v>
      </c>
      <c r="AY12" s="147">
        <f t="shared" si="11"/>
        <v>37636</v>
      </c>
      <c r="AZ12" s="146">
        <f t="shared" si="11"/>
        <v>254144</v>
      </c>
      <c r="BA12" s="146">
        <f t="shared" si="11"/>
        <v>-534691</v>
      </c>
      <c r="BB12" s="146">
        <f t="shared" si="11"/>
        <v>-91851</v>
      </c>
      <c r="BC12" s="146">
        <f t="shared" si="11"/>
        <v>-451480</v>
      </c>
      <c r="BD12" s="147">
        <f t="shared" si="11"/>
        <v>-823878</v>
      </c>
      <c r="BE12" s="146">
        <f t="shared" si="11"/>
        <v>-133705</v>
      </c>
      <c r="BF12" s="146">
        <f t="shared" si="11"/>
        <v>-161251</v>
      </c>
      <c r="BG12" s="146">
        <f t="shared" si="11"/>
        <v>340619</v>
      </c>
      <c r="BH12" s="146">
        <f t="shared" si="11"/>
        <v>-408779</v>
      </c>
      <c r="BI12" s="147">
        <f t="shared" si="11"/>
        <v>-363116</v>
      </c>
      <c r="BJ12" s="146">
        <f t="shared" si="11"/>
        <v>-136770</v>
      </c>
      <c r="BK12" s="146">
        <f t="shared" si="11"/>
        <v>-301004</v>
      </c>
      <c r="BL12" s="146">
        <f t="shared" si="11"/>
        <v>-84080</v>
      </c>
      <c r="BM12" s="146">
        <f t="shared" si="11"/>
        <v>-122381</v>
      </c>
      <c r="BN12" s="147">
        <f t="shared" si="11"/>
        <v>-644235</v>
      </c>
      <c r="BO12" s="146">
        <f t="shared" si="11"/>
        <v>168115</v>
      </c>
      <c r="BP12" s="146">
        <f t="shared" si="11"/>
        <v>-518910</v>
      </c>
      <c r="BQ12" s="146">
        <f t="shared" si="11"/>
        <v>-282348</v>
      </c>
      <c r="BR12" s="146">
        <f t="shared" si="11"/>
        <v>-582238</v>
      </c>
      <c r="BS12" s="147">
        <f t="shared" si="11"/>
        <v>-1215381</v>
      </c>
      <c r="BT12" s="146">
        <f t="shared" si="11"/>
        <v>-748486</v>
      </c>
      <c r="BU12" s="146">
        <f t="shared" si="11"/>
        <v>224812</v>
      </c>
      <c r="BV12" s="146">
        <f t="shared" si="11"/>
        <v>424670</v>
      </c>
      <c r="BW12" s="146">
        <f t="shared" si="11"/>
        <v>-806757</v>
      </c>
      <c r="BX12" s="147">
        <f t="shared" ref="BX12:CC12" si="12">SUM(BX10:BX11)</f>
        <v>-905761</v>
      </c>
      <c r="BY12" s="146">
        <f t="shared" si="12"/>
        <v>-293389</v>
      </c>
      <c r="BZ12" s="146">
        <f t="shared" si="12"/>
        <v>-264532</v>
      </c>
      <c r="CA12" s="146">
        <f t="shared" si="12"/>
        <v>274126</v>
      </c>
      <c r="CB12" s="146">
        <f t="shared" si="12"/>
        <v>-360360</v>
      </c>
      <c r="CC12" s="147">
        <f t="shared" si="12"/>
        <v>-644155</v>
      </c>
      <c r="CD12" s="146">
        <f t="shared" ref="CD12:DG12" si="13">SUM(CD10:CD11)</f>
        <v>-62627</v>
      </c>
      <c r="CE12" s="146">
        <f t="shared" si="13"/>
        <v>383989</v>
      </c>
      <c r="CF12" s="146">
        <f t="shared" si="13"/>
        <v>-667952</v>
      </c>
      <c r="CG12" s="146">
        <f t="shared" si="13"/>
        <v>-211381</v>
      </c>
      <c r="CH12" s="147">
        <f t="shared" si="13"/>
        <v>-557971</v>
      </c>
      <c r="CI12" s="146">
        <f t="shared" si="13"/>
        <v>41996</v>
      </c>
      <c r="CJ12" s="146">
        <f t="shared" si="13"/>
        <v>191279</v>
      </c>
      <c r="CK12" s="146">
        <f t="shared" si="13"/>
        <v>99283</v>
      </c>
      <c r="CL12" s="146">
        <f t="shared" si="13"/>
        <v>338732</v>
      </c>
      <c r="CM12" s="147">
        <f t="shared" si="13"/>
        <v>671290</v>
      </c>
      <c r="CN12" s="146">
        <f t="shared" si="13"/>
        <v>89561</v>
      </c>
      <c r="CO12" s="146">
        <f t="shared" si="13"/>
        <v>224280</v>
      </c>
      <c r="CP12" s="146">
        <f t="shared" si="13"/>
        <v>-19515</v>
      </c>
      <c r="CQ12" s="146">
        <f t="shared" si="13"/>
        <v>1127928</v>
      </c>
      <c r="CR12" s="147">
        <f t="shared" si="13"/>
        <v>1422254</v>
      </c>
      <c r="CS12" s="146">
        <f t="shared" si="13"/>
        <v>-134196</v>
      </c>
      <c r="CT12" s="146">
        <f t="shared" si="13"/>
        <v>237800</v>
      </c>
      <c r="CU12" s="146">
        <f t="shared" si="13"/>
        <v>-178841</v>
      </c>
      <c r="CV12" s="146">
        <f t="shared" si="13"/>
        <v>193278</v>
      </c>
      <c r="CW12" s="147">
        <f t="shared" si="13"/>
        <v>118041</v>
      </c>
      <c r="CX12" s="146">
        <f t="shared" si="13"/>
        <v>-283411</v>
      </c>
      <c r="CY12" s="146">
        <f t="shared" si="13"/>
        <v>611616</v>
      </c>
      <c r="CZ12" s="146">
        <f t="shared" si="13"/>
        <v>403107</v>
      </c>
      <c r="DA12" s="146">
        <f t="shared" si="13"/>
        <v>333556</v>
      </c>
      <c r="DB12" s="147">
        <f t="shared" si="13"/>
        <v>1064868</v>
      </c>
      <c r="DC12" s="146">
        <f t="shared" si="13"/>
        <v>234020</v>
      </c>
      <c r="DD12" s="146">
        <f t="shared" si="13"/>
        <v>1010017</v>
      </c>
      <c r="DE12" s="146">
        <f t="shared" si="13"/>
        <v>591649</v>
      </c>
      <c r="DF12" s="146">
        <f t="shared" si="13"/>
        <v>68209</v>
      </c>
      <c r="DG12" s="147">
        <f t="shared" si="13"/>
        <v>1903895</v>
      </c>
      <c r="DH12" s="146">
        <f t="shared" ref="DH12:EF12" si="14">SUM(DH10:DH11)</f>
        <v>198038</v>
      </c>
      <c r="DI12" s="146">
        <f t="shared" si="14"/>
        <v>175884</v>
      </c>
      <c r="DJ12" s="146">
        <f t="shared" ca="1" si="14"/>
        <v>-14879.797473197221</v>
      </c>
      <c r="DK12" s="146">
        <f t="shared" ca="1" si="14"/>
        <v>-449406.77518813696</v>
      </c>
      <c r="DL12" s="147">
        <f t="shared" ca="1" si="14"/>
        <v>-90364.572661334183</v>
      </c>
      <c r="DM12" s="146">
        <f t="shared" ca="1" si="14"/>
        <v>494337.70415535488</v>
      </c>
      <c r="DN12" s="146">
        <f t="shared" ca="1" si="14"/>
        <v>51955.572953481926</v>
      </c>
      <c r="DO12" s="146">
        <f t="shared" ca="1" si="14"/>
        <v>-877051.54974557844</v>
      </c>
      <c r="DP12" s="146">
        <f t="shared" ca="1" si="14"/>
        <v>1009985.208668742</v>
      </c>
      <c r="DQ12" s="147">
        <f t="shared" ca="1" si="14"/>
        <v>679226.93603200046</v>
      </c>
      <c r="DR12" s="146">
        <f t="shared" ca="1" si="14"/>
        <v>-1232712.1300127038</v>
      </c>
      <c r="DS12" s="146">
        <f t="shared" ca="1" si="14"/>
        <v>-901224.97854168934</v>
      </c>
      <c r="DT12" s="146">
        <f t="shared" ca="1" si="14"/>
        <v>49850.618646900635</v>
      </c>
      <c r="DU12" s="146">
        <f t="shared" ca="1" si="14"/>
        <v>1844914.8545834271</v>
      </c>
      <c r="DV12" s="147">
        <f t="shared" ca="1" si="14"/>
        <v>-239171.63532406557</v>
      </c>
      <c r="DW12" s="146">
        <f t="shared" ca="1" si="14"/>
        <v>-1374659.8855016127</v>
      </c>
      <c r="DX12" s="146">
        <f t="shared" ca="1" si="14"/>
        <v>-1745602.3853528637</v>
      </c>
      <c r="DY12" s="146">
        <f t="shared" ca="1" si="14"/>
        <v>22146.156058005057</v>
      </c>
      <c r="DZ12" s="146">
        <f t="shared" ca="1" si="14"/>
        <v>1918158.2514481735</v>
      </c>
      <c r="EA12" s="147">
        <f t="shared" ca="1" si="14"/>
        <v>-1179957.8633482973</v>
      </c>
      <c r="EB12" s="146">
        <f t="shared" ca="1" si="14"/>
        <v>-1493123.6046712729</v>
      </c>
      <c r="EC12" s="146">
        <f t="shared" ca="1" si="14"/>
        <v>-1875626.226334312</v>
      </c>
      <c r="ED12" s="146">
        <f t="shared" ca="1" si="14"/>
        <v>26417.384756701882</v>
      </c>
      <c r="EE12" s="146">
        <f t="shared" ca="1" si="14"/>
        <v>2007274.6167607764</v>
      </c>
      <c r="EF12" s="147">
        <f t="shared" ca="1" si="14"/>
        <v>-1335057.8294881068</v>
      </c>
    </row>
    <row r="13" spans="1:136" ht="12" customHeight="1">
      <c r="A13" s="68" t="s">
        <v>69</v>
      </c>
      <c r="B13" s="146" t="e">
        <f t="shared" ref="B13:K13" si="15">B7+B9+B12</f>
        <v>#VALUE!</v>
      </c>
      <c r="C13" s="146">
        <f t="shared" si="15"/>
        <v>7047</v>
      </c>
      <c r="D13" s="146">
        <f t="shared" si="15"/>
        <v>-11940</v>
      </c>
      <c r="E13" s="146">
        <f t="shared" si="15"/>
        <v>42741</v>
      </c>
      <c r="F13" s="147" t="e">
        <f t="shared" si="15"/>
        <v>#VALUE!</v>
      </c>
      <c r="G13" s="146">
        <f t="shared" si="15"/>
        <v>405525.5</v>
      </c>
      <c r="H13" s="146">
        <f t="shared" si="15"/>
        <v>-335606.5</v>
      </c>
      <c r="I13" s="146">
        <f t="shared" si="15"/>
        <v>317497</v>
      </c>
      <c r="J13" s="146">
        <f t="shared" si="15"/>
        <v>-35213</v>
      </c>
      <c r="K13" s="147">
        <f t="shared" si="15"/>
        <v>352203</v>
      </c>
      <c r="L13" s="146">
        <f t="shared" ref="L13:BW13" si="16">L7+L9+L12</f>
        <v>-90822</v>
      </c>
      <c r="M13" s="146">
        <f t="shared" si="16"/>
        <v>-129638</v>
      </c>
      <c r="N13" s="146">
        <f t="shared" si="16"/>
        <v>530301</v>
      </c>
      <c r="O13" s="146">
        <f t="shared" si="16"/>
        <v>-269246</v>
      </c>
      <c r="P13" s="147">
        <f t="shared" si="16"/>
        <v>40595</v>
      </c>
      <c r="Q13" s="146">
        <f t="shared" si="16"/>
        <v>-221169</v>
      </c>
      <c r="R13" s="146">
        <f t="shared" si="16"/>
        <v>300716</v>
      </c>
      <c r="S13" s="146">
        <f t="shared" si="16"/>
        <v>160654</v>
      </c>
      <c r="T13" s="146">
        <f t="shared" si="16"/>
        <v>-117981</v>
      </c>
      <c r="U13" s="147">
        <f t="shared" si="16"/>
        <v>122220</v>
      </c>
      <c r="V13" s="146">
        <f t="shared" si="16"/>
        <v>382934</v>
      </c>
      <c r="W13" s="146">
        <f t="shared" si="16"/>
        <v>-96745</v>
      </c>
      <c r="X13" s="146">
        <f t="shared" si="16"/>
        <v>-150839</v>
      </c>
      <c r="Y13" s="146">
        <f t="shared" si="16"/>
        <v>45424</v>
      </c>
      <c r="Z13" s="147">
        <f t="shared" si="16"/>
        <v>180774</v>
      </c>
      <c r="AA13" s="146">
        <f t="shared" si="16"/>
        <v>-137891</v>
      </c>
      <c r="AB13" s="146">
        <f t="shared" si="16"/>
        <v>-227381</v>
      </c>
      <c r="AC13" s="146">
        <f t="shared" si="16"/>
        <v>366730</v>
      </c>
      <c r="AD13" s="146">
        <f t="shared" si="16"/>
        <v>800665</v>
      </c>
      <c r="AE13" s="147">
        <f t="shared" si="16"/>
        <v>802123</v>
      </c>
      <c r="AF13" s="146">
        <f t="shared" si="16"/>
        <v>-379641</v>
      </c>
      <c r="AG13" s="146">
        <f t="shared" si="16"/>
        <v>-288998</v>
      </c>
      <c r="AH13" s="146">
        <f t="shared" si="16"/>
        <v>-10908</v>
      </c>
      <c r="AI13" s="146">
        <f t="shared" si="16"/>
        <v>168386</v>
      </c>
      <c r="AJ13" s="147">
        <f t="shared" si="16"/>
        <v>-511161</v>
      </c>
      <c r="AK13" s="146">
        <f t="shared" si="16"/>
        <v>59012</v>
      </c>
      <c r="AL13" s="146">
        <f t="shared" si="16"/>
        <v>354735</v>
      </c>
      <c r="AM13" s="146">
        <f t="shared" si="16"/>
        <v>208176</v>
      </c>
      <c r="AN13" s="146">
        <f t="shared" si="16"/>
        <v>51146</v>
      </c>
      <c r="AO13" s="147">
        <f t="shared" si="16"/>
        <v>673069</v>
      </c>
      <c r="AP13" s="146">
        <f t="shared" si="16"/>
        <v>29084</v>
      </c>
      <c r="AQ13" s="146">
        <f t="shared" si="16"/>
        <v>-223159</v>
      </c>
      <c r="AR13" s="146">
        <f t="shared" si="16"/>
        <v>17923</v>
      </c>
      <c r="AS13" s="146">
        <f t="shared" si="16"/>
        <v>60817</v>
      </c>
      <c r="AT13" s="147">
        <f t="shared" si="16"/>
        <v>-115335</v>
      </c>
      <c r="AU13" s="146">
        <f t="shared" si="16"/>
        <v>-71661</v>
      </c>
      <c r="AV13" s="146">
        <f t="shared" si="16"/>
        <v>-116627</v>
      </c>
      <c r="AW13" s="146">
        <f t="shared" si="16"/>
        <v>57340</v>
      </c>
      <c r="AX13" s="146">
        <f t="shared" si="16"/>
        <v>146039</v>
      </c>
      <c r="AY13" s="147">
        <f t="shared" si="16"/>
        <v>15091</v>
      </c>
      <c r="AZ13" s="146">
        <f t="shared" si="16"/>
        <v>461433</v>
      </c>
      <c r="BA13" s="146">
        <f t="shared" si="16"/>
        <v>-430264</v>
      </c>
      <c r="BB13" s="146">
        <f t="shared" si="16"/>
        <v>24341</v>
      </c>
      <c r="BC13" s="146">
        <f t="shared" si="16"/>
        <v>-28666</v>
      </c>
      <c r="BD13" s="147">
        <f t="shared" si="16"/>
        <v>26844</v>
      </c>
      <c r="BE13" s="146">
        <f t="shared" si="16"/>
        <v>267478</v>
      </c>
      <c r="BF13" s="146">
        <f t="shared" si="16"/>
        <v>219371</v>
      </c>
      <c r="BG13" s="146">
        <f t="shared" si="16"/>
        <v>283043</v>
      </c>
      <c r="BH13" s="146">
        <f t="shared" si="16"/>
        <v>-290571</v>
      </c>
      <c r="BI13" s="147">
        <f t="shared" si="16"/>
        <v>479321</v>
      </c>
      <c r="BJ13" s="146">
        <f t="shared" si="16"/>
        <v>-92748</v>
      </c>
      <c r="BK13" s="146">
        <f t="shared" si="16"/>
        <v>-260454</v>
      </c>
      <c r="BL13" s="146">
        <f t="shared" si="16"/>
        <v>-298309</v>
      </c>
      <c r="BM13" s="146">
        <f t="shared" si="16"/>
        <v>116217</v>
      </c>
      <c r="BN13" s="147">
        <f t="shared" si="16"/>
        <v>-535294</v>
      </c>
      <c r="BO13" s="146">
        <f t="shared" si="16"/>
        <v>278656</v>
      </c>
      <c r="BP13" s="146">
        <f t="shared" si="16"/>
        <v>-345042</v>
      </c>
      <c r="BQ13" s="146">
        <f t="shared" si="16"/>
        <v>-17867</v>
      </c>
      <c r="BR13" s="146">
        <f t="shared" si="16"/>
        <v>-251277</v>
      </c>
      <c r="BS13" s="147">
        <f t="shared" si="16"/>
        <v>-335530</v>
      </c>
      <c r="BT13" s="146">
        <f t="shared" si="16"/>
        <v>-247221</v>
      </c>
      <c r="BU13" s="146">
        <f t="shared" si="16"/>
        <v>411584</v>
      </c>
      <c r="BV13" s="146">
        <f t="shared" si="16"/>
        <v>612704</v>
      </c>
      <c r="BW13" s="146">
        <f t="shared" si="16"/>
        <v>-591171</v>
      </c>
      <c r="BX13" s="147">
        <f t="shared" ref="BX13:CC13" si="17">BX7+BX9+BX12</f>
        <v>185896</v>
      </c>
      <c r="BY13" s="146">
        <f t="shared" si="17"/>
        <v>-112462</v>
      </c>
      <c r="BZ13" s="146">
        <f>BZ7+BZ9+BZ12</f>
        <v>91921</v>
      </c>
      <c r="CA13" s="146">
        <f t="shared" si="17"/>
        <v>233297</v>
      </c>
      <c r="CB13" s="146">
        <f t="shared" si="17"/>
        <v>-98245</v>
      </c>
      <c r="CC13" s="147">
        <f t="shared" si="17"/>
        <v>114511</v>
      </c>
      <c r="CD13" s="146">
        <f t="shared" ref="CD13:DG13" si="18">CD7+CD9+CD12</f>
        <v>9202</v>
      </c>
      <c r="CE13" s="146">
        <f t="shared" si="18"/>
        <v>321574</v>
      </c>
      <c r="CF13" s="146">
        <f t="shared" si="18"/>
        <v>402253</v>
      </c>
      <c r="CG13" s="146">
        <f t="shared" si="18"/>
        <v>5141</v>
      </c>
      <c r="CH13" s="147">
        <f t="shared" si="18"/>
        <v>738170</v>
      </c>
      <c r="CI13" s="146">
        <f t="shared" si="18"/>
        <v>42632</v>
      </c>
      <c r="CJ13" s="146">
        <f t="shared" si="18"/>
        <v>336978</v>
      </c>
      <c r="CK13" s="146">
        <f t="shared" si="18"/>
        <v>213548</v>
      </c>
      <c r="CL13" s="146">
        <f t="shared" si="18"/>
        <v>304297</v>
      </c>
      <c r="CM13" s="147">
        <f t="shared" si="18"/>
        <v>897455</v>
      </c>
      <c r="CN13" s="146">
        <f t="shared" si="18"/>
        <v>-57359</v>
      </c>
      <c r="CO13" s="146">
        <f t="shared" si="18"/>
        <v>322476</v>
      </c>
      <c r="CP13" s="146">
        <f t="shared" si="18"/>
        <v>416399</v>
      </c>
      <c r="CQ13" s="146">
        <f t="shared" si="18"/>
        <v>635443</v>
      </c>
      <c r="CR13" s="147">
        <f t="shared" si="18"/>
        <v>1316959</v>
      </c>
      <c r="CS13" s="146">
        <f t="shared" si="18"/>
        <v>-197031</v>
      </c>
      <c r="CT13" s="146">
        <f t="shared" si="18"/>
        <v>227530</v>
      </c>
      <c r="CU13" s="146">
        <f t="shared" si="18"/>
        <v>-92454</v>
      </c>
      <c r="CV13" s="146">
        <f t="shared" si="18"/>
        <v>48809</v>
      </c>
      <c r="CW13" s="147">
        <f t="shared" si="18"/>
        <v>-13146</v>
      </c>
      <c r="CX13" s="146">
        <f t="shared" si="18"/>
        <v>-124623</v>
      </c>
      <c r="CY13" s="146">
        <f t="shared" si="18"/>
        <v>357232</v>
      </c>
      <c r="CZ13" s="146">
        <f t="shared" si="18"/>
        <v>271508</v>
      </c>
      <c r="DA13" s="146">
        <f t="shared" si="18"/>
        <v>202333</v>
      </c>
      <c r="DB13" s="147">
        <f t="shared" si="18"/>
        <v>706450</v>
      </c>
      <c r="DC13" s="146">
        <f t="shared" si="18"/>
        <v>193648</v>
      </c>
      <c r="DD13" s="146">
        <f t="shared" si="18"/>
        <v>578644</v>
      </c>
      <c r="DE13" s="146">
        <f t="shared" si="18"/>
        <v>990143</v>
      </c>
      <c r="DF13" s="146">
        <f t="shared" si="18"/>
        <v>-64087</v>
      </c>
      <c r="DG13" s="147">
        <f t="shared" si="18"/>
        <v>1698348</v>
      </c>
      <c r="DH13" s="146">
        <f t="shared" ref="DH13:EF13" si="19">DH7+DH9+DH12</f>
        <v>204642</v>
      </c>
      <c r="DI13" s="146">
        <f t="shared" si="19"/>
        <v>500248</v>
      </c>
      <c r="DJ13" s="146">
        <f t="shared" ca="1" si="19"/>
        <v>512652.65740875551</v>
      </c>
      <c r="DK13" s="146">
        <f t="shared" ca="1" si="19"/>
        <v>-387809.05871651013</v>
      </c>
      <c r="DL13" s="147">
        <f t="shared" ca="1" si="19"/>
        <v>829733.59869224532</v>
      </c>
      <c r="DM13" s="146">
        <f t="shared" ca="1" si="19"/>
        <v>359994.12228111067</v>
      </c>
      <c r="DN13" s="146">
        <f t="shared" ca="1" si="19"/>
        <v>-121682.71444898075</v>
      </c>
      <c r="DO13" s="146">
        <f t="shared" ca="1" si="19"/>
        <v>-1210275.8699487618</v>
      </c>
      <c r="DP13" s="146">
        <f t="shared" ca="1" si="19"/>
        <v>803636.64920288953</v>
      </c>
      <c r="DQ13" s="147">
        <f t="shared" ca="1" si="19"/>
        <v>-168327.81291374261</v>
      </c>
      <c r="DR13" s="146">
        <f t="shared" ca="1" si="19"/>
        <v>-1287852.847034011</v>
      </c>
      <c r="DS13" s="146">
        <f t="shared" ca="1" si="19"/>
        <v>-950934.39294685074</v>
      </c>
      <c r="DT13" s="146">
        <f t="shared" ca="1" si="19"/>
        <v>-12428.495782829646</v>
      </c>
      <c r="DU13" s="146">
        <f t="shared" ca="1" si="19"/>
        <v>1605737.0536619662</v>
      </c>
      <c r="DV13" s="147">
        <f t="shared" ca="1" si="19"/>
        <v>-645478.68210172525</v>
      </c>
      <c r="DW13" s="146">
        <f t="shared" ca="1" si="19"/>
        <v>-1018457.8703071265</v>
      </c>
      <c r="DX13" s="146">
        <f t="shared" ca="1" si="19"/>
        <v>-1560678.8567692493</v>
      </c>
      <c r="DY13" s="146">
        <f t="shared" ca="1" si="19"/>
        <v>367073.50013797946</v>
      </c>
      <c r="DZ13" s="146">
        <f t="shared" ca="1" si="19"/>
        <v>2293254.587213546</v>
      </c>
      <c r="EA13" s="147">
        <f t="shared" ca="1" si="19"/>
        <v>81191.360275149811</v>
      </c>
      <c r="EB13" s="146">
        <f t="shared" ca="1" si="19"/>
        <v>-690511.76105360407</v>
      </c>
      <c r="EC13" s="146">
        <f t="shared" ca="1" si="19"/>
        <v>-1412458.284571362</v>
      </c>
      <c r="ED13" s="146">
        <f t="shared" ca="1" si="19"/>
        <v>379255.89276875166</v>
      </c>
      <c r="EE13" s="146">
        <f t="shared" ca="1" si="19"/>
        <v>2464696.0945480699</v>
      </c>
      <c r="EF13" s="147">
        <f t="shared" ca="1" si="19"/>
        <v>740981.9416918552</v>
      </c>
    </row>
    <row r="14" spans="1:136" ht="12" customHeight="1">
      <c r="A14" s="66" t="s">
        <v>70</v>
      </c>
      <c r="B14" s="148" t="str">
        <f>'Balance Sheet'!A6</f>
        <v xml:space="preserve">  Cash and Equivalents</v>
      </c>
      <c r="C14" s="148">
        <f>'Balance Sheet'!B6</f>
        <v>129993</v>
      </c>
      <c r="D14" s="148">
        <f>'Balance Sheet'!C6</f>
        <v>137040</v>
      </c>
      <c r="E14" s="148">
        <f>'Balance Sheet'!D6</f>
        <v>125100</v>
      </c>
      <c r="F14" s="89" t="str">
        <f>'Balance Sheet'!A6</f>
        <v xml:space="preserve">  Cash and Equivalents</v>
      </c>
      <c r="G14" s="148">
        <f>'Balance Sheet'!F6</f>
        <v>167841</v>
      </c>
      <c r="H14" s="148">
        <f>'Balance Sheet'!G6</f>
        <v>202800.5</v>
      </c>
      <c r="I14" s="148">
        <f>'Balance Sheet'!H6</f>
        <v>237760</v>
      </c>
      <c r="J14" s="148">
        <f>'Balance Sheet'!I6</f>
        <v>555257</v>
      </c>
      <c r="K14" s="89">
        <f>'Balance Sheet'!F6</f>
        <v>167841</v>
      </c>
      <c r="L14" s="148">
        <f>'Balance Sheet'!K6</f>
        <v>520044</v>
      </c>
      <c r="M14" s="148">
        <f>'Balance Sheet'!L6</f>
        <v>429222</v>
      </c>
      <c r="N14" s="148">
        <f>'Balance Sheet'!M6</f>
        <v>299584</v>
      </c>
      <c r="O14" s="148">
        <f>'Balance Sheet'!N6</f>
        <v>828885</v>
      </c>
      <c r="P14" s="143">
        <f>'Balance Sheet'!K6</f>
        <v>520044</v>
      </c>
      <c r="Q14" s="149">
        <f>'Balance Sheet'!P6</f>
        <v>560639</v>
      </c>
      <c r="R14" s="149">
        <f>'Balance Sheet'!Q6</f>
        <v>339470</v>
      </c>
      <c r="S14" s="149">
        <f>'Balance Sheet'!R6</f>
        <v>640186</v>
      </c>
      <c r="T14" s="149">
        <f>'Balance Sheet'!S6</f>
        <v>800740</v>
      </c>
      <c r="U14" s="89">
        <f>'Balance Sheet'!P6</f>
        <v>560639</v>
      </c>
      <c r="V14" s="149">
        <f>'Balance Sheet'!U6</f>
        <v>682859</v>
      </c>
      <c r="W14" s="148">
        <f>'Balance Sheet'!V6</f>
        <v>1064793</v>
      </c>
      <c r="X14" s="148">
        <f>'Balance Sheet'!W6</f>
        <v>969048</v>
      </c>
      <c r="Y14" s="148">
        <f>'Balance Sheet'!X6</f>
        <v>818209</v>
      </c>
      <c r="Z14" s="143">
        <f>'Balance Sheet'!U6</f>
        <v>682859</v>
      </c>
      <c r="AA14" s="149">
        <f>'Balance Sheet'!Z6</f>
        <v>863633</v>
      </c>
      <c r="AB14" s="149">
        <f>'Balance Sheet'!AA6</f>
        <v>725742</v>
      </c>
      <c r="AC14" s="149">
        <f>'Balance Sheet'!AB6</f>
        <v>498361</v>
      </c>
      <c r="AD14" s="149">
        <f>'Balance Sheet'!AC6</f>
        <v>865091</v>
      </c>
      <c r="AE14" s="89">
        <f>'Balance Sheet'!Z6</f>
        <v>863633</v>
      </c>
      <c r="AF14" s="149">
        <f>'Balance Sheet'!AE6</f>
        <v>1665756</v>
      </c>
      <c r="AG14" s="149">
        <f>'Balance Sheet'!AF6</f>
        <v>1286115</v>
      </c>
      <c r="AH14" s="149">
        <f>'Balance Sheet'!AG6</f>
        <v>997117</v>
      </c>
      <c r="AI14" s="149">
        <f>'Balance Sheet'!AH6</f>
        <v>986209</v>
      </c>
      <c r="AJ14" s="89">
        <f>'Balance Sheet'!AE6</f>
        <v>1665756</v>
      </c>
      <c r="AK14" s="149">
        <f>'Balance Sheet'!AJ6</f>
        <v>1154595</v>
      </c>
      <c r="AL14" s="149">
        <f>'Balance Sheet'!AK6</f>
        <v>1213607</v>
      </c>
      <c r="AM14" s="149">
        <f>'Balance Sheet'!AL6</f>
        <v>1568342</v>
      </c>
      <c r="AN14" s="149">
        <f>'Balance Sheet'!AM6</f>
        <v>1776518</v>
      </c>
      <c r="AO14" s="89">
        <f>'Balance Sheet'!AJ6</f>
        <v>1154595</v>
      </c>
      <c r="AP14" s="149">
        <f>'Balance Sheet'!AO6</f>
        <v>1827664</v>
      </c>
      <c r="AQ14" s="149">
        <f>'Balance Sheet'!AP6</f>
        <v>1856748</v>
      </c>
      <c r="AR14" s="149">
        <f>'Balance Sheet'!AQ6</f>
        <v>1633589</v>
      </c>
      <c r="AS14" s="149">
        <f>'Balance Sheet'!AR6</f>
        <v>1651512</v>
      </c>
      <c r="AT14" s="89">
        <f>'Balance Sheet'!AO6</f>
        <v>1827664</v>
      </c>
      <c r="AU14" s="149">
        <f>'Balance Sheet'!AT6</f>
        <v>1712329</v>
      </c>
      <c r="AV14" s="149">
        <f>'Balance Sheet'!AU6</f>
        <v>1640668</v>
      </c>
      <c r="AW14" s="149">
        <f>'Balance Sheet'!AV6</f>
        <v>1524041</v>
      </c>
      <c r="AX14" s="149">
        <f>'Balance Sheet'!AW6</f>
        <v>1581381</v>
      </c>
      <c r="AY14" s="89">
        <f>'Balance Sheet'!AT6</f>
        <v>1712329</v>
      </c>
      <c r="AZ14" s="149">
        <f>'Balance Sheet'!AY6</f>
        <v>1727420</v>
      </c>
      <c r="BA14" s="149">
        <f>'Balance Sheet'!AZ6</f>
        <v>2188853</v>
      </c>
      <c r="BB14" s="149">
        <f>'Balance Sheet'!BA6</f>
        <v>1758589</v>
      </c>
      <c r="BC14" s="149">
        <f>'Balance Sheet'!BB6</f>
        <v>1782930</v>
      </c>
      <c r="BD14" s="89">
        <f>'Balance Sheet'!AY6</f>
        <v>1727420</v>
      </c>
      <c r="BE14" s="149">
        <f>'Balance Sheet'!BD6</f>
        <v>1754264</v>
      </c>
      <c r="BF14" s="149">
        <f>'Balance Sheet'!BE6</f>
        <v>2021742</v>
      </c>
      <c r="BG14" s="149">
        <f>'Balance Sheet'!BF6</f>
        <v>2241113</v>
      </c>
      <c r="BH14" s="149">
        <f>'Balance Sheet'!BG6</f>
        <v>2524156</v>
      </c>
      <c r="BI14" s="89">
        <f>'Balance Sheet'!BD6</f>
        <v>1754264</v>
      </c>
      <c r="BJ14" s="149">
        <f>'Balance Sheet'!BI6</f>
        <v>2233585</v>
      </c>
      <c r="BK14" s="149">
        <f>'Balance Sheet'!BJ6</f>
        <v>2140837</v>
      </c>
      <c r="BL14" s="149">
        <f>'Balance Sheet'!BK6</f>
        <v>1880383</v>
      </c>
      <c r="BM14" s="149">
        <f>'Balance Sheet'!BL6</f>
        <v>1582074</v>
      </c>
      <c r="BN14" s="89">
        <f>'Balance Sheet'!BI6</f>
        <v>2233585</v>
      </c>
      <c r="BO14" s="149">
        <f>'Balance Sheet'!BN6</f>
        <v>1698291</v>
      </c>
      <c r="BP14" s="149">
        <f>'Balance Sheet'!BO6</f>
        <v>1976947</v>
      </c>
      <c r="BQ14" s="149">
        <f>'Balance Sheet'!BP6</f>
        <v>1631905</v>
      </c>
      <c r="BR14" s="149">
        <f>'Balance Sheet'!BQ6</f>
        <v>1614038</v>
      </c>
      <c r="BS14" s="89">
        <f>'Balance Sheet'!BN6</f>
        <v>1698291</v>
      </c>
      <c r="BT14" s="149">
        <f>'Balance Sheet'!BS6</f>
        <v>1362761</v>
      </c>
      <c r="BU14" s="149">
        <f>'Balance Sheet'!BT6</f>
        <v>1115540</v>
      </c>
      <c r="BV14" s="149">
        <f>'Balance Sheet'!BU6</f>
        <v>1527124</v>
      </c>
      <c r="BW14" s="149">
        <f>'Balance Sheet'!BV6</f>
        <v>2139828</v>
      </c>
      <c r="BX14" s="89">
        <f>'Balance Sheet'!BS6</f>
        <v>1362761</v>
      </c>
      <c r="BY14" s="149">
        <f>'Balance Sheet'!BX6</f>
        <v>1548657</v>
      </c>
      <c r="BZ14" s="149">
        <f>'Balance Sheet'!BY6</f>
        <v>1436195</v>
      </c>
      <c r="CA14" s="149">
        <f>'Balance Sheet'!BZ6</f>
        <v>1528116</v>
      </c>
      <c r="CB14" s="149">
        <f>'Balance Sheet'!CA6</f>
        <v>1761413</v>
      </c>
      <c r="CC14" s="89">
        <f>'Balance Sheet'!BX6</f>
        <v>1548657</v>
      </c>
      <c r="CD14" s="149">
        <f>'Balance Sheet'!CC6</f>
        <v>1663168</v>
      </c>
      <c r="CE14" s="149">
        <f>'Balance Sheet'!CD6</f>
        <v>1672370</v>
      </c>
      <c r="CF14" s="149">
        <f>'Balance Sheet'!CE6</f>
        <v>1993944</v>
      </c>
      <c r="CG14" s="149">
        <f>'Balance Sheet'!CF6</f>
        <v>2396197</v>
      </c>
      <c r="CH14" s="89">
        <f>'Balance Sheet'!CC6</f>
        <v>1663168</v>
      </c>
      <c r="CI14" s="149">
        <f>'Balance Sheet'!CH6</f>
        <v>2401338</v>
      </c>
      <c r="CJ14" s="149">
        <f>'Balance Sheet'!CI6</f>
        <v>2443970</v>
      </c>
      <c r="CK14" s="149">
        <f>'Balance Sheet'!CJ6</f>
        <v>2780948</v>
      </c>
      <c r="CL14" s="149">
        <f>'Balance Sheet'!CK6</f>
        <v>2994496</v>
      </c>
      <c r="CM14" s="89">
        <f>'Balance Sheet'!CH6</f>
        <v>2401338</v>
      </c>
      <c r="CN14" s="149">
        <f>'Balance Sheet'!CM6</f>
        <v>3298793</v>
      </c>
      <c r="CO14" s="149">
        <f>'Balance Sheet'!CN6</f>
        <v>3241434</v>
      </c>
      <c r="CP14" s="149">
        <f>'Balance Sheet'!CO6</f>
        <v>3563910</v>
      </c>
      <c r="CQ14" s="149">
        <f>'Balance Sheet'!CP6</f>
        <v>3980309</v>
      </c>
      <c r="CR14" s="89">
        <f>'Balance Sheet'!CM6</f>
        <v>3298793</v>
      </c>
      <c r="CS14" s="149">
        <f>'Balance Sheet'!CR6</f>
        <v>4615752</v>
      </c>
      <c r="CT14" s="149">
        <f>'Balance Sheet'!CS6</f>
        <v>4418721</v>
      </c>
      <c r="CU14" s="149">
        <f>'Balance Sheet'!CT6</f>
        <v>4646251</v>
      </c>
      <c r="CV14" s="149">
        <f>'Balance Sheet'!CU6</f>
        <v>4553797</v>
      </c>
      <c r="CW14" s="89">
        <f>'Balance Sheet'!CR6</f>
        <v>4615752</v>
      </c>
      <c r="CX14" s="149">
        <f>'Balance Sheet'!CW6</f>
        <v>4602606</v>
      </c>
      <c r="CY14" s="149">
        <f>'Balance Sheet'!CX6</f>
        <v>4477983</v>
      </c>
      <c r="CZ14" s="149">
        <f>'Balance Sheet'!CY6</f>
        <v>4835215</v>
      </c>
      <c r="DA14" s="149">
        <f>'Balance Sheet'!CZ6</f>
        <v>5106723</v>
      </c>
      <c r="DB14" s="89">
        <f>'Balance Sheet'!CW6</f>
        <v>4602606</v>
      </c>
      <c r="DC14" s="149">
        <f>'Balance Sheet'!DB6</f>
        <v>5309056</v>
      </c>
      <c r="DD14" s="149">
        <f>'Balance Sheet'!DC6</f>
        <v>5502704</v>
      </c>
      <c r="DE14" s="149">
        <f>'Balance Sheet'!DD6</f>
        <v>6081348</v>
      </c>
      <c r="DF14" s="149">
        <f>'Balance Sheet'!DE6</f>
        <v>7071491</v>
      </c>
      <c r="DG14" s="89">
        <f>'Balance Sheet'!DB6</f>
        <v>5309056</v>
      </c>
      <c r="DH14" s="149">
        <f>'Balance Sheet'!DG6</f>
        <v>7007404</v>
      </c>
      <c r="DI14" s="149">
        <f>'Balance Sheet'!DH6</f>
        <v>7212046</v>
      </c>
      <c r="DJ14" s="149">
        <f>'Balance Sheet'!DI6</f>
        <v>7712294</v>
      </c>
      <c r="DK14" s="149">
        <f ca="1">'Balance Sheet'!DJ6</f>
        <v>8224946.6574087553</v>
      </c>
      <c r="DL14" s="89">
        <f>'Balance Sheet'!DG6</f>
        <v>7007404</v>
      </c>
      <c r="DM14" s="149">
        <f ca="1">'Balance Sheet'!DL6</f>
        <v>7837137.5986922449</v>
      </c>
      <c r="DN14" s="149">
        <f ca="1">'Balance Sheet'!DM6</f>
        <v>8197131.7209733557</v>
      </c>
      <c r="DO14" s="149">
        <f ca="1">'Balance Sheet'!DN6</f>
        <v>8075449.0065243747</v>
      </c>
      <c r="DP14" s="149">
        <f ca="1">'Balance Sheet'!DO6</f>
        <v>6865173.1365756132</v>
      </c>
      <c r="DQ14" s="89">
        <f ca="1">'Balance Sheet'!DL6</f>
        <v>7837137.5986922449</v>
      </c>
      <c r="DR14" s="149">
        <f ca="1">'Balance Sheet'!DQ6</f>
        <v>7668809.7857785029</v>
      </c>
      <c r="DS14" s="149">
        <f ca="1">'Balance Sheet'!DR6</f>
        <v>6380956.9387444919</v>
      </c>
      <c r="DT14" s="149">
        <f ca="1">'Balance Sheet'!DS6</f>
        <v>5430022.5457976414</v>
      </c>
      <c r="DU14" s="149">
        <f ca="1">'Balance Sheet'!DT6</f>
        <v>5417594.0500148116</v>
      </c>
      <c r="DV14" s="89">
        <f ca="1">'Balance Sheet'!DQ6</f>
        <v>7668809.7857785029</v>
      </c>
      <c r="DW14" s="149">
        <f ca="1">'Balance Sheet'!DV6</f>
        <v>7023331.1036767773</v>
      </c>
      <c r="DX14" s="149">
        <f ca="1">'Balance Sheet'!DW6</f>
        <v>6004873.2333696503</v>
      </c>
      <c r="DY14" s="149">
        <f ca="1">'Balance Sheet'!DX6</f>
        <v>4444194.3766004015</v>
      </c>
      <c r="DZ14" s="149">
        <f ca="1">'Balance Sheet'!DY6</f>
        <v>4811267.8767383806</v>
      </c>
      <c r="EA14" s="89">
        <f ca="1">'Balance Sheet'!DV6</f>
        <v>7023331.1036767773</v>
      </c>
      <c r="EB14" s="149">
        <f ca="1">'Balance Sheet'!EA6</f>
        <v>7104522.4639519267</v>
      </c>
      <c r="EC14" s="149">
        <f ca="1">'Balance Sheet'!EB6</f>
        <v>6414010.7028983226</v>
      </c>
      <c r="ED14" s="149">
        <f ca="1">'Balance Sheet'!EC6</f>
        <v>5001552.4183269609</v>
      </c>
      <c r="EE14" s="149">
        <f ca="1">'Balance Sheet'!ED6</f>
        <v>5380808.3110957127</v>
      </c>
      <c r="EF14" s="89">
        <f ca="1">'Balance Sheet'!EA6</f>
        <v>7104522.4639519267</v>
      </c>
    </row>
    <row r="15" spans="1:136" ht="12" customHeight="1">
      <c r="A15" s="66" t="s">
        <v>71</v>
      </c>
      <c r="B15" s="148">
        <f>'Balance Sheet'!B6</f>
        <v>129993</v>
      </c>
      <c r="C15" s="148">
        <f>'Balance Sheet'!C6</f>
        <v>137040</v>
      </c>
      <c r="D15" s="148">
        <f>'Balance Sheet'!D6</f>
        <v>125100</v>
      </c>
      <c r="E15" s="148">
        <f>'Balance Sheet'!E6</f>
        <v>167841</v>
      </c>
      <c r="F15" s="89">
        <f>'Balance Sheet'!F6</f>
        <v>167841</v>
      </c>
      <c r="G15" s="148">
        <f>'Balance Sheet'!G6</f>
        <v>202800.5</v>
      </c>
      <c r="H15" s="148">
        <f>'Balance Sheet'!H6</f>
        <v>237760</v>
      </c>
      <c r="I15" s="148">
        <f>'Balance Sheet'!I6</f>
        <v>555257</v>
      </c>
      <c r="J15" s="148">
        <f>'Balance Sheet'!J6</f>
        <v>520044</v>
      </c>
      <c r="K15" s="89">
        <f>'Balance Sheet'!K6</f>
        <v>520044</v>
      </c>
      <c r="L15" s="148">
        <f>'Balance Sheet'!L6</f>
        <v>429222</v>
      </c>
      <c r="M15" s="148">
        <f>'Balance Sheet'!M6</f>
        <v>299584</v>
      </c>
      <c r="N15" s="148">
        <f>'Balance Sheet'!N6</f>
        <v>828885</v>
      </c>
      <c r="O15" s="148">
        <f>'Balance Sheet'!O6</f>
        <v>560639</v>
      </c>
      <c r="P15" s="143">
        <f>'Balance Sheet'!P6</f>
        <v>560639</v>
      </c>
      <c r="Q15" s="149">
        <f>'Balance Sheet'!Q6</f>
        <v>339470</v>
      </c>
      <c r="R15" s="149">
        <f>'Balance Sheet'!R6</f>
        <v>640186</v>
      </c>
      <c r="S15" s="149">
        <f>'Balance Sheet'!S6</f>
        <v>800740</v>
      </c>
      <c r="T15" s="149">
        <f>'Balance Sheet'!T6</f>
        <v>682859</v>
      </c>
      <c r="U15" s="89">
        <f>'Balance Sheet'!U6</f>
        <v>682859</v>
      </c>
      <c r="V15" s="148">
        <f>'Balance Sheet'!V6</f>
        <v>1064793</v>
      </c>
      <c r="W15" s="148">
        <f>'Balance Sheet'!W6</f>
        <v>969048</v>
      </c>
      <c r="X15" s="148">
        <f>'Balance Sheet'!X6</f>
        <v>818209</v>
      </c>
      <c r="Y15" s="148">
        <f>'Balance Sheet'!Y6</f>
        <v>863633</v>
      </c>
      <c r="Z15" s="143">
        <f>'Balance Sheet'!Z6</f>
        <v>863633</v>
      </c>
      <c r="AA15" s="149">
        <f>'Balance Sheet'!AA6</f>
        <v>725742</v>
      </c>
      <c r="AB15" s="149">
        <f>'Balance Sheet'!AB6</f>
        <v>498361</v>
      </c>
      <c r="AC15" s="149">
        <f>'Balance Sheet'!AC6</f>
        <v>865091</v>
      </c>
      <c r="AD15" s="149">
        <f>'Balance Sheet'!AD6</f>
        <v>1665756</v>
      </c>
      <c r="AE15" s="89">
        <f>'Balance Sheet'!AE6</f>
        <v>1665756</v>
      </c>
      <c r="AF15" s="149">
        <f>'Balance Sheet'!AF6</f>
        <v>1286115</v>
      </c>
      <c r="AG15" s="149">
        <f>'Balance Sheet'!AG6</f>
        <v>997117</v>
      </c>
      <c r="AH15" s="149">
        <f>'Balance Sheet'!AH6</f>
        <v>986209</v>
      </c>
      <c r="AI15" s="149">
        <f>'Balance Sheet'!AI6</f>
        <v>1154595</v>
      </c>
      <c r="AJ15" s="89">
        <f>'Balance Sheet'!AJ6</f>
        <v>1154595</v>
      </c>
      <c r="AK15" s="149">
        <f>'Balance Sheet'!AK6</f>
        <v>1213607</v>
      </c>
      <c r="AL15" s="149">
        <f>'Balance Sheet'!AL6</f>
        <v>1568342</v>
      </c>
      <c r="AM15" s="149">
        <f>'Balance Sheet'!AM6</f>
        <v>1776518</v>
      </c>
      <c r="AN15" s="149">
        <f>AN13+AN14</f>
        <v>1827664</v>
      </c>
      <c r="AO15" s="89">
        <f>'Balance Sheet'!AO6</f>
        <v>1827664</v>
      </c>
      <c r="AP15" s="149">
        <f>AP13+AP14</f>
        <v>1856748</v>
      </c>
      <c r="AQ15" s="149">
        <f>AQ13+AQ14</f>
        <v>1633589</v>
      </c>
      <c r="AR15" s="149">
        <f>AR13+AR14</f>
        <v>1651512</v>
      </c>
      <c r="AS15" s="149">
        <f>AS13+AS14</f>
        <v>1712329</v>
      </c>
      <c r="AT15" s="89">
        <f>'Balance Sheet'!AT6</f>
        <v>1712329</v>
      </c>
      <c r="AU15" s="149">
        <f>AU13+AU14</f>
        <v>1640668</v>
      </c>
      <c r="AV15" s="149">
        <f>AV13+AV14</f>
        <v>1524041</v>
      </c>
      <c r="AW15" s="149">
        <f>AW13+AW14</f>
        <v>1581381</v>
      </c>
      <c r="AX15" s="149">
        <f>AX13+AX14</f>
        <v>1727420</v>
      </c>
      <c r="AY15" s="89">
        <f>'Balance Sheet'!AY6</f>
        <v>1727420</v>
      </c>
      <c r="AZ15" s="149">
        <f>AZ13+AZ14</f>
        <v>2188853</v>
      </c>
      <c r="BA15" s="149">
        <f>BA13+BA14</f>
        <v>1758589</v>
      </c>
      <c r="BB15" s="149">
        <f>BB13+BB14</f>
        <v>1782930</v>
      </c>
      <c r="BC15" s="149">
        <f>BC13+BC14</f>
        <v>1754264</v>
      </c>
      <c r="BD15" s="89">
        <f>'Balance Sheet'!BD6</f>
        <v>1754264</v>
      </c>
      <c r="BE15" s="149">
        <f>BE13+BE14</f>
        <v>2021742</v>
      </c>
      <c r="BF15" s="149">
        <f>BF13+BF14</f>
        <v>2241113</v>
      </c>
      <c r="BG15" s="149">
        <f>BG13+BG14</f>
        <v>2524156</v>
      </c>
      <c r="BH15" s="149">
        <f>BH13+BH14</f>
        <v>2233585</v>
      </c>
      <c r="BI15" s="89">
        <f>'Balance Sheet'!BI6</f>
        <v>2233585</v>
      </c>
      <c r="BJ15" s="149">
        <f>BJ13+BJ14</f>
        <v>2140837</v>
      </c>
      <c r="BK15" s="149">
        <f>BK13+BK14</f>
        <v>1880383</v>
      </c>
      <c r="BL15" s="149">
        <f>BL13+BL14</f>
        <v>1582074</v>
      </c>
      <c r="BM15" s="149">
        <f>BM13+BM14</f>
        <v>1698291</v>
      </c>
      <c r="BN15" s="89">
        <f>'Balance Sheet'!BN6</f>
        <v>1698291</v>
      </c>
      <c r="BO15" s="149">
        <f>BO13+BO14</f>
        <v>1976947</v>
      </c>
      <c r="BP15" s="149">
        <f>BP13+BP14</f>
        <v>1631905</v>
      </c>
      <c r="BQ15" s="149">
        <f>BQ13+BQ14</f>
        <v>1614038</v>
      </c>
      <c r="BR15" s="149">
        <f>BR13+BR14</f>
        <v>1362761</v>
      </c>
      <c r="BS15" s="89">
        <f>'Balance Sheet'!BS6</f>
        <v>1362761</v>
      </c>
      <c r="BT15" s="149">
        <f>BT13+BT14</f>
        <v>1115540</v>
      </c>
      <c r="BU15" s="149">
        <f>BU13+BU14</f>
        <v>1527124</v>
      </c>
      <c r="BV15" s="149">
        <f>BV13+BV14</f>
        <v>2139828</v>
      </c>
      <c r="BW15" s="149">
        <f>BW13+BW14</f>
        <v>1548657</v>
      </c>
      <c r="BX15" s="89">
        <f>'Balance Sheet'!BX6</f>
        <v>1548657</v>
      </c>
      <c r="BY15" s="149">
        <f>BY13+BY14</f>
        <v>1436195</v>
      </c>
      <c r="BZ15" s="149">
        <f>BZ13+BZ14</f>
        <v>1528116</v>
      </c>
      <c r="CA15" s="149">
        <f>CA13+CA14</f>
        <v>1761413</v>
      </c>
      <c r="CB15" s="149">
        <f>CB13+CB14</f>
        <v>1663168</v>
      </c>
      <c r="CC15" s="89">
        <f>'Balance Sheet'!CC6</f>
        <v>1663168</v>
      </c>
      <c r="CD15" s="149">
        <f>CD13+CD14</f>
        <v>1672370</v>
      </c>
      <c r="CE15" s="149">
        <f>CE13+CE14</f>
        <v>1993944</v>
      </c>
      <c r="CF15" s="149">
        <f>CF13+CF14</f>
        <v>2396197</v>
      </c>
      <c r="CG15" s="149">
        <f>CG13+CG14</f>
        <v>2401338</v>
      </c>
      <c r="CH15" s="89">
        <f>'Balance Sheet'!CH6</f>
        <v>2401338</v>
      </c>
      <c r="CI15" s="149">
        <f>CI13+CI14</f>
        <v>2443970</v>
      </c>
      <c r="CJ15" s="149">
        <f>CJ13+CJ14</f>
        <v>2780948</v>
      </c>
      <c r="CK15" s="149">
        <f>CK13+CK14</f>
        <v>2994496</v>
      </c>
      <c r="CL15" s="149">
        <f>CL13+CL14</f>
        <v>3298793</v>
      </c>
      <c r="CM15" s="89">
        <f>'Balance Sheet'!CM6</f>
        <v>3298793</v>
      </c>
      <c r="CN15" s="149">
        <f>CN13+CN14</f>
        <v>3241434</v>
      </c>
      <c r="CO15" s="149">
        <f>CO13+CO14</f>
        <v>3563910</v>
      </c>
      <c r="CP15" s="149">
        <f>CP13+CP14</f>
        <v>3980309</v>
      </c>
      <c r="CQ15" s="149">
        <f>CQ13+CQ14</f>
        <v>4615752</v>
      </c>
      <c r="CR15" s="89">
        <f>'Balance Sheet'!CR6</f>
        <v>4615752</v>
      </c>
      <c r="CS15" s="149">
        <f>CS13+CS14</f>
        <v>4418721</v>
      </c>
      <c r="CT15" s="149">
        <f>CT13+CT14</f>
        <v>4646251</v>
      </c>
      <c r="CU15" s="149">
        <f>CU13+CU14</f>
        <v>4553797</v>
      </c>
      <c r="CV15" s="149">
        <f>CV13+CV14</f>
        <v>4602606</v>
      </c>
      <c r="CW15" s="89">
        <f>'Balance Sheet'!CW6</f>
        <v>4602606</v>
      </c>
      <c r="CX15" s="149">
        <f>CX13+CX14</f>
        <v>4477983</v>
      </c>
      <c r="CY15" s="149">
        <f>CY13+CY14</f>
        <v>4835215</v>
      </c>
      <c r="CZ15" s="149">
        <f>CZ13+CZ14</f>
        <v>5106723</v>
      </c>
      <c r="DA15" s="149">
        <f>DA13+DA14</f>
        <v>5309056</v>
      </c>
      <c r="DB15" s="89">
        <f>'Balance Sheet'!DB6</f>
        <v>5309056</v>
      </c>
      <c r="DC15" s="149">
        <f>DC13+DC14</f>
        <v>5502704</v>
      </c>
      <c r="DD15" s="149">
        <f>DD13+DD14</f>
        <v>6081348</v>
      </c>
      <c r="DE15" s="149">
        <f>DE13+DE14</f>
        <v>7071491</v>
      </c>
      <c r="DF15" s="149">
        <f>DF13+DF14</f>
        <v>7007404</v>
      </c>
      <c r="DG15" s="89">
        <f>'Balance Sheet'!DG6</f>
        <v>7007404</v>
      </c>
      <c r="DH15" s="149">
        <f>DH13+DH14</f>
        <v>7212046</v>
      </c>
      <c r="DI15" s="149">
        <f>DI13+DI14</f>
        <v>7712294</v>
      </c>
      <c r="DJ15" s="149">
        <f ca="1">DJ13+DJ14</f>
        <v>8224946.6574087553</v>
      </c>
      <c r="DK15" s="149">
        <f ca="1">DK13+DK14</f>
        <v>7837137.5986922449</v>
      </c>
      <c r="DL15" s="89">
        <f ca="1">'Balance Sheet'!DL6</f>
        <v>7837137.5986922449</v>
      </c>
      <c r="DM15" s="149">
        <f ca="1">DM13+DM14</f>
        <v>8197131.7209733557</v>
      </c>
      <c r="DN15" s="149">
        <f ca="1">DN13+DN14</f>
        <v>8075449.0065243747</v>
      </c>
      <c r="DO15" s="149">
        <f ca="1">DO13+DO14</f>
        <v>6865173.1365756132</v>
      </c>
      <c r="DP15" s="149">
        <f ca="1">DP13+DP14</f>
        <v>7668809.7857785029</v>
      </c>
      <c r="DQ15" s="89">
        <f ca="1">'Balance Sheet'!DQ6</f>
        <v>7668809.7857785029</v>
      </c>
      <c r="DR15" s="149">
        <f ca="1">DR13+DR14</f>
        <v>6380956.9387444919</v>
      </c>
      <c r="DS15" s="149">
        <f ca="1">DS13+DS14</f>
        <v>5430022.5457976414</v>
      </c>
      <c r="DT15" s="149">
        <f ca="1">DT13+DT14</f>
        <v>5417594.0500148116</v>
      </c>
      <c r="DU15" s="149">
        <f ca="1">DU13+DU14</f>
        <v>7023331.1036767773</v>
      </c>
      <c r="DV15" s="89">
        <f ca="1">'Balance Sheet'!DV6</f>
        <v>7023331.1036767773</v>
      </c>
      <c r="DW15" s="149">
        <f ca="1">DW13+DW14</f>
        <v>6004873.2333696503</v>
      </c>
      <c r="DX15" s="149">
        <f ca="1">DX13+DX14</f>
        <v>4444194.3766004015</v>
      </c>
      <c r="DY15" s="149">
        <f ca="1">DY13+DY14</f>
        <v>4811267.8767383806</v>
      </c>
      <c r="DZ15" s="149">
        <f ca="1">DZ13+DZ14</f>
        <v>7104522.4639519267</v>
      </c>
      <c r="EA15" s="89">
        <f ca="1">'Balance Sheet'!EA6</f>
        <v>7104522.4639519267</v>
      </c>
      <c r="EB15" s="149">
        <f ca="1">EB13+EB14</f>
        <v>6414010.7028983226</v>
      </c>
      <c r="EC15" s="149">
        <f ca="1">EC13+EC14</f>
        <v>5001552.4183269609</v>
      </c>
      <c r="ED15" s="149">
        <f ca="1">ED13+ED14</f>
        <v>5380808.3110957127</v>
      </c>
      <c r="EE15" s="149">
        <f ca="1">EE13+EE14</f>
        <v>7845504.4056437826</v>
      </c>
      <c r="EF15" s="89">
        <f ca="1">'Balance Sheet'!EF6</f>
        <v>7845504.4056437807</v>
      </c>
    </row>
    <row r="16" spans="1:136" s="96" customFormat="1" ht="12" customHeight="1">
      <c r="A16" s="96" t="s">
        <v>152</v>
      </c>
      <c r="B16" s="150" t="e">
        <f t="shared" ref="B16:K16" si="20">B13-B11-B10</f>
        <v>#VALUE!</v>
      </c>
      <c r="C16" s="150">
        <f t="shared" si="20"/>
        <v>20033</v>
      </c>
      <c r="D16" s="150">
        <f t="shared" si="20"/>
        <v>-6099</v>
      </c>
      <c r="E16" s="150">
        <f t="shared" si="20"/>
        <v>-284139</v>
      </c>
      <c r="F16" s="151" t="e">
        <f t="shared" si="20"/>
        <v>#VALUE!</v>
      </c>
      <c r="G16" s="150">
        <f t="shared" si="20"/>
        <v>86464</v>
      </c>
      <c r="H16" s="150">
        <f t="shared" si="20"/>
        <v>-58295</v>
      </c>
      <c r="I16" s="150">
        <f t="shared" si="20"/>
        <v>-60858</v>
      </c>
      <c r="J16" s="150">
        <f t="shared" si="20"/>
        <v>-26872</v>
      </c>
      <c r="K16" s="151">
        <f t="shared" si="20"/>
        <v>-59561</v>
      </c>
      <c r="L16" s="150">
        <f t="shared" ref="L16:BW16" si="21">L13-L11-L10</f>
        <v>-98543</v>
      </c>
      <c r="M16" s="150">
        <f t="shared" si="21"/>
        <v>-187054</v>
      </c>
      <c r="N16" s="150">
        <f t="shared" si="21"/>
        <v>-84117</v>
      </c>
      <c r="O16" s="150">
        <f t="shared" si="21"/>
        <v>-137612</v>
      </c>
      <c r="P16" s="151">
        <f t="shared" si="21"/>
        <v>-507326</v>
      </c>
      <c r="Q16" s="150">
        <f t="shared" si="21"/>
        <v>-358818</v>
      </c>
      <c r="R16" s="150">
        <f>R13-R11-R10</f>
        <v>384306</v>
      </c>
      <c r="S16" s="150">
        <f t="shared" si="21"/>
        <v>-62937</v>
      </c>
      <c r="T16" s="150">
        <f t="shared" si="21"/>
        <v>-224594</v>
      </c>
      <c r="U16" s="151">
        <f t="shared" si="21"/>
        <v>-262043</v>
      </c>
      <c r="V16" s="150">
        <f t="shared" si="21"/>
        <v>-317043</v>
      </c>
      <c r="W16" s="150">
        <f t="shared" si="21"/>
        <v>-284367</v>
      </c>
      <c r="X16" s="150">
        <f t="shared" si="21"/>
        <v>-310496</v>
      </c>
      <c r="Y16" s="150">
        <f t="shared" si="21"/>
        <v>-91349</v>
      </c>
      <c r="Z16" s="151">
        <f t="shared" si="21"/>
        <v>-1003255</v>
      </c>
      <c r="AA16" s="150">
        <f t="shared" si="21"/>
        <v>-83856</v>
      </c>
      <c r="AB16" s="150">
        <f t="shared" si="21"/>
        <v>-381830</v>
      </c>
      <c r="AC16" s="150">
        <f t="shared" si="21"/>
        <v>-89336</v>
      </c>
      <c r="AD16" s="150">
        <f t="shared" si="21"/>
        <v>-232613</v>
      </c>
      <c r="AE16" s="151">
        <f t="shared" si="21"/>
        <v>-787635</v>
      </c>
      <c r="AF16" s="150">
        <f t="shared" si="21"/>
        <v>-332687</v>
      </c>
      <c r="AG16" s="150">
        <f t="shared" si="21"/>
        <v>-245963</v>
      </c>
      <c r="AH16" s="150">
        <f t="shared" si="21"/>
        <v>-267552</v>
      </c>
      <c r="AI16" s="150">
        <f t="shared" si="21"/>
        <v>-395982</v>
      </c>
      <c r="AJ16" s="151">
        <f t="shared" si="21"/>
        <v>-1242184</v>
      </c>
      <c r="AK16" s="150">
        <f t="shared" si="21"/>
        <v>-141581</v>
      </c>
      <c r="AL16" s="150">
        <f t="shared" si="21"/>
        <v>-23110</v>
      </c>
      <c r="AM16" s="150">
        <f t="shared" si="21"/>
        <v>-137287</v>
      </c>
      <c r="AN16" s="150">
        <f t="shared" si="21"/>
        <v>166413</v>
      </c>
      <c r="AO16" s="151">
        <f t="shared" si="21"/>
        <v>-135565</v>
      </c>
      <c r="AP16" s="150">
        <f t="shared" si="21"/>
        <v>65212</v>
      </c>
      <c r="AQ16" s="150">
        <f t="shared" si="21"/>
        <v>24346</v>
      </c>
      <c r="AR16" s="150">
        <f t="shared" si="21"/>
        <v>100224</v>
      </c>
      <c r="AS16" s="150">
        <f t="shared" si="21"/>
        <v>-87723</v>
      </c>
      <c r="AT16" s="151">
        <f t="shared" si="21"/>
        <v>102059</v>
      </c>
      <c r="AU16" s="150">
        <f t="shared" si="21"/>
        <v>-159038</v>
      </c>
      <c r="AV16" s="150">
        <f t="shared" si="21"/>
        <v>328259</v>
      </c>
      <c r="AW16" s="150">
        <f t="shared" si="21"/>
        <v>-97796</v>
      </c>
      <c r="AX16" s="150">
        <f t="shared" si="21"/>
        <v>-93970</v>
      </c>
      <c r="AY16" s="151">
        <f t="shared" si="21"/>
        <v>-22545</v>
      </c>
      <c r="AZ16" s="150">
        <f t="shared" si="21"/>
        <v>207289</v>
      </c>
      <c r="BA16" s="150">
        <f t="shared" si="21"/>
        <v>104427</v>
      </c>
      <c r="BB16" s="150">
        <f t="shared" si="21"/>
        <v>116192</v>
      </c>
      <c r="BC16" s="150">
        <f t="shared" si="21"/>
        <v>422814</v>
      </c>
      <c r="BD16" s="151">
        <f t="shared" si="21"/>
        <v>850722</v>
      </c>
      <c r="BE16" s="150">
        <f t="shared" si="21"/>
        <v>401183</v>
      </c>
      <c r="BF16" s="150">
        <f t="shared" si="21"/>
        <v>380622</v>
      </c>
      <c r="BG16" s="150">
        <f t="shared" si="21"/>
        <v>-57576</v>
      </c>
      <c r="BH16" s="150">
        <f t="shared" si="21"/>
        <v>118208</v>
      </c>
      <c r="BI16" s="151">
        <f t="shared" si="21"/>
        <v>842437</v>
      </c>
      <c r="BJ16" s="150">
        <f t="shared" si="21"/>
        <v>44022</v>
      </c>
      <c r="BK16" s="150">
        <f t="shared" si="21"/>
        <v>40550</v>
      </c>
      <c r="BL16" s="150">
        <f t="shared" si="21"/>
        <v>-214229</v>
      </c>
      <c r="BM16" s="150">
        <f t="shared" si="21"/>
        <v>238598</v>
      </c>
      <c r="BN16" s="151">
        <f t="shared" si="21"/>
        <v>108941</v>
      </c>
      <c r="BO16" s="150">
        <f t="shared" si="21"/>
        <v>110541</v>
      </c>
      <c r="BP16" s="150">
        <f t="shared" si="21"/>
        <v>173868</v>
      </c>
      <c r="BQ16" s="150">
        <f t="shared" si="21"/>
        <v>264481</v>
      </c>
      <c r="BR16" s="150">
        <f t="shared" si="21"/>
        <v>330961</v>
      </c>
      <c r="BS16" s="151">
        <f t="shared" si="21"/>
        <v>879851</v>
      </c>
      <c r="BT16" s="150">
        <f t="shared" si="21"/>
        <v>501265</v>
      </c>
      <c r="BU16" s="150">
        <f t="shared" si="21"/>
        <v>186772</v>
      </c>
      <c r="BV16" s="150">
        <f t="shared" si="21"/>
        <v>188034</v>
      </c>
      <c r="BW16" s="150">
        <f t="shared" si="21"/>
        <v>215586</v>
      </c>
      <c r="BX16" s="151">
        <f t="shared" ref="BX16:CC16" si="22">BX13-BX11-BX10</f>
        <v>1091657</v>
      </c>
      <c r="BY16" s="150">
        <f t="shared" si="22"/>
        <v>180927</v>
      </c>
      <c r="BZ16" s="150">
        <f>BZ13-BZ11-BZ10</f>
        <v>356453</v>
      </c>
      <c r="CA16" s="150">
        <f t="shared" si="22"/>
        <v>-40829</v>
      </c>
      <c r="CB16" s="150">
        <f t="shared" si="22"/>
        <v>262115</v>
      </c>
      <c r="CC16" s="151">
        <f t="shared" si="22"/>
        <v>758666</v>
      </c>
      <c r="CD16" s="150">
        <f t="shared" ref="CD16:DG16" si="23">CD13-CD11-CD10</f>
        <v>71829</v>
      </c>
      <c r="CE16" s="150">
        <f t="shared" si="23"/>
        <v>-62415</v>
      </c>
      <c r="CF16" s="150">
        <f t="shared" si="23"/>
        <v>1070205</v>
      </c>
      <c r="CG16" s="150">
        <f t="shared" si="23"/>
        <v>216522</v>
      </c>
      <c r="CH16" s="151">
        <f t="shared" si="23"/>
        <v>1296141</v>
      </c>
      <c r="CI16" s="150">
        <f t="shared" si="23"/>
        <v>636</v>
      </c>
      <c r="CJ16" s="150">
        <f t="shared" si="23"/>
        <v>145699</v>
      </c>
      <c r="CK16" s="150">
        <f t="shared" si="23"/>
        <v>114265</v>
      </c>
      <c r="CL16" s="150">
        <f t="shared" si="23"/>
        <v>-34435</v>
      </c>
      <c r="CM16" s="151">
        <f t="shared" si="23"/>
        <v>226165</v>
      </c>
      <c r="CN16" s="150">
        <f t="shared" si="23"/>
        <v>-146920</v>
      </c>
      <c r="CO16" s="150">
        <f t="shared" si="23"/>
        <v>98196</v>
      </c>
      <c r="CP16" s="150">
        <f t="shared" si="23"/>
        <v>435914</v>
      </c>
      <c r="CQ16" s="150">
        <f t="shared" si="23"/>
        <v>-492485</v>
      </c>
      <c r="CR16" s="151">
        <f t="shared" si="23"/>
        <v>-105295</v>
      </c>
      <c r="CS16" s="150">
        <f t="shared" si="23"/>
        <v>-62835</v>
      </c>
      <c r="CT16" s="150">
        <f t="shared" si="23"/>
        <v>-10270</v>
      </c>
      <c r="CU16" s="150">
        <f t="shared" si="23"/>
        <v>86387</v>
      </c>
      <c r="CV16" s="150">
        <f t="shared" si="23"/>
        <v>-144469</v>
      </c>
      <c r="CW16" s="151">
        <f t="shared" si="23"/>
        <v>-131187</v>
      </c>
      <c r="CX16" s="150">
        <f t="shared" si="23"/>
        <v>158788</v>
      </c>
      <c r="CY16" s="150">
        <f t="shared" si="23"/>
        <v>-254384</v>
      </c>
      <c r="CZ16" s="150">
        <f t="shared" si="23"/>
        <v>-131599</v>
      </c>
      <c r="DA16" s="150">
        <f t="shared" si="23"/>
        <v>-131223</v>
      </c>
      <c r="DB16" s="151">
        <f t="shared" si="23"/>
        <v>-358418</v>
      </c>
      <c r="DC16" s="150">
        <f t="shared" si="23"/>
        <v>-40372</v>
      </c>
      <c r="DD16" s="150">
        <f t="shared" si="23"/>
        <v>-431373</v>
      </c>
      <c r="DE16" s="150">
        <f t="shared" si="23"/>
        <v>398494</v>
      </c>
      <c r="DF16" s="150">
        <f t="shared" si="23"/>
        <v>-132296</v>
      </c>
      <c r="DG16" s="151">
        <f t="shared" si="23"/>
        <v>-205547</v>
      </c>
      <c r="DH16" s="150">
        <f t="shared" ref="DH16:EF16" si="24">DH13-DH11-DH10</f>
        <v>6604</v>
      </c>
      <c r="DI16" s="150">
        <f t="shared" si="24"/>
        <v>324364</v>
      </c>
      <c r="DJ16" s="150">
        <f t="shared" ca="1" si="24"/>
        <v>527532.45488195273</v>
      </c>
      <c r="DK16" s="150">
        <f t="shared" ca="1" si="24"/>
        <v>61597.716471626831</v>
      </c>
      <c r="DL16" s="151">
        <f t="shared" ca="1" si="24"/>
        <v>920098.1713535795</v>
      </c>
      <c r="DM16" s="150">
        <f t="shared" ca="1" si="24"/>
        <v>-134343.58187424421</v>
      </c>
      <c r="DN16" s="150">
        <f t="shared" ca="1" si="24"/>
        <v>-173638.28740246268</v>
      </c>
      <c r="DO16" s="150">
        <f t="shared" ca="1" si="24"/>
        <v>-333224.32020318334</v>
      </c>
      <c r="DP16" s="150">
        <f t="shared" ca="1" si="24"/>
        <v>-206348.55946585245</v>
      </c>
      <c r="DQ16" s="151">
        <f t="shared" ca="1" si="24"/>
        <v>-847554.74894574308</v>
      </c>
      <c r="DR16" s="150">
        <f t="shared" ca="1" si="24"/>
        <v>-55140.71702130721</v>
      </c>
      <c r="DS16" s="150">
        <f t="shared" ca="1" si="24"/>
        <v>-49709.414405161398</v>
      </c>
      <c r="DT16" s="150">
        <f t="shared" ca="1" si="24"/>
        <v>-62279.114429730282</v>
      </c>
      <c r="DU16" s="150">
        <f t="shared" ca="1" si="24"/>
        <v>-239177.80092146085</v>
      </c>
      <c r="DV16" s="151">
        <f t="shared" ca="1" si="24"/>
        <v>-406307.04677765968</v>
      </c>
      <c r="DW16" s="150">
        <f t="shared" ca="1" si="24"/>
        <v>356202.01519448613</v>
      </c>
      <c r="DX16" s="150">
        <f t="shared" ca="1" si="24"/>
        <v>184923.52858361439</v>
      </c>
      <c r="DY16" s="150">
        <f t="shared" ca="1" si="24"/>
        <v>344927.3440799744</v>
      </c>
      <c r="DZ16" s="150">
        <f t="shared" ca="1" si="24"/>
        <v>375096.3357653725</v>
      </c>
      <c r="EA16" s="151">
        <f t="shared" ca="1" si="24"/>
        <v>1261149.2236234471</v>
      </c>
      <c r="EB16" s="150">
        <f t="shared" ca="1" si="24"/>
        <v>802611.84361766884</v>
      </c>
      <c r="EC16" s="150">
        <f t="shared" ca="1" si="24"/>
        <v>463167.94176295004</v>
      </c>
      <c r="ED16" s="150">
        <f t="shared" ca="1" si="24"/>
        <v>352838.50801204977</v>
      </c>
      <c r="EE16" s="150">
        <f t="shared" ca="1" si="24"/>
        <v>457421.47778729349</v>
      </c>
      <c r="EF16" s="151">
        <f t="shared" ca="1" si="24"/>
        <v>2076039.771179962</v>
      </c>
    </row>
    <row r="17" spans="1:136" s="152" customFormat="1" ht="12" customHeight="1" thickBot="1">
      <c r="A17" s="152" t="s">
        <v>153</v>
      </c>
      <c r="B17" s="153" t="e">
        <f t="shared" ref="B17:K17" si="25">B13-B11</f>
        <v>#VALUE!</v>
      </c>
      <c r="C17" s="153">
        <f t="shared" si="25"/>
        <v>27535</v>
      </c>
      <c r="D17" s="153">
        <f t="shared" si="25"/>
        <v>4526</v>
      </c>
      <c r="E17" s="153">
        <f t="shared" si="25"/>
        <v>-123568</v>
      </c>
      <c r="F17" s="154" t="e">
        <f t="shared" si="25"/>
        <v>#VALUE!</v>
      </c>
      <c r="G17" s="153">
        <f t="shared" si="25"/>
        <v>376421</v>
      </c>
      <c r="H17" s="153">
        <f t="shared" si="25"/>
        <v>-317609</v>
      </c>
      <c r="I17" s="153">
        <f t="shared" si="25"/>
        <v>-170100</v>
      </c>
      <c r="J17" s="153">
        <f t="shared" si="25"/>
        <v>-18397</v>
      </c>
      <c r="K17" s="154">
        <f t="shared" si="25"/>
        <v>-129685</v>
      </c>
      <c r="L17" s="153">
        <f t="shared" ref="L17:BW17" si="26">L13-L11</f>
        <v>-101547</v>
      </c>
      <c r="M17" s="153">
        <f t="shared" si="26"/>
        <v>-154823</v>
      </c>
      <c r="N17" s="153">
        <f t="shared" si="26"/>
        <v>-195937</v>
      </c>
      <c r="O17" s="153">
        <f t="shared" si="26"/>
        <v>-219614</v>
      </c>
      <c r="P17" s="154">
        <f t="shared" si="26"/>
        <v>-671921</v>
      </c>
      <c r="Q17" s="153">
        <f t="shared" si="26"/>
        <v>-271689</v>
      </c>
      <c r="R17" s="153">
        <f t="shared" si="26"/>
        <v>589778</v>
      </c>
      <c r="S17" s="153">
        <f t="shared" si="26"/>
        <v>189512</v>
      </c>
      <c r="T17" s="153">
        <f t="shared" si="26"/>
        <v>-175757</v>
      </c>
      <c r="U17" s="154">
        <f t="shared" si="26"/>
        <v>331844</v>
      </c>
      <c r="V17" s="153">
        <f t="shared" si="26"/>
        <v>343702</v>
      </c>
      <c r="W17" s="153">
        <f t="shared" si="26"/>
        <v>-138699</v>
      </c>
      <c r="X17" s="153">
        <f t="shared" si="26"/>
        <v>-156283</v>
      </c>
      <c r="Y17" s="153">
        <f t="shared" si="26"/>
        <v>218223</v>
      </c>
      <c r="Z17" s="154">
        <f t="shared" si="26"/>
        <v>266943</v>
      </c>
      <c r="AA17" s="153">
        <f t="shared" si="26"/>
        <v>-4144</v>
      </c>
      <c r="AB17" s="153">
        <f t="shared" si="26"/>
        <v>-227324</v>
      </c>
      <c r="AC17" s="153">
        <f t="shared" si="26"/>
        <v>340048</v>
      </c>
      <c r="AD17" s="153">
        <f t="shared" si="26"/>
        <v>-405764</v>
      </c>
      <c r="AE17" s="154">
        <f t="shared" si="26"/>
        <v>-297184</v>
      </c>
      <c r="AF17" s="153">
        <f t="shared" si="26"/>
        <v>-394337</v>
      </c>
      <c r="AG17" s="153">
        <f t="shared" si="26"/>
        <v>-105536</v>
      </c>
      <c r="AH17" s="153">
        <f t="shared" si="26"/>
        <v>-58644</v>
      </c>
      <c r="AI17" s="153">
        <f>AI13-AI11</f>
        <v>127744</v>
      </c>
      <c r="AJ17" s="154">
        <f t="shared" si="26"/>
        <v>-430773</v>
      </c>
      <c r="AK17" s="153">
        <f t="shared" si="26"/>
        <v>41320</v>
      </c>
      <c r="AL17" s="153">
        <f t="shared" si="26"/>
        <v>522005</v>
      </c>
      <c r="AM17" s="153">
        <f t="shared" si="26"/>
        <v>339551</v>
      </c>
      <c r="AN17" s="153">
        <f t="shared" si="26"/>
        <v>51779</v>
      </c>
      <c r="AO17" s="154">
        <f t="shared" si="26"/>
        <v>954655</v>
      </c>
      <c r="AP17" s="153">
        <f t="shared" si="26"/>
        <v>163825</v>
      </c>
      <c r="AQ17" s="153">
        <f t="shared" si="26"/>
        <v>-226424</v>
      </c>
      <c r="AR17" s="153">
        <f t="shared" si="26"/>
        <v>-20269</v>
      </c>
      <c r="AS17" s="153">
        <f t="shared" si="26"/>
        <v>-116818</v>
      </c>
      <c r="AT17" s="154">
        <f t="shared" si="26"/>
        <v>-199686</v>
      </c>
      <c r="AU17" s="153">
        <f t="shared" si="26"/>
        <v>-466733</v>
      </c>
      <c r="AV17" s="153">
        <f t="shared" si="26"/>
        <v>306036</v>
      </c>
      <c r="AW17" s="153">
        <f t="shared" si="26"/>
        <v>23227</v>
      </c>
      <c r="AX17" s="153">
        <f t="shared" si="26"/>
        <v>286099</v>
      </c>
      <c r="AY17" s="154">
        <f t="shared" si="26"/>
        <v>148629</v>
      </c>
      <c r="AZ17" s="153">
        <f t="shared" si="26"/>
        <v>606777</v>
      </c>
      <c r="BA17" s="153">
        <f t="shared" si="26"/>
        <v>-198864</v>
      </c>
      <c r="BB17" s="153">
        <f t="shared" si="26"/>
        <v>79898</v>
      </c>
      <c r="BC17" s="153">
        <f t="shared" si="26"/>
        <v>40277</v>
      </c>
      <c r="BD17" s="154">
        <f t="shared" si="26"/>
        <v>528088</v>
      </c>
      <c r="BE17" s="153">
        <f t="shared" si="26"/>
        <v>319260</v>
      </c>
      <c r="BF17" s="153">
        <f t="shared" si="26"/>
        <v>494960</v>
      </c>
      <c r="BG17" s="153">
        <f t="shared" si="26"/>
        <v>27813</v>
      </c>
      <c r="BH17" s="153">
        <f t="shared" si="26"/>
        <v>-175327</v>
      </c>
      <c r="BI17" s="154">
        <f t="shared" si="26"/>
        <v>666706</v>
      </c>
      <c r="BJ17" s="153">
        <f t="shared" si="26"/>
        <v>-86694</v>
      </c>
      <c r="BK17" s="153">
        <f t="shared" si="26"/>
        <v>-134686</v>
      </c>
      <c r="BL17" s="153">
        <f t="shared" si="26"/>
        <v>-280699</v>
      </c>
      <c r="BM17" s="153">
        <f t="shared" si="26"/>
        <v>100993</v>
      </c>
      <c r="BN17" s="154">
        <f t="shared" si="26"/>
        <v>-401086</v>
      </c>
      <c r="BO17" s="153">
        <f t="shared" si="26"/>
        <v>269788</v>
      </c>
      <c r="BP17" s="153">
        <f t="shared" si="26"/>
        <v>14610</v>
      </c>
      <c r="BQ17" s="153">
        <f t="shared" si="26"/>
        <v>-29508</v>
      </c>
      <c r="BR17" s="153">
        <f t="shared" si="26"/>
        <v>-248234</v>
      </c>
      <c r="BS17" s="154">
        <f t="shared" si="26"/>
        <v>6656</v>
      </c>
      <c r="BT17" s="153">
        <f t="shared" si="26"/>
        <v>31850</v>
      </c>
      <c r="BU17" s="153">
        <f t="shared" si="26"/>
        <v>436689</v>
      </c>
      <c r="BV17" s="153">
        <f t="shared" si="26"/>
        <v>824907</v>
      </c>
      <c r="BW17" s="153">
        <f t="shared" si="26"/>
        <v>-364226</v>
      </c>
      <c r="BX17" s="154">
        <f t="shared" ref="BX17:CC17" si="27">BX13-BX11</f>
        <v>929220</v>
      </c>
      <c r="BY17" s="153">
        <f t="shared" si="27"/>
        <v>-94230</v>
      </c>
      <c r="BZ17" s="153">
        <f t="shared" si="27"/>
        <v>255395</v>
      </c>
      <c r="CA17" s="153">
        <f t="shared" si="27"/>
        <v>375490</v>
      </c>
      <c r="CB17" s="153">
        <f t="shared" si="27"/>
        <v>356067</v>
      </c>
      <c r="CC17" s="154">
        <f t="shared" si="27"/>
        <v>892722</v>
      </c>
      <c r="CD17" s="153">
        <f t="shared" ref="CD17:DG17" si="28">CD13-CD11</f>
        <v>1880</v>
      </c>
      <c r="CE17" s="153">
        <f t="shared" si="28"/>
        <v>298309</v>
      </c>
      <c r="CF17" s="153">
        <f t="shared" si="28"/>
        <v>560653</v>
      </c>
      <c r="CG17" s="153">
        <f t="shared" si="28"/>
        <v>598339</v>
      </c>
      <c r="CH17" s="154">
        <f t="shared" si="28"/>
        <v>1459181</v>
      </c>
      <c r="CI17" s="153">
        <f t="shared" si="28"/>
        <v>30497</v>
      </c>
      <c r="CJ17" s="153">
        <f t="shared" si="28"/>
        <v>730024</v>
      </c>
      <c r="CK17" s="153">
        <f t="shared" si="28"/>
        <v>139598</v>
      </c>
      <c r="CL17" s="153">
        <f t="shared" si="28"/>
        <v>107297</v>
      </c>
      <c r="CM17" s="154">
        <f t="shared" si="28"/>
        <v>1007416</v>
      </c>
      <c r="CN17" s="153">
        <f t="shared" si="28"/>
        <v>-79195</v>
      </c>
      <c r="CO17" s="153">
        <f t="shared" si="28"/>
        <v>384297</v>
      </c>
      <c r="CP17" s="153">
        <f t="shared" si="28"/>
        <v>1014336</v>
      </c>
      <c r="CQ17" s="153">
        <f t="shared" si="28"/>
        <v>-65972</v>
      </c>
      <c r="CR17" s="154">
        <f t="shared" si="28"/>
        <v>1253466</v>
      </c>
      <c r="CS17" s="153">
        <f t="shared" si="28"/>
        <v>-205012</v>
      </c>
      <c r="CT17" s="153">
        <f t="shared" si="28"/>
        <v>134115</v>
      </c>
      <c r="CU17" s="153">
        <f t="shared" si="28"/>
        <v>54735</v>
      </c>
      <c r="CV17" s="153">
        <f t="shared" si="28"/>
        <v>112991</v>
      </c>
      <c r="CW17" s="154">
        <f t="shared" si="28"/>
        <v>96829</v>
      </c>
      <c r="CX17" s="153">
        <f t="shared" si="28"/>
        <v>102578</v>
      </c>
      <c r="CY17" s="153">
        <f t="shared" si="28"/>
        <v>75241</v>
      </c>
      <c r="CZ17" s="153">
        <f t="shared" si="28"/>
        <v>127022</v>
      </c>
      <c r="DA17" s="153">
        <f t="shared" si="28"/>
        <v>433266</v>
      </c>
      <c r="DB17" s="154">
        <f t="shared" si="28"/>
        <v>738107</v>
      </c>
      <c r="DC17" s="153">
        <f t="shared" si="28"/>
        <v>53068</v>
      </c>
      <c r="DD17" s="153">
        <f t="shared" si="28"/>
        <v>509069</v>
      </c>
      <c r="DE17" s="153">
        <f t="shared" si="28"/>
        <v>985177</v>
      </c>
      <c r="DF17" s="153">
        <f t="shared" si="28"/>
        <v>1031917</v>
      </c>
      <c r="DG17" s="154">
        <f t="shared" si="28"/>
        <v>2579231</v>
      </c>
      <c r="DH17" s="153">
        <f t="shared" ref="DH17:EF17" si="29">DH13-DH11</f>
        <v>40203</v>
      </c>
      <c r="DI17" s="153">
        <f t="shared" si="29"/>
        <v>428317</v>
      </c>
      <c r="DJ17" s="153">
        <f t="shared" ca="1" si="29"/>
        <v>527532.45488195273</v>
      </c>
      <c r="DK17" s="153">
        <f t="shared" ca="1" si="29"/>
        <v>61597.716471626831</v>
      </c>
      <c r="DL17" s="154">
        <f t="shared" ca="1" si="29"/>
        <v>1057650.1713535795</v>
      </c>
      <c r="DM17" s="153">
        <f t="shared" ca="1" si="29"/>
        <v>365656.41812575579</v>
      </c>
      <c r="DN17" s="153">
        <f t="shared" ca="1" si="29"/>
        <v>-173638.28740246268</v>
      </c>
      <c r="DO17" s="153">
        <f t="shared" ca="1" si="29"/>
        <v>-333224.32020318334</v>
      </c>
      <c r="DP17" s="153">
        <f t="shared" ca="1" si="29"/>
        <v>-206348.55946585245</v>
      </c>
      <c r="DQ17" s="154">
        <f t="shared" ca="1" si="29"/>
        <v>-347554.74894574308</v>
      </c>
      <c r="DR17" s="153">
        <f t="shared" ca="1" si="29"/>
        <v>444859.28297869279</v>
      </c>
      <c r="DS17" s="153">
        <f t="shared" ca="1" si="29"/>
        <v>-49709.414405161398</v>
      </c>
      <c r="DT17" s="153">
        <f t="shared" ca="1" si="29"/>
        <v>-62279.114429730282</v>
      </c>
      <c r="DU17" s="153">
        <f t="shared" ca="1" si="29"/>
        <v>-239177.80092146085</v>
      </c>
      <c r="DV17" s="154">
        <f t="shared" ca="1" si="29"/>
        <v>93692.953222340322</v>
      </c>
      <c r="DW17" s="153">
        <f t="shared" ca="1" si="29"/>
        <v>856202.01519448613</v>
      </c>
      <c r="DX17" s="153">
        <f t="shared" ca="1" si="29"/>
        <v>184923.52858361439</v>
      </c>
      <c r="DY17" s="153">
        <f t="shared" ca="1" si="29"/>
        <v>344927.3440799744</v>
      </c>
      <c r="DZ17" s="153">
        <f t="shared" ca="1" si="29"/>
        <v>375096.3357653725</v>
      </c>
      <c r="EA17" s="154">
        <f t="shared" ca="1" si="29"/>
        <v>1761149.2236234471</v>
      </c>
      <c r="EB17" s="153">
        <f t="shared" ca="1" si="29"/>
        <v>1302611.8436176688</v>
      </c>
      <c r="EC17" s="153">
        <f t="shared" ca="1" si="29"/>
        <v>463167.94176295004</v>
      </c>
      <c r="ED17" s="153">
        <f t="shared" ca="1" si="29"/>
        <v>352838.50801204977</v>
      </c>
      <c r="EE17" s="153">
        <f t="shared" ca="1" si="29"/>
        <v>457421.47778729349</v>
      </c>
      <c r="EF17" s="154">
        <f t="shared" ca="1" si="29"/>
        <v>2576039.771179962</v>
      </c>
    </row>
    <row r="18" spans="1:136" ht="12" customHeight="1">
      <c r="B18" s="148" t="e">
        <f t="shared" ref="B18:K18" si="30">B13+B14</f>
        <v>#VALUE!</v>
      </c>
      <c r="C18" s="148">
        <f t="shared" si="30"/>
        <v>137040</v>
      </c>
      <c r="D18" s="148">
        <f t="shared" si="30"/>
        <v>125100</v>
      </c>
      <c r="E18" s="148">
        <f t="shared" si="30"/>
        <v>167841</v>
      </c>
      <c r="F18" s="130" t="e">
        <f t="shared" si="30"/>
        <v>#VALUE!</v>
      </c>
      <c r="G18" s="148">
        <f t="shared" si="30"/>
        <v>573366.5</v>
      </c>
      <c r="H18" s="148">
        <f t="shared" si="30"/>
        <v>-132806</v>
      </c>
      <c r="I18" s="148">
        <f t="shared" si="30"/>
        <v>555257</v>
      </c>
      <c r="J18" s="148">
        <f t="shared" si="30"/>
        <v>520044</v>
      </c>
      <c r="K18" s="130">
        <f t="shared" si="30"/>
        <v>520044</v>
      </c>
      <c r="L18" s="148">
        <f t="shared" ref="L18:BW18" si="31">L13+L14</f>
        <v>429222</v>
      </c>
      <c r="M18" s="148">
        <f t="shared" si="31"/>
        <v>299584</v>
      </c>
      <c r="N18" s="148">
        <f t="shared" si="31"/>
        <v>829885</v>
      </c>
      <c r="O18" s="148">
        <f t="shared" si="31"/>
        <v>559639</v>
      </c>
      <c r="P18" s="130">
        <f t="shared" si="31"/>
        <v>560639</v>
      </c>
      <c r="Q18" s="148">
        <f t="shared" si="31"/>
        <v>339470</v>
      </c>
      <c r="R18" s="148">
        <f t="shared" si="31"/>
        <v>640186</v>
      </c>
      <c r="S18" s="148">
        <f t="shared" si="31"/>
        <v>800840</v>
      </c>
      <c r="T18" s="148">
        <f t="shared" si="31"/>
        <v>682759</v>
      </c>
      <c r="U18" s="130">
        <f t="shared" si="31"/>
        <v>682859</v>
      </c>
      <c r="V18" s="148">
        <f t="shared" si="31"/>
        <v>1065793</v>
      </c>
      <c r="W18" s="148">
        <f t="shared" si="31"/>
        <v>968048</v>
      </c>
      <c r="X18" s="148">
        <f t="shared" si="31"/>
        <v>818209</v>
      </c>
      <c r="Y18" s="148">
        <f t="shared" si="31"/>
        <v>863633</v>
      </c>
      <c r="Z18" s="130">
        <f t="shared" si="31"/>
        <v>863633</v>
      </c>
      <c r="AA18" s="148">
        <f t="shared" si="31"/>
        <v>725742</v>
      </c>
      <c r="AB18" s="148">
        <f t="shared" si="31"/>
        <v>498361</v>
      </c>
      <c r="AC18" s="148">
        <f t="shared" si="31"/>
        <v>865091</v>
      </c>
      <c r="AD18" s="148">
        <f t="shared" si="31"/>
        <v>1665756</v>
      </c>
      <c r="AE18" s="130">
        <f t="shared" si="31"/>
        <v>1665756</v>
      </c>
      <c r="AF18" s="148">
        <f t="shared" si="31"/>
        <v>1286115</v>
      </c>
      <c r="AG18" s="148">
        <f t="shared" si="31"/>
        <v>997117</v>
      </c>
      <c r="AH18" s="148">
        <f t="shared" si="31"/>
        <v>986209</v>
      </c>
      <c r="AI18" s="148">
        <f>AI13+AI14</f>
        <v>1154595</v>
      </c>
      <c r="AJ18" s="130">
        <f t="shared" si="31"/>
        <v>1154595</v>
      </c>
      <c r="AK18" s="148">
        <f t="shared" si="31"/>
        <v>1213607</v>
      </c>
      <c r="AL18" s="148">
        <f t="shared" si="31"/>
        <v>1568342</v>
      </c>
      <c r="AM18" s="148">
        <f t="shared" si="31"/>
        <v>1776518</v>
      </c>
      <c r="AN18" s="148">
        <f t="shared" si="31"/>
        <v>1827664</v>
      </c>
      <c r="AO18" s="130">
        <f t="shared" si="31"/>
        <v>1827664</v>
      </c>
      <c r="AP18" s="148">
        <f t="shared" si="31"/>
        <v>1856748</v>
      </c>
      <c r="AQ18" s="148">
        <f t="shared" si="31"/>
        <v>1633589</v>
      </c>
      <c r="AR18" s="148">
        <f t="shared" si="31"/>
        <v>1651512</v>
      </c>
      <c r="AS18" s="148">
        <f t="shared" si="31"/>
        <v>1712329</v>
      </c>
      <c r="AT18" s="130">
        <f t="shared" si="31"/>
        <v>1712329</v>
      </c>
      <c r="AU18" s="148">
        <f t="shared" si="31"/>
        <v>1640668</v>
      </c>
      <c r="AV18" s="148">
        <f t="shared" si="31"/>
        <v>1524041</v>
      </c>
      <c r="AW18" s="148">
        <f t="shared" si="31"/>
        <v>1581381</v>
      </c>
      <c r="AX18" s="148">
        <f t="shared" si="31"/>
        <v>1727420</v>
      </c>
      <c r="AY18" s="130">
        <f t="shared" si="31"/>
        <v>1727420</v>
      </c>
      <c r="AZ18" s="148">
        <f t="shared" si="31"/>
        <v>2188853</v>
      </c>
      <c r="BA18" s="148">
        <f t="shared" si="31"/>
        <v>1758589</v>
      </c>
      <c r="BB18" s="148">
        <f t="shared" si="31"/>
        <v>1782930</v>
      </c>
      <c r="BC18" s="148">
        <f t="shared" si="31"/>
        <v>1754264</v>
      </c>
      <c r="BD18" s="130">
        <f t="shared" si="31"/>
        <v>1754264</v>
      </c>
      <c r="BE18" s="148">
        <f t="shared" si="31"/>
        <v>2021742</v>
      </c>
      <c r="BF18" s="148">
        <f t="shared" si="31"/>
        <v>2241113</v>
      </c>
      <c r="BG18" s="148">
        <f t="shared" si="31"/>
        <v>2524156</v>
      </c>
      <c r="BH18" s="148">
        <f t="shared" si="31"/>
        <v>2233585</v>
      </c>
      <c r="BI18" s="130">
        <f t="shared" si="31"/>
        <v>2233585</v>
      </c>
      <c r="BJ18" s="148">
        <f t="shared" si="31"/>
        <v>2140837</v>
      </c>
      <c r="BK18" s="148">
        <f t="shared" si="31"/>
        <v>1880383</v>
      </c>
      <c r="BL18" s="148">
        <f t="shared" si="31"/>
        <v>1582074</v>
      </c>
      <c r="BM18" s="148">
        <f t="shared" si="31"/>
        <v>1698291</v>
      </c>
      <c r="BN18" s="130">
        <f t="shared" si="31"/>
        <v>1698291</v>
      </c>
      <c r="BO18" s="148">
        <f t="shared" si="31"/>
        <v>1976947</v>
      </c>
      <c r="BP18" s="148">
        <f t="shared" si="31"/>
        <v>1631905</v>
      </c>
      <c r="BQ18" s="148">
        <f t="shared" si="31"/>
        <v>1614038</v>
      </c>
      <c r="BR18" s="148">
        <f t="shared" si="31"/>
        <v>1362761</v>
      </c>
      <c r="BS18" s="130">
        <f t="shared" si="31"/>
        <v>1362761</v>
      </c>
      <c r="BT18" s="148">
        <f t="shared" si="31"/>
        <v>1115540</v>
      </c>
      <c r="BU18" s="148">
        <f t="shared" si="31"/>
        <v>1527124</v>
      </c>
      <c r="BV18" s="148">
        <f t="shared" si="31"/>
        <v>2139828</v>
      </c>
      <c r="BW18" s="148">
        <f t="shared" si="31"/>
        <v>1548657</v>
      </c>
      <c r="BX18" s="130">
        <f t="shared" ref="BX18:CC18" si="32">BX13+BX14</f>
        <v>1548657</v>
      </c>
      <c r="BY18" s="148">
        <f t="shared" si="32"/>
        <v>1436195</v>
      </c>
      <c r="BZ18" s="148">
        <f t="shared" si="32"/>
        <v>1528116</v>
      </c>
      <c r="CA18" s="148">
        <f t="shared" si="32"/>
        <v>1761413</v>
      </c>
      <c r="CB18" s="148">
        <f t="shared" si="32"/>
        <v>1663168</v>
      </c>
      <c r="CC18" s="130">
        <f t="shared" si="32"/>
        <v>1663168</v>
      </c>
      <c r="CD18" s="148">
        <f t="shared" ref="CD18:DG18" si="33">CD13+CD14</f>
        <v>1672370</v>
      </c>
      <c r="CE18" s="148">
        <f t="shared" si="33"/>
        <v>1993944</v>
      </c>
      <c r="CF18" s="148">
        <f t="shared" si="33"/>
        <v>2396197</v>
      </c>
      <c r="CG18" s="148">
        <f t="shared" si="33"/>
        <v>2401338</v>
      </c>
      <c r="CH18" s="130">
        <f t="shared" si="33"/>
        <v>2401338</v>
      </c>
      <c r="CI18" s="148">
        <f t="shared" si="33"/>
        <v>2443970</v>
      </c>
      <c r="CJ18" s="148">
        <f t="shared" si="33"/>
        <v>2780948</v>
      </c>
      <c r="CK18" s="148">
        <f t="shared" si="33"/>
        <v>2994496</v>
      </c>
      <c r="CL18" s="148">
        <f t="shared" si="33"/>
        <v>3298793</v>
      </c>
      <c r="CM18" s="130">
        <f t="shared" si="33"/>
        <v>3298793</v>
      </c>
      <c r="CN18" s="148">
        <f t="shared" si="33"/>
        <v>3241434</v>
      </c>
      <c r="CO18" s="148">
        <f t="shared" si="33"/>
        <v>3563910</v>
      </c>
      <c r="CP18" s="148">
        <f t="shared" si="33"/>
        <v>3980309</v>
      </c>
      <c r="CQ18" s="148">
        <f t="shared" si="33"/>
        <v>4615752</v>
      </c>
      <c r="CR18" s="130">
        <f t="shared" si="33"/>
        <v>4615752</v>
      </c>
      <c r="CS18" s="148">
        <f t="shared" si="33"/>
        <v>4418721</v>
      </c>
      <c r="CT18" s="148">
        <f t="shared" si="33"/>
        <v>4646251</v>
      </c>
      <c r="CU18" s="148">
        <f t="shared" si="33"/>
        <v>4553797</v>
      </c>
      <c r="CV18" s="148">
        <f t="shared" si="33"/>
        <v>4602606</v>
      </c>
      <c r="CW18" s="130">
        <f t="shared" si="33"/>
        <v>4602606</v>
      </c>
      <c r="CX18" s="148">
        <f t="shared" si="33"/>
        <v>4477983</v>
      </c>
      <c r="CY18" s="148">
        <f t="shared" si="33"/>
        <v>4835215</v>
      </c>
      <c r="CZ18" s="148">
        <f t="shared" si="33"/>
        <v>5106723</v>
      </c>
      <c r="DA18" s="148">
        <f t="shared" si="33"/>
        <v>5309056</v>
      </c>
      <c r="DB18" s="130">
        <f t="shared" si="33"/>
        <v>5309056</v>
      </c>
      <c r="DC18" s="148">
        <f t="shared" si="33"/>
        <v>5502704</v>
      </c>
      <c r="DD18" s="148">
        <f t="shared" si="33"/>
        <v>6081348</v>
      </c>
      <c r="DE18" s="148">
        <f t="shared" si="33"/>
        <v>7071491</v>
      </c>
      <c r="DF18" s="148">
        <f t="shared" si="33"/>
        <v>7007404</v>
      </c>
      <c r="DG18" s="130">
        <f t="shared" si="33"/>
        <v>7007404</v>
      </c>
      <c r="DH18" s="148">
        <f t="shared" ref="DH18:EF18" si="34">DH13+DH14</f>
        <v>7212046</v>
      </c>
      <c r="DI18" s="148">
        <f t="shared" si="34"/>
        <v>7712294</v>
      </c>
      <c r="DJ18" s="148">
        <f t="shared" ca="1" si="34"/>
        <v>8224946.6574087553</v>
      </c>
      <c r="DK18" s="148">
        <f t="shared" ca="1" si="34"/>
        <v>7837137.5986922449</v>
      </c>
      <c r="DL18" s="130">
        <f t="shared" ca="1" si="34"/>
        <v>7837137.5986922458</v>
      </c>
      <c r="DM18" s="148">
        <f t="shared" ca="1" si="34"/>
        <v>8197131.7209733557</v>
      </c>
      <c r="DN18" s="148">
        <f t="shared" ca="1" si="34"/>
        <v>8075449.0065243747</v>
      </c>
      <c r="DO18" s="148">
        <f t="shared" ca="1" si="34"/>
        <v>6865173.1365756132</v>
      </c>
      <c r="DP18" s="148">
        <f t="shared" ca="1" si="34"/>
        <v>7668809.7857785029</v>
      </c>
      <c r="DQ18" s="130">
        <f t="shared" ca="1" si="34"/>
        <v>7668809.785778502</v>
      </c>
      <c r="DR18" s="148">
        <f t="shared" ca="1" si="34"/>
        <v>6380956.9387444919</v>
      </c>
      <c r="DS18" s="148">
        <f t="shared" ca="1" si="34"/>
        <v>5430022.5457976414</v>
      </c>
      <c r="DT18" s="148">
        <f t="shared" ca="1" si="34"/>
        <v>5417594.0500148116</v>
      </c>
      <c r="DU18" s="148">
        <f t="shared" ca="1" si="34"/>
        <v>7023331.1036767773</v>
      </c>
      <c r="DV18" s="130">
        <f t="shared" ca="1" si="34"/>
        <v>7023331.1036767773</v>
      </c>
      <c r="DW18" s="148">
        <f t="shared" ca="1" si="34"/>
        <v>6004873.2333696503</v>
      </c>
      <c r="DX18" s="148">
        <f t="shared" ca="1" si="34"/>
        <v>4444194.3766004015</v>
      </c>
      <c r="DY18" s="148">
        <f t="shared" ca="1" si="34"/>
        <v>4811267.8767383806</v>
      </c>
      <c r="DZ18" s="148">
        <f t="shared" ca="1" si="34"/>
        <v>7104522.4639519267</v>
      </c>
      <c r="EA18" s="130">
        <f t="shared" ca="1" si="34"/>
        <v>7104522.4639519267</v>
      </c>
      <c r="EB18" s="148">
        <f t="shared" ca="1" si="34"/>
        <v>6414010.7028983226</v>
      </c>
      <c r="EC18" s="148">
        <f t="shared" ca="1" si="34"/>
        <v>5001552.4183269609</v>
      </c>
      <c r="ED18" s="148">
        <f t="shared" ca="1" si="34"/>
        <v>5380808.3110957127</v>
      </c>
      <c r="EE18" s="148">
        <f t="shared" ca="1" si="34"/>
        <v>7845504.4056437826</v>
      </c>
      <c r="EF18" s="130">
        <f t="shared" ca="1" si="34"/>
        <v>7845504.4056437816</v>
      </c>
    </row>
    <row r="19" spans="1:136" ht="12" customHeight="1">
      <c r="L19" s="148"/>
      <c r="M19" s="148"/>
      <c r="N19" s="148"/>
      <c r="O19" s="148"/>
      <c r="P19" s="130"/>
      <c r="Q19" s="148"/>
      <c r="R19" s="148"/>
      <c r="S19" s="148"/>
      <c r="T19" s="148"/>
      <c r="U19" s="130"/>
      <c r="V19" s="148"/>
      <c r="W19" s="148"/>
      <c r="X19" s="148"/>
      <c r="Y19" s="148"/>
      <c r="Z19" s="130"/>
      <c r="AA19" s="148"/>
      <c r="AB19" s="148"/>
      <c r="AC19" s="148"/>
      <c r="AD19" s="148"/>
      <c r="AE19" s="130"/>
      <c r="AF19" s="148"/>
      <c r="AG19" s="148"/>
      <c r="AH19" s="148"/>
      <c r="AI19" s="148"/>
      <c r="AJ19" s="130"/>
      <c r="AK19" s="148"/>
      <c r="AL19" s="148"/>
      <c r="AM19" s="148"/>
      <c r="AN19" s="148"/>
      <c r="AO19" s="130"/>
      <c r="AP19" s="148"/>
      <c r="AQ19" s="148"/>
      <c r="AR19" s="148"/>
      <c r="AS19" s="148"/>
      <c r="AT19" s="130"/>
      <c r="AU19" s="148"/>
      <c r="AV19" s="148"/>
      <c r="AW19" s="148"/>
      <c r="AX19" s="148"/>
      <c r="AY19" s="130"/>
      <c r="AZ19" s="148"/>
      <c r="BA19" s="148"/>
      <c r="BB19" s="148"/>
      <c r="BC19" s="148"/>
      <c r="BD19" s="130"/>
      <c r="BE19" s="148"/>
      <c r="BF19" s="148"/>
      <c r="BG19" s="148"/>
      <c r="BH19" s="148"/>
      <c r="BI19" s="130"/>
      <c r="BJ19" s="148"/>
      <c r="BK19" s="148"/>
      <c r="BL19" s="148"/>
      <c r="BM19" s="148"/>
      <c r="BN19" s="130"/>
      <c r="BO19" s="148"/>
      <c r="BP19" s="148"/>
      <c r="BQ19" s="148"/>
      <c r="BR19" s="148"/>
      <c r="BS19" s="130"/>
      <c r="BT19" s="148"/>
      <c r="BU19" s="148"/>
      <c r="BV19" s="148"/>
      <c r="BW19" s="148"/>
      <c r="BX19" s="130"/>
      <c r="BY19" s="148"/>
      <c r="BZ19" s="148"/>
      <c r="CA19" s="148"/>
      <c r="CB19" s="148"/>
      <c r="CC19" s="130"/>
      <c r="CD19" s="148"/>
      <c r="CE19" s="148"/>
      <c r="CF19" s="148"/>
      <c r="CG19" s="148"/>
      <c r="CH19" s="130"/>
    </row>
    <row r="20" spans="1:136" ht="12" customHeight="1">
      <c r="L20" s="148"/>
      <c r="M20" s="148"/>
      <c r="N20" s="148"/>
      <c r="O20" s="148"/>
      <c r="P20" s="130"/>
      <c r="Q20" s="148"/>
      <c r="R20" s="148"/>
      <c r="S20" s="148"/>
      <c r="T20" s="148"/>
      <c r="U20" s="130"/>
      <c r="V20" s="148"/>
      <c r="W20" s="148"/>
      <c r="X20" s="148"/>
      <c r="Y20" s="148"/>
      <c r="Z20" s="130"/>
      <c r="AA20" s="148"/>
      <c r="AB20" s="148"/>
      <c r="AC20" s="148"/>
      <c r="AD20" s="148"/>
      <c r="AE20" s="130"/>
      <c r="AF20" s="148"/>
      <c r="AG20" s="148"/>
      <c r="AH20" s="148"/>
      <c r="AI20" s="148"/>
      <c r="AJ20" s="130"/>
      <c r="AK20" s="148"/>
      <c r="AL20" s="148"/>
      <c r="AM20" s="148"/>
      <c r="AN20" s="148"/>
      <c r="AO20" s="130"/>
      <c r="AP20" s="148"/>
      <c r="AQ20" s="148"/>
      <c r="AR20" s="148"/>
      <c r="AS20" s="148"/>
      <c r="AT20" s="130"/>
      <c r="AU20" s="148"/>
      <c r="AV20" s="148"/>
      <c r="AW20" s="148"/>
      <c r="AX20" s="148"/>
      <c r="AY20" s="130"/>
      <c r="AZ20" s="148"/>
      <c r="BA20" s="148"/>
      <c r="BB20" s="148"/>
      <c r="BC20" s="148"/>
      <c r="BD20" s="130"/>
      <c r="BE20" s="148"/>
      <c r="BF20" s="148"/>
      <c r="BG20" s="148"/>
      <c r="BH20" s="148"/>
      <c r="BI20" s="130"/>
      <c r="BJ20" s="148"/>
      <c r="BK20" s="148"/>
      <c r="BL20" s="148"/>
      <c r="BM20" s="148"/>
      <c r="BN20" s="130"/>
      <c r="BO20" s="148"/>
      <c r="BP20" s="148"/>
      <c r="BQ20" s="148"/>
      <c r="BR20" s="148"/>
      <c r="BS20" s="130"/>
      <c r="BT20" s="148"/>
      <c r="BU20" s="148"/>
      <c r="BV20" s="148"/>
      <c r="BW20" s="148"/>
      <c r="BX20" s="130"/>
      <c r="BY20" s="148"/>
      <c r="BZ20" s="148"/>
      <c r="CA20" s="148"/>
      <c r="CB20" s="148"/>
      <c r="CC20" s="130"/>
      <c r="CD20" s="148"/>
      <c r="CE20" s="148"/>
      <c r="CF20" s="148"/>
      <c r="CG20" s="148"/>
      <c r="CH20" s="130"/>
    </row>
    <row r="21" spans="1:136" ht="12" customHeight="1">
      <c r="L21" s="148"/>
      <c r="M21" s="148"/>
      <c r="N21" s="148"/>
      <c r="O21" s="148"/>
      <c r="P21" s="130"/>
      <c r="Q21" s="148"/>
      <c r="R21" s="148"/>
      <c r="S21" s="148"/>
      <c r="T21" s="148"/>
      <c r="U21" s="130"/>
      <c r="V21" s="148"/>
      <c r="W21" s="148"/>
      <c r="X21" s="148"/>
      <c r="Y21" s="148"/>
      <c r="Z21" s="130"/>
      <c r="AA21" s="148"/>
      <c r="AB21" s="148"/>
      <c r="AC21" s="148"/>
      <c r="AD21" s="148"/>
      <c r="AE21" s="130"/>
      <c r="AF21" s="148"/>
      <c r="AG21" s="148"/>
      <c r="AH21" s="148"/>
      <c r="AI21" s="148"/>
      <c r="AJ21" s="142">
        <f>AJ7/AJ4</f>
        <v>-1.9490471100277391</v>
      </c>
      <c r="AK21" s="148"/>
      <c r="AL21" s="148"/>
      <c r="AM21" s="148"/>
      <c r="AN21" s="148"/>
      <c r="AO21" s="142">
        <f>AO7/AO4</f>
        <v>-0.15137573242922611</v>
      </c>
      <c r="AP21" s="148"/>
      <c r="AQ21" s="148"/>
      <c r="AR21" s="148"/>
      <c r="AS21" s="148"/>
      <c r="AT21" s="142">
        <f>AT7/AT4</f>
        <v>1.1314417373073917</v>
      </c>
      <c r="AU21" s="148"/>
      <c r="AV21" s="148"/>
      <c r="AW21" s="148"/>
      <c r="AX21" s="148"/>
      <c r="AY21" s="142">
        <f>AY7/AY4</f>
        <v>0.15587543769078829</v>
      </c>
      <c r="AZ21" s="148"/>
      <c r="BA21" s="148"/>
      <c r="BB21" s="148"/>
      <c r="BC21" s="148"/>
      <c r="BD21" s="142">
        <f>BD7/BD4</f>
        <v>1.4246023047653888</v>
      </c>
      <c r="BE21" s="148"/>
      <c r="BF21" s="148"/>
      <c r="BG21" s="148"/>
      <c r="BH21" s="148"/>
      <c r="BI21" s="142">
        <f>BI7/BI4</f>
        <v>2.0397588209021884</v>
      </c>
      <c r="BJ21" s="148"/>
      <c r="BK21" s="148"/>
      <c r="BL21" s="148"/>
      <c r="BM21" s="148"/>
      <c r="BN21" s="142">
        <f>BN7/BN4</f>
        <v>1.8636621914477509</v>
      </c>
      <c r="BO21" s="148"/>
      <c r="BP21" s="148"/>
      <c r="BQ21" s="148"/>
      <c r="BR21" s="148"/>
      <c r="BS21" s="142">
        <f>BS7/BS4</f>
        <v>-8.4943686581617612</v>
      </c>
      <c r="BT21" s="148"/>
      <c r="BU21" s="148"/>
      <c r="BV21" s="148"/>
      <c r="BW21" s="148"/>
      <c r="BX21" s="142">
        <f>BX7/BX4</f>
        <v>-14.077344333416308</v>
      </c>
      <c r="BY21" s="148"/>
      <c r="BZ21" s="148"/>
      <c r="CA21" s="148"/>
      <c r="CB21" s="148"/>
      <c r="CC21" s="142">
        <f>CC7/CC4</f>
        <v>1.9143619106249234</v>
      </c>
      <c r="CD21" s="148"/>
      <c r="CE21" s="148"/>
      <c r="CF21" s="148"/>
      <c r="CG21" s="148"/>
      <c r="CH21" s="130"/>
    </row>
    <row r="22" spans="1:136" s="68" customFormat="1" hidden="1" outlineLevel="1">
      <c r="A22" s="68" t="s">
        <v>140</v>
      </c>
      <c r="F22" s="155">
        <f>SUM(B22:E22)</f>
        <v>0</v>
      </c>
      <c r="K22" s="155">
        <f>SUM(G22:J22)</f>
        <v>0</v>
      </c>
      <c r="L22" s="301">
        <v>0</v>
      </c>
      <c r="M22" s="301">
        <v>0</v>
      </c>
      <c r="N22" s="301">
        <v>0</v>
      </c>
      <c r="O22" s="301">
        <v>0</v>
      </c>
      <c r="P22" s="155">
        <f>SUM(L22:O22)</f>
        <v>0</v>
      </c>
      <c r="Q22" s="301">
        <v>0</v>
      </c>
      <c r="R22" s="301">
        <v>0</v>
      </c>
      <c r="S22" s="301">
        <v>0</v>
      </c>
      <c r="T22" s="301">
        <v>0</v>
      </c>
      <c r="U22" s="155">
        <f>SUM(Q22:T22)</f>
        <v>0</v>
      </c>
      <c r="V22" s="301">
        <v>0</v>
      </c>
      <c r="W22" s="301">
        <v>0</v>
      </c>
      <c r="X22" s="301">
        <v>0</v>
      </c>
      <c r="Y22" s="301">
        <v>0</v>
      </c>
      <c r="Z22" s="155">
        <f>SUM(V22:Y22)</f>
        <v>0</v>
      </c>
      <c r="AA22" s="301">
        <v>0</v>
      </c>
      <c r="AB22" s="301">
        <v>0</v>
      </c>
      <c r="AC22" s="301">
        <v>0</v>
      </c>
      <c r="AD22" s="301">
        <v>0</v>
      </c>
      <c r="AE22" s="155">
        <f>SUM(AA22:AD22)</f>
        <v>0</v>
      </c>
      <c r="AF22" s="301"/>
      <c r="AG22" s="301"/>
      <c r="AH22" s="301"/>
      <c r="AI22" s="301"/>
      <c r="AJ22" s="155">
        <f>SUM(AF22:AI22)</f>
        <v>0</v>
      </c>
      <c r="AK22" s="301">
        <v>0</v>
      </c>
      <c r="AL22" s="301">
        <v>0</v>
      </c>
      <c r="AM22" s="301">
        <v>0</v>
      </c>
      <c r="AN22" s="301">
        <v>0</v>
      </c>
      <c r="AO22" s="155">
        <f>SUM(AK22:AN22)</f>
        <v>0</v>
      </c>
      <c r="AP22" s="301">
        <v>0</v>
      </c>
      <c r="AQ22" s="301">
        <v>0</v>
      </c>
      <c r="AR22" s="301">
        <v>0</v>
      </c>
      <c r="AS22" s="301">
        <v>0</v>
      </c>
      <c r="AT22" s="155">
        <f>SUM(AP22:AS22)</f>
        <v>0</v>
      </c>
      <c r="AU22" s="301">
        <v>0</v>
      </c>
      <c r="AV22" s="301">
        <v>0</v>
      </c>
      <c r="AW22" s="301">
        <v>0</v>
      </c>
      <c r="AX22" s="301">
        <v>0</v>
      </c>
      <c r="AY22" s="155">
        <f>SUM(AU22:AX22)</f>
        <v>0</v>
      </c>
      <c r="AZ22" s="377">
        <f>-20%*'Balance Sheet'!AY6/4</f>
        <v>-86371</v>
      </c>
      <c r="BA22" s="377">
        <f>-20%*'Balance Sheet'!AZ6/4</f>
        <v>-109442.65000000001</v>
      </c>
      <c r="BB22" s="377">
        <f>-20%*'Balance Sheet'!BA6/4</f>
        <v>-87929.450000000012</v>
      </c>
      <c r="BC22" s="377">
        <f>-20%*'Balance Sheet'!BB6/4</f>
        <v>-89146.5</v>
      </c>
      <c r="BD22" s="155">
        <f>SUM(AZ22:BC22)</f>
        <v>-372889.60000000003</v>
      </c>
      <c r="BE22" s="377">
        <f>-20%*'Balance Sheet'!BD6/4</f>
        <v>-87713.200000000012</v>
      </c>
      <c r="BF22" s="377">
        <f>-20%*'Balance Sheet'!BE6/4</f>
        <v>-101087.1</v>
      </c>
      <c r="BG22" s="377">
        <f>-20%*'Balance Sheet'!BF6/4</f>
        <v>-112055.65000000001</v>
      </c>
      <c r="BH22" s="377">
        <f>-20%*'Balance Sheet'!BG6/4</f>
        <v>-126207.8</v>
      </c>
      <c r="BI22" s="155">
        <f>SUM(BE22:BH22)</f>
        <v>-427063.75</v>
      </c>
      <c r="BJ22" s="301">
        <f>-(BJ7+BJ9)*20%</f>
        <v>-8804.4</v>
      </c>
      <c r="BK22" s="301">
        <f>-(BK7+BK9)*20%</f>
        <v>-8110</v>
      </c>
      <c r="BL22" s="301">
        <f>-(BL7+BL9)*20%</f>
        <v>42845.8</v>
      </c>
      <c r="BM22" s="301">
        <f>-(BM7+BM9)*20%</f>
        <v>-47719.600000000006</v>
      </c>
      <c r="BN22" s="155">
        <f>SUM(BJ22:BM22)</f>
        <v>-21788.200000000004</v>
      </c>
      <c r="BO22" s="301">
        <f>-(BO7+BO9)*20%</f>
        <v>-22108.2</v>
      </c>
      <c r="BP22" s="301">
        <f>-(BP7+BP9)*20%</f>
        <v>-34773.599999999999</v>
      </c>
      <c r="BQ22" s="301">
        <f>-(BQ7+BQ9)*20%</f>
        <v>-52896.200000000004</v>
      </c>
      <c r="BR22" s="301">
        <f>-(BR7+BR9)*20%</f>
        <v>-66192.2</v>
      </c>
      <c r="BS22" s="155">
        <f>SUM(BO22:BR22)</f>
        <v>-175970.2</v>
      </c>
      <c r="BT22" s="301">
        <v>0</v>
      </c>
      <c r="BU22" s="301">
        <v>0</v>
      </c>
      <c r="BV22" s="301">
        <v>0</v>
      </c>
      <c r="BW22" s="301">
        <v>0</v>
      </c>
      <c r="BX22" s="155">
        <f>SUM(BT22:BW22)</f>
        <v>0</v>
      </c>
      <c r="BY22" s="301">
        <v>0</v>
      </c>
      <c r="BZ22" s="301">
        <v>0</v>
      </c>
      <c r="CA22" s="301">
        <v>0</v>
      </c>
      <c r="CB22" s="301">
        <v>0</v>
      </c>
      <c r="CC22" s="155">
        <f>SUM(BY22:CB22)</f>
        <v>0</v>
      </c>
    </row>
    <row r="23" spans="1:136" ht="12" customHeight="1" collapsed="1">
      <c r="L23" s="114"/>
      <c r="M23" s="114"/>
      <c r="N23" s="114"/>
      <c r="O23" s="114"/>
      <c r="Q23" s="114"/>
      <c r="R23" s="114"/>
      <c r="S23" s="114"/>
      <c r="T23" s="114"/>
      <c r="V23" s="114"/>
      <c r="W23" s="114"/>
      <c r="X23" s="114"/>
      <c r="Y23" s="114"/>
      <c r="AA23" s="114"/>
      <c r="AB23" s="114"/>
      <c r="AC23" s="114"/>
      <c r="AD23" s="114"/>
      <c r="AF23" s="114"/>
      <c r="AG23" s="114"/>
      <c r="AH23" s="114"/>
      <c r="AI23" s="114"/>
      <c r="AK23" s="114"/>
      <c r="AL23" s="114"/>
      <c r="AM23" s="114"/>
      <c r="AN23" s="114"/>
      <c r="AP23" s="114"/>
      <c r="AQ23" s="114"/>
      <c r="AR23" s="114"/>
      <c r="AS23" s="114"/>
      <c r="AU23" s="114"/>
      <c r="AV23" s="114"/>
      <c r="AW23" s="114"/>
      <c r="AX23" s="114"/>
      <c r="AZ23" s="114"/>
      <c r="BA23" s="114"/>
      <c r="BB23" s="114"/>
      <c r="BC23" s="114"/>
      <c r="BE23" s="114"/>
      <c r="BF23" s="114"/>
      <c r="BG23" s="114"/>
      <c r="BH23" s="114"/>
      <c r="BJ23" s="114"/>
      <c r="BK23" s="114"/>
      <c r="BL23" s="114"/>
      <c r="BM23" s="114"/>
      <c r="BO23" s="114"/>
      <c r="BP23" s="114"/>
      <c r="BQ23" s="114"/>
      <c r="BR23" s="114"/>
      <c r="BT23" s="114"/>
      <c r="BU23" s="114"/>
      <c r="BV23" s="114"/>
      <c r="BW23" s="114"/>
      <c r="BY23" s="114"/>
      <c r="BZ23" s="114"/>
      <c r="CA23" s="114"/>
      <c r="CB23" s="114"/>
      <c r="CD23" s="114"/>
      <c r="CE23" s="114"/>
      <c r="CF23" s="114"/>
      <c r="CG23" s="114"/>
    </row>
    <row r="24" spans="1:136" ht="12" customHeight="1"/>
    <row r="27" spans="1:136" ht="12" customHeight="1"/>
    <row r="28" spans="1:136" ht="12" customHeight="1"/>
    <row r="29" spans="1:136" ht="12" customHeight="1">
      <c r="B29" s="148">
        <f>'Balance Sheet'!B88-'Balance Sheet'!B87</f>
        <v>90393</v>
      </c>
      <c r="C29" s="148">
        <f>'Balance Sheet'!C88-'Balance Sheet'!C87</f>
        <v>121613</v>
      </c>
      <c r="D29" s="148">
        <f>'Balance Sheet'!D88-'Balance Sheet'!D87</f>
        <v>115315</v>
      </c>
      <c r="E29" s="148">
        <f>'Balance Sheet'!E88-'Balance Sheet'!E87</f>
        <v>312392</v>
      </c>
      <c r="F29" s="143">
        <f>'Balance Sheet'!F88-'Balance Sheet'!F87</f>
        <v>312392</v>
      </c>
      <c r="G29" s="148">
        <f>'Balance Sheet'!G88-'Balance Sheet'!G87</f>
        <v>306740.5</v>
      </c>
      <c r="H29" s="148">
        <f>'Balance Sheet'!H88-'Balance Sheet'!H87</f>
        <v>317354</v>
      </c>
      <c r="I29" s="148">
        <f>'Balance Sheet'!I88-'Balance Sheet'!I87</f>
        <v>326367</v>
      </c>
      <c r="J29" s="148">
        <f>'Balance Sheet'!J88-'Balance Sheet'!J87</f>
        <v>331171</v>
      </c>
      <c r="K29" s="143">
        <f>'Balance Sheet'!K88-'Balance Sheet'!K87</f>
        <v>331171</v>
      </c>
      <c r="L29" s="148">
        <f>'Balance Sheet'!L88-'Balance Sheet'!L87</f>
        <v>309316</v>
      </c>
      <c r="M29" s="148">
        <f>'Balance Sheet'!M88-'Balance Sheet'!M87</f>
        <v>362860</v>
      </c>
      <c r="N29" s="148">
        <f>'Balance Sheet'!N88-'Balance Sheet'!N87</f>
        <v>434758</v>
      </c>
      <c r="O29" s="148">
        <f>'Balance Sheet'!O88-'Balance Sheet'!O87</f>
        <v>487553</v>
      </c>
      <c r="P29" s="143">
        <f>'Balance Sheet'!P88-'Balance Sheet'!P87</f>
        <v>487553</v>
      </c>
      <c r="Q29" s="149">
        <f>'Balance Sheet'!Q88-'Balance Sheet'!Q87</f>
        <v>530085</v>
      </c>
      <c r="R29" s="149">
        <f>'Balance Sheet'!R88-'Balance Sheet'!R87</f>
        <v>499718</v>
      </c>
      <c r="S29" s="149">
        <f>'Balance Sheet'!S88-'Balance Sheet'!S87</f>
        <v>541394</v>
      </c>
      <c r="T29" s="149">
        <f>'Balance Sheet'!T88-'Balance Sheet'!T87</f>
        <v>568387</v>
      </c>
      <c r="U29" s="89">
        <f>'Balance Sheet'!U88-'Balance Sheet'!U87</f>
        <v>568387</v>
      </c>
      <c r="V29" s="149">
        <f>'Balance Sheet'!V88-'Balance Sheet'!V87</f>
        <v>709279</v>
      </c>
      <c r="W29" s="148">
        <f>'Balance Sheet'!W88-'Balance Sheet'!W87</f>
        <v>712679</v>
      </c>
      <c r="X29" s="148">
        <f>'Balance Sheet'!X88-'Balance Sheet'!X87</f>
        <v>862141</v>
      </c>
      <c r="Y29" s="148">
        <f>'Balance Sheet'!Y88-'Balance Sheet'!Y87</f>
        <v>784543</v>
      </c>
      <c r="Z29" s="143">
        <f>'Balance Sheet'!Z88-'Balance Sheet'!Z87</f>
        <v>784543</v>
      </c>
      <c r="AA29" s="149">
        <f>'Balance Sheet'!AA88-'Balance Sheet'!AA87</f>
        <v>839396</v>
      </c>
      <c r="AB29" s="149">
        <f>'Balance Sheet'!AB88-'Balance Sheet'!AB87</f>
        <v>1062757</v>
      </c>
      <c r="AC29" s="149">
        <f>'Balance Sheet'!AC88-'Balance Sheet'!AC87</f>
        <v>1162895</v>
      </c>
      <c r="AD29" s="149">
        <f>'Balance Sheet'!AD88-'Balance Sheet'!AD87</f>
        <v>1042911</v>
      </c>
      <c r="AE29" s="89">
        <f>'Balance Sheet'!AE88-'Balance Sheet'!AE87</f>
        <v>1042911</v>
      </c>
      <c r="AF29" s="149">
        <f>'Balance Sheet'!AF88-'Balance Sheet'!AF87</f>
        <v>795928</v>
      </c>
      <c r="AG29" s="149">
        <f>'Balance Sheet'!AG88-'Balance Sheet'!AG87</f>
        <v>1083867</v>
      </c>
      <c r="AH29" s="149">
        <f>'Balance Sheet'!AH88-'Balance Sheet'!AH87</f>
        <v>1241246</v>
      </c>
      <c r="AI29" s="149">
        <f>'Balance Sheet'!AI88-'Balance Sheet'!AI87</f>
        <v>1295220</v>
      </c>
      <c r="AJ29" s="89">
        <f>'Balance Sheet'!AJ88-'Balance Sheet'!AJ87</f>
        <v>1295220</v>
      </c>
      <c r="AK29" s="149">
        <f>'Balance Sheet'!AK88-'Balance Sheet'!AK87</f>
        <v>1487560</v>
      </c>
      <c r="AL29" s="149">
        <f>'Balance Sheet'!AL88-'Balance Sheet'!AL87</f>
        <v>1491868</v>
      </c>
      <c r="AM29" s="149">
        <f>'Balance Sheet'!AM88-'Balance Sheet'!AM87</f>
        <v>1520500</v>
      </c>
      <c r="AN29" s="149">
        <f>'Balance Sheet'!AN88-'Balance Sheet'!AN87</f>
        <v>1381271</v>
      </c>
      <c r="AO29" s="89">
        <f>'Balance Sheet'!AO88-'Balance Sheet'!AO87</f>
        <v>1381271</v>
      </c>
      <c r="AP29" s="149">
        <f>'Balance Sheet'!AP88-'Balance Sheet'!AP87</f>
        <v>1347250</v>
      </c>
      <c r="AQ29" s="149">
        <f>'Balance Sheet'!AQ88-'Balance Sheet'!AQ87</f>
        <v>1606674</v>
      </c>
      <c r="AR29" s="149">
        <f>'Balance Sheet'!AR88-'Balance Sheet'!AR87</f>
        <v>1455105</v>
      </c>
      <c r="AS29" s="149">
        <f>'Balance Sheet'!AS88-'Balance Sheet'!AS87</f>
        <v>1758144</v>
      </c>
      <c r="AT29" s="89">
        <f>'Balance Sheet'!AT88-'Balance Sheet'!AT87</f>
        <v>1758144</v>
      </c>
      <c r="AU29" s="149">
        <f>'Balance Sheet'!AU88-'Balance Sheet'!AU87</f>
        <v>1767878</v>
      </c>
      <c r="AV29" s="149">
        <f>'Balance Sheet'!AV88-'Balance Sheet'!AV87</f>
        <v>2111291</v>
      </c>
      <c r="AW29" s="149">
        <f>'Balance Sheet'!AW88-'Balance Sheet'!AW87</f>
        <v>2307349</v>
      </c>
      <c r="AX29" s="149">
        <f>'Balance Sheet'!AX88-'Balance Sheet'!AX87</f>
        <v>2609050</v>
      </c>
      <c r="AY29" s="89">
        <f>'Balance Sheet'!AY88-'Balance Sheet'!AY87</f>
        <v>2609050</v>
      </c>
      <c r="AZ29" s="149">
        <f>'Balance Sheet'!AZ88-'Balance Sheet'!AZ87</f>
        <v>2854309</v>
      </c>
      <c r="BA29" s="149">
        <f>'Balance Sheet'!BA88-'Balance Sheet'!BA87</f>
        <v>3012483</v>
      </c>
      <c r="BB29" s="149">
        <f>'Balance Sheet'!BB88-'Balance Sheet'!BB87</f>
        <v>3268831</v>
      </c>
      <c r="BC29" s="149">
        <f>'Balance Sheet'!BC88-'Balance Sheet'!BC87</f>
        <v>3114737</v>
      </c>
      <c r="BD29" s="89">
        <f>'Balance Sheet'!BD88-'Balance Sheet'!BD87</f>
        <v>3114737</v>
      </c>
      <c r="BE29" s="149">
        <f>'Balance Sheet'!BE88-'Balance Sheet'!BE87</f>
        <v>3125653</v>
      </c>
      <c r="BF29" s="149">
        <f>'Balance Sheet'!BF88-'Balance Sheet'!BF87</f>
        <v>3257302</v>
      </c>
      <c r="BG29" s="149">
        <f>'Balance Sheet'!BG88-'Balance Sheet'!BG87</f>
        <v>3303905</v>
      </c>
      <c r="BH29" s="149">
        <f>'Balance Sheet'!BH88-'Balance Sheet'!BH87</f>
        <v>3423381</v>
      </c>
      <c r="BI29" s="89">
        <f>'Balance Sheet'!BI88-'Balance Sheet'!BI87</f>
        <v>3423381</v>
      </c>
      <c r="BJ29" s="149">
        <f>'Balance Sheet'!BJ88-'Balance Sheet'!BJ87</f>
        <v>3416264</v>
      </c>
      <c r="BK29" s="149">
        <f>'Balance Sheet'!BK88-'Balance Sheet'!BK87</f>
        <v>3635230</v>
      </c>
      <c r="BL29" s="149">
        <f>'Balance Sheet'!BL88-'Balance Sheet'!BL87</f>
        <v>3746103</v>
      </c>
      <c r="BM29" s="149">
        <f>'Balance Sheet'!BM88-'Balance Sheet'!BM87</f>
        <v>3496008</v>
      </c>
      <c r="BN29" s="89">
        <f>'Balance Sheet'!BN88-'Balance Sheet'!BN87</f>
        <v>3496008</v>
      </c>
      <c r="BO29" s="149">
        <f>'Balance Sheet'!BO88-'Balance Sheet'!BO87</f>
        <v>3443469</v>
      </c>
      <c r="BP29" s="149">
        <f>'Balance Sheet'!BP88-'Balance Sheet'!BP87</f>
        <v>3479617</v>
      </c>
      <c r="BQ29" s="149">
        <f>'Balance Sheet'!BQ88-'Balance Sheet'!BQ87</f>
        <v>3403996</v>
      </c>
      <c r="BR29" s="149">
        <f>'Balance Sheet'!BR88-'Balance Sheet'!BR87</f>
        <v>2966203</v>
      </c>
      <c r="BS29" s="89">
        <f>'Balance Sheet'!BS88-'Balance Sheet'!BS87</f>
        <v>2966203</v>
      </c>
      <c r="BT29" s="149">
        <f>'Balance Sheet'!BT88-'Balance Sheet'!BT87</f>
        <v>2793293</v>
      </c>
      <c r="BU29" s="149">
        <f>'Balance Sheet'!BU88-'Balance Sheet'!BU87</f>
        <v>2428180</v>
      </c>
      <c r="BV29" s="149">
        <f>'Balance Sheet'!BV88-'Balance Sheet'!BV87</f>
        <v>2084895</v>
      </c>
      <c r="BW29" s="149">
        <f>'Balance Sheet'!BW88-'Balance Sheet'!BW87</f>
        <v>2189097</v>
      </c>
      <c r="BX29" s="89">
        <f>'Balance Sheet'!BX88-'Balance Sheet'!BX87</f>
        <v>2189097</v>
      </c>
      <c r="BY29" s="149">
        <f>'Balance Sheet'!BY88-'Balance Sheet'!BY87</f>
        <v>2302731</v>
      </c>
      <c r="BZ29" s="149">
        <f>'Balance Sheet'!BZ88-'Balance Sheet'!BZ87</f>
        <v>2338546</v>
      </c>
      <c r="CA29" s="149">
        <f>'Balance Sheet'!CA88-'Balance Sheet'!CA87</f>
        <v>2368822</v>
      </c>
      <c r="CB29" s="149">
        <f>'Balance Sheet'!CB88-'Balance Sheet'!CB87</f>
        <v>2214672</v>
      </c>
      <c r="CC29" s="89">
        <f>'Balance Sheet'!CC88-'Balance Sheet'!CC87</f>
        <v>2214672</v>
      </c>
      <c r="CD29" s="149"/>
      <c r="CE29" s="149"/>
      <c r="CF29" s="149"/>
      <c r="CG29" s="149"/>
      <c r="CH29" s="89"/>
    </row>
    <row r="30" spans="1:136" ht="12" customHeight="1">
      <c r="L30" s="114">
        <f>L29-J29</f>
        <v>-21855</v>
      </c>
      <c r="M30" s="114">
        <f>M29-L29</f>
        <v>53544</v>
      </c>
      <c r="N30" s="114">
        <f>N29-M29</f>
        <v>71898</v>
      </c>
      <c r="O30" s="114">
        <f>O29-N29</f>
        <v>52795</v>
      </c>
      <c r="P30" s="130">
        <f>SUM(L30:O30)</f>
        <v>156382</v>
      </c>
      <c r="Q30" s="114">
        <f>Q29-O29</f>
        <v>42532</v>
      </c>
      <c r="R30" s="114">
        <f>R29-Q29</f>
        <v>-30367</v>
      </c>
      <c r="S30" s="114">
        <f>S29-R29</f>
        <v>41676</v>
      </c>
      <c r="T30" s="114">
        <f>T29-S29</f>
        <v>26993</v>
      </c>
      <c r="U30" s="130">
        <f>SUM(Q30:T30)</f>
        <v>80834</v>
      </c>
      <c r="V30" s="114">
        <f>V29-T29</f>
        <v>140892</v>
      </c>
      <c r="W30" s="114">
        <f>W29-V29</f>
        <v>3400</v>
      </c>
      <c r="X30" s="114">
        <f>X29-W29</f>
        <v>149462</v>
      </c>
      <c r="Y30" s="114">
        <f>Y29-X29</f>
        <v>-77598</v>
      </c>
      <c r="Z30" s="130">
        <f>SUM(V30:Y30)</f>
        <v>216156</v>
      </c>
      <c r="AA30" s="114">
        <f>AA29-Y29</f>
        <v>54853</v>
      </c>
      <c r="AB30" s="114">
        <f>AB29-AA29</f>
        <v>223361</v>
      </c>
      <c r="AC30" s="114">
        <f>AC29-AB29</f>
        <v>100138</v>
      </c>
      <c r="AD30" s="114">
        <f>AD29-AC29</f>
        <v>-119984</v>
      </c>
      <c r="AE30" s="130">
        <f>SUM(AA30:AD30)</f>
        <v>258368</v>
      </c>
      <c r="AF30" s="114">
        <f>AF29-AD29</f>
        <v>-246983</v>
      </c>
      <c r="AG30" s="114">
        <f>AG29-AF29</f>
        <v>287939</v>
      </c>
      <c r="AH30" s="114">
        <f>AH29-AG29</f>
        <v>157379</v>
      </c>
      <c r="AI30" s="114">
        <f>AI29-AH29</f>
        <v>53974</v>
      </c>
      <c r="AJ30" s="130">
        <f>SUM(AF30:AI30)</f>
        <v>252309</v>
      </c>
      <c r="AK30" s="114">
        <f>AK29-AI29</f>
        <v>192340</v>
      </c>
      <c r="AL30" s="114">
        <f>AL29-AK29</f>
        <v>4308</v>
      </c>
      <c r="AM30" s="114">
        <f>AM29-AL29</f>
        <v>28632</v>
      </c>
      <c r="AN30" s="114">
        <f>AN29-AM29</f>
        <v>-139229</v>
      </c>
      <c r="AO30" s="130">
        <f>SUM(AK30:AN30)</f>
        <v>86051</v>
      </c>
      <c r="AP30" s="114">
        <f>AP29-AN29</f>
        <v>-34021</v>
      </c>
      <c r="AQ30" s="114">
        <f>AQ29-AP29</f>
        <v>259424</v>
      </c>
      <c r="AR30" s="114">
        <f>AR29-AQ29</f>
        <v>-151569</v>
      </c>
      <c r="AS30" s="114">
        <f>AS29-AR29</f>
        <v>303039</v>
      </c>
      <c r="AT30" s="130">
        <f>SUM(AP30:AS30)</f>
        <v>376873</v>
      </c>
      <c r="AU30" s="114">
        <f>AU29-AS29</f>
        <v>9734</v>
      </c>
      <c r="AV30" s="114">
        <f>AV29-AU29</f>
        <v>343413</v>
      </c>
      <c r="AW30" s="114">
        <f>AW29-AV29</f>
        <v>196058</v>
      </c>
      <c r="AX30" s="114">
        <f>AX29-AW29</f>
        <v>301701</v>
      </c>
      <c r="AY30" s="130">
        <f>SUM(AU30:AX30)</f>
        <v>850906</v>
      </c>
      <c r="AZ30" s="114">
        <f>AZ29-AX29</f>
        <v>245259</v>
      </c>
      <c r="BA30" s="114">
        <f>BA29-AZ29</f>
        <v>158174</v>
      </c>
      <c r="BB30" s="114">
        <f>BB29-BA29</f>
        <v>256348</v>
      </c>
      <c r="BC30" s="114">
        <f>BC29-BB29</f>
        <v>-154094</v>
      </c>
      <c r="BD30" s="130">
        <f>SUM(AZ30:BC30)</f>
        <v>505687</v>
      </c>
      <c r="BE30" s="114">
        <f>BE29-BC29</f>
        <v>10916</v>
      </c>
      <c r="BF30" s="114">
        <f>BF29-BE29</f>
        <v>131649</v>
      </c>
      <c r="BG30" s="114">
        <f>BG29-BF29</f>
        <v>46603</v>
      </c>
      <c r="BH30" s="114">
        <f>BH29-BG29</f>
        <v>119476</v>
      </c>
      <c r="BI30" s="130">
        <f>SUM(BE30:BH30)</f>
        <v>308644</v>
      </c>
      <c r="BJ30" s="114">
        <f>BJ29-BH29</f>
        <v>-7117</v>
      </c>
      <c r="BK30" s="114">
        <f>BK29-BJ29</f>
        <v>218966</v>
      </c>
      <c r="BL30" s="114">
        <f>BL29-BK29</f>
        <v>110873</v>
      </c>
      <c r="BM30" s="114">
        <f>BM29-BL29</f>
        <v>-250095</v>
      </c>
      <c r="BN30" s="130">
        <f>SUM(BJ30:BM30)</f>
        <v>72627</v>
      </c>
      <c r="BO30" s="114">
        <f>BO29-BM29</f>
        <v>-52539</v>
      </c>
      <c r="BP30" s="114">
        <f>BP29-BO29</f>
        <v>36148</v>
      </c>
      <c r="BQ30" s="114">
        <f>BQ29-BP29</f>
        <v>-75621</v>
      </c>
      <c r="BR30" s="114">
        <f>BR29-BQ29</f>
        <v>-437793</v>
      </c>
      <c r="BS30" s="130">
        <f>SUM(BO30:BR30)</f>
        <v>-529805</v>
      </c>
      <c r="BT30" s="114">
        <f>BT29-BR29</f>
        <v>-172910</v>
      </c>
      <c r="BU30" s="114">
        <f>BU29-BT29</f>
        <v>-365113</v>
      </c>
      <c r="BV30" s="114">
        <f>BV29-BU29</f>
        <v>-343285</v>
      </c>
      <c r="BW30" s="114">
        <f>BW29-BV29</f>
        <v>104202</v>
      </c>
      <c r="BX30" s="130">
        <f>SUM(BT30:BW30)</f>
        <v>-777106</v>
      </c>
      <c r="BY30" s="114">
        <f>BY29-BW29</f>
        <v>113634</v>
      </c>
      <c r="BZ30" s="114">
        <f>BZ29-BY29</f>
        <v>35815</v>
      </c>
      <c r="CA30" s="114">
        <f>CA29-BZ29</f>
        <v>30276</v>
      </c>
      <c r="CB30" s="114">
        <f>CB29-CA29</f>
        <v>-154150</v>
      </c>
      <c r="CC30" s="130">
        <f>SUM(BY30:CB30)</f>
        <v>25575</v>
      </c>
    </row>
    <row r="31" spans="1:136" ht="12" customHeight="1">
      <c r="L31" s="114">
        <f>L7+L30</f>
        <v>-116749</v>
      </c>
      <c r="M31" s="114">
        <f>M7+M30</f>
        <v>-62409</v>
      </c>
      <c r="N31" s="114">
        <f>N7+N30</f>
        <v>-11754</v>
      </c>
      <c r="O31" s="114">
        <f>O7+O30</f>
        <v>-54673</v>
      </c>
      <c r="P31" s="130">
        <f>SUM(L31:O31)</f>
        <v>-245585</v>
      </c>
      <c r="Q31" s="114">
        <f>Q7+Q30</f>
        <v>-9375</v>
      </c>
      <c r="R31" s="114">
        <f>R7+R30</f>
        <v>45875</v>
      </c>
      <c r="S31" s="114">
        <f>S7+S30</f>
        <v>-9138</v>
      </c>
      <c r="T31" s="114">
        <f>T7+T30</f>
        <v>-172730</v>
      </c>
      <c r="U31" s="130">
        <f>SUM(Q31:T31)</f>
        <v>-145368</v>
      </c>
      <c r="V31" s="114">
        <f>V7+V30</f>
        <v>-155257</v>
      </c>
      <c r="W31" s="114">
        <f>W7+W30</f>
        <v>-264036</v>
      </c>
      <c r="X31" s="114">
        <f>X7+X30</f>
        <v>-148668</v>
      </c>
      <c r="Y31" s="114">
        <f>Y7+Y30</f>
        <v>-24025</v>
      </c>
      <c r="Z31" s="130">
        <f>SUM(V31:Y31)</f>
        <v>-591986</v>
      </c>
      <c r="AA31" s="114">
        <f>AA7+AA30</f>
        <v>-16115</v>
      </c>
      <c r="AB31" s="114">
        <f>AB7+AB30</f>
        <v>-125548</v>
      </c>
      <c r="AC31" s="114">
        <f>AC7+AC30</f>
        <v>-166444</v>
      </c>
      <c r="AD31" s="114">
        <f>AD7+AD30</f>
        <v>-336574</v>
      </c>
      <c r="AE31" s="130">
        <f>SUM(AA31:AD31)</f>
        <v>-644681</v>
      </c>
      <c r="AF31" s="114">
        <f>AF7+AF30</f>
        <v>-558503</v>
      </c>
      <c r="AG31" s="114">
        <f>AG7+AG30</f>
        <v>62390</v>
      </c>
      <c r="AH31" s="114">
        <f>AH7+AH30</f>
        <v>-94337</v>
      </c>
      <c r="AI31" s="114">
        <f>AI7+AI30</f>
        <v>-327827</v>
      </c>
      <c r="AJ31" s="130">
        <f>SUM(AF31:AI31)</f>
        <v>-918277</v>
      </c>
      <c r="AK31" s="114">
        <f>AK7+AK30</f>
        <v>50791</v>
      </c>
      <c r="AL31" s="114">
        <f>AL7+AL30</f>
        <v>-13621</v>
      </c>
      <c r="AM31" s="114">
        <f>AM7+AM30</f>
        <v>-76509</v>
      </c>
      <c r="AN31" s="114">
        <f>AN7+AN30</f>
        <v>49979</v>
      </c>
      <c r="AO31" s="130">
        <f>SUM(AK31:AN31)</f>
        <v>10640</v>
      </c>
      <c r="AP31" s="114">
        <f>AP7+AP30</f>
        <v>46107</v>
      </c>
      <c r="AQ31" s="114">
        <f>AQ7+AQ30</f>
        <v>312288</v>
      </c>
      <c r="AR31" s="114">
        <f>AR7+AR30</f>
        <v>-33731</v>
      </c>
      <c r="AS31" s="114">
        <f>AS7+AS30</f>
        <v>799128</v>
      </c>
      <c r="AT31" s="130">
        <f>SUM(AP31:AS31)</f>
        <v>1123792</v>
      </c>
      <c r="AU31" s="114">
        <f>AU7+AU30</f>
        <v>256994</v>
      </c>
      <c r="AV31" s="114">
        <f>AV7+AV30</f>
        <v>315047</v>
      </c>
      <c r="AW31" s="114">
        <f>AW7+AW30</f>
        <v>136886</v>
      </c>
      <c r="AX31" s="114">
        <f>AX7+AX30</f>
        <v>253092</v>
      </c>
      <c r="AY31" s="130">
        <f>SUM(AU31:AX31)</f>
        <v>962019</v>
      </c>
      <c r="AZ31" s="114">
        <f>AZ7+AZ30</f>
        <v>493188</v>
      </c>
      <c r="BA31" s="114">
        <f>BA7+BA30</f>
        <v>288242</v>
      </c>
      <c r="BB31" s="114">
        <f>BB7+BB30</f>
        <v>409835</v>
      </c>
      <c r="BC31" s="114">
        <f>BC7+BC30</f>
        <v>256795</v>
      </c>
      <c r="BD31" s="130">
        <f>SUM(AZ31:BC31)</f>
        <v>1448060</v>
      </c>
      <c r="BE31" s="114">
        <f>BE7+BE30</f>
        <v>383011</v>
      </c>
      <c r="BF31" s="114">
        <f>BF7+BF30</f>
        <v>634138</v>
      </c>
      <c r="BG31" s="114">
        <f>BG7+BG30</f>
        <v>-16612</v>
      </c>
      <c r="BH31" s="114">
        <f>BH7+BH30</f>
        <v>221511</v>
      </c>
      <c r="BI31" s="130">
        <f>SUM(BE31:BH31)</f>
        <v>1222048</v>
      </c>
      <c r="BJ31" s="114">
        <f>BJ7+BJ30</f>
        <v>6141</v>
      </c>
      <c r="BK31" s="114">
        <f>BK7+BK30</f>
        <v>263888</v>
      </c>
      <c r="BL31" s="114">
        <f>BL7+BL30</f>
        <v>-42798</v>
      </c>
      <c r="BM31" s="114">
        <f>BM7+BM30</f>
        <v>127465</v>
      </c>
      <c r="BN31" s="130">
        <f>SUM(BJ31:BM31)</f>
        <v>354696</v>
      </c>
      <c r="BO31" s="114">
        <f>BO7+BO30</f>
        <v>67318</v>
      </c>
      <c r="BP31" s="114">
        <f>BP7+BP30</f>
        <v>219705</v>
      </c>
      <c r="BQ31" s="114">
        <f>BQ7+BQ30</f>
        <v>84773</v>
      </c>
      <c r="BR31" s="114">
        <f>BR7+BR30</f>
        <v>-94602</v>
      </c>
      <c r="BS31" s="130">
        <f>SUM(BO31:BR31)</f>
        <v>277194</v>
      </c>
      <c r="BT31" s="114">
        <f>BT7+BT30</f>
        <v>424778</v>
      </c>
      <c r="BU31" s="114">
        <f>BU7+BU30</f>
        <v>-208787</v>
      </c>
      <c r="BV31" s="114">
        <f>BV7+BV30</f>
        <v>-151574</v>
      </c>
      <c r="BW31" s="114">
        <f>BW7+BW30</f>
        <v>346084</v>
      </c>
      <c r="BX31" s="130">
        <f>SUM(BT31:BW31)</f>
        <v>410501</v>
      </c>
      <c r="BY31" s="114">
        <f>BY7+BY30</f>
        <v>230580</v>
      </c>
      <c r="BZ31" s="114">
        <f>BZ7+BZ30</f>
        <v>384387</v>
      </c>
      <c r="CA31" s="114">
        <f>CA7+CA30</f>
        <v>84398</v>
      </c>
      <c r="CB31" s="114">
        <f>CB7+CB30</f>
        <v>122284</v>
      </c>
      <c r="CC31" s="130">
        <f>SUM(BY31:CB31)</f>
        <v>821649</v>
      </c>
    </row>
    <row r="32" spans="1:136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1:O44"/>
  <sheetViews>
    <sheetView workbookViewId="0">
      <selection activeCell="C12" sqref="C12"/>
    </sheetView>
  </sheetViews>
  <sheetFormatPr defaultColWidth="9.140625" defaultRowHeight="12.75" outlineLevelRow="1"/>
  <cols>
    <col min="1" max="1" width="1.7109375" style="316" customWidth="1"/>
    <col min="2" max="2" width="48.85546875" style="316" customWidth="1"/>
    <col min="3" max="3" width="16.140625" style="316" customWidth="1"/>
    <col min="4" max="5" width="9.140625" style="316"/>
    <col min="6" max="6" width="12" style="316" bestFit="1" customWidth="1"/>
    <col min="7" max="9" width="9.140625" style="316"/>
    <col min="10" max="10" width="17.85546875" style="316" bestFit="1" customWidth="1"/>
    <col min="11" max="16384" width="9.140625" style="316"/>
  </cols>
  <sheetData>
    <row r="1" spans="2:10" s="66" customFormat="1" ht="30" customHeight="1"/>
    <row r="2" spans="2:10">
      <c r="B2" s="316" t="s">
        <v>799</v>
      </c>
      <c r="C2" s="317" t="s">
        <v>1030</v>
      </c>
      <c r="D2" s="352" t="str">
        <f>LEFT(C2,2)</f>
        <v>4Q</v>
      </c>
      <c r="E2" s="352" t="str">
        <f>RIGHT(C2,2)</f>
        <v>25</v>
      </c>
    </row>
    <row r="3" spans="2:10">
      <c r="B3" s="316" t="s">
        <v>800</v>
      </c>
      <c r="C3" s="318" t="str">
        <f>D2&amp;E2+1&amp;"E"</f>
        <v>4Q26E</v>
      </c>
    </row>
    <row r="4" spans="2:10">
      <c r="B4" s="316" t="s">
        <v>801</v>
      </c>
      <c r="C4" s="319">
        <f ca="1">HLOOKUP($C$3,'Balance Sheet'!3:200,D4,0)</f>
        <v>11471848.737656686</v>
      </c>
      <c r="D4" s="316">
        <v>149</v>
      </c>
    </row>
    <row r="5" spans="2:10">
      <c r="B5" s="320" t="s">
        <v>802</v>
      </c>
      <c r="C5" s="321">
        <f ca="1">F15</f>
        <v>1.2792419516976761</v>
      </c>
    </row>
    <row r="6" spans="2:10" outlineLevel="1">
      <c r="B6" s="316" t="s">
        <v>803</v>
      </c>
      <c r="C6" s="322">
        <v>0</v>
      </c>
    </row>
    <row r="7" spans="2:10">
      <c r="B7" s="316" t="s">
        <v>804</v>
      </c>
      <c r="C7" s="322">
        <v>0</v>
      </c>
      <c r="F7" s="323">
        <f>(AVERAGE('Balance Sheet'!BS163:CC163)-DCF!B25)/(DCF!B23-DCF!B25)</f>
        <v>-0.17972260338415363</v>
      </c>
      <c r="H7" s="316" t="s">
        <v>864</v>
      </c>
      <c r="I7" s="386">
        <v>0.18</v>
      </c>
      <c r="J7" s="386">
        <f>I7-I8</f>
        <v>0.13</v>
      </c>
    </row>
    <row r="8" spans="2:10">
      <c r="B8" s="316" t="s">
        <v>807</v>
      </c>
      <c r="C8" s="319">
        <f ca="1">(C4-C6)*C5+C7</f>
        <v>14675270.168740461</v>
      </c>
      <c r="F8" s="323">
        <f>('Balance Sheet'!CH163-DCF!B25)/(DCF!B23-DCF!B25)</f>
        <v>0.7369413269544397</v>
      </c>
      <c r="H8" s="316" t="s">
        <v>902</v>
      </c>
      <c r="I8" s="386">
        <v>0.05</v>
      </c>
      <c r="J8" s="323">
        <f>J7/J9</f>
        <v>1.1732851985559567</v>
      </c>
    </row>
    <row r="9" spans="2:10">
      <c r="B9" s="316" t="s">
        <v>805</v>
      </c>
      <c r="C9" s="319">
        <f>HLOOKUP(C3,'Income Statement'!3:88,D9,0)</f>
        <v>435757</v>
      </c>
      <c r="D9" s="316">
        <v>76</v>
      </c>
      <c r="H9" s="316" t="s">
        <v>903</v>
      </c>
      <c r="I9" s="336">
        <f>DCF!B23</f>
        <v>0.1608</v>
      </c>
      <c r="J9" s="386">
        <f>I9-I8</f>
        <v>0.1108</v>
      </c>
    </row>
    <row r="10" spans="2:10">
      <c r="B10" s="316" t="s">
        <v>899</v>
      </c>
      <c r="C10" s="388">
        <f>SUM('Income Statement'!DH81:DI81,'Income Statement'!DJ81:DK81)</f>
        <v>1.1513045114593685</v>
      </c>
      <c r="D10" s="316">
        <v>79</v>
      </c>
    </row>
    <row r="11" spans="2:10">
      <c r="B11" s="320" t="s">
        <v>806</v>
      </c>
      <c r="C11" s="324">
        <f ca="1">ROUND(C8/C9+C10,0)</f>
        <v>35</v>
      </c>
      <c r="D11" s="337">
        <f ca="1">C8/C9+C10</f>
        <v>34.828950926182387</v>
      </c>
      <c r="F11" s="516"/>
    </row>
    <row r="12" spans="2:10">
      <c r="C12" s="336">
        <f ca="1">C11/DCF!B13-1</f>
        <v>0.12903225806451624</v>
      </c>
      <c r="E12" s="337"/>
      <c r="F12" s="516">
        <f ca="1">(AVERAGE('Balance Sheet'!DG163:EF163)-DCF!B25)/(DCF!B23-DCF!B25)</f>
        <v>1.1972268751833557</v>
      </c>
    </row>
    <row r="13" spans="2:10">
      <c r="C13" s="337"/>
      <c r="F13" s="516">
        <f ca="1">(AVERAGE('Balance Sheet'!DL163:EF163)-DCF!B25)/(DCF!B23-DCF!B25)</f>
        <v>1.2052891656305362</v>
      </c>
    </row>
    <row r="14" spans="2:10">
      <c r="B14" s="316" t="s">
        <v>845</v>
      </c>
      <c r="C14" s="334">
        <f ca="1">C11/'Income Statement'!BD80</f>
        <v>20.748496974296256</v>
      </c>
      <c r="F14" s="323">
        <f ca="1">(AVERAGE('Balance Sheet'!DQ163:EF163)-DCF!B25)/(DCF!B23-DCF!B25)</f>
        <v>1.2283225959196435</v>
      </c>
    </row>
    <row r="15" spans="2:10">
      <c r="B15" s="316" t="s">
        <v>844</v>
      </c>
      <c r="C15" s="334">
        <f ca="1">C11/'Income Statement'!BI80</f>
        <v>29.605927850044665</v>
      </c>
      <c r="F15" s="316">
        <f ca="1">(AVERAGE('Balance Sheet'!EA163:EF163)-DCF!B25)/(DCF!B23-DCF!B25)</f>
        <v>1.2792419516976761</v>
      </c>
    </row>
    <row r="16" spans="2:10">
      <c r="C16" s="334">
        <f ca="1">C15*(1+DCF!B23)</f>
        <v>34.366561048331846</v>
      </c>
      <c r="D16" s="337"/>
    </row>
    <row r="19" spans="2:14">
      <c r="B19" s="328" t="s">
        <v>800</v>
      </c>
      <c r="C19" s="325" t="str">
        <f>C3</f>
        <v>4Q26E</v>
      </c>
    </row>
    <row r="20" spans="2:14">
      <c r="B20" s="328" t="s">
        <v>801</v>
      </c>
      <c r="C20" s="326">
        <f ca="1">C4/1000</f>
        <v>11471.848737656686</v>
      </c>
    </row>
    <row r="21" spans="2:14">
      <c r="B21" s="328" t="s">
        <v>802</v>
      </c>
      <c r="C21" s="327">
        <f ca="1">C5</f>
        <v>1.2792419516976761</v>
      </c>
    </row>
    <row r="22" spans="2:14" hidden="1" outlineLevel="1">
      <c r="B22" s="328" t="s">
        <v>803</v>
      </c>
      <c r="C22" s="326">
        <f>C6/1000</f>
        <v>0</v>
      </c>
    </row>
    <row r="23" spans="2:14" hidden="1" outlineLevel="1">
      <c r="B23" s="328" t="s">
        <v>804</v>
      </c>
      <c r="C23" s="326">
        <f>C7/1000</f>
        <v>0</v>
      </c>
    </row>
    <row r="24" spans="2:14" collapsed="1">
      <c r="B24" s="328" t="s">
        <v>807</v>
      </c>
      <c r="C24" s="326">
        <f ca="1">C8/1000</f>
        <v>14675.270168740461</v>
      </c>
    </row>
    <row r="25" spans="2:14">
      <c r="B25" s="328" t="s">
        <v>805</v>
      </c>
      <c r="C25" s="354">
        <f>C9/1000</f>
        <v>435.75700000000001</v>
      </c>
    </row>
    <row r="26" spans="2:14">
      <c r="B26" s="328" t="s">
        <v>861</v>
      </c>
      <c r="C26" s="325">
        <f>C10</f>
        <v>1.1513045114593685</v>
      </c>
      <c r="N26" s="316">
        <f>28.07/29.55</f>
        <v>0.94991539763113364</v>
      </c>
    </row>
    <row r="27" spans="2:14">
      <c r="B27" s="328" t="s">
        <v>806</v>
      </c>
      <c r="C27" s="325">
        <f ca="1">C11</f>
        <v>35</v>
      </c>
    </row>
    <row r="32" spans="2:14">
      <c r="K32" s="382">
        <v>1</v>
      </c>
      <c r="L32" s="316" t="s">
        <v>868</v>
      </c>
    </row>
    <row r="33" spans="3:15">
      <c r="E33" s="352" t="s">
        <v>869</v>
      </c>
      <c r="F33" s="352" t="s">
        <v>870</v>
      </c>
      <c r="G33" s="352" t="s">
        <v>862</v>
      </c>
      <c r="H33" s="352" t="s">
        <v>863</v>
      </c>
      <c r="I33" s="352" t="s">
        <v>871</v>
      </c>
      <c r="J33" s="352" t="s">
        <v>872</v>
      </c>
      <c r="K33" s="352" t="s">
        <v>873</v>
      </c>
    </row>
    <row r="34" spans="3:15">
      <c r="C34" s="316">
        <f>36%*6.6</f>
        <v>2.3759999999999999</v>
      </c>
      <c r="E34" s="383" t="e">
        <f>IRR(F34:K34)</f>
        <v>#VALUE!</v>
      </c>
      <c r="F34" s="323">
        <f>-DCF!B13</f>
        <v>-31</v>
      </c>
      <c r="G34" s="323" t="e">
        <f>HLOOKUP(G33,'Income Statement'!77:81,5,0)</f>
        <v>#N/A</v>
      </c>
      <c r="H34" s="323" t="e">
        <f>HLOOKUP(H33,'Income Statement'!77:81,5,0)</f>
        <v>#N/A</v>
      </c>
      <c r="I34" s="323" t="e">
        <f>HLOOKUP(I33,'Income Statement'!77:81,5,0)</f>
        <v>#N/A</v>
      </c>
      <c r="J34" s="323" t="e">
        <f>HLOOKUP(J33,'Income Statement'!77:81,5,0)</f>
        <v>#N/A</v>
      </c>
      <c r="K34" s="323" t="e">
        <f>HLOOKUP(K33,'Balance Sheet'!130:160,25,0)*K32+HLOOKUP(K33,'Income Statement'!77:81,5,0)</f>
        <v>#N/A</v>
      </c>
    </row>
    <row r="35" spans="3:15">
      <c r="G35" s="336" t="e">
        <f>G34/-$F$34</f>
        <v>#N/A</v>
      </c>
      <c r="H35" s="336" t="e">
        <f>H34/-$F$34</f>
        <v>#N/A</v>
      </c>
      <c r="I35" s="336" t="e">
        <f>I34/-$F$34</f>
        <v>#N/A</v>
      </c>
      <c r="J35" s="336" t="e">
        <f>J34/-$F$34</f>
        <v>#N/A</v>
      </c>
      <c r="K35" s="336" t="e">
        <f>K34/-$F$34-1</f>
        <v>#N/A</v>
      </c>
      <c r="L35" s="384" t="e">
        <f>((1+G35)*(1+H35)*(1+I35)*(1+J35)*(1+K35))^(1/5)-1</f>
        <v>#N/A</v>
      </c>
    </row>
    <row r="36" spans="3:15">
      <c r="J36" s="385">
        <v>0.43</v>
      </c>
      <c r="K36" s="337" t="e">
        <f>HLOOKUP(K33,'Balance Sheet'!130:160,25,0)+I34+J34</f>
        <v>#N/A</v>
      </c>
      <c r="O36" s="337">
        <f>I37+J37</f>
        <v>0</v>
      </c>
    </row>
    <row r="37" spans="3:15">
      <c r="E37" s="383"/>
      <c r="F37" s="323"/>
      <c r="G37" s="323"/>
      <c r="H37" s="323"/>
      <c r="I37" s="323"/>
      <c r="J37" s="323"/>
      <c r="K37" s="323"/>
      <c r="L37" s="386" t="e">
        <f>E34</f>
        <v>#VALUE!</v>
      </c>
    </row>
    <row r="38" spans="3:15">
      <c r="F38" s="337"/>
      <c r="L38" s="323">
        <v>0.7</v>
      </c>
      <c r="M38" s="384" t="e">
        <f t="dataTable" ref="M38:M44" dt2D="1" dtr="1" r1="L36" r2="K32"/>
        <v>#VALUE!</v>
      </c>
    </row>
    <row r="39" spans="3:15">
      <c r="L39" s="323">
        <v>0.8</v>
      </c>
      <c r="M39" s="384" t="e">
        <v>#VALUE!</v>
      </c>
    </row>
    <row r="40" spans="3:15">
      <c r="L40" s="323">
        <v>0.9</v>
      </c>
      <c r="M40" s="384" t="e">
        <v>#VALUE!</v>
      </c>
    </row>
    <row r="41" spans="3:15">
      <c r="F41" s="387" t="e">
        <f>NPV(DCF!$B$23,'TP Calculation'!H34:K34)</f>
        <v>#N/A</v>
      </c>
      <c r="L41" s="323">
        <v>1</v>
      </c>
      <c r="M41" s="384" t="e">
        <v>#VALUE!</v>
      </c>
    </row>
    <row r="42" spans="3:15">
      <c r="L42" s="323">
        <v>1.1000000000000001</v>
      </c>
      <c r="M42" s="384" t="e">
        <v>#VALUE!</v>
      </c>
    </row>
    <row r="43" spans="3:15">
      <c r="L43" s="323">
        <v>1.2</v>
      </c>
      <c r="M43" s="384" t="e">
        <v>#VALUE!</v>
      </c>
    </row>
    <row r="44" spans="3:15">
      <c r="L44" s="323">
        <v>1.3</v>
      </c>
      <c r="M44" s="384" t="e">
        <v>#VALUE!</v>
      </c>
    </row>
  </sheetData>
  <pageMargins left="0.7" right="0.7" top="0.75" bottom="0.75" header="0.3" footer="0.3"/>
  <pageSetup orientation="portrait" horizontalDpi="90" verticalDpi="90" r:id="rId1"/>
  <ignoredErrors>
    <ignoredError sqref="C20:C21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2"/>
    <pageSetUpPr fitToPage="1"/>
  </sheetPr>
  <dimension ref="A1:EU36"/>
  <sheetViews>
    <sheetView zoomScaleNormal="100" workbookViewId="0">
      <pane xSplit="1" ySplit="3" topLeftCell="B4" activePane="bottomRight" state="frozen"/>
      <selection activeCell="Q13" sqref="Q13"/>
      <selection pane="topRight" activeCell="Q13" sqref="Q13"/>
      <selection pane="bottomLeft" activeCell="Q13" sqref="Q13"/>
      <selection pane="bottomRight" activeCell="B25" sqref="B25"/>
    </sheetView>
  </sheetViews>
  <sheetFormatPr defaultColWidth="10.7109375" defaultRowHeight="12.75" customHeight="1" outlineLevelRow="1" outlineLevelCol="1"/>
  <cols>
    <col min="1" max="1" width="30.7109375" style="66" customWidth="1"/>
    <col min="2" max="2" width="11.42578125" style="66" customWidth="1" outlineLevel="1"/>
    <col min="3" max="5" width="10.7109375" style="66" customWidth="1" outlineLevel="1"/>
    <col min="6" max="6" width="10.7109375" style="67" customWidth="1"/>
    <col min="7" max="10" width="10.7109375" style="66" hidden="1" customWidth="1" outlineLevel="1"/>
    <col min="11" max="11" width="10.7109375" style="67" hidden="1" customWidth="1" collapsed="1"/>
    <col min="12" max="15" width="10.7109375" style="66" hidden="1" customWidth="1" outlineLevel="1"/>
    <col min="16" max="16" width="10.7109375" style="67" hidden="1" customWidth="1" collapsed="1"/>
    <col min="17" max="20" width="10.7109375" style="66" hidden="1" customWidth="1" outlineLevel="1"/>
    <col min="21" max="21" width="10.7109375" style="67" hidden="1" customWidth="1" collapsed="1"/>
    <col min="22" max="25" width="10.7109375" style="66" hidden="1" customWidth="1" outlineLevel="1"/>
    <col min="26" max="26" width="10.7109375" style="67" hidden="1" customWidth="1" collapsed="1"/>
    <col min="27" max="30" width="10.7109375" style="66" hidden="1" customWidth="1" outlineLevel="1"/>
    <col min="31" max="31" width="10.7109375" style="67" hidden="1" customWidth="1" collapsed="1"/>
    <col min="32" max="35" width="10.7109375" style="66" hidden="1" customWidth="1" outlineLevel="1"/>
    <col min="36" max="36" width="10.7109375" style="67" hidden="1" customWidth="1" collapsed="1"/>
    <col min="37" max="40" width="10.7109375" style="66" hidden="1" customWidth="1" outlineLevel="1"/>
    <col min="41" max="41" width="10.7109375" style="67" hidden="1" customWidth="1" collapsed="1"/>
    <col min="42" max="45" width="10.7109375" style="66" hidden="1" customWidth="1" outlineLevel="1"/>
    <col min="46" max="46" width="10.7109375" style="67" hidden="1" customWidth="1" collapsed="1"/>
    <col min="47" max="50" width="10.7109375" style="66" hidden="1" customWidth="1" outlineLevel="1"/>
    <col min="51" max="51" width="10.7109375" style="67" customWidth="1" collapsed="1"/>
    <col min="52" max="55" width="10.7109375" style="66" hidden="1" customWidth="1" outlineLevel="1"/>
    <col min="56" max="56" width="10.7109375" style="67" customWidth="1" collapsed="1"/>
    <col min="57" max="60" width="10.7109375" style="66" hidden="1" customWidth="1" outlineLevel="1"/>
    <col min="61" max="61" width="10.7109375" style="67" customWidth="1" collapsed="1"/>
    <col min="62" max="65" width="10.7109375" style="66" hidden="1" customWidth="1" outlineLevel="1"/>
    <col min="66" max="66" width="10.7109375" style="67" customWidth="1" collapsed="1"/>
    <col min="67" max="70" width="10.7109375" style="66" hidden="1" customWidth="1" outlineLevel="1"/>
    <col min="71" max="71" width="10.7109375" style="67" customWidth="1" collapsed="1"/>
    <col min="72" max="75" width="10.7109375" style="66" hidden="1" customWidth="1" outlineLevel="1"/>
    <col min="76" max="76" width="10.7109375" style="67" customWidth="1" collapsed="1"/>
    <col min="77" max="80" width="10.7109375" style="66" hidden="1" customWidth="1" outlineLevel="1"/>
    <col min="81" max="81" width="10.7109375" style="67" customWidth="1" collapsed="1"/>
    <col min="82" max="85" width="10.7109375" style="66" hidden="1" customWidth="1" outlineLevel="1"/>
    <col min="86" max="86" width="10.7109375" style="67" customWidth="1" collapsed="1"/>
    <col min="87" max="90" width="10.7109375" style="66" hidden="1" customWidth="1" outlineLevel="1"/>
    <col min="91" max="91" width="10.7109375" style="67" customWidth="1" collapsed="1"/>
    <col min="92" max="95" width="10.7109375" style="66" hidden="1" customWidth="1" outlineLevel="1"/>
    <col min="96" max="96" width="10.7109375" style="67" customWidth="1" collapsed="1"/>
    <col min="97" max="100" width="10.7109375" style="66" hidden="1" customWidth="1" outlineLevel="1"/>
    <col min="101" max="101" width="10.7109375" style="67" customWidth="1" collapsed="1"/>
    <col min="102" max="105" width="10.7109375" style="66" hidden="1" customWidth="1" outlineLevel="1"/>
    <col min="106" max="106" width="10.7109375" style="67" customWidth="1" collapsed="1"/>
    <col min="107" max="110" width="10.7109375" style="66" hidden="1" customWidth="1" outlineLevel="1"/>
    <col min="111" max="111" width="10.7109375" style="67" customWidth="1" collapsed="1"/>
    <col min="112" max="115" width="10.7109375" style="66" hidden="1" customWidth="1" outlineLevel="1"/>
    <col min="116" max="116" width="10.7109375" style="67" customWidth="1" collapsed="1"/>
    <col min="117" max="120" width="10.7109375" style="66" hidden="1" customWidth="1" outlineLevel="1"/>
    <col min="121" max="121" width="10.7109375" style="67" customWidth="1" collapsed="1"/>
    <col min="122" max="125" width="10.7109375" style="66" hidden="1" customWidth="1" outlineLevel="1"/>
    <col min="126" max="126" width="10.7109375" style="67" customWidth="1" collapsed="1"/>
    <col min="127" max="130" width="10.7109375" style="66" hidden="1" customWidth="1" outlineLevel="1"/>
    <col min="131" max="131" width="10.7109375" style="67" customWidth="1" collapsed="1"/>
    <col min="132" max="135" width="10.7109375" style="66" customWidth="1" outlineLevel="1"/>
    <col min="136" max="136" width="10.7109375" style="67" customWidth="1"/>
    <col min="137" max="16384" width="10.7109375" style="66"/>
  </cols>
  <sheetData>
    <row r="1" spans="1:151" ht="30" customHeight="1"/>
    <row r="2" spans="1:151" ht="12.75" customHeight="1">
      <c r="A2" s="68" t="str">
        <f ca="1">"Cyrela - TP: R$"&amp;'TP Calculation'!C11</f>
        <v>Cyrela - TP: R$35</v>
      </c>
      <c r="O2" s="90"/>
      <c r="T2" s="90"/>
      <c r="Y2" s="90"/>
      <c r="Z2" s="91"/>
      <c r="AD2" s="90"/>
      <c r="AE2" s="91"/>
      <c r="AI2" s="90"/>
      <c r="AJ2" s="91"/>
      <c r="AN2" s="90"/>
      <c r="AO2" s="91"/>
      <c r="AS2" s="90"/>
      <c r="AT2" s="91"/>
      <c r="AX2" s="90"/>
      <c r="AY2" s="91"/>
      <c r="BC2" s="90"/>
      <c r="BD2" s="91"/>
      <c r="BH2" s="90"/>
      <c r="BI2" s="91"/>
      <c r="BM2" s="90"/>
      <c r="BN2" s="91"/>
      <c r="BR2" s="90"/>
      <c r="BS2" s="91"/>
      <c r="BW2" s="90"/>
      <c r="BX2" s="91"/>
      <c r="CB2" s="90"/>
      <c r="CC2" s="91"/>
      <c r="CG2" s="90"/>
      <c r="CH2" s="91"/>
      <c r="CL2" s="90"/>
      <c r="CM2" s="91"/>
      <c r="CQ2" s="90"/>
      <c r="CR2" s="91"/>
      <c r="CV2" s="90"/>
      <c r="CW2" s="91"/>
      <c r="DA2" s="90"/>
      <c r="DB2" s="91"/>
      <c r="DF2" s="90"/>
      <c r="DG2" s="91"/>
      <c r="DK2" s="90"/>
      <c r="DL2" s="91"/>
      <c r="DP2" s="90"/>
      <c r="DQ2" s="91"/>
      <c r="DU2" s="90"/>
      <c r="DV2" s="91"/>
      <c r="DZ2" s="90"/>
      <c r="EA2" s="91"/>
      <c r="EE2" s="90"/>
      <c r="EF2" s="91"/>
    </row>
    <row r="3" spans="1:151" s="70" customFormat="1" ht="12.75" customHeight="1" thickBot="1">
      <c r="A3" s="69"/>
      <c r="B3" s="93"/>
      <c r="C3" s="93"/>
      <c r="D3" s="93"/>
      <c r="E3" s="93"/>
      <c r="F3" s="92"/>
      <c r="G3" s="93" t="str">
        <f>Macro!G$3</f>
        <v>1Q05</v>
      </c>
      <c r="H3" s="93" t="str">
        <f>Macro!H$3</f>
        <v>2Q05</v>
      </c>
      <c r="I3" s="93" t="str">
        <f>Macro!I$3</f>
        <v>3Q05</v>
      </c>
      <c r="J3" s="93" t="str">
        <f>Macro!J$3</f>
        <v>4Q05</v>
      </c>
      <c r="K3" s="92"/>
      <c r="L3" s="93" t="str">
        <f>Macro!L$3</f>
        <v>1Q06</v>
      </c>
      <c r="M3" s="93" t="str">
        <f>Macro!M$3</f>
        <v>2Q06</v>
      </c>
      <c r="N3" s="93" t="str">
        <f>Macro!N$3</f>
        <v>3Q06</v>
      </c>
      <c r="O3" s="94" t="str">
        <f>Macro!O$3</f>
        <v>4Q06</v>
      </c>
      <c r="P3" s="92" t="str">
        <f>Macro!P$3</f>
        <v>2006</v>
      </c>
      <c r="Q3" s="93" t="str">
        <f>Macro!Q$3</f>
        <v>1Q07</v>
      </c>
      <c r="R3" s="93" t="str">
        <f>Macro!R$3</f>
        <v>2Q07</v>
      </c>
      <c r="S3" s="93" t="str">
        <f>Macro!S$3</f>
        <v>3Q07</v>
      </c>
      <c r="T3" s="94" t="str">
        <f>Macro!T$3</f>
        <v>4Q07</v>
      </c>
      <c r="U3" s="92" t="str">
        <f>Macro!U$3</f>
        <v>2007</v>
      </c>
      <c r="V3" s="93" t="str">
        <f>Macro!V$3</f>
        <v>1Q08</v>
      </c>
      <c r="W3" s="93" t="str">
        <f>Macro!W$3</f>
        <v>2Q08</v>
      </c>
      <c r="X3" s="93" t="str">
        <f>Macro!X$3</f>
        <v>3Q08</v>
      </c>
      <c r="Y3" s="94" t="str">
        <f>Macro!Y$3</f>
        <v>4Q08</v>
      </c>
      <c r="Z3" s="92" t="str">
        <f>Macro!Z$3</f>
        <v>2008</v>
      </c>
      <c r="AA3" s="93" t="str">
        <f>Macro!AA$3</f>
        <v>1Q09</v>
      </c>
      <c r="AB3" s="93" t="str">
        <f>Macro!AB$3</f>
        <v>2Q09</v>
      </c>
      <c r="AC3" s="93" t="str">
        <f>Macro!AC$3</f>
        <v>3Q09</v>
      </c>
      <c r="AD3" s="94" t="str">
        <f>Macro!AD$3</f>
        <v>4Q09</v>
      </c>
      <c r="AE3" s="92" t="str">
        <f>Macro!AE$3</f>
        <v>2009</v>
      </c>
      <c r="AF3" s="93" t="str">
        <f>Macro!AF$3</f>
        <v>1Q10</v>
      </c>
      <c r="AG3" s="93" t="str">
        <f>Macro!AG$3</f>
        <v>2Q10</v>
      </c>
      <c r="AH3" s="93" t="str">
        <f>Macro!AH$3</f>
        <v>3Q10</v>
      </c>
      <c r="AI3" s="94" t="str">
        <f>Macro!AI$3</f>
        <v>4Q10</v>
      </c>
      <c r="AJ3" s="92" t="str">
        <f>Macro!AJ$3</f>
        <v>2010</v>
      </c>
      <c r="AK3" s="93" t="str">
        <f>Macro!AK$3</f>
        <v>1Q11</v>
      </c>
      <c r="AL3" s="93" t="str">
        <f>Macro!AL$3</f>
        <v>2Q11</v>
      </c>
      <c r="AM3" s="93" t="str">
        <f>Macro!AM$3</f>
        <v>3Q11</v>
      </c>
      <c r="AN3" s="94" t="str">
        <f>Macro!AN$3</f>
        <v>4Q11</v>
      </c>
      <c r="AO3" s="92" t="str">
        <f>Macro!AO$3</f>
        <v>2011</v>
      </c>
      <c r="AP3" s="310" t="str">
        <f>Macro!AP$3</f>
        <v>1Q12</v>
      </c>
      <c r="AQ3" s="310" t="str">
        <f>Macro!AQ$3</f>
        <v>2Q12</v>
      </c>
      <c r="AR3" s="310" t="str">
        <f>Macro!AR$3</f>
        <v>3Q12</v>
      </c>
      <c r="AS3" s="310" t="str">
        <f>Macro!AS$3</f>
        <v>4Q12</v>
      </c>
      <c r="AT3" s="311" t="str">
        <f>Macro!AT$3</f>
        <v>2012</v>
      </c>
      <c r="AU3" s="310" t="str">
        <f>Macro!AU$3</f>
        <v>1Q13</v>
      </c>
      <c r="AV3" s="310" t="str">
        <f>Macro!AV$3</f>
        <v>2Q13</v>
      </c>
      <c r="AW3" s="310" t="str">
        <f>Macro!AW$3</f>
        <v>3Q13</v>
      </c>
      <c r="AX3" s="310" t="str">
        <f>Macro!AX$3</f>
        <v>4Q13</v>
      </c>
      <c r="AY3" s="311" t="str">
        <f>Macro!AY$3</f>
        <v>2013</v>
      </c>
      <c r="AZ3" s="310" t="str">
        <f>Macro!AZ$3</f>
        <v>1Q14</v>
      </c>
      <c r="BA3" s="310" t="str">
        <f>Macro!BA$3</f>
        <v>2Q14</v>
      </c>
      <c r="BB3" s="310" t="str">
        <f>Macro!BB$3</f>
        <v>3Q14</v>
      </c>
      <c r="BC3" s="310" t="str">
        <f>Macro!BC$3</f>
        <v>4Q14</v>
      </c>
      <c r="BD3" s="311" t="str">
        <f>Macro!BD$3</f>
        <v>2014</v>
      </c>
      <c r="BE3" s="310" t="str">
        <f>Macro!BE$3</f>
        <v>1Q15</v>
      </c>
      <c r="BF3" s="310" t="str">
        <f>Macro!BF$3</f>
        <v>2Q15</v>
      </c>
      <c r="BG3" s="310" t="str">
        <f>Macro!BG$3</f>
        <v>3Q15</v>
      </c>
      <c r="BH3" s="310" t="str">
        <f>Macro!BH$3</f>
        <v>4Q15</v>
      </c>
      <c r="BI3" s="311" t="str">
        <f>Macro!BI$3</f>
        <v>2015</v>
      </c>
      <c r="BJ3" s="310" t="str">
        <f>Macro!BJ$3</f>
        <v>1Q16</v>
      </c>
      <c r="BK3" s="310" t="str">
        <f>Macro!BK$3</f>
        <v>2Q16</v>
      </c>
      <c r="BL3" s="310" t="str">
        <f>Macro!BL$3</f>
        <v>3Q16</v>
      </c>
      <c r="BM3" s="310" t="str">
        <f>Macro!BM$3</f>
        <v>4Q16</v>
      </c>
      <c r="BN3" s="311" t="str">
        <f>Macro!BN$3</f>
        <v>2016</v>
      </c>
      <c r="BO3" s="310" t="str">
        <f>Macro!BO$3</f>
        <v>1Q17</v>
      </c>
      <c r="BP3" s="310" t="str">
        <f>Macro!BP$3</f>
        <v>2Q17</v>
      </c>
      <c r="BQ3" s="310" t="str">
        <f>Macro!BQ$3</f>
        <v>3Q17</v>
      </c>
      <c r="BR3" s="310" t="str">
        <f>Macro!BR$3</f>
        <v>4Q17</v>
      </c>
      <c r="BS3" s="311" t="str">
        <f>Macro!BS$3</f>
        <v>2017</v>
      </c>
      <c r="BT3" s="310" t="str">
        <f>Macro!BT$3</f>
        <v>1Q18</v>
      </c>
      <c r="BU3" s="310" t="str">
        <f>Macro!BU$3</f>
        <v>2Q18</v>
      </c>
      <c r="BV3" s="310" t="str">
        <f>Macro!BV$3</f>
        <v>3Q18</v>
      </c>
      <c r="BW3" s="310" t="str">
        <f>Macro!BW$3</f>
        <v>4Q18</v>
      </c>
      <c r="BX3" s="311" t="str">
        <f>Macro!BX$3</f>
        <v>2018</v>
      </c>
      <c r="BY3" s="310" t="str">
        <f>Macro!BY$3</f>
        <v>1Q19</v>
      </c>
      <c r="BZ3" s="310" t="str">
        <f>Macro!BZ$3</f>
        <v>2Q19</v>
      </c>
      <c r="CA3" s="310" t="str">
        <f>Macro!CA$3</f>
        <v>3Q19</v>
      </c>
      <c r="CB3" s="310" t="str">
        <f>Macro!CB$3</f>
        <v>4Q19</v>
      </c>
      <c r="CC3" s="311" t="str">
        <f>Macro!CC$3</f>
        <v>2019</v>
      </c>
      <c r="CD3" s="310" t="str">
        <f>Macro!CD$3</f>
        <v>1Q20</v>
      </c>
      <c r="CE3" s="310" t="str">
        <f>Macro!CE$3</f>
        <v>2Q20</v>
      </c>
      <c r="CF3" s="310" t="str">
        <f>Macro!CF$3</f>
        <v>3Q20</v>
      </c>
      <c r="CG3" s="310" t="str">
        <f>Macro!CG$3</f>
        <v>4Q20</v>
      </c>
      <c r="CH3" s="311" t="str">
        <f>Macro!CH$3</f>
        <v>2020</v>
      </c>
      <c r="CI3" s="310" t="str">
        <f>Macro!CI$3</f>
        <v>1Q21</v>
      </c>
      <c r="CJ3" s="310" t="str">
        <f>Macro!CJ$3</f>
        <v>2Q21</v>
      </c>
      <c r="CK3" s="310" t="str">
        <f>Macro!CK$3</f>
        <v>3Q21</v>
      </c>
      <c r="CL3" s="310" t="str">
        <f>Macro!CL$3</f>
        <v>4Q21</v>
      </c>
      <c r="CM3" s="311" t="str">
        <f>Macro!CM$3</f>
        <v>2021</v>
      </c>
      <c r="CN3" s="310" t="str">
        <f>Macro!CN$3</f>
        <v>1Q22</v>
      </c>
      <c r="CO3" s="310" t="str">
        <f>Macro!CO$3</f>
        <v>2Q22</v>
      </c>
      <c r="CP3" s="310" t="str">
        <f>Macro!CP$3</f>
        <v>3Q22</v>
      </c>
      <c r="CQ3" s="310" t="str">
        <f>Macro!CQ$3</f>
        <v>4Q22</v>
      </c>
      <c r="CR3" s="311" t="str">
        <f>Macro!CR$3</f>
        <v>2022</v>
      </c>
      <c r="CS3" s="310" t="str">
        <f>Macro!CS$3</f>
        <v>1Q23</v>
      </c>
      <c r="CT3" s="310" t="str">
        <f>Macro!CT$3</f>
        <v>2Q23</v>
      </c>
      <c r="CU3" s="310" t="str">
        <f>Macro!CU$3</f>
        <v>3Q23</v>
      </c>
      <c r="CV3" s="310" t="str">
        <f>Macro!CV$3</f>
        <v>4Q23</v>
      </c>
      <c r="CW3" s="311" t="str">
        <f>Macro!CW$3</f>
        <v>2023</v>
      </c>
      <c r="CX3" s="310" t="str">
        <f>Macro!CX$3</f>
        <v>1Q24</v>
      </c>
      <c r="CY3" s="310" t="str">
        <f>Macro!CY$3</f>
        <v>2Q24</v>
      </c>
      <c r="CZ3" s="310" t="str">
        <f>Macro!CZ$3</f>
        <v>3Q24</v>
      </c>
      <c r="DA3" s="310" t="str">
        <f>Macro!DA$3</f>
        <v>4Q24</v>
      </c>
      <c r="DB3" s="311" t="str">
        <f>Macro!DB$3</f>
        <v>2024</v>
      </c>
      <c r="DC3" s="310" t="str">
        <f>Macro!DC$3</f>
        <v>1Q25</v>
      </c>
      <c r="DD3" s="310" t="str">
        <f>Macro!DD$3</f>
        <v>2Q25</v>
      </c>
      <c r="DE3" s="310" t="str">
        <f>Macro!DE$3</f>
        <v>3Q25</v>
      </c>
      <c r="DF3" s="310" t="str">
        <f>Macro!DF$3</f>
        <v>4Q25</v>
      </c>
      <c r="DG3" s="311" t="str">
        <f>Macro!DG$3</f>
        <v>2025</v>
      </c>
      <c r="DH3" s="310" t="str">
        <f>Macro!DH$3</f>
        <v>1Q26</v>
      </c>
      <c r="DI3" s="310" t="str">
        <f>Macro!DI$3</f>
        <v>2Q26</v>
      </c>
      <c r="DJ3" s="310" t="str">
        <f>Macro!DJ$3</f>
        <v>3Q26E</v>
      </c>
      <c r="DK3" s="310" t="str">
        <f>Macro!DK$3</f>
        <v>4Q26E</v>
      </c>
      <c r="DL3" s="311" t="str">
        <f>Macro!DL$3</f>
        <v>2026E</v>
      </c>
      <c r="DM3" s="310" t="str">
        <f>Macro!DM$3</f>
        <v>1Q27E</v>
      </c>
      <c r="DN3" s="310" t="str">
        <f>Macro!DN$3</f>
        <v>2Q27E</v>
      </c>
      <c r="DO3" s="310" t="str">
        <f>Macro!DO$3</f>
        <v>3Q27E</v>
      </c>
      <c r="DP3" s="310" t="str">
        <f>Macro!DP$3</f>
        <v>4Q27E</v>
      </c>
      <c r="DQ3" s="311" t="str">
        <f>Macro!DQ$3</f>
        <v>2027E</v>
      </c>
      <c r="DR3" s="310" t="str">
        <f>Macro!DR$3</f>
        <v>1Q28E</v>
      </c>
      <c r="DS3" s="310" t="str">
        <f>Macro!DS$3</f>
        <v>2Q28E</v>
      </c>
      <c r="DT3" s="310" t="str">
        <f>Macro!DT$3</f>
        <v>3Q28E</v>
      </c>
      <c r="DU3" s="310" t="str">
        <f>Macro!DU$3</f>
        <v>4Q28E</v>
      </c>
      <c r="DV3" s="311" t="str">
        <f>Macro!DV$3</f>
        <v>2028E</v>
      </c>
      <c r="DW3" s="310" t="str">
        <f>Macro!DW$3</f>
        <v>1Q29E</v>
      </c>
      <c r="DX3" s="310" t="str">
        <f>Macro!DX$3</f>
        <v>2Q29E</v>
      </c>
      <c r="DY3" s="310" t="str">
        <f>Macro!DY$3</f>
        <v>3Q29E</v>
      </c>
      <c r="DZ3" s="310" t="str">
        <f>Macro!DZ$3</f>
        <v>4Q29E</v>
      </c>
      <c r="EA3" s="311" t="str">
        <f>Macro!EA$3</f>
        <v>2029E</v>
      </c>
      <c r="EB3" s="310" t="str">
        <f>Macro!EB$3</f>
        <v>1Q30E</v>
      </c>
      <c r="EC3" s="310" t="str">
        <f>Macro!EC$3</f>
        <v>2Q30E</v>
      </c>
      <c r="ED3" s="310" t="str">
        <f>Macro!ED$3</f>
        <v>3Q30E</v>
      </c>
      <c r="EE3" s="310" t="str">
        <f>Macro!EE$3</f>
        <v>4Q30E</v>
      </c>
      <c r="EF3" s="311" t="str">
        <f>Macro!EF$3</f>
        <v>2030E</v>
      </c>
      <c r="EG3" s="70" t="s">
        <v>56</v>
      </c>
    </row>
    <row r="4" spans="1:151" s="96" customFormat="1" ht="12.75" customHeight="1">
      <c r="A4" s="95" t="s">
        <v>671</v>
      </c>
      <c r="B4" s="98"/>
      <c r="C4" s="98"/>
      <c r="D4" s="98"/>
      <c r="E4" s="98"/>
      <c r="F4" s="99"/>
      <c r="G4" s="98"/>
      <c r="H4" s="98"/>
      <c r="I4" s="98"/>
      <c r="J4" s="98"/>
      <c r="K4" s="99"/>
      <c r="L4" s="98">
        <f>'Cash Flow'!L17</f>
        <v>-101547</v>
      </c>
      <c r="M4" s="98">
        <f>'Cash Flow'!M17</f>
        <v>-154823</v>
      </c>
      <c r="N4" s="98">
        <f>'Cash Flow'!N17</f>
        <v>-195937</v>
      </c>
      <c r="O4" s="98">
        <f>'Cash Flow'!O17</f>
        <v>-219614</v>
      </c>
      <c r="P4" s="99">
        <f>'Cash Flow'!P17</f>
        <v>-671921</v>
      </c>
      <c r="Q4" s="98">
        <f>'Cash Flow'!Q17</f>
        <v>-271689</v>
      </c>
      <c r="R4" s="98">
        <f>'Cash Flow'!R17</f>
        <v>589778</v>
      </c>
      <c r="S4" s="98">
        <f>'Cash Flow'!S17</f>
        <v>189512</v>
      </c>
      <c r="T4" s="98">
        <f>'Cash Flow'!T17</f>
        <v>-175757</v>
      </c>
      <c r="U4" s="99">
        <f>'Cash Flow'!U17</f>
        <v>331844</v>
      </c>
      <c r="V4" s="98">
        <f>'Cash Flow'!V17</f>
        <v>343702</v>
      </c>
      <c r="W4" s="98">
        <f>'Cash Flow'!W17</f>
        <v>-138699</v>
      </c>
      <c r="X4" s="98">
        <f>'Cash Flow'!X17</f>
        <v>-156283</v>
      </c>
      <c r="Y4" s="98">
        <f>'Cash Flow'!Y17</f>
        <v>218223</v>
      </c>
      <c r="Z4" s="99">
        <f>'Cash Flow'!Z17</f>
        <v>266943</v>
      </c>
      <c r="AA4" s="98">
        <f>'Cash Flow'!AA17</f>
        <v>-4144</v>
      </c>
      <c r="AB4" s="98">
        <f>'Cash Flow'!AB17</f>
        <v>-227324</v>
      </c>
      <c r="AC4" s="98">
        <f>'Cash Flow'!AC17</f>
        <v>340048</v>
      </c>
      <c r="AD4" s="98">
        <f>'Cash Flow'!AD17</f>
        <v>-405764</v>
      </c>
      <c r="AE4" s="99">
        <f>'Cash Flow'!AE17</f>
        <v>-297184</v>
      </c>
      <c r="AF4" s="98">
        <f>'Cash Flow'!AF17</f>
        <v>-394337</v>
      </c>
      <c r="AG4" s="98">
        <f>'Cash Flow'!AG17</f>
        <v>-105536</v>
      </c>
      <c r="AH4" s="98">
        <f>'Cash Flow'!AH17</f>
        <v>-58644</v>
      </c>
      <c r="AI4" s="98">
        <f>'Cash Flow'!AI17</f>
        <v>127744</v>
      </c>
      <c r="AJ4" s="99">
        <f>'Cash Flow'!AJ17</f>
        <v>-430773</v>
      </c>
      <c r="AK4" s="98">
        <f>'Cash Flow'!AK17</f>
        <v>41320</v>
      </c>
      <c r="AL4" s="98">
        <f>'Cash Flow'!AL17</f>
        <v>522005</v>
      </c>
      <c r="AM4" s="98">
        <f>'Cash Flow'!AM17</f>
        <v>339551</v>
      </c>
      <c r="AN4" s="98">
        <f>'Cash Flow'!AN17</f>
        <v>51779</v>
      </c>
      <c r="AO4" s="99">
        <f>'Cash Flow'!AO17</f>
        <v>954655</v>
      </c>
      <c r="AP4" s="98">
        <f>'Cash Flow'!AP17</f>
        <v>163825</v>
      </c>
      <c r="AQ4" s="98">
        <f>'Cash Flow'!AQ17</f>
        <v>-226424</v>
      </c>
      <c r="AR4" s="98">
        <f>'Cash Flow'!AR17</f>
        <v>-20269</v>
      </c>
      <c r="AS4" s="98">
        <f>'Cash Flow'!AS17</f>
        <v>-116818</v>
      </c>
      <c r="AT4" s="99">
        <f>'Cash Flow'!AT17</f>
        <v>-199686</v>
      </c>
      <c r="AU4" s="98">
        <f>'Cash Flow'!AU17</f>
        <v>-466733</v>
      </c>
      <c r="AV4" s="98">
        <f>'Cash Flow'!AV17</f>
        <v>306036</v>
      </c>
      <c r="AW4" s="98">
        <f>'Cash Flow'!AW17</f>
        <v>23227</v>
      </c>
      <c r="AX4" s="98">
        <f>'Cash Flow'!AX17</f>
        <v>286099</v>
      </c>
      <c r="AY4" s="99">
        <f>'Cash Flow'!AY17</f>
        <v>148629</v>
      </c>
      <c r="AZ4" s="98">
        <f>'Cash Flow'!AZ17</f>
        <v>606777</v>
      </c>
      <c r="BA4" s="98">
        <f>'Cash Flow'!BA17</f>
        <v>-198864</v>
      </c>
      <c r="BB4" s="98">
        <f>'Cash Flow'!BB17</f>
        <v>79898</v>
      </c>
      <c r="BC4" s="98">
        <f>'Cash Flow'!BC17</f>
        <v>40277</v>
      </c>
      <c r="BD4" s="99">
        <f>'Cash Flow'!BD17</f>
        <v>528088</v>
      </c>
      <c r="BE4" s="98">
        <f>'Cash Flow'!BE17</f>
        <v>319260</v>
      </c>
      <c r="BF4" s="98">
        <f>'Cash Flow'!BF17</f>
        <v>494960</v>
      </c>
      <c r="BG4" s="98">
        <f>'Cash Flow'!BG17</f>
        <v>27813</v>
      </c>
      <c r="BH4" s="98">
        <f>'Cash Flow'!BH17</f>
        <v>-175327</v>
      </c>
      <c r="BI4" s="99">
        <f>'Cash Flow'!BI17</f>
        <v>666706</v>
      </c>
      <c r="BJ4" s="98">
        <f>'Cash Flow'!BJ17</f>
        <v>-86694</v>
      </c>
      <c r="BK4" s="98">
        <f>'Cash Flow'!BK17</f>
        <v>-134686</v>
      </c>
      <c r="BL4" s="98">
        <f>'Cash Flow'!BL17</f>
        <v>-280699</v>
      </c>
      <c r="BM4" s="98">
        <f>'Cash Flow'!BM17</f>
        <v>100993</v>
      </c>
      <c r="BN4" s="99">
        <f>'Cash Flow'!BN17</f>
        <v>-401086</v>
      </c>
      <c r="BO4" s="98">
        <f>'Cash Flow'!BO17</f>
        <v>269788</v>
      </c>
      <c r="BP4" s="98">
        <f>'Cash Flow'!BP17</f>
        <v>14610</v>
      </c>
      <c r="BQ4" s="98">
        <f>'Cash Flow'!BQ17</f>
        <v>-29508</v>
      </c>
      <c r="BR4" s="98">
        <f>'Cash Flow'!BR17</f>
        <v>-248234</v>
      </c>
      <c r="BS4" s="99">
        <f>'Cash Flow'!BS17</f>
        <v>6656</v>
      </c>
      <c r="BT4" s="98">
        <f>'Cash Flow'!BT17</f>
        <v>31850</v>
      </c>
      <c r="BU4" s="98">
        <f>'Cash Flow'!BU17</f>
        <v>436689</v>
      </c>
      <c r="BV4" s="98">
        <f>'Cash Flow'!BV17</f>
        <v>824907</v>
      </c>
      <c r="BW4" s="98">
        <f>'Cash Flow'!BW17</f>
        <v>-364226</v>
      </c>
      <c r="BX4" s="99">
        <f>'Cash Flow'!BX17</f>
        <v>929220</v>
      </c>
      <c r="BY4" s="98">
        <f>'Cash Flow'!BY17</f>
        <v>-94230</v>
      </c>
      <c r="BZ4" s="98">
        <f>'Cash Flow'!BZ17</f>
        <v>255395</v>
      </c>
      <c r="CA4" s="98">
        <f>'Cash Flow'!CA17</f>
        <v>375490</v>
      </c>
      <c r="CB4" s="98">
        <f>'Cash Flow'!CB17</f>
        <v>356067</v>
      </c>
      <c r="CC4" s="99">
        <f>'Cash Flow'!CC17</f>
        <v>892722</v>
      </c>
      <c r="CD4" s="98">
        <f>'Cash Flow'!CD17</f>
        <v>1880</v>
      </c>
      <c r="CE4" s="98">
        <f>'Cash Flow'!CE17</f>
        <v>298309</v>
      </c>
      <c r="CF4" s="98">
        <f>'Cash Flow'!CF17</f>
        <v>560653</v>
      </c>
      <c r="CG4" s="98">
        <f>'Cash Flow'!CG17</f>
        <v>598339</v>
      </c>
      <c r="CH4" s="99">
        <f>'Cash Flow'!CH17</f>
        <v>1459181</v>
      </c>
      <c r="CI4" s="98">
        <f>'Cash Flow'!CI17</f>
        <v>30497</v>
      </c>
      <c r="CJ4" s="98">
        <f>'Cash Flow'!CJ17</f>
        <v>730024</v>
      </c>
      <c r="CK4" s="98">
        <f>'Cash Flow'!CK17</f>
        <v>139598</v>
      </c>
      <c r="CL4" s="98">
        <f>'Cash Flow'!CL17</f>
        <v>107297</v>
      </c>
      <c r="CM4" s="99">
        <f>'Cash Flow'!CM17</f>
        <v>1007416</v>
      </c>
      <c r="CN4" s="98">
        <f>'Cash Flow'!CN17</f>
        <v>-79195</v>
      </c>
      <c r="CO4" s="98">
        <f>'Cash Flow'!CO17</f>
        <v>384297</v>
      </c>
      <c r="CP4" s="98">
        <f>'Cash Flow'!CP17</f>
        <v>1014336</v>
      </c>
      <c r="CQ4" s="98">
        <f>'Cash Flow'!CQ17</f>
        <v>-65972</v>
      </c>
      <c r="CR4" s="99">
        <f>'Cash Flow'!CR17</f>
        <v>1253466</v>
      </c>
      <c r="CS4" s="98">
        <f>'Cash Flow'!CS17</f>
        <v>-205012</v>
      </c>
      <c r="CT4" s="98">
        <f>'Cash Flow'!CT17</f>
        <v>134115</v>
      </c>
      <c r="CU4" s="98">
        <f>'Cash Flow'!CU17</f>
        <v>54735</v>
      </c>
      <c r="CV4" s="98">
        <f>'Cash Flow'!CV17</f>
        <v>112991</v>
      </c>
      <c r="CW4" s="99">
        <f>'Cash Flow'!CW17</f>
        <v>96829</v>
      </c>
      <c r="CX4" s="98">
        <f>'Cash Flow'!CX17</f>
        <v>102578</v>
      </c>
      <c r="CY4" s="98">
        <f>'Cash Flow'!CY17</f>
        <v>75241</v>
      </c>
      <c r="CZ4" s="98">
        <f>'Cash Flow'!CZ17</f>
        <v>127022</v>
      </c>
      <c r="DA4" s="98">
        <f>'Cash Flow'!DA17</f>
        <v>433266</v>
      </c>
      <c r="DB4" s="99">
        <f>'Cash Flow'!DB17</f>
        <v>738107</v>
      </c>
      <c r="DC4" s="98">
        <f>'Cash Flow'!DC17</f>
        <v>53068</v>
      </c>
      <c r="DD4" s="98">
        <f>'Cash Flow'!DD17</f>
        <v>509069</v>
      </c>
      <c r="DE4" s="98">
        <f>'Cash Flow'!DE17</f>
        <v>985177</v>
      </c>
      <c r="DF4" s="98">
        <f>'Cash Flow'!DF17</f>
        <v>1031917</v>
      </c>
      <c r="DG4" s="99">
        <f>'Cash Flow'!DG17</f>
        <v>2579231</v>
      </c>
      <c r="DH4" s="98">
        <f>'Cash Flow'!DH17</f>
        <v>40203</v>
      </c>
      <c r="DI4" s="98">
        <f>'Cash Flow'!DI17</f>
        <v>428317</v>
      </c>
      <c r="DJ4" s="98">
        <f ca="1">'Cash Flow'!DJ17</f>
        <v>527532.45488195273</v>
      </c>
      <c r="DK4" s="98">
        <f ca="1">'Cash Flow'!DK17</f>
        <v>61597.716471626831</v>
      </c>
      <c r="DL4" s="99">
        <f ca="1">'Cash Flow'!DL17</f>
        <v>1057650.1713535795</v>
      </c>
      <c r="DM4" s="98">
        <f ca="1">'Cash Flow'!DM17</f>
        <v>365656.41812575579</v>
      </c>
      <c r="DN4" s="98">
        <f ca="1">'Cash Flow'!DN17</f>
        <v>-173638.28740246268</v>
      </c>
      <c r="DO4" s="98">
        <f ca="1">'Cash Flow'!DO17</f>
        <v>-333224.32020318334</v>
      </c>
      <c r="DP4" s="98">
        <f ca="1">'Cash Flow'!DP17</f>
        <v>-206348.55946585245</v>
      </c>
      <c r="DQ4" s="99">
        <f ca="1">'Cash Flow'!DQ17</f>
        <v>-347554.74894574308</v>
      </c>
      <c r="DR4" s="98">
        <f ca="1">'Cash Flow'!DR17</f>
        <v>444859.28297869279</v>
      </c>
      <c r="DS4" s="98">
        <f ca="1">'Cash Flow'!DS17</f>
        <v>-49709.414405161398</v>
      </c>
      <c r="DT4" s="98">
        <f ca="1">'Cash Flow'!DT17</f>
        <v>-62279.114429730282</v>
      </c>
      <c r="DU4" s="98">
        <f ca="1">'Cash Flow'!DU17</f>
        <v>-239177.80092146085</v>
      </c>
      <c r="DV4" s="99">
        <f ca="1">'Cash Flow'!DV17</f>
        <v>93692.953222340322</v>
      </c>
      <c r="DW4" s="98">
        <f ca="1">'Cash Flow'!DW17</f>
        <v>856202.01519448613</v>
      </c>
      <c r="DX4" s="98">
        <f ca="1">'Cash Flow'!DX17</f>
        <v>184923.52858361439</v>
      </c>
      <c r="DY4" s="98">
        <f ca="1">'Cash Flow'!DY17</f>
        <v>344927.3440799744</v>
      </c>
      <c r="DZ4" s="98">
        <f ca="1">'Cash Flow'!DZ17</f>
        <v>375096.3357653725</v>
      </c>
      <c r="EA4" s="99">
        <f ca="1">'Cash Flow'!EA17</f>
        <v>1761149.2236234471</v>
      </c>
      <c r="EB4" s="98">
        <f ca="1">'Cash Flow'!EB17</f>
        <v>1302611.8436176688</v>
      </c>
      <c r="EC4" s="98">
        <f ca="1">'Cash Flow'!EC17</f>
        <v>463167.94176295004</v>
      </c>
      <c r="ED4" s="98">
        <f ca="1">'Cash Flow'!ED17</f>
        <v>352838.50801204977</v>
      </c>
      <c r="EE4" s="98">
        <f ca="1">'Cash Flow'!EE17</f>
        <v>457421.47778729349</v>
      </c>
      <c r="EF4" s="99">
        <f ca="1">'Cash Flow'!EF17</f>
        <v>2576039.771179962</v>
      </c>
      <c r="EG4" s="381">
        <f ca="1">'Balance Sheet'!EF151</f>
        <v>14483379.0143902</v>
      </c>
    </row>
    <row r="5" spans="1:151" ht="12.75" customHeight="1" outlineLevel="1">
      <c r="A5" s="66" t="s">
        <v>669</v>
      </c>
      <c r="U5" s="100"/>
      <c r="V5" s="101"/>
      <c r="W5" s="101"/>
      <c r="X5" s="101"/>
      <c r="Y5" s="101"/>
      <c r="Z5" s="102"/>
      <c r="AA5" s="103" t="e">
        <f>AB5/(1+#REF!)</f>
        <v>#REF!</v>
      </c>
      <c r="AB5" s="103" t="e">
        <f>AC5/(1+#REF!)</f>
        <v>#REF!</v>
      </c>
      <c r="AC5" s="104">
        <v>1</v>
      </c>
      <c r="AD5" s="104" t="e">
        <f>AC5*(1+#REF!)</f>
        <v>#REF!</v>
      </c>
      <c r="AE5" s="102"/>
      <c r="AF5" s="103"/>
      <c r="AG5" s="103"/>
      <c r="AH5" s="103"/>
      <c r="AI5" s="103"/>
      <c r="AJ5" s="102"/>
      <c r="AK5" s="104">
        <v>1</v>
      </c>
      <c r="AL5" s="104">
        <v>1</v>
      </c>
      <c r="AM5" s="104">
        <v>1</v>
      </c>
      <c r="AN5" s="104">
        <v>1</v>
      </c>
      <c r="AO5" s="102">
        <f>AO4/AO6</f>
        <v>1</v>
      </c>
      <c r="AP5" s="104">
        <v>1</v>
      </c>
      <c r="AQ5" s="104">
        <v>1</v>
      </c>
      <c r="AR5" s="104">
        <v>1</v>
      </c>
      <c r="AS5" s="104">
        <v>1</v>
      </c>
      <c r="AT5" s="102">
        <f>AT4/AT6</f>
        <v>1</v>
      </c>
      <c r="AU5" s="104">
        <v>1</v>
      </c>
      <c r="AV5" s="104">
        <v>1</v>
      </c>
      <c r="AW5" s="104">
        <v>1</v>
      </c>
      <c r="AX5" s="104">
        <v>1</v>
      </c>
      <c r="AY5" s="102">
        <f>AY4/AY6</f>
        <v>1</v>
      </c>
      <c r="AZ5" s="104">
        <v>1</v>
      </c>
      <c r="BA5" s="104">
        <v>1</v>
      </c>
      <c r="BB5" s="104">
        <v>1</v>
      </c>
      <c r="BC5" s="104">
        <v>1</v>
      </c>
      <c r="BD5" s="102">
        <f>BD4/BD6</f>
        <v>1</v>
      </c>
      <c r="BE5" s="104">
        <v>1</v>
      </c>
      <c r="BF5" s="104">
        <v>1</v>
      </c>
      <c r="BG5" s="104">
        <v>1</v>
      </c>
      <c r="BH5" s="104">
        <f>BG5*(1+$C$23)</f>
        <v>1.0379808707738551</v>
      </c>
      <c r="BI5" s="102">
        <f>BI4/BI6</f>
        <v>0.9904691646855811</v>
      </c>
      <c r="BJ5" s="104">
        <v>1</v>
      </c>
      <c r="BK5" s="104">
        <v>1</v>
      </c>
      <c r="BL5" s="104">
        <v>1</v>
      </c>
      <c r="BM5" s="104">
        <f>BL5*(1+$C$23)</f>
        <v>1.0379808707738551</v>
      </c>
      <c r="BN5" s="102">
        <f>BN4/BN6</f>
        <v>0.9908705157572244</v>
      </c>
      <c r="BO5" s="104">
        <f>BM5*(1+$C$23)</f>
        <v>1.0774042880924506</v>
      </c>
      <c r="BP5" s="104">
        <f>BO5*(1+$C$23)</f>
        <v>1.1183250411296874</v>
      </c>
      <c r="BQ5" s="104">
        <f>BP5*(1+$C$23)</f>
        <v>1.1608000000000003</v>
      </c>
      <c r="BR5" s="104">
        <v>1</v>
      </c>
      <c r="BS5" s="102">
        <f>BS4/BS6</f>
        <v>-0.65353048316540896</v>
      </c>
      <c r="BT5" s="104">
        <v>1</v>
      </c>
      <c r="BU5" s="104">
        <f>BT5*(1+$C$23)</f>
        <v>1.0379808707738551</v>
      </c>
      <c r="BV5" s="104">
        <v>1</v>
      </c>
      <c r="BW5" s="104">
        <f>BV5*(1+$C$23)</f>
        <v>1.0379808707738551</v>
      </c>
      <c r="BX5" s="102">
        <f>BX4/BX6</f>
        <v>1.0028616357098765</v>
      </c>
      <c r="BY5" s="104">
        <v>1</v>
      </c>
      <c r="BZ5" s="104">
        <v>1</v>
      </c>
      <c r="CA5" s="104">
        <v>1</v>
      </c>
      <c r="CB5" s="104">
        <v>1</v>
      </c>
      <c r="CC5" s="102">
        <f>CC4/CC6</f>
        <v>1</v>
      </c>
      <c r="CD5" s="104">
        <f>CB5*(1+$C$23)</f>
        <v>1.0379808707738551</v>
      </c>
      <c r="CE5" s="104">
        <v>1</v>
      </c>
      <c r="CF5" s="104">
        <f>CE5*(1+$C$23)</f>
        <v>1.0379808707738551</v>
      </c>
      <c r="CG5" s="104">
        <v>1</v>
      </c>
      <c r="CH5" s="102">
        <f>CH4/CH6</f>
        <v>1.0143081779626115</v>
      </c>
      <c r="CI5" s="104">
        <v>1</v>
      </c>
      <c r="CJ5" s="104">
        <v>1</v>
      </c>
      <c r="CK5" s="104">
        <v>1</v>
      </c>
      <c r="CL5" s="104">
        <v>1</v>
      </c>
      <c r="CM5" s="102">
        <f>CM4/CM6</f>
        <v>1</v>
      </c>
      <c r="CN5" s="104">
        <v>1</v>
      </c>
      <c r="CO5" s="104">
        <v>1</v>
      </c>
      <c r="CP5" s="104">
        <v>1</v>
      </c>
      <c r="CQ5" s="104">
        <v>1</v>
      </c>
      <c r="CR5" s="102">
        <f>CR4/CR6</f>
        <v>1</v>
      </c>
      <c r="CS5" s="104">
        <v>1</v>
      </c>
      <c r="CT5" s="104">
        <v>1</v>
      </c>
      <c r="CU5" s="104">
        <v>1</v>
      </c>
      <c r="CV5" s="104">
        <v>1</v>
      </c>
      <c r="CW5" s="102">
        <f t="shared" ref="CW5" si="0">CW4/CW6</f>
        <v>1</v>
      </c>
      <c r="CX5" s="104">
        <v>1</v>
      </c>
      <c r="CY5" s="104">
        <v>1</v>
      </c>
      <c r="CZ5" s="104">
        <f>CY5*(1+$C$23)</f>
        <v>1.0379808707738551</v>
      </c>
      <c r="DA5" s="104">
        <f>CZ5*(1+$C$23)</f>
        <v>1.0774042880924506</v>
      </c>
      <c r="DB5" s="102">
        <f>DB4/DB6</f>
        <v>1.0509376555928687</v>
      </c>
      <c r="DC5" s="104">
        <v>1</v>
      </c>
      <c r="DD5" s="104">
        <v>1</v>
      </c>
      <c r="DE5" s="104">
        <v>1</v>
      </c>
      <c r="DF5" s="104">
        <f>DE5*(1+$C$23)</f>
        <v>1.0379808707738551</v>
      </c>
      <c r="DG5" s="102">
        <f>DG4/DG6</f>
        <v>1.0148571327273901</v>
      </c>
      <c r="DH5" s="104">
        <f>DF5*(1+$C$23)</f>
        <v>1.0774042880924506</v>
      </c>
      <c r="DI5" s="104">
        <f>DH5*(1+$C$23)</f>
        <v>1.1183250411296874</v>
      </c>
      <c r="DJ5" s="104">
        <f>DI5*(1+$C$23)</f>
        <v>1.1608000000000003</v>
      </c>
      <c r="DK5" s="104">
        <f>DJ5*(1+$C$23)</f>
        <v>1.2048881947942913</v>
      </c>
      <c r="DL5" s="102">
        <f ca="1">DL4/DL6</f>
        <v>1.1423034585198659</v>
      </c>
      <c r="DM5" s="104">
        <f>DK5*(1+$C$23)</f>
        <v>1.2506508976177169</v>
      </c>
      <c r="DN5" s="104">
        <f>DM5*(1+$C$23)</f>
        <v>1.2981517077433413</v>
      </c>
      <c r="DO5" s="104">
        <f>DN5*(1+$C$23)</f>
        <v>1.3474566400000005</v>
      </c>
      <c r="DP5" s="104">
        <f>DO5*(1+$C$23)</f>
        <v>1.3986342165172136</v>
      </c>
      <c r="DQ5" s="102">
        <f ca="1">DQ4/DQ6</f>
        <v>1.4713199994214476</v>
      </c>
      <c r="DR5" s="104">
        <f>DP5*(1+$C$23)</f>
        <v>1.4517555619546461</v>
      </c>
      <c r="DS5" s="104">
        <f>DR5*(1+$C$23)</f>
        <v>1.506894502348471</v>
      </c>
      <c r="DT5" s="104">
        <f>DS5*(1+$C$23)</f>
        <v>1.5641276677120011</v>
      </c>
      <c r="DU5" s="104">
        <f>DT5*(1+$C$23)</f>
        <v>1.6235345985331819</v>
      </c>
      <c r="DV5" s="102">
        <f ca="1">DV4/DV6</f>
        <v>1.0856132557594749</v>
      </c>
      <c r="DW5" s="104">
        <f>DU5*(1+$C$23)</f>
        <v>1.6851978563169536</v>
      </c>
      <c r="DX5" s="104">
        <f>DW5*(1+$C$23)</f>
        <v>1.7492031383261055</v>
      </c>
      <c r="DY5" s="104">
        <f>DX5*(1+$C$23)</f>
        <v>1.8156393966800912</v>
      </c>
      <c r="DZ5" s="104">
        <f>DY5*(1+$C$23)</f>
        <v>1.884598961977318</v>
      </c>
      <c r="EA5" s="102">
        <f ca="1">EA4/EA6</f>
        <v>1.7562335977453694</v>
      </c>
      <c r="EB5" s="104">
        <f>DZ5*(1+$C$23)</f>
        <v>1.9561776716127202</v>
      </c>
      <c r="EC5" s="104">
        <f>EB5*(1+$C$23)</f>
        <v>2.0304750029689438</v>
      </c>
      <c r="ED5" s="104">
        <f>EC5*(1+$C$23)</f>
        <v>2.1075942116662505</v>
      </c>
      <c r="EE5" s="104">
        <f>ED5*(1+$C$23)</f>
        <v>2.1876424750632713</v>
      </c>
      <c r="EF5" s="102">
        <f ca="1">EF4/EF6</f>
        <v>2.0275620742038432</v>
      </c>
      <c r="EG5" s="105">
        <f ca="1">EF5</f>
        <v>2.0275620742038432</v>
      </c>
    </row>
    <row r="6" spans="1:151" outlineLevel="1">
      <c r="A6" s="66" t="s">
        <v>57</v>
      </c>
      <c r="U6" s="106"/>
      <c r="V6" s="107"/>
      <c r="W6" s="107"/>
      <c r="X6" s="107"/>
      <c r="Y6" s="107"/>
      <c r="Z6" s="106"/>
      <c r="AA6" s="108" t="e">
        <f>#REF!/AA5</f>
        <v>#REF!</v>
      </c>
      <c r="AB6" s="108" t="e">
        <f>#REF!/AB5</f>
        <v>#REF!</v>
      </c>
      <c r="AC6" s="109" t="e">
        <f>#REF!/AC5</f>
        <v>#REF!</v>
      </c>
      <c r="AD6" s="109" t="e">
        <f>#REF!/AD5</f>
        <v>#REF!</v>
      </c>
      <c r="AE6" s="106"/>
      <c r="AF6" s="108"/>
      <c r="AG6" s="108"/>
      <c r="AH6" s="108"/>
      <c r="AI6" s="108"/>
      <c r="AJ6" s="106"/>
      <c r="AK6" s="109">
        <f>AK4/AK5</f>
        <v>41320</v>
      </c>
      <c r="AL6" s="109">
        <f>AL4/AL5</f>
        <v>522005</v>
      </c>
      <c r="AM6" s="109">
        <f>AM4/AM5</f>
        <v>339551</v>
      </c>
      <c r="AN6" s="109">
        <f>AN4/AN5</f>
        <v>51779</v>
      </c>
      <c r="AO6" s="106">
        <f>SUM(AK6:AN6)</f>
        <v>954655</v>
      </c>
      <c r="AP6" s="109">
        <f>AP4/AP5</f>
        <v>163825</v>
      </c>
      <c r="AQ6" s="109">
        <f>AQ4/AQ5</f>
        <v>-226424</v>
      </c>
      <c r="AR6" s="109">
        <f>AR4/AR5</f>
        <v>-20269</v>
      </c>
      <c r="AS6" s="109">
        <f>AS4/AS5</f>
        <v>-116818</v>
      </c>
      <c r="AT6" s="106">
        <f>SUM(AP6:AS6)</f>
        <v>-199686</v>
      </c>
      <c r="AU6" s="109">
        <f>AU4/AU5</f>
        <v>-466733</v>
      </c>
      <c r="AV6" s="109">
        <f>AV4/AV5</f>
        <v>306036</v>
      </c>
      <c r="AW6" s="109">
        <f>AW4/AW5</f>
        <v>23227</v>
      </c>
      <c r="AX6" s="109">
        <f>AX4/AX5</f>
        <v>286099</v>
      </c>
      <c r="AY6" s="106">
        <f>SUM(AU6:AX6)</f>
        <v>148629</v>
      </c>
      <c r="AZ6" s="109">
        <f>AZ4/AZ5</f>
        <v>606777</v>
      </c>
      <c r="BA6" s="109">
        <f>BA4/BA5</f>
        <v>-198864</v>
      </c>
      <c r="BB6" s="109">
        <f>BB4/BB5</f>
        <v>79898</v>
      </c>
      <c r="BC6" s="109">
        <f>BC4/BC5</f>
        <v>40277</v>
      </c>
      <c r="BD6" s="106">
        <f>SUM(AZ6:BC6)</f>
        <v>528088</v>
      </c>
      <c r="BE6" s="109">
        <f>BE4/BE5</f>
        <v>319260</v>
      </c>
      <c r="BF6" s="109">
        <f>BF4/BF5</f>
        <v>494960</v>
      </c>
      <c r="BG6" s="109">
        <f>BG4/BG5</f>
        <v>27813</v>
      </c>
      <c r="BH6" s="109">
        <f>BH4/BH5</f>
        <v>-168911.59070136514</v>
      </c>
      <c r="BI6" s="106">
        <f>SUM(BE6:BH6)</f>
        <v>673121.40929863486</v>
      </c>
      <c r="BJ6" s="109">
        <f>BJ4/BJ5</f>
        <v>-86694</v>
      </c>
      <c r="BK6" s="109">
        <f>BK4/BK5</f>
        <v>-134686</v>
      </c>
      <c r="BL6" s="109">
        <f>BL4/BL5</f>
        <v>-280699</v>
      </c>
      <c r="BM6" s="109">
        <f>BM4/BM5</f>
        <v>97297.55416851351</v>
      </c>
      <c r="BN6" s="106">
        <f>SUM(BJ6:BM6)</f>
        <v>-404781.44583148649</v>
      </c>
      <c r="BO6" s="109">
        <f>BO4/BO5</f>
        <v>250405.53762567713</v>
      </c>
      <c r="BP6" s="109">
        <f>BP4/BP5</f>
        <v>13064.180325642677</v>
      </c>
      <c r="BQ6" s="109">
        <f>BQ4/BQ5</f>
        <v>-25420.399724328043</v>
      </c>
      <c r="BR6" s="109">
        <f>BR4/BR5</f>
        <v>-248234</v>
      </c>
      <c r="BS6" s="106">
        <f>SUM(BO6:BR6)</f>
        <v>-10184.681773008226</v>
      </c>
      <c r="BT6" s="109">
        <f>BT4/BT5</f>
        <v>31850</v>
      </c>
      <c r="BU6" s="109">
        <f>BU4/BU5</f>
        <v>420710.0653737784</v>
      </c>
      <c r="BV6" s="109">
        <f>BV4/BV5</f>
        <v>824907</v>
      </c>
      <c r="BW6" s="109">
        <f>BW4/BW5</f>
        <v>-350898.56687672419</v>
      </c>
      <c r="BX6" s="106">
        <f>SUM(BT6:BW6)</f>
        <v>926568.49849705421</v>
      </c>
      <c r="BY6" s="109">
        <f>BY4/BY5</f>
        <v>-94230</v>
      </c>
      <c r="BZ6" s="109">
        <f>BZ4/BZ5</f>
        <v>255395</v>
      </c>
      <c r="CA6" s="109">
        <f>CA4/CA5</f>
        <v>375490</v>
      </c>
      <c r="CB6" s="109">
        <f>CB4/CB5</f>
        <v>356067</v>
      </c>
      <c r="CC6" s="106">
        <f>SUM(BY6:CB6)</f>
        <v>892722</v>
      </c>
      <c r="CD6" s="109">
        <f>CD4/CD5</f>
        <v>1811.208715819962</v>
      </c>
      <c r="CE6" s="109">
        <f>CE4/CE5</f>
        <v>298309</v>
      </c>
      <c r="CF6" s="109">
        <f>CF4/CF5</f>
        <v>540138.08518649417</v>
      </c>
      <c r="CG6" s="109">
        <f>CG4/CG5</f>
        <v>598339</v>
      </c>
      <c r="CH6" s="106">
        <f>SUM(CD6:CG6)</f>
        <v>1438597.2939023143</v>
      </c>
      <c r="CI6" s="109">
        <f>CI4/CI5</f>
        <v>30497</v>
      </c>
      <c r="CJ6" s="109">
        <f>CJ4/CJ5</f>
        <v>730024</v>
      </c>
      <c r="CK6" s="109">
        <f>CK4/CK5</f>
        <v>139598</v>
      </c>
      <c r="CL6" s="109">
        <f>CL4/CL5</f>
        <v>107297</v>
      </c>
      <c r="CM6" s="106">
        <f>SUM(CI6:CL6)</f>
        <v>1007416</v>
      </c>
      <c r="CN6" s="109">
        <f>CN4/CN5</f>
        <v>-79195</v>
      </c>
      <c r="CO6" s="109">
        <f>CO4/CO5</f>
        <v>384297</v>
      </c>
      <c r="CP6" s="109">
        <f>CP4/CP5</f>
        <v>1014336</v>
      </c>
      <c r="CQ6" s="109">
        <f>CQ4/CQ5</f>
        <v>-65972</v>
      </c>
      <c r="CR6" s="106">
        <f>SUM(CN6:CQ6)</f>
        <v>1253466</v>
      </c>
      <c r="CS6" s="109">
        <f>CS4/CS5</f>
        <v>-205012</v>
      </c>
      <c r="CT6" s="109">
        <f>CT4/CT5</f>
        <v>134115</v>
      </c>
      <c r="CU6" s="109">
        <f>CU4/CU5</f>
        <v>54735</v>
      </c>
      <c r="CV6" s="109">
        <f>CV4/CV5</f>
        <v>112991</v>
      </c>
      <c r="CW6" s="106">
        <f>SUM(CS6:CV6)</f>
        <v>96829</v>
      </c>
      <c r="CX6" s="109">
        <f>CX4/CX5</f>
        <v>102578</v>
      </c>
      <c r="CY6" s="109">
        <f>CY4/CY5</f>
        <v>75241</v>
      </c>
      <c r="CZ6" s="109">
        <f>CZ4/CZ5</f>
        <v>122374.12420259745</v>
      </c>
      <c r="DA6" s="109">
        <f>DA4/DA5</f>
        <v>402138.73732310784</v>
      </c>
      <c r="DB6" s="106">
        <f>SUM(CX6:DA6)</f>
        <v>702331.86152570532</v>
      </c>
      <c r="DC6" s="109">
        <f>DC4/DC5</f>
        <v>53068</v>
      </c>
      <c r="DD6" s="109">
        <f>DD4/DD5</f>
        <v>509069</v>
      </c>
      <c r="DE6" s="109">
        <f>DE4/DE5</f>
        <v>985177</v>
      </c>
      <c r="DF6" s="109">
        <f>DF4/DF5</f>
        <v>994158.01298020617</v>
      </c>
      <c r="DG6" s="106">
        <f>SUM(DC6:DF6)</f>
        <v>2541472.0129802059</v>
      </c>
      <c r="DH6" s="109">
        <f>DH4/DH5</f>
        <v>37314.68348912886</v>
      </c>
      <c r="DI6" s="109">
        <f>DI4/DI5</f>
        <v>382998.666977296</v>
      </c>
      <c r="DJ6" s="109">
        <f ca="1">DJ4/DJ5</f>
        <v>454455.93976736098</v>
      </c>
      <c r="DK6" s="109">
        <f ca="1">DK4/DK5</f>
        <v>51123.180339685634</v>
      </c>
      <c r="DL6" s="106">
        <f ca="1">SUM(DH6:DK6)</f>
        <v>925892.47057347139</v>
      </c>
      <c r="DM6" s="109">
        <f ca="1">DM4/DM5</f>
        <v>292372.89064619935</v>
      </c>
      <c r="DN6" s="109">
        <f ca="1">DN4/DN5</f>
        <v>-133758.08572043481</v>
      </c>
      <c r="DO6" s="109">
        <f ca="1">DO4/DO5</f>
        <v>-247298.73326623943</v>
      </c>
      <c r="DP6" s="109">
        <f ca="1">DP4/DP5</f>
        <v>-147535.75811958039</v>
      </c>
      <c r="DQ6" s="106">
        <f ca="1">SUM(DM6:DP6)</f>
        <v>-236219.68646005529</v>
      </c>
      <c r="DR6" s="109">
        <f ca="1">DR4/DR5</f>
        <v>306428.50259153376</v>
      </c>
      <c r="DS6" s="109">
        <f ca="1">DS4/DS5</f>
        <v>-32987.98577318457</v>
      </c>
      <c r="DT6" s="109">
        <f ca="1">DT4/DT5</f>
        <v>-39817.155412148604</v>
      </c>
      <c r="DU6" s="109">
        <f ca="1">DU4/DU5</f>
        <v>-147319.18934006782</v>
      </c>
      <c r="DV6" s="106">
        <f ca="1">SUM(DR6:DU6)</f>
        <v>86304.172066132771</v>
      </c>
      <c r="DW6" s="109">
        <f ca="1">DW4/DW5</f>
        <v>508072.10084265075</v>
      </c>
      <c r="DX6" s="109">
        <f ca="1">DX4/DX5</f>
        <v>105718.72673437824</v>
      </c>
      <c r="DY6" s="109">
        <f ca="1">DY4/DY5</f>
        <v>189975.68829508565</v>
      </c>
      <c r="DZ6" s="109">
        <f ca="1">DZ4/DZ5</f>
        <v>199032.44315269179</v>
      </c>
      <c r="EA6" s="106">
        <f ca="1">SUM(DW6:DZ6)</f>
        <v>1002798.9590248065</v>
      </c>
      <c r="EB6" s="109">
        <f ca="1">EB4/EB5</f>
        <v>665896.48911786429</v>
      </c>
      <c r="EC6" s="109">
        <f ca="1">EC4/EC5</f>
        <v>228108.17226792237</v>
      </c>
      <c r="ED6" s="109">
        <f ca="1">ED4/ED5</f>
        <v>167412.92325579975</v>
      </c>
      <c r="EE6" s="109">
        <f ca="1">EE4/EE5</f>
        <v>209093.34272002737</v>
      </c>
      <c r="EF6" s="106">
        <f ca="1">SUM(EB6:EE6)</f>
        <v>1270510.9273616138</v>
      </c>
      <c r="EG6" s="107">
        <f ca="1">EG4/EG5</f>
        <v>7143248.1395556517</v>
      </c>
    </row>
    <row r="7" spans="1:151">
      <c r="U7" s="106"/>
    </row>
    <row r="8" spans="1:151" ht="12.75" customHeight="1" thickBot="1">
      <c r="A8" s="69" t="s">
        <v>676</v>
      </c>
      <c r="B8" s="127"/>
      <c r="C8" s="124"/>
      <c r="D8" s="133" t="s">
        <v>126</v>
      </c>
    </row>
    <row r="9" spans="1:151" ht="12.75" customHeight="1" outlineLevel="1">
      <c r="A9" s="66" t="s">
        <v>113</v>
      </c>
      <c r="B9" s="110">
        <v>0</v>
      </c>
      <c r="D9" s="66" t="s">
        <v>127</v>
      </c>
      <c r="E9" s="275"/>
      <c r="K9" s="111"/>
      <c r="P9" s="111"/>
      <c r="U9" s="111"/>
      <c r="Z9" s="111"/>
      <c r="AE9" s="111"/>
      <c r="AJ9" s="112"/>
      <c r="AO9" s="112"/>
      <c r="AT9" s="112"/>
      <c r="AY9" s="112"/>
      <c r="BD9" s="112"/>
      <c r="BI9" s="112"/>
      <c r="BN9" s="112"/>
      <c r="BS9" s="112"/>
      <c r="BX9" s="112"/>
      <c r="CC9" s="112"/>
      <c r="CH9" s="112"/>
      <c r="CM9" s="112"/>
      <c r="CR9" s="112"/>
      <c r="CW9" s="112"/>
      <c r="DB9" s="112"/>
      <c r="DG9" s="112"/>
      <c r="DL9" s="112"/>
      <c r="DQ9" s="112"/>
      <c r="DV9" s="112"/>
      <c r="EA9" s="112"/>
      <c r="EF9" s="112"/>
    </row>
    <row r="10" spans="1:151" ht="12.75" customHeight="1">
      <c r="A10" s="66" t="s">
        <v>87</v>
      </c>
      <c r="B10" s="110">
        <f ca="1">SUM(DL6,DQ6,DV6,EA6,EF6,EG6,B9)*(1+B23)</f>
        <v>11831494.607246777</v>
      </c>
      <c r="D10" s="66" t="s">
        <v>128</v>
      </c>
      <c r="E10" s="276"/>
      <c r="AJ10" s="91"/>
      <c r="AO10" s="91"/>
      <c r="AT10" s="91"/>
      <c r="AY10" s="91"/>
      <c r="BD10" s="91"/>
      <c r="BI10" s="91"/>
      <c r="BN10" s="91"/>
      <c r="BS10" s="91"/>
      <c r="BX10" s="91"/>
      <c r="CC10" s="91"/>
      <c r="CH10" s="91"/>
      <c r="CM10" s="91"/>
      <c r="CR10" s="91"/>
      <c r="CW10" s="91"/>
      <c r="DB10" s="91"/>
      <c r="DG10" s="91"/>
      <c r="DL10" s="91"/>
      <c r="DQ10" s="91"/>
      <c r="DV10" s="91"/>
      <c r="EA10" s="91"/>
      <c r="EF10" s="91"/>
    </row>
    <row r="11" spans="1:151" ht="12.75" customHeight="1">
      <c r="A11" s="66" t="s">
        <v>58</v>
      </c>
      <c r="B11" s="114">
        <f>'TP Calculation'!C9</f>
        <v>435757</v>
      </c>
      <c r="D11" s="66" t="s">
        <v>129</v>
      </c>
      <c r="E11" s="169"/>
      <c r="AE11" s="112"/>
      <c r="AJ11" s="112"/>
      <c r="AO11" s="112"/>
      <c r="AT11" s="112"/>
      <c r="AY11" s="112"/>
      <c r="BD11" s="112"/>
      <c r="BI11" s="112"/>
      <c r="BN11" s="112"/>
      <c r="BS11" s="112"/>
      <c r="BX11" s="112"/>
      <c r="CC11" s="112"/>
      <c r="CH11" s="112"/>
      <c r="CM11" s="112"/>
      <c r="CR11" s="112"/>
      <c r="CW11" s="112"/>
      <c r="DB11" s="112"/>
      <c r="DG11" s="112"/>
      <c r="DL11" s="112"/>
      <c r="DQ11" s="112"/>
      <c r="DV11" s="112"/>
      <c r="EA11" s="112"/>
      <c r="EF11" s="112"/>
    </row>
    <row r="12" spans="1:151" s="68" customFormat="1" ht="12.75" customHeight="1">
      <c r="A12" s="68" t="s">
        <v>59</v>
      </c>
      <c r="B12" s="117">
        <f ca="1">ROUND(B10/B11,0)</f>
        <v>27</v>
      </c>
      <c r="D12" s="116"/>
      <c r="F12" s="115"/>
      <c r="K12" s="115"/>
      <c r="P12" s="115"/>
      <c r="U12" s="115"/>
      <c r="Z12" s="115"/>
      <c r="AE12" s="91"/>
      <c r="AJ12" s="91"/>
      <c r="AO12" s="91"/>
      <c r="AT12" s="91"/>
      <c r="AY12" s="91"/>
      <c r="BD12" s="91"/>
      <c r="BI12" s="91"/>
      <c r="BN12" s="91"/>
      <c r="BS12" s="91"/>
      <c r="BX12" s="91"/>
      <c r="CC12" s="91"/>
      <c r="CH12" s="91"/>
      <c r="CM12" s="91"/>
      <c r="CR12" s="91"/>
      <c r="CW12" s="91"/>
      <c r="DB12" s="91"/>
      <c r="DG12" s="91"/>
      <c r="DL12" s="91"/>
      <c r="DQ12" s="91"/>
      <c r="DV12" s="91"/>
      <c r="EA12" s="91"/>
      <c r="EF12" s="91"/>
      <c r="EG12" s="121"/>
    </row>
    <row r="13" spans="1:151" ht="12.75" customHeight="1">
      <c r="A13" s="66" t="s">
        <v>60</v>
      </c>
      <c r="B13" s="119">
        <v>31</v>
      </c>
      <c r="D13" s="118"/>
      <c r="F13" s="91"/>
      <c r="AE13" s="91"/>
      <c r="AJ13" s="91"/>
      <c r="AO13" s="91"/>
      <c r="AT13" s="91"/>
      <c r="AY13" s="91"/>
      <c r="BD13" s="91"/>
      <c r="BI13" s="91"/>
      <c r="BN13" s="91"/>
      <c r="BS13" s="91"/>
      <c r="BX13" s="91"/>
      <c r="CC13" s="91"/>
      <c r="CH13" s="91"/>
      <c r="CM13" s="91"/>
      <c r="CR13" s="91"/>
      <c r="CW13" s="91"/>
      <c r="DB13" s="91"/>
      <c r="DG13" s="91"/>
      <c r="DL13" s="91"/>
      <c r="DQ13" s="91"/>
      <c r="DV13" s="91"/>
      <c r="EA13" s="91"/>
      <c r="EF13" s="91"/>
      <c r="EG13" s="121"/>
      <c r="EH13" s="122"/>
      <c r="EI13" s="122" t="e">
        <f>IRR(EJ13:EV13)</f>
        <v>#VALUE!</v>
      </c>
      <c r="EJ13" s="114" t="e">
        <f>-#REF!</f>
        <v>#REF!</v>
      </c>
      <c r="EK13" s="110" t="e">
        <f>#REF!</f>
        <v>#REF!</v>
      </c>
      <c r="EL13" s="110" t="e">
        <f>#REF!</f>
        <v>#REF!</v>
      </c>
      <c r="EM13" s="110" t="e">
        <f>#REF!</f>
        <v>#REF!</v>
      </c>
      <c r="EN13" s="110" t="e">
        <f>#REF!</f>
        <v>#REF!</v>
      </c>
      <c r="EO13" s="110" t="e">
        <f>#REF!</f>
        <v>#REF!</v>
      </c>
      <c r="EP13" s="110" t="e">
        <f>#REF!</f>
        <v>#REF!</v>
      </c>
      <c r="EQ13" s="110" t="e">
        <f>#REF!</f>
        <v>#REF!</v>
      </c>
      <c r="ER13" s="110" t="e">
        <f>#REF!</f>
        <v>#REF!</v>
      </c>
      <c r="ES13" s="110" t="e">
        <f>#REF!</f>
        <v>#REF!</v>
      </c>
      <c r="ET13" s="110" t="e">
        <f>#REF!</f>
        <v>#REF!</v>
      </c>
      <c r="EU13" s="110" t="e">
        <f>#REF!+#REF!</f>
        <v>#REF!</v>
      </c>
    </row>
    <row r="14" spans="1:151" s="68" customFormat="1" ht="12.75" customHeight="1">
      <c r="A14" s="68" t="s">
        <v>748</v>
      </c>
      <c r="B14" s="123">
        <f ca="1">+B12/B13-1</f>
        <v>-0.12903225806451613</v>
      </c>
      <c r="D14" s="123"/>
      <c r="F14" s="115"/>
      <c r="K14" s="115"/>
      <c r="P14" s="115"/>
      <c r="U14" s="115"/>
      <c r="Z14" s="115"/>
      <c r="AE14" s="91"/>
      <c r="AJ14" s="91"/>
      <c r="AO14" s="91"/>
      <c r="AT14" s="91"/>
      <c r="AY14" s="91"/>
      <c r="BD14" s="91"/>
      <c r="BI14" s="91"/>
      <c r="BN14" s="91"/>
      <c r="BS14" s="91"/>
      <c r="BX14" s="91"/>
      <c r="CC14" s="91"/>
      <c r="CH14" s="91"/>
      <c r="CM14" s="91"/>
      <c r="CR14" s="91"/>
      <c r="CW14" s="91"/>
      <c r="DB14" s="91"/>
      <c r="DG14" s="91"/>
      <c r="DL14" s="91"/>
      <c r="DQ14" s="91"/>
      <c r="DV14" s="91"/>
      <c r="EA14" s="91"/>
      <c r="EF14" s="91"/>
      <c r="EG14" s="121"/>
    </row>
    <row r="15" spans="1:151" ht="12.75" customHeight="1">
      <c r="B15" s="124"/>
      <c r="C15" s="124"/>
    </row>
    <row r="16" spans="1:151" ht="12.75" customHeight="1" thickBot="1">
      <c r="A16" s="69" t="s">
        <v>670</v>
      </c>
      <c r="B16" s="127"/>
      <c r="C16" s="124"/>
    </row>
    <row r="17" spans="1:137" ht="12.75" customHeight="1" outlineLevel="1">
      <c r="A17" s="66" t="s">
        <v>664</v>
      </c>
      <c r="B17" s="277">
        <v>7.0000000000000007E-2</v>
      </c>
    </row>
    <row r="18" spans="1:137" ht="12.75" customHeight="1" outlineLevel="1">
      <c r="A18" s="66" t="s">
        <v>665</v>
      </c>
      <c r="B18" s="278">
        <f>Macro!DQ16</f>
        <v>0.04</v>
      </c>
      <c r="D18" s="129"/>
    </row>
    <row r="19" spans="1:137" ht="12.75" customHeight="1">
      <c r="A19" s="66" t="s">
        <v>673</v>
      </c>
      <c r="B19" s="278">
        <f>(1+B17)*(1+B18)-1</f>
        <v>0.11280000000000001</v>
      </c>
      <c r="D19" s="405">
        <f>('Income Statement'!DB76-4%)/(DCF!B23-4%)</f>
        <v>1.2721604097259276</v>
      </c>
    </row>
    <row r="20" spans="1:137" ht="12.75" customHeight="1" outlineLevel="1">
      <c r="A20" s="66" t="s">
        <v>674</v>
      </c>
      <c r="B20" s="277">
        <v>0.04</v>
      </c>
      <c r="D20" s="129"/>
    </row>
    <row r="21" spans="1:137" ht="12.75" customHeight="1" outlineLevel="1">
      <c r="A21" s="66" t="s">
        <v>666</v>
      </c>
      <c r="B21" s="279">
        <v>1.2</v>
      </c>
      <c r="D21" s="129"/>
    </row>
    <row r="22" spans="1:137" ht="12.75" customHeight="1">
      <c r="A22" s="66" t="s">
        <v>675</v>
      </c>
      <c r="B22" s="280">
        <f>B20*B21</f>
        <v>4.8000000000000001E-2</v>
      </c>
      <c r="D22" s="129"/>
    </row>
    <row r="23" spans="1:137" ht="12.75" customHeight="1">
      <c r="A23" s="68" t="s">
        <v>75</v>
      </c>
      <c r="B23" s="281">
        <f>B19+B22</f>
        <v>0.1608</v>
      </c>
      <c r="C23" s="125">
        <f>(1+B23)^0.25-1</f>
        <v>3.7980870773855147E-2</v>
      </c>
      <c r="D23" s="129"/>
    </row>
    <row r="24" spans="1:137" ht="12.75" customHeight="1" outlineLevel="1">
      <c r="A24" s="66" t="s">
        <v>667</v>
      </c>
      <c r="B24" s="277">
        <v>3.0000000000000001E-3</v>
      </c>
      <c r="D24" s="129"/>
    </row>
    <row r="25" spans="1:137" ht="12.75" customHeight="1">
      <c r="A25" s="66" t="s">
        <v>668</v>
      </c>
      <c r="B25" s="278">
        <f>(1+B18)*(1+B24)-1</f>
        <v>4.3119999999999825E-2</v>
      </c>
      <c r="C25" s="282">
        <f>1/(B23-B25)</f>
        <v>8.4976206662134484</v>
      </c>
      <c r="D25" s="129"/>
    </row>
    <row r="26" spans="1:137" ht="12.75" customHeight="1">
      <c r="Z26" s="130"/>
    </row>
    <row r="27" spans="1:137" s="70" customFormat="1" ht="12.75" customHeight="1" thickBot="1">
      <c r="A27" s="69" t="s">
        <v>98</v>
      </c>
      <c r="B27" s="93"/>
      <c r="C27" s="93"/>
      <c r="D27" s="93"/>
      <c r="E27" s="93"/>
      <c r="F27" s="92"/>
      <c r="G27" s="93"/>
      <c r="H27" s="93"/>
      <c r="I27" s="93"/>
      <c r="J27" s="93"/>
      <c r="K27" s="92"/>
      <c r="L27" s="93" t="str">
        <f>Macro!L$3</f>
        <v>1Q06</v>
      </c>
      <c r="M27" s="93" t="str">
        <f>Macro!M$3</f>
        <v>2Q06</v>
      </c>
      <c r="N27" s="93" t="str">
        <f>Macro!N$3</f>
        <v>3Q06</v>
      </c>
      <c r="O27" s="94" t="str">
        <f>Macro!O$3</f>
        <v>4Q06</v>
      </c>
      <c r="P27" s="92" t="str">
        <f>Macro!P$3</f>
        <v>2006</v>
      </c>
      <c r="Q27" s="93" t="str">
        <f>Macro!Q$3</f>
        <v>1Q07</v>
      </c>
      <c r="R27" s="93" t="str">
        <f>Macro!R$3</f>
        <v>2Q07</v>
      </c>
      <c r="S27" s="93" t="str">
        <f>Macro!S$3</f>
        <v>3Q07</v>
      </c>
      <c r="T27" s="94" t="str">
        <f>Macro!T$3</f>
        <v>4Q07</v>
      </c>
      <c r="U27" s="92" t="str">
        <f>Macro!U$3</f>
        <v>2007</v>
      </c>
      <c r="V27" s="93" t="str">
        <f>Macro!V$3</f>
        <v>1Q08</v>
      </c>
      <c r="W27" s="93" t="str">
        <f>Macro!W$3</f>
        <v>2Q08</v>
      </c>
      <c r="X27" s="93" t="str">
        <f>Macro!X$3</f>
        <v>3Q08</v>
      </c>
      <c r="Y27" s="94" t="str">
        <f>Macro!Y$3</f>
        <v>4Q08</v>
      </c>
      <c r="Z27" s="92" t="str">
        <f>Macro!Z$3</f>
        <v>2008</v>
      </c>
      <c r="AA27" s="93" t="str">
        <f>Macro!AA$3</f>
        <v>1Q09</v>
      </c>
      <c r="AB27" s="93" t="str">
        <f>Macro!AB$3</f>
        <v>2Q09</v>
      </c>
      <c r="AC27" s="93" t="str">
        <f>Macro!AC$3</f>
        <v>3Q09</v>
      </c>
      <c r="AD27" s="94" t="str">
        <f>Macro!AD$3</f>
        <v>4Q09</v>
      </c>
      <c r="AE27" s="92" t="str">
        <f>Macro!AE$3</f>
        <v>2009</v>
      </c>
      <c r="AF27" s="93" t="str">
        <f>Macro!AF$3</f>
        <v>1Q10</v>
      </c>
      <c r="AG27" s="93" t="str">
        <f>Macro!AG$3</f>
        <v>2Q10</v>
      </c>
      <c r="AH27" s="93" t="str">
        <f>Macro!AH$3</f>
        <v>3Q10</v>
      </c>
      <c r="AI27" s="94" t="str">
        <f>Macro!AI$3</f>
        <v>4Q10</v>
      </c>
      <c r="AJ27" s="92" t="str">
        <f>Macro!AJ$3</f>
        <v>2010</v>
      </c>
      <c r="AK27" s="93" t="str">
        <f>Macro!AK$3</f>
        <v>1Q11</v>
      </c>
      <c r="AL27" s="93" t="str">
        <f>Macro!AL$3</f>
        <v>2Q11</v>
      </c>
      <c r="AM27" s="93" t="str">
        <f>Macro!AM$3</f>
        <v>3Q11</v>
      </c>
      <c r="AN27" s="94" t="str">
        <f>Macro!AN$3</f>
        <v>4Q11</v>
      </c>
      <c r="AO27" s="92" t="str">
        <f>Macro!AO$3</f>
        <v>2011</v>
      </c>
      <c r="AP27" s="310" t="str">
        <f>Macro!AP$3</f>
        <v>1Q12</v>
      </c>
      <c r="AQ27" s="310" t="str">
        <f>Macro!AQ$3</f>
        <v>2Q12</v>
      </c>
      <c r="AR27" s="310" t="str">
        <f>Macro!AR$3</f>
        <v>3Q12</v>
      </c>
      <c r="AS27" s="310" t="str">
        <f>Macro!AS$3</f>
        <v>4Q12</v>
      </c>
      <c r="AT27" s="311" t="str">
        <f>Macro!AT$3</f>
        <v>2012</v>
      </c>
      <c r="AU27" s="310" t="str">
        <f>Macro!AU$3</f>
        <v>1Q13</v>
      </c>
      <c r="AV27" s="310" t="str">
        <f>Macro!AV$3</f>
        <v>2Q13</v>
      </c>
      <c r="AW27" s="310" t="str">
        <f>Macro!AW$3</f>
        <v>3Q13</v>
      </c>
      <c r="AX27" s="310" t="str">
        <f>Macro!AX$3</f>
        <v>4Q13</v>
      </c>
      <c r="AY27" s="311" t="str">
        <f>Macro!AY$3</f>
        <v>2013</v>
      </c>
      <c r="AZ27" s="310" t="str">
        <f>Macro!AZ$3</f>
        <v>1Q14</v>
      </c>
      <c r="BA27" s="310" t="str">
        <f>Macro!BA$3</f>
        <v>2Q14</v>
      </c>
      <c r="BB27" s="310" t="str">
        <f>Macro!BB$3</f>
        <v>3Q14</v>
      </c>
      <c r="BC27" s="310" t="str">
        <f>Macro!BC$3</f>
        <v>4Q14</v>
      </c>
      <c r="BD27" s="311" t="str">
        <f>Macro!BD$3</f>
        <v>2014</v>
      </c>
      <c r="BE27" s="310" t="str">
        <f>Macro!BE$3</f>
        <v>1Q15</v>
      </c>
      <c r="BF27" s="310" t="str">
        <f>Macro!BF$3</f>
        <v>2Q15</v>
      </c>
      <c r="BG27" s="310" t="str">
        <f>Macro!BG$3</f>
        <v>3Q15</v>
      </c>
      <c r="BH27" s="310" t="str">
        <f>Macro!BH$3</f>
        <v>4Q15</v>
      </c>
      <c r="BI27" s="311" t="str">
        <f>Macro!BI$3</f>
        <v>2015</v>
      </c>
      <c r="BJ27" s="310" t="str">
        <f>Macro!BJ$3</f>
        <v>1Q16</v>
      </c>
      <c r="BK27" s="310" t="str">
        <f>Macro!BK$3</f>
        <v>2Q16</v>
      </c>
      <c r="BL27" s="310" t="str">
        <f>Macro!BL$3</f>
        <v>3Q16</v>
      </c>
      <c r="BM27" s="310" t="str">
        <f>Macro!BM$3</f>
        <v>4Q16</v>
      </c>
      <c r="BN27" s="311" t="str">
        <f>Macro!BN$3</f>
        <v>2016</v>
      </c>
      <c r="BO27" s="310" t="str">
        <f>Macro!BO$3</f>
        <v>1Q17</v>
      </c>
      <c r="BP27" s="310" t="str">
        <f>Macro!BP$3</f>
        <v>2Q17</v>
      </c>
      <c r="BQ27" s="310" t="str">
        <f>Macro!BQ$3</f>
        <v>3Q17</v>
      </c>
      <c r="BR27" s="310" t="str">
        <f>Macro!BR$3</f>
        <v>4Q17</v>
      </c>
      <c r="BS27" s="311" t="str">
        <f>Macro!BS$3</f>
        <v>2017</v>
      </c>
      <c r="BT27" s="310"/>
      <c r="BU27" s="310"/>
      <c r="BV27" s="310"/>
      <c r="BW27" s="310"/>
      <c r="BX27" s="311" t="str">
        <f>Macro!BX$3</f>
        <v>2018</v>
      </c>
      <c r="BY27" s="310"/>
      <c r="BZ27" s="310"/>
      <c r="CA27" s="310"/>
      <c r="CB27" s="310"/>
      <c r="CC27" s="311" t="str">
        <f>Macro!CC$3</f>
        <v>2019</v>
      </c>
      <c r="CD27" s="310"/>
      <c r="CE27" s="310"/>
      <c r="CF27" s="310"/>
      <c r="CG27" s="310"/>
      <c r="CH27" s="311" t="str">
        <f>Macro!CH$3</f>
        <v>2020</v>
      </c>
      <c r="CI27" s="310"/>
      <c r="CJ27" s="310"/>
      <c r="CK27" s="310"/>
      <c r="CL27" s="310"/>
      <c r="CM27" s="311" t="str">
        <f>Macro!CM$3</f>
        <v>2021</v>
      </c>
      <c r="CN27" s="310"/>
      <c r="CO27" s="310"/>
      <c r="CP27" s="310"/>
      <c r="CQ27" s="310"/>
      <c r="CR27" s="311" t="str">
        <f>Macro!CR$3</f>
        <v>2022</v>
      </c>
      <c r="CS27" s="310"/>
      <c r="CT27" s="310"/>
      <c r="CU27" s="310"/>
      <c r="CV27" s="310"/>
      <c r="CW27" s="311" t="str">
        <f>Macro!CW$3</f>
        <v>2023</v>
      </c>
      <c r="CX27" s="310"/>
      <c r="CY27" s="310"/>
      <c r="CZ27" s="310"/>
      <c r="DA27" s="310"/>
      <c r="DB27" s="311" t="str">
        <f>Macro!DB$3</f>
        <v>2024</v>
      </c>
      <c r="DC27" s="310"/>
      <c r="DD27" s="310"/>
      <c r="DE27" s="310"/>
      <c r="DF27" s="310"/>
      <c r="DG27" s="311" t="str">
        <f>Macro!DG$3</f>
        <v>2025</v>
      </c>
      <c r="DH27" s="310"/>
      <c r="DI27" s="310"/>
      <c r="DJ27" s="310"/>
      <c r="DK27" s="310"/>
      <c r="DL27" s="311" t="str">
        <f>Macro!DL$3</f>
        <v>2026E</v>
      </c>
      <c r="DM27" s="310"/>
      <c r="DN27" s="310"/>
      <c r="DO27" s="310"/>
      <c r="DP27" s="310"/>
      <c r="DQ27" s="311" t="str">
        <f>Macro!DQ$3</f>
        <v>2027E</v>
      </c>
      <c r="DR27" s="310"/>
      <c r="DS27" s="310"/>
      <c r="DT27" s="310"/>
      <c r="DU27" s="310"/>
      <c r="DV27" s="311" t="str">
        <f>Macro!DV$3</f>
        <v>2028E</v>
      </c>
      <c r="DW27" s="310"/>
      <c r="DX27" s="310"/>
      <c r="DY27" s="310"/>
      <c r="DZ27" s="310"/>
      <c r="EA27" s="311" t="str">
        <f>Macro!EA$3</f>
        <v>2029E</v>
      </c>
      <c r="EB27" s="310"/>
      <c r="EC27" s="310"/>
      <c r="ED27" s="310"/>
      <c r="EE27" s="310"/>
      <c r="EF27" s="311" t="str">
        <f>Macro!EF$3</f>
        <v>2030E</v>
      </c>
      <c r="EG27" s="70" t="s">
        <v>56</v>
      </c>
    </row>
    <row r="28" spans="1:137" ht="12.75" customHeight="1">
      <c r="A28" s="66" t="s">
        <v>672</v>
      </c>
      <c r="F28" s="136"/>
      <c r="K28" s="136"/>
      <c r="L28" s="66" t="s">
        <v>100</v>
      </c>
      <c r="P28" s="136"/>
      <c r="U28" s="136"/>
      <c r="Z28" s="137"/>
      <c r="AE28" s="137"/>
      <c r="AJ28" s="137">
        <f>$B$13</f>
        <v>31</v>
      </c>
      <c r="AO28" s="137">
        <f>$B$13</f>
        <v>31</v>
      </c>
      <c r="AT28" s="137">
        <f>$B$13</f>
        <v>31</v>
      </c>
      <c r="AY28" s="137">
        <f>$B$13</f>
        <v>31</v>
      </c>
      <c r="BD28" s="137">
        <f>$B$13</f>
        <v>31</v>
      </c>
      <c r="BI28" s="137">
        <f>$B$13</f>
        <v>31</v>
      </c>
      <c r="BN28" s="137">
        <f>$B$13</f>
        <v>31</v>
      </c>
      <c r="BS28" s="137">
        <f>$B$13</f>
        <v>31</v>
      </c>
      <c r="BX28" s="137">
        <f>$B$13</f>
        <v>31</v>
      </c>
      <c r="CC28" s="138">
        <f>$B$13</f>
        <v>31</v>
      </c>
      <c r="CH28" s="138">
        <f>$B$13</f>
        <v>31</v>
      </c>
      <c r="CM28" s="138">
        <f>$B$13</f>
        <v>31</v>
      </c>
      <c r="CR28" s="138">
        <f>$B$13</f>
        <v>31</v>
      </c>
      <c r="CW28" s="138">
        <f>$B$13</f>
        <v>31</v>
      </c>
      <c r="DB28" s="138">
        <f>$B$13</f>
        <v>31</v>
      </c>
      <c r="DG28" s="138">
        <f>$B$13</f>
        <v>31</v>
      </c>
      <c r="DL28" s="138">
        <f>$B$13</f>
        <v>31</v>
      </c>
      <c r="DQ28" s="138">
        <f>$B$13</f>
        <v>31</v>
      </c>
      <c r="DV28" s="138">
        <f>$B$13</f>
        <v>31</v>
      </c>
      <c r="EA28" s="138">
        <f>$B$13</f>
        <v>31</v>
      </c>
      <c r="EF28" s="138">
        <f>$B$13</f>
        <v>31</v>
      </c>
    </row>
    <row r="29" spans="1:137" ht="12.75" hidden="1" customHeight="1" outlineLevel="1">
      <c r="A29" s="66" t="s">
        <v>53</v>
      </c>
      <c r="F29" s="106"/>
      <c r="K29" s="106"/>
      <c r="P29" s="106"/>
      <c r="U29" s="106"/>
      <c r="Z29" s="139"/>
      <c r="AE29" s="139"/>
      <c r="AJ29" s="106">
        <f>AJ28*'Income Statement'!AJ78</f>
        <v>13113120.497</v>
      </c>
      <c r="AO29" s="106">
        <f>AJ29</f>
        <v>13113120.497</v>
      </c>
      <c r="AT29" s="106">
        <f>AO29</f>
        <v>13113120.497</v>
      </c>
      <c r="AY29" s="106">
        <f>AY28*'Income Statement'!AY78</f>
        <v>12625071.470000003</v>
      </c>
      <c r="BD29" s="106">
        <f>BD28*'Income Statement'!BD78</f>
        <v>11871016</v>
      </c>
      <c r="BI29" s="106">
        <f>BI28*'Income Statement'!BI78</f>
        <v>11751504.768999999</v>
      </c>
      <c r="BN29" s="106">
        <f>BN28*'Income Statement'!BN78</f>
        <v>11846619</v>
      </c>
      <c r="BS29" s="106">
        <f>BS28*'Income Statement'!BS78</f>
        <v>11863948</v>
      </c>
      <c r="BX29" s="106">
        <f>BX28*'Income Statement'!BX78</f>
        <v>11911099</v>
      </c>
      <c r="CC29" s="106">
        <f>CC28*'Income Statement'!CC78</f>
        <v>11917237</v>
      </c>
      <c r="CH29" s="106">
        <f>CH28*'Income Statement'!CH78</f>
        <v>11919624</v>
      </c>
      <c r="CM29" s="106">
        <f>CM28*'Income Statement'!CM78</f>
        <v>11919624</v>
      </c>
      <c r="CR29" s="106">
        <f>CR28*'Income Statement'!CR78</f>
        <v>13904461</v>
      </c>
      <c r="CW29" s="106">
        <f>CW28*'Income Statement'!CW78</f>
        <v>13879351</v>
      </c>
      <c r="DB29" s="106">
        <f>DB28*'Income Statement'!DB78</f>
        <v>14107325</v>
      </c>
      <c r="DG29" s="106">
        <f>DG28*'Income Statement'!DG78</f>
        <v>13612441</v>
      </c>
      <c r="DL29" s="106">
        <f>DL28*'Income Statement'!DL78</f>
        <v>13508467</v>
      </c>
      <c r="DQ29" s="106">
        <f>DQ28*'Income Statement'!DQ78</f>
        <v>13508467</v>
      </c>
      <c r="DV29" s="106">
        <f>DV28*'Income Statement'!DV78</f>
        <v>13508467</v>
      </c>
      <c r="EA29" s="106">
        <f>EA28*'Income Statement'!EA78</f>
        <v>13508467</v>
      </c>
      <c r="EF29" s="106">
        <f>EF28*'Income Statement'!EF78</f>
        <v>13508467</v>
      </c>
    </row>
    <row r="30" spans="1:137" ht="12.75" customHeight="1" collapsed="1">
      <c r="A30" s="68" t="s">
        <v>54</v>
      </c>
      <c r="F30" s="140"/>
      <c r="K30" s="140"/>
      <c r="P30" s="140"/>
      <c r="U30" s="140"/>
      <c r="Z30" s="140"/>
      <c r="AE30" s="140"/>
      <c r="AJ30" s="140">
        <f>AJ28/'Income Statement'!AJ$80</f>
        <v>21.823839204604113</v>
      </c>
      <c r="AO30" s="140">
        <f>AO28/'Income Statement'!AO$80</f>
        <v>24.221370208330605</v>
      </c>
      <c r="AT30" s="140">
        <f>AT28/'Income Statement'!AT$80</f>
        <v>18.801498160062408</v>
      </c>
      <c r="AY30" s="140">
        <f>AY28/'Income Statement'!AY$80</f>
        <v>17.770400618642466</v>
      </c>
      <c r="BD30" s="140">
        <f>BD28/'Income Statement'!BD$80</f>
        <v>18.377240177233826</v>
      </c>
      <c r="BI30" s="140">
        <f>BI28/'Income Statement'!BI$80</f>
        <v>26.222393238610991</v>
      </c>
      <c r="BN30" s="140">
        <f>BN28/'Income Statement'!BN$80</f>
        <v>78.133765989217181</v>
      </c>
      <c r="BS30" s="140">
        <f>BS28/'Income Statement'!BS$80</f>
        <v>-124.81681560776389</v>
      </c>
      <c r="BX30" s="140">
        <f>BX28/'Income Statement'!BX$80</f>
        <v>-114.02182765922788</v>
      </c>
      <c r="CC30" s="140">
        <f>CC28/'Income Statement'!CC$80</f>
        <v>28.656510389738433</v>
      </c>
      <c r="CH30" s="140">
        <f>CH28/'Income Statement'!CH$80</f>
        <v>19.626633984237344</v>
      </c>
      <c r="CM30" s="140">
        <f>CM28/'Income Statement'!CM$80</f>
        <v>13.036100857981857</v>
      </c>
      <c r="CR30" s="140">
        <f>CR28/'Income Statement'!CR$80</f>
        <v>17.372836823756305</v>
      </c>
      <c r="CW30" s="140">
        <f>CW28/'Income Statement'!CW$80</f>
        <v>14.73251069430734</v>
      </c>
      <c r="DB30" s="140">
        <f>DB28/'Income Statement'!DB$80</f>
        <v>8.4514119500593079</v>
      </c>
      <c r="DG30" s="140">
        <f>DG28/'Income Statement'!DG$80</f>
        <v>7.5887918981176927</v>
      </c>
      <c r="DL30" s="140">
        <f ca="1">DL28/'Income Statement'!DL$80</f>
        <v>7.1470718709489534</v>
      </c>
      <c r="DQ30" s="140">
        <f ca="1">DQ28/'Income Statement'!DQ$80</f>
        <v>6.0911067639408571</v>
      </c>
      <c r="DV30" s="140">
        <f ca="1">DV28/'Income Statement'!DV$80</f>
        <v>5.7219182928922976</v>
      </c>
      <c r="EA30" s="140">
        <f ca="1">EA28/'Income Statement'!EA$80</f>
        <v>5.4615538095178895</v>
      </c>
      <c r="EF30" s="140">
        <f ca="1">EF28/'Income Statement'!EF$80</f>
        <v>4.9708358509873838</v>
      </c>
    </row>
    <row r="31" spans="1:137" ht="12.75" customHeight="1">
      <c r="A31" s="68" t="s">
        <v>61</v>
      </c>
      <c r="F31" s="140"/>
      <c r="K31" s="140"/>
      <c r="P31" s="140"/>
      <c r="U31" s="140"/>
      <c r="Z31" s="140"/>
      <c r="AE31" s="140"/>
      <c r="AJ31" s="140">
        <f>AJ28/('Balance Sheet'!AJ$57)</f>
        <v>3.0308982121724819</v>
      </c>
      <c r="AO31" s="140">
        <f>AO28/('Balance Sheet'!AO$57)</f>
        <v>2.8012082808640093</v>
      </c>
      <c r="AT31" s="140">
        <f>AT28/('Balance Sheet'!AT$57)</f>
        <v>2.5236445303263428</v>
      </c>
      <c r="AY31" s="140">
        <f>AY28/('Balance Sheet'!AY$57)</f>
        <v>2.3115974466925762</v>
      </c>
      <c r="BD31" s="140">
        <f>BD28/('Balance Sheet'!BD$57)</f>
        <v>2.0976895405993647</v>
      </c>
      <c r="BI31" s="140">
        <f>BI28/('Balance Sheet'!BI$57)</f>
        <v>1.9961642490126197</v>
      </c>
      <c r="BN31" s="140">
        <f>BN28/('Balance Sheet'!BN$57)</f>
        <v>1.9699856457643363</v>
      </c>
      <c r="BS31" s="140">
        <f>BS28/('Balance Sheet'!BS$57)</f>
        <v>2.002492323942699</v>
      </c>
      <c r="BX31" s="140">
        <f>BX28/('Balance Sheet'!BX$57)</f>
        <v>2.3134870258566105</v>
      </c>
      <c r="CC31" s="140">
        <f>CC28/('Balance Sheet'!CC$57)</f>
        <v>2.5023721352534953</v>
      </c>
      <c r="CH31" s="140">
        <f>CH28/('Balance Sheet'!CH$57)</f>
        <v>2.1653409892904887</v>
      </c>
      <c r="CM31" s="140">
        <f>CM28/('Balance Sheet'!CM$57)</f>
        <v>1.9231242332268266</v>
      </c>
      <c r="CR31" s="140">
        <f>CR28/('Balance Sheet'!CR$57)</f>
        <v>1.9523955087405558</v>
      </c>
      <c r="CW31" s="140">
        <f>CW28/('Balance Sheet'!CW$57)</f>
        <v>1.8047770573502526</v>
      </c>
      <c r="DB31" s="140">
        <f>DB28/('Balance Sheet'!DB$57)</f>
        <v>1.5860439665947959</v>
      </c>
      <c r="DG31" s="140">
        <f>DG28/('Balance Sheet'!DG$57)</f>
        <v>1.3309893803942581</v>
      </c>
      <c r="DL31" s="140">
        <f ca="1">DL28/('Balance Sheet'!DL$57)</f>
        <v>1.1440034299372968</v>
      </c>
      <c r="DQ31" s="140">
        <f ca="1">DQ28/('Balance Sheet'!DQ$57)</f>
        <v>1.0326969303541942</v>
      </c>
      <c r="DV31" s="140">
        <f ca="1">DV28/('Balance Sheet'!DV$57)</f>
        <v>0.98837097274725194</v>
      </c>
      <c r="EA31" s="140">
        <f ca="1">EA28/('Balance Sheet'!EA$57)</f>
        <v>0.94782176861842204</v>
      </c>
      <c r="EF31" s="140">
        <f ca="1">EF28/('Balance Sheet'!EF$57)</f>
        <v>0.90110740299706238</v>
      </c>
    </row>
    <row r="32" spans="1:137" ht="12.75" customHeight="1">
      <c r="A32" s="68" t="s">
        <v>142</v>
      </c>
      <c r="F32" s="140"/>
      <c r="K32" s="140"/>
      <c r="P32" s="140"/>
      <c r="U32" s="140"/>
      <c r="V32" s="131"/>
      <c r="W32" s="131"/>
      <c r="X32" s="131"/>
      <c r="Y32" s="131"/>
      <c r="Z32" s="91"/>
      <c r="AA32" s="131"/>
      <c r="AB32" s="131"/>
      <c r="AC32" s="131"/>
      <c r="AD32" s="131"/>
      <c r="AE32" s="91"/>
      <c r="AF32" s="131"/>
      <c r="AG32" s="131"/>
      <c r="AH32" s="131"/>
      <c r="AI32" s="131"/>
      <c r="AJ32" s="91">
        <f>'Income Statement'!AJ81/AJ28</f>
        <v>1.0876333050193596E-2</v>
      </c>
      <c r="AK32" s="131"/>
      <c r="AL32" s="131"/>
      <c r="AM32" s="131"/>
      <c r="AN32" s="131"/>
      <c r="AO32" s="91">
        <f>'Income Statement'!AO81/AO28</f>
        <v>9.1407528199652973E-3</v>
      </c>
      <c r="AP32" s="131"/>
      <c r="AQ32" s="131"/>
      <c r="AR32" s="131"/>
      <c r="AS32" s="131"/>
      <c r="AT32" s="91">
        <f>'Income Statement'!AT81/AT28</f>
        <v>1.2299259619105685E-2</v>
      </c>
      <c r="AU32" s="131"/>
      <c r="AV32" s="131"/>
      <c r="AW32" s="131"/>
      <c r="AX32" s="131"/>
      <c r="AY32" s="91">
        <f>'Income Statement'!AY81/AY28</f>
        <v>1.7287236954536093E-2</v>
      </c>
      <c r="AZ32" s="131"/>
      <c r="BA32" s="131"/>
      <c r="BB32" s="131"/>
      <c r="BC32" s="131"/>
      <c r="BD32" s="91">
        <f>'Income Statement'!BD81/BD28</f>
        <v>1.2923593467410014E-2</v>
      </c>
      <c r="BE32" s="131"/>
      <c r="BF32" s="131"/>
      <c r="BG32" s="131"/>
      <c r="BH32" s="131"/>
      <c r="BI32" s="91">
        <f>'Income Statement'!BI81/BI28</f>
        <v>9.0571869016207989E-3</v>
      </c>
      <c r="BJ32" s="131"/>
      <c r="BK32" s="131"/>
      <c r="BL32" s="131"/>
      <c r="BM32" s="131"/>
      <c r="BN32" s="91">
        <f>'Income Statement'!BN81/BN28</f>
        <v>3.0396573621518908E-3</v>
      </c>
      <c r="BO32" s="131"/>
      <c r="BP32" s="131"/>
      <c r="BQ32" s="131"/>
      <c r="BR32" s="131"/>
      <c r="BS32" s="91">
        <f>'Income Statement'!BS81/BS28</f>
        <v>0</v>
      </c>
      <c r="BT32" s="131"/>
      <c r="BU32" s="131"/>
      <c r="BV32" s="131"/>
      <c r="BW32" s="131"/>
      <c r="BX32" s="91">
        <f>'Income Statement'!BX81/BX28</f>
        <v>3.6135486223976152E-2</v>
      </c>
      <c r="BY32" s="131"/>
      <c r="BZ32" s="131"/>
      <c r="CA32" s="131"/>
      <c r="CB32" s="131"/>
      <c r="CC32" s="91">
        <f>'Income Statement'!CC81/CC28</f>
        <v>5.8741541768687261E-2</v>
      </c>
      <c r="CD32" s="131"/>
      <c r="CE32" s="131"/>
      <c r="CF32" s="131"/>
      <c r="CG32" s="131"/>
      <c r="CH32" s="91">
        <f>'Income Statement'!CH81/CH28</f>
        <v>5.8628719281452364E-2</v>
      </c>
      <c r="CI32" s="131"/>
      <c r="CJ32" s="131"/>
      <c r="CK32" s="131"/>
      <c r="CL32" s="131"/>
      <c r="CM32" s="91">
        <f>'Income Statement'!CM81/CM28</f>
        <v>3.5073336080064278E-2</v>
      </c>
      <c r="CN32" s="131"/>
      <c r="CO32" s="131"/>
      <c r="CP32" s="131"/>
      <c r="CQ32" s="131"/>
      <c r="CR32" s="91">
        <f>'Income Statement'!CR81/CR28</f>
        <v>1.5453410144119674E-2</v>
      </c>
      <c r="CS32" s="131"/>
      <c r="CT32" s="131"/>
      <c r="CU32" s="131"/>
      <c r="CV32" s="131"/>
      <c r="CW32" s="91">
        <f>'Income Statement'!CW81/CW28</f>
        <v>2.28475328716739E-2</v>
      </c>
      <c r="CX32" s="131"/>
      <c r="CY32" s="131"/>
      <c r="CZ32" s="131"/>
      <c r="DA32" s="131"/>
      <c r="DB32" s="91">
        <f>'Income Statement'!DB81/DB28</f>
        <v>8.9693534771618198E-3</v>
      </c>
      <c r="DC32" s="131"/>
      <c r="DD32" s="131"/>
      <c r="DE32" s="131"/>
      <c r="DF32" s="131"/>
      <c r="DG32" s="91">
        <f>'Income Statement'!DG81/DG28</f>
        <v>0.10223269874962176</v>
      </c>
      <c r="DH32" s="131"/>
      <c r="DI32" s="131"/>
      <c r="DJ32" s="131"/>
      <c r="DK32" s="131"/>
      <c r="DL32" s="91">
        <f>'Income Statement'!DL81/DL28</f>
        <v>3.7138855208366725E-2</v>
      </c>
      <c r="DM32" s="131"/>
      <c r="DN32" s="131"/>
      <c r="DO32" s="131"/>
      <c r="DP32" s="131"/>
      <c r="DQ32" s="91">
        <f ca="1">'Income Statement'!DQ81/DQ28</f>
        <v>6.9958720022443605E-2</v>
      </c>
      <c r="DR32" s="131"/>
      <c r="DS32" s="131"/>
      <c r="DT32" s="131"/>
      <c r="DU32" s="131"/>
      <c r="DV32" s="91">
        <f ca="1">'Income Statement'!DV81/DV28</f>
        <v>0.13133902113421694</v>
      </c>
      <c r="DW32" s="131"/>
      <c r="DX32" s="131"/>
      <c r="DY32" s="131"/>
      <c r="DZ32" s="131"/>
      <c r="EA32" s="91">
        <f ca="1">'Income Statement'!EA81/EA28</f>
        <v>0.1398132512646591</v>
      </c>
      <c r="EB32" s="131"/>
      <c r="EC32" s="131"/>
      <c r="ED32" s="131"/>
      <c r="EE32" s="131"/>
      <c r="EF32" s="91">
        <f ca="1">'Income Statement'!EF81/EF28</f>
        <v>0.14647846160662817</v>
      </c>
    </row>
    <row r="33" spans="1:136" ht="12.75" customHeight="1">
      <c r="A33" s="68" t="s">
        <v>163</v>
      </c>
      <c r="Z33" s="140"/>
      <c r="AE33" s="140"/>
      <c r="AJ33" s="140">
        <f ca="1">$B$12/'Income Statement'!AJ$80</f>
        <v>19.00785995239713</v>
      </c>
      <c r="AO33" s="140">
        <f ca="1">$B$12/'Income Statement'!AO$80</f>
        <v>21.096032116933106</v>
      </c>
      <c r="AT33" s="140">
        <f ca="1">$B$12/'Income Statement'!AT$80</f>
        <v>16.375498397473709</v>
      </c>
      <c r="AY33" s="140">
        <f ca="1">$B$12/'Income Statement'!AY$80</f>
        <v>15.477445700107955</v>
      </c>
      <c r="BD33" s="140">
        <f ca="1">$B$12/'Income Statement'!BD$80</f>
        <v>16.005983380171397</v>
      </c>
      <c r="BI33" s="140">
        <f ca="1">$B$12/'Income Statement'!BI$80</f>
        <v>22.838858627177313</v>
      </c>
      <c r="BN33" s="140">
        <f ca="1">$B$12/'Income Statement'!BN$80</f>
        <v>68.051989732544001</v>
      </c>
      <c r="BS33" s="140">
        <f ca="1">$B$12/'Income Statement'!BS$80</f>
        <v>-108.71142004547177</v>
      </c>
      <c r="BX33" s="140">
        <f ca="1">$B$12/'Income Statement'!BX$80</f>
        <v>-99.309333767714605</v>
      </c>
      <c r="CC33" s="140">
        <f ca="1">$B$12/'Income Statement'!CC$80</f>
        <v>24.958896145901218</v>
      </c>
      <c r="CH33" s="140">
        <f ca="1">$B$12/'Income Statement'!CH$80</f>
        <v>17.094165083045429</v>
      </c>
      <c r="CM33" s="140">
        <f ca="1">$B$12/'Income Statement'!CM$80</f>
        <v>11.354023327919682</v>
      </c>
      <c r="CR33" s="140">
        <f ca="1">$B$12/'Income Statement'!CR$80</f>
        <v>15.131180459400653</v>
      </c>
      <c r="CW33" s="140">
        <f ca="1">$B$12/'Income Statement'!CW$80</f>
        <v>12.831541572461232</v>
      </c>
      <c r="DB33" s="140">
        <f ca="1">$B$12/'Income Statement'!DB$80</f>
        <v>7.3609071823097203</v>
      </c>
      <c r="DG33" s="140">
        <f ca="1">$B$12/'Income Statement'!DG$80</f>
        <v>6.6095929435218617</v>
      </c>
      <c r="DL33" s="140">
        <f ca="1">$B$12/'Income Statement'!DL$80</f>
        <v>6.2248690488910237</v>
      </c>
      <c r="DQ33" s="140">
        <f ca="1">$B$12/'Income Statement'!DQ$80</f>
        <v>5.3051575040775205</v>
      </c>
      <c r="DV33" s="140">
        <f ca="1">$B$12/'Income Statement'!DV$80</f>
        <v>4.9836062550997431</v>
      </c>
      <c r="EA33" s="140">
        <f ca="1">$B$12/'Income Statement'!EA$80</f>
        <v>4.7568371889349361</v>
      </c>
      <c r="EF33" s="140">
        <f ca="1">$B$12/'Income Statement'!EF$80</f>
        <v>4.3294376766664309</v>
      </c>
    </row>
    <row r="34" spans="1:136" ht="12.75" customHeight="1">
      <c r="A34" s="68" t="s">
        <v>164</v>
      </c>
      <c r="Z34" s="140"/>
      <c r="AE34" s="140"/>
      <c r="AJ34" s="140">
        <f ca="1">$B$12/('Balance Sheet'!AJ$57)</f>
        <v>2.639814571892162</v>
      </c>
      <c r="AO34" s="140">
        <f ca="1">$B$12/('Balance Sheet'!AO$57)</f>
        <v>2.4397620510751046</v>
      </c>
      <c r="AT34" s="140">
        <f ca="1">$B$12/('Balance Sheet'!AT$57)</f>
        <v>2.1980129780261697</v>
      </c>
      <c r="AY34" s="140">
        <f ca="1">$B$12/('Balance Sheet'!AY$57)</f>
        <v>2.0133268084096634</v>
      </c>
      <c r="BD34" s="140">
        <f ca="1">$B$12/('Balance Sheet'!BD$57)</f>
        <v>1.8270199224575112</v>
      </c>
      <c r="BI34" s="140">
        <f ca="1">$B$12/('Balance Sheet'!BI$57)</f>
        <v>1.7385946684948623</v>
      </c>
      <c r="BN34" s="140">
        <f ca="1">$B$12/('Balance Sheet'!BN$57)</f>
        <v>1.7157939495366801</v>
      </c>
      <c r="BS34" s="140">
        <f ca="1">$B$12/('Balance Sheet'!BS$57)</f>
        <v>1.7441062176275122</v>
      </c>
      <c r="BX34" s="140">
        <f ca="1">$B$12/('Balance Sheet'!BX$57)</f>
        <v>2.0149725709073705</v>
      </c>
      <c r="CC34" s="140">
        <f ca="1">$B$12/('Balance Sheet'!CC$57)</f>
        <v>2.179485408124012</v>
      </c>
      <c r="CH34" s="140">
        <f ca="1">$B$12/('Balance Sheet'!CH$57)</f>
        <v>1.8859421519626838</v>
      </c>
      <c r="CM34" s="140">
        <f ca="1">$B$12/('Balance Sheet'!CM$57)</f>
        <v>1.6749791708749779</v>
      </c>
      <c r="CR34" s="140">
        <f ca="1">$B$12/('Balance Sheet'!CR$57)</f>
        <v>1.7004735076127422</v>
      </c>
      <c r="CW34" s="140">
        <f ca="1">$B$12/('Balance Sheet'!CW$57)</f>
        <v>1.5719025983373167</v>
      </c>
      <c r="DB34" s="140">
        <f ca="1">$B$12/('Balance Sheet'!DB$57)</f>
        <v>1.3813931321954673</v>
      </c>
      <c r="DG34" s="140">
        <f ca="1">$B$12/('Balance Sheet'!DG$57)</f>
        <v>1.1592488151820957</v>
      </c>
      <c r="DL34" s="140">
        <f ca="1">$B$12/('Balance Sheet'!DL$57)</f>
        <v>0.99639008413893593</v>
      </c>
      <c r="DQ34" s="140">
        <f ca="1">$B$12/('Balance Sheet'!DQ$57)</f>
        <v>0.89944571353429803</v>
      </c>
      <c r="DV34" s="140">
        <f ca="1">$B$12/('Balance Sheet'!DV$57)</f>
        <v>0.86083923432825171</v>
      </c>
      <c r="EA34" s="140">
        <f ca="1">$B$12/('Balance Sheet'!EA$57)</f>
        <v>0.82552218557088375</v>
      </c>
      <c r="EF34" s="140">
        <f ca="1">$B$12/('Balance Sheet'!EF$57)</f>
        <v>0.78483548002969949</v>
      </c>
    </row>
    <row r="36" spans="1:136" ht="12.75" customHeight="1">
      <c r="BD36" s="126"/>
    </row>
  </sheetData>
  <phoneticPr fontId="4" type="noConversion"/>
  <pageMargins left="0.75" right="0.75" top="1" bottom="1" header="0.49212598499999999" footer="0.49212598499999999"/>
  <pageSetup paperSize="9" scale="30" orientation="landscape" vertic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B4:BM85"/>
  <sheetViews>
    <sheetView showGridLines="0" zoomScaleNormal="100" workbookViewId="0">
      <selection activeCell="B83" sqref="B83"/>
    </sheetView>
  </sheetViews>
  <sheetFormatPr defaultRowHeight="12.75" outlineLevelRow="2" outlineLevelCol="2"/>
  <cols>
    <col min="2" max="2" width="27.140625" customWidth="1"/>
    <col min="3" max="5" width="9.85546875" hidden="1" customWidth="1" outlineLevel="1"/>
    <col min="6" max="9" width="9.5703125" hidden="1" customWidth="1" outlineLevel="1"/>
    <col min="10" max="10" width="9.85546875" hidden="1" customWidth="1" outlineLevel="1" collapsed="1"/>
    <col min="11" max="14" width="9.5703125" hidden="1" customWidth="1" outlineLevel="2"/>
    <col min="15" max="15" width="9.85546875" hidden="1" customWidth="1" outlineLevel="1" collapsed="1"/>
    <col min="16" max="19" width="9.85546875" hidden="1" customWidth="1" outlineLevel="1"/>
    <col min="20" max="20" width="10" hidden="1" customWidth="1" outlineLevel="1"/>
    <col min="21" max="24" width="9.85546875" hidden="1" customWidth="1" outlineLevel="1"/>
    <col min="25" max="25" width="10" hidden="1" customWidth="1" collapsed="1"/>
    <col min="26" max="29" width="9.140625" hidden="1" customWidth="1" outlineLevel="1"/>
    <col min="30" max="30" width="10" hidden="1" customWidth="1" collapsed="1"/>
    <col min="31" max="34" width="9.140625" hidden="1" customWidth="1" outlineLevel="1"/>
    <col min="35" max="35" width="10" hidden="1" customWidth="1" collapsed="1"/>
    <col min="36" max="39" width="0" hidden="1" customWidth="1" outlineLevel="1"/>
    <col min="40" max="40" width="10" hidden="1" customWidth="1" collapsed="1"/>
    <col min="41" max="44" width="0" hidden="1" customWidth="1" outlineLevel="1"/>
    <col min="45" max="45" width="10" hidden="1" customWidth="1" collapsed="1"/>
    <col min="46" max="49" width="0" hidden="1" customWidth="1" outlineLevel="1"/>
    <col min="50" max="50" width="10" customWidth="1" collapsed="1"/>
    <col min="51" max="54" width="8.7109375" hidden="1" customWidth="1" outlineLevel="1"/>
    <col min="55" max="55" width="10" customWidth="1" collapsed="1"/>
    <col min="56" max="59" width="0" hidden="1" customWidth="1" outlineLevel="1"/>
    <col min="60" max="60" width="8.7109375" collapsed="1"/>
    <col min="61" max="64" width="0" hidden="1" customWidth="1" outlineLevel="1"/>
    <col min="65" max="65" width="8.7109375" collapsed="1"/>
  </cols>
  <sheetData>
    <row r="4" spans="2:65" ht="13.5" thickBot="1">
      <c r="B4" s="518" t="str">
        <f>Forecasts!A3</f>
        <v>Launches and sales</v>
      </c>
      <c r="C4" s="458" t="str">
        <f>Forecasts!AY3</f>
        <v>2013</v>
      </c>
      <c r="D4" s="458" t="str">
        <f>Forecasts!BD3</f>
        <v>2014</v>
      </c>
      <c r="E4" s="458" t="str">
        <f>Forecasts!BI3</f>
        <v>2015</v>
      </c>
      <c r="F4" s="459" t="str">
        <f>Forecasts!BJ3</f>
        <v>1Q16</v>
      </c>
      <c r="G4" s="459" t="str">
        <f>Forecasts!BK3</f>
        <v>2Q16</v>
      </c>
      <c r="H4" s="459" t="str">
        <f>Forecasts!BL3</f>
        <v>3Q16</v>
      </c>
      <c r="I4" s="459" t="str">
        <f>Forecasts!BM3</f>
        <v>4Q16</v>
      </c>
      <c r="J4" s="458" t="str">
        <f>Forecasts!BN3</f>
        <v>2016</v>
      </c>
      <c r="K4" s="459" t="str">
        <f>Forecasts!BO3</f>
        <v>1Q17</v>
      </c>
      <c r="L4" s="459" t="str">
        <f>Forecasts!BP3</f>
        <v>2Q17</v>
      </c>
      <c r="M4" s="459" t="str">
        <f>Forecasts!BQ3</f>
        <v>3Q17</v>
      </c>
      <c r="N4" s="459" t="str">
        <f>Forecasts!BR3</f>
        <v>4Q17</v>
      </c>
      <c r="O4" s="458" t="str">
        <f>Forecasts!BS3</f>
        <v>2017</v>
      </c>
      <c r="P4" s="459" t="str">
        <f>Forecasts!BT3</f>
        <v>1Q18</v>
      </c>
      <c r="Q4" s="459" t="str">
        <f>Forecasts!BU3</f>
        <v>2Q18</v>
      </c>
      <c r="R4" s="459" t="str">
        <f>Forecasts!BV3</f>
        <v>3Q18</v>
      </c>
      <c r="S4" s="459" t="str">
        <f>Forecasts!BW3</f>
        <v>4Q18</v>
      </c>
      <c r="T4" s="458" t="str">
        <f>Forecasts!BX3</f>
        <v>2018</v>
      </c>
      <c r="U4" s="459" t="str">
        <f>Forecasts!BY3</f>
        <v>1Q19</v>
      </c>
      <c r="V4" s="459" t="str">
        <f>Forecasts!BZ3</f>
        <v>2Q19</v>
      </c>
      <c r="W4" s="459" t="str">
        <f>Forecasts!CA3</f>
        <v>3Q19</v>
      </c>
      <c r="X4" s="459" t="str">
        <f>Forecasts!CB3</f>
        <v>4Q19</v>
      </c>
      <c r="Y4" s="458" t="str">
        <f>Forecasts!CC3</f>
        <v>2019</v>
      </c>
      <c r="Z4" s="459" t="str">
        <f>Forecasts!CD3</f>
        <v>1Q20</v>
      </c>
      <c r="AA4" s="459" t="str">
        <f>Forecasts!CE3</f>
        <v>2Q20</v>
      </c>
      <c r="AB4" s="459" t="str">
        <f>Forecasts!CF3</f>
        <v>3Q20</v>
      </c>
      <c r="AC4" s="459" t="str">
        <f>Forecasts!CG3</f>
        <v>4Q20</v>
      </c>
      <c r="AD4" s="458" t="str">
        <f>Forecasts!CH3</f>
        <v>2020</v>
      </c>
      <c r="AE4" s="459" t="str">
        <f>Forecasts!CI3</f>
        <v>1Q21</v>
      </c>
      <c r="AF4" s="459" t="str">
        <f>Forecasts!CJ3</f>
        <v>2Q21</v>
      </c>
      <c r="AG4" s="459" t="str">
        <f>Forecasts!CK3</f>
        <v>3Q21</v>
      </c>
      <c r="AH4" s="459" t="str">
        <f>Forecasts!CL3</f>
        <v>4Q21</v>
      </c>
      <c r="AI4" s="458" t="str">
        <f>Forecasts!CM3</f>
        <v>2021</v>
      </c>
      <c r="AJ4" s="459" t="str">
        <f>Forecasts!CN3</f>
        <v>1Q22</v>
      </c>
      <c r="AK4" s="459" t="str">
        <f>Forecasts!CO3</f>
        <v>2Q22</v>
      </c>
      <c r="AL4" s="459" t="str">
        <f>Forecasts!CP3</f>
        <v>3Q22</v>
      </c>
      <c r="AM4" s="459" t="str">
        <f>Forecasts!CQ3</f>
        <v>4Q22</v>
      </c>
      <c r="AN4" s="458" t="str">
        <f>Forecasts!CR3</f>
        <v>2022</v>
      </c>
      <c r="AO4" s="459" t="str">
        <f>Forecasts!CS3</f>
        <v>1Q23</v>
      </c>
      <c r="AP4" s="459" t="str">
        <f>Forecasts!CT3</f>
        <v>2Q23</v>
      </c>
      <c r="AQ4" s="459" t="str">
        <f>Forecasts!CU3</f>
        <v>3Q23</v>
      </c>
      <c r="AR4" s="459" t="str">
        <f>Forecasts!CV3</f>
        <v>4Q23</v>
      </c>
      <c r="AS4" s="458" t="str">
        <f>Forecasts!CW3</f>
        <v>2023</v>
      </c>
      <c r="AT4" s="459" t="str">
        <f>Forecasts!CX3</f>
        <v>1Q24</v>
      </c>
      <c r="AU4" s="459" t="str">
        <f>Forecasts!CY3</f>
        <v>2Q24</v>
      </c>
      <c r="AV4" s="459" t="str">
        <f>Forecasts!CZ3</f>
        <v>3Q24</v>
      </c>
      <c r="AW4" s="459" t="str">
        <f>Forecasts!DA3</f>
        <v>4Q24</v>
      </c>
      <c r="AX4" s="458" t="str">
        <f>Forecasts!DB3</f>
        <v>2024</v>
      </c>
      <c r="AY4" s="459" t="str">
        <f>Forecasts!DC3</f>
        <v>1Q25</v>
      </c>
      <c r="AZ4" s="459" t="str">
        <f>Forecasts!DD3</f>
        <v>2Q25</v>
      </c>
      <c r="BA4" s="459" t="str">
        <f>Forecasts!DE3</f>
        <v>3Q25</v>
      </c>
      <c r="BB4" s="459" t="str">
        <f>Forecasts!DF3</f>
        <v>4Q25</v>
      </c>
      <c r="BC4" s="458" t="str">
        <f>Forecasts!DG3</f>
        <v>2025</v>
      </c>
      <c r="BD4" s="459" t="str">
        <f>Forecasts!DH3</f>
        <v>1Q26</v>
      </c>
      <c r="BE4" s="459" t="str">
        <f>Forecasts!DI3</f>
        <v>2Q26</v>
      </c>
      <c r="BF4" s="459" t="str">
        <f>Forecasts!DJ3</f>
        <v>3Q26E</v>
      </c>
      <c r="BG4" s="459" t="str">
        <f>Forecasts!DK3</f>
        <v>4Q26E</v>
      </c>
      <c r="BH4" s="458" t="str">
        <f>Forecasts!DL3</f>
        <v>2026E</v>
      </c>
      <c r="BI4" s="459" t="str">
        <f>Forecasts!DM3</f>
        <v>1Q27E</v>
      </c>
      <c r="BJ4" s="459" t="str">
        <f>Forecasts!DN3</f>
        <v>2Q27E</v>
      </c>
      <c r="BK4" s="459" t="str">
        <f>Forecasts!DO3</f>
        <v>3Q27E</v>
      </c>
      <c r="BL4" s="459" t="str">
        <f>Forecasts!DP3</f>
        <v>4Q27E</v>
      </c>
      <c r="BM4" s="458" t="str">
        <f>Forecasts!DQ3</f>
        <v>2027E</v>
      </c>
    </row>
    <row r="5" spans="2:65">
      <c r="B5" s="519" t="str">
        <f>Forecasts!A4</f>
        <v>Launches' Value (100%)</v>
      </c>
      <c r="C5" s="460">
        <f>Forecasts!AY4</f>
        <v>5482600</v>
      </c>
      <c r="D5" s="460">
        <f>Forecasts!BD4</f>
        <v>5742000</v>
      </c>
      <c r="E5" s="460">
        <f>Forecasts!BI4</f>
        <v>2899000</v>
      </c>
      <c r="F5" s="461">
        <f>Forecasts!BJ4</f>
        <v>613000</v>
      </c>
      <c r="G5" s="461">
        <f>Forecasts!BK4</f>
        <v>598000</v>
      </c>
      <c r="H5" s="462">
        <f>Forecasts!BL4</f>
        <v>452000</v>
      </c>
      <c r="I5" s="462">
        <f>Forecasts!BM4</f>
        <v>1274000</v>
      </c>
      <c r="J5" s="460">
        <f>Forecasts!BN4</f>
        <v>2937000</v>
      </c>
      <c r="K5" s="462">
        <f>Forecasts!BO4</f>
        <v>612000</v>
      </c>
      <c r="L5" s="462">
        <f>Forecasts!BP4</f>
        <v>640000</v>
      </c>
      <c r="M5" s="462">
        <f>Forecasts!BQ4</f>
        <v>531864</v>
      </c>
      <c r="N5" s="462">
        <f>Forecasts!BR4</f>
        <v>1269213</v>
      </c>
      <c r="O5" s="460">
        <f>Forecasts!BS4</f>
        <v>3053077</v>
      </c>
      <c r="P5" s="462">
        <f>Forecasts!BT4</f>
        <v>434247</v>
      </c>
      <c r="Q5" s="462">
        <f>Forecasts!BU4</f>
        <v>981369</v>
      </c>
      <c r="R5" s="462">
        <f>Forecasts!BV4</f>
        <v>918000</v>
      </c>
      <c r="S5" s="462">
        <f>Forecasts!BW4</f>
        <v>2705197.1986900298</v>
      </c>
      <c r="T5" s="460">
        <f>Forecasts!BX4</f>
        <v>5038813.1986900298</v>
      </c>
      <c r="U5" s="462">
        <f>Forecasts!BY4</f>
        <v>442402.66038540658</v>
      </c>
      <c r="V5" s="462">
        <f>Forecasts!BZ4</f>
        <v>1527973.2757022949</v>
      </c>
      <c r="W5" s="462">
        <f>Forecasts!CA4</f>
        <v>988720.62907639169</v>
      </c>
      <c r="X5" s="462">
        <f>Forecasts!CB4</f>
        <v>1397707.1620498428</v>
      </c>
      <c r="Y5" s="460">
        <f>Forecasts!CC4</f>
        <v>4356803.7272139359</v>
      </c>
      <c r="Z5" s="462">
        <f>Forecasts!CD4</f>
        <v>1064567.3180079178</v>
      </c>
      <c r="AA5" s="462">
        <f>Forecasts!CE4</f>
        <v>254197.20162803109</v>
      </c>
      <c r="AB5" s="462">
        <f>Forecasts!CF4</f>
        <v>1651152.9175326496</v>
      </c>
      <c r="AC5" s="462">
        <f>Forecasts!CG4</f>
        <v>2873345.7930750027</v>
      </c>
      <c r="AD5" s="460">
        <f>Forecasts!CH4</f>
        <v>5843263.2302436009</v>
      </c>
      <c r="AE5" s="462">
        <f>Forecasts!CI4</f>
        <v>421347.91319726425</v>
      </c>
      <c r="AF5" s="462">
        <f>Forecasts!CJ4</f>
        <v>1929075.841066546</v>
      </c>
      <c r="AG5" s="462">
        <f>Forecasts!CK4</f>
        <v>2199698.7583918041</v>
      </c>
      <c r="AH5" s="462">
        <f>Forecasts!CL4</f>
        <v>2554858.9026813549</v>
      </c>
      <c r="AI5" s="460">
        <f>Forecasts!CM4</f>
        <v>7104981.4153369684</v>
      </c>
      <c r="AJ5" s="462">
        <f>Forecasts!CN4</f>
        <v>1037664.5885269934</v>
      </c>
      <c r="AK5" s="462">
        <f>Forecasts!CO4</f>
        <v>2326305.5201217961</v>
      </c>
      <c r="AL5" s="462">
        <f>Forecasts!CP4</f>
        <v>2927761.3345602378</v>
      </c>
      <c r="AM5" s="462">
        <f>Forecasts!CQ4</f>
        <v>2821365.0558654917</v>
      </c>
      <c r="AN5" s="460">
        <f>Forecasts!CR4</f>
        <v>9113096.4990745187</v>
      </c>
      <c r="AO5" s="462">
        <f>Forecasts!CS4</f>
        <v>1344738.7063083784</v>
      </c>
      <c r="AP5" s="462">
        <f>Forecasts!CT4</f>
        <v>3514478.6321650636</v>
      </c>
      <c r="AQ5" s="462">
        <f>Forecasts!CU4</f>
        <v>2164572.6195704201</v>
      </c>
      <c r="AR5" s="462">
        <f>Forecasts!CV4</f>
        <v>2743630.7115199501</v>
      </c>
      <c r="AS5" s="460">
        <f>Forecasts!CW4</f>
        <v>9767420.6695638113</v>
      </c>
      <c r="AT5" s="462">
        <f>Forecasts!CX4</f>
        <v>1699946.4189411299</v>
      </c>
      <c r="AU5" s="462">
        <f>Forecasts!CY4</f>
        <v>1461460.7218448</v>
      </c>
      <c r="AV5" s="462">
        <f>Forecasts!CZ4</f>
        <v>3122581.4100104054</v>
      </c>
      <c r="AW5" s="462">
        <f>Forecasts!DA4</f>
        <v>6736937.9777078573</v>
      </c>
      <c r="AX5" s="460">
        <f>Forecasts!DB4</f>
        <v>13020926.528504193</v>
      </c>
      <c r="AY5" s="462">
        <f>Forecasts!DC4</f>
        <v>4862218.0768698482</v>
      </c>
      <c r="AZ5" s="462">
        <f>Forecasts!DD4</f>
        <v>4126457.514775834</v>
      </c>
      <c r="BA5" s="462">
        <f>Forecasts!DE4</f>
        <v>5049983.4757867297</v>
      </c>
      <c r="BB5" s="462">
        <f>Forecasts!DF4</f>
        <v>4531350.7807356492</v>
      </c>
      <c r="BC5" s="460">
        <f>Forecasts!DG4</f>
        <v>18570009.84816806</v>
      </c>
      <c r="BD5" s="462">
        <f>Forecasts!DH4</f>
        <v>2428347.889140645</v>
      </c>
      <c r="BE5" s="462">
        <f>Forecasts!DI4</f>
        <v>4966518.0866863551</v>
      </c>
      <c r="BF5" s="462">
        <f>Forecasts!DJ4</f>
        <v>4346867.9052591799</v>
      </c>
      <c r="BG5" s="462">
        <f>Forecasts!DK4</f>
        <v>5433584.8815739742</v>
      </c>
      <c r="BH5" s="460">
        <f>Forecasts!DL4</f>
        <v>17175318.762660153</v>
      </c>
      <c r="BI5" s="462">
        <f>Forecasts!DM4</f>
        <v>2423008.0944422809</v>
      </c>
      <c r="BJ5" s="462">
        <f>Forecasts!DN4</f>
        <v>3553745.2051820122</v>
      </c>
      <c r="BK5" s="462">
        <f>Forecasts!DO4</f>
        <v>4522948.4429589249</v>
      </c>
      <c r="BL5" s="462">
        <f>Forecasts!DP4</f>
        <v>5653685.5536986552</v>
      </c>
      <c r="BM5" s="460">
        <f>Forecasts!DQ4</f>
        <v>16153387.296281874</v>
      </c>
    </row>
    <row r="6" spans="2:65">
      <c r="B6" s="519" t="str">
        <f>Forecasts!A5</f>
        <v>Launches' Value (co%)</v>
      </c>
      <c r="C6" s="463">
        <f>Forecasts!AY5</f>
        <v>4645200</v>
      </c>
      <c r="D6" s="460">
        <f>Forecasts!BD5</f>
        <v>4854000</v>
      </c>
      <c r="E6" s="463">
        <f>Forecasts!BI5</f>
        <v>2358000</v>
      </c>
      <c r="F6" s="461">
        <f>Forecasts!BJ5</f>
        <v>410000</v>
      </c>
      <c r="G6" s="461">
        <f>Forecasts!BK5</f>
        <v>494000</v>
      </c>
      <c r="H6" s="464">
        <f>Forecasts!BL5</f>
        <v>259000</v>
      </c>
      <c r="I6" s="464">
        <f>Forecasts!BM5</f>
        <v>1038000</v>
      </c>
      <c r="J6" s="463">
        <f>Forecasts!BN5</f>
        <v>2201000</v>
      </c>
      <c r="K6" s="464">
        <f>Forecasts!BO5</f>
        <v>537000</v>
      </c>
      <c r="L6" s="464">
        <f>Forecasts!BP5</f>
        <v>448000</v>
      </c>
      <c r="M6" s="464">
        <f>Forecasts!BQ5</f>
        <v>379617</v>
      </c>
      <c r="N6" s="464">
        <f>Forecasts!BR5</f>
        <v>785760</v>
      </c>
      <c r="O6" s="463">
        <f>Forecasts!BS5</f>
        <v>2150377</v>
      </c>
      <c r="P6" s="464">
        <f>Forecasts!BT5</f>
        <v>258757</v>
      </c>
      <c r="Q6" s="464">
        <f>Forecasts!BU5</f>
        <v>641318</v>
      </c>
      <c r="R6" s="464">
        <f>Forecasts!BV5</f>
        <v>711000</v>
      </c>
      <c r="S6" s="464">
        <f>Forecasts!BW5</f>
        <v>1823388.26079799</v>
      </c>
      <c r="T6" s="463">
        <f>Forecasts!BX5</f>
        <v>3434463.26079799</v>
      </c>
      <c r="U6" s="464">
        <f>Forecasts!BY5</f>
        <v>371944.62601480703</v>
      </c>
      <c r="V6" s="464">
        <f>Forecasts!BZ5</f>
        <v>1387463.9782219885</v>
      </c>
      <c r="W6" s="464">
        <f>Forecasts!CA5</f>
        <v>870293.566233875</v>
      </c>
      <c r="X6" s="464">
        <f>Forecasts!CB5</f>
        <v>1192120.6505395812</v>
      </c>
      <c r="Y6" s="463">
        <f>Forecasts!CC5</f>
        <v>3821822.821010252</v>
      </c>
      <c r="Z6" s="464">
        <f>Forecasts!CD5</f>
        <v>839094.32542583498</v>
      </c>
      <c r="AA6" s="464">
        <f>Forecasts!CE5</f>
        <v>217971.058388818</v>
      </c>
      <c r="AB6" s="464">
        <f>Forecasts!CF5</f>
        <v>1531547.6030607154</v>
      </c>
      <c r="AC6" s="464">
        <f>Forecasts!CG5</f>
        <v>2580581.0500145601</v>
      </c>
      <c r="AD6" s="463">
        <f>Forecasts!CH5</f>
        <v>5169194.0368899284</v>
      </c>
      <c r="AE6" s="464">
        <f>Forecasts!CI5</f>
        <v>381041.80977402761</v>
      </c>
      <c r="AF6" s="464">
        <f>Forecasts!CJ5</f>
        <v>1617168.6114531984</v>
      </c>
      <c r="AG6" s="464">
        <f>Forecasts!CK5</f>
        <v>1986951.4159092936</v>
      </c>
      <c r="AH6" s="464">
        <f>Forecasts!CL5</f>
        <v>2407899.9297673902</v>
      </c>
      <c r="AI6" s="463">
        <f>Forecasts!CM5</f>
        <v>6393061.7669039099</v>
      </c>
      <c r="AJ6" s="464">
        <f>Forecasts!CN5</f>
        <v>886569.27700222842</v>
      </c>
      <c r="AK6" s="464">
        <f>Forecasts!CO5</f>
        <v>1821469.4791339329</v>
      </c>
      <c r="AL6" s="464">
        <f>Forecasts!CP5</f>
        <v>2149310.4600261548</v>
      </c>
      <c r="AM6" s="464">
        <f>Forecasts!CQ5</f>
        <v>1642170.1691949852</v>
      </c>
      <c r="AN6" s="463">
        <f>Forecasts!CR5</f>
        <v>6499519.3853573017</v>
      </c>
      <c r="AO6" s="464">
        <f>Forecasts!CS5</f>
        <v>933713.6368974559</v>
      </c>
      <c r="AP6" s="464">
        <f>Forecasts!CT5</f>
        <v>2732173.329466471</v>
      </c>
      <c r="AQ6" s="464">
        <f>Forecasts!CU5</f>
        <v>1552110.0100062317</v>
      </c>
      <c r="AR6" s="464">
        <f>Forecasts!CV5</f>
        <v>1750976.7804381</v>
      </c>
      <c r="AS6" s="463">
        <f>Forecasts!CW5</f>
        <v>6968973.7568082586</v>
      </c>
      <c r="AT6" s="464">
        <f>Forecasts!CX5</f>
        <v>1323060.2237212299</v>
      </c>
      <c r="AU6" s="464">
        <f>Forecasts!CY5</f>
        <v>1079020.3291039199</v>
      </c>
      <c r="AV6" s="464">
        <f>Forecasts!CZ5</f>
        <v>2550576.5407380033</v>
      </c>
      <c r="AW6" s="464">
        <f>Forecasts!DA5</f>
        <v>4981754.2161162477</v>
      </c>
      <c r="AX6" s="463">
        <f>Forecasts!DB5</f>
        <v>9934411.3096794002</v>
      </c>
      <c r="AY6" s="464">
        <f>Forecasts!DC5</f>
        <v>3383000</v>
      </c>
      <c r="AZ6" s="464">
        <f>Forecasts!DD5</f>
        <v>2998516.6106933272</v>
      </c>
      <c r="BA6" s="464">
        <f>Forecasts!DE5</f>
        <v>3484194.6550740344</v>
      </c>
      <c r="BB6" s="464">
        <f>Forecasts!DF5</f>
        <v>3453815.6508481065</v>
      </c>
      <c r="BC6" s="463">
        <f>Forecasts!DG5</f>
        <v>13319526.916615468</v>
      </c>
      <c r="BD6" s="464">
        <f>Forecasts!DH5</f>
        <v>1777244.3927075234</v>
      </c>
      <c r="BE6" s="464">
        <f>Forecasts!DI5</f>
        <v>3909893.2594107981</v>
      </c>
      <c r="BF6" s="464">
        <f>Forecasts!DJ5</f>
        <v>3422073.4175683912</v>
      </c>
      <c r="BG6" s="464">
        <f>Forecasts!DK5</f>
        <v>4277591.7719604885</v>
      </c>
      <c r="BH6" s="463">
        <f>Forecasts!DL5</f>
        <v>13386802.8416472</v>
      </c>
      <c r="BI6" s="464">
        <f>Forecasts!DM5</f>
        <v>1907514.0471860238</v>
      </c>
      <c r="BJ6" s="464">
        <f>Forecasts!DN5</f>
        <v>2797687.2692061681</v>
      </c>
      <c r="BK6" s="464">
        <f>Forecasts!DO5</f>
        <v>3560692.8880805783</v>
      </c>
      <c r="BL6" s="464">
        <f>Forecasts!DP5</f>
        <v>4450866.1101007219</v>
      </c>
      <c r="BM6" s="463">
        <f>Forecasts!DQ5</f>
        <v>12716760.314573493</v>
      </c>
    </row>
    <row r="7" spans="2:65" hidden="1" outlineLevel="1">
      <c r="B7" s="519" t="str">
        <f>Forecasts!A6</f>
        <v>Avg Share (%)</v>
      </c>
      <c r="C7" s="465">
        <f>Forecasts!AY6</f>
        <v>0.8472622478386167</v>
      </c>
      <c r="D7" s="465">
        <f>Forecasts!BD6</f>
        <v>0.84535005224660398</v>
      </c>
      <c r="E7" s="465">
        <f>Forecasts!BI6</f>
        <v>0.81338392549154881</v>
      </c>
      <c r="F7" s="466">
        <f>Forecasts!BJ6</f>
        <v>0.66884176182707988</v>
      </c>
      <c r="G7" s="466">
        <f>Forecasts!BK6</f>
        <v>0.82608695652173914</v>
      </c>
      <c r="H7" s="467">
        <f>Forecasts!BL6</f>
        <v>0.57300884955752207</v>
      </c>
      <c r="I7" s="467">
        <f>Forecasts!BM6</f>
        <v>0.81475667189952905</v>
      </c>
      <c r="J7" s="465">
        <f>Forecasts!BN6</f>
        <v>0.74940415389853587</v>
      </c>
      <c r="K7" s="467">
        <f>Forecasts!BO6</f>
        <v>0.87745098039215685</v>
      </c>
      <c r="L7" s="467">
        <f>Forecasts!BP6</f>
        <v>0.7</v>
      </c>
      <c r="M7" s="467">
        <f>Forecasts!BQ6</f>
        <v>0.71374825143269705</v>
      </c>
      <c r="N7" s="467">
        <f>Forecasts!BR6</f>
        <v>0.61909230365588752</v>
      </c>
      <c r="O7" s="465">
        <f>Forecasts!BS6</f>
        <v>0.70433107320909361</v>
      </c>
      <c r="P7" s="467">
        <f>Forecasts!BT6</f>
        <v>0.59587515860788909</v>
      </c>
      <c r="Q7" s="467">
        <f>Forecasts!BU6</f>
        <v>0.65349323241308821</v>
      </c>
      <c r="R7" s="467">
        <f>Forecasts!BV6</f>
        <v>0.77450980392156865</v>
      </c>
      <c r="S7" s="467">
        <f>Forecasts!BW6</f>
        <v>0.67403154996646875</v>
      </c>
      <c r="T7" s="465">
        <f>Forecasts!BX6</f>
        <v>0.68160162430527649</v>
      </c>
      <c r="U7" s="467">
        <f>Forecasts!BY6</f>
        <v>0.84073776972946135</v>
      </c>
      <c r="V7" s="467">
        <f>Forecasts!BZ6</f>
        <v>0.90804204516225928</v>
      </c>
      <c r="W7" s="467">
        <f>Forecasts!CA6</f>
        <v>0.88022191571632857</v>
      </c>
      <c r="X7" s="467">
        <f>Forecasts!CB6</f>
        <v>0.85291159901566682</v>
      </c>
      <c r="Y7" s="465">
        <f>Forecasts!CC6</f>
        <v>0.8772079396503385</v>
      </c>
      <c r="Z7" s="467">
        <f>Forecasts!CD6</f>
        <v>0.78820222190927158</v>
      </c>
      <c r="AA7" s="467">
        <f>Forecasts!CE6</f>
        <v>0.85748803288470843</v>
      </c>
      <c r="AB7" s="467">
        <f>Forecasts!CF6</f>
        <v>0.92756254541786309</v>
      </c>
      <c r="AC7" s="467">
        <f>Forecasts!CG6</f>
        <v>0.89811016002110522</v>
      </c>
      <c r="AD7" s="465">
        <f>Forecasts!CH6</f>
        <v>0.88464165196857458</v>
      </c>
      <c r="AE7" s="467">
        <f>Forecasts!CI6</f>
        <v>0.90434009007571292</v>
      </c>
      <c r="AF7" s="467">
        <f>Forecasts!CJ6</f>
        <v>0.83831261427186776</v>
      </c>
      <c r="AG7" s="467">
        <f>Forecasts!CK6</f>
        <v>0.9032834192996273</v>
      </c>
      <c r="AH7" s="467">
        <f>Forecasts!CL6</f>
        <v>0.94247863443271584</v>
      </c>
      <c r="AI7" s="465">
        <f>Forecasts!CM6</f>
        <v>0.89979992813263476</v>
      </c>
      <c r="AJ7" s="467">
        <f>Forecasts!CN6</f>
        <v>0.8543890644478378</v>
      </c>
      <c r="AK7" s="467">
        <f>Forecasts!CO6</f>
        <v>0.78298807417117244</v>
      </c>
      <c r="AL7" s="467">
        <f>Forecasts!CP6</f>
        <v>0.73411395753301401</v>
      </c>
      <c r="AM7" s="467">
        <f>Forecasts!CQ6</f>
        <v>0.58204809965338833</v>
      </c>
      <c r="AN7" s="465">
        <f>Forecasts!CR6</f>
        <v>0.71320647005300131</v>
      </c>
      <c r="AO7" s="467">
        <f>Forecasts!CS6</f>
        <v>0.69434577328462399</v>
      </c>
      <c r="AP7" s="467">
        <f>Forecasts!CT6</f>
        <v>0.77740501947036722</v>
      </c>
      <c r="AQ7" s="467">
        <f>Forecasts!CU6</f>
        <v>0.71705148442386868</v>
      </c>
      <c r="AR7" s="467">
        <f>Forecasts!CV6</f>
        <v>0.63819696035844142</v>
      </c>
      <c r="AS7" s="465">
        <f>Forecasts!CW6</f>
        <v>0.71349171829203872</v>
      </c>
      <c r="AT7" s="467">
        <f>Forecasts!CX6</f>
        <v>0.77829525035579861</v>
      </c>
      <c r="AU7" s="467">
        <f>Forecasts!CY6</f>
        <v>0.73831633856151391</v>
      </c>
      <c r="AV7" s="467">
        <f>Forecasts!CZ6</f>
        <v>0.81681666731292812</v>
      </c>
      <c r="AW7" s="467">
        <f>Forecasts!DA6</f>
        <v>0.73946861802803998</v>
      </c>
      <c r="AX7" s="465">
        <f>Forecasts!DB6</f>
        <v>0.76295732780089942</v>
      </c>
      <c r="AY7" s="467">
        <f>Forecasts!DC6</f>
        <v>0.6957729880717064</v>
      </c>
      <c r="AZ7" s="467">
        <f>Forecasts!DD6</f>
        <v>0.72665636322593252</v>
      </c>
      <c r="BA7" s="467">
        <f>Forecasts!DE6</f>
        <v>0.68994179323155835</v>
      </c>
      <c r="BB7" s="467">
        <f>Forecasts!DF6</f>
        <v>0.76220443262337578</v>
      </c>
      <c r="BC7" s="465">
        <f>Forecasts!DG6</f>
        <v>0.71726008901010063</v>
      </c>
      <c r="BD7" s="467">
        <f>Forecasts!DH6</f>
        <v>0.73187388044983248</v>
      </c>
      <c r="BE7" s="467">
        <f>Forecasts!DI6</f>
        <v>0.78725038168933081</v>
      </c>
      <c r="BF7" s="467">
        <f>Forecasts!DJ6</f>
        <v>0.78725038168933081</v>
      </c>
      <c r="BG7" s="467">
        <f>Forecasts!DK6</f>
        <v>0.78725038168933081</v>
      </c>
      <c r="BH7" s="465">
        <f>Forecasts!DL6</f>
        <v>0.77942092526111706</v>
      </c>
      <c r="BI7" s="467">
        <f>Forecasts!DM6</f>
        <v>0.78725038168933081</v>
      </c>
      <c r="BJ7" s="467">
        <f>Forecasts!DN6</f>
        <v>0.78725038168933081</v>
      </c>
      <c r="BK7" s="467">
        <f>Forecasts!DO6</f>
        <v>0.78725038168933081</v>
      </c>
      <c r="BL7" s="467">
        <f>Forecasts!DP6</f>
        <v>0.78725038168933081</v>
      </c>
      <c r="BM7" s="465">
        <f>Forecasts!DQ6</f>
        <v>0.78725038168933081</v>
      </c>
    </row>
    <row r="8" spans="2:65" hidden="1" outlineLevel="1">
      <c r="B8" s="519" t="str">
        <f>Forecasts!A7</f>
        <v># of Units Launched</v>
      </c>
      <c r="C8" s="463">
        <f>Forecasts!AY7</f>
        <v>14896</v>
      </c>
      <c r="D8" s="463">
        <f>Forecasts!BD7</f>
        <v>12038</v>
      </c>
      <c r="E8" s="463">
        <f>Forecasts!BI7</f>
        <v>8364</v>
      </c>
      <c r="F8" s="461">
        <f>Forecasts!BJ7</f>
        <v>1530</v>
      </c>
      <c r="G8" s="461">
        <f>Forecasts!BK7</f>
        <v>1840</v>
      </c>
      <c r="H8" s="468">
        <f>Forecasts!BL7</f>
        <v>1630</v>
      </c>
      <c r="I8" s="468">
        <f>Forecasts!BM7</f>
        <v>4726</v>
      </c>
      <c r="J8" s="463">
        <f>Forecasts!BN7</f>
        <v>9726</v>
      </c>
      <c r="K8" s="468">
        <f>Forecasts!BO7</f>
        <v>711</v>
      </c>
      <c r="L8" s="468">
        <f>Forecasts!BP7</f>
        <v>2082</v>
      </c>
      <c r="M8" s="468">
        <f>Forecasts!BQ7</f>
        <v>2050</v>
      </c>
      <c r="N8" s="468">
        <f>Forecasts!BR7</f>
        <v>4125</v>
      </c>
      <c r="O8" s="463">
        <f>Forecasts!BS7</f>
        <v>8968</v>
      </c>
      <c r="P8" s="468">
        <f>Forecasts!BT7</f>
        <v>2111</v>
      </c>
      <c r="Q8" s="468">
        <f>Forecasts!BU7</f>
        <v>3138</v>
      </c>
      <c r="R8" s="468">
        <f>Forecasts!BV7</f>
        <v>2821</v>
      </c>
      <c r="S8" s="468">
        <f>Forecasts!BW7</f>
        <v>7075</v>
      </c>
      <c r="T8" s="463">
        <f>Forecasts!BX7</f>
        <v>15145</v>
      </c>
      <c r="U8" s="468">
        <f>Forecasts!BY7</f>
        <v>1516</v>
      </c>
      <c r="V8" s="468">
        <f>Forecasts!BZ7</f>
        <v>2935</v>
      </c>
      <c r="W8" s="468">
        <f>Forecasts!CA7</f>
        <v>2107</v>
      </c>
      <c r="X8" s="468">
        <f>Forecasts!CB7</f>
        <v>3205</v>
      </c>
      <c r="Y8" s="463">
        <f>Forecasts!CC7</f>
        <v>9763</v>
      </c>
      <c r="Z8" s="468">
        <f>Forecasts!CD7</f>
        <v>3533</v>
      </c>
      <c r="AA8" s="468">
        <f>Forecasts!CE7</f>
        <v>804</v>
      </c>
      <c r="AB8" s="468">
        <f>Forecasts!CF7</f>
        <v>3160</v>
      </c>
      <c r="AC8" s="468">
        <f>Forecasts!CG7</f>
        <v>7672</v>
      </c>
      <c r="AD8" s="463">
        <f>Forecasts!CH7</f>
        <v>15169</v>
      </c>
      <c r="AE8" s="468">
        <f>Forecasts!CI7</f>
        <v>674</v>
      </c>
      <c r="AF8" s="468">
        <f>Forecasts!CJ7</f>
        <v>4403</v>
      </c>
      <c r="AG8" s="468">
        <f>Forecasts!CK7</f>
        <v>3780</v>
      </c>
      <c r="AH8" s="468">
        <f>Forecasts!CL7</f>
        <v>7672</v>
      </c>
      <c r="AI8" s="463">
        <f>Forecasts!CM7</f>
        <v>16529</v>
      </c>
      <c r="AJ8" s="468">
        <f>Forecasts!CN7</f>
        <v>1284</v>
      </c>
      <c r="AK8" s="468">
        <f>Forecasts!CO7</f>
        <v>3751</v>
      </c>
      <c r="AL8" s="468">
        <f>Forecasts!CP7</f>
        <v>4453</v>
      </c>
      <c r="AM8" s="468">
        <f>Forecasts!CQ7</f>
        <v>4698</v>
      </c>
      <c r="AN8" s="463">
        <f>Forecasts!CR7</f>
        <v>14186</v>
      </c>
      <c r="AO8" s="468">
        <f>Forecasts!CS7</f>
        <v>2123</v>
      </c>
      <c r="AP8" s="468">
        <f>Forecasts!CT7</f>
        <v>4282</v>
      </c>
      <c r="AQ8" s="468">
        <f>Forecasts!CU7</f>
        <v>4317</v>
      </c>
      <c r="AR8" s="468">
        <f>Forecasts!CV7</f>
        <v>3256</v>
      </c>
      <c r="AS8" s="463">
        <f>Forecasts!CW7</f>
        <v>13978</v>
      </c>
      <c r="AT8" s="468">
        <f>Forecasts!CX7</f>
        <v>3266</v>
      </c>
      <c r="AU8" s="468">
        <f>Forecasts!CY7</f>
        <v>2965</v>
      </c>
      <c r="AV8" s="468">
        <f>Forecasts!CZ7</f>
        <v>5500</v>
      </c>
      <c r="AW8" s="468">
        <f>Forecasts!DA7</f>
        <v>8851</v>
      </c>
      <c r="AX8" s="463">
        <f>Forecasts!DB7</f>
        <v>20582</v>
      </c>
      <c r="AY8" s="468">
        <f>Forecasts!DC7</f>
        <v>6281</v>
      </c>
      <c r="AZ8" s="468">
        <f>Forecasts!DD7</f>
        <v>6847</v>
      </c>
      <c r="BA8" s="468">
        <f>Forecasts!DE7</f>
        <v>6760</v>
      </c>
      <c r="BB8" s="468">
        <f>Forecasts!DF7</f>
        <v>8457</v>
      </c>
      <c r="BC8" s="463">
        <f>Forecasts!DG7</f>
        <v>28345</v>
      </c>
      <c r="BD8" s="468">
        <f>Forecasts!DH7</f>
        <v>5527</v>
      </c>
      <c r="BE8" s="468">
        <f>Forecasts!DI7</f>
        <v>7791</v>
      </c>
      <c r="BF8" s="468">
        <f>Forecasts!DJ7</f>
        <v>6744.3259782570585</v>
      </c>
      <c r="BG8" s="468">
        <f>Forecasts!DK7</f>
        <v>8338.1459669168726</v>
      </c>
      <c r="BH8" s="463">
        <f>Forecasts!DL7</f>
        <v>28400.471945173933</v>
      </c>
      <c r="BI8" s="468">
        <f>Forecasts!DM7</f>
        <v>3677.5520659997674</v>
      </c>
      <c r="BJ8" s="468">
        <f>Forecasts!DN7</f>
        <v>5334.7144652592278</v>
      </c>
      <c r="BK8" s="468">
        <f>Forecasts!DO7</f>
        <v>6715.3315127607766</v>
      </c>
      <c r="BL8" s="468">
        <f>Forecasts!DP7</f>
        <v>8302.2995255793485</v>
      </c>
      <c r="BM8" s="463">
        <f>Forecasts!DQ7</f>
        <v>24029.897569599121</v>
      </c>
    </row>
    <row r="9" spans="2:65" hidden="1" outlineLevel="1">
      <c r="B9" s="520" t="str">
        <f>Forecasts!A8</f>
        <v>Avg Launching Price, R$000/unit</v>
      </c>
      <c r="C9" s="469">
        <f>Forecasts!AY8</f>
        <v>368058.53920515574</v>
      </c>
      <c r="D9" s="469">
        <f>Forecasts!BD8</f>
        <v>476989.53314504068</v>
      </c>
      <c r="E9" s="469">
        <f>Forecasts!BI8</f>
        <v>346604.49545671925</v>
      </c>
      <c r="F9" s="470">
        <f>Forecasts!BJ8</f>
        <v>400653.59477124183</v>
      </c>
      <c r="G9" s="470">
        <f>Forecasts!BK8</f>
        <v>325000</v>
      </c>
      <c r="H9" s="471">
        <f>Forecasts!BL8</f>
        <v>277300.61349693249</v>
      </c>
      <c r="I9" s="471">
        <f>Forecasts!BM8</f>
        <v>269572.57723233179</v>
      </c>
      <c r="J9" s="469">
        <f>Forecasts!BN8</f>
        <v>301974.09006785933</v>
      </c>
      <c r="K9" s="471">
        <f>Forecasts!BO8</f>
        <v>860759.49367088603</v>
      </c>
      <c r="L9" s="471">
        <f>Forecasts!BP8</f>
        <v>307396.73390970222</v>
      </c>
      <c r="M9" s="471">
        <f>Forecasts!BQ8</f>
        <v>259445.85365853659</v>
      </c>
      <c r="N9" s="471">
        <f>Forecasts!BR8</f>
        <v>307688</v>
      </c>
      <c r="O9" s="469">
        <f>Forecasts!BS8</f>
        <v>340441.2355040143</v>
      </c>
      <c r="P9" s="471">
        <f>Forecasts!BT8</f>
        <v>205706.77404073899</v>
      </c>
      <c r="Q9" s="471">
        <f>Forecasts!BU8</f>
        <v>312737.09369024856</v>
      </c>
      <c r="R9" s="471">
        <f>Forecasts!BV8</f>
        <v>325416.51896490605</v>
      </c>
      <c r="S9" s="471">
        <f>Forecasts!BW8</f>
        <v>382360.02808339644</v>
      </c>
      <c r="T9" s="469">
        <f>Forecasts!BX8</f>
        <v>332704.73414922616</v>
      </c>
      <c r="U9" s="471">
        <f>Forecasts!BY8</f>
        <v>291822.33534657425</v>
      </c>
      <c r="V9" s="471">
        <f>Forecasts!BZ8</f>
        <v>520604.18252207659</v>
      </c>
      <c r="W9" s="471">
        <f>Forecasts!CA8</f>
        <v>469255.16330156225</v>
      </c>
      <c r="X9" s="471">
        <f>Forecasts!CB8</f>
        <v>436102.07864269667</v>
      </c>
      <c r="Y9" s="469">
        <f>Forecasts!CC8</f>
        <v>446256.65545569354</v>
      </c>
      <c r="Z9" s="471">
        <f>Forecasts!CD8</f>
        <v>301321.06368749443</v>
      </c>
      <c r="AA9" s="471">
        <f>Forecasts!CE8</f>
        <v>316165.67366670538</v>
      </c>
      <c r="AB9" s="471">
        <f>Forecasts!CF8</f>
        <v>522516.74605463591</v>
      </c>
      <c r="AC9" s="471">
        <f>Forecasts!CG8</f>
        <v>374523.69565628294</v>
      </c>
      <c r="AD9" s="469">
        <f>Forecasts!CH8</f>
        <v>385210.83988684823</v>
      </c>
      <c r="AE9" s="471">
        <f>Forecasts!CI8</f>
        <v>625145.27180603007</v>
      </c>
      <c r="AF9" s="471">
        <f>Forecasts!CJ8</f>
        <v>438127.6041486591</v>
      </c>
      <c r="AG9" s="471">
        <f>Forecasts!CK8</f>
        <v>581930.88846344023</v>
      </c>
      <c r="AH9" s="471">
        <f>Forecasts!CL8</f>
        <v>333010.80587608903</v>
      </c>
      <c r="AI9" s="469">
        <f>Forecasts!CM8</f>
        <v>429849.44130540069</v>
      </c>
      <c r="AJ9" s="471">
        <f>Forecasts!CN8</f>
        <v>808149.99106463662</v>
      </c>
      <c r="AK9" s="471">
        <f>Forecasts!CO8</f>
        <v>620182.75663071079</v>
      </c>
      <c r="AL9" s="471">
        <f>Forecasts!CP8</f>
        <v>657480.65002475586</v>
      </c>
      <c r="AM9" s="471">
        <f>Forecasts!CQ8</f>
        <v>600545.98890282924</v>
      </c>
      <c r="AN9" s="469">
        <f>Forecasts!CR8</f>
        <v>642400.71190430829</v>
      </c>
      <c r="AO9" s="471">
        <f>Forecasts!CS8</f>
        <v>633414.36943399836</v>
      </c>
      <c r="AP9" s="471">
        <f>Forecasts!CT8</f>
        <v>820756.33633000089</v>
      </c>
      <c r="AQ9" s="471">
        <f>Forecasts!CU8</f>
        <v>501406.67583285156</v>
      </c>
      <c r="AR9" s="471">
        <f>Forecasts!CV8</f>
        <v>842638.4249139895</v>
      </c>
      <c r="AS9" s="469">
        <f>Forecasts!CW8</f>
        <v>698770.97364170919</v>
      </c>
      <c r="AT9" s="471">
        <f>Forecasts!CX8</f>
        <v>520497.98497891304</v>
      </c>
      <c r="AU9" s="471">
        <f>Forecasts!CY8</f>
        <v>492904.12203871837</v>
      </c>
      <c r="AV9" s="471">
        <f>Forecasts!CZ8</f>
        <v>567742.07454734645</v>
      </c>
      <c r="AW9" s="471">
        <f>Forecasts!DA8</f>
        <v>761149.92404336878</v>
      </c>
      <c r="AX9" s="469">
        <f>Forecasts!DB8</f>
        <v>632636.60132660542</v>
      </c>
      <c r="AY9" s="471">
        <f>Forecasts!DC8</f>
        <v>774115.28050785675</v>
      </c>
      <c r="AZ9" s="471">
        <f>Forecasts!DD8</f>
        <v>602666.49843374232</v>
      </c>
      <c r="BA9" s="471">
        <f>Forecasts!DE8</f>
        <v>747038.97570809617</v>
      </c>
      <c r="BB9" s="471">
        <f>Forecasts!DF8</f>
        <v>535810.6634427869</v>
      </c>
      <c r="BC9" s="469">
        <f>Forecasts!DG8</f>
        <v>655142.34779213474</v>
      </c>
      <c r="BD9" s="471">
        <f>Forecasts!DH8</f>
        <v>439360.93525251403</v>
      </c>
      <c r="BE9" s="471">
        <f>Forecasts!DI8</f>
        <v>637468.62876220699</v>
      </c>
      <c r="BF9" s="471">
        <f>Forecasts!DJ8</f>
        <v>644522.21308296616</v>
      </c>
      <c r="BG9" s="471">
        <f>Forecasts!DK8</f>
        <v>651653.84524721943</v>
      </c>
      <c r="BH9" s="469">
        <f>Forecasts!DL8</f>
        <v>604754.69547888055</v>
      </c>
      <c r="BI9" s="471">
        <f>Forecasts!DM8</f>
        <v>658864.38885361364</v>
      </c>
      <c r="BJ9" s="471">
        <f>Forecasts!DN8</f>
        <v>666154.71705650631</v>
      </c>
      <c r="BK9" s="471">
        <f>Forecasts!DO8</f>
        <v>673525.71267169958</v>
      </c>
      <c r="BL9" s="471">
        <f>Forecasts!DP8</f>
        <v>680978.26828334422</v>
      </c>
      <c r="BM9" s="469">
        <f>Forecasts!DQ8</f>
        <v>672220.39750672784</v>
      </c>
    </row>
    <row r="10" spans="2:65" collapsed="1">
      <c r="B10" s="519" t="str">
        <f>Forecasts!A9</f>
        <v>Contracted Sales (100%)</v>
      </c>
      <c r="C10" s="463">
        <f>Forecasts!AY9</f>
        <v>6011400</v>
      </c>
      <c r="D10" s="463">
        <f>Forecasts!BD9</f>
        <v>5578300</v>
      </c>
      <c r="E10" s="463">
        <f>Forecasts!BI9</f>
        <v>3389586</v>
      </c>
      <c r="F10" s="461">
        <f>Forecasts!BJ9</f>
        <v>543565</v>
      </c>
      <c r="G10" s="461">
        <f>Forecasts!BK9</f>
        <v>558379</v>
      </c>
      <c r="H10" s="468">
        <f>Forecasts!BL9</f>
        <v>573350</v>
      </c>
      <c r="I10" s="468">
        <f>Forecasts!BM9</f>
        <v>1090268</v>
      </c>
      <c r="J10" s="463">
        <f>Forecasts!BN9</f>
        <v>2765562</v>
      </c>
      <c r="K10" s="468">
        <f>Forecasts!BO9</f>
        <v>520000</v>
      </c>
      <c r="L10" s="468">
        <f>Forecasts!BP9</f>
        <v>756000</v>
      </c>
      <c r="M10" s="468">
        <f>Forecasts!BQ9</f>
        <v>729630</v>
      </c>
      <c r="N10" s="468">
        <f>Forecasts!BR9</f>
        <v>1253291</v>
      </c>
      <c r="O10" s="463">
        <f>Forecasts!BS9</f>
        <v>3258921</v>
      </c>
      <c r="P10" s="468">
        <f>Forecasts!BT9</f>
        <v>613092</v>
      </c>
      <c r="Q10" s="468">
        <f>Forecasts!BU9</f>
        <v>1060935</v>
      </c>
      <c r="R10" s="468">
        <f>Forecasts!BV9</f>
        <v>943000</v>
      </c>
      <c r="S10" s="468">
        <f>Forecasts!BW9</f>
        <v>2439179.7254579798</v>
      </c>
      <c r="T10" s="463">
        <f>Forecasts!BX9</f>
        <v>5056206.7254579794</v>
      </c>
      <c r="U10" s="468">
        <f>Forecasts!BY9</f>
        <v>773031.06656818045</v>
      </c>
      <c r="V10" s="468">
        <f>Forecasts!BZ9</f>
        <v>1305470.9368501434</v>
      </c>
      <c r="W10" s="468">
        <f>Forecasts!CA9</f>
        <v>1123366.3303312066</v>
      </c>
      <c r="X10" s="468">
        <f>Forecasts!CB9</f>
        <v>1387445.1095968094</v>
      </c>
      <c r="Y10" s="463">
        <f>Forecasts!CC9</f>
        <v>4589313.4433463402</v>
      </c>
      <c r="Z10" s="468">
        <f>Forecasts!CD9</f>
        <v>846188.98344586894</v>
      </c>
      <c r="AA10" s="468">
        <f>Forecasts!CE9</f>
        <v>512378.08895439724</v>
      </c>
      <c r="AB10" s="468">
        <f>Forecasts!CF9</f>
        <v>1711627.1025532619</v>
      </c>
      <c r="AC10" s="468">
        <f>Forecasts!CG9</f>
        <v>1860194.7667020492</v>
      </c>
      <c r="AD10" s="463">
        <f>Forecasts!CH9</f>
        <v>4930388.9416555772</v>
      </c>
      <c r="AE10" s="468">
        <f>Forecasts!CI9</f>
        <v>1030911.8944871745</v>
      </c>
      <c r="AF10" s="468">
        <f>Forecasts!CJ9</f>
        <v>1559954.8194156727</v>
      </c>
      <c r="AG10" s="468">
        <f>Forecasts!CK9</f>
        <v>1365603.6801327136</v>
      </c>
      <c r="AH10" s="468">
        <f>Forecasts!CL9</f>
        <v>1574515.098491831</v>
      </c>
      <c r="AI10" s="463">
        <f>Forecasts!CM9</f>
        <v>5530985.4925273918</v>
      </c>
      <c r="AJ10" s="468">
        <f>Forecasts!CN9</f>
        <v>1312487.3405780916</v>
      </c>
      <c r="AK10" s="468">
        <f>Forecasts!CO9</f>
        <v>1622040.8707555183</v>
      </c>
      <c r="AL10" s="468">
        <f>Forecasts!CP9</f>
        <v>2285717.5363245821</v>
      </c>
      <c r="AM10" s="468">
        <f>Forecasts!CQ9</f>
        <v>2690936.3394353595</v>
      </c>
      <c r="AN10" s="463">
        <f>Forecasts!CR9</f>
        <v>7911182.0870935516</v>
      </c>
      <c r="AO10" s="468">
        <f>Forecasts!CS9</f>
        <v>1544551.4591390237</v>
      </c>
      <c r="AP10" s="468">
        <f>Forecasts!CT9</f>
        <v>2491233.4593098299</v>
      </c>
      <c r="AQ10" s="468">
        <f>Forecasts!CU9</f>
        <v>2263188.9775623744</v>
      </c>
      <c r="AR10" s="468">
        <f>Forecasts!CV9</f>
        <v>2592935.6974654002</v>
      </c>
      <c r="AS10" s="463">
        <f>Forecasts!CW9</f>
        <v>8891909.593476627</v>
      </c>
      <c r="AT10" s="468">
        <f>Forecasts!CX9</f>
        <v>2147129.3423621999</v>
      </c>
      <c r="AU10" s="468">
        <f>Forecasts!CY9</f>
        <v>2371504.7187608392</v>
      </c>
      <c r="AV10" s="468">
        <f>Forecasts!CZ9</f>
        <v>3200576.8936927989</v>
      </c>
      <c r="AW10" s="468">
        <f>Forecasts!DA9</f>
        <v>4904954.6169577716</v>
      </c>
      <c r="AX10" s="463">
        <f>Forecasts!DB9</f>
        <v>12624165.571773611</v>
      </c>
      <c r="AY10" s="468">
        <f>Forecasts!DC9</f>
        <v>3028851.5868528695</v>
      </c>
      <c r="AZ10" s="468">
        <f>Forecasts!DD9</f>
        <v>3257882.2354527079</v>
      </c>
      <c r="BA10" s="468">
        <f>Forecasts!DE9</f>
        <v>3546839.5435546609</v>
      </c>
      <c r="BB10" s="468">
        <f>Forecasts!DF9</f>
        <v>3329590.5512721697</v>
      </c>
      <c r="BC10" s="463">
        <f>Forecasts!DG9</f>
        <v>13163163.917132407</v>
      </c>
      <c r="BD10" s="468">
        <f>Forecasts!DH9</f>
        <v>2941578.6030330556</v>
      </c>
      <c r="BE10" s="468">
        <f>Forecasts!DI9</f>
        <v>3466756.4684406542</v>
      </c>
      <c r="BF10" s="468">
        <f>Forecasts!DJ9</f>
        <v>3805594.6138359904</v>
      </c>
      <c r="BG10" s="468">
        <f>Forecasts!DK9</f>
        <v>4397528.3402859829</v>
      </c>
      <c r="BH10" s="463">
        <f>Forecasts!DL9</f>
        <v>14611458.025595684</v>
      </c>
      <c r="BI10" s="468">
        <f>Forecasts!DM9</f>
        <v>3316552.774652279</v>
      </c>
      <c r="BJ10" s="468">
        <f>Forecasts!DN9</f>
        <v>3716870.8459032634</v>
      </c>
      <c r="BK10" s="468">
        <f>Forecasts!DO9</f>
        <v>3982582.1204070724</v>
      </c>
      <c r="BL10" s="468">
        <f>Forecasts!DP9</f>
        <v>4600095.3050696943</v>
      </c>
      <c r="BM10" s="463">
        <f>Forecasts!DQ9</f>
        <v>15616101.04603231</v>
      </c>
    </row>
    <row r="11" spans="2:65">
      <c r="B11" s="519" t="str">
        <f>Forecasts!A10</f>
        <v>Contracted Sales (co%)</v>
      </c>
      <c r="C11" s="463">
        <f>Forecasts!AY10</f>
        <v>5086600</v>
      </c>
      <c r="D11" s="463">
        <f>Forecasts!BD10</f>
        <v>4673100</v>
      </c>
      <c r="E11" s="463">
        <f>Forecasts!BI10</f>
        <v>2638000</v>
      </c>
      <c r="F11" s="461">
        <f>Forecasts!BJ10</f>
        <v>415000</v>
      </c>
      <c r="G11" s="461">
        <f>Forecasts!BK10</f>
        <v>442000</v>
      </c>
      <c r="H11" s="472">
        <f>Forecasts!BL10</f>
        <v>417000</v>
      </c>
      <c r="I11" s="472">
        <f>Forecasts!BM10</f>
        <v>856000</v>
      </c>
      <c r="J11" s="463">
        <f>Forecasts!BN10</f>
        <v>2130000</v>
      </c>
      <c r="K11" s="472">
        <f>Forecasts!BO10</f>
        <v>369200</v>
      </c>
      <c r="L11" s="472">
        <f>Forecasts!BP10</f>
        <v>567000</v>
      </c>
      <c r="M11" s="472">
        <f>Forecasts!BQ10</f>
        <v>553932</v>
      </c>
      <c r="N11" s="472">
        <f>Forecasts!BR10</f>
        <v>871929</v>
      </c>
      <c r="O11" s="463">
        <f>Forecasts!BS10</f>
        <v>2362061</v>
      </c>
      <c r="P11" s="472">
        <f>Forecasts!BT10</f>
        <v>384624</v>
      </c>
      <c r="Q11" s="472">
        <f>Forecasts!BU10</f>
        <v>698996</v>
      </c>
      <c r="R11" s="472">
        <f>Forecasts!BV10</f>
        <v>693000</v>
      </c>
      <c r="S11" s="472">
        <f>Forecasts!BW10</f>
        <v>1720362.1818955999</v>
      </c>
      <c r="T11" s="463">
        <f>Forecasts!BX10</f>
        <v>3496982.1818955997</v>
      </c>
      <c r="U11" s="472">
        <f>Forecasts!BY10</f>
        <v>641022.13331012474</v>
      </c>
      <c r="V11" s="472">
        <f>Forecasts!BZ10</f>
        <v>1141267.6894440176</v>
      </c>
      <c r="W11" s="472">
        <f>Forecasts!CA10</f>
        <v>959706.15684845601</v>
      </c>
      <c r="X11" s="472">
        <f>Forecasts!CB10</f>
        <v>1191731.7131492631</v>
      </c>
      <c r="Y11" s="463">
        <f>Forecasts!CC10</f>
        <v>3933727.6927518616</v>
      </c>
      <c r="Z11" s="472">
        <f>Forecasts!CD10</f>
        <v>686810.96547813399</v>
      </c>
      <c r="AA11" s="472">
        <f>Forecasts!CE10</f>
        <v>449625.66864391213</v>
      </c>
      <c r="AB11" s="472">
        <f>Forecasts!CF10</f>
        <v>1549186.6511380214</v>
      </c>
      <c r="AC11" s="472">
        <f>Forecasts!CG10</f>
        <v>1692118.221043021</v>
      </c>
      <c r="AD11" s="463">
        <f>Forecasts!CH10</f>
        <v>4377741.5063030887</v>
      </c>
      <c r="AE11" s="472">
        <f>Forecasts!CI10</f>
        <v>908178.27309078339</v>
      </c>
      <c r="AF11" s="472">
        <f>Forecasts!CJ10</f>
        <v>1348594.4373938097</v>
      </c>
      <c r="AG11" s="472">
        <f>Forecasts!CK10</f>
        <v>1236172.4860605719</v>
      </c>
      <c r="AH11" s="472">
        <f>Forecasts!CL10</f>
        <v>1420217.0904864545</v>
      </c>
      <c r="AI11" s="463">
        <f>Forecasts!CM10</f>
        <v>4913162.2870316198</v>
      </c>
      <c r="AJ11" s="472">
        <f>Forecasts!CN10</f>
        <v>1192828.5224708416</v>
      </c>
      <c r="AK11" s="472">
        <f>Forecasts!CO10</f>
        <v>1393439.5958806362</v>
      </c>
      <c r="AL11" s="472">
        <f>Forecasts!CP10</f>
        <v>1797209.9910056747</v>
      </c>
      <c r="AM11" s="472">
        <f>Forecasts!CQ10</f>
        <v>1739332.7069629251</v>
      </c>
      <c r="AN11" s="463">
        <f>Forecasts!CR10</f>
        <v>6122810.8163200784</v>
      </c>
      <c r="AO11" s="472">
        <f>Forecasts!CS10</f>
        <v>1158566.4160503936</v>
      </c>
      <c r="AP11" s="472">
        <f>Forecasts!CT10</f>
        <v>2013860.0670887462</v>
      </c>
      <c r="AQ11" s="472">
        <f>Forecasts!CU10</f>
        <v>1743785.2869871957</v>
      </c>
      <c r="AR11" s="472">
        <f>Forecasts!CV10</f>
        <v>1859926.62945689</v>
      </c>
      <c r="AS11" s="463">
        <f>Forecasts!CW10</f>
        <v>6776138.3995832251</v>
      </c>
      <c r="AT11" s="472">
        <f>Forecasts!CX10</f>
        <v>1705125.818091817</v>
      </c>
      <c r="AU11" s="472">
        <f>Forecasts!CY10</f>
        <v>1755390.4741547299</v>
      </c>
      <c r="AV11" s="472">
        <f>Forecasts!CZ10</f>
        <v>2528669.659855119</v>
      </c>
      <c r="AW11" s="472">
        <f>Forecasts!DA10</f>
        <v>3636092.6394472425</v>
      </c>
      <c r="AX11" s="463">
        <f>Forecasts!DB10</f>
        <v>9625278.5915489085</v>
      </c>
      <c r="AY11" s="472">
        <f>Forecasts!DC10</f>
        <v>2352381.5851012184</v>
      </c>
      <c r="AZ11" s="472">
        <f>Forecasts!DD10</f>
        <v>2373924.9069505106</v>
      </c>
      <c r="BA11" s="472">
        <f>Forecasts!DE10</f>
        <v>2532608.92544627</v>
      </c>
      <c r="BB11" s="472">
        <f>Forecasts!DF10</f>
        <v>2509503.1607867405</v>
      </c>
      <c r="BC11" s="463">
        <f>Forecasts!DG10</f>
        <v>9768418.5782847404</v>
      </c>
      <c r="BD11" s="472">
        <f>Forecasts!DH10</f>
        <v>2194581.1573409545</v>
      </c>
      <c r="BE11" s="472">
        <f>Forecasts!DI10</f>
        <v>2631033.8623376172</v>
      </c>
      <c r="BF11" s="472">
        <f>Forecasts!DJ10</f>
        <v>2790679.7475841343</v>
      </c>
      <c r="BG11" s="472">
        <f>Forecasts!DK10</f>
        <v>3254767.9180535958</v>
      </c>
      <c r="BH11" s="463">
        <f>Forecasts!DL10</f>
        <v>10871062.685316302</v>
      </c>
      <c r="BI11" s="472">
        <f>Forecasts!DM10</f>
        <v>2535983.3512335415</v>
      </c>
      <c r="BJ11" s="472">
        <f>Forecasts!DN10</f>
        <v>2855383.2407418359</v>
      </c>
      <c r="BK11" s="472">
        <f>Forecasts!DO10</f>
        <v>3099328.8776980531</v>
      </c>
      <c r="BL11" s="472">
        <f>Forecasts!DP10</f>
        <v>3616281.6067581763</v>
      </c>
      <c r="BM11" s="463">
        <f>Forecasts!DQ10</f>
        <v>12106977.076431606</v>
      </c>
    </row>
    <row r="12" spans="2:65" hidden="1" outlineLevel="1">
      <c r="B12" s="519" t="str">
        <f>Forecasts!A11</f>
        <v>Avg Share (%)</v>
      </c>
      <c r="C12" s="465">
        <f>Forecasts!AY11</f>
        <v>0.84615896463386231</v>
      </c>
      <c r="D12" s="465">
        <f>Forecasts!BD11</f>
        <v>0.83772834017532227</v>
      </c>
      <c r="E12" s="465">
        <f>Forecasts!BI11</f>
        <v>0.77826613633641395</v>
      </c>
      <c r="F12" s="466">
        <f>Forecasts!BJ11</f>
        <v>0.76347814888743759</v>
      </c>
      <c r="G12" s="466">
        <f>Forecasts!BK11</f>
        <v>0.79157704713107047</v>
      </c>
      <c r="H12" s="467">
        <f>Forecasts!BL11</f>
        <v>0.72730443882445273</v>
      </c>
      <c r="I12" s="467">
        <f>Forecasts!BM11</f>
        <v>0.7851280602567442</v>
      </c>
      <c r="J12" s="465">
        <f>Forecasts!BN11</f>
        <v>0.77018703612502626</v>
      </c>
      <c r="K12" s="467">
        <f>Forecasts!BO11</f>
        <v>0.71</v>
      </c>
      <c r="L12" s="467">
        <f>Forecasts!BP11</f>
        <v>0.75</v>
      </c>
      <c r="M12" s="467">
        <f>Forecasts!BQ11</f>
        <v>0.75919575675342299</v>
      </c>
      <c r="N12" s="467">
        <f>Forecasts!BR11</f>
        <v>0.69571153068202041</v>
      </c>
      <c r="O12" s="465">
        <f>Forecasts!BS11</f>
        <v>0.72479848391538182</v>
      </c>
      <c r="P12" s="467">
        <f>Forecasts!BT11</f>
        <v>0.62735119688399132</v>
      </c>
      <c r="Q12" s="467">
        <f>Forecasts!BU11</f>
        <v>0.65884903410670781</v>
      </c>
      <c r="R12" s="467">
        <f>Forecasts!BV11</f>
        <v>0.73488865323435848</v>
      </c>
      <c r="S12" s="467">
        <f>Forecasts!BW11</f>
        <v>0.70530357559961476</v>
      </c>
      <c r="T12" s="465">
        <f>Forecasts!BX11</f>
        <v>0.69162167841918121</v>
      </c>
      <c r="U12" s="467">
        <f>Forecasts!BY11</f>
        <v>0.82923204646340998</v>
      </c>
      <c r="V12" s="467">
        <f>Forecasts!BZ11</f>
        <v>0.87421914745776153</v>
      </c>
      <c r="W12" s="467">
        <f>Forecasts!CA11</f>
        <v>0.85431273034994915</v>
      </c>
      <c r="X12" s="467">
        <f>Forecasts!CB11</f>
        <v>0.85893971942110159</v>
      </c>
      <c r="Y12" s="465">
        <f>Forecasts!CC11</f>
        <v>0.85714949334198187</v>
      </c>
      <c r="Z12" s="467">
        <f>Forecasts!CD11</f>
        <v>0.81165198190277499</v>
      </c>
      <c r="AA12" s="467">
        <f>Forecasts!CE11</f>
        <v>0.87752711979049869</v>
      </c>
      <c r="AB12" s="467">
        <f>Forecasts!CF11</f>
        <v>0.90509588731510182</v>
      </c>
      <c r="AC12" s="467">
        <f>Forecasts!CG11</f>
        <v>0.90964572706705749</v>
      </c>
      <c r="AD12" s="465">
        <f>Forecasts!CH11</f>
        <v>0.88790997183136733</v>
      </c>
      <c r="AE12" s="467">
        <f>Forecasts!CI11</f>
        <v>0.8809465463996371</v>
      </c>
      <c r="AF12" s="467">
        <f>Forecasts!CJ11</f>
        <v>0.86450865153836043</v>
      </c>
      <c r="AG12" s="467">
        <f>Forecasts!CK11</f>
        <v>0.90522052923908114</v>
      </c>
      <c r="AH12" s="467">
        <f>Forecasts!CL11</f>
        <v>0.90200284001520681</v>
      </c>
      <c r="AI12" s="465">
        <f>Forecasts!CM11</f>
        <v>0.88829780762750532</v>
      </c>
      <c r="AJ12" s="467">
        <f>Forecasts!CN11</f>
        <v>0.9088304973253718</v>
      </c>
      <c r="AK12" s="467">
        <f>Forecasts!CO11</f>
        <v>0.85906565056625017</v>
      </c>
      <c r="AL12" s="467">
        <f>Forecasts!CP11</f>
        <v>0.78627825286565189</v>
      </c>
      <c r="AM12" s="467">
        <f>Forecasts!CQ11</f>
        <v>0.64636709589640096</v>
      </c>
      <c r="AN12" s="465">
        <f>Forecasts!CR11</f>
        <v>0.77394386185459507</v>
      </c>
      <c r="AO12" s="467">
        <f>Forecasts!CS11</f>
        <v>0.75009894244391895</v>
      </c>
      <c r="AP12" s="467">
        <f>Forecasts!CT11</f>
        <v>0.80837870074475682</v>
      </c>
      <c r="AQ12" s="467">
        <f>Forecasts!CU11</f>
        <v>0.77049919572575165</v>
      </c>
      <c r="AR12" s="467">
        <f>Forecasts!CV11</f>
        <v>0.71730534284940883</v>
      </c>
      <c r="AS12" s="465">
        <f>Forecasts!CW11</f>
        <v>0.76205660081771465</v>
      </c>
      <c r="AT12" s="467">
        <f>Forecasts!CX11</f>
        <v>0.79414210613688252</v>
      </c>
      <c r="AU12" s="467">
        <f>Forecasts!CY11</f>
        <v>0.74020113064415827</v>
      </c>
      <c r="AV12" s="467">
        <f>Forecasts!CZ11</f>
        <v>0.79006683602516448</v>
      </c>
      <c r="AW12" s="467">
        <f>Forecasts!DA11</f>
        <v>0.74131014930826766</v>
      </c>
      <c r="AX12" s="465">
        <f>Forecasts!DB11</f>
        <v>0.76244869705052676</v>
      </c>
      <c r="AY12" s="467">
        <f>Forecasts!DC11</f>
        <v>0.77665792385207699</v>
      </c>
      <c r="AZ12" s="467">
        <f>Forecasts!DD11</f>
        <v>0.72867118434090217</v>
      </c>
      <c r="BA12" s="467">
        <f>Forecasts!DE11</f>
        <v>0.71404665882011575</v>
      </c>
      <c r="BB12" s="467">
        <f>Forecasts!DF11</f>
        <v>0.75369722557264873</v>
      </c>
      <c r="BC12" s="465">
        <f>Forecasts!DG11</f>
        <v>0.74210263123524089</v>
      </c>
      <c r="BD12" s="467">
        <f>Forecasts!DH11</f>
        <v>0.74605558902220948</v>
      </c>
      <c r="BE12" s="467">
        <f>Forecasts!DI11</f>
        <v>0.75893241601740058</v>
      </c>
      <c r="BF12" s="467">
        <f>Forecasts!DJ11</f>
        <v>0.73330977961711086</v>
      </c>
      <c r="BG12" s="467">
        <f>Forecasts!DK11</f>
        <v>0.7401357458544382</v>
      </c>
      <c r="BH12" s="465">
        <f>Forecasts!DL11</f>
        <v>0.74400943877557402</v>
      </c>
      <c r="BI12" s="467">
        <f>Forecasts!DM11</f>
        <v>0.76464435320177415</v>
      </c>
      <c r="BJ12" s="467">
        <f>Forecasts!DN11</f>
        <v>0.768222345925482</v>
      </c>
      <c r="BK12" s="467">
        <f>Forecasts!DO11</f>
        <v>0.77822095916537204</v>
      </c>
      <c r="BL12" s="467">
        <f>Forecasts!DP11</f>
        <v>0.78613188791387167</v>
      </c>
      <c r="BM12" s="465">
        <f>Forecasts!DQ11</f>
        <v>0.77528808508239699</v>
      </c>
    </row>
    <row r="13" spans="2:65" hidden="1" outlineLevel="1">
      <c r="B13" s="519" t="str">
        <f>Forecasts!A12</f>
        <v># of Units Sold</v>
      </c>
      <c r="C13" s="463">
        <f>Forecasts!AY12</f>
        <v>17071</v>
      </c>
      <c r="D13" s="463">
        <f>Forecasts!BD12</f>
        <v>13490</v>
      </c>
      <c r="E13" s="463">
        <f>Forecasts!BI12</f>
        <v>9096</v>
      </c>
      <c r="F13" s="461">
        <f>Forecasts!BJ12</f>
        <v>1582</v>
      </c>
      <c r="G13" s="461">
        <f>Forecasts!BK12</f>
        <v>1503</v>
      </c>
      <c r="H13" s="468">
        <f>Forecasts!BL12</f>
        <v>1850</v>
      </c>
      <c r="I13" s="468">
        <f>Forecasts!BM12</f>
        <v>3758</v>
      </c>
      <c r="J13" s="463">
        <f>Forecasts!BN12</f>
        <v>8693</v>
      </c>
      <c r="K13" s="468">
        <f>Forecasts!BO12</f>
        <v>1384</v>
      </c>
      <c r="L13" s="468">
        <f>Forecasts!BP12</f>
        <v>2177</v>
      </c>
      <c r="M13" s="468">
        <f>Forecasts!BQ12</f>
        <v>2555</v>
      </c>
      <c r="N13" s="468">
        <f>Forecasts!BR12</f>
        <v>4216</v>
      </c>
      <c r="O13" s="463">
        <f>Forecasts!BS12</f>
        <v>10332</v>
      </c>
      <c r="P13" s="468">
        <f>Forecasts!BT12</f>
        <v>2297</v>
      </c>
      <c r="Q13" s="468">
        <f>Forecasts!BU12</f>
        <v>3257</v>
      </c>
      <c r="R13" s="468">
        <f>Forecasts!BV12</f>
        <v>3108</v>
      </c>
      <c r="S13" s="468">
        <f>Forecasts!BW12</f>
        <v>5839</v>
      </c>
      <c r="T13" s="463">
        <f>Forecasts!BX12</f>
        <v>14501</v>
      </c>
      <c r="U13" s="468">
        <f>Forecasts!BY12</f>
        <v>1820</v>
      </c>
      <c r="V13" s="468">
        <f>Forecasts!BZ12</f>
        <v>2726</v>
      </c>
      <c r="W13" s="468">
        <f>Forecasts!CA12</f>
        <v>2371</v>
      </c>
      <c r="X13" s="468">
        <f>Forecasts!CB12</f>
        <v>2996</v>
      </c>
      <c r="Y13" s="463">
        <f>Forecasts!CC12</f>
        <v>9913</v>
      </c>
      <c r="Z13" s="468">
        <f>Forecasts!CD12</f>
        <v>2483</v>
      </c>
      <c r="AA13" s="468">
        <f>Forecasts!CE12</f>
        <v>1324</v>
      </c>
      <c r="AB13" s="468">
        <f>Forecasts!CF12</f>
        <v>3003</v>
      </c>
      <c r="AC13" s="468">
        <f>Forecasts!CG12</f>
        <v>4242</v>
      </c>
      <c r="AD13" s="463">
        <f>Forecasts!CH12</f>
        <v>11052</v>
      </c>
      <c r="AE13" s="468">
        <f>Forecasts!CI12</f>
        <v>2521</v>
      </c>
      <c r="AF13" s="468">
        <f>Forecasts!CJ12</f>
        <v>3649</v>
      </c>
      <c r="AG13" s="468">
        <f>Forecasts!CK12</f>
        <v>2316</v>
      </c>
      <c r="AH13" s="468">
        <f>Forecasts!CL12</f>
        <v>4242</v>
      </c>
      <c r="AI13" s="463">
        <f>Forecasts!CM12</f>
        <v>12728</v>
      </c>
      <c r="AJ13" s="468">
        <f>Forecasts!CN12</f>
        <v>2821</v>
      </c>
      <c r="AK13" s="468">
        <f>Forecasts!CO12</f>
        <v>3359</v>
      </c>
      <c r="AL13" s="468">
        <f>Forecasts!CP12</f>
        <v>4027</v>
      </c>
      <c r="AM13" s="468">
        <f>Forecasts!CQ12</f>
        <v>5297</v>
      </c>
      <c r="AN13" s="463">
        <f>Forecasts!CR12</f>
        <v>15504</v>
      </c>
      <c r="AO13" s="468">
        <f>Forecasts!CS12</f>
        <v>3010</v>
      </c>
      <c r="AP13" s="468">
        <f>Forecasts!CT12</f>
        <v>4518</v>
      </c>
      <c r="AQ13" s="468">
        <f>Forecasts!CU12</f>
        <v>4107</v>
      </c>
      <c r="AR13" s="468">
        <f>Forecasts!CV12</f>
        <v>4061</v>
      </c>
      <c r="AS13" s="463">
        <f>Forecasts!CW12</f>
        <v>15696</v>
      </c>
      <c r="AT13" s="468">
        <f>Forecasts!CX12</f>
        <v>3694</v>
      </c>
      <c r="AU13" s="468">
        <f>Forecasts!CY12</f>
        <v>4216</v>
      </c>
      <c r="AV13" s="468">
        <f>Forecasts!CZ12</f>
        <v>5553</v>
      </c>
      <c r="AW13" s="468">
        <f>Forecasts!DA12</f>
        <v>7230</v>
      </c>
      <c r="AX13" s="463">
        <f>Forecasts!DB12</f>
        <v>20693</v>
      </c>
      <c r="AY13" s="468">
        <f>Forecasts!DC12</f>
        <v>5246</v>
      </c>
      <c r="AZ13" s="468">
        <f>Forecasts!DD12</f>
        <v>7086</v>
      </c>
      <c r="BA13" s="468">
        <f>Forecasts!DE12</f>
        <v>4944</v>
      </c>
      <c r="BB13" s="468">
        <f>Forecasts!DF12</f>
        <v>6008</v>
      </c>
      <c r="BC13" s="463">
        <f>Forecasts!DG12</f>
        <v>23284</v>
      </c>
      <c r="BD13" s="468">
        <f>Forecasts!DH12</f>
        <v>6223</v>
      </c>
      <c r="BE13" s="468">
        <f>Forecasts!DI12</f>
        <v>6508</v>
      </c>
      <c r="BF13" s="468">
        <f>Forecasts!DJ12</f>
        <v>6239.7984872027328</v>
      </c>
      <c r="BG13" s="468">
        <f>Forecasts!DK12</f>
        <v>7403.3322926684041</v>
      </c>
      <c r="BH13" s="463">
        <f>Forecasts!DL12</f>
        <v>26374.130779871139</v>
      </c>
      <c r="BI13" s="468">
        <f>Forecasts!DM12</f>
        <v>5471.9192253672682</v>
      </c>
      <c r="BJ13" s="468">
        <f>Forecasts!DN12</f>
        <v>5772.4072972963368</v>
      </c>
      <c r="BK13" s="468">
        <f>Forecasts!DO12</f>
        <v>6127.8734226796014</v>
      </c>
      <c r="BL13" s="468">
        <f>Forecasts!DP12</f>
        <v>7012.4622178229602</v>
      </c>
      <c r="BM13" s="463">
        <f>Forecasts!DQ12</f>
        <v>24384.662163166169</v>
      </c>
    </row>
    <row r="14" spans="2:65" hidden="1" outlineLevel="1">
      <c r="B14" s="519" t="str">
        <f>Forecasts!A13</f>
        <v>Avg Selling Price, R$000/unit</v>
      </c>
      <c r="C14" s="463">
        <f>Forecasts!AY13</f>
        <v>352141.05793450883</v>
      </c>
      <c r="D14" s="463">
        <f>Forecasts!BD13</f>
        <v>413513.71386212006</v>
      </c>
      <c r="E14" s="463">
        <f>Forecasts!BI13</f>
        <v>372645.77836411609</v>
      </c>
      <c r="F14" s="468">
        <f>Forecasts!BJ13</f>
        <v>343593.55246523389</v>
      </c>
      <c r="G14" s="468">
        <f>Forecasts!BK13</f>
        <v>371509.64737192285</v>
      </c>
      <c r="H14" s="473">
        <f>Forecasts!BL13</f>
        <v>309918.91891891888</v>
      </c>
      <c r="I14" s="473">
        <f>Forecasts!BM13</f>
        <v>290119.2123469931</v>
      </c>
      <c r="J14" s="463">
        <f>Forecasts!BN13</f>
        <v>318136.66168181296</v>
      </c>
      <c r="K14" s="473">
        <f>Forecasts!BO13</f>
        <v>375722.54335260118</v>
      </c>
      <c r="L14" s="473">
        <f>Forecasts!BP13</f>
        <v>347266.88102893886</v>
      </c>
      <c r="M14" s="473">
        <f>Forecasts!BQ13</f>
        <v>285569.47162426618</v>
      </c>
      <c r="N14" s="473">
        <f>Forecasts!BR13</f>
        <v>297270.16129032255</v>
      </c>
      <c r="O14" s="463">
        <f>Forecasts!BS13</f>
        <v>315420.15098722413</v>
      </c>
      <c r="P14" s="473">
        <f>Forecasts!BT13</f>
        <v>266909.88245537662</v>
      </c>
      <c r="Q14" s="473">
        <f>Forecasts!BU13</f>
        <v>325739.94473441818</v>
      </c>
      <c r="R14" s="473">
        <f>Forecasts!BV13</f>
        <v>303410.55341055343</v>
      </c>
      <c r="S14" s="473">
        <f>Forecasts!BW13</f>
        <v>417739.29190922756</v>
      </c>
      <c r="T14" s="463">
        <f>Forecasts!BX13</f>
        <v>348679.86521329416</v>
      </c>
      <c r="U14" s="473">
        <f>Forecasts!BY13</f>
        <v>424742.34426823101</v>
      </c>
      <c r="V14" s="473">
        <f>Forecasts!BZ13</f>
        <v>478896.1617205221</v>
      </c>
      <c r="W14" s="473">
        <f>Forecasts!CA13</f>
        <v>473794.31899249542</v>
      </c>
      <c r="X14" s="473">
        <f>Forecasts!CB13</f>
        <v>463099.16875727946</v>
      </c>
      <c r="Y14" s="463">
        <f>Forecasts!CC13</f>
        <v>462959.0884037466</v>
      </c>
      <c r="Z14" s="473">
        <f>Forecasts!CD13</f>
        <v>340792.98568097822</v>
      </c>
      <c r="AA14" s="473">
        <f>Forecasts!CE13</f>
        <v>386992.51431601</v>
      </c>
      <c r="AB14" s="473">
        <f>Forecasts!CF13</f>
        <v>569972.39512263134</v>
      </c>
      <c r="AC14" s="473">
        <f>Forecasts!CG13</f>
        <v>438518.33255588147</v>
      </c>
      <c r="AD14" s="463">
        <f>Forecasts!CH13</f>
        <v>446108.30090984231</v>
      </c>
      <c r="AE14" s="473">
        <f>Forecasts!CI13</f>
        <v>408929.74791240558</v>
      </c>
      <c r="AF14" s="473">
        <f>Forecasts!CJ13</f>
        <v>427502.00586891547</v>
      </c>
      <c r="AG14" s="473">
        <f>Forecasts!CK13</f>
        <v>589638.89470324421</v>
      </c>
      <c r="AH14" s="473">
        <f>Forecasts!CL13</f>
        <v>371172.81906926708</v>
      </c>
      <c r="AI14" s="463">
        <f>Forecasts!CM13</f>
        <v>434552.599978582</v>
      </c>
      <c r="AJ14" s="473">
        <f>Forecasts!CN13</f>
        <v>465256.0583403373</v>
      </c>
      <c r="AK14" s="473">
        <f>Forecasts!CO13</f>
        <v>482893.97759914212</v>
      </c>
      <c r="AL14" s="473">
        <f>Forecasts!CP13</f>
        <v>567598.09692688903</v>
      </c>
      <c r="AM14" s="473">
        <f>Forecasts!CQ13</f>
        <v>508011.39124700008</v>
      </c>
      <c r="AN14" s="463">
        <f>Forecasts!CR13</f>
        <v>510267.16248023423</v>
      </c>
      <c r="AO14" s="473">
        <f>Forecasts!CS13</f>
        <v>513140.01964751619</v>
      </c>
      <c r="AP14" s="473">
        <f>Forecasts!CT13</f>
        <v>551401.82808982511</v>
      </c>
      <c r="AQ14" s="473">
        <f>Forecasts!CU13</f>
        <v>551056.48345808976</v>
      </c>
      <c r="AR14" s="473">
        <f>Forecasts!CV13</f>
        <v>638496.84744284663</v>
      </c>
      <c r="AS14" s="463">
        <f>Forecasts!CW13</f>
        <v>566508.00162312866</v>
      </c>
      <c r="AT14" s="473">
        <f>Forecasts!CX13</f>
        <v>581247.79165192205</v>
      </c>
      <c r="AU14" s="473">
        <f>Forecasts!CY13</f>
        <v>562501.11925067345</v>
      </c>
      <c r="AV14" s="473">
        <f>Forecasts!CZ13</f>
        <v>576368.97059117572</v>
      </c>
      <c r="AW14" s="473">
        <f>Forecasts!DA13</f>
        <v>678416.95946857147</v>
      </c>
      <c r="AX14" s="463">
        <f>Forecasts!DB13</f>
        <v>610069.37475347274</v>
      </c>
      <c r="AY14" s="473">
        <f>Forecasts!DC13</f>
        <v>577364.00816867512</v>
      </c>
      <c r="AZ14" s="473">
        <f>Forecasts!DD13</f>
        <v>459763.22826033132</v>
      </c>
      <c r="BA14" s="473">
        <f>Forecasts!DE13</f>
        <v>717402.82029827277</v>
      </c>
      <c r="BB14" s="473">
        <f>Forecasts!DF13</f>
        <v>554192.83476567408</v>
      </c>
      <c r="BC14" s="463">
        <f>Forecasts!DG13</f>
        <v>565330.86742537399</v>
      </c>
      <c r="BD14" s="473">
        <f>Forecasts!DH13</f>
        <v>472694.61723172996</v>
      </c>
      <c r="BE14" s="473">
        <f>Forecasts!DI13</f>
        <v>532691.5286479186</v>
      </c>
      <c r="BF14" s="473">
        <f>Forecasts!DJ13</f>
        <v>609890.62734011747</v>
      </c>
      <c r="BG14" s="473">
        <f>Forecasts!DK13</f>
        <v>593993.10559663794</v>
      </c>
      <c r="BH14" s="463">
        <f>Forecasts!DL13</f>
        <v>554007.18785952241</v>
      </c>
      <c r="BI14" s="473">
        <f>Forecasts!DM13</f>
        <v>606104.11777956679</v>
      </c>
      <c r="BJ14" s="473">
        <f>Forecasts!DN13</f>
        <v>643903.08141356555</v>
      </c>
      <c r="BK14" s="473">
        <f>Forecasts!DO13</f>
        <v>649912.59539848089</v>
      </c>
      <c r="BL14" s="473">
        <f>Forecasts!DP13</f>
        <v>655988.60459854396</v>
      </c>
      <c r="BM14" s="463">
        <f>Forecasts!DQ13</f>
        <v>640406.70079985529</v>
      </c>
    </row>
    <row r="15" spans="2:65" hidden="1" outlineLevel="1">
      <c r="B15" s="521" t="str">
        <f>Forecasts!A14</f>
        <v>Contracted Sales</v>
      </c>
      <c r="C15" s="474">
        <f>Forecasts!AY14</f>
        <v>6011400</v>
      </c>
      <c r="D15" s="474">
        <f>Forecasts!BD14</f>
        <v>5578300</v>
      </c>
      <c r="E15" s="474">
        <f>Forecasts!BI14</f>
        <v>3389586</v>
      </c>
      <c r="F15" s="475">
        <f>Forecasts!BJ14</f>
        <v>543565</v>
      </c>
      <c r="G15" s="475">
        <f>Forecasts!BK14</f>
        <v>558379</v>
      </c>
      <c r="H15" s="475">
        <f>Forecasts!BL14</f>
        <v>573350</v>
      </c>
      <c r="I15" s="475">
        <f>Forecasts!BM14</f>
        <v>1090268</v>
      </c>
      <c r="J15" s="474">
        <f>Forecasts!BN14</f>
        <v>2765562</v>
      </c>
      <c r="K15" s="475">
        <f>Forecasts!BO14</f>
        <v>520000</v>
      </c>
      <c r="L15" s="475">
        <f>Forecasts!BP14</f>
        <v>756000</v>
      </c>
      <c r="M15" s="475">
        <f>Forecasts!BQ14</f>
        <v>729630</v>
      </c>
      <c r="N15" s="475">
        <f>Forecasts!BR14</f>
        <v>1253291</v>
      </c>
      <c r="O15" s="474">
        <f>Forecasts!BS14</f>
        <v>3258921</v>
      </c>
      <c r="P15" s="475">
        <f>Forecasts!BT14</f>
        <v>613092</v>
      </c>
      <c r="Q15" s="475">
        <f>Forecasts!BU14</f>
        <v>1060935</v>
      </c>
      <c r="R15" s="475">
        <f>Forecasts!BV14</f>
        <v>943000</v>
      </c>
      <c r="S15" s="475">
        <f>Forecasts!BW14</f>
        <v>2439179.7254579798</v>
      </c>
      <c r="T15" s="474">
        <f>Forecasts!BX14</f>
        <v>5056206.7254579794</v>
      </c>
      <c r="U15" s="475">
        <f>Forecasts!BY14</f>
        <v>773031.06656818045</v>
      </c>
      <c r="V15" s="475">
        <f>Forecasts!BZ14</f>
        <v>1305470.9368501434</v>
      </c>
      <c r="W15" s="475">
        <f>Forecasts!CA14</f>
        <v>1123366.3303312066</v>
      </c>
      <c r="X15" s="475">
        <f>Forecasts!CB14</f>
        <v>1387445.1095968094</v>
      </c>
      <c r="Y15" s="474">
        <f>Forecasts!CC14</f>
        <v>4589313.4433463402</v>
      </c>
      <c r="Z15" s="475">
        <f>Forecasts!CD14</f>
        <v>846188.98344586894</v>
      </c>
      <c r="AA15" s="475">
        <f>Forecasts!CE14</f>
        <v>512378.08895439724</v>
      </c>
      <c r="AB15" s="475">
        <f>Forecasts!CF14</f>
        <v>1711627.1025532619</v>
      </c>
      <c r="AC15" s="475">
        <f>Forecasts!CG14</f>
        <v>1860194.7667020492</v>
      </c>
      <c r="AD15" s="474">
        <f>Forecasts!CH14</f>
        <v>4930388.9416555772</v>
      </c>
      <c r="AE15" s="475">
        <f>Forecasts!CI14</f>
        <v>1030911.8944871745</v>
      </c>
      <c r="AF15" s="475">
        <f>Forecasts!CJ14</f>
        <v>1559954.8194156727</v>
      </c>
      <c r="AG15" s="475">
        <f>Forecasts!CK14</f>
        <v>1365603.6801327136</v>
      </c>
      <c r="AH15" s="475">
        <f>Forecasts!CL14</f>
        <v>1574515.098491831</v>
      </c>
      <c r="AI15" s="474">
        <f>Forecasts!CM14</f>
        <v>5530985.4925273918</v>
      </c>
      <c r="AJ15" s="475">
        <f>Forecasts!CN14</f>
        <v>1312487.3405780916</v>
      </c>
      <c r="AK15" s="475">
        <f>Forecasts!CO14</f>
        <v>1622040.8707555183</v>
      </c>
      <c r="AL15" s="475">
        <f>Forecasts!CP14</f>
        <v>2285717.5363245821</v>
      </c>
      <c r="AM15" s="475">
        <f>Forecasts!CQ14</f>
        <v>2690936.3394353595</v>
      </c>
      <c r="AN15" s="474">
        <f>Forecasts!CR14</f>
        <v>7911182.0870935516</v>
      </c>
      <c r="AO15" s="475">
        <f>Forecasts!CS14</f>
        <v>1544551.4591390239</v>
      </c>
      <c r="AP15" s="475">
        <f>Forecasts!CT14</f>
        <v>2491233.4593098299</v>
      </c>
      <c r="AQ15" s="475">
        <f>Forecasts!CU14</f>
        <v>2263188.9775623744</v>
      </c>
      <c r="AR15" s="475">
        <f>Forecasts!CV14</f>
        <v>2592935.6974654002</v>
      </c>
      <c r="AS15" s="474">
        <f>Forecasts!CW14</f>
        <v>8891909.593476627</v>
      </c>
      <c r="AT15" s="475">
        <f>Forecasts!CX14</f>
        <v>2147129.3423621999</v>
      </c>
      <c r="AU15" s="475">
        <f>Forecasts!CY14</f>
        <v>2371504.7187608392</v>
      </c>
      <c r="AV15" s="475">
        <f>Forecasts!CZ14</f>
        <v>3200576.8936927989</v>
      </c>
      <c r="AW15" s="475">
        <f>Forecasts!DA14</f>
        <v>4904954.6169577716</v>
      </c>
      <c r="AX15" s="474">
        <f>Forecasts!DB14</f>
        <v>12624165.571773611</v>
      </c>
      <c r="AY15" s="475">
        <f>Forecasts!DC14</f>
        <v>3028851.5868528695</v>
      </c>
      <c r="AZ15" s="475">
        <f>Forecasts!DD14</f>
        <v>3257882.2354527083</v>
      </c>
      <c r="BA15" s="475">
        <f>Forecasts!DE14</f>
        <v>3538946.510364268</v>
      </c>
      <c r="BB15" s="475">
        <f>Forecasts!DF14</f>
        <v>3329590.5512721697</v>
      </c>
      <c r="BC15" s="474">
        <f>Forecasts!DG14</f>
        <v>13155270.883942015</v>
      </c>
      <c r="BD15" s="475">
        <f>Forecasts!DH14</f>
        <v>2941578.6030330556</v>
      </c>
      <c r="BE15" s="475">
        <f>Forecasts!DI14</f>
        <v>3466756.4684406542</v>
      </c>
      <c r="BF15" s="475">
        <f>Forecasts!DJ14</f>
        <v>3805594.6138359904</v>
      </c>
      <c r="BG15" s="475">
        <f>Forecasts!DK14</f>
        <v>4397528.3402859829</v>
      </c>
      <c r="BH15" s="474">
        <f>Forecasts!DL14</f>
        <v>14611458.025595684</v>
      </c>
      <c r="BI15" s="475">
        <f>Forecasts!DM14</f>
        <v>3316552.774652279</v>
      </c>
      <c r="BJ15" s="475">
        <f>Forecasts!DN14</f>
        <v>3716870.8459032634</v>
      </c>
      <c r="BK15" s="475">
        <f>Forecasts!DO14</f>
        <v>3982582.1204070724</v>
      </c>
      <c r="BL15" s="475">
        <f>Forecasts!DP14</f>
        <v>4600095.3050696943</v>
      </c>
      <c r="BM15" s="474">
        <f>Forecasts!DQ14</f>
        <v>15616101.04603231</v>
      </c>
    </row>
    <row r="16" spans="2:65" hidden="1" outlineLevel="1">
      <c r="B16" s="519" t="str">
        <f>Forecasts!A15</f>
        <v>Gross Launches' Sales</v>
      </c>
      <c r="C16" s="463">
        <f>Forecasts!AY15</f>
        <v>2435164</v>
      </c>
      <c r="D16" s="463">
        <f>Forecasts!BD15</f>
        <v>2298460</v>
      </c>
      <c r="E16" s="463">
        <f>Forecasts!BI15</f>
        <v>1162320</v>
      </c>
      <c r="F16" s="461">
        <f>Forecasts!BJ15</f>
        <v>236000</v>
      </c>
      <c r="G16" s="461">
        <f>Forecasts!BK15</f>
        <v>252000</v>
      </c>
      <c r="H16" s="464">
        <f>Forecasts!BL15</f>
        <v>275208</v>
      </c>
      <c r="I16" s="464">
        <f>Forecasts!BM15</f>
        <v>632355.43999999994</v>
      </c>
      <c r="J16" s="463">
        <f>Forecasts!BN15</f>
        <v>1395563.44</v>
      </c>
      <c r="K16" s="464">
        <f>Forecasts!BO15</f>
        <v>111843</v>
      </c>
      <c r="L16" s="464">
        <f>Forecasts!BP15</f>
        <v>195744</v>
      </c>
      <c r="M16" s="464">
        <f>Forecasts!BQ15</f>
        <v>266602</v>
      </c>
      <c r="N16" s="464">
        <f>Forecasts!BR15</f>
        <v>562757</v>
      </c>
      <c r="O16" s="463">
        <f>Forecasts!BS15</f>
        <v>1136946</v>
      </c>
      <c r="P16" s="464">
        <f>Forecasts!BT15</f>
        <v>125901</v>
      </c>
      <c r="Q16" s="464">
        <f>Forecasts!BU15</f>
        <v>505000</v>
      </c>
      <c r="R16" s="464">
        <f>Forecasts!BV15</f>
        <v>451000</v>
      </c>
      <c r="S16" s="464">
        <f>Forecasts!BW15</f>
        <v>1777000</v>
      </c>
      <c r="T16" s="463">
        <f>Forecasts!BX15</f>
        <v>2858901</v>
      </c>
      <c r="U16" s="464">
        <f>Forecasts!BY15</f>
        <v>280000</v>
      </c>
      <c r="V16" s="464">
        <f>Forecasts!BZ15</f>
        <v>1176000</v>
      </c>
      <c r="W16" s="464">
        <f>Forecasts!CA15</f>
        <v>777000</v>
      </c>
      <c r="X16" s="464">
        <f>Forecasts!CB15</f>
        <v>633161.34440857871</v>
      </c>
      <c r="Y16" s="463">
        <f>Forecasts!CC15</f>
        <v>2866161.3444085787</v>
      </c>
      <c r="Z16" s="464">
        <f>Forecasts!CD15</f>
        <v>620000</v>
      </c>
      <c r="AA16" s="464">
        <f>Forecasts!CE15</f>
        <v>171000</v>
      </c>
      <c r="AB16" s="464">
        <f>Forecasts!CF15</f>
        <v>1466000</v>
      </c>
      <c r="AC16" s="464">
        <f>Forecasts!CG15</f>
        <v>1101000</v>
      </c>
      <c r="AD16" s="463">
        <f>Forecasts!CH15</f>
        <v>3358000</v>
      </c>
      <c r="AE16" s="464">
        <f>Forecasts!CI15</f>
        <v>172000</v>
      </c>
      <c r="AF16" s="464">
        <f>Forecasts!CJ15</f>
        <v>776000</v>
      </c>
      <c r="AG16" s="464">
        <f>Forecasts!CK15</f>
        <v>730000</v>
      </c>
      <c r="AH16" s="464">
        <f>Forecasts!CL15</f>
        <v>802000</v>
      </c>
      <c r="AI16" s="463">
        <f>Forecasts!CM15</f>
        <v>2480000</v>
      </c>
      <c r="AJ16" s="464">
        <f>Forecasts!CN15</f>
        <v>528000</v>
      </c>
      <c r="AK16" s="464">
        <f>Forecasts!CO15</f>
        <v>745000</v>
      </c>
      <c r="AL16" s="464">
        <f>Forecasts!CP15</f>
        <v>1210000</v>
      </c>
      <c r="AM16" s="464">
        <f>Forecasts!CQ15</f>
        <v>1642000</v>
      </c>
      <c r="AN16" s="463">
        <f>Forecasts!CR15</f>
        <v>4125000</v>
      </c>
      <c r="AO16" s="464">
        <f>Forecasts!CS15</f>
        <v>478655.13369217003</v>
      </c>
      <c r="AP16" s="464">
        <f>Forecasts!CT15</f>
        <v>1402790.4783779101</v>
      </c>
      <c r="AQ16" s="464">
        <f>Forecasts!CU15</f>
        <v>993714.13443900703</v>
      </c>
      <c r="AR16" s="464">
        <f>Forecasts!CV15</f>
        <v>1281696.1656096301</v>
      </c>
      <c r="AS16" s="463">
        <f>Forecasts!CW15</f>
        <v>4156855.9121187171</v>
      </c>
      <c r="AT16" s="464">
        <f>Forecasts!CX15</f>
        <v>901656.56190503901</v>
      </c>
      <c r="AU16" s="464">
        <f>Forecasts!CY15</f>
        <v>746867.61957325495</v>
      </c>
      <c r="AV16" s="464">
        <f>Forecasts!CZ15</f>
        <v>1942570.24919725</v>
      </c>
      <c r="AW16" s="464">
        <f>Forecasts!DA15</f>
        <v>3824313.7626805399</v>
      </c>
      <c r="AX16" s="463">
        <f>Forecasts!DB15</f>
        <v>7415408.1933560837</v>
      </c>
      <c r="AY16" s="464">
        <f>Forecasts!DC15</f>
        <v>1593952.3454383914</v>
      </c>
      <c r="AZ16" s="464">
        <f>Forecasts!DD15</f>
        <v>1583258.5208492938</v>
      </c>
      <c r="BA16" s="464">
        <f>Forecasts!DE15</f>
        <v>2082214.45616331</v>
      </c>
      <c r="BB16" s="464">
        <f>Forecasts!DF15</f>
        <v>1712021.0734909307</v>
      </c>
      <c r="BC16" s="463">
        <f>Forecasts!DG15</f>
        <v>6971446.3959419262</v>
      </c>
      <c r="BD16" s="464">
        <f>Forecasts!DH15</f>
        <v>1091081.6020354521</v>
      </c>
      <c r="BE16" s="464">
        <f>Forecasts!DI15</f>
        <v>1658137.785314227</v>
      </c>
      <c r="BF16" s="464">
        <f>Forecasts!DJ15</f>
        <v>1451259.3723964281</v>
      </c>
      <c r="BG16" s="464">
        <f>Forecasts!DK15</f>
        <v>1814074.2154955349</v>
      </c>
      <c r="BH16" s="463">
        <f>Forecasts!DL15</f>
        <v>6014552.9752416424</v>
      </c>
      <c r="BI16" s="464">
        <f>Forecasts!DM15</f>
        <v>808953.31606404216</v>
      </c>
      <c r="BJ16" s="464">
        <f>Forecasts!DN15</f>
        <v>1186464.8635605951</v>
      </c>
      <c r="BK16" s="464">
        <f>Forecasts!DO15</f>
        <v>1510046.1899862122</v>
      </c>
      <c r="BL16" s="464">
        <f>Forecasts!DP15</f>
        <v>1887557.737482765</v>
      </c>
      <c r="BM16" s="463">
        <f>Forecasts!DQ15</f>
        <v>5393022.1070936145</v>
      </c>
    </row>
    <row r="17" spans="2:65" hidden="1" outlineLevel="1">
      <c r="B17" s="519" t="str">
        <f>Forecasts!A16</f>
        <v xml:space="preserve">  -- Sales Speed</v>
      </c>
      <c r="C17" s="465">
        <f>Forecasts!AY16</f>
        <v>0.44416225878232957</v>
      </c>
      <c r="D17" s="465">
        <f>Forecasts!BD16</f>
        <v>0.40028909787530476</v>
      </c>
      <c r="E17" s="465">
        <f>Forecasts!BI16</f>
        <v>0.40093825457054155</v>
      </c>
      <c r="F17" s="476">
        <f>Forecasts!BJ16</f>
        <v>0.38499184339314846</v>
      </c>
      <c r="G17" s="476">
        <f>Forecasts!BK16</f>
        <v>0.42140468227424749</v>
      </c>
      <c r="H17" s="477">
        <f>Forecasts!BL16</f>
        <v>0.60886725663716812</v>
      </c>
      <c r="I17" s="477">
        <f>Forecasts!BM16</f>
        <v>0.49635434850863419</v>
      </c>
      <c r="J17" s="465">
        <f>Forecasts!BN16</f>
        <v>0.4751663057541709</v>
      </c>
      <c r="K17" s="477">
        <f>Forecasts!BO16</f>
        <v>0.18275</v>
      </c>
      <c r="L17" s="477">
        <f>Forecasts!BP16</f>
        <v>0.30585000000000001</v>
      </c>
      <c r="M17" s="477">
        <f>Forecasts!BQ16</f>
        <v>0.50125972053006029</v>
      </c>
      <c r="N17" s="477">
        <f>Forecasts!BR16</f>
        <v>0.44339051049744999</v>
      </c>
      <c r="O17" s="465">
        <f>Forecasts!BS16</f>
        <v>0.37239349023951901</v>
      </c>
      <c r="P17" s="477">
        <f>Forecasts!BT16</f>
        <v>0.28992946410683323</v>
      </c>
      <c r="Q17" s="477">
        <f>Forecasts!BU16</f>
        <v>0.51458727553040706</v>
      </c>
      <c r="R17" s="477">
        <f>Forecasts!BV16</f>
        <v>0.49128540305010893</v>
      </c>
      <c r="S17" s="477">
        <f>Forecasts!BW16</f>
        <v>0.65688372029236841</v>
      </c>
      <c r="T17" s="465">
        <f>Forecasts!BX16</f>
        <v>0.56737586555962138</v>
      </c>
      <c r="U17" s="477">
        <f>Forecasts!BY16</f>
        <v>0.63290758639668498</v>
      </c>
      <c r="V17" s="477">
        <f>Forecasts!BZ16</f>
        <v>0.76964696876617877</v>
      </c>
      <c r="W17" s="477">
        <f>Forecasts!CA16</f>
        <v>0.78586405213961252</v>
      </c>
      <c r="X17" s="477">
        <f>Forecasts!CB16</f>
        <v>0.45299999999999996</v>
      </c>
      <c r="Y17" s="465">
        <f>Forecasts!CC16</f>
        <v>0.65785872485043417</v>
      </c>
      <c r="Z17" s="477">
        <f>Forecasts!CD16</f>
        <v>0.58239623696149267</v>
      </c>
      <c r="AA17" s="477">
        <f>Forecasts!CE16</f>
        <v>0.67270606798506671</v>
      </c>
      <c r="AB17" s="477">
        <f>Forecasts!CF16</f>
        <v>0.88786446393509866</v>
      </c>
      <c r="AC17" s="477">
        <f>Forecasts!CG16</f>
        <v>0.38317699270776934</v>
      </c>
      <c r="AD17" s="465">
        <f>Forecasts!CH16</f>
        <v>0.57467888535632639</v>
      </c>
      <c r="AE17" s="477">
        <f>Forecasts!CI16</f>
        <v>0.40821372222976698</v>
      </c>
      <c r="AF17" s="477">
        <f>Forecasts!CJ16</f>
        <v>0.402265159036446</v>
      </c>
      <c r="AG17" s="477">
        <f>Forecasts!CK16</f>
        <v>0.33186362324162139</v>
      </c>
      <c r="AH17" s="477">
        <f>Forecasts!CL16</f>
        <v>0.31391166031059148</v>
      </c>
      <c r="AI17" s="465">
        <f>Forecasts!CM16</f>
        <v>0.34905087783151939</v>
      </c>
      <c r="AJ17" s="477">
        <f>Forecasts!CN16</f>
        <v>0.50883494130749629</v>
      </c>
      <c r="AK17" s="477">
        <f>Forecasts!CO16</f>
        <v>0.32025028249986476</v>
      </c>
      <c r="AL17" s="477">
        <f>Forecasts!CP16</f>
        <v>0.41328505357208262</v>
      </c>
      <c r="AM17" s="477">
        <f>Forecasts!CQ16</f>
        <v>0.58198778516319805</v>
      </c>
      <c r="AN17" s="465">
        <f>Forecasts!CR16</f>
        <v>0.45264526721723125</v>
      </c>
      <c r="AO17" s="477">
        <f>Forecasts!CS16</f>
        <v>0.35594657270347346</v>
      </c>
      <c r="AP17" s="477">
        <f>Forecasts!CT16</f>
        <v>0.39914611104456577</v>
      </c>
      <c r="AQ17" s="477">
        <f>Forecasts!CU16</f>
        <v>0.45908098691381349</v>
      </c>
      <c r="AR17" s="477">
        <f>Forecasts!CV16</f>
        <v>0.46715330901788177</v>
      </c>
      <c r="AS17" s="465">
        <f>Forecasts!CW16</f>
        <v>0.42558379051614575</v>
      </c>
      <c r="AT17" s="477">
        <f>Forecasts!CX16</f>
        <v>0.53040293026804153</v>
      </c>
      <c r="AU17" s="477">
        <f>Forecasts!CY16</f>
        <v>0.51104186955533426</v>
      </c>
      <c r="AV17" s="477">
        <f>Forecasts!CZ16</f>
        <v>0.62210395635154214</v>
      </c>
      <c r="AW17" s="477">
        <f>Forecasts!DA16</f>
        <v>0.56766349569121399</v>
      </c>
      <c r="AX17" s="465">
        <f>Forecasts!DB16</f>
        <v>0.56949927312184478</v>
      </c>
      <c r="AY17" s="477">
        <f>Forecasts!DC16</f>
        <v>0.32782411653253751</v>
      </c>
      <c r="AZ17" s="477">
        <f>Forecasts!DD16</f>
        <v>0.38368467751819391</v>
      </c>
      <c r="BA17" s="477">
        <f>Forecasts!DE16</f>
        <v>0.41232104345429066</v>
      </c>
      <c r="BB17" s="477">
        <f>Forecasts!DF16</f>
        <v>0.37781693722969512</v>
      </c>
      <c r="BC17" s="465">
        <f>Forecasts!DG16</f>
        <v>0.37541425410873774</v>
      </c>
      <c r="BD17" s="477">
        <f>Forecasts!DH16</f>
        <v>0.44931025200906</v>
      </c>
      <c r="BE17" s="477">
        <f>Forecasts!DI16</f>
        <v>0.33386323302821819</v>
      </c>
      <c r="BF17" s="477">
        <f>Forecasts!DJ16</f>
        <v>0.33386323302821819</v>
      </c>
      <c r="BG17" s="477">
        <f>Forecasts!DK16</f>
        <v>0.33386323302821819</v>
      </c>
      <c r="BH17" s="465">
        <f>Forecasts!DL16</f>
        <v>0.35018581362912038</v>
      </c>
      <c r="BI17" s="477">
        <f>Forecasts!DM16</f>
        <v>0.33386323302821819</v>
      </c>
      <c r="BJ17" s="477">
        <f>Forecasts!DN16</f>
        <v>0.33386323302821819</v>
      </c>
      <c r="BK17" s="477">
        <f>Forecasts!DO16</f>
        <v>0.33386323302821819</v>
      </c>
      <c r="BL17" s="477">
        <f>Forecasts!DP16</f>
        <v>0.33386323302821819</v>
      </c>
      <c r="BM17" s="465">
        <f>Forecasts!DQ16</f>
        <v>0.33386323302821819</v>
      </c>
    </row>
    <row r="18" spans="2:65" hidden="1" outlineLevel="1">
      <c r="B18" s="519" t="str">
        <f>Forecasts!A17</f>
        <v>Gross Inventory Sales</v>
      </c>
      <c r="C18" s="463">
        <f>Forecasts!AY17</f>
        <v>4491224.18</v>
      </c>
      <c r="D18" s="463">
        <f>Forecasts!BD17</f>
        <v>4534220.46</v>
      </c>
      <c r="E18" s="463">
        <f>Forecasts!BI17</f>
        <v>4281815</v>
      </c>
      <c r="F18" s="461">
        <f>Forecasts!BJ17</f>
        <v>801451</v>
      </c>
      <c r="G18" s="461">
        <f>Forecasts!BK17</f>
        <v>1068832</v>
      </c>
      <c r="H18" s="464">
        <f>Forecasts!BL17</f>
        <v>901409</v>
      </c>
      <c r="I18" s="464">
        <f>Forecasts!BM17</f>
        <v>927744.56</v>
      </c>
      <c r="J18" s="463">
        <f>Forecasts!BN17</f>
        <v>3699436.56</v>
      </c>
      <c r="K18" s="464">
        <f>Forecasts!BO17</f>
        <v>924157</v>
      </c>
      <c r="L18" s="464">
        <f>Forecasts!BP17</f>
        <v>1090256</v>
      </c>
      <c r="M18" s="464">
        <f>Forecasts!BQ17</f>
        <v>936028</v>
      </c>
      <c r="N18" s="464">
        <f>Forecasts!BR17</f>
        <v>983534</v>
      </c>
      <c r="O18" s="463">
        <f>Forecasts!BS17</f>
        <v>3933975</v>
      </c>
      <c r="P18" s="464">
        <f>Forecasts!BT17</f>
        <v>797191</v>
      </c>
      <c r="Q18" s="464">
        <f>Forecasts!BU17</f>
        <v>920935</v>
      </c>
      <c r="R18" s="464">
        <f>Forecasts!BV17</f>
        <v>796000</v>
      </c>
      <c r="S18" s="464">
        <f>Forecasts!BW17</f>
        <v>850179.72545797983</v>
      </c>
      <c r="T18" s="463">
        <f>Forecasts!BX17</f>
        <v>3364305.7254579798</v>
      </c>
      <c r="U18" s="464">
        <f>Forecasts!BY17</f>
        <v>681031.06656818045</v>
      </c>
      <c r="V18" s="464">
        <f>Forecasts!BZ17</f>
        <v>351470.93685014336</v>
      </c>
      <c r="W18" s="464">
        <f>Forecasts!CA17</f>
        <v>546366.33033120655</v>
      </c>
      <c r="X18" s="464">
        <f>Forecasts!CB17</f>
        <v>919283.76518823067</v>
      </c>
      <c r="Y18" s="463">
        <f>Forecasts!CC17</f>
        <v>2498152.098937761</v>
      </c>
      <c r="Z18" s="464">
        <f>Forecasts!CD17</f>
        <v>411188.98344586894</v>
      </c>
      <c r="AA18" s="464">
        <f>Forecasts!CE17</f>
        <v>552378.08895439724</v>
      </c>
      <c r="AB18" s="464">
        <f>Forecasts!CF17</f>
        <v>553627.10255326191</v>
      </c>
      <c r="AC18" s="464">
        <f>Forecasts!CG17</f>
        <v>924194.76670204918</v>
      </c>
      <c r="AD18" s="463">
        <f>Forecasts!CH17</f>
        <v>2441388.9416555772</v>
      </c>
      <c r="AE18" s="464">
        <f>Forecasts!CI17</f>
        <v>987711.89448717446</v>
      </c>
      <c r="AF18" s="464">
        <f>Forecasts!CJ17</f>
        <v>933454.81941567268</v>
      </c>
      <c r="AG18" s="464">
        <f>Forecasts!CK17</f>
        <v>801703.68013271363</v>
      </c>
      <c r="AH18" s="464">
        <f>Forecasts!CL17</f>
        <v>944915.09849183098</v>
      </c>
      <c r="AI18" s="463">
        <f>Forecasts!CM17</f>
        <v>3667785.4925273918</v>
      </c>
      <c r="AJ18" s="464">
        <f>Forecasts!CN17</f>
        <v>989887.34057809156</v>
      </c>
      <c r="AK18" s="464">
        <f>Forecasts!CO17</f>
        <v>1100740.8707555183</v>
      </c>
      <c r="AL18" s="464">
        <f>Forecasts!CP17</f>
        <v>1296517.5363245821</v>
      </c>
      <c r="AM18" s="464">
        <f>Forecasts!CQ17</f>
        <v>1221336.3394353595</v>
      </c>
      <c r="AN18" s="463">
        <f>Forecasts!CR17</f>
        <v>4608482.0870935516</v>
      </c>
      <c r="AO18" s="464">
        <f>Forecasts!CS17</f>
        <v>1373400.0136141228</v>
      </c>
      <c r="AP18" s="464">
        <f>Forecasts!CT17</f>
        <v>1394963.9751770676</v>
      </c>
      <c r="AQ18" s="464">
        <f>Forecasts!CU17</f>
        <v>1531785.5397354634</v>
      </c>
      <c r="AR18" s="464">
        <f>Forecasts!CV17</f>
        <v>1634097.9543640653</v>
      </c>
      <c r="AS18" s="463">
        <f>Forecasts!CW17</f>
        <v>5934247.4828907186</v>
      </c>
      <c r="AT18" s="464">
        <f>Forecasts!CX17</f>
        <v>1582643.2977167298</v>
      </c>
      <c r="AU18" s="464">
        <f>Forecasts!CY17</f>
        <v>1936341.423113049</v>
      </c>
      <c r="AV18" s="464">
        <f>Forecasts!CZ17</f>
        <v>1574740.9127655488</v>
      </c>
      <c r="AW18" s="464">
        <f>Forecasts!DA17</f>
        <v>1395930.9136597477</v>
      </c>
      <c r="AX18" s="463">
        <f>Forecasts!DB17</f>
        <v>6489656.5472550755</v>
      </c>
      <c r="AY18" s="464">
        <f>Forecasts!DC17</f>
        <v>1779357.1968071591</v>
      </c>
      <c r="AZ18" s="464">
        <f>Forecasts!DD17</f>
        <v>2127729.5278770011</v>
      </c>
      <c r="BA18" s="464">
        <f>Forecasts!DE17</f>
        <v>1984733.70669759</v>
      </c>
      <c r="BB18" s="464">
        <f>Forecasts!DF17</f>
        <v>1932859.5371637549</v>
      </c>
      <c r="BC18" s="463">
        <f>Forecasts!DG17</f>
        <v>7824679.9685455048</v>
      </c>
      <c r="BD18" s="464">
        <f>Forecasts!DH17</f>
        <v>2194954.9563902845</v>
      </c>
      <c r="BE18" s="464">
        <f>Forecasts!DI17</f>
        <v>2261724.496400014</v>
      </c>
      <c r="BF18" s="464">
        <f>Forecasts!DJ17</f>
        <v>2920805.90757311</v>
      </c>
      <c r="BG18" s="464">
        <f>Forecasts!DK17</f>
        <v>3190047.2122394666</v>
      </c>
      <c r="BH18" s="463">
        <f>Forecasts!DL17</f>
        <v>10567532.572602876</v>
      </c>
      <c r="BI18" s="464">
        <f>Forecasts!DM17</f>
        <v>3001366.568596716</v>
      </c>
      <c r="BJ18" s="464">
        <f>Forecasts!DN17</f>
        <v>3037049.383498311</v>
      </c>
      <c r="BK18" s="464">
        <f>Forecasts!DO17</f>
        <v>3009318.0245756987</v>
      </c>
      <c r="BL18" s="464">
        <f>Forecasts!DP17</f>
        <v>3283602.6699630143</v>
      </c>
      <c r="BM18" s="463">
        <f>Forecasts!DQ17</f>
        <v>12331336.646633741</v>
      </c>
    </row>
    <row r="19" spans="2:65" hidden="1" outlineLevel="1">
      <c r="B19" s="519" t="str">
        <f>Forecasts!A18</f>
        <v xml:space="preserve">  -- Sales Speed</v>
      </c>
      <c r="C19" s="465">
        <f>Forecasts!AY18</f>
        <v>0.70832236127210924</v>
      </c>
      <c r="D19" s="465">
        <f>Forecasts!BD18</f>
        <v>0.65203055220017259</v>
      </c>
      <c r="E19" s="465">
        <f>Forecasts!BI18</f>
        <v>0.60407223221528583</v>
      </c>
      <c r="F19" s="476">
        <f>Forecasts!BJ18</f>
        <v>0.12211656254761542</v>
      </c>
      <c r="G19" s="476">
        <f>Forecasts!BK18</f>
        <v>0.16494320987654321</v>
      </c>
      <c r="H19" s="477">
        <f>Forecasts!BL18</f>
        <v>0.13745181457761513</v>
      </c>
      <c r="I19" s="477">
        <f>Forecasts!BM18</f>
        <v>0.14468879600748596</v>
      </c>
      <c r="J19" s="465">
        <f>Forecasts!BN18</f>
        <v>0.56885965632568336</v>
      </c>
      <c r="K19" s="477">
        <f>Forecasts!BO18</f>
        <v>0.14137325990515526</v>
      </c>
      <c r="L19" s="477">
        <f>Forecasts!BP18</f>
        <v>0.16404694553114654</v>
      </c>
      <c r="M19" s="477">
        <f>Forecasts!BQ18</f>
        <v>0.14532339698804533</v>
      </c>
      <c r="N19" s="477">
        <f>Forecasts!BR18</f>
        <v>0.15832807469414037</v>
      </c>
      <c r="O19" s="465">
        <f>Forecasts!BS18</f>
        <v>0.60906874129122157</v>
      </c>
      <c r="P19" s="477">
        <f>Forecasts!BT18</f>
        <v>0.12907885362694302</v>
      </c>
      <c r="Q19" s="477">
        <f>Forecasts!BU18</f>
        <v>0.15575266827718287</v>
      </c>
      <c r="R19" s="477">
        <f>Forecasts!BV18</f>
        <v>0.13749517644120338</v>
      </c>
      <c r="S19" s="477">
        <f>Forecasts!BW18</f>
        <v>0.15252596438069246</v>
      </c>
      <c r="T19" s="465">
        <f>Forecasts!BX18</f>
        <v>0.57381744276490398</v>
      </c>
      <c r="U19" s="477">
        <f>Forecasts!BY18</f>
        <v>0.14734908436993041</v>
      </c>
      <c r="V19" s="477">
        <f>Forecasts!BZ18</f>
        <v>8.4721514615626506E-2</v>
      </c>
      <c r="W19" s="477">
        <f>Forecasts!CA18</f>
        <v>0.12291255980344314</v>
      </c>
      <c r="X19" s="477">
        <f>Forecasts!CB18</f>
        <v>0.21431665923278645</v>
      </c>
      <c r="Y19" s="465">
        <f>Forecasts!CC18</f>
        <v>0.57084417318354574</v>
      </c>
      <c r="Z19" s="477">
        <f>Forecasts!CD18</f>
        <v>9.4743068496840083E-2</v>
      </c>
      <c r="AA19" s="477">
        <f>Forecasts!CE18</f>
        <v>0.12330578732441727</v>
      </c>
      <c r="AB19" s="477">
        <f>Forecasts!CF18</f>
        <v>0.13031267027518598</v>
      </c>
      <c r="AC19" s="477">
        <f>Forecasts!CG18</f>
        <v>0.21486901241355275</v>
      </c>
      <c r="AD19" s="465">
        <f>Forecasts!CH18</f>
        <v>0.56222637369709694</v>
      </c>
      <c r="AE19" s="477">
        <f>Forecasts!CI18</f>
        <v>0.18042490714830095</v>
      </c>
      <c r="AF19" s="477">
        <f>Forecasts!CJ18</f>
        <v>0.19070241655376613</v>
      </c>
      <c r="AG19" s="477">
        <f>Forecasts!CK18</f>
        <v>0.14624291866704006</v>
      </c>
      <c r="AH19" s="477">
        <f>Forecasts!CL18</f>
        <v>0.14579773159880127</v>
      </c>
      <c r="AI19" s="465">
        <f>Forecasts!CM18</f>
        <v>0.65695044173386019</v>
      </c>
      <c r="AJ19" s="477">
        <f>Forecasts!CN18</f>
        <v>0.13246184137268721</v>
      </c>
      <c r="AK19" s="477">
        <f>Forecasts!CO18</f>
        <v>0.15256283724955208</v>
      </c>
      <c r="AL19" s="477">
        <f>Forecasts!CP18</f>
        <v>0.15925777377774009</v>
      </c>
      <c r="AM19" s="477">
        <f>Forecasts!CQ18</f>
        <v>0.13705940292171018</v>
      </c>
      <c r="AN19" s="465">
        <f>Forecasts!CR18</f>
        <v>0.58077909100107772</v>
      </c>
      <c r="AO19" s="477">
        <f>Forecasts!CS18</f>
        <v>0.15143896941384086</v>
      </c>
      <c r="AP19" s="477">
        <f>Forecasts!CT18</f>
        <v>0.16045819289116811</v>
      </c>
      <c r="AQ19" s="477">
        <f>Forecasts!CU18</f>
        <v>0.15683497628378357</v>
      </c>
      <c r="AR19" s="477">
        <f>Forecasts!CV18</f>
        <v>0.16741023721844311</v>
      </c>
      <c r="AS19" s="465">
        <f>Forecasts!CW18</f>
        <v>0.63654203278226296</v>
      </c>
      <c r="AT19" s="477">
        <f>Forecasts!CX18</f>
        <v>0.15931567709240119</v>
      </c>
      <c r="AU19" s="477">
        <f>Forecasts!CY18</f>
        <v>0.20430666675803913</v>
      </c>
      <c r="AV19" s="477">
        <f>Forecasts!CZ18</f>
        <v>0.18163475803289528</v>
      </c>
      <c r="AW19" s="477">
        <f>Forecasts!DA18</f>
        <v>0.16058119971657611</v>
      </c>
      <c r="AX19" s="465">
        <f>Forecasts!DB18</f>
        <v>0.70588767450893886</v>
      </c>
      <c r="AY19" s="477">
        <f>Forecasts!DC18</f>
        <v>0.16858852075941327</v>
      </c>
      <c r="AZ19" s="477">
        <f>Forecasts!DD18</f>
        <v>0.17147918401258339</v>
      </c>
      <c r="BA19" s="477">
        <f>Forecasts!DE18</f>
        <v>0.14830423164816459</v>
      </c>
      <c r="BB19" s="477">
        <f>Forecasts!DF18</f>
        <v>0.12848664895967438</v>
      </c>
      <c r="BC19" s="465">
        <f>Forecasts!DG18</f>
        <v>0.60905894109267356</v>
      </c>
      <c r="BD19" s="477">
        <f>Forecasts!DH18</f>
        <v>0.13503238194785674</v>
      </c>
      <c r="BE19" s="477">
        <f>Forecasts!DI18</f>
        <v>0.1467112248164068</v>
      </c>
      <c r="BF19" s="477">
        <f>Forecasts!DJ18</f>
        <v>0.17</v>
      </c>
      <c r="BG19" s="477">
        <f>Forecasts!DK18</f>
        <v>0.18</v>
      </c>
      <c r="BH19" s="465">
        <f>Forecasts!DL18</f>
        <v>0.63492604791124441</v>
      </c>
      <c r="BI19" s="477">
        <f>Forecasts!DM18</f>
        <v>0.16</v>
      </c>
      <c r="BJ19" s="477">
        <f>Forecasts!DN18</f>
        <v>0.17</v>
      </c>
      <c r="BK19" s="477">
        <f>Forecasts!DO18</f>
        <v>0.17</v>
      </c>
      <c r="BL19" s="477">
        <f>Forecasts!DP18</f>
        <v>0.18</v>
      </c>
      <c r="BM19" s="465">
        <f>Forecasts!DQ18</f>
        <v>0.67971540815643283</v>
      </c>
    </row>
    <row r="20" spans="2:65" hidden="1" outlineLevel="1">
      <c r="B20" s="519" t="str">
        <f>Forecasts!A19</f>
        <v>Sales Cancelations</v>
      </c>
      <c r="C20" s="463">
        <f>Forecasts!AY19</f>
        <v>914988.18</v>
      </c>
      <c r="D20" s="463">
        <f>Forecasts!BD19</f>
        <v>1254380.46</v>
      </c>
      <c r="E20" s="463">
        <f>Forecasts!BI19</f>
        <v>2054549</v>
      </c>
      <c r="F20" s="464">
        <f>Forecasts!BJ19</f>
        <v>493886</v>
      </c>
      <c r="G20" s="464">
        <f>Forecasts!BK19</f>
        <v>762453</v>
      </c>
      <c r="H20" s="464">
        <f>Forecasts!BL19</f>
        <v>603267</v>
      </c>
      <c r="I20" s="464">
        <f>Forecasts!BM19</f>
        <v>469832</v>
      </c>
      <c r="J20" s="463">
        <f>Forecasts!BN19</f>
        <v>2329438</v>
      </c>
      <c r="K20" s="464">
        <f>Forecasts!BO19</f>
        <v>516000</v>
      </c>
      <c r="L20" s="464">
        <f>Forecasts!BP19</f>
        <v>530000</v>
      </c>
      <c r="M20" s="464">
        <f>Forecasts!BQ19</f>
        <v>473000</v>
      </c>
      <c r="N20" s="464">
        <f>Forecasts!BR19</f>
        <v>293000</v>
      </c>
      <c r="O20" s="463">
        <f>Forecasts!BS19</f>
        <v>1812000</v>
      </c>
      <c r="P20" s="464">
        <f>Forecasts!BT19</f>
        <v>310000</v>
      </c>
      <c r="Q20" s="464">
        <f>Forecasts!BU19</f>
        <v>365000</v>
      </c>
      <c r="R20" s="464">
        <f>Forecasts!BV19</f>
        <v>304000</v>
      </c>
      <c r="S20" s="464">
        <f>Forecasts!BW19</f>
        <v>188000</v>
      </c>
      <c r="T20" s="463">
        <f>Forecasts!BX19</f>
        <v>1167000</v>
      </c>
      <c r="U20" s="464">
        <f>Forecasts!BY19</f>
        <v>188000</v>
      </c>
      <c r="V20" s="464">
        <f>Forecasts!BZ19</f>
        <v>222000</v>
      </c>
      <c r="W20" s="464">
        <f>Forecasts!CA19</f>
        <v>200000</v>
      </c>
      <c r="X20" s="464">
        <f>Forecasts!CB19</f>
        <v>165000</v>
      </c>
      <c r="Y20" s="463">
        <f>Forecasts!CC19</f>
        <v>775000</v>
      </c>
      <c r="Z20" s="464">
        <f>Forecasts!CD19</f>
        <v>185000</v>
      </c>
      <c r="AA20" s="464">
        <f>Forecasts!CE19</f>
        <v>211000</v>
      </c>
      <c r="AB20" s="464">
        <f>Forecasts!CF19</f>
        <v>308000</v>
      </c>
      <c r="AC20" s="464">
        <f>Forecasts!CG19</f>
        <v>165000</v>
      </c>
      <c r="AD20" s="463">
        <f>Forecasts!CH19</f>
        <v>869000</v>
      </c>
      <c r="AE20" s="464">
        <f>Forecasts!CI19</f>
        <v>128800</v>
      </c>
      <c r="AF20" s="464">
        <f>Forecasts!CJ19</f>
        <v>149500</v>
      </c>
      <c r="AG20" s="464">
        <f>Forecasts!CK19</f>
        <v>166100</v>
      </c>
      <c r="AH20" s="464">
        <f>Forecasts!CL19</f>
        <v>172400</v>
      </c>
      <c r="AI20" s="463">
        <f>Forecasts!CM19</f>
        <v>616800</v>
      </c>
      <c r="AJ20" s="464">
        <f>Forecasts!CN19</f>
        <v>205400</v>
      </c>
      <c r="AK20" s="464">
        <f>Forecasts!CO19</f>
        <v>223700</v>
      </c>
      <c r="AL20" s="464">
        <f>Forecasts!CP19</f>
        <v>220800</v>
      </c>
      <c r="AM20" s="464">
        <f>Forecasts!CQ19</f>
        <v>172400</v>
      </c>
      <c r="AN20" s="463">
        <f>Forecasts!CR19</f>
        <v>822300</v>
      </c>
      <c r="AO20" s="464">
        <f>Forecasts!CS19</f>
        <v>307503.68816726899</v>
      </c>
      <c r="AP20" s="464">
        <f>Forecasts!CT19</f>
        <v>306520.99424514797</v>
      </c>
      <c r="AQ20" s="464">
        <f>Forecasts!CU19</f>
        <v>262310.69661209598</v>
      </c>
      <c r="AR20" s="464">
        <f>Forecasts!CV19</f>
        <v>322858.42250829499</v>
      </c>
      <c r="AS20" s="463">
        <f>Forecasts!CW19</f>
        <v>1199193.8015328078</v>
      </c>
      <c r="AT20" s="464">
        <f>Forecasts!CX19</f>
        <v>337170.51725956902</v>
      </c>
      <c r="AU20" s="464">
        <f>Forecasts!CY19</f>
        <v>311704.323925465</v>
      </c>
      <c r="AV20" s="464">
        <f>Forecasts!CZ19</f>
        <v>316734.26827</v>
      </c>
      <c r="AW20" s="464">
        <f>Forecasts!DA19</f>
        <v>315290.05938251602</v>
      </c>
      <c r="AX20" s="463">
        <f>Forecasts!DB19</f>
        <v>1280899.1688375501</v>
      </c>
      <c r="AY20" s="464">
        <f>Forecasts!DC19</f>
        <v>344457.955392681</v>
      </c>
      <c r="AZ20" s="464">
        <f>Forecasts!DD19</f>
        <v>453105.81327358697</v>
      </c>
      <c r="BA20" s="464">
        <f>Forecasts!DE19</f>
        <v>528001.65249663196</v>
      </c>
      <c r="BB20" s="464">
        <f>Forecasts!DF19</f>
        <v>315290.05938251602</v>
      </c>
      <c r="BC20" s="463">
        <f>Forecasts!DG19</f>
        <v>1640855.480545416</v>
      </c>
      <c r="BD20" s="464">
        <f>Forecasts!DH19</f>
        <v>344457.955392681</v>
      </c>
      <c r="BE20" s="464">
        <f>Forecasts!DI19</f>
        <v>453105.81327358697</v>
      </c>
      <c r="BF20" s="464">
        <f>Forecasts!DJ19</f>
        <v>566470.66613354732</v>
      </c>
      <c r="BG20" s="464">
        <f>Forecasts!DK19</f>
        <v>606593.08744901873</v>
      </c>
      <c r="BH20" s="463">
        <f>Forecasts!DL19</f>
        <v>1970627.5222488339</v>
      </c>
      <c r="BI20" s="464">
        <f>Forecasts!DM19</f>
        <v>493767.1100084791</v>
      </c>
      <c r="BJ20" s="464">
        <f>Forecasts!DN19</f>
        <v>506643.40115564206</v>
      </c>
      <c r="BK20" s="464">
        <f>Forecasts!DO19</f>
        <v>536782.09415483894</v>
      </c>
      <c r="BL20" s="464">
        <f>Forecasts!DP19</f>
        <v>571065.10237608466</v>
      </c>
      <c r="BM20" s="463">
        <f>Forecasts!DQ19</f>
        <v>2108257.7076950446</v>
      </c>
    </row>
    <row r="21" spans="2:65" hidden="1" outlineLevel="1">
      <c r="B21" s="519" t="str">
        <f>Forecasts!A20</f>
        <v xml:space="preserve">  -- Cancelation Rate</v>
      </c>
      <c r="C21" s="465">
        <f>Forecasts!AY20</f>
        <v>7.7803046568573481E-2</v>
      </c>
      <c r="D21" s="465">
        <f>Forecasts!BD20</f>
        <v>0.11617662010977861</v>
      </c>
      <c r="E21" s="465">
        <f>Forecasts!BI20</f>
        <v>0.21725203299487447</v>
      </c>
      <c r="F21" s="476">
        <f>Forecasts!BJ20</f>
        <v>5.9078869835476416E-2</v>
      </c>
      <c r="G21" s="476">
        <f>Forecasts!BK20</f>
        <v>9.624501388538248E-2</v>
      </c>
      <c r="H21" s="477">
        <f>Forecasts!BL20</f>
        <v>8.1867772989268131E-2</v>
      </c>
      <c r="I21" s="477">
        <f>Forecasts!BM20</f>
        <v>6.3759661176715818E-2</v>
      </c>
      <c r="J21" s="465">
        <f>Forecasts!BN20</f>
        <v>0.31612188529552382</v>
      </c>
      <c r="K21" s="477">
        <f>Forecasts!BO20</f>
        <v>8.1463115443180661E-2</v>
      </c>
      <c r="L21" s="477">
        <f>Forecasts!BP20</f>
        <v>9.0251939139541423E-2</v>
      </c>
      <c r="M21" s="477">
        <f>Forecasts!BQ20</f>
        <v>8.5314228717887672E-2</v>
      </c>
      <c r="N21" s="477">
        <f>Forecasts!BR20</f>
        <v>5.284792603454775E-2</v>
      </c>
      <c r="O21" s="465">
        <f>Forecasts!BS20</f>
        <v>0.3268274470122885</v>
      </c>
      <c r="P21" s="477">
        <f>Forecasts!BT20</f>
        <v>6.5571981219338493E-2</v>
      </c>
      <c r="Q21" s="477">
        <f>Forecasts!BU20</f>
        <v>8.420160956567195E-2</v>
      </c>
      <c r="R21" s="477">
        <f>Forecasts!BV20</f>
        <v>7.0349770264031483E-2</v>
      </c>
      <c r="S21" s="477">
        <f>Forecasts!BW20</f>
        <v>4.3505778979072103E-2</v>
      </c>
      <c r="T21" s="465">
        <f>Forecasts!BX20</f>
        <v>0.27005980887541031</v>
      </c>
      <c r="U21" s="477">
        <f>Forecasts!BY20</f>
        <v>5.1283366240160007E-2</v>
      </c>
      <c r="V21" s="477">
        <f>Forecasts!BZ20</f>
        <v>6.1605899292114914E-2</v>
      </c>
      <c r="W21" s="477">
        <f>Forecasts!CA20</f>
        <v>5.4202040273199963E-2</v>
      </c>
      <c r="X21" s="477">
        <f>Forecasts!CB20</f>
        <v>4.4716683225389971E-2</v>
      </c>
      <c r="Y21" s="465">
        <f>Forecasts!CC20</f>
        <v>0.21003290605864985</v>
      </c>
      <c r="Z21" s="477">
        <f>Forecasts!CD20</f>
        <v>4.310301644228634E-2</v>
      </c>
      <c r="AA21" s="477">
        <f>Forecasts!CE20</f>
        <v>4.6887836517447053E-2</v>
      </c>
      <c r="AB21" s="477">
        <f>Forecasts!CF20</f>
        <v>6.1166051332218446E-2</v>
      </c>
      <c r="AC21" s="477">
        <f>Forecasts!CG20</f>
        <v>3.2767527499402739E-2</v>
      </c>
      <c r="AD21" s="465">
        <f>Forecasts!CH20</f>
        <v>0.17257564483018775</v>
      </c>
      <c r="AE21" s="477">
        <f>Forecasts!CI20</f>
        <v>2.4639249252787983E-2</v>
      </c>
      <c r="AF21" s="477">
        <f>Forecasts!CJ20</f>
        <v>2.9388811021099005E-2</v>
      </c>
      <c r="AG21" s="477">
        <f>Forecasts!CK20</f>
        <v>3.0652073499280202E-2</v>
      </c>
      <c r="AH21" s="477">
        <f>Forecasts!CL20</f>
        <v>3.1814674721709256E-2</v>
      </c>
      <c r="AI21" s="465">
        <f>Forecasts!CM20</f>
        <v>0.11382419587210131</v>
      </c>
      <c r="AJ21" s="477">
        <f>Forecasts!CN20</f>
        <v>3.3605009273281042E-2</v>
      </c>
      <c r="AK21" s="477">
        <f>Forecasts!CO20</f>
        <v>3.6400464337796312E-2</v>
      </c>
      <c r="AL21" s="477">
        <f>Forecasts!CP20</f>
        <v>3.3019863960553224E-2</v>
      </c>
      <c r="AM21" s="477">
        <f>Forecasts!CQ20</f>
        <v>2.5781814070649348E-2</v>
      </c>
      <c r="AN21" s="465">
        <f>Forecasts!CR20</f>
        <v>0.12297207488570162</v>
      </c>
      <c r="AO21" s="477">
        <f>Forecasts!CS20</f>
        <v>4.2940011940289798E-2</v>
      </c>
      <c r="AP21" s="477">
        <f>Forecasts!CT20</f>
        <v>3.9198556855965204E-2</v>
      </c>
      <c r="AQ21" s="477">
        <f>Forecasts!CU20</f>
        <v>3.298329835780503E-2</v>
      </c>
      <c r="AR21" s="477">
        <f>Forecasts!CV20</f>
        <v>4.0596650515815492E-2</v>
      </c>
      <c r="AS21" s="465">
        <f>Forecasts!CW20</f>
        <v>0.15078823492767582</v>
      </c>
      <c r="AT21" s="477">
        <f>Forecasts!CX20</f>
        <v>3.6600759701468109E-2</v>
      </c>
      <c r="AU21" s="477">
        <f>Forecasts!CY20</f>
        <v>3.2634282285606102E-2</v>
      </c>
      <c r="AV21" s="477">
        <f>Forecasts!CZ20</f>
        <v>3.1395992995297752E-2</v>
      </c>
      <c r="AW21" s="477">
        <f>Forecasts!DA20</f>
        <v>3.1252837117776655E-2</v>
      </c>
      <c r="AX21" s="465">
        <f>Forecasts!DB20</f>
        <v>0.12696795188017068</v>
      </c>
      <c r="AY21" s="477">
        <f>Forecasts!DC20</f>
        <v>3.0594031454386061E-2</v>
      </c>
      <c r="AZ21" s="477">
        <f>Forecasts!DD20</f>
        <v>3.7433987466061122E-2</v>
      </c>
      <c r="BA21" s="477">
        <f>Forecasts!DE20</f>
        <v>3.8918118929318131E-2</v>
      </c>
      <c r="BB21" s="477">
        <f>Forecasts!DF20</f>
        <v>2.3239503077802974E-2</v>
      </c>
      <c r="BC21" s="465">
        <f>Forecasts!DG20</f>
        <v>0.12094471378211701</v>
      </c>
      <c r="BD21" s="477">
        <f>Forecasts!DH20</f>
        <v>2.2753731465842909E-2</v>
      </c>
      <c r="BE21" s="477">
        <f>Forecasts!DI20</f>
        <v>3.0206574940583406E-2</v>
      </c>
      <c r="BF21" s="477">
        <f>Forecasts!DJ20</f>
        <v>3.0206574940583406E-2</v>
      </c>
      <c r="BG21" s="477">
        <f>Forecasts!DK20</f>
        <v>3.0206574940583406E-2</v>
      </c>
      <c r="BH21" s="465">
        <f>Forecasts!DL20</f>
        <v>0.11370123581286386</v>
      </c>
      <c r="BI21" s="477">
        <f>Forecasts!DM20</f>
        <v>2.2753731465842909E-2</v>
      </c>
      <c r="BJ21" s="477">
        <f>Forecasts!DN20</f>
        <v>2.2753731465842909E-2</v>
      </c>
      <c r="BK21" s="477">
        <f>Forecasts!DO20</f>
        <v>2.2753731465842909E-2</v>
      </c>
      <c r="BL21" s="477">
        <f>Forecasts!DP20</f>
        <v>2.2753731465842909E-2</v>
      </c>
      <c r="BM21" s="465">
        <f>Forecasts!DQ20</f>
        <v>9.7152541692910266E-2</v>
      </c>
    </row>
    <row r="22" spans="2:65" hidden="1" outlineLevel="1">
      <c r="B22" s="520" t="str">
        <f>Forecasts!A21</f>
        <v>Net Inventory Sales</v>
      </c>
      <c r="C22" s="478">
        <f>Forecasts!AY21</f>
        <v>3576236</v>
      </c>
      <c r="D22" s="478">
        <f>Forecasts!BD21</f>
        <v>3279840</v>
      </c>
      <c r="E22" s="478">
        <f>Forecasts!BI21</f>
        <v>2227266</v>
      </c>
      <c r="F22" s="479">
        <f>Forecasts!BJ21</f>
        <v>307565</v>
      </c>
      <c r="G22" s="479">
        <f>Forecasts!BK21</f>
        <v>306379</v>
      </c>
      <c r="H22" s="479">
        <f>Forecasts!BL21</f>
        <v>298142</v>
      </c>
      <c r="I22" s="479">
        <f>Forecasts!BM21</f>
        <v>457912.56000000006</v>
      </c>
      <c r="J22" s="478">
        <f>Forecasts!BN21</f>
        <v>1369998.56</v>
      </c>
      <c r="K22" s="479">
        <f>Forecasts!BO21</f>
        <v>408157</v>
      </c>
      <c r="L22" s="479">
        <f>Forecasts!BP21</f>
        <v>560256</v>
      </c>
      <c r="M22" s="479">
        <f>Forecasts!BQ21</f>
        <v>463028</v>
      </c>
      <c r="N22" s="479">
        <f>Forecasts!BR21</f>
        <v>690534</v>
      </c>
      <c r="O22" s="478">
        <f>Forecasts!BS21</f>
        <v>2121975</v>
      </c>
      <c r="P22" s="479">
        <f>Forecasts!BT21</f>
        <v>487191</v>
      </c>
      <c r="Q22" s="479">
        <f>Forecasts!BU21</f>
        <v>555935</v>
      </c>
      <c r="R22" s="479">
        <f>Forecasts!BV21</f>
        <v>492000</v>
      </c>
      <c r="S22" s="479">
        <f>Forecasts!BW21</f>
        <v>662179.72545797983</v>
      </c>
      <c r="T22" s="478">
        <f>Forecasts!BX21</f>
        <v>2197305.7254579798</v>
      </c>
      <c r="U22" s="479">
        <f>Forecasts!BY21</f>
        <v>493031.06656818045</v>
      </c>
      <c r="V22" s="479">
        <f>Forecasts!BZ21</f>
        <v>129470.93685014336</v>
      </c>
      <c r="W22" s="479">
        <f>Forecasts!CA21</f>
        <v>346366.33033120655</v>
      </c>
      <c r="X22" s="479">
        <f>Forecasts!CB21</f>
        <v>754283.76518823067</v>
      </c>
      <c r="Y22" s="478">
        <f>Forecasts!CC21</f>
        <v>1723152.098937761</v>
      </c>
      <c r="Z22" s="479">
        <f>Forecasts!CD21</f>
        <v>226188.98344586894</v>
      </c>
      <c r="AA22" s="479">
        <f>Forecasts!CE21</f>
        <v>341378.08895439724</v>
      </c>
      <c r="AB22" s="479">
        <f>Forecasts!CF21</f>
        <v>245627.10255326191</v>
      </c>
      <c r="AC22" s="479">
        <f>Forecasts!CG21</f>
        <v>759194.76670204918</v>
      </c>
      <c r="AD22" s="478">
        <f>Forecasts!CH21</f>
        <v>1572388.9416555772</v>
      </c>
      <c r="AE22" s="479">
        <f>Forecasts!CI21</f>
        <v>858911.89448717446</v>
      </c>
      <c r="AF22" s="479">
        <f>Forecasts!CJ21</f>
        <v>783954.81941567268</v>
      </c>
      <c r="AG22" s="479">
        <f>Forecasts!CK21</f>
        <v>635603.68013271363</v>
      </c>
      <c r="AH22" s="479">
        <f>Forecasts!CL21</f>
        <v>772515.09849183098</v>
      </c>
      <c r="AI22" s="478">
        <f>Forecasts!CM21</f>
        <v>3050985.4925273918</v>
      </c>
      <c r="AJ22" s="479">
        <f>Forecasts!CN21</f>
        <v>784487.34057809156</v>
      </c>
      <c r="AK22" s="479">
        <f>Forecasts!CO21</f>
        <v>877040.87075551832</v>
      </c>
      <c r="AL22" s="479">
        <f>Forecasts!CP21</f>
        <v>1075717.5363245821</v>
      </c>
      <c r="AM22" s="479">
        <f>Forecasts!CQ21</f>
        <v>1048936.3394353595</v>
      </c>
      <c r="AN22" s="478">
        <f>Forecasts!CR21</f>
        <v>3786182.0870935516</v>
      </c>
      <c r="AO22" s="479">
        <f>Forecasts!CS21</f>
        <v>1065896.3254468539</v>
      </c>
      <c r="AP22" s="479">
        <f>Forecasts!CT21</f>
        <v>1088442.9809319195</v>
      </c>
      <c r="AQ22" s="479">
        <f>Forecasts!CU21</f>
        <v>1269474.8431233675</v>
      </c>
      <c r="AR22" s="479">
        <f>Forecasts!CV21</f>
        <v>1311239.5318557704</v>
      </c>
      <c r="AS22" s="478">
        <f>Forecasts!CW21</f>
        <v>4735053.6813579109</v>
      </c>
      <c r="AT22" s="479">
        <f>Forecasts!CX21</f>
        <v>1245472.7804571609</v>
      </c>
      <c r="AU22" s="479">
        <f>Forecasts!CY21</f>
        <v>1624637.0991875841</v>
      </c>
      <c r="AV22" s="479">
        <f>Forecasts!CZ21</f>
        <v>1258006.6444955487</v>
      </c>
      <c r="AW22" s="479">
        <f>Forecasts!DA21</f>
        <v>1080640.8542772317</v>
      </c>
      <c r="AX22" s="478">
        <f>Forecasts!DB21</f>
        <v>5208757.3784175254</v>
      </c>
      <c r="AY22" s="479">
        <f>Forecasts!DC21</f>
        <v>1434899.241414478</v>
      </c>
      <c r="AZ22" s="479">
        <f>Forecasts!DD21</f>
        <v>1674623.7146034141</v>
      </c>
      <c r="BA22" s="479">
        <f>Forecasts!DE21</f>
        <v>1456732.054200958</v>
      </c>
      <c r="BB22" s="479">
        <f>Forecasts!DF21</f>
        <v>1617569.477781239</v>
      </c>
      <c r="BC22" s="478">
        <f>Forecasts!DG21</f>
        <v>6183824.4880000884</v>
      </c>
      <c r="BD22" s="479">
        <f>Forecasts!DH21</f>
        <v>1850497.0009976034</v>
      </c>
      <c r="BE22" s="479">
        <f>Forecasts!DI21</f>
        <v>1808618.683126427</v>
      </c>
      <c r="BF22" s="479">
        <f>Forecasts!DJ21</f>
        <v>2354335.2414395628</v>
      </c>
      <c r="BG22" s="479">
        <f>Forecasts!DK21</f>
        <v>2583454.1247904478</v>
      </c>
      <c r="BH22" s="478">
        <f>Forecasts!DL21</f>
        <v>8596905.0503540412</v>
      </c>
      <c r="BI22" s="479">
        <f>Forecasts!DM21</f>
        <v>2507599.4585882369</v>
      </c>
      <c r="BJ22" s="479">
        <f>Forecasts!DN21</f>
        <v>2530405.9823426688</v>
      </c>
      <c r="BK22" s="479">
        <f>Forecasts!DO21</f>
        <v>2472535.9304208597</v>
      </c>
      <c r="BL22" s="479">
        <f>Forecasts!DP21</f>
        <v>2712537.5675869295</v>
      </c>
      <c r="BM22" s="478">
        <f>Forecasts!DQ21</f>
        <v>10223078.938938696</v>
      </c>
    </row>
    <row r="23" spans="2:65" hidden="1" outlineLevel="1">
      <c r="B23" s="522"/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  <c r="W23" s="480"/>
      <c r="X23" s="480"/>
      <c r="Y23" s="480"/>
      <c r="Z23" s="480"/>
      <c r="AA23" s="480"/>
      <c r="AB23" s="480"/>
      <c r="AC23" s="480"/>
      <c r="AD23" s="480"/>
      <c r="AE23" s="480"/>
      <c r="AF23" s="480"/>
      <c r="AG23" s="480"/>
      <c r="AH23" s="480"/>
      <c r="AI23" s="480"/>
      <c r="AJ23" s="480"/>
      <c r="AK23" s="480"/>
      <c r="AL23" s="480"/>
      <c r="AM23" s="480"/>
      <c r="AN23" s="480"/>
      <c r="AO23" s="480"/>
      <c r="AP23" s="480"/>
      <c r="AQ23" s="480"/>
      <c r="AR23" s="480"/>
      <c r="AS23" s="480"/>
      <c r="AT23" s="480"/>
      <c r="AU23" s="480"/>
      <c r="AV23" s="480"/>
      <c r="AW23" s="480"/>
      <c r="AX23" s="480"/>
      <c r="AY23" s="480"/>
      <c r="AZ23" s="480"/>
      <c r="BA23" s="480"/>
      <c r="BB23" s="480"/>
      <c r="BC23" s="480"/>
      <c r="BD23" s="480"/>
      <c r="BE23" s="480"/>
      <c r="BF23" s="480"/>
      <c r="BG23" s="480"/>
      <c r="BH23" s="480"/>
      <c r="BI23" s="480"/>
      <c r="BJ23" s="480"/>
      <c r="BK23" s="480"/>
      <c r="BL23" s="480"/>
      <c r="BM23" s="480"/>
    </row>
    <row r="24" spans="2:65" ht="13.5" hidden="1" outlineLevel="1" collapsed="1" thickBot="1">
      <c r="B24" s="518" t="str">
        <f>Forecasts!A23</f>
        <v>Sales speed</v>
      </c>
      <c r="C24" s="458" t="str">
        <f>Forecasts!AY23</f>
        <v>2013</v>
      </c>
      <c r="D24" s="458" t="str">
        <f>Forecasts!BD23</f>
        <v>2014</v>
      </c>
      <c r="E24" s="458" t="str">
        <f>Forecasts!BI23</f>
        <v>2015</v>
      </c>
      <c r="F24" s="459" t="str">
        <f>Forecasts!BJ23</f>
        <v>1Q16</v>
      </c>
      <c r="G24" s="459" t="str">
        <f>Forecasts!BK23</f>
        <v>2Q16</v>
      </c>
      <c r="H24" s="459" t="str">
        <f>Forecasts!BL23</f>
        <v>3Q16</v>
      </c>
      <c r="I24" s="459" t="str">
        <f>Forecasts!BM23</f>
        <v>4Q16</v>
      </c>
      <c r="J24" s="458" t="str">
        <f>Forecasts!BN23</f>
        <v>2016</v>
      </c>
      <c r="K24" s="459" t="str">
        <f>Forecasts!BO23</f>
        <v>1Q17</v>
      </c>
      <c r="L24" s="459" t="str">
        <f>Forecasts!BP23</f>
        <v>2Q17</v>
      </c>
      <c r="M24" s="459" t="str">
        <f>Forecasts!BQ23</f>
        <v>3Q17</v>
      </c>
      <c r="N24" s="459" t="str">
        <f>Forecasts!BR23</f>
        <v>4Q17</v>
      </c>
      <c r="O24" s="458" t="str">
        <f>Forecasts!BS23</f>
        <v>2017</v>
      </c>
      <c r="P24" s="459" t="str">
        <f>Forecasts!BT23</f>
        <v>1Q18</v>
      </c>
      <c r="Q24" s="459" t="str">
        <f>Forecasts!BU23</f>
        <v>2Q18</v>
      </c>
      <c r="R24" s="459" t="str">
        <f>Forecasts!BV23</f>
        <v>3Q18</v>
      </c>
      <c r="S24" s="459" t="str">
        <f>Forecasts!BW23</f>
        <v>4Q18</v>
      </c>
      <c r="T24" s="458" t="str">
        <f>Forecasts!BX23</f>
        <v>2018</v>
      </c>
      <c r="U24" s="459" t="str">
        <f>Forecasts!BY23</f>
        <v>1Q19</v>
      </c>
      <c r="V24" s="459" t="str">
        <f>Forecasts!BZ23</f>
        <v>2Q19</v>
      </c>
      <c r="W24" s="459" t="str">
        <f>Forecasts!CA23</f>
        <v>3Q19</v>
      </c>
      <c r="X24" s="459" t="str">
        <f>Forecasts!CB23</f>
        <v>4Q19</v>
      </c>
      <c r="Y24" s="458" t="str">
        <f>Forecasts!CC23</f>
        <v>2019</v>
      </c>
      <c r="Z24" s="459" t="str">
        <f>Forecasts!CD23</f>
        <v>1Q20</v>
      </c>
      <c r="AA24" s="459" t="str">
        <f>Forecasts!CE23</f>
        <v>2Q20</v>
      </c>
      <c r="AB24" s="459" t="str">
        <f>Forecasts!CF23</f>
        <v>3Q20</v>
      </c>
      <c r="AC24" s="459" t="str">
        <f>Forecasts!CG23</f>
        <v>4Q20</v>
      </c>
      <c r="AD24" s="458" t="str">
        <f>Forecasts!CH23</f>
        <v>2020</v>
      </c>
      <c r="AE24" s="459" t="str">
        <f>Forecasts!CI23</f>
        <v>1Q21</v>
      </c>
      <c r="AF24" s="459" t="str">
        <f>Forecasts!CJ23</f>
        <v>2Q21</v>
      </c>
      <c r="AG24" s="459" t="str">
        <f>Forecasts!CK23</f>
        <v>3Q21</v>
      </c>
      <c r="AH24" s="459" t="str">
        <f>Forecasts!CL23</f>
        <v>4Q21</v>
      </c>
      <c r="AI24" s="458" t="str">
        <f>Forecasts!CM23</f>
        <v>2021</v>
      </c>
      <c r="AJ24" s="459" t="str">
        <f>Forecasts!CN23</f>
        <v>1Q22</v>
      </c>
      <c r="AK24" s="459" t="str">
        <f>Forecasts!CO23</f>
        <v>2Q22</v>
      </c>
      <c r="AL24" s="459" t="str">
        <f>Forecasts!CP23</f>
        <v>3Q22</v>
      </c>
      <c r="AM24" s="459" t="str">
        <f>Forecasts!CQ23</f>
        <v>4Q22</v>
      </c>
      <c r="AN24" s="458" t="str">
        <f>Forecasts!CR23</f>
        <v>2022</v>
      </c>
      <c r="AO24" s="459" t="str">
        <f>Forecasts!CS23</f>
        <v>1Q23</v>
      </c>
      <c r="AP24" s="459" t="str">
        <f>Forecasts!CT23</f>
        <v>2Q23</v>
      </c>
      <c r="AQ24" s="459" t="str">
        <f>Forecasts!CU23</f>
        <v>3Q23</v>
      </c>
      <c r="AR24" s="459" t="str">
        <f>Forecasts!CV23</f>
        <v>4Q23</v>
      </c>
      <c r="AS24" s="458" t="str">
        <f>Forecasts!CW23</f>
        <v>2023</v>
      </c>
      <c r="AT24" s="459" t="str">
        <f>Forecasts!CX23</f>
        <v>1Q24</v>
      </c>
      <c r="AU24" s="459" t="str">
        <f>Forecasts!CY23</f>
        <v>2Q24</v>
      </c>
      <c r="AV24" s="459" t="str">
        <f>Forecasts!CZ23</f>
        <v>3Q24</v>
      </c>
      <c r="AW24" s="459" t="str">
        <f>Forecasts!DA23</f>
        <v>4Q24</v>
      </c>
      <c r="AX24" s="458" t="str">
        <f>Forecasts!DB23</f>
        <v>2024</v>
      </c>
      <c r="AY24" s="459" t="str">
        <f>Forecasts!DC23</f>
        <v>1Q25</v>
      </c>
      <c r="AZ24" s="459" t="str">
        <f>Forecasts!DD23</f>
        <v>2Q25</v>
      </c>
      <c r="BA24" s="459" t="str">
        <f>Forecasts!DE23</f>
        <v>3Q25</v>
      </c>
      <c r="BB24" s="459" t="str">
        <f>Forecasts!DF23</f>
        <v>4Q25</v>
      </c>
      <c r="BC24" s="458" t="str">
        <f>Forecasts!DG23</f>
        <v>2025</v>
      </c>
      <c r="BD24" s="459" t="str">
        <f>Forecasts!DH23</f>
        <v>1Q26</v>
      </c>
      <c r="BE24" s="459" t="str">
        <f>Forecasts!DI23</f>
        <v>2Q26</v>
      </c>
      <c r="BF24" s="459" t="str">
        <f>Forecasts!DJ23</f>
        <v>3Q26E</v>
      </c>
      <c r="BG24" s="459" t="str">
        <f>Forecasts!DK23</f>
        <v>4Q26E</v>
      </c>
      <c r="BH24" s="458" t="str">
        <f>Forecasts!DL23</f>
        <v>2026E</v>
      </c>
      <c r="BI24" s="459" t="str">
        <f>Forecasts!DM23</f>
        <v>1Q27E</v>
      </c>
      <c r="BJ24" s="459" t="str">
        <f>Forecasts!DN23</f>
        <v>2Q27E</v>
      </c>
      <c r="BK24" s="459" t="str">
        <f>Forecasts!DO23</f>
        <v>3Q27E</v>
      </c>
      <c r="BL24" s="459" t="str">
        <f>Forecasts!DP23</f>
        <v>4Q27E</v>
      </c>
      <c r="BM24" s="458" t="str">
        <f>Forecasts!DQ23</f>
        <v>2027E</v>
      </c>
    </row>
    <row r="25" spans="2:65" hidden="1" outlineLevel="1">
      <c r="B25" s="523" t="str">
        <f>Forecasts!A24</f>
        <v>VGV Inventory</v>
      </c>
      <c r="C25" s="460">
        <f>Forecasts!AY24</f>
        <v>6704000</v>
      </c>
      <c r="D25" s="460">
        <f>Forecasts!BD24</f>
        <v>7331000</v>
      </c>
      <c r="E25" s="460">
        <f>Forecasts!BI24</f>
        <v>6563000</v>
      </c>
      <c r="F25" s="473">
        <f>Forecasts!BJ24</f>
        <v>6480000</v>
      </c>
      <c r="G25" s="473">
        <f>Forecasts!BK24</f>
        <v>6558000</v>
      </c>
      <c r="H25" s="472">
        <f>Forecasts!BL24</f>
        <v>6412000</v>
      </c>
      <c r="I25" s="472">
        <f>Forecasts!BM24</f>
        <v>6537000</v>
      </c>
      <c r="J25" s="460">
        <f>Forecasts!BN24</f>
        <v>6537000</v>
      </c>
      <c r="K25" s="472">
        <f>Forecasts!BO24</f>
        <v>6646000</v>
      </c>
      <c r="L25" s="472">
        <f>Forecasts!BP24</f>
        <v>6441000</v>
      </c>
      <c r="M25" s="472">
        <f>Forecasts!BQ24</f>
        <v>6212000</v>
      </c>
      <c r="N25" s="472">
        <f>Forecasts!BR24</f>
        <v>6176000</v>
      </c>
      <c r="O25" s="460">
        <f>Forecasts!BS24</f>
        <v>6176000</v>
      </c>
      <c r="P25" s="472">
        <f>Forecasts!BT24</f>
        <v>5912804</v>
      </c>
      <c r="Q25" s="472">
        <f>Forecasts!BU24</f>
        <v>5789294</v>
      </c>
      <c r="R25" s="472">
        <f>Forecasts!BV24</f>
        <v>5574000</v>
      </c>
      <c r="S25" s="472">
        <f>Forecasts!BW24</f>
        <v>4621888.6902507199</v>
      </c>
      <c r="T25" s="460">
        <f>Forecasts!BX24</f>
        <v>4621888.6902507199</v>
      </c>
      <c r="U25" s="472">
        <f>Forecasts!BY24</f>
        <v>4148544.0675220899</v>
      </c>
      <c r="V25" s="472">
        <f>Forecasts!BZ24</f>
        <v>4445162.7336126901</v>
      </c>
      <c r="W25" s="472">
        <f>Forecasts!CA24</f>
        <v>4289371.47713619</v>
      </c>
      <c r="X25" s="472">
        <f>Forecasts!CB24</f>
        <v>4340042.9178582402</v>
      </c>
      <c r="Y25" s="460">
        <f>Forecasts!CC24</f>
        <v>4340042.9178582402</v>
      </c>
      <c r="Z25" s="472">
        <f>Forecasts!CD24</f>
        <v>4479741.7942848997</v>
      </c>
      <c r="AA25" s="472">
        <f>Forecasts!CE24</f>
        <v>4248451.8303872338</v>
      </c>
      <c r="AB25" s="472">
        <f>Forecasts!CF24</f>
        <v>4301200.7935480047</v>
      </c>
      <c r="AC25" s="472">
        <f>Forecasts!CG24</f>
        <v>5474365.5413125465</v>
      </c>
      <c r="AD25" s="460">
        <f>Forecasts!CH24</f>
        <v>5474365.5413125465</v>
      </c>
      <c r="AE25" s="472">
        <f>Forecasts!CI24</f>
        <v>4894824.2832177058</v>
      </c>
      <c r="AF25" s="472">
        <f>Forecasts!CJ24</f>
        <v>5482000</v>
      </c>
      <c r="AG25" s="472">
        <f>Forecasts!CK24</f>
        <v>6481000</v>
      </c>
      <c r="AH25" s="472">
        <f>Forecasts!CL24</f>
        <v>7473000</v>
      </c>
      <c r="AI25" s="460">
        <f>Forecasts!CM24</f>
        <v>7473000</v>
      </c>
      <c r="AJ25" s="472">
        <f>Forecasts!CN24</f>
        <v>7215000</v>
      </c>
      <c r="AK25" s="472">
        <f>Forecasts!CO24</f>
        <v>8141000</v>
      </c>
      <c r="AL25" s="472">
        <f>Forecasts!CP24</f>
        <v>8911000</v>
      </c>
      <c r="AM25" s="472">
        <f>Forecasts!CQ24</f>
        <v>9069000</v>
      </c>
      <c r="AN25" s="460">
        <f>Forecasts!CR24</f>
        <v>9069000</v>
      </c>
      <c r="AO25" s="472">
        <f>Forecasts!CS24</f>
        <v>8693628.8514928725</v>
      </c>
      <c r="AP25" s="472">
        <f>Forecasts!CT24</f>
        <v>9766861.8061559722</v>
      </c>
      <c r="AQ25" s="472">
        <f>Forecasts!CU24</f>
        <v>9761039.5965918936</v>
      </c>
      <c r="AR25" s="472">
        <f>Forecasts!CV24</f>
        <v>9934008.5458056685</v>
      </c>
      <c r="AS25" s="460">
        <f>Forecasts!CW24</f>
        <v>9934008.5458056685</v>
      </c>
      <c r="AT25" s="472">
        <f>Forecasts!CX24</f>
        <v>9477622.3108091857</v>
      </c>
      <c r="AU25" s="472">
        <f>Forecasts!CY24</f>
        <v>8669821.4032379892</v>
      </c>
      <c r="AV25" s="472">
        <f>Forecasts!CZ24</f>
        <v>8692990.9361964483</v>
      </c>
      <c r="AW25" s="472">
        <f>Forecasts!DA24</f>
        <v>10554438.634326812</v>
      </c>
      <c r="AX25" s="460">
        <f>Forecasts!DB24</f>
        <v>10554438.634326812</v>
      </c>
      <c r="AY25" s="472">
        <f>Forecasts!DC24</f>
        <v>12408092.213226682</v>
      </c>
      <c r="AZ25" s="472">
        <f>Forecasts!DD24</f>
        <v>13382852.833263393</v>
      </c>
      <c r="BA25" s="472">
        <f>Forecasts!DE24</f>
        <v>15043271.443481915</v>
      </c>
      <c r="BB25" s="472">
        <f>Forecasts!DF24</f>
        <v>16255026.570129486</v>
      </c>
      <c r="BC25" s="460">
        <f>Forecasts!DG24</f>
        <v>16255026.570129486</v>
      </c>
      <c r="BD25" s="472">
        <f>Forecasts!DH24</f>
        <v>15416165.322253408</v>
      </c>
      <c r="BE25" s="472">
        <f>Forecasts!DI24</f>
        <v>17181211.221018292</v>
      </c>
      <c r="BF25" s="472">
        <f>Forecasts!DJ24</f>
        <v>17722484.512441482</v>
      </c>
      <c r="BG25" s="472">
        <f>Forecasts!DK24</f>
        <v>18758541.053729475</v>
      </c>
      <c r="BH25" s="460">
        <f>Forecasts!DL24</f>
        <v>18758541.053729475</v>
      </c>
      <c r="BI25" s="472">
        <f>Forecasts!DM24</f>
        <v>17864996.373519477</v>
      </c>
      <c r="BJ25" s="472">
        <f>Forecasts!DN24</f>
        <v>17701870.732798226</v>
      </c>
      <c r="BK25" s="472">
        <f>Forecasts!DO24</f>
        <v>18242237.05535008</v>
      </c>
      <c r="BL25" s="472">
        <f>Forecasts!DP24</f>
        <v>19295827.303979039</v>
      </c>
      <c r="BM25" s="460">
        <f>Forecasts!DQ24</f>
        <v>19295827.303979039</v>
      </c>
    </row>
    <row r="26" spans="2:65" hidden="1" outlineLevel="1">
      <c r="B26" s="524" t="str">
        <f>Forecasts!A25</f>
        <v xml:space="preserve">  Not started</v>
      </c>
      <c r="C26" s="481">
        <f>Forecasts!AY25</f>
        <v>1904800</v>
      </c>
      <c r="D26" s="481">
        <f>Forecasts!BD25</f>
        <v>1681950</v>
      </c>
      <c r="E26" s="481">
        <f>Forecasts!BI25</f>
        <v>659600</v>
      </c>
      <c r="F26" s="482">
        <f>Forecasts!BJ25</f>
        <v>623135</v>
      </c>
      <c r="G26" s="482">
        <f>Forecasts!BK25</f>
        <v>564230</v>
      </c>
      <c r="H26" s="482">
        <f>Forecasts!BL25</f>
        <v>472260</v>
      </c>
      <c r="I26" s="482">
        <f>Forecasts!BM25</f>
        <v>911710</v>
      </c>
      <c r="J26" s="481">
        <f>Forecasts!BN25</f>
        <v>911710</v>
      </c>
      <c r="K26" s="482">
        <f>Forecasts!BO25</f>
        <v>797300</v>
      </c>
      <c r="L26" s="482">
        <f>Forecasts!BP25</f>
        <v>588880</v>
      </c>
      <c r="M26" s="482">
        <f>Forecasts!BQ25</f>
        <v>534059.08000000007</v>
      </c>
      <c r="N26" s="482">
        <f>Forecasts!BR25</f>
        <v>936015.49499999988</v>
      </c>
      <c r="O26" s="481">
        <f>Forecasts!BS25</f>
        <v>936015.49499999988</v>
      </c>
      <c r="P26" s="482">
        <f>Forecasts!BT25</f>
        <v>689909.38500000001</v>
      </c>
      <c r="Q26" s="482">
        <f>Forecasts!BU25</f>
        <v>731558.53499999992</v>
      </c>
      <c r="R26" s="482">
        <f>Forecasts!BV25</f>
        <v>879875.46000000008</v>
      </c>
      <c r="S26" s="482">
        <f>Forecasts!BW25</f>
        <v>1921712.3332205676</v>
      </c>
      <c r="T26" s="481">
        <f>Forecasts!BX25</f>
        <v>1921712.3332205676</v>
      </c>
      <c r="U26" s="482">
        <f>Forecasts!BY25</f>
        <v>1182996.630483927</v>
      </c>
      <c r="V26" s="482">
        <f>Forecasts!BZ25</f>
        <v>1059561.0035739036</v>
      </c>
      <c r="W26" s="482">
        <f>Forecasts!CA25</f>
        <v>1107799.6880392334</v>
      </c>
      <c r="X26" s="482">
        <f>Forecasts!CB25</f>
        <v>1167800.7753056295</v>
      </c>
      <c r="Y26" s="481">
        <f>Forecasts!CC25</f>
        <v>1167800.7753056295</v>
      </c>
      <c r="Z26" s="482">
        <f>Forecasts!CD25</f>
        <v>1108637.9893116576</v>
      </c>
      <c r="AA26" s="482">
        <f>Forecasts!CE25</f>
        <v>513200.2230913706</v>
      </c>
      <c r="AB26" s="482">
        <f>Forecasts!CF25</f>
        <v>1068863.034485457</v>
      </c>
      <c r="AC26" s="482">
        <f>Forecasts!CG25</f>
        <v>2271032.7388407271</v>
      </c>
      <c r="AD26" s="481">
        <f>Forecasts!CH25</f>
        <v>2271032.7388407271</v>
      </c>
      <c r="AE26" s="482">
        <f>Forecasts!CI25</f>
        <v>1227639.5779978731</v>
      </c>
      <c r="AF26" s="482">
        <f>Forecasts!CJ25</f>
        <v>1291058.4159216648</v>
      </c>
      <c r="AG26" s="482">
        <f>Forecasts!CK25</f>
        <v>1964706.547205749</v>
      </c>
      <c r="AH26" s="482">
        <f>Forecasts!CL25</f>
        <v>2268038.6249486194</v>
      </c>
      <c r="AI26" s="481">
        <f>Forecasts!CM25</f>
        <v>2268038.6249486194</v>
      </c>
      <c r="AJ26" s="482">
        <f>Forecasts!CN25</f>
        <v>1486062.4570852218</v>
      </c>
      <c r="AK26" s="482">
        <f>Forecasts!CO25</f>
        <v>1736957.7445716464</v>
      </c>
      <c r="AL26" s="482">
        <f>Forecasts!CP25</f>
        <v>2532961.8709047521</v>
      </c>
      <c r="AM26" s="482">
        <f>Forecasts!CQ25</f>
        <v>2674151.0619904483</v>
      </c>
      <c r="AN26" s="481">
        <f>Forecasts!CR25</f>
        <v>2674151.0619904483</v>
      </c>
      <c r="AO26" s="482">
        <f>Forecasts!CS25</f>
        <v>1759383.6492477523</v>
      </c>
      <c r="AP26" s="482">
        <f>Forecasts!CT25</f>
        <v>2548325.9462830611</v>
      </c>
      <c r="AQ26" s="482">
        <f>Forecasts!CU25</f>
        <v>2482843.4435805217</v>
      </c>
      <c r="AR26" s="482">
        <f>Forecasts!CV25</f>
        <v>2368414.9640083131</v>
      </c>
      <c r="AS26" s="481">
        <f>Forecasts!CW25</f>
        <v>2368414.9640083131</v>
      </c>
      <c r="AT26" s="482">
        <f>Forecasts!CX25</f>
        <v>1944302.5611867553</v>
      </c>
      <c r="AU26" s="482">
        <f>Forecasts!CY25</f>
        <v>1447550.9119376403</v>
      </c>
      <c r="AV26" s="482">
        <f>Forecasts!CZ25</f>
        <v>2354832.584383423</v>
      </c>
      <c r="AW26" s="482">
        <f>Forecasts!DA25</f>
        <v>5070155.7761397129</v>
      </c>
      <c r="AX26" s="481">
        <f>Forecasts!DB25</f>
        <v>5070155.7761397129</v>
      </c>
      <c r="AY26" s="482">
        <f>Forecasts!DC25</f>
        <v>5183578.6681582304</v>
      </c>
      <c r="AZ26" s="482">
        <f>Forecasts!DD25</f>
        <v>4108396.3674273696</v>
      </c>
      <c r="BA26" s="482">
        <f>Forecasts!DE25</f>
        <v>4407735.7231168868</v>
      </c>
      <c r="BB26" s="482">
        <f>Forecasts!DF25</f>
        <v>4413148.096305199</v>
      </c>
      <c r="BC26" s="481">
        <f>Forecasts!DG25</f>
        <v>4413148.096305199</v>
      </c>
      <c r="BD26" s="482">
        <f>Forecasts!DH25</f>
        <v>7758670.3424158236</v>
      </c>
      <c r="BE26" s="482">
        <f>Forecasts!DI25</f>
        <v>3780716.5438862001</v>
      </c>
      <c r="BF26" s="482">
        <f>Forecasts!DJ25</f>
        <v>4275002.5531025724</v>
      </c>
      <c r="BG26" s="482">
        <f>Forecasts!DK25</f>
        <v>4710918.092324635</v>
      </c>
      <c r="BH26" s="481">
        <f>Forecasts!DL25</f>
        <v>4710918.092324635</v>
      </c>
      <c r="BI26" s="482">
        <f>Forecasts!DM25</f>
        <v>3289108.6759283086</v>
      </c>
      <c r="BJ26" s="482">
        <f>Forecasts!DN25</f>
        <v>2938301.1491936725</v>
      </c>
      <c r="BK26" s="482">
        <f>Forecasts!DO25</f>
        <v>3899427.6933224439</v>
      </c>
      <c r="BL26" s="482">
        <f>Forecasts!DP25</f>
        <v>4901745.3750567343</v>
      </c>
      <c r="BM26" s="481">
        <f>Forecasts!DQ25</f>
        <v>4901745.3750567343</v>
      </c>
    </row>
    <row r="27" spans="2:65" hidden="1" outlineLevel="1">
      <c r="B27" s="524" t="str">
        <f>Forecasts!A26</f>
        <v xml:space="preserve">  Under Construction</v>
      </c>
      <c r="C27" s="481">
        <f>Forecasts!AY26</f>
        <v>3828300</v>
      </c>
      <c r="D27" s="481">
        <f>Forecasts!BD26</f>
        <v>4270050</v>
      </c>
      <c r="E27" s="481">
        <f>Forecasts!BI26</f>
        <v>4276400</v>
      </c>
      <c r="F27" s="483">
        <f>Forecasts!BJ26</f>
        <v>3899865</v>
      </c>
      <c r="G27" s="483">
        <f>Forecasts!BK26</f>
        <v>3885770</v>
      </c>
      <c r="H27" s="483">
        <f>Forecasts!BL26</f>
        <v>3797740</v>
      </c>
      <c r="I27" s="483">
        <f>Forecasts!BM26</f>
        <v>3223290</v>
      </c>
      <c r="J27" s="481">
        <f>Forecasts!BN26</f>
        <v>3223290</v>
      </c>
      <c r="K27" s="483">
        <f>Forecasts!BO26</f>
        <v>3396028</v>
      </c>
      <c r="L27" s="483">
        <f>Forecasts!BP26</f>
        <v>3386039</v>
      </c>
      <c r="M27" s="483">
        <f>Forecasts!BQ26</f>
        <v>3021443.92</v>
      </c>
      <c r="N27" s="483">
        <f>Forecasts!BR26</f>
        <v>2652203.5049999999</v>
      </c>
      <c r="O27" s="481">
        <f>Forecasts!BS26</f>
        <v>2652203.5049999999</v>
      </c>
      <c r="P27" s="483">
        <f>Forecasts!BT26</f>
        <v>2627921.6150000002</v>
      </c>
      <c r="Q27" s="483">
        <f>Forecasts!BU26</f>
        <v>1955442.4649999999</v>
      </c>
      <c r="R27" s="483">
        <f>Forecasts!BV26</f>
        <v>1851124.54</v>
      </c>
      <c r="S27" s="483">
        <f>Forecasts!BW26</f>
        <v>207611.80955084087</v>
      </c>
      <c r="T27" s="481">
        <f>Forecasts!BX26</f>
        <v>207611.80955084087</v>
      </c>
      <c r="U27" s="483">
        <f>Forecasts!BY26</f>
        <v>844035.07062771684</v>
      </c>
      <c r="V27" s="483">
        <f>Forecasts!BZ26</f>
        <v>1357531.1264709977</v>
      </c>
      <c r="W27" s="483">
        <f>Forecasts!CA26</f>
        <v>1346248.1717793953</v>
      </c>
      <c r="X27" s="483">
        <f>Forecasts!CB26</f>
        <v>1382907.9393795929</v>
      </c>
      <c r="Y27" s="481">
        <f>Forecasts!CC26</f>
        <v>1382907.9393795929</v>
      </c>
      <c r="Z27" s="483">
        <f>Forecasts!CD26</f>
        <v>1653948.2479920913</v>
      </c>
      <c r="AA27" s="483">
        <f>Forecasts!CE26</f>
        <v>2127719.4738904689</v>
      </c>
      <c r="AB27" s="483">
        <f>Forecasts!CF26</f>
        <v>1771353.6982663041</v>
      </c>
      <c r="AC27" s="483">
        <f>Forecasts!CG26</f>
        <v>1674183.4319769703</v>
      </c>
      <c r="AD27" s="481">
        <f>Forecasts!CH26</f>
        <v>1674183.4319769703</v>
      </c>
      <c r="AE27" s="483">
        <f>Forecasts!CI26</f>
        <v>2397908.029182855</v>
      </c>
      <c r="AF27" s="483">
        <f>Forecasts!CJ26</f>
        <v>3067941.5840783352</v>
      </c>
      <c r="AG27" s="483">
        <f>Forecasts!CK26</f>
        <v>3543293.452794251</v>
      </c>
      <c r="AH27" s="483">
        <f>Forecasts!CL26</f>
        <v>4217961.3750513811</v>
      </c>
      <c r="AI27" s="481">
        <f>Forecasts!CM26</f>
        <v>4217961.3750513811</v>
      </c>
      <c r="AJ27" s="483">
        <f>Forecasts!CN26</f>
        <v>4685937.542914778</v>
      </c>
      <c r="AK27" s="483">
        <f>Forecasts!CO26</f>
        <v>5331042.2554283533</v>
      </c>
      <c r="AL27" s="483">
        <f>Forecasts!CP26</f>
        <v>5095038.1290952479</v>
      </c>
      <c r="AM27" s="483">
        <f>Forecasts!CQ26</f>
        <v>5195848.9380095517</v>
      </c>
      <c r="AN27" s="481">
        <f>Forecasts!CR26</f>
        <v>5195848.9380095517</v>
      </c>
      <c r="AO27" s="483">
        <f>Forecasts!CS26</f>
        <v>5686242.5768797919</v>
      </c>
      <c r="AP27" s="483">
        <f>Forecasts!CT26</f>
        <v>5969225.8930516914</v>
      </c>
      <c r="AQ27" s="483">
        <f>Forecasts!CU26</f>
        <v>5895798.5093967719</v>
      </c>
      <c r="AR27" s="483">
        <f>Forecasts!CV26</f>
        <v>5979109.3704903219</v>
      </c>
      <c r="AS27" s="481">
        <f>Forecasts!CW26</f>
        <v>5979109.3704903219</v>
      </c>
      <c r="AT27" s="483">
        <f>Forecasts!CX26</f>
        <v>6116203.3510883935</v>
      </c>
      <c r="AU27" s="483">
        <f>Forecasts!CY26</f>
        <v>5907998.0960452594</v>
      </c>
      <c r="AV27" s="483">
        <f>Forecasts!CZ26</f>
        <v>5022533.2224080358</v>
      </c>
      <c r="AW27" s="483">
        <f>Forecasts!DA26</f>
        <v>3969674.6731242342</v>
      </c>
      <c r="AX27" s="481">
        <f>Forecasts!DB26</f>
        <v>3969674.6731242342</v>
      </c>
      <c r="AY27" s="483">
        <f>Forecasts!DC26</f>
        <v>5685940.6787333041</v>
      </c>
      <c r="AZ27" s="483">
        <f>Forecasts!DD26</f>
        <v>7307920.6647581346</v>
      </c>
      <c r="BA27" s="483">
        <f>Forecasts!DE26</f>
        <v>8567284.309263505</v>
      </c>
      <c r="BB27" s="483">
        <f>Forecasts!DF26</f>
        <v>9598595.7090183198</v>
      </c>
      <c r="BC27" s="481">
        <f>Forecasts!DG26</f>
        <v>9598595.7090183198</v>
      </c>
      <c r="BD27" s="483">
        <f>Forecasts!DH26</f>
        <v>5591026.7698395681</v>
      </c>
      <c r="BE27" s="483">
        <f>Forecasts!DI26</f>
        <v>11252163.566367194</v>
      </c>
      <c r="BF27" s="483">
        <f>Forecasts!DJ26</f>
        <v>11269698.972162345</v>
      </c>
      <c r="BG27" s="483">
        <f>Forecasts!DK26</f>
        <v>11854143.845436238</v>
      </c>
      <c r="BH27" s="481">
        <f>Forecasts!DL26</f>
        <v>11854143.845436238</v>
      </c>
      <c r="BI27" s="483">
        <f>Forecasts!DM26</f>
        <v>12372450.64721428</v>
      </c>
      <c r="BJ27" s="483">
        <f>Forecasts!DN26</f>
        <v>12495621.898289505</v>
      </c>
      <c r="BK27" s="483">
        <f>Forecasts!DO26</f>
        <v>11972833.613136224</v>
      </c>
      <c r="BL27" s="483">
        <f>Forecasts!DP26</f>
        <v>11924631.186779533</v>
      </c>
      <c r="BM27" s="481">
        <f>Forecasts!DQ26</f>
        <v>11924631.186779533</v>
      </c>
    </row>
    <row r="28" spans="2:65" hidden="1" outlineLevel="1">
      <c r="B28" s="524" t="str">
        <f>Forecasts!A27</f>
        <v xml:space="preserve">  Completed</v>
      </c>
      <c r="C28" s="481">
        <f>Forecasts!AY27</f>
        <v>970900</v>
      </c>
      <c r="D28" s="481">
        <f>Forecasts!BD27</f>
        <v>1379000</v>
      </c>
      <c r="E28" s="481">
        <f>Forecasts!BI27</f>
        <v>1627000</v>
      </c>
      <c r="F28" s="482">
        <f>Forecasts!BJ27</f>
        <v>1957000</v>
      </c>
      <c r="G28" s="484">
        <f>Forecasts!BK27</f>
        <v>2108000</v>
      </c>
      <c r="H28" s="482">
        <f>Forecasts!BL27</f>
        <v>2142000</v>
      </c>
      <c r="I28" s="482">
        <f>Forecasts!BM27</f>
        <v>2402000</v>
      </c>
      <c r="J28" s="481">
        <f>Forecasts!BN27</f>
        <v>2402000</v>
      </c>
      <c r="K28" s="482">
        <f>Forecasts!BO27</f>
        <v>2452672</v>
      </c>
      <c r="L28" s="482">
        <f>Forecasts!BP27</f>
        <v>2466081</v>
      </c>
      <c r="M28" s="482">
        <f>Forecasts!BQ27</f>
        <v>2656497</v>
      </c>
      <c r="N28" s="482">
        <f>Forecasts!BR27</f>
        <v>2587781</v>
      </c>
      <c r="O28" s="481">
        <f>Forecasts!BS27</f>
        <v>2587781</v>
      </c>
      <c r="P28" s="482">
        <f>Forecasts!BT27</f>
        <v>2594973</v>
      </c>
      <c r="Q28" s="482">
        <f>Forecasts!BU27</f>
        <v>3102293</v>
      </c>
      <c r="R28" s="482">
        <f>Forecasts!BV27</f>
        <v>2843000</v>
      </c>
      <c r="S28" s="482">
        <f>Forecasts!BW27</f>
        <v>2492564.5474793115</v>
      </c>
      <c r="T28" s="481">
        <f>Forecasts!BX27</f>
        <v>2492564.5474793115</v>
      </c>
      <c r="U28" s="482">
        <f>Forecasts!BY27</f>
        <v>2121512.3664104459</v>
      </c>
      <c r="V28" s="482">
        <f>Forecasts!BZ27</f>
        <v>2028070.6035677886</v>
      </c>
      <c r="W28" s="482">
        <f>Forecasts!CA27</f>
        <v>1835323.6173175613</v>
      </c>
      <c r="X28" s="482">
        <f>Forecasts!CB27</f>
        <v>1789334.2031730176</v>
      </c>
      <c r="Y28" s="481">
        <f>Forecasts!CC27</f>
        <v>1789334.2031730176</v>
      </c>
      <c r="Z28" s="482">
        <f>Forecasts!CD27</f>
        <v>1717155.5569811505</v>
      </c>
      <c r="AA28" s="482">
        <f>Forecasts!CE27</f>
        <v>1607532.1334053944</v>
      </c>
      <c r="AB28" s="482">
        <f>Forecasts!CF27</f>
        <v>1460984.0607962436</v>
      </c>
      <c r="AC28" s="482">
        <f>Forecasts!CG27</f>
        <v>1529149.370494849</v>
      </c>
      <c r="AD28" s="481">
        <f>Forecasts!CH27</f>
        <v>1529149.370494849</v>
      </c>
      <c r="AE28" s="482">
        <f>Forecasts!CI27</f>
        <v>1269276.6760369779</v>
      </c>
      <c r="AF28" s="482">
        <f>Forecasts!CJ27</f>
        <v>1123000</v>
      </c>
      <c r="AG28" s="482">
        <f>Forecasts!CK27</f>
        <v>973000</v>
      </c>
      <c r="AH28" s="482">
        <f>Forecasts!CL27</f>
        <v>987000</v>
      </c>
      <c r="AI28" s="481">
        <f>Forecasts!CM27</f>
        <v>987000</v>
      </c>
      <c r="AJ28" s="482">
        <f>Forecasts!CN27</f>
        <v>1043000</v>
      </c>
      <c r="AK28" s="482">
        <f>Forecasts!CO27</f>
        <v>1073000</v>
      </c>
      <c r="AL28" s="482">
        <f>Forecasts!CP27</f>
        <v>1283000</v>
      </c>
      <c r="AM28" s="482">
        <f>Forecasts!CQ27</f>
        <v>1199000</v>
      </c>
      <c r="AN28" s="481">
        <f>Forecasts!CR27</f>
        <v>1199000</v>
      </c>
      <c r="AO28" s="482">
        <f>Forecasts!CS27</f>
        <v>1248002.6253653283</v>
      </c>
      <c r="AP28" s="482">
        <f>Forecasts!CT27</f>
        <v>1249309.9668212195</v>
      </c>
      <c r="AQ28" s="482">
        <f>Forecasts!CU27</f>
        <v>1382397.6436146004</v>
      </c>
      <c r="AR28" s="482">
        <f>Forecasts!CV27</f>
        <v>1586484.2113070341</v>
      </c>
      <c r="AS28" s="481">
        <f>Forecasts!CW27</f>
        <v>1586484.2113070341</v>
      </c>
      <c r="AT28" s="482">
        <f>Forecasts!CX27</f>
        <v>1417116.3985340376</v>
      </c>
      <c r="AU28" s="482">
        <f>Forecasts!CY27</f>
        <v>1314272.39525509</v>
      </c>
      <c r="AV28" s="482">
        <f>Forecasts!CZ27</f>
        <v>1315625.12940499</v>
      </c>
      <c r="AW28" s="482">
        <f>Forecasts!DA27</f>
        <v>1514608.185062865</v>
      </c>
      <c r="AX28" s="481">
        <f>Forecasts!DB27</f>
        <v>1514608.185062865</v>
      </c>
      <c r="AY28" s="482">
        <f>Forecasts!DC27</f>
        <v>1538572.8663351466</v>
      </c>
      <c r="AZ28" s="482">
        <f>Forecasts!DD27</f>
        <v>1966535.801077889</v>
      </c>
      <c r="BA28" s="482">
        <f>Forecasts!DE27</f>
        <v>2068251.4111015236</v>
      </c>
      <c r="BB28" s="482">
        <f>Forecasts!DF27</f>
        <v>2243282.764805967</v>
      </c>
      <c r="BC28" s="481">
        <f>Forecasts!DG27</f>
        <v>2243282.764805967</v>
      </c>
      <c r="BD28" s="482">
        <f>Forecasts!DH27</f>
        <v>2066468.2099980167</v>
      </c>
      <c r="BE28" s="482">
        <f>Forecasts!DI27</f>
        <v>2148331.1107648988</v>
      </c>
      <c r="BF28" s="482">
        <f>Forecasts!DJ27</f>
        <v>2177782.987176565</v>
      </c>
      <c r="BG28" s="482">
        <f>Forecasts!DK27</f>
        <v>2193479.1159686018</v>
      </c>
      <c r="BH28" s="481">
        <f>Forecasts!DL27</f>
        <v>2193479.1159686018</v>
      </c>
      <c r="BI28" s="482">
        <f>Forecasts!DM27</f>
        <v>2203437.0503768865</v>
      </c>
      <c r="BJ28" s="482">
        <f>Forecasts!DN27</f>
        <v>2267947.6853150479</v>
      </c>
      <c r="BK28" s="482">
        <f>Forecasts!DO27</f>
        <v>2369975.7488914113</v>
      </c>
      <c r="BL28" s="482">
        <f>Forecasts!DP27</f>
        <v>2469450.7421427732</v>
      </c>
      <c r="BM28" s="481">
        <f>Forecasts!DQ27</f>
        <v>2469450.7421427732</v>
      </c>
    </row>
    <row r="29" spans="2:65" hidden="1" outlineLevel="1">
      <c r="B29" s="523" t="str">
        <f>Forecasts!A28</f>
        <v>Supply (launches+BoP inventory)</v>
      </c>
      <c r="C29" s="460">
        <f>Forecasts!AY28</f>
        <v>12108600</v>
      </c>
      <c r="D29" s="460">
        <f>Forecasts!BD28</f>
        <v>12446000</v>
      </c>
      <c r="E29" s="460">
        <f>Forecasts!BI28</f>
        <v>10230000</v>
      </c>
      <c r="F29" s="472">
        <f>Forecasts!BJ28</f>
        <v>7176000</v>
      </c>
      <c r="G29" s="472">
        <f>Forecasts!BK28</f>
        <v>7078000</v>
      </c>
      <c r="H29" s="472">
        <f>Forecasts!BL28</f>
        <v>7010000</v>
      </c>
      <c r="I29" s="472">
        <f>Forecasts!BM28</f>
        <v>7686000</v>
      </c>
      <c r="J29" s="460">
        <f>Forecasts!BN28</f>
        <v>9500000</v>
      </c>
      <c r="K29" s="472">
        <f>Forecasts!BO28</f>
        <v>7149000</v>
      </c>
      <c r="L29" s="472">
        <f>Forecasts!BP28</f>
        <v>7286000</v>
      </c>
      <c r="M29" s="472">
        <f>Forecasts!BQ28</f>
        <v>6972864</v>
      </c>
      <c r="N29" s="472">
        <f>Forecasts!BR28</f>
        <v>7481213</v>
      </c>
      <c r="O29" s="460">
        <f>Forecasts!BS28</f>
        <v>9590077</v>
      </c>
      <c r="P29" s="472">
        <f>Forecasts!BT28</f>
        <v>6610247</v>
      </c>
      <c r="Q29" s="472">
        <f>Forecasts!BU28</f>
        <v>6894173</v>
      </c>
      <c r="R29" s="472">
        <f>Forecasts!BV28</f>
        <v>6707294</v>
      </c>
      <c r="S29" s="472">
        <f>Forecasts!BW28</f>
        <v>8279197.1986900298</v>
      </c>
      <c r="T29" s="460">
        <f>Forecasts!BX28</f>
        <v>11214813.198690031</v>
      </c>
      <c r="U29" s="472">
        <f>Forecasts!BY28</f>
        <v>5064291.3506361265</v>
      </c>
      <c r="V29" s="472">
        <f>Forecasts!BZ28</f>
        <v>5676517.3432243848</v>
      </c>
      <c r="W29" s="472">
        <f>Forecasts!CA28</f>
        <v>5433883.3626890816</v>
      </c>
      <c r="X29" s="472">
        <f>Forecasts!CB28</f>
        <v>5687078.639186033</v>
      </c>
      <c r="Y29" s="460">
        <f>Forecasts!CC28</f>
        <v>8978692.4174646549</v>
      </c>
      <c r="Z29" s="472">
        <f>Forecasts!CD28</f>
        <v>5404610.2358661583</v>
      </c>
      <c r="AA29" s="472">
        <f>Forecasts!CE28</f>
        <v>4733938.9959129309</v>
      </c>
      <c r="AB29" s="472">
        <f>Forecasts!CF28</f>
        <v>5899604.7479198836</v>
      </c>
      <c r="AC29" s="472">
        <f>Forecasts!CG28</f>
        <v>7174546.5866230074</v>
      </c>
      <c r="AD29" s="460">
        <f>Forecasts!CH28</f>
        <v>10183306.14810184</v>
      </c>
      <c r="AE29" s="472">
        <f>Forecasts!CI28</f>
        <v>5895713.4545098105</v>
      </c>
      <c r="AF29" s="472">
        <f>Forecasts!CJ28</f>
        <v>6823900.1242842516</v>
      </c>
      <c r="AG29" s="472">
        <f>Forecasts!CK28</f>
        <v>7681698.7583918041</v>
      </c>
      <c r="AH29" s="472">
        <f>Forecasts!CL28</f>
        <v>9035858.9026813544</v>
      </c>
      <c r="AI29" s="460">
        <f>Forecasts!CM28</f>
        <v>12579346.956649516</v>
      </c>
      <c r="AJ29" s="472">
        <f>Forecasts!CN28</f>
        <v>8510664.588526994</v>
      </c>
      <c r="AK29" s="472">
        <f>Forecasts!CO28</f>
        <v>9541305.5201217961</v>
      </c>
      <c r="AL29" s="472">
        <f>Forecasts!CP28</f>
        <v>11068761.334560238</v>
      </c>
      <c r="AM29" s="472">
        <f>Forecasts!CQ28</f>
        <v>11732365.055865493</v>
      </c>
      <c r="AN29" s="460">
        <f>Forecasts!CR28</f>
        <v>16586096.499074519</v>
      </c>
      <c r="AO29" s="472">
        <f>Forecasts!CS28</f>
        <v>10413738.706308378</v>
      </c>
      <c r="AP29" s="472">
        <f>Forecasts!CT28</f>
        <v>12208107.483657936</v>
      </c>
      <c r="AQ29" s="472">
        <f>Forecasts!CU28</f>
        <v>11931434.425726391</v>
      </c>
      <c r="AR29" s="472">
        <f>Forecasts!CV28</f>
        <v>12504670.308111843</v>
      </c>
      <c r="AS29" s="460">
        <f>Forecasts!CW28</f>
        <v>18836420.669563811</v>
      </c>
      <c r="AT29" s="472">
        <f>Forecasts!CX28</f>
        <v>11633954.964746799</v>
      </c>
      <c r="AU29" s="472">
        <f>Forecasts!CY28</f>
        <v>10939083.032653986</v>
      </c>
      <c r="AV29" s="472">
        <f>Forecasts!CZ28</f>
        <v>11792402.813248394</v>
      </c>
      <c r="AW29" s="472">
        <f>Forecasts!DA28</f>
        <v>15429928.913904306</v>
      </c>
      <c r="AX29" s="460">
        <f>Forecasts!DB28</f>
        <v>22954935.074309863</v>
      </c>
      <c r="AY29" s="472">
        <f>Forecasts!DC28</f>
        <v>15416656.711196661</v>
      </c>
      <c r="AZ29" s="472">
        <f>Forecasts!DD28</f>
        <v>16534549.728002515</v>
      </c>
      <c r="BA29" s="472">
        <f>Forecasts!DE28</f>
        <v>18432836.309050124</v>
      </c>
      <c r="BB29" s="472">
        <f>Forecasts!DF28</f>
        <v>19574622.224217564</v>
      </c>
      <c r="BC29" s="460">
        <f>Forecasts!DG28</f>
        <v>29124448.482494872</v>
      </c>
      <c r="BD29" s="472">
        <f>Forecasts!DH28</f>
        <v>18683374.459270131</v>
      </c>
      <c r="BE29" s="472">
        <f>Forecasts!DI28</f>
        <v>20382683.408939764</v>
      </c>
      <c r="BF29" s="472">
        <f>Forecasts!DJ28</f>
        <v>21528079.126277473</v>
      </c>
      <c r="BG29" s="472">
        <f>Forecasts!DK28</f>
        <v>23156069.394015457</v>
      </c>
      <c r="BH29" s="460">
        <f>Forecasts!DL28</f>
        <v>33430345.332789637</v>
      </c>
      <c r="BI29" s="472">
        <f>Forecasts!DM28</f>
        <v>21181549.148171756</v>
      </c>
      <c r="BJ29" s="472">
        <f>Forecasts!DN28</f>
        <v>21418741.578701489</v>
      </c>
      <c r="BK29" s="472">
        <f>Forecasts!DO28</f>
        <v>22224819.175757151</v>
      </c>
      <c r="BL29" s="472">
        <f>Forecasts!DP28</f>
        <v>23895922.609048735</v>
      </c>
      <c r="BM29" s="460">
        <f>Forecasts!DQ28</f>
        <v>34911928.350011349</v>
      </c>
    </row>
    <row r="30" spans="2:65" hidden="1" outlineLevel="1">
      <c r="B30" s="520" t="str">
        <f>Forecasts!A30</f>
        <v>VSO rate (net)</v>
      </c>
      <c r="C30" s="485">
        <f>Forecasts!AY30</f>
        <v>0.49645706357464942</v>
      </c>
      <c r="D30" s="485">
        <f>Forecasts!BD30</f>
        <v>0.4482002249718785</v>
      </c>
      <c r="E30" s="485">
        <f>Forecasts!BI30</f>
        <v>0.33133782991202348</v>
      </c>
      <c r="F30" s="486">
        <f>Forecasts!BJ30</f>
        <v>7.574763099219621E-2</v>
      </c>
      <c r="G30" s="486">
        <f>Forecasts!BK30</f>
        <v>7.8889375529810679E-2</v>
      </c>
      <c r="H30" s="486">
        <f>Forecasts!BL30</f>
        <v>8.179029957203994E-2</v>
      </c>
      <c r="I30" s="486">
        <f>Forecasts!BM30</f>
        <v>0.14185115794951861</v>
      </c>
      <c r="J30" s="485">
        <f>Forecasts!BN30</f>
        <v>0.29111178947368421</v>
      </c>
      <c r="K30" s="486">
        <f>Forecasts!BO30</f>
        <v>7.2737445796614911E-2</v>
      </c>
      <c r="L30" s="486">
        <f>Forecasts!BP30</f>
        <v>0.10376063683777106</v>
      </c>
      <c r="M30" s="486">
        <f>Forecasts!BQ30</f>
        <v>0.10463849574579398</v>
      </c>
      <c r="N30" s="486">
        <f>Forecasts!BR30</f>
        <v>0.16752510588857716</v>
      </c>
      <c r="O30" s="485">
        <f>Forecasts!BS30</f>
        <v>0.33982219329417274</v>
      </c>
      <c r="P30" s="486">
        <f>Forecasts!BT30</f>
        <v>9.2748727846327067E-2</v>
      </c>
      <c r="Q30" s="486">
        <f>Forecasts!BU30</f>
        <v>0.15388865350492364</v>
      </c>
      <c r="R30" s="486">
        <f>Forecasts!BV30</f>
        <v>0.14059321091337282</v>
      </c>
      <c r="S30" s="486">
        <f>Forecasts!BW30</f>
        <v>0.29461548830409756</v>
      </c>
      <c r="T30" s="485">
        <f>Forecasts!BX30</f>
        <v>0.45085073071467474</v>
      </c>
      <c r="U30" s="486">
        <f>Forecasts!BY30</f>
        <v>0.15264348218652149</v>
      </c>
      <c r="V30" s="486">
        <f>Forecasts!BZ30</f>
        <v>0.22997744178627094</v>
      </c>
      <c r="W30" s="486">
        <f>Forecasts!CA30</f>
        <v>0.20673361118581005</v>
      </c>
      <c r="X30" s="486">
        <f>Forecasts!CB30</f>
        <v>0.24396446710562603</v>
      </c>
      <c r="Y30" s="485">
        <f>Forecasts!CC30</f>
        <v>0.51113382995719558</v>
      </c>
      <c r="Z30" s="486">
        <f>Forecasts!CD30</f>
        <v>0.15656799408593361</v>
      </c>
      <c r="AA30" s="486">
        <f>Forecasts!CE30</f>
        <v>0.10823504261393342</v>
      </c>
      <c r="AB30" s="486">
        <f>Forecasts!CF30</f>
        <v>0.2901257246354948</v>
      </c>
      <c r="AC30" s="486">
        <f>Forecasts!CG30</f>
        <v>0.2592769792826205</v>
      </c>
      <c r="AD30" s="485">
        <f>Forecasts!CH30</f>
        <v>0.48416387270990546</v>
      </c>
      <c r="AE30" s="486">
        <f>Forecasts!CI30</f>
        <v>0.17485786961009758</v>
      </c>
      <c r="AF30" s="486">
        <f>Forecasts!CJ30</f>
        <v>0.2286016487645024</v>
      </c>
      <c r="AG30" s="486">
        <f>Forecasts!CK30</f>
        <v>0.17777365698451425</v>
      </c>
      <c r="AH30" s="486">
        <f>Forecasts!CL30</f>
        <v>0.17425184649846623</v>
      </c>
      <c r="AI30" s="485">
        <f>Forecasts!CM30</f>
        <v>0.43968780824537801</v>
      </c>
      <c r="AJ30" s="486">
        <f>Forecasts!CN30</f>
        <v>0.15421678611884454</v>
      </c>
      <c r="AK30" s="486">
        <f>Forecasts!CO30</f>
        <v>0.17000198424993027</v>
      </c>
      <c r="AL30" s="486">
        <f>Forecasts!CP30</f>
        <v>0.20650165517507688</v>
      </c>
      <c r="AM30" s="486">
        <f>Forecasts!CQ30</f>
        <v>0.22936009292432044</v>
      </c>
      <c r="AN30" s="485">
        <f>Forecasts!CR30</f>
        <v>0.47697673093455017</v>
      </c>
      <c r="AO30" s="486">
        <f>Forecasts!CS30</f>
        <v>0.14831863010000182</v>
      </c>
      <c r="AP30" s="486">
        <f>Forecasts!CT30</f>
        <v>0.20406385368450061</v>
      </c>
      <c r="AQ30" s="486">
        <f>Forecasts!CU30</f>
        <v>0.18968289116038875</v>
      </c>
      <c r="AR30" s="486">
        <f>Forecasts!CV30</f>
        <v>0.20735738196818751</v>
      </c>
      <c r="AS30" s="485">
        <f>Forecasts!CW30</f>
        <v>0.47205940817855679</v>
      </c>
      <c r="AT30" s="486">
        <f>Forecasts!CX30</f>
        <v>0.1845571303025007</v>
      </c>
      <c r="AU30" s="486">
        <f>Forecasts!CY30</f>
        <v>0.21679191132215739</v>
      </c>
      <c r="AV30" s="486">
        <f>Forecasts!CZ30</f>
        <v>0.27141007175374399</v>
      </c>
      <c r="AW30" s="486">
        <f>Forecasts!DA30</f>
        <v>0.31788575594394286</v>
      </c>
      <c r="AX30" s="485">
        <f>Forecasts!DB30</f>
        <v>0.54995431400291839</v>
      </c>
      <c r="AY30" s="486">
        <f>Forecasts!DC30</f>
        <v>0.19646617574698308</v>
      </c>
      <c r="AZ30" s="486">
        <f>Forecasts!DD30</f>
        <v>0.19703483245964884</v>
      </c>
      <c r="BA30" s="486">
        <f>Forecasts!DE30</f>
        <v>0.19241963006058049</v>
      </c>
      <c r="BB30" s="486">
        <f>Forecasts!DF30</f>
        <v>0.17009730829710865</v>
      </c>
      <c r="BC30" s="485">
        <f>Forecasts!DG30</f>
        <v>0.4519626843764637</v>
      </c>
      <c r="BD30" s="486">
        <f>Forecasts!DH30</f>
        <v>0.15744364645935427</v>
      </c>
      <c r="BE30" s="486">
        <f>Forecasts!DI30</f>
        <v>0.17008341830596008</v>
      </c>
      <c r="BF30" s="486">
        <f>Forecasts!DJ30</f>
        <v>0.17677353337069579</v>
      </c>
      <c r="BG30" s="486">
        <f>Forecasts!DK30</f>
        <v>0.18990823811499274</v>
      </c>
      <c r="BH30" s="485">
        <f>Forecasts!DL30</f>
        <v>0.43707170476831003</v>
      </c>
      <c r="BI30" s="486">
        <f>Forecasts!DM30</f>
        <v>0.15657744159560399</v>
      </c>
      <c r="BJ30" s="486">
        <f>Forecasts!DN30</f>
        <v>0.17353357722935833</v>
      </c>
      <c r="BK30" s="486">
        <f>Forecasts!DO30</f>
        <v>0.17919525413962764</v>
      </c>
      <c r="BL30" s="486">
        <f>Forecasts!DP30</f>
        <v>0.19250544874663109</v>
      </c>
      <c r="BM30" s="485">
        <f>Forecasts!DQ30</f>
        <v>0.44729987096307827</v>
      </c>
    </row>
    <row r="31" spans="2:65" hidden="1" outlineLevel="1">
      <c r="B31" s="522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  <c r="W31" s="480"/>
      <c r="X31" s="480"/>
      <c r="Y31" s="480"/>
      <c r="Z31" s="480"/>
      <c r="AA31" s="480"/>
      <c r="AB31" s="480"/>
      <c r="AC31" s="480"/>
      <c r="AD31" s="480"/>
      <c r="AE31" s="480"/>
      <c r="AF31" s="480"/>
      <c r="AG31" s="480"/>
      <c r="AH31" s="480"/>
      <c r="AI31" s="480"/>
      <c r="AJ31" s="480"/>
      <c r="AK31" s="480"/>
      <c r="AL31" s="480"/>
      <c r="AM31" s="480"/>
      <c r="AN31" s="480"/>
      <c r="AO31" s="480"/>
      <c r="AP31" s="480"/>
      <c r="AQ31" s="480"/>
      <c r="AR31" s="480"/>
      <c r="AS31" s="480"/>
      <c r="AT31" s="480"/>
      <c r="AU31" s="480"/>
      <c r="AV31" s="480"/>
      <c r="AW31" s="480"/>
      <c r="AX31" s="480"/>
      <c r="AY31" s="480"/>
      <c r="AZ31" s="480"/>
      <c r="BA31" s="480"/>
      <c r="BB31" s="480"/>
      <c r="BC31" s="480"/>
      <c r="BD31" s="480"/>
      <c r="BE31" s="480"/>
      <c r="BF31" s="480"/>
      <c r="BG31" s="480"/>
      <c r="BH31" s="480"/>
      <c r="BI31" s="480"/>
      <c r="BJ31" s="480"/>
      <c r="BK31" s="480"/>
      <c r="BL31" s="480"/>
      <c r="BM31" s="480"/>
    </row>
    <row r="32" spans="2:65" ht="13.5" collapsed="1" thickBot="1">
      <c r="B32" s="518" t="s">
        <v>886</v>
      </c>
      <c r="C32" s="458" t="str">
        <f>'Income Statement'!AY3</f>
        <v>2013</v>
      </c>
      <c r="D32" s="458" t="str">
        <f>'Income Statement'!BD3</f>
        <v>2014</v>
      </c>
      <c r="E32" s="458" t="str">
        <f>'Income Statement'!BI3</f>
        <v>2015</v>
      </c>
      <c r="F32" s="459" t="str">
        <f>'Income Statement'!BJ3</f>
        <v>1Q16</v>
      </c>
      <c r="G32" s="459" t="str">
        <f>'Income Statement'!BK3</f>
        <v>2Q16</v>
      </c>
      <c r="H32" s="459" t="str">
        <f>'Income Statement'!BL3</f>
        <v>3Q16</v>
      </c>
      <c r="I32" s="459" t="str">
        <f>'Income Statement'!BM3</f>
        <v>4Q16</v>
      </c>
      <c r="J32" s="458" t="str">
        <f>'Income Statement'!BN3</f>
        <v>2016</v>
      </c>
      <c r="K32" s="459" t="str">
        <f>'Income Statement'!BO3</f>
        <v>1Q17</v>
      </c>
      <c r="L32" s="459" t="str">
        <f>'Income Statement'!BP3</f>
        <v>2Q17</v>
      </c>
      <c r="M32" s="459" t="str">
        <f>'Income Statement'!BQ3</f>
        <v>3Q17</v>
      </c>
      <c r="N32" s="459" t="str">
        <f>'Income Statement'!BR3</f>
        <v>4Q17</v>
      </c>
      <c r="O32" s="458" t="str">
        <f>'Income Statement'!BS3</f>
        <v>2017</v>
      </c>
      <c r="P32" s="459" t="str">
        <f>'Income Statement'!BT3</f>
        <v>1Q18</v>
      </c>
      <c r="Q32" s="459" t="str">
        <f>'Income Statement'!BU3</f>
        <v>2Q18</v>
      </c>
      <c r="R32" s="459" t="str">
        <f>'Income Statement'!BV3</f>
        <v>3Q18</v>
      </c>
      <c r="S32" s="459" t="str">
        <f>'Income Statement'!BW3</f>
        <v>4Q18</v>
      </c>
      <c r="T32" s="458" t="str">
        <f>'Income Statement'!BX3</f>
        <v>2018</v>
      </c>
      <c r="U32" s="459" t="str">
        <f>'Income Statement'!BY3</f>
        <v>1Q19</v>
      </c>
      <c r="V32" s="459" t="str">
        <f>'Income Statement'!BZ3</f>
        <v>2Q19</v>
      </c>
      <c r="W32" s="459" t="str">
        <f>'Income Statement'!CA3</f>
        <v>3Q19</v>
      </c>
      <c r="X32" s="459" t="str">
        <f>'Income Statement'!CB3</f>
        <v>4Q19</v>
      </c>
      <c r="Y32" s="458" t="str">
        <f>'Income Statement'!CC3</f>
        <v>2019</v>
      </c>
      <c r="Z32" s="459" t="str">
        <f>'Income Statement'!CD3</f>
        <v>1Q20</v>
      </c>
      <c r="AA32" s="459" t="str">
        <f>'Income Statement'!CE3</f>
        <v>2Q20</v>
      </c>
      <c r="AB32" s="459" t="str">
        <f>'Income Statement'!CF3</f>
        <v>3Q20</v>
      </c>
      <c r="AC32" s="459" t="str">
        <f>'Income Statement'!CG3</f>
        <v>4Q20</v>
      </c>
      <c r="AD32" s="458" t="str">
        <f>'Income Statement'!CH3</f>
        <v>2020</v>
      </c>
      <c r="AE32" s="459" t="str">
        <f>'Income Statement'!CI3</f>
        <v>1Q21</v>
      </c>
      <c r="AF32" s="459" t="str">
        <f>'Income Statement'!CJ3</f>
        <v>2Q21</v>
      </c>
      <c r="AG32" s="459" t="str">
        <f>'Income Statement'!CK3</f>
        <v>3Q21</v>
      </c>
      <c r="AH32" s="459" t="str">
        <f>'Income Statement'!CL3</f>
        <v>4Q21</v>
      </c>
      <c r="AI32" s="458" t="str">
        <f>'Income Statement'!CM3</f>
        <v>2021</v>
      </c>
      <c r="AJ32" s="459" t="str">
        <f>'Income Statement'!CN3</f>
        <v>1Q22</v>
      </c>
      <c r="AK32" s="459" t="str">
        <f>'Income Statement'!CO3</f>
        <v>2Q22</v>
      </c>
      <c r="AL32" s="459" t="str">
        <f>'Income Statement'!CP3</f>
        <v>3Q22</v>
      </c>
      <c r="AM32" s="459" t="str">
        <f>'Income Statement'!CQ3</f>
        <v>4Q22</v>
      </c>
      <c r="AN32" s="458" t="str">
        <f>'Income Statement'!CR3</f>
        <v>2022</v>
      </c>
      <c r="AO32" s="459" t="str">
        <f>'Income Statement'!CS3</f>
        <v>1Q23</v>
      </c>
      <c r="AP32" s="459" t="str">
        <f>'Income Statement'!CT3</f>
        <v>2Q23</v>
      </c>
      <c r="AQ32" s="459" t="str">
        <f>'Income Statement'!CU3</f>
        <v>3Q23</v>
      </c>
      <c r="AR32" s="459" t="str">
        <f>'Income Statement'!CV3</f>
        <v>4Q23</v>
      </c>
      <c r="AS32" s="458" t="str">
        <f>'Income Statement'!CW3</f>
        <v>2023</v>
      </c>
      <c r="AT32" s="459" t="str">
        <f>'Income Statement'!CX3</f>
        <v>1Q24</v>
      </c>
      <c r="AU32" s="459" t="str">
        <f>'Income Statement'!CY3</f>
        <v>2Q24</v>
      </c>
      <c r="AV32" s="459" t="str">
        <f>'Income Statement'!CZ3</f>
        <v>3Q24</v>
      </c>
      <c r="AW32" s="459" t="str">
        <f>'Income Statement'!DA3</f>
        <v>4Q24</v>
      </c>
      <c r="AX32" s="458" t="str">
        <f>'Income Statement'!DB3</f>
        <v>2024</v>
      </c>
      <c r="AY32" s="459" t="str">
        <f>'Income Statement'!DC3</f>
        <v>1Q25</v>
      </c>
      <c r="AZ32" s="459" t="str">
        <f>'Income Statement'!DD3</f>
        <v>2Q25</v>
      </c>
      <c r="BA32" s="459" t="str">
        <f>'Income Statement'!DE3</f>
        <v>3Q25</v>
      </c>
      <c r="BB32" s="459" t="str">
        <f>'Income Statement'!DF3</f>
        <v>4Q25</v>
      </c>
      <c r="BC32" s="458" t="str">
        <f>'Income Statement'!DG3</f>
        <v>2025</v>
      </c>
      <c r="BD32" s="459" t="str">
        <f>'Income Statement'!DH3</f>
        <v>1Q26</v>
      </c>
      <c r="BE32" s="459" t="str">
        <f>'Income Statement'!DI3</f>
        <v>2Q26</v>
      </c>
      <c r="BF32" s="459" t="str">
        <f>'Income Statement'!DJ3</f>
        <v>3Q26E</v>
      </c>
      <c r="BG32" s="459" t="str">
        <f>'Income Statement'!DK3</f>
        <v>4Q26E</v>
      </c>
      <c r="BH32" s="458" t="str">
        <f>'Income Statement'!DL3</f>
        <v>2026E</v>
      </c>
      <c r="BI32" s="459" t="str">
        <f>'Income Statement'!DM3</f>
        <v>1Q27E</v>
      </c>
      <c r="BJ32" s="459" t="str">
        <f>'Income Statement'!DN3</f>
        <v>2Q27E</v>
      </c>
      <c r="BK32" s="459" t="str">
        <f>'Income Statement'!DO3</f>
        <v>3Q27E</v>
      </c>
      <c r="BL32" s="459" t="str">
        <f>'Income Statement'!DP3</f>
        <v>4Q27E</v>
      </c>
      <c r="BM32" s="458" t="str">
        <f>'Income Statement'!DQ3</f>
        <v>2027E</v>
      </c>
    </row>
    <row r="33" spans="2:65" hidden="1" outlineLevel="1">
      <c r="B33" s="525" t="str">
        <f>'Income Statement'!A4</f>
        <v>Gross Revenues</v>
      </c>
      <c r="C33" s="487">
        <f>'Income Statement'!AY4</f>
        <v>5532336</v>
      </c>
      <c r="D33" s="487">
        <f>'Income Statement'!BD4</f>
        <v>5946563</v>
      </c>
      <c r="E33" s="487">
        <f>'Income Statement'!BI4</f>
        <v>4465802</v>
      </c>
      <c r="F33" s="488">
        <f>'Income Statement'!BJ4</f>
        <v>833226</v>
      </c>
      <c r="G33" s="488">
        <f>'Income Statement'!BK4</f>
        <v>662190</v>
      </c>
      <c r="H33" s="488">
        <f>'Income Statement'!BL4</f>
        <v>847384</v>
      </c>
      <c r="I33" s="488">
        <f>'Income Statement'!BM4</f>
        <v>947904</v>
      </c>
      <c r="J33" s="487">
        <f>'Income Statement'!BN4</f>
        <v>3290704</v>
      </c>
      <c r="K33" s="488">
        <f>'Income Statement'!BO4</f>
        <v>712412</v>
      </c>
      <c r="L33" s="488">
        <f>'Income Statement'!BP4</f>
        <v>591107</v>
      </c>
      <c r="M33" s="488">
        <f>'Income Statement'!BQ4</f>
        <v>614497</v>
      </c>
      <c r="N33" s="488">
        <f>'Income Statement'!BR4</f>
        <v>831905</v>
      </c>
      <c r="O33" s="487">
        <f>'Income Statement'!BS4</f>
        <v>2749921</v>
      </c>
      <c r="P33" s="488">
        <f>'Income Statement'!BT4</f>
        <v>464152</v>
      </c>
      <c r="Q33" s="488">
        <f>'Income Statement'!BU4</f>
        <v>657521</v>
      </c>
      <c r="R33" s="488">
        <f>'Income Statement'!BV4</f>
        <v>744589</v>
      </c>
      <c r="S33" s="488">
        <f>'Income Statement'!BW4</f>
        <v>1111066</v>
      </c>
      <c r="T33" s="487">
        <f>'Income Statement'!BX4</f>
        <v>2977328</v>
      </c>
      <c r="U33" s="488">
        <f>'Income Statement'!BY4</f>
        <v>847909</v>
      </c>
      <c r="V33" s="488">
        <f>'Income Statement'!BZ4</f>
        <v>959639</v>
      </c>
      <c r="W33" s="488">
        <f>'Income Statement'!CA4</f>
        <v>959878</v>
      </c>
      <c r="X33" s="488">
        <f>'Income Statement'!CB4</f>
        <v>1265292</v>
      </c>
      <c r="Y33" s="487">
        <f>'Income Statement'!CC4</f>
        <v>4032718</v>
      </c>
      <c r="Z33" s="488">
        <f>'Income Statement'!CD4</f>
        <v>785189</v>
      </c>
      <c r="AA33" s="488">
        <f>'Income Statement'!CE4</f>
        <v>860738</v>
      </c>
      <c r="AB33" s="488">
        <f>'Income Statement'!CF4</f>
        <v>1192465</v>
      </c>
      <c r="AC33" s="488">
        <f>'Income Statement'!CG4</f>
        <v>1087405</v>
      </c>
      <c r="AD33" s="487">
        <f>'Income Statement'!CH4</f>
        <v>3925797</v>
      </c>
      <c r="AE33" s="488">
        <f>'Income Statement'!CI4</f>
        <v>1030234</v>
      </c>
      <c r="AF33" s="488">
        <f>'Income Statement'!CJ4</f>
        <v>1213954</v>
      </c>
      <c r="AG33" s="488">
        <f>'Income Statement'!CK4</f>
        <v>1321796</v>
      </c>
      <c r="AH33" s="488">
        <f>'Income Statement'!CL4</f>
        <v>1351676</v>
      </c>
      <c r="AI33" s="487">
        <f>'Income Statement'!CM4</f>
        <v>4917660</v>
      </c>
      <c r="AJ33" s="488">
        <f>'Income Statement'!CN4</f>
        <v>1259101</v>
      </c>
      <c r="AK33" s="488">
        <f>'Income Statement'!CO4</f>
        <v>1284091</v>
      </c>
      <c r="AL33" s="488">
        <f>'Income Statement'!CP4</f>
        <v>1600107</v>
      </c>
      <c r="AM33" s="488">
        <f>'Income Statement'!CQ4</f>
        <v>1412549</v>
      </c>
      <c r="AN33" s="487">
        <f>'Income Statement'!CR4</f>
        <v>5555848</v>
      </c>
      <c r="AO33" s="488">
        <f>'Income Statement'!CS4</f>
        <v>1317322</v>
      </c>
      <c r="AP33" s="488">
        <f>'Income Statement'!CT4</f>
        <v>1678440</v>
      </c>
      <c r="AQ33" s="488">
        <f>'Income Statement'!CU4</f>
        <v>1672991</v>
      </c>
      <c r="AR33" s="488">
        <f>'Income Statement'!CV4</f>
        <v>1760921</v>
      </c>
      <c r="AS33" s="487">
        <f>'Income Statement'!CW4</f>
        <v>6429674</v>
      </c>
      <c r="AT33" s="488">
        <f>'Income Statement'!CX4</f>
        <v>1614575</v>
      </c>
      <c r="AU33" s="488">
        <f>'Income Statement'!CY4</f>
        <v>1909290</v>
      </c>
      <c r="AV33" s="488">
        <f>'Income Statement'!CZ4</f>
        <v>2086805</v>
      </c>
      <c r="AW33" s="488">
        <f>'Income Statement'!DA4</f>
        <v>2574979</v>
      </c>
      <c r="AX33" s="487">
        <f>'Income Statement'!DB4</f>
        <v>8185649</v>
      </c>
      <c r="AY33" s="488">
        <f>'Income Statement'!DC4</f>
        <v>2003367</v>
      </c>
      <c r="AZ33" s="488">
        <f>'Income Statement'!DD4</f>
        <v>2167903</v>
      </c>
      <c r="BA33" s="488">
        <f>'Income Statement'!DE4</f>
        <v>2191373</v>
      </c>
      <c r="BB33" s="488">
        <f>'Income Statement'!DF4</f>
        <v>3317082</v>
      </c>
      <c r="BC33" s="487">
        <f>'Income Statement'!DG4</f>
        <v>9679725</v>
      </c>
      <c r="BD33" s="488">
        <f>'Income Statement'!DH4</f>
        <v>2081306</v>
      </c>
      <c r="BE33" s="488">
        <f>'Income Statement'!DI4</f>
        <v>2548922</v>
      </c>
      <c r="BF33" s="488">
        <f>'Income Statement'!DJ4</f>
        <v>2779665.786373036</v>
      </c>
      <c r="BG33" s="488">
        <f>'Income Statement'!DK4</f>
        <v>3085867.7667267621</v>
      </c>
      <c r="BH33" s="487">
        <f>'Income Statement'!DL4</f>
        <v>10495761.553099798</v>
      </c>
      <c r="BI33" s="488">
        <f>'Income Statement'!DM4</f>
        <v>2904177.1554702092</v>
      </c>
      <c r="BJ33" s="488">
        <f>'Income Statement'!DN4</f>
        <v>3030696.4116353355</v>
      </c>
      <c r="BK33" s="488">
        <f>'Income Statement'!DO4</f>
        <v>3135918.4040873433</v>
      </c>
      <c r="BL33" s="488">
        <f>'Income Statement'!DP4</f>
        <v>3413245.9570425116</v>
      </c>
      <c r="BM33" s="487">
        <f>'Income Statement'!DQ4</f>
        <v>12484037.9282354</v>
      </c>
    </row>
    <row r="34" spans="2:65" hidden="1" outlineLevel="2">
      <c r="B34" s="523" t="str">
        <f>'Income Statement'!A5</f>
        <v xml:space="preserve">  Development Sales</v>
      </c>
      <c r="C34" s="489">
        <f>'Income Statement'!AY5</f>
        <v>5448364</v>
      </c>
      <c r="D34" s="489">
        <f>'Income Statement'!BD5</f>
        <v>5882228</v>
      </c>
      <c r="E34" s="489">
        <f>'Income Statement'!BI5</f>
        <v>4421234</v>
      </c>
      <c r="F34" s="490">
        <f>'Income Statement'!BJ5</f>
        <v>820283</v>
      </c>
      <c r="G34" s="490">
        <f>'Income Statement'!BK5</f>
        <v>635730</v>
      </c>
      <c r="H34" s="491">
        <f>'Income Statement'!BL5</f>
        <v>839121</v>
      </c>
      <c r="I34" s="491">
        <f>'Income Statement'!BM5</f>
        <v>942441</v>
      </c>
      <c r="J34" s="489">
        <f>'Income Statement'!BN5</f>
        <v>3237575</v>
      </c>
      <c r="K34" s="491">
        <f>'Income Statement'!BO5</f>
        <v>694805</v>
      </c>
      <c r="L34" s="491">
        <f>'Income Statement'!BP5</f>
        <v>585273</v>
      </c>
      <c r="M34" s="491">
        <f>'Income Statement'!BQ5</f>
        <v>608783</v>
      </c>
      <c r="N34" s="491">
        <f>'Income Statement'!BR5</f>
        <v>826977</v>
      </c>
      <c r="O34" s="489">
        <f>'Income Statement'!BS5</f>
        <v>2715838</v>
      </c>
      <c r="P34" s="491">
        <f>'Income Statement'!BT5</f>
        <v>460031</v>
      </c>
      <c r="Q34" s="491">
        <f>'Income Statement'!BU5</f>
        <v>652795</v>
      </c>
      <c r="R34" s="491">
        <f>'Income Statement'!BV5</f>
        <v>737779</v>
      </c>
      <c r="S34" s="491">
        <f>'Income Statement'!BW5</f>
        <v>1103392</v>
      </c>
      <c r="T34" s="489">
        <f>'Income Statement'!BX5</f>
        <v>2953997</v>
      </c>
      <c r="U34" s="491">
        <f>'Income Statement'!BY5</f>
        <v>843476</v>
      </c>
      <c r="V34" s="491">
        <f>'Income Statement'!BZ5</f>
        <v>955662</v>
      </c>
      <c r="W34" s="491">
        <f>'Income Statement'!CA5</f>
        <v>951409</v>
      </c>
      <c r="X34" s="491">
        <f>'Income Statement'!CB5</f>
        <v>1257071</v>
      </c>
      <c r="Y34" s="489">
        <f>'Income Statement'!CC5</f>
        <v>4007618</v>
      </c>
      <c r="Z34" s="491">
        <f>'Income Statement'!CD5</f>
        <v>773705</v>
      </c>
      <c r="AA34" s="491">
        <f>'Income Statement'!CE5</f>
        <v>847257</v>
      </c>
      <c r="AB34" s="491">
        <f>'Income Statement'!CF5</f>
        <v>1174787</v>
      </c>
      <c r="AC34" s="491">
        <f>'Income Statement'!CG5</f>
        <v>1059393</v>
      </c>
      <c r="AD34" s="489">
        <f>'Income Statement'!CH5</f>
        <v>3855142</v>
      </c>
      <c r="AE34" s="491">
        <f>'Income Statement'!CI5</f>
        <v>1009104</v>
      </c>
      <c r="AF34" s="491">
        <f>'Income Statement'!CJ5</f>
        <v>1189173</v>
      </c>
      <c r="AG34" s="491">
        <f>'Income Statement'!CK5</f>
        <v>1296990</v>
      </c>
      <c r="AH34" s="491">
        <f>'Income Statement'!CL5</f>
        <v>1308788</v>
      </c>
      <c r="AI34" s="489">
        <f>'Income Statement'!CM5</f>
        <v>4804055</v>
      </c>
      <c r="AJ34" s="491">
        <f>'Income Statement'!CN5</f>
        <v>1239201</v>
      </c>
      <c r="AK34" s="491">
        <f>'Income Statement'!CO5</f>
        <v>1254408</v>
      </c>
      <c r="AL34" s="491">
        <f>'Income Statement'!CP5</f>
        <v>1569855</v>
      </c>
      <c r="AM34" s="491">
        <f>'Income Statement'!CQ5</f>
        <v>1391761</v>
      </c>
      <c r="AN34" s="489">
        <f>'Income Statement'!CR5</f>
        <v>5455225</v>
      </c>
      <c r="AO34" s="491">
        <f>'Income Statement'!CS5</f>
        <v>1301102</v>
      </c>
      <c r="AP34" s="491">
        <f>'Income Statement'!CT5</f>
        <v>1658000</v>
      </c>
      <c r="AQ34" s="491">
        <f>'Income Statement'!CU5</f>
        <v>1651415</v>
      </c>
      <c r="AR34" s="491">
        <f>'Income Statement'!CV5</f>
        <v>1733240</v>
      </c>
      <c r="AS34" s="489">
        <f>'Income Statement'!CW5</f>
        <v>6343757</v>
      </c>
      <c r="AT34" s="491">
        <f>'Income Statement'!CX5</f>
        <v>1594820</v>
      </c>
      <c r="AU34" s="491">
        <f>'Income Statement'!CY5</f>
        <v>1885707</v>
      </c>
      <c r="AV34" s="491">
        <f>'Income Statement'!CZ5</f>
        <v>2061472</v>
      </c>
      <c r="AW34" s="491">
        <f>'Income Statement'!DA5</f>
        <v>2548108</v>
      </c>
      <c r="AX34" s="489">
        <f>'Income Statement'!DB5</f>
        <v>8090107</v>
      </c>
      <c r="AY34" s="491">
        <f>'Income Statement'!DC5</f>
        <v>1975256</v>
      </c>
      <c r="AZ34" s="491">
        <f>'Income Statement'!DD5</f>
        <v>2141635</v>
      </c>
      <c r="BA34" s="491">
        <f>'Income Statement'!DE5</f>
        <v>2163059</v>
      </c>
      <c r="BB34" s="491">
        <f>'Income Statement'!DF5</f>
        <v>3288140</v>
      </c>
      <c r="BC34" s="489">
        <f>'Income Statement'!DG5</f>
        <v>9568090</v>
      </c>
      <c r="BD34" s="491">
        <f>'Income Statement'!DH5</f>
        <v>2050085</v>
      </c>
      <c r="BE34" s="491">
        <f>'Income Statement'!DI5</f>
        <v>2504583</v>
      </c>
      <c r="BF34" s="491">
        <f>'Income Statement'!DJ5</f>
        <v>2746705.322503</v>
      </c>
      <c r="BG34" s="491">
        <f>'Income Statement'!DK5</f>
        <v>3049276.4493347453</v>
      </c>
      <c r="BH34" s="489">
        <f>'Income Statement'!DL5</f>
        <v>10350649.771837745</v>
      </c>
      <c r="BI34" s="491">
        <f>'Income Statement'!DM5</f>
        <v>2875422.9262081278</v>
      </c>
      <c r="BJ34" s="491">
        <f>'Income Statement'!DN5</f>
        <v>3000689.5164706293</v>
      </c>
      <c r="BK34" s="491">
        <f>'Income Statement'!DO5</f>
        <v>3104869.7070171717</v>
      </c>
      <c r="BL34" s="491">
        <f>'Income Statement'!DP5</f>
        <v>3379451.4426163482</v>
      </c>
      <c r="BM34" s="489">
        <f>'Income Statement'!DQ5</f>
        <v>12360433.592312276</v>
      </c>
    </row>
    <row r="35" spans="2:65" hidden="1" outlineLevel="2">
      <c r="B35" s="523" t="str">
        <f>'Income Statement'!A6</f>
        <v xml:space="preserve">  Services</v>
      </c>
      <c r="C35" s="489">
        <f>'Income Statement'!AY6</f>
        <v>83972</v>
      </c>
      <c r="D35" s="489">
        <f>'Income Statement'!BD6</f>
        <v>64335</v>
      </c>
      <c r="E35" s="489">
        <f>'Income Statement'!BI6</f>
        <v>44568</v>
      </c>
      <c r="F35" s="490">
        <f>'Income Statement'!BJ6</f>
        <v>12943</v>
      </c>
      <c r="G35" s="490">
        <f>'Income Statement'!BK6</f>
        <v>26460</v>
      </c>
      <c r="H35" s="491">
        <f>'Income Statement'!BL6</f>
        <v>8263</v>
      </c>
      <c r="I35" s="491">
        <f>'Income Statement'!BM6</f>
        <v>5463</v>
      </c>
      <c r="J35" s="489">
        <f>'Income Statement'!BN6</f>
        <v>53129</v>
      </c>
      <c r="K35" s="491">
        <f>'Income Statement'!BO6</f>
        <v>17607</v>
      </c>
      <c r="L35" s="491">
        <f>'Income Statement'!BP6</f>
        <v>5834</v>
      </c>
      <c r="M35" s="491">
        <f>'Income Statement'!BQ6</f>
        <v>5714</v>
      </c>
      <c r="N35" s="491">
        <f>'Income Statement'!BR6</f>
        <v>4928</v>
      </c>
      <c r="O35" s="489">
        <f>'Income Statement'!BS6</f>
        <v>34083</v>
      </c>
      <c r="P35" s="491">
        <f>'Income Statement'!BT6</f>
        <v>4121</v>
      </c>
      <c r="Q35" s="491">
        <f>'Income Statement'!BU6</f>
        <v>4726</v>
      </c>
      <c r="R35" s="491">
        <f>'Income Statement'!BV6</f>
        <v>6810</v>
      </c>
      <c r="S35" s="491">
        <f>'Income Statement'!BW6</f>
        <v>7674</v>
      </c>
      <c r="T35" s="489">
        <f>'Income Statement'!BX6</f>
        <v>23331</v>
      </c>
      <c r="U35" s="491">
        <f>'Income Statement'!BY6</f>
        <v>4433</v>
      </c>
      <c r="V35" s="491">
        <f>'Income Statement'!BZ6</f>
        <v>3977</v>
      </c>
      <c r="W35" s="491">
        <f>'Income Statement'!CA6</f>
        <v>8469</v>
      </c>
      <c r="X35" s="491">
        <f>'Income Statement'!CB6</f>
        <v>8221</v>
      </c>
      <c r="Y35" s="489">
        <f>'Income Statement'!CC6</f>
        <v>25100</v>
      </c>
      <c r="Z35" s="491">
        <f>'Income Statement'!CD6</f>
        <v>11484</v>
      </c>
      <c r="AA35" s="491">
        <f>'Income Statement'!CE6</f>
        <v>13481</v>
      </c>
      <c r="AB35" s="491">
        <f>'Income Statement'!CF6</f>
        <v>17678</v>
      </c>
      <c r="AC35" s="491">
        <f>'Income Statement'!CG6</f>
        <v>28012</v>
      </c>
      <c r="AD35" s="489">
        <f>'Income Statement'!CH6</f>
        <v>70655</v>
      </c>
      <c r="AE35" s="491">
        <f>'Income Statement'!CI6</f>
        <v>21130</v>
      </c>
      <c r="AF35" s="491">
        <f>'Income Statement'!CJ6</f>
        <v>24781</v>
      </c>
      <c r="AG35" s="491">
        <f>'Income Statement'!CK6</f>
        <v>24806</v>
      </c>
      <c r="AH35" s="491">
        <f>'Income Statement'!CL6</f>
        <v>42888</v>
      </c>
      <c r="AI35" s="489">
        <f>'Income Statement'!CM6</f>
        <v>113605</v>
      </c>
      <c r="AJ35" s="491">
        <f>'Income Statement'!CN6</f>
        <v>19900</v>
      </c>
      <c r="AK35" s="491">
        <f>'Income Statement'!CO6</f>
        <v>29683</v>
      </c>
      <c r="AL35" s="491">
        <f>'Income Statement'!CP6</f>
        <v>30252</v>
      </c>
      <c r="AM35" s="491">
        <f>'Income Statement'!CQ6</f>
        <v>20788</v>
      </c>
      <c r="AN35" s="489">
        <f>'Income Statement'!CR6</f>
        <v>100623</v>
      </c>
      <c r="AO35" s="491">
        <f>'Income Statement'!CS6</f>
        <v>16220</v>
      </c>
      <c r="AP35" s="491">
        <f>'Income Statement'!CT6</f>
        <v>20440</v>
      </c>
      <c r="AQ35" s="491">
        <f>'Income Statement'!CU6</f>
        <v>21576</v>
      </c>
      <c r="AR35" s="491">
        <f>'Income Statement'!CV6</f>
        <v>27681</v>
      </c>
      <c r="AS35" s="489">
        <f>'Income Statement'!CW6</f>
        <v>85917</v>
      </c>
      <c r="AT35" s="491">
        <f>'Income Statement'!CX6</f>
        <v>19755</v>
      </c>
      <c r="AU35" s="491">
        <f>'Income Statement'!CY6</f>
        <v>23583</v>
      </c>
      <c r="AV35" s="491">
        <f>'Income Statement'!CZ6</f>
        <v>25333</v>
      </c>
      <c r="AW35" s="491">
        <f>'Income Statement'!DA6</f>
        <v>26871</v>
      </c>
      <c r="AX35" s="489">
        <f>'Income Statement'!DB6</f>
        <v>95542</v>
      </c>
      <c r="AY35" s="491">
        <f>'Income Statement'!DC6</f>
        <v>28111</v>
      </c>
      <c r="AZ35" s="491">
        <f>'Income Statement'!DD6</f>
        <v>26268</v>
      </c>
      <c r="BA35" s="491">
        <f>'Income Statement'!DE6</f>
        <v>28314</v>
      </c>
      <c r="BB35" s="491">
        <f>'Income Statement'!DF6</f>
        <v>28942</v>
      </c>
      <c r="BC35" s="489">
        <f>'Income Statement'!DG6</f>
        <v>111635</v>
      </c>
      <c r="BD35" s="491">
        <f>'Income Statement'!DH6</f>
        <v>31221</v>
      </c>
      <c r="BE35" s="491">
        <f>'Income Statement'!DI6</f>
        <v>44339</v>
      </c>
      <c r="BF35" s="491">
        <f>'Income Statement'!DJ6</f>
        <v>32960.463870036001</v>
      </c>
      <c r="BG35" s="491">
        <f>'Income Statement'!DK6</f>
        <v>36591.317392016943</v>
      </c>
      <c r="BH35" s="489">
        <f>'Income Statement'!DL6</f>
        <v>145111.78126205294</v>
      </c>
      <c r="BI35" s="491">
        <f>'Income Statement'!DM6</f>
        <v>28754.229262081277</v>
      </c>
      <c r="BJ35" s="491">
        <f>'Income Statement'!DN6</f>
        <v>30006.895164706293</v>
      </c>
      <c r="BK35" s="491">
        <f>'Income Statement'!DO6</f>
        <v>31048.697070171718</v>
      </c>
      <c r="BL35" s="491">
        <f>'Income Statement'!DP6</f>
        <v>33794.514426163485</v>
      </c>
      <c r="BM35" s="489">
        <f>'Income Statement'!DQ6</f>
        <v>123604.33592312278</v>
      </c>
    </row>
    <row r="36" spans="2:65" hidden="1" outlineLevel="1" collapsed="1">
      <c r="B36" s="525" t="str">
        <f>'Income Statement'!A7</f>
        <v>Deductions</v>
      </c>
      <c r="C36" s="487">
        <f>'Income Statement'!AY7</f>
        <v>-160454</v>
      </c>
      <c r="D36" s="487">
        <f>'Income Statement'!BD7</f>
        <v>-128636</v>
      </c>
      <c r="E36" s="487">
        <f>'Income Statement'!BI7</f>
        <v>-124618</v>
      </c>
      <c r="F36" s="488">
        <f>'Income Statement'!BJ7</f>
        <v>-22520</v>
      </c>
      <c r="G36" s="488">
        <f>'Income Statement'!BK7</f>
        <v>-21157</v>
      </c>
      <c r="H36" s="488">
        <f>'Income Statement'!BL7</f>
        <v>-22577</v>
      </c>
      <c r="I36" s="488">
        <f>'Income Statement'!BM7</f>
        <v>-29140</v>
      </c>
      <c r="J36" s="487">
        <f>'Income Statement'!BN7</f>
        <v>-95394</v>
      </c>
      <c r="K36" s="488">
        <f>'Income Statement'!BO7</f>
        <v>-20025</v>
      </c>
      <c r="L36" s="488">
        <f>'Income Statement'!BP7</f>
        <v>-16351</v>
      </c>
      <c r="M36" s="488">
        <f>'Income Statement'!BQ7</f>
        <v>-16670</v>
      </c>
      <c r="N36" s="488">
        <f>'Income Statement'!BR7</f>
        <v>-23105</v>
      </c>
      <c r="O36" s="487">
        <f>'Income Statement'!BS7</f>
        <v>-76151</v>
      </c>
      <c r="P36" s="488">
        <f>'Income Statement'!BT7</f>
        <v>-13530</v>
      </c>
      <c r="Q36" s="488">
        <f>'Income Statement'!BU7</f>
        <v>-17982</v>
      </c>
      <c r="R36" s="488">
        <f>'Income Statement'!BV7</f>
        <v>-19764</v>
      </c>
      <c r="S36" s="488">
        <f>'Income Statement'!BW7</f>
        <v>-33895</v>
      </c>
      <c r="T36" s="487">
        <f>'Income Statement'!BX7</f>
        <v>-85171</v>
      </c>
      <c r="U36" s="488">
        <f>'Income Statement'!BY7</f>
        <v>-21673</v>
      </c>
      <c r="V36" s="488">
        <f>'Income Statement'!BZ7</f>
        <v>-23017</v>
      </c>
      <c r="W36" s="488">
        <f>'Income Statement'!CA7</f>
        <v>-25119</v>
      </c>
      <c r="X36" s="488">
        <f>'Income Statement'!CB7</f>
        <v>-32086</v>
      </c>
      <c r="Y36" s="487">
        <f>'Income Statement'!CC7</f>
        <v>-101895</v>
      </c>
      <c r="Z36" s="488">
        <f>'Income Statement'!CD7</f>
        <v>-20434</v>
      </c>
      <c r="AA36" s="488">
        <f>'Income Statement'!CE7</f>
        <v>-21930</v>
      </c>
      <c r="AB36" s="488">
        <f>'Income Statement'!CF7</f>
        <v>-28962</v>
      </c>
      <c r="AC36" s="488">
        <f>'Income Statement'!CG7</f>
        <v>-30775</v>
      </c>
      <c r="AD36" s="487">
        <f>'Income Statement'!CH7</f>
        <v>-102101</v>
      </c>
      <c r="AE36" s="488">
        <f>'Income Statement'!CI7</f>
        <v>-26502</v>
      </c>
      <c r="AF36" s="488">
        <f>'Income Statement'!CJ7</f>
        <v>-31935</v>
      </c>
      <c r="AG36" s="488">
        <f>'Income Statement'!CK7</f>
        <v>-33457</v>
      </c>
      <c r="AH36" s="488">
        <f>'Income Statement'!CL7</f>
        <v>-34933</v>
      </c>
      <c r="AI36" s="487">
        <f>'Income Statement'!CM7</f>
        <v>-126827</v>
      </c>
      <c r="AJ36" s="488">
        <f>'Income Statement'!CN7</f>
        <v>-27449</v>
      </c>
      <c r="AK36" s="488">
        <f>'Income Statement'!CO7</f>
        <v>-34008</v>
      </c>
      <c r="AL36" s="488">
        <f>'Income Statement'!CP7</f>
        <v>-40463</v>
      </c>
      <c r="AM36" s="488">
        <f>'Income Statement'!CQ7</f>
        <v>-41633</v>
      </c>
      <c r="AN36" s="487">
        <f>'Income Statement'!CR7</f>
        <v>-143553</v>
      </c>
      <c r="AO36" s="488">
        <f>'Income Statement'!CS7</f>
        <v>-33896</v>
      </c>
      <c r="AP36" s="488">
        <f>'Income Statement'!CT7</f>
        <v>-45385</v>
      </c>
      <c r="AQ36" s="488">
        <f>'Income Statement'!CU7</f>
        <v>-47004</v>
      </c>
      <c r="AR36" s="488">
        <f>'Income Statement'!CV7</f>
        <v>-50690</v>
      </c>
      <c r="AS36" s="487">
        <f>'Income Statement'!CW7</f>
        <v>-176975</v>
      </c>
      <c r="AT36" s="488">
        <f>'Income Statement'!CX7</f>
        <v>-41664</v>
      </c>
      <c r="AU36" s="488">
        <f>'Income Statement'!CY7</f>
        <v>-52433</v>
      </c>
      <c r="AV36" s="488">
        <f>'Income Statement'!CZ7</f>
        <v>-57154</v>
      </c>
      <c r="AW36" s="488">
        <f>'Income Statement'!DA7</f>
        <v>-68710</v>
      </c>
      <c r="AX36" s="487">
        <f>'Income Statement'!DB7</f>
        <v>-219961</v>
      </c>
      <c r="AY36" s="488">
        <f>'Income Statement'!DC7</f>
        <v>-50623</v>
      </c>
      <c r="AZ36" s="488">
        <f>'Income Statement'!DD7</f>
        <v>-60773</v>
      </c>
      <c r="BA36" s="488">
        <f>'Income Statement'!DE7</f>
        <v>-62927</v>
      </c>
      <c r="BB36" s="488">
        <f>'Income Statement'!DF7</f>
        <v>-81908</v>
      </c>
      <c r="BC36" s="487">
        <f>'Income Statement'!DG7</f>
        <v>-256231</v>
      </c>
      <c r="BD36" s="488">
        <f>'Income Statement'!DH7</f>
        <v>-56273</v>
      </c>
      <c r="BE36" s="488">
        <f>'Income Statement'!DI7</f>
        <v>-68051</v>
      </c>
      <c r="BF36" s="488">
        <f>'Income Statement'!DJ7</f>
        <v>-70932.519099837766</v>
      </c>
      <c r="BG36" s="488">
        <f>'Income Statement'!DK7</f>
        <v>-75834.243689973096</v>
      </c>
      <c r="BH36" s="487">
        <f>'Income Statement'!DL7</f>
        <v>-271090.76278981083</v>
      </c>
      <c r="BI36" s="488">
        <f>'Income Statement'!DM7</f>
        <v>-60406.88483378035</v>
      </c>
      <c r="BJ36" s="488">
        <f>'Income Statement'!DN7</f>
        <v>-63038.485362014973</v>
      </c>
      <c r="BK36" s="488">
        <f>'Income Statement'!DO7</f>
        <v>-65227.102805016737</v>
      </c>
      <c r="BL36" s="488">
        <f>'Income Statement'!DP7</f>
        <v>-70995.51590648423</v>
      </c>
      <c r="BM36" s="487">
        <f>'Income Statement'!DQ7</f>
        <v>-259667.98890729627</v>
      </c>
    </row>
    <row r="37" spans="2:65" hidden="1" collapsed="1">
      <c r="B37" s="523" t="str">
        <f>'Income Statement'!A8</f>
        <v xml:space="preserve">  Taxes and other deductions</v>
      </c>
      <c r="C37" s="489">
        <f>'Income Statement'!AY8</f>
        <v>-160454</v>
      </c>
      <c r="D37" s="489">
        <f>'Income Statement'!BD8</f>
        <v>-128636</v>
      </c>
      <c r="E37" s="489">
        <f>'Income Statement'!BI8</f>
        <v>-124618</v>
      </c>
      <c r="F37" s="490">
        <f>'Income Statement'!BJ8</f>
        <v>-22520</v>
      </c>
      <c r="G37" s="490">
        <f>'Income Statement'!BK8</f>
        <v>-21157</v>
      </c>
      <c r="H37" s="491">
        <f>'Income Statement'!BL8</f>
        <v>-22577</v>
      </c>
      <c r="I37" s="491">
        <f>'Income Statement'!BM8</f>
        <v>-29140</v>
      </c>
      <c r="J37" s="489">
        <f>'Income Statement'!BN8</f>
        <v>-95394</v>
      </c>
      <c r="K37" s="491">
        <f>'Income Statement'!BO8</f>
        <v>-20025</v>
      </c>
      <c r="L37" s="491">
        <f>'Income Statement'!BP8</f>
        <v>-16351</v>
      </c>
      <c r="M37" s="491">
        <f>'Income Statement'!BQ8</f>
        <v>-16670</v>
      </c>
      <c r="N37" s="491">
        <f>'Income Statement'!BR8</f>
        <v>-23105</v>
      </c>
      <c r="O37" s="489">
        <f>'Income Statement'!BS8</f>
        <v>-76151</v>
      </c>
      <c r="P37" s="491">
        <f>'Income Statement'!BT8</f>
        <v>-13530</v>
      </c>
      <c r="Q37" s="491">
        <f>'Income Statement'!BU8</f>
        <v>-17982</v>
      </c>
      <c r="R37" s="491">
        <f>'Income Statement'!BV8</f>
        <v>-19764</v>
      </c>
      <c r="S37" s="491">
        <f>'Income Statement'!BW8</f>
        <v>-33895</v>
      </c>
      <c r="T37" s="489">
        <f>'Income Statement'!BX8</f>
        <v>-85171</v>
      </c>
      <c r="U37" s="491">
        <f>'Income Statement'!BY8</f>
        <v>-21673</v>
      </c>
      <c r="V37" s="491">
        <f>'Income Statement'!BZ8</f>
        <v>-23017</v>
      </c>
      <c r="W37" s="491">
        <f>'Income Statement'!CA8</f>
        <v>-25119</v>
      </c>
      <c r="X37" s="491">
        <f>'Income Statement'!CB8</f>
        <v>-32086</v>
      </c>
      <c r="Y37" s="489">
        <f>'Income Statement'!CC8</f>
        <v>-101895</v>
      </c>
      <c r="Z37" s="491">
        <f>'Income Statement'!CD8</f>
        <v>-20434</v>
      </c>
      <c r="AA37" s="491">
        <f>'Income Statement'!CE8</f>
        <v>-21930</v>
      </c>
      <c r="AB37" s="491">
        <f>'Income Statement'!CF8</f>
        <v>-28962</v>
      </c>
      <c r="AC37" s="491">
        <f>'Income Statement'!CG8</f>
        <v>-30775</v>
      </c>
      <c r="AD37" s="489">
        <f>'Income Statement'!CH8</f>
        <v>-102101</v>
      </c>
      <c r="AE37" s="491">
        <f>'Income Statement'!CI8</f>
        <v>-26502</v>
      </c>
      <c r="AF37" s="491">
        <f>'Income Statement'!CJ8</f>
        <v>-31935</v>
      </c>
      <c r="AG37" s="491">
        <f>'Income Statement'!CK8</f>
        <v>-33457</v>
      </c>
      <c r="AH37" s="491">
        <f>'Income Statement'!CL8</f>
        <v>-34933</v>
      </c>
      <c r="AI37" s="489">
        <f>'Income Statement'!CM8</f>
        <v>-126827</v>
      </c>
      <c r="AJ37" s="491">
        <f>'Income Statement'!CN8</f>
        <v>-27449</v>
      </c>
      <c r="AK37" s="491">
        <f>'Income Statement'!CO8</f>
        <v>-34008</v>
      </c>
      <c r="AL37" s="491">
        <f>'Income Statement'!CP8</f>
        <v>-40463</v>
      </c>
      <c r="AM37" s="491">
        <f>'Income Statement'!CQ8</f>
        <v>-41633</v>
      </c>
      <c r="AN37" s="489">
        <f>'Income Statement'!CR8</f>
        <v>-143553</v>
      </c>
      <c r="AO37" s="491">
        <f>'Income Statement'!CS8</f>
        <v>-33896</v>
      </c>
      <c r="AP37" s="491">
        <f>'Income Statement'!CT8</f>
        <v>-45385</v>
      </c>
      <c r="AQ37" s="491">
        <f>'Income Statement'!CU8</f>
        <v>-47004</v>
      </c>
      <c r="AR37" s="491">
        <f>'Income Statement'!CV8</f>
        <v>-50690</v>
      </c>
      <c r="AS37" s="489">
        <f>'Income Statement'!CW8</f>
        <v>-176975</v>
      </c>
      <c r="AT37" s="491">
        <f>'Income Statement'!CX8</f>
        <v>-41664</v>
      </c>
      <c r="AU37" s="491">
        <f>'Income Statement'!CY8</f>
        <v>-52433</v>
      </c>
      <c r="AV37" s="491">
        <f>'Income Statement'!CZ8</f>
        <v>-57154</v>
      </c>
      <c r="AW37" s="491">
        <f>'Income Statement'!DA8</f>
        <v>-68710</v>
      </c>
      <c r="AX37" s="489">
        <f>'Income Statement'!DB8</f>
        <v>-219961</v>
      </c>
      <c r="AY37" s="491">
        <f>'Income Statement'!DC8</f>
        <v>-50623</v>
      </c>
      <c r="AZ37" s="491">
        <f>'Income Statement'!DD8</f>
        <v>-60773</v>
      </c>
      <c r="BA37" s="491">
        <f>'Income Statement'!DE8</f>
        <v>-62927</v>
      </c>
      <c r="BB37" s="491">
        <f>'Income Statement'!DF8</f>
        <v>-81908</v>
      </c>
      <c r="BC37" s="489">
        <f>'Income Statement'!DG8</f>
        <v>-256231</v>
      </c>
      <c r="BD37" s="491">
        <f>'Income Statement'!DH8</f>
        <v>-56273</v>
      </c>
      <c r="BE37" s="491">
        <f>'Income Statement'!DI8</f>
        <v>-68051</v>
      </c>
      <c r="BF37" s="491">
        <f>'Income Statement'!DJ8</f>
        <v>-70932.519099837766</v>
      </c>
      <c r="BG37" s="491">
        <f>'Income Statement'!DK8</f>
        <v>-75834.243689973096</v>
      </c>
      <c r="BH37" s="489">
        <f>'Income Statement'!DL8</f>
        <v>-271090.76278981083</v>
      </c>
      <c r="BI37" s="491">
        <f>'Income Statement'!DM8</f>
        <v>-60406.88483378035</v>
      </c>
      <c r="BJ37" s="491">
        <f>'Income Statement'!DN8</f>
        <v>-63038.485362014973</v>
      </c>
      <c r="BK37" s="491">
        <f>'Income Statement'!DO8</f>
        <v>-65227.102805016737</v>
      </c>
      <c r="BL37" s="491">
        <f>'Income Statement'!DP8</f>
        <v>-70995.51590648423</v>
      </c>
      <c r="BM37" s="489">
        <f>'Income Statement'!DQ8</f>
        <v>-259667.98890729627</v>
      </c>
    </row>
    <row r="38" spans="2:65" hidden="1">
      <c r="B38" s="526" t="str">
        <f>'Income Statement'!A9</f>
        <v xml:space="preserve">  % of Gross Revenues</v>
      </c>
      <c r="C38" s="492">
        <f>'Income Statement'!AY9</f>
        <v>2.9002938360938309E-2</v>
      </c>
      <c r="D38" s="492">
        <f>'Income Statement'!BD9</f>
        <v>2.1631991454559549E-2</v>
      </c>
      <c r="E38" s="492">
        <f>'Income Statement'!BI9</f>
        <v>2.790495413813689E-2</v>
      </c>
      <c r="F38" s="493">
        <f>'Income Statement'!BJ9</f>
        <v>2.7027481139570778E-2</v>
      </c>
      <c r="G38" s="493">
        <f>'Income Statement'!BK9</f>
        <v>3.1950044549147523E-2</v>
      </c>
      <c r="H38" s="494">
        <f>'Income Statement'!BL9</f>
        <v>2.6643174759023065E-2</v>
      </c>
      <c r="I38" s="494">
        <f>'Income Statement'!BM9</f>
        <v>3.0741509688744853E-2</v>
      </c>
      <c r="J38" s="492">
        <f>'Income Statement'!BN9</f>
        <v>2.8988933674982616E-2</v>
      </c>
      <c r="K38" s="494">
        <f>'Income Statement'!BO9</f>
        <v>2.8108734833214487E-2</v>
      </c>
      <c r="L38" s="494">
        <f>'Income Statement'!BP9</f>
        <v>2.7661658549129008E-2</v>
      </c>
      <c r="M38" s="494">
        <f>'Income Statement'!BQ9</f>
        <v>2.7127878573857969E-2</v>
      </c>
      <c r="N38" s="494">
        <f>'Income Statement'!BR9</f>
        <v>2.7773603957182612E-2</v>
      </c>
      <c r="O38" s="492">
        <f>'Income Statement'!BS9</f>
        <v>2.769206824486958E-2</v>
      </c>
      <c r="P38" s="494">
        <f>'Income Statement'!BT9</f>
        <v>2.9149933642427482E-2</v>
      </c>
      <c r="Q38" s="494">
        <f>'Income Statement'!BU9</f>
        <v>2.7348175951794694E-2</v>
      </c>
      <c r="R38" s="494">
        <f>'Income Statement'!BV9</f>
        <v>2.6543502522868322E-2</v>
      </c>
      <c r="S38" s="494">
        <f>'Income Statement'!BW9</f>
        <v>3.0506738573586087E-2</v>
      </c>
      <c r="T38" s="492">
        <f>'Income Statement'!BX9</f>
        <v>2.8606522358302477E-2</v>
      </c>
      <c r="U38" s="494">
        <f>'Income Statement'!BY9</f>
        <v>2.5560525952667092E-2</v>
      </c>
      <c r="V38" s="494">
        <f>'Income Statement'!BZ9</f>
        <v>2.3985061048998634E-2</v>
      </c>
      <c r="W38" s="494">
        <f>'Income Statement'!CA9</f>
        <v>2.6168950637476845E-2</v>
      </c>
      <c r="X38" s="494">
        <f>'Income Statement'!CB9</f>
        <v>2.5358573356980049E-2</v>
      </c>
      <c r="Y38" s="492">
        <f>'Income Statement'!CC9</f>
        <v>2.5267077936022307E-2</v>
      </c>
      <c r="Z38" s="494">
        <f>'Income Statement'!CD9</f>
        <v>2.6024307523411561E-2</v>
      </c>
      <c r="AA38" s="494">
        <f>'Income Statement'!CE9</f>
        <v>2.5478136204048155E-2</v>
      </c>
      <c r="AB38" s="494">
        <f>'Income Statement'!CF9</f>
        <v>2.4287505293656416E-2</v>
      </c>
      <c r="AC38" s="494">
        <f>'Income Statement'!CG9</f>
        <v>2.8301322874182112E-2</v>
      </c>
      <c r="AD38" s="492">
        <f>'Income Statement'!CH9</f>
        <v>2.6007712574032737E-2</v>
      </c>
      <c r="AE38" s="494">
        <f>'Income Statement'!CI9</f>
        <v>2.5724252936711465E-2</v>
      </c>
      <c r="AF38" s="494">
        <f>'Income Statement'!CJ9</f>
        <v>2.63065981083303E-2</v>
      </c>
      <c r="AG38" s="494">
        <f>'Income Statement'!CK9</f>
        <v>2.5311772769776881E-2</v>
      </c>
      <c r="AH38" s="494">
        <f>'Income Statement'!CL9</f>
        <v>2.5844211186704505E-2</v>
      </c>
      <c r="AI38" s="492">
        <f>'Income Statement'!CM9</f>
        <v>2.5790111557122696E-2</v>
      </c>
      <c r="AJ38" s="494">
        <f>'Income Statement'!CN9</f>
        <v>2.1800475100885473E-2</v>
      </c>
      <c r="AK38" s="494">
        <f>'Income Statement'!CO9</f>
        <v>2.6484104319709427E-2</v>
      </c>
      <c r="AL38" s="494">
        <f>'Income Statement'!CP9</f>
        <v>2.5287683886140114E-2</v>
      </c>
      <c r="AM38" s="494">
        <f>'Income Statement'!CQ9</f>
        <v>2.9473667816125315E-2</v>
      </c>
      <c r="AN38" s="492">
        <f>'Income Statement'!CR9</f>
        <v>2.5838179878211211E-2</v>
      </c>
      <c r="AO38" s="494">
        <f>'Income Statement'!CS9</f>
        <v>2.5730990600627637E-2</v>
      </c>
      <c r="AP38" s="494">
        <f>'Income Statement'!CT9</f>
        <v>2.703998951407259E-2</v>
      </c>
      <c r="AQ38" s="494">
        <f>'Income Statement'!CU9</f>
        <v>2.8095787723902879E-2</v>
      </c>
      <c r="AR38" s="494">
        <f>'Income Statement'!CV9</f>
        <v>2.8786072742615937E-2</v>
      </c>
      <c r="AS38" s="492">
        <f>'Income Statement'!CW9</f>
        <v>2.7524723648508463E-2</v>
      </c>
      <c r="AT38" s="494">
        <f>'Income Statement'!CX9</f>
        <v>2.5804933186751932E-2</v>
      </c>
      <c r="AU38" s="494">
        <f>'Income Statement'!CY9</f>
        <v>2.7462040863357583E-2</v>
      </c>
      <c r="AV38" s="494">
        <f>'Income Statement'!CZ9</f>
        <v>2.7388280169924836E-2</v>
      </c>
      <c r="AW38" s="494">
        <f>'Income Statement'!DA9</f>
        <v>2.668371276037591E-2</v>
      </c>
      <c r="AX38" s="492">
        <f>'Income Statement'!DB9</f>
        <v>2.6871540668308647E-2</v>
      </c>
      <c r="AY38" s="494">
        <f>'Income Statement'!DC9</f>
        <v>2.5268959706334387E-2</v>
      </c>
      <c r="AZ38" s="494">
        <f>'Income Statement'!DD9</f>
        <v>2.8033080815885212E-2</v>
      </c>
      <c r="BA38" s="494">
        <f>'Income Statement'!DE9</f>
        <v>2.8715786860566413E-2</v>
      </c>
      <c r="BB38" s="494">
        <f>'Income Statement'!DF9</f>
        <v>2.4692787214786974E-2</v>
      </c>
      <c r="BC38" s="492">
        <f>'Income Statement'!DG9</f>
        <v>2.6470896642208329E-2</v>
      </c>
      <c r="BD38" s="494">
        <f>'Income Statement'!DH9</f>
        <v>2.7037350586602834E-2</v>
      </c>
      <c r="BE38" s="494">
        <f>'Income Statement'!DI9</f>
        <v>2.6697953095465455E-2</v>
      </c>
      <c r="BF38" s="494">
        <f>'Income Statement'!DJ9</f>
        <v>2.5518362476372364E-2</v>
      </c>
      <c r="BG38" s="494">
        <f>'Income Statement'!DK9</f>
        <v>2.4574689981097894E-2</v>
      </c>
      <c r="BH38" s="492">
        <f>'Income Statement'!DL9</f>
        <v>2.5828593896528394E-2</v>
      </c>
      <c r="BI38" s="494">
        <f>'Income Statement'!DM9</f>
        <v>2.0799999999999999E-2</v>
      </c>
      <c r="BJ38" s="494">
        <f>'Income Statement'!DN9</f>
        <v>2.0799999999999999E-2</v>
      </c>
      <c r="BK38" s="494">
        <f>'Income Statement'!DO9</f>
        <v>2.0799999999999999E-2</v>
      </c>
      <c r="BL38" s="494">
        <f>'Income Statement'!DP9</f>
        <v>2.0799999999999999E-2</v>
      </c>
      <c r="BM38" s="492">
        <f>'Income Statement'!DQ9</f>
        <v>2.0799999999999996E-2</v>
      </c>
    </row>
    <row r="39" spans="2:65">
      <c r="B39" s="525" t="str">
        <f>'Income Statement'!A10</f>
        <v>Net Revenues</v>
      </c>
      <c r="C39" s="487">
        <f>'Income Statement'!AY10</f>
        <v>5371882</v>
      </c>
      <c r="D39" s="487">
        <f>'Income Statement'!BD10</f>
        <v>5817927</v>
      </c>
      <c r="E39" s="487">
        <f>'Income Statement'!BI10</f>
        <v>4341184</v>
      </c>
      <c r="F39" s="488">
        <f>'Income Statement'!BJ10</f>
        <v>810706</v>
      </c>
      <c r="G39" s="488">
        <f>'Income Statement'!BK10</f>
        <v>641033</v>
      </c>
      <c r="H39" s="488">
        <f>'Income Statement'!BL10</f>
        <v>824807</v>
      </c>
      <c r="I39" s="488">
        <f>'Income Statement'!BM10</f>
        <v>918764</v>
      </c>
      <c r="J39" s="487">
        <f>'Income Statement'!BN10</f>
        <v>3195310</v>
      </c>
      <c r="K39" s="488">
        <f>'Income Statement'!BO10</f>
        <v>692387</v>
      </c>
      <c r="L39" s="488">
        <f>'Income Statement'!BP10</f>
        <v>574756</v>
      </c>
      <c r="M39" s="488">
        <f>'Income Statement'!BQ10</f>
        <v>597827</v>
      </c>
      <c r="N39" s="488">
        <f>'Income Statement'!BR10</f>
        <v>808800</v>
      </c>
      <c r="O39" s="487">
        <f>'Income Statement'!BS10</f>
        <v>2673770</v>
      </c>
      <c r="P39" s="488">
        <f>'Income Statement'!BT10</f>
        <v>450622</v>
      </c>
      <c r="Q39" s="488">
        <f>'Income Statement'!BU10</f>
        <v>639539</v>
      </c>
      <c r="R39" s="488">
        <f>'Income Statement'!BV10</f>
        <v>724825</v>
      </c>
      <c r="S39" s="488">
        <f>'Income Statement'!BW10</f>
        <v>1077171</v>
      </c>
      <c r="T39" s="487">
        <f>'Income Statement'!BX10</f>
        <v>2892157</v>
      </c>
      <c r="U39" s="488">
        <f>'Income Statement'!BY10</f>
        <v>826236</v>
      </c>
      <c r="V39" s="488">
        <f>'Income Statement'!BZ10</f>
        <v>936622</v>
      </c>
      <c r="W39" s="488">
        <f>'Income Statement'!CA10</f>
        <v>934759</v>
      </c>
      <c r="X39" s="488">
        <f>'Income Statement'!CB10</f>
        <v>1233206</v>
      </c>
      <c r="Y39" s="487">
        <f>'Income Statement'!CC10</f>
        <v>3930823</v>
      </c>
      <c r="Z39" s="488">
        <f>'Income Statement'!CD10</f>
        <v>764755</v>
      </c>
      <c r="AA39" s="488">
        <f>'Income Statement'!CE10</f>
        <v>838808</v>
      </c>
      <c r="AB39" s="488">
        <f>'Income Statement'!CF10</f>
        <v>1163503</v>
      </c>
      <c r="AC39" s="488">
        <f>'Income Statement'!CG10</f>
        <v>1056630</v>
      </c>
      <c r="AD39" s="487">
        <f>'Income Statement'!CH10</f>
        <v>3823696</v>
      </c>
      <c r="AE39" s="488">
        <f>'Income Statement'!CI10</f>
        <v>1003732</v>
      </c>
      <c r="AF39" s="488">
        <f>'Income Statement'!CJ10</f>
        <v>1182019</v>
      </c>
      <c r="AG39" s="488">
        <f>'Income Statement'!CK10</f>
        <v>1288339</v>
      </c>
      <c r="AH39" s="488">
        <f>'Income Statement'!CL10</f>
        <v>1316743</v>
      </c>
      <c r="AI39" s="487">
        <f>'Income Statement'!CM10</f>
        <v>4790833</v>
      </c>
      <c r="AJ39" s="488">
        <f>'Income Statement'!CN10</f>
        <v>1231652</v>
      </c>
      <c r="AK39" s="488">
        <f>'Income Statement'!CO10</f>
        <v>1250083</v>
      </c>
      <c r="AL39" s="488">
        <f>'Income Statement'!CP10</f>
        <v>1559644</v>
      </c>
      <c r="AM39" s="488">
        <f>'Income Statement'!CQ10</f>
        <v>1370916</v>
      </c>
      <c r="AN39" s="487">
        <f>'Income Statement'!CR10</f>
        <v>5412295</v>
      </c>
      <c r="AO39" s="488">
        <f>'Income Statement'!CS10</f>
        <v>1283426</v>
      </c>
      <c r="AP39" s="488">
        <f>'Income Statement'!CT10</f>
        <v>1633055</v>
      </c>
      <c r="AQ39" s="488">
        <f>'Income Statement'!CU10</f>
        <v>1625987</v>
      </c>
      <c r="AR39" s="488">
        <f>'Income Statement'!CV10</f>
        <v>1710231</v>
      </c>
      <c r="AS39" s="487">
        <f>'Income Statement'!CW10</f>
        <v>6252699</v>
      </c>
      <c r="AT39" s="488">
        <f>'Income Statement'!CX10</f>
        <v>1572911</v>
      </c>
      <c r="AU39" s="488">
        <f>'Income Statement'!CY10</f>
        <v>1856857</v>
      </c>
      <c r="AV39" s="488">
        <f>'Income Statement'!CZ10</f>
        <v>2029651</v>
      </c>
      <c r="AW39" s="488">
        <f>'Income Statement'!DA10</f>
        <v>2506269</v>
      </c>
      <c r="AX39" s="487">
        <f>'Income Statement'!DB10</f>
        <v>7965688</v>
      </c>
      <c r="AY39" s="488">
        <f>'Income Statement'!DC10</f>
        <v>1952744</v>
      </c>
      <c r="AZ39" s="488">
        <f>'Income Statement'!DD10</f>
        <v>2107130</v>
      </c>
      <c r="BA39" s="488">
        <f>'Income Statement'!DE10</f>
        <v>2128446</v>
      </c>
      <c r="BB39" s="488">
        <f>'Income Statement'!DF10</f>
        <v>3235174</v>
      </c>
      <c r="BC39" s="487">
        <f>'Income Statement'!DG10</f>
        <v>9423494</v>
      </c>
      <c r="BD39" s="488">
        <f>'Income Statement'!DH10</f>
        <v>2025033</v>
      </c>
      <c r="BE39" s="488">
        <f>'Income Statement'!DI10</f>
        <v>2480871</v>
      </c>
      <c r="BF39" s="488">
        <f>'Income Statement'!DJ10</f>
        <v>2708733.2672731983</v>
      </c>
      <c r="BG39" s="488">
        <f>'Income Statement'!DK10</f>
        <v>3010033.5230367891</v>
      </c>
      <c r="BH39" s="487">
        <f>'Income Statement'!DL10</f>
        <v>10224670.790309988</v>
      </c>
      <c r="BI39" s="488">
        <f>'Income Statement'!DM10</f>
        <v>2843770.2706364291</v>
      </c>
      <c r="BJ39" s="488">
        <f>'Income Statement'!DN10</f>
        <v>2967657.9262733203</v>
      </c>
      <c r="BK39" s="488">
        <f>'Income Statement'!DO10</f>
        <v>3070691.3012823267</v>
      </c>
      <c r="BL39" s="488">
        <f>'Income Statement'!DP10</f>
        <v>3342250.4411360272</v>
      </c>
      <c r="BM39" s="487">
        <f>'Income Statement'!DQ10</f>
        <v>12224369.939328102</v>
      </c>
    </row>
    <row r="40" spans="2:65" hidden="1" outlineLevel="1">
      <c r="B40" s="525" t="str">
        <f>'Income Statement'!A11</f>
        <v>Operating Costs</v>
      </c>
      <c r="C40" s="487">
        <f>'Income Statement'!AY11</f>
        <v>-3612593</v>
      </c>
      <c r="D40" s="487">
        <f>'Income Statement'!BD11</f>
        <v>-3949181</v>
      </c>
      <c r="E40" s="487">
        <f>'Income Statement'!BI11</f>
        <v>-2838105</v>
      </c>
      <c r="F40" s="488">
        <f>'Income Statement'!BJ11</f>
        <v>-528445</v>
      </c>
      <c r="G40" s="488">
        <f>'Income Statement'!BK11</f>
        <v>-387103</v>
      </c>
      <c r="H40" s="488">
        <f>'Income Statement'!BL11</f>
        <v>-563386</v>
      </c>
      <c r="I40" s="488">
        <f>'Income Statement'!BM11</f>
        <v>-653853</v>
      </c>
      <c r="J40" s="487">
        <f>'Income Statement'!BN11</f>
        <v>-2132787</v>
      </c>
      <c r="K40" s="488">
        <f>'Income Statement'!BO11</f>
        <v>-477370</v>
      </c>
      <c r="L40" s="488">
        <f>'Income Statement'!BP11</f>
        <v>-421167</v>
      </c>
      <c r="M40" s="488">
        <f>'Income Statement'!BQ11</f>
        <v>-450495</v>
      </c>
      <c r="N40" s="488">
        <f>'Income Statement'!BR11</f>
        <v>-590225</v>
      </c>
      <c r="O40" s="487">
        <f>'Income Statement'!BS11</f>
        <v>-1939257</v>
      </c>
      <c r="P40" s="488">
        <f>'Income Statement'!BT11</f>
        <v>-325839</v>
      </c>
      <c r="Q40" s="488">
        <f>'Income Statement'!BU11</f>
        <v>-468242</v>
      </c>
      <c r="R40" s="488">
        <f>'Income Statement'!BV11</f>
        <v>-520049</v>
      </c>
      <c r="S40" s="488">
        <f>'Income Statement'!BW11</f>
        <v>-763100</v>
      </c>
      <c r="T40" s="487">
        <f>'Income Statement'!BX11</f>
        <v>-2077230</v>
      </c>
      <c r="U40" s="488">
        <f>'Income Statement'!BY11</f>
        <v>-577347</v>
      </c>
      <c r="V40" s="488">
        <f>'Income Statement'!BZ11</f>
        <v>-643662</v>
      </c>
      <c r="W40" s="488">
        <f>'Income Statement'!CA11</f>
        <v>-645832</v>
      </c>
      <c r="X40" s="488">
        <f>'Income Statement'!CB11</f>
        <v>-848268</v>
      </c>
      <c r="Y40" s="487">
        <f>'Income Statement'!CC11</f>
        <v>-2715109</v>
      </c>
      <c r="Z40" s="488">
        <f>'Income Statement'!CD11</f>
        <v>-503900</v>
      </c>
      <c r="AA40" s="488">
        <f>'Income Statement'!CE11</f>
        <v>-563937</v>
      </c>
      <c r="AB40" s="488">
        <f>'Income Statement'!CF11</f>
        <v>-784922</v>
      </c>
      <c r="AC40" s="488">
        <f>'Income Statement'!CG11</f>
        <v>-720554</v>
      </c>
      <c r="AD40" s="487">
        <f>'Income Statement'!CH11</f>
        <v>-2573313</v>
      </c>
      <c r="AE40" s="488">
        <f>'Income Statement'!CI11</f>
        <v>-657192</v>
      </c>
      <c r="AF40" s="488">
        <f>'Income Statement'!CJ11</f>
        <v>-749735</v>
      </c>
      <c r="AG40" s="488">
        <f>'Income Statement'!CK11</f>
        <v>-841443</v>
      </c>
      <c r="AH40" s="488">
        <f>'Income Statement'!CL11</f>
        <v>-876643</v>
      </c>
      <c r="AI40" s="487">
        <f>'Income Statement'!CM11</f>
        <v>-3125013</v>
      </c>
      <c r="AJ40" s="488">
        <f>'Income Statement'!CN11</f>
        <v>-848102</v>
      </c>
      <c r="AK40" s="488">
        <f>'Income Statement'!CO11</f>
        <v>-858752</v>
      </c>
      <c r="AL40" s="488">
        <f>'Income Statement'!CP11</f>
        <v>-1031260</v>
      </c>
      <c r="AM40" s="488">
        <f>'Income Statement'!CQ11</f>
        <v>-940219</v>
      </c>
      <c r="AN40" s="487">
        <f>'Income Statement'!CR11</f>
        <v>-3678333</v>
      </c>
      <c r="AO40" s="488">
        <f>'Income Statement'!CS11</f>
        <v>-888959</v>
      </c>
      <c r="AP40" s="488">
        <f>'Income Statement'!CT11</f>
        <v>-1105967</v>
      </c>
      <c r="AQ40" s="488">
        <f>'Income Statement'!CU11</f>
        <v>-1080523</v>
      </c>
      <c r="AR40" s="488">
        <f>'Income Statement'!CV11</f>
        <v>-1133651</v>
      </c>
      <c r="AS40" s="487">
        <f>'Income Statement'!CW11</f>
        <v>-4209100</v>
      </c>
      <c r="AT40" s="488">
        <f>'Income Statement'!CX11</f>
        <v>-1079389</v>
      </c>
      <c r="AU40" s="488">
        <f>'Income Statement'!CY11</f>
        <v>-1246830</v>
      </c>
      <c r="AV40" s="488">
        <f>'Income Statement'!CZ11</f>
        <v>-1353486</v>
      </c>
      <c r="AW40" s="488">
        <f>'Income Statement'!DA11</f>
        <v>-1706118</v>
      </c>
      <c r="AX40" s="487">
        <f>'Income Statement'!DB11</f>
        <v>-5385823</v>
      </c>
      <c r="AY40" s="488">
        <f>'Income Statement'!DC11</f>
        <v>-1318405</v>
      </c>
      <c r="AZ40" s="488">
        <f>'Income Statement'!DD11</f>
        <v>-1417294</v>
      </c>
      <c r="BA40" s="488">
        <f>'Income Statement'!DE11</f>
        <v>-1426032</v>
      </c>
      <c r="BB40" s="488">
        <f>'Income Statement'!DF11</f>
        <v>-2191794</v>
      </c>
      <c r="BC40" s="487">
        <f>'Income Statement'!DG11</f>
        <v>-6353525</v>
      </c>
      <c r="BD40" s="488">
        <f>'Income Statement'!DH11</f>
        <v>-1359107</v>
      </c>
      <c r="BE40" s="488">
        <f>'Income Statement'!DI11</f>
        <v>-1627952</v>
      </c>
      <c r="BF40" s="488">
        <f>'Income Statement'!DJ11</f>
        <v>-1809188.6873931142</v>
      </c>
      <c r="BG40" s="488">
        <f>'Income Statement'!DK11</f>
        <v>-2009620.1926239445</v>
      </c>
      <c r="BH40" s="487">
        <f>'Income Statement'!DL11</f>
        <v>-6805867.8800170589</v>
      </c>
      <c r="BI40" s="488">
        <f>'Income Statement'!DM11</f>
        <v>-1908132.4060346032</v>
      </c>
      <c r="BJ40" s="488">
        <f>'Income Statement'!DN11</f>
        <v>-1992592.8676936612</v>
      </c>
      <c r="BK40" s="488">
        <f>'Income Statement'!DO11</f>
        <v>-2063564.1519098461</v>
      </c>
      <c r="BL40" s="488">
        <f>'Income Statement'!DP11</f>
        <v>-2248931.3479174045</v>
      </c>
      <c r="BM40" s="487">
        <f>'Income Statement'!DQ11</f>
        <v>-8213220.7735555153</v>
      </c>
    </row>
    <row r="41" spans="2:65" hidden="1" collapsed="1">
      <c r="B41" s="523" t="str">
        <f>'Income Statement'!A12</f>
        <v xml:space="preserve">  Development Sales</v>
      </c>
      <c r="C41" s="489">
        <f>'Income Statement'!AY12</f>
        <v>-3367022</v>
      </c>
      <c r="D41" s="489">
        <f>'Income Statement'!BD12</f>
        <v>-3696198</v>
      </c>
      <c r="E41" s="489">
        <f>'Income Statement'!BI12</f>
        <v>-2631274</v>
      </c>
      <c r="F41" s="490">
        <f>'Income Statement'!BJ12</f>
        <v>-467503</v>
      </c>
      <c r="G41" s="490">
        <f>'Income Statement'!BK12</f>
        <v>-316982</v>
      </c>
      <c r="H41" s="491">
        <f>'Income Statement'!BL12</f>
        <v>-501053</v>
      </c>
      <c r="I41" s="491">
        <f>'Income Statement'!BM12</f>
        <v>-599914</v>
      </c>
      <c r="J41" s="489">
        <f>'Income Statement'!BN12</f>
        <v>-1885452</v>
      </c>
      <c r="K41" s="491">
        <f>'Income Statement'!BO12</f>
        <v>-424962</v>
      </c>
      <c r="L41" s="491">
        <f>'Income Statement'!BP12</f>
        <v>-369701</v>
      </c>
      <c r="M41" s="491">
        <f>'Income Statement'!BQ12</f>
        <v>-407556</v>
      </c>
      <c r="N41" s="491">
        <f>'Income Statement'!BR12</f>
        <v>-545529</v>
      </c>
      <c r="O41" s="489">
        <f>'Income Statement'!BS12</f>
        <v>-1747748</v>
      </c>
      <c r="P41" s="491">
        <f>'Income Statement'!BT12</f>
        <v>-297842</v>
      </c>
      <c r="Q41" s="491">
        <f>'Income Statement'!BU12</f>
        <v>-435627</v>
      </c>
      <c r="R41" s="491">
        <f>'Income Statement'!BV12</f>
        <v>-481284</v>
      </c>
      <c r="S41" s="491">
        <f>'Income Statement'!BW12</f>
        <v>-735041</v>
      </c>
      <c r="T41" s="489">
        <f>'Income Statement'!BX12</f>
        <v>-1949794</v>
      </c>
      <c r="U41" s="491">
        <f>'Income Statement'!BY12</f>
        <v>-548776</v>
      </c>
      <c r="V41" s="491">
        <f>'Income Statement'!BZ12</f>
        <v>-622178</v>
      </c>
      <c r="W41" s="491">
        <f>'Income Statement'!CA12</f>
        <v>-623728</v>
      </c>
      <c r="X41" s="491">
        <f>'Income Statement'!CB12</f>
        <v>-823979</v>
      </c>
      <c r="Y41" s="489">
        <f>'Income Statement'!CC12</f>
        <v>-2618661</v>
      </c>
      <c r="Z41" s="491">
        <f>'Income Statement'!CD12</f>
        <v>-488169</v>
      </c>
      <c r="AA41" s="491">
        <f>'Income Statement'!CE12</f>
        <v>-533358</v>
      </c>
      <c r="AB41" s="491">
        <f>'Income Statement'!CF12</f>
        <v>-757962</v>
      </c>
      <c r="AC41" s="491">
        <f>'Income Statement'!CG12</f>
        <v>-690696</v>
      </c>
      <c r="AD41" s="489">
        <f>'Income Statement'!CH12</f>
        <v>-2470185</v>
      </c>
      <c r="AE41" s="491">
        <f>'Income Statement'!CI12</f>
        <v>-636211</v>
      </c>
      <c r="AF41" s="491">
        <f>'Income Statement'!CJ12</f>
        <v>-724002</v>
      </c>
      <c r="AG41" s="491">
        <f>'Income Statement'!CK12</f>
        <v>-808109</v>
      </c>
      <c r="AH41" s="491">
        <f>'Income Statement'!CL12</f>
        <v>-846902</v>
      </c>
      <c r="AI41" s="489">
        <f>'Income Statement'!CM12</f>
        <v>-3015224</v>
      </c>
      <c r="AJ41" s="491">
        <f>'Income Statement'!CN12</f>
        <v>-815032</v>
      </c>
      <c r="AK41" s="491">
        <f>'Income Statement'!CO12</f>
        <v>-816065</v>
      </c>
      <c r="AL41" s="491">
        <f>'Income Statement'!CP12</f>
        <v>-986430</v>
      </c>
      <c r="AM41" s="491">
        <f>'Income Statement'!CQ12</f>
        <v>-902868</v>
      </c>
      <c r="AN41" s="489">
        <f>'Income Statement'!CR12</f>
        <v>-3520395</v>
      </c>
      <c r="AO41" s="491">
        <f>'Income Statement'!CS12</f>
        <v>-854201</v>
      </c>
      <c r="AP41" s="491">
        <f>'Income Statement'!CT12</f>
        <v>-1068710</v>
      </c>
      <c r="AQ41" s="491">
        <f>'Income Statement'!CU12</f>
        <v>-1046397</v>
      </c>
      <c r="AR41" s="491">
        <f>'Income Statement'!CV12</f>
        <v>-1097346</v>
      </c>
      <c r="AS41" s="489">
        <f>'Income Statement'!CW12</f>
        <v>-4066654</v>
      </c>
      <c r="AT41" s="491">
        <f>'Income Statement'!CX12</f>
        <v>-1040695</v>
      </c>
      <c r="AU41" s="491">
        <f>'Income Statement'!CY12</f>
        <v>-1203470</v>
      </c>
      <c r="AV41" s="491">
        <f>'Income Statement'!CZ12</f>
        <v>-1308936</v>
      </c>
      <c r="AW41" s="491">
        <f>'Income Statement'!DA12</f>
        <v>-1662991</v>
      </c>
      <c r="AX41" s="489">
        <f>'Income Statement'!DB12</f>
        <v>-5216092</v>
      </c>
      <c r="AY41" s="491">
        <f>'Income Statement'!DC12</f>
        <v>-1271764</v>
      </c>
      <c r="AZ41" s="491">
        <f>'Income Statement'!DD12</f>
        <v>-1367612</v>
      </c>
      <c r="BA41" s="491">
        <f>'Income Statement'!DE12</f>
        <v>-1372087</v>
      </c>
      <c r="BB41" s="491">
        <f>'Income Statement'!DF12</f>
        <v>-2141389</v>
      </c>
      <c r="BC41" s="489">
        <f>'Income Statement'!DG12</f>
        <v>-6152852</v>
      </c>
      <c r="BD41" s="491">
        <f>'Income Statement'!DH12</f>
        <v>-1286258</v>
      </c>
      <c r="BE41" s="491">
        <f>'Income Statement'!DI12</f>
        <v>-1547952</v>
      </c>
      <c r="BF41" s="491">
        <f>'Income Statement'!DJ12</f>
        <v>-1755735.5584019199</v>
      </c>
      <c r="BG41" s="491">
        <f>'Income Statement'!DK12</f>
        <v>-1949477.0612622066</v>
      </c>
      <c r="BH41" s="489">
        <f>'Income Statement'!DL12</f>
        <v>-6539422.619664127</v>
      </c>
      <c r="BI41" s="491">
        <f>'Income Statement'!DM12</f>
        <v>-1852418.89908085</v>
      </c>
      <c r="BJ41" s="491">
        <f>'Income Statement'!DN12</f>
        <v>-1934687.4280412751</v>
      </c>
      <c r="BK41" s="491">
        <f>'Income Statement'!DO12</f>
        <v>-2003196.4545035479</v>
      </c>
      <c r="BL41" s="491">
        <f>'Income Statement'!DP12</f>
        <v>-2182435.9874171731</v>
      </c>
      <c r="BM41" s="489">
        <f>'Income Statement'!DQ12</f>
        <v>-7972738.7690428458</v>
      </c>
    </row>
    <row r="42" spans="2:65" hidden="1">
      <c r="B42" s="523" t="str">
        <f>'Income Statement'!A13</f>
        <v xml:space="preserve">  Capitalized Interest</v>
      </c>
      <c r="C42" s="489">
        <f>'Income Statement'!AY13</f>
        <v>-186376</v>
      </c>
      <c r="D42" s="489">
        <f>'Income Statement'!BD13</f>
        <v>-207728</v>
      </c>
      <c r="E42" s="489">
        <f>'Income Statement'!BI13</f>
        <v>-171001</v>
      </c>
      <c r="F42" s="490">
        <f>'Income Statement'!BJ13</f>
        <v>-50357</v>
      </c>
      <c r="G42" s="490">
        <f>'Income Statement'!BK13</f>
        <v>-48047</v>
      </c>
      <c r="H42" s="490">
        <f>'Income Statement'!BL13</f>
        <v>-55156</v>
      </c>
      <c r="I42" s="490">
        <f>'Income Statement'!BM13</f>
        <v>-49192</v>
      </c>
      <c r="J42" s="489">
        <f>'Income Statement'!BN13</f>
        <v>-202752</v>
      </c>
      <c r="K42" s="490">
        <f>'Income Statement'!BO13</f>
        <v>-44881</v>
      </c>
      <c r="L42" s="490">
        <f>'Income Statement'!BP13</f>
        <v>-48099</v>
      </c>
      <c r="M42" s="490">
        <f>'Income Statement'!BQ13</f>
        <v>-39367</v>
      </c>
      <c r="N42" s="490">
        <f>'Income Statement'!BR13</f>
        <v>-41619</v>
      </c>
      <c r="O42" s="489">
        <f>'Income Statement'!BS13</f>
        <v>-173966</v>
      </c>
      <c r="P42" s="490">
        <f>'Income Statement'!BT13</f>
        <v>-25605</v>
      </c>
      <c r="Q42" s="490">
        <f>'Income Statement'!BU13</f>
        <v>-28980</v>
      </c>
      <c r="R42" s="490">
        <f>'Income Statement'!BV13</f>
        <v>-32882</v>
      </c>
      <c r="S42" s="490">
        <f>'Income Statement'!BW13</f>
        <v>-22250</v>
      </c>
      <c r="T42" s="489">
        <f>'Income Statement'!BX13</f>
        <v>-109717</v>
      </c>
      <c r="U42" s="490">
        <f>'Income Statement'!BY13</f>
        <v>-23843</v>
      </c>
      <c r="V42" s="490">
        <f>'Income Statement'!BZ13</f>
        <v>-18259</v>
      </c>
      <c r="W42" s="490">
        <f>'Income Statement'!CA13</f>
        <v>-20162</v>
      </c>
      <c r="X42" s="490">
        <f>'Income Statement'!CB13</f>
        <v>-19130</v>
      </c>
      <c r="Y42" s="489">
        <f>'Income Statement'!CC13</f>
        <v>-81394</v>
      </c>
      <c r="Z42" s="490">
        <f>'Income Statement'!CD13</f>
        <v>-11643</v>
      </c>
      <c r="AA42" s="490">
        <f>'Income Statement'!CE13</f>
        <v>-16826</v>
      </c>
      <c r="AB42" s="490">
        <f>'Income Statement'!CF13</f>
        <v>-18257</v>
      </c>
      <c r="AC42" s="490">
        <f>'Income Statement'!CG13</f>
        <v>-20627</v>
      </c>
      <c r="AD42" s="489">
        <f>'Income Statement'!CH13</f>
        <v>-67353</v>
      </c>
      <c r="AE42" s="490">
        <f>'Income Statement'!CI13</f>
        <v>-9011</v>
      </c>
      <c r="AF42" s="490">
        <f>'Income Statement'!CJ13</f>
        <v>-10376</v>
      </c>
      <c r="AG42" s="490">
        <f>'Income Statement'!CK13</f>
        <v>-11595</v>
      </c>
      <c r="AH42" s="490">
        <f>'Income Statement'!CL13</f>
        <v>-15267</v>
      </c>
      <c r="AI42" s="489">
        <f>'Income Statement'!CM13</f>
        <v>-46249</v>
      </c>
      <c r="AJ42" s="490">
        <f>'Income Statement'!CN13</f>
        <v>-16267</v>
      </c>
      <c r="AK42" s="490">
        <f>'Income Statement'!CO13</f>
        <v>-19511</v>
      </c>
      <c r="AL42" s="490">
        <f>'Income Statement'!CP13</f>
        <v>-22791</v>
      </c>
      <c r="AM42" s="490">
        <f>'Income Statement'!CQ13</f>
        <v>-23445</v>
      </c>
      <c r="AN42" s="489">
        <f>'Income Statement'!CR13</f>
        <v>-82014</v>
      </c>
      <c r="AO42" s="490">
        <f>'Income Statement'!CS13</f>
        <v>-24675</v>
      </c>
      <c r="AP42" s="490">
        <f>'Income Statement'!CT13</f>
        <v>-30381</v>
      </c>
      <c r="AQ42" s="490">
        <f>'Income Statement'!CU13</f>
        <v>-30001</v>
      </c>
      <c r="AR42" s="490">
        <f>'Income Statement'!CV13</f>
        <v>-29630</v>
      </c>
      <c r="AS42" s="489">
        <f>'Income Statement'!CW13</f>
        <v>-114687</v>
      </c>
      <c r="AT42" s="490">
        <f>'Income Statement'!CX13</f>
        <v>-27119</v>
      </c>
      <c r="AU42" s="490">
        <f>'Income Statement'!CY13</f>
        <v>-35198</v>
      </c>
      <c r="AV42" s="490">
        <f>'Income Statement'!CZ13</f>
        <v>-35854</v>
      </c>
      <c r="AW42" s="490">
        <f>'Income Statement'!DA13</f>
        <v>-35818</v>
      </c>
      <c r="AX42" s="489">
        <f>'Income Statement'!DB13</f>
        <v>-133989</v>
      </c>
      <c r="AY42" s="490">
        <f>'Income Statement'!DC13</f>
        <v>-36495</v>
      </c>
      <c r="AZ42" s="490">
        <f>'Income Statement'!DD13</f>
        <v>-45571</v>
      </c>
      <c r="BA42" s="490">
        <f>'Income Statement'!DE13</f>
        <v>-48623</v>
      </c>
      <c r="BB42" s="490">
        <f>'Income Statement'!DF13</f>
        <v>-47541</v>
      </c>
      <c r="BC42" s="489">
        <f>'Income Statement'!DG13</f>
        <v>-178230</v>
      </c>
      <c r="BD42" s="490">
        <f>'Income Statement'!DH13</f>
        <v>-65240</v>
      </c>
      <c r="BE42" s="490">
        <f>'Income Statement'!DI13</f>
        <v>-72755</v>
      </c>
      <c r="BF42" s="490">
        <f>'Income Statement'!DJ13</f>
        <v>-45213.013023685286</v>
      </c>
      <c r="BG42" s="490">
        <f>'Income Statement'!DK13</f>
        <v>-50995.302013733708</v>
      </c>
      <c r="BH42" s="489">
        <f>'Income Statement'!DL13</f>
        <v>-234203.315037419</v>
      </c>
      <c r="BI42" s="490">
        <f>'Income Statement'!DM13</f>
        <v>-48524.949638233003</v>
      </c>
      <c r="BJ42" s="490">
        <f>'Income Statement'!DN13</f>
        <v>-50403.71586120945</v>
      </c>
      <c r="BK42" s="490">
        <f>'Income Statement'!DO13</f>
        <v>-52605.523138755212</v>
      </c>
      <c r="BL42" s="490">
        <f>'Income Statement'!DP13</f>
        <v>-58046.731893690434</v>
      </c>
      <c r="BM42" s="489">
        <f>'Income Statement'!DQ13</f>
        <v>-209580.92053188808</v>
      </c>
    </row>
    <row r="43" spans="2:65" hidden="1">
      <c r="B43" s="523" t="str">
        <f>'Income Statement'!A14</f>
        <v xml:space="preserve">  Services</v>
      </c>
      <c r="C43" s="489">
        <f>'Income Statement'!AY14</f>
        <v>-59195</v>
      </c>
      <c r="D43" s="489">
        <f>'Income Statement'!BD14</f>
        <v>-45255</v>
      </c>
      <c r="E43" s="489">
        <f>'Income Statement'!BI14</f>
        <v>-35830</v>
      </c>
      <c r="F43" s="490">
        <f>'Income Statement'!BJ14</f>
        <v>-10585</v>
      </c>
      <c r="G43" s="490">
        <f>'Income Statement'!BK14</f>
        <v>-22074</v>
      </c>
      <c r="H43" s="491">
        <f>'Income Statement'!BL14</f>
        <v>-7177</v>
      </c>
      <c r="I43" s="491">
        <f>'Income Statement'!BM14</f>
        <v>-4747</v>
      </c>
      <c r="J43" s="489">
        <f>'Income Statement'!BN14</f>
        <v>-44583</v>
      </c>
      <c r="K43" s="491">
        <f>'Income Statement'!BO14</f>
        <v>-7527</v>
      </c>
      <c r="L43" s="491">
        <f>'Income Statement'!BP14</f>
        <v>-3367</v>
      </c>
      <c r="M43" s="491">
        <f>'Income Statement'!BQ14</f>
        <v>-3572</v>
      </c>
      <c r="N43" s="491">
        <f>'Income Statement'!BR14</f>
        <v>-3077</v>
      </c>
      <c r="O43" s="489">
        <f>'Income Statement'!BS14</f>
        <v>-17543</v>
      </c>
      <c r="P43" s="491">
        <f>'Income Statement'!BT14</f>
        <v>-2392</v>
      </c>
      <c r="Q43" s="491">
        <f>'Income Statement'!BU14</f>
        <v>-3635</v>
      </c>
      <c r="R43" s="491">
        <f>'Income Statement'!BV14</f>
        <v>-5883</v>
      </c>
      <c r="S43" s="491">
        <f>'Income Statement'!BW14</f>
        <v>-5809</v>
      </c>
      <c r="T43" s="489">
        <f>'Income Statement'!BX14</f>
        <v>-17719</v>
      </c>
      <c r="U43" s="491">
        <f>'Income Statement'!BY14</f>
        <v>-4728</v>
      </c>
      <c r="V43" s="491">
        <f>'Income Statement'!BZ14</f>
        <v>-3225</v>
      </c>
      <c r="W43" s="491">
        <f>'Income Statement'!CA14</f>
        <v>-1942</v>
      </c>
      <c r="X43" s="491">
        <f>'Income Statement'!CB14</f>
        <v>-5159</v>
      </c>
      <c r="Y43" s="489">
        <f>'Income Statement'!CC14</f>
        <v>-15054</v>
      </c>
      <c r="Z43" s="491">
        <f>'Income Statement'!CD14</f>
        <v>-4088</v>
      </c>
      <c r="AA43" s="491">
        <f>'Income Statement'!CE14</f>
        <v>-13753</v>
      </c>
      <c r="AB43" s="491">
        <f>'Income Statement'!CF14</f>
        <v>-8703</v>
      </c>
      <c r="AC43" s="491">
        <f>'Income Statement'!CG14</f>
        <v>-9231</v>
      </c>
      <c r="AD43" s="489">
        <f>'Income Statement'!CH14</f>
        <v>-35775</v>
      </c>
      <c r="AE43" s="491">
        <f>'Income Statement'!CI14</f>
        <v>-11970</v>
      </c>
      <c r="AF43" s="491">
        <f>'Income Statement'!CJ14</f>
        <v>-15357</v>
      </c>
      <c r="AG43" s="491">
        <f>'Income Statement'!CK14</f>
        <v>-21739</v>
      </c>
      <c r="AH43" s="491">
        <f>'Income Statement'!CL14</f>
        <v>-14474</v>
      </c>
      <c r="AI43" s="489">
        <f>'Income Statement'!CM14</f>
        <v>-63540</v>
      </c>
      <c r="AJ43" s="491">
        <f>'Income Statement'!CN14</f>
        <v>-16803</v>
      </c>
      <c r="AK43" s="491">
        <f>'Income Statement'!CO14</f>
        <v>-23176</v>
      </c>
      <c r="AL43" s="491">
        <f>'Income Statement'!CP14</f>
        <v>-22039</v>
      </c>
      <c r="AM43" s="491">
        <f>'Income Statement'!CQ14</f>
        <v>-13906</v>
      </c>
      <c r="AN43" s="489">
        <f>'Income Statement'!CR14</f>
        <v>-75924</v>
      </c>
      <c r="AO43" s="491">
        <f>'Income Statement'!CS14</f>
        <v>-10083</v>
      </c>
      <c r="AP43" s="491">
        <f>'Income Statement'!CT14</f>
        <v>-6876</v>
      </c>
      <c r="AQ43" s="491">
        <f>'Income Statement'!CU14</f>
        <v>-4125</v>
      </c>
      <c r="AR43" s="491">
        <f>'Income Statement'!CV14</f>
        <v>-6675</v>
      </c>
      <c r="AS43" s="489">
        <f>'Income Statement'!CW14</f>
        <v>-27759</v>
      </c>
      <c r="AT43" s="491">
        <f>'Income Statement'!CX14</f>
        <v>-11575</v>
      </c>
      <c r="AU43" s="491">
        <f>'Income Statement'!CY14</f>
        <v>-8162</v>
      </c>
      <c r="AV43" s="491">
        <f>'Income Statement'!CZ14</f>
        <v>-8696</v>
      </c>
      <c r="AW43" s="491">
        <f>'Income Statement'!DA14</f>
        <v>-7309</v>
      </c>
      <c r="AX43" s="489">
        <f>'Income Statement'!DB14</f>
        <v>-35742</v>
      </c>
      <c r="AY43" s="491">
        <f>'Income Statement'!DC14</f>
        <v>-10146</v>
      </c>
      <c r="AZ43" s="491">
        <f>'Income Statement'!DD14</f>
        <v>-4111</v>
      </c>
      <c r="BA43" s="491">
        <f>'Income Statement'!DE14</f>
        <v>-5322</v>
      </c>
      <c r="BB43" s="491">
        <f>'Income Statement'!DF14</f>
        <v>-2864</v>
      </c>
      <c r="BC43" s="489">
        <f>'Income Statement'!DG14</f>
        <v>-22443</v>
      </c>
      <c r="BD43" s="491">
        <f>'Income Statement'!DH14</f>
        <v>-7609</v>
      </c>
      <c r="BE43" s="491">
        <f>'Income Statement'!DI14</f>
        <v>-7245</v>
      </c>
      <c r="BF43" s="491">
        <f>'Income Statement'!DJ14</f>
        <v>-8240.1159675090003</v>
      </c>
      <c r="BG43" s="491">
        <f>'Income Statement'!DK14</f>
        <v>-9147.8293480042357</v>
      </c>
      <c r="BH43" s="489">
        <f>'Income Statement'!DL14</f>
        <v>-32241.945315513236</v>
      </c>
      <c r="BI43" s="491">
        <f>'Income Statement'!DM14</f>
        <v>-7188.5573155203192</v>
      </c>
      <c r="BJ43" s="491">
        <f>'Income Statement'!DN14</f>
        <v>-7501.7237911765733</v>
      </c>
      <c r="BK43" s="491">
        <f>'Income Statement'!DO14</f>
        <v>-7762.1742675429296</v>
      </c>
      <c r="BL43" s="491">
        <f>'Income Statement'!DP14</f>
        <v>-8448.6286065408713</v>
      </c>
      <c r="BM43" s="489">
        <f>'Income Statement'!DQ14</f>
        <v>-30901.083980780695</v>
      </c>
    </row>
    <row r="44" spans="2:65">
      <c r="B44" s="525" t="str">
        <f>'Income Statement'!A15</f>
        <v>Gross Profit</v>
      </c>
      <c r="C44" s="487">
        <f>'Income Statement'!AY15</f>
        <v>1759289</v>
      </c>
      <c r="D44" s="487">
        <f>'Income Statement'!BD15</f>
        <v>1868746</v>
      </c>
      <c r="E44" s="487">
        <f>'Income Statement'!BI15</f>
        <v>1503079</v>
      </c>
      <c r="F44" s="488">
        <f>'Income Statement'!BJ15</f>
        <v>282261</v>
      </c>
      <c r="G44" s="488">
        <f>'Income Statement'!BK15</f>
        <v>253930</v>
      </c>
      <c r="H44" s="488">
        <f>'Income Statement'!BL15</f>
        <v>261421</v>
      </c>
      <c r="I44" s="488">
        <f>'Income Statement'!BM15</f>
        <v>264911</v>
      </c>
      <c r="J44" s="487">
        <f>'Income Statement'!BN15</f>
        <v>1062523</v>
      </c>
      <c r="K44" s="488">
        <f>'Income Statement'!BO15</f>
        <v>215017</v>
      </c>
      <c r="L44" s="488">
        <f>'Income Statement'!BP15</f>
        <v>153589</v>
      </c>
      <c r="M44" s="488">
        <f>'Income Statement'!BQ15</f>
        <v>147332</v>
      </c>
      <c r="N44" s="488">
        <f>'Income Statement'!BR15</f>
        <v>218575</v>
      </c>
      <c r="O44" s="487">
        <f>'Income Statement'!BS15</f>
        <v>734513</v>
      </c>
      <c r="P44" s="488">
        <f>'Income Statement'!BT15</f>
        <v>124783</v>
      </c>
      <c r="Q44" s="488">
        <f>'Income Statement'!BU15</f>
        <v>171297</v>
      </c>
      <c r="R44" s="488">
        <f>'Income Statement'!BV15</f>
        <v>204776</v>
      </c>
      <c r="S44" s="488">
        <f>'Income Statement'!BW15</f>
        <v>314071</v>
      </c>
      <c r="T44" s="487">
        <f>'Income Statement'!BX15</f>
        <v>814927</v>
      </c>
      <c r="U44" s="488">
        <f>'Income Statement'!BY15</f>
        <v>248889</v>
      </c>
      <c r="V44" s="488">
        <f>'Income Statement'!BZ15</f>
        <v>292960</v>
      </c>
      <c r="W44" s="488">
        <f>'Income Statement'!CA15</f>
        <v>288927</v>
      </c>
      <c r="X44" s="488">
        <f>'Income Statement'!CB15</f>
        <v>384938</v>
      </c>
      <c r="Y44" s="487">
        <f>'Income Statement'!CC15</f>
        <v>1215714</v>
      </c>
      <c r="Z44" s="488">
        <f>'Income Statement'!CD15</f>
        <v>260855</v>
      </c>
      <c r="AA44" s="488">
        <f>'Income Statement'!CE15</f>
        <v>274871</v>
      </c>
      <c r="AB44" s="488">
        <f>'Income Statement'!CF15</f>
        <v>378581</v>
      </c>
      <c r="AC44" s="488">
        <f>'Income Statement'!CG15</f>
        <v>336076</v>
      </c>
      <c r="AD44" s="487">
        <f>'Income Statement'!CH15</f>
        <v>1250383</v>
      </c>
      <c r="AE44" s="488">
        <f>'Income Statement'!CI15</f>
        <v>346540</v>
      </c>
      <c r="AF44" s="488">
        <f>'Income Statement'!CJ15</f>
        <v>432284</v>
      </c>
      <c r="AG44" s="488">
        <f>'Income Statement'!CK15</f>
        <v>446896</v>
      </c>
      <c r="AH44" s="488">
        <f>'Income Statement'!CL15</f>
        <v>440100</v>
      </c>
      <c r="AI44" s="487">
        <f>'Income Statement'!CM15</f>
        <v>1665820</v>
      </c>
      <c r="AJ44" s="488">
        <f>'Income Statement'!CN15</f>
        <v>383550</v>
      </c>
      <c r="AK44" s="488">
        <f>'Income Statement'!CO15</f>
        <v>391331</v>
      </c>
      <c r="AL44" s="488">
        <f>'Income Statement'!CP15</f>
        <v>528384</v>
      </c>
      <c r="AM44" s="488">
        <f>'Income Statement'!CQ15</f>
        <v>430697</v>
      </c>
      <c r="AN44" s="487">
        <f>'Income Statement'!CR15</f>
        <v>1733962</v>
      </c>
      <c r="AO44" s="488">
        <f>'Income Statement'!CS15</f>
        <v>394467</v>
      </c>
      <c r="AP44" s="488">
        <f>'Income Statement'!CT15</f>
        <v>527088</v>
      </c>
      <c r="AQ44" s="488">
        <f>'Income Statement'!CU15</f>
        <v>545464</v>
      </c>
      <c r="AR44" s="488">
        <f>'Income Statement'!CV15</f>
        <v>576580</v>
      </c>
      <c r="AS44" s="487">
        <f>'Income Statement'!CW15</f>
        <v>2043599</v>
      </c>
      <c r="AT44" s="488">
        <f>'Income Statement'!CX15</f>
        <v>493522</v>
      </c>
      <c r="AU44" s="488">
        <f>'Income Statement'!CY15</f>
        <v>610027</v>
      </c>
      <c r="AV44" s="488">
        <f>'Income Statement'!CZ15</f>
        <v>676165</v>
      </c>
      <c r="AW44" s="488">
        <f>'Income Statement'!DA15</f>
        <v>800151</v>
      </c>
      <c r="AX44" s="487">
        <f>'Income Statement'!DB15</f>
        <v>2579865</v>
      </c>
      <c r="AY44" s="488">
        <f>'Income Statement'!DC15</f>
        <v>634339</v>
      </c>
      <c r="AZ44" s="488">
        <f>'Income Statement'!DD15</f>
        <v>689836</v>
      </c>
      <c r="BA44" s="488">
        <f>'Income Statement'!DE15</f>
        <v>702414</v>
      </c>
      <c r="BB44" s="488">
        <f>'Income Statement'!DF15</f>
        <v>1043380</v>
      </c>
      <c r="BC44" s="487">
        <f>'Income Statement'!DG15</f>
        <v>3069969</v>
      </c>
      <c r="BD44" s="488">
        <f>'Income Statement'!DH15</f>
        <v>665926</v>
      </c>
      <c r="BE44" s="488">
        <f>'Income Statement'!DI15</f>
        <v>852919</v>
      </c>
      <c r="BF44" s="488">
        <f>'Income Statement'!DJ15</f>
        <v>899544.57988008414</v>
      </c>
      <c r="BG44" s="488">
        <f>'Income Statement'!DK15</f>
        <v>1000413.3304128447</v>
      </c>
      <c r="BH44" s="487">
        <f>'Income Statement'!DL15</f>
        <v>3418802.9102929286</v>
      </c>
      <c r="BI44" s="488">
        <f>'Income Statement'!DM15</f>
        <v>935637.86460182583</v>
      </c>
      <c r="BJ44" s="488">
        <f>'Income Statement'!DN15</f>
        <v>975065.05857965909</v>
      </c>
      <c r="BK44" s="488">
        <f>'Income Statement'!DO15</f>
        <v>1007127.1493724806</v>
      </c>
      <c r="BL44" s="488">
        <f>'Income Statement'!DP15</f>
        <v>1093319.0932186227</v>
      </c>
      <c r="BM44" s="487">
        <f>'Income Statement'!DQ15</f>
        <v>4011149.165772588</v>
      </c>
    </row>
    <row r="45" spans="2:65" hidden="1" outlineLevel="1">
      <c r="B45" s="525" t="str">
        <f>'Income Statement'!A16</f>
        <v>Operating (Expenses) Income</v>
      </c>
      <c r="C45" s="487">
        <f>'Income Statement'!AY16</f>
        <v>-735399</v>
      </c>
      <c r="D45" s="487">
        <f>'Income Statement'!BD16</f>
        <v>-892339</v>
      </c>
      <c r="E45" s="487">
        <f>'Income Statement'!BI16</f>
        <v>-812675</v>
      </c>
      <c r="F45" s="488">
        <f>'Income Statement'!BJ16</f>
        <v>-175144</v>
      </c>
      <c r="G45" s="488">
        <f>'Income Statement'!BK16</f>
        <v>-182593</v>
      </c>
      <c r="H45" s="488">
        <f>'Income Statement'!BL16</f>
        <v>-199948</v>
      </c>
      <c r="I45" s="488">
        <f>'Income Statement'!BM16</f>
        <v>-186495</v>
      </c>
      <c r="J45" s="487">
        <f>'Income Statement'!BN16</f>
        <v>-744180</v>
      </c>
      <c r="K45" s="488">
        <f>'Income Statement'!BO16</f>
        <v>-165320</v>
      </c>
      <c r="L45" s="488">
        <f>'Income Statement'!BP16</f>
        <v>-273570</v>
      </c>
      <c r="M45" s="488">
        <f>'Income Statement'!BQ16</f>
        <v>-118881</v>
      </c>
      <c r="N45" s="488">
        <f>'Income Statement'!BR16</f>
        <v>-122112</v>
      </c>
      <c r="O45" s="487">
        <f>'Income Statement'!BS16</f>
        <v>-679883</v>
      </c>
      <c r="P45" s="488">
        <f>'Income Statement'!BT16</f>
        <v>-147683</v>
      </c>
      <c r="Q45" s="488">
        <f>'Income Statement'!BU16</f>
        <v>-176235</v>
      </c>
      <c r="R45" s="488">
        <f>'Income Statement'!BV16</f>
        <v>-283464</v>
      </c>
      <c r="S45" s="488">
        <f>'Income Statement'!BW16</f>
        <v>-132985</v>
      </c>
      <c r="T45" s="487">
        <f>'Income Statement'!BX16</f>
        <v>-740367</v>
      </c>
      <c r="U45" s="488">
        <f>'Income Statement'!BY16</f>
        <v>-169377</v>
      </c>
      <c r="V45" s="488">
        <f>'Income Statement'!BZ16</f>
        <v>-131465</v>
      </c>
      <c r="W45" s="488">
        <f>'Income Statement'!CA16</f>
        <v>-145997</v>
      </c>
      <c r="X45" s="488">
        <f>'Income Statement'!CB16</f>
        <v>-148384</v>
      </c>
      <c r="Y45" s="487">
        <f>'Income Statement'!CC16</f>
        <v>-595223</v>
      </c>
      <c r="Z45" s="488">
        <f>'Income Statement'!CD16</f>
        <v>-195770</v>
      </c>
      <c r="AA45" s="488">
        <f>'Income Statement'!CE16</f>
        <v>-165614</v>
      </c>
      <c r="AB45" s="488">
        <f>'Income Statement'!CF16</f>
        <v>1057582</v>
      </c>
      <c r="AC45" s="488">
        <f>'Income Statement'!CG16</f>
        <v>-32202</v>
      </c>
      <c r="AD45" s="487">
        <f>'Income Statement'!CH16</f>
        <v>663996</v>
      </c>
      <c r="AE45" s="488">
        <f>'Income Statement'!CI16</f>
        <v>-120500</v>
      </c>
      <c r="AF45" s="488">
        <f>'Income Statement'!CJ16</f>
        <v>-120885</v>
      </c>
      <c r="AG45" s="488">
        <f>'Income Statement'!CK16</f>
        <v>-154069</v>
      </c>
      <c r="AH45" s="488">
        <f>'Income Statement'!CL16</f>
        <v>-164432</v>
      </c>
      <c r="AI45" s="487">
        <f>'Income Statement'!CM16</f>
        <v>-559886</v>
      </c>
      <c r="AJ45" s="488">
        <f>'Income Statement'!CN16</f>
        <v>-186479</v>
      </c>
      <c r="AK45" s="488">
        <f>'Income Statement'!CO16</f>
        <v>-199209</v>
      </c>
      <c r="AL45" s="488">
        <f>'Income Statement'!CP16</f>
        <v>-186277</v>
      </c>
      <c r="AM45" s="488">
        <f>'Income Statement'!CQ16</f>
        <v>-180381</v>
      </c>
      <c r="AN45" s="487">
        <f>'Income Statement'!CR16</f>
        <v>-752346</v>
      </c>
      <c r="AO45" s="488">
        <f>'Income Statement'!CS16</f>
        <v>-171430</v>
      </c>
      <c r="AP45" s="488">
        <f>'Income Statement'!CT16</f>
        <v>-179239</v>
      </c>
      <c r="AQ45" s="488">
        <f>'Income Statement'!CU16</f>
        <v>-199818</v>
      </c>
      <c r="AR45" s="488">
        <f>'Income Statement'!CV16</f>
        <v>-230901</v>
      </c>
      <c r="AS45" s="487">
        <f>'Income Statement'!CW16</f>
        <v>-781388</v>
      </c>
      <c r="AT45" s="488">
        <f>'Income Statement'!CX16</f>
        <v>-141678</v>
      </c>
      <c r="AU45" s="488">
        <f>'Income Statement'!CY16</f>
        <v>-90783</v>
      </c>
      <c r="AV45" s="488">
        <f>'Income Statement'!CZ16</f>
        <v>-83457</v>
      </c>
      <c r="AW45" s="488">
        <f>'Income Statement'!DA16</f>
        <v>-157465</v>
      </c>
      <c r="AX45" s="487">
        <f>'Income Statement'!DB16</f>
        <v>-473383</v>
      </c>
      <c r="AY45" s="488">
        <f>'Income Statement'!DC16</f>
        <v>-196376</v>
      </c>
      <c r="AZ45" s="488">
        <f>'Income Statement'!DD16</f>
        <v>-161100</v>
      </c>
      <c r="BA45" s="488">
        <f>'Income Statement'!DE16</f>
        <v>36389</v>
      </c>
      <c r="BB45" s="488">
        <f>'Income Statement'!DF16</f>
        <v>-205022</v>
      </c>
      <c r="BC45" s="487">
        <f>'Income Statement'!DG16</f>
        <v>-526109</v>
      </c>
      <c r="BD45" s="488">
        <f>'Income Statement'!DH16</f>
        <v>-254645</v>
      </c>
      <c r="BE45" s="488">
        <f>'Income Statement'!DI16</f>
        <v>-279216</v>
      </c>
      <c r="BF45" s="488">
        <f ca="1">'Income Statement'!DJ16</f>
        <v>-213540.08107608603</v>
      </c>
      <c r="BG45" s="488">
        <f ca="1">'Income Statement'!DK16</f>
        <v>-223160.72020930849</v>
      </c>
      <c r="BH45" s="487">
        <f ca="1">'Income Statement'!DL16</f>
        <v>-970561.80128539447</v>
      </c>
      <c r="BI45" s="488">
        <f ca="1">'Income Statement'!DM16</f>
        <v>-238927.89396102689</v>
      </c>
      <c r="BJ45" s="488">
        <f ca="1">'Income Statement'!DN16</f>
        <v>-259298.35707088275</v>
      </c>
      <c r="BK45" s="488">
        <f ca="1">'Income Statement'!DO16</f>
        <v>-294762.22060241463</v>
      </c>
      <c r="BL45" s="488">
        <f ca="1">'Income Statement'!DP16</f>
        <v>-340987.67502834951</v>
      </c>
      <c r="BM45" s="487">
        <f ca="1">'Income Statement'!DQ16</f>
        <v>-1133976.1466626737</v>
      </c>
    </row>
    <row r="46" spans="2:65" hidden="1" collapsed="1">
      <c r="B46" s="523" t="str">
        <f>'Income Statement'!A17</f>
        <v>Selling Expenses</v>
      </c>
      <c r="C46" s="489">
        <f>'Income Statement'!AY17</f>
        <v>-431373</v>
      </c>
      <c r="D46" s="489">
        <f>'Income Statement'!BD17</f>
        <v>-466628</v>
      </c>
      <c r="E46" s="489">
        <f>'Income Statement'!BI17</f>
        <v>-459538</v>
      </c>
      <c r="F46" s="490">
        <f>'Income Statement'!BJ17</f>
        <v>-102376</v>
      </c>
      <c r="G46" s="490">
        <f>'Income Statement'!BK17</f>
        <v>-94828</v>
      </c>
      <c r="H46" s="495">
        <f>'Income Statement'!BL17</f>
        <v>-101971</v>
      </c>
      <c r="I46" s="495">
        <f>'Income Statement'!BM17</f>
        <v>-101404</v>
      </c>
      <c r="J46" s="489">
        <f>'Income Statement'!BN17</f>
        <v>-400579</v>
      </c>
      <c r="K46" s="495">
        <f>'Income Statement'!BO17</f>
        <v>-87376</v>
      </c>
      <c r="L46" s="495">
        <f>'Income Statement'!BP17</f>
        <v>-87704</v>
      </c>
      <c r="M46" s="495">
        <f>'Income Statement'!BQ17</f>
        <v>-88456</v>
      </c>
      <c r="N46" s="495">
        <f>'Income Statement'!BR17</f>
        <v>-79747</v>
      </c>
      <c r="O46" s="489">
        <f>'Income Statement'!BS17</f>
        <v>-343283</v>
      </c>
      <c r="P46" s="495">
        <f>'Income Statement'!BT17</f>
        <v>-73073</v>
      </c>
      <c r="Q46" s="495">
        <f>'Income Statement'!BU17</f>
        <v>-84139</v>
      </c>
      <c r="R46" s="495">
        <f>'Income Statement'!BV17</f>
        <v>-87973</v>
      </c>
      <c r="S46" s="495">
        <f>'Income Statement'!BW17</f>
        <v>-87610</v>
      </c>
      <c r="T46" s="489">
        <f>'Income Statement'!BX17</f>
        <v>-332795</v>
      </c>
      <c r="U46" s="495">
        <f>'Income Statement'!BY17</f>
        <v>-87514</v>
      </c>
      <c r="V46" s="495">
        <f>'Income Statement'!BZ17</f>
        <v>-98449</v>
      </c>
      <c r="W46" s="495">
        <f>'Income Statement'!CA17</f>
        <v>-95474</v>
      </c>
      <c r="X46" s="495">
        <f>'Income Statement'!CB17</f>
        <v>-100568</v>
      </c>
      <c r="Y46" s="489">
        <f>'Income Statement'!CC17</f>
        <v>-382005</v>
      </c>
      <c r="Z46" s="495">
        <f>'Income Statement'!CD17</f>
        <v>-90755</v>
      </c>
      <c r="AA46" s="495">
        <f>'Income Statement'!CE17</f>
        <v>-89321</v>
      </c>
      <c r="AB46" s="495">
        <f>'Income Statement'!CF17</f>
        <v>-71523</v>
      </c>
      <c r="AC46" s="495">
        <f>'Income Statement'!CG17</f>
        <v>-74719</v>
      </c>
      <c r="AD46" s="489">
        <f>'Income Statement'!CH17</f>
        <v>-326318</v>
      </c>
      <c r="AE46" s="495">
        <f>'Income Statement'!CI17</f>
        <v>-70578</v>
      </c>
      <c r="AF46" s="495">
        <f>'Income Statement'!CJ17</f>
        <v>-75141</v>
      </c>
      <c r="AG46" s="495">
        <f>'Income Statement'!CK17</f>
        <v>-94562</v>
      </c>
      <c r="AH46" s="495">
        <f>'Income Statement'!CL17</f>
        <v>-107565</v>
      </c>
      <c r="AI46" s="489">
        <f>'Income Statement'!CM17</f>
        <v>-347846</v>
      </c>
      <c r="AJ46" s="495">
        <f>'Income Statement'!CN17</f>
        <v>-97954</v>
      </c>
      <c r="AK46" s="495">
        <f>'Income Statement'!CO17</f>
        <v>-108144</v>
      </c>
      <c r="AL46" s="495">
        <f>'Income Statement'!CP17</f>
        <v>-152389</v>
      </c>
      <c r="AM46" s="495">
        <f>'Income Statement'!CQ17</f>
        <v>-156482</v>
      </c>
      <c r="AN46" s="489">
        <f>'Income Statement'!CR17</f>
        <v>-514969</v>
      </c>
      <c r="AO46" s="495">
        <f>'Income Statement'!CS17</f>
        <v>-142049</v>
      </c>
      <c r="AP46" s="495">
        <f>'Income Statement'!CT17</f>
        <v>-155437</v>
      </c>
      <c r="AQ46" s="495">
        <f>'Income Statement'!CU17</f>
        <v>-155053</v>
      </c>
      <c r="AR46" s="495">
        <f>'Income Statement'!CV17</f>
        <v>-176046</v>
      </c>
      <c r="AS46" s="489">
        <f>'Income Statement'!CW17</f>
        <v>-628585</v>
      </c>
      <c r="AT46" s="495">
        <f>'Income Statement'!CX17</f>
        <v>-153798</v>
      </c>
      <c r="AU46" s="495">
        <f>'Income Statement'!CY17</f>
        <v>-147794</v>
      </c>
      <c r="AV46" s="495">
        <f>'Income Statement'!CZ17</f>
        <v>-170109</v>
      </c>
      <c r="AW46" s="495">
        <f>'Income Statement'!DA17</f>
        <v>-187583</v>
      </c>
      <c r="AX46" s="489">
        <f>'Income Statement'!DB17</f>
        <v>-659284</v>
      </c>
      <c r="AY46" s="495">
        <f>'Income Statement'!DC17</f>
        <v>-200780</v>
      </c>
      <c r="AZ46" s="495">
        <f>'Income Statement'!DD17</f>
        <v>-225655</v>
      </c>
      <c r="BA46" s="495">
        <f>'Income Statement'!DE17</f>
        <v>-237709</v>
      </c>
      <c r="BB46" s="495">
        <f>'Income Statement'!DF17</f>
        <v>-274076</v>
      </c>
      <c r="BC46" s="489">
        <f>'Income Statement'!DG17</f>
        <v>-938220</v>
      </c>
      <c r="BD46" s="495">
        <f>'Income Statement'!DH17</f>
        <v>-276768</v>
      </c>
      <c r="BE46" s="495">
        <f>'Income Statement'!DI17</f>
        <v>-293787</v>
      </c>
      <c r="BF46" s="495">
        <f>'Income Statement'!DJ17</f>
        <v>-251393.75359824841</v>
      </c>
      <c r="BG46" s="495">
        <f>'Income Statement'!DK17</f>
        <v>-275226.67852542509</v>
      </c>
      <c r="BH46" s="489">
        <f>'Income Statement'!DL17</f>
        <v>-1097175.4321236734</v>
      </c>
      <c r="BI46" s="495">
        <f>'Income Statement'!DM17</f>
        <v>-247670.79250294928</v>
      </c>
      <c r="BJ46" s="495">
        <f>'Income Statement'!DN17</f>
        <v>-274528.42605882889</v>
      </c>
      <c r="BK46" s="495">
        <f>'Income Statement'!DO17</f>
        <v>-293758.67394652427</v>
      </c>
      <c r="BL46" s="495">
        <f>'Income Statement'!DP17</f>
        <v>-336125.42648397567</v>
      </c>
      <c r="BM46" s="489">
        <f>'Income Statement'!DQ17</f>
        <v>-1152083.3189922781</v>
      </c>
    </row>
    <row r="47" spans="2:65" hidden="1">
      <c r="B47" s="527" t="str">
        <f>'Income Statement'!A18</f>
        <v xml:space="preserve">  % of revenues</v>
      </c>
      <c r="C47" s="496">
        <f>'Income Statement'!AY18</f>
        <v>8.0302024504633571E-2</v>
      </c>
      <c r="D47" s="496">
        <f>'Income Statement'!BD18</f>
        <v>8.020520023712914E-2</v>
      </c>
      <c r="E47" s="496">
        <f>'Income Statement'!BI18</f>
        <v>0.10585545325883446</v>
      </c>
      <c r="F47" s="497">
        <f>'Income Statement'!BJ18</f>
        <v>0.1262800571353857</v>
      </c>
      <c r="G47" s="497">
        <f>'Income Statement'!BK18</f>
        <v>0.14792998176380937</v>
      </c>
      <c r="H47" s="497">
        <f>'Income Statement'!BL18</f>
        <v>0.12363013407985141</v>
      </c>
      <c r="I47" s="497">
        <f>'Income Statement'!BM18</f>
        <v>0.11037001885141343</v>
      </c>
      <c r="J47" s="496">
        <f>'Income Statement'!BN18</f>
        <v>0.12536467510194629</v>
      </c>
      <c r="K47" s="497">
        <f>'Income Statement'!BO18</f>
        <v>0.12619532140262599</v>
      </c>
      <c r="L47" s="497">
        <f>'Income Statement'!BP18</f>
        <v>0.15259344835025646</v>
      </c>
      <c r="M47" s="497">
        <f>'Income Statement'!BQ18</f>
        <v>0.1479625376572152</v>
      </c>
      <c r="N47" s="497">
        <f>'Income Statement'!BR18</f>
        <v>9.8599159248269036E-2</v>
      </c>
      <c r="O47" s="496">
        <f>'Income Statement'!BS18</f>
        <v>0.12838912845906716</v>
      </c>
      <c r="P47" s="497">
        <f>'Income Statement'!BT18</f>
        <v>0.1621603028702549</v>
      </c>
      <c r="Q47" s="497">
        <f>'Income Statement'!BU18</f>
        <v>0.13156195321942837</v>
      </c>
      <c r="R47" s="497">
        <f>'Income Statement'!BV18</f>
        <v>0.12137136550201773</v>
      </c>
      <c r="S47" s="497">
        <f>'Income Statement'!BW18</f>
        <v>8.1333418742242411E-2</v>
      </c>
      <c r="T47" s="496">
        <f>'Income Statement'!BX18</f>
        <v>0.11506809623405645</v>
      </c>
      <c r="U47" s="497">
        <f>'Income Statement'!BY18</f>
        <v>0.1059188900023722</v>
      </c>
      <c r="V47" s="497">
        <f>'Income Statement'!BZ18</f>
        <v>0.1051107063468507</v>
      </c>
      <c r="W47" s="497">
        <f>'Income Statement'!CA18</f>
        <v>0.1021375563113059</v>
      </c>
      <c r="X47" s="497">
        <f>'Income Statement'!CB18</f>
        <v>8.1550041112352686E-2</v>
      </c>
      <c r="Y47" s="496">
        <f>'Income Statement'!CC18</f>
        <v>9.718193874412559E-2</v>
      </c>
      <c r="Z47" s="497">
        <f>'Income Statement'!CD18</f>
        <v>0.11867199299121942</v>
      </c>
      <c r="AA47" s="497">
        <f>'Income Statement'!CE18</f>
        <v>0.10648563199206493</v>
      </c>
      <c r="AB47" s="497">
        <f>'Income Statement'!CF18</f>
        <v>6.1472123406643556E-2</v>
      </c>
      <c r="AC47" s="497">
        <f>'Income Statement'!CG18</f>
        <v>7.0714441195120339E-2</v>
      </c>
      <c r="AD47" s="496">
        <f>'Income Statement'!CH18</f>
        <v>8.5340989451044222E-2</v>
      </c>
      <c r="AE47" s="497">
        <f>'Income Statement'!CI18</f>
        <v>7.031558224705399E-2</v>
      </c>
      <c r="AF47" s="497">
        <f>'Income Statement'!CJ18</f>
        <v>6.3570044136346371E-2</v>
      </c>
      <c r="AG47" s="497">
        <f>'Income Statement'!CK18</f>
        <v>7.339838349999496E-2</v>
      </c>
      <c r="AH47" s="497">
        <f>'Income Statement'!CL18</f>
        <v>8.1690200745323877E-2</v>
      </c>
      <c r="AI47" s="496">
        <f>'Income Statement'!CM18</f>
        <v>7.2606580108302662E-2</v>
      </c>
      <c r="AJ47" s="497">
        <f>'Income Statement'!CN18</f>
        <v>7.953058169028264E-2</v>
      </c>
      <c r="AK47" s="497">
        <f>'Income Statement'!CO18</f>
        <v>8.6509455772136729E-2</v>
      </c>
      <c r="AL47" s="497">
        <f>'Income Statement'!CP18</f>
        <v>9.7707553775092271E-2</v>
      </c>
      <c r="AM47" s="497">
        <f>'Income Statement'!CQ18</f>
        <v>0.11414411969807049</v>
      </c>
      <c r="AN47" s="496">
        <f>'Income Statement'!CR18</f>
        <v>9.514799174841726E-2</v>
      </c>
      <c r="AO47" s="497">
        <f>'Income Statement'!CS18</f>
        <v>0.11067954054226734</v>
      </c>
      <c r="AP47" s="497">
        <f>'Income Statement'!CT18</f>
        <v>9.5181729947858465E-2</v>
      </c>
      <c r="AQ47" s="497">
        <f>'Income Statement'!CU18</f>
        <v>9.5359310990801277E-2</v>
      </c>
      <c r="AR47" s="497">
        <f>'Income Statement'!CV18</f>
        <v>0.10293697167224779</v>
      </c>
      <c r="AS47" s="496">
        <f>'Income Statement'!CW18</f>
        <v>0.10053018704402691</v>
      </c>
      <c r="AT47" s="497">
        <f>'Income Statement'!CX18</f>
        <v>9.7779213191337588E-2</v>
      </c>
      <c r="AU47" s="497">
        <f>'Income Statement'!CY18</f>
        <v>7.9593635912727792E-2</v>
      </c>
      <c r="AV47" s="497">
        <f>'Income Statement'!CZ18</f>
        <v>8.3811945994656217E-2</v>
      </c>
      <c r="AW47" s="497">
        <f>'Income Statement'!DA18</f>
        <v>7.4845517380616372E-2</v>
      </c>
      <c r="AX47" s="496">
        <f>'Income Statement'!DB18</f>
        <v>8.2765481148646541E-2</v>
      </c>
      <c r="AY47" s="497">
        <f>'Income Statement'!DC18</f>
        <v>0.10281941718934996</v>
      </c>
      <c r="AZ47" s="497">
        <f>'Income Statement'!DD18</f>
        <v>0.10709116191217438</v>
      </c>
      <c r="BA47" s="497">
        <f>'Income Statement'!DE18</f>
        <v>0.11168195011759753</v>
      </c>
      <c r="BB47" s="497">
        <f>'Income Statement'!DF18</f>
        <v>8.4717545331410307E-2</v>
      </c>
      <c r="BC47" s="496">
        <f>'Income Statement'!DG18</f>
        <v>9.956179735456934E-2</v>
      </c>
      <c r="BD47" s="497">
        <f>'Income Statement'!DH18</f>
        <v>0.136673328286502</v>
      </c>
      <c r="BE47" s="497">
        <f>'Income Statement'!DI18</f>
        <v>0.11842090943059917</v>
      </c>
      <c r="BF47" s="497">
        <f>'Income Statement'!DJ18</f>
        <v>9.2808604167703479E-2</v>
      </c>
      <c r="BG47" s="497">
        <f>'Income Statement'!DK18</f>
        <v>9.1436416378430224E-2</v>
      </c>
      <c r="BH47" s="496">
        <f>'Income Statement'!DL18</f>
        <v>0.10730667564998536</v>
      </c>
      <c r="BI47" s="497">
        <f>'Income Statement'!DM18</f>
        <v>8.7092405128604541E-2</v>
      </c>
      <c r="BJ47" s="497">
        <f>'Income Statement'!DN18</f>
        <v>9.2506762193974273E-2</v>
      </c>
      <c r="BK47" s="497">
        <f>'Income Statement'!DO18</f>
        <v>9.5665322601412292E-2</v>
      </c>
      <c r="BL47" s="497">
        <f>'Income Statement'!DP18</f>
        <v>0.10056859364785573</v>
      </c>
      <c r="BM47" s="496">
        <f>'Income Statement'!DQ18</f>
        <v>9.4244801548896917E-2</v>
      </c>
    </row>
    <row r="48" spans="2:65" hidden="1">
      <c r="B48" s="528" t="str">
        <f>'Income Statement'!A19</f>
        <v xml:space="preserve">  % of sales</v>
      </c>
      <c r="C48" s="496">
        <f>'Income Statement'!AY19</f>
        <v>6.2279645435638867E-2</v>
      </c>
      <c r="D48" s="496">
        <f>'Income Statement'!BD19</f>
        <v>6.8293549322515815E-2</v>
      </c>
      <c r="E48" s="496">
        <f>'Income Statement'!BI19</f>
        <v>8.4409736349300671E-2</v>
      </c>
      <c r="F48" s="497">
        <f>'Income Statement'!BJ19</f>
        <v>9.8680323215265112E-2</v>
      </c>
      <c r="G48" s="497">
        <f>'Income Statement'!BK19</f>
        <v>7.1794141874212611E-2</v>
      </c>
      <c r="H48" s="498">
        <f>'Income Statement'!BL19</f>
        <v>8.6664564594936155E-2</v>
      </c>
      <c r="I48" s="498">
        <f>'Income Statement'!BM19</f>
        <v>6.4998397538619315E-2</v>
      </c>
      <c r="J48" s="496">
        <f>'Income Statement'!BN19</f>
        <v>7.8621982335623161E-2</v>
      </c>
      <c r="K48" s="498">
        <f>'Income Statement'!BO19</f>
        <v>8.4339768339768334E-2</v>
      </c>
      <c r="L48" s="498">
        <f>'Income Statement'!BP19</f>
        <v>6.8199066874027992E-2</v>
      </c>
      <c r="M48" s="498">
        <f>'Income Statement'!BQ19</f>
        <v>7.3552131578290908E-2</v>
      </c>
      <c r="N48" s="498">
        <f>'Income Statement'!BR19</f>
        <v>5.157308682518362E-2</v>
      </c>
      <c r="O48" s="496">
        <f>'Income Statement'!BS19</f>
        <v>6.7696380992723015E-2</v>
      </c>
      <c r="P48" s="498">
        <f>'Income Statement'!BT19</f>
        <v>7.9161123701646213E-2</v>
      </c>
      <c r="Q48" s="498">
        <f>'Income Statement'!BU19</f>
        <v>5.90061959345973E-2</v>
      </c>
      <c r="R48" s="498">
        <f>'Income Statement'!BV19</f>
        <v>7.0547714514835602E-2</v>
      </c>
      <c r="S48" s="498">
        <f>'Income Statement'!BW19</f>
        <v>3.3347547238979813E-2</v>
      </c>
      <c r="T48" s="496">
        <f>'Income Statement'!BX19</f>
        <v>5.3476449470752377E-2</v>
      </c>
      <c r="U48" s="498">
        <f>'Income Statement'!BY19</f>
        <v>9.1062612900236886E-2</v>
      </c>
      <c r="V48" s="498">
        <f>'Income Statement'!BZ19</f>
        <v>6.4452290138505341E-2</v>
      </c>
      <c r="W48" s="498">
        <f>'Income Statement'!CA19</f>
        <v>7.2144800582998936E-2</v>
      </c>
      <c r="X48" s="498">
        <f>'Income Statement'!CB19</f>
        <v>6.4780390223341838E-2</v>
      </c>
      <c r="Y48" s="496">
        <f>'Income Statement'!CC19</f>
        <v>7.1212281689807352E-2</v>
      </c>
      <c r="Z48" s="498">
        <f>'Income Statement'!CD19</f>
        <v>8.8010055825779754E-2</v>
      </c>
      <c r="AA48" s="498">
        <f>'Income Statement'!CE19</f>
        <v>0.12347761338625632</v>
      </c>
      <c r="AB48" s="498">
        <f>'Income Statement'!CF19</f>
        <v>3.5413963255681642E-2</v>
      </c>
      <c r="AC48" s="498">
        <f>'Income Statement'!CG19</f>
        <v>3.6894723030356721E-2</v>
      </c>
      <c r="AD48" s="496">
        <f>'Income Statement'!CH19</f>
        <v>5.6267652210069664E-2</v>
      </c>
      <c r="AE48" s="498">
        <f>'Income Statement'!CI19</f>
        <v>6.0858218610588322E-2</v>
      </c>
      <c r="AF48" s="498">
        <f>'Income Statement'!CJ19</f>
        <v>4.3956119311585412E-2</v>
      </c>
      <c r="AG48" s="498">
        <f>'Income Statement'!CK19</f>
        <v>6.1736484168926672E-2</v>
      </c>
      <c r="AH48" s="498">
        <f>'Income Statement'!CL19</f>
        <v>6.1574257439794521E-2</v>
      </c>
      <c r="AI48" s="496">
        <f>'Income Statement'!CM19</f>
        <v>5.6580698923670222E-2</v>
      </c>
      <c r="AJ48" s="498">
        <f>'Income Statement'!CN19</f>
        <v>6.4533116115649242E-2</v>
      </c>
      <c r="AK48" s="498">
        <f>'Income Statement'!CO19</f>
        <v>5.8591106538012208E-2</v>
      </c>
      <c r="AL48" s="498">
        <f>'Income Statement'!CP19</f>
        <v>6.0797101074128036E-2</v>
      </c>
      <c r="AM48" s="498">
        <f>'Income Statement'!CQ19</f>
        <v>5.4650233660938949E-2</v>
      </c>
      <c r="AN48" s="496">
        <f>'Income Statement'!CR19</f>
        <v>5.8964911688663982E-2</v>
      </c>
      <c r="AO48" s="498">
        <f>'Income Statement'!CS19</f>
        <v>7.669804012402226E-2</v>
      </c>
      <c r="AP48" s="498">
        <f>'Income Statement'!CT19</f>
        <v>5.5557770555058311E-2</v>
      </c>
      <c r="AQ48" s="498">
        <f>'Income Statement'!CU19</f>
        <v>6.1394979213641503E-2</v>
      </c>
      <c r="AR48" s="498">
        <f>'Income Statement'!CV19</f>
        <v>6.0376690793789031E-2</v>
      </c>
      <c r="AS48" s="496">
        <f>'Income Statement'!CW19</f>
        <v>6.2291007771347114E-2</v>
      </c>
      <c r="AT48" s="498">
        <f>'Income Statement'!CX19</f>
        <v>6.1907985625944337E-2</v>
      </c>
      <c r="AU48" s="498">
        <f>'Income Statement'!CY19</f>
        <v>5.5081060643726636E-2</v>
      </c>
      <c r="AV48" s="498">
        <f>'Income Statement'!CZ19</f>
        <v>4.8363363992246979E-2</v>
      </c>
      <c r="AW48" s="498">
        <f>'Income Statement'!DA19</f>
        <v>3.5933756295022407E-2</v>
      </c>
      <c r="AX48" s="496">
        <f>'Income Statement'!DB19</f>
        <v>4.7413227647512775E-2</v>
      </c>
      <c r="AY48" s="498">
        <f>'Income Statement'!DC19</f>
        <v>5.9520182623485074E-2</v>
      </c>
      <c r="AZ48" s="498">
        <f>'Income Statement'!DD19</f>
        <v>6.0807255921357793E-2</v>
      </c>
      <c r="BA48" s="498">
        <f>'Income Statement'!DE19</f>
        <v>5.8448986926054963E-2</v>
      </c>
      <c r="BB48" s="498">
        <f>'Income Statement'!DF19</f>
        <v>7.5194781194978855E-2</v>
      </c>
      <c r="BC48" s="496">
        <f>'Income Statement'!DG19</f>
        <v>6.3409839635585039E-2</v>
      </c>
      <c r="BD48" s="498">
        <f>'Income Statement'!DH19</f>
        <v>8.4225478042944557E-2</v>
      </c>
      <c r="BE48" s="498">
        <f>'Income Statement'!DI19</f>
        <v>7.494829636502448E-2</v>
      </c>
      <c r="BF48" s="498">
        <f>'Income Statement'!DJ19</f>
        <v>5.7500000000000002E-2</v>
      </c>
      <c r="BG48" s="498">
        <f>'Income Statement'!DK19</f>
        <v>5.5E-2</v>
      </c>
      <c r="BH48" s="496">
        <f>'Income Statement'!DL19</f>
        <v>6.6166311165020711E-2</v>
      </c>
      <c r="BI48" s="498">
        <f>'Income Statement'!DM19</f>
        <v>6.5000000000000002E-2</v>
      </c>
      <c r="BJ48" s="498">
        <f>'Income Statement'!DN19</f>
        <v>6.5000000000000002E-2</v>
      </c>
      <c r="BK48" s="498">
        <f>'Income Statement'!DO19</f>
        <v>6.5000000000000002E-2</v>
      </c>
      <c r="BL48" s="498">
        <f>'Income Statement'!DP19</f>
        <v>6.5000000000000002E-2</v>
      </c>
      <c r="BM48" s="496">
        <f>'Income Statement'!DQ19</f>
        <v>6.5000000000000002E-2</v>
      </c>
    </row>
    <row r="49" spans="2:65" hidden="1">
      <c r="B49" s="523" t="str">
        <f>'Income Statement'!A20</f>
        <v>G&amp;A Expenses</v>
      </c>
      <c r="C49" s="489">
        <f>'Income Statement'!AY20</f>
        <v>-381496</v>
      </c>
      <c r="D49" s="489">
        <f>'Income Statement'!BD20</f>
        <v>-445713</v>
      </c>
      <c r="E49" s="489">
        <f>'Income Statement'!BI20</f>
        <v>-390804</v>
      </c>
      <c r="F49" s="490">
        <f>'Income Statement'!BJ20</f>
        <v>-88100</v>
      </c>
      <c r="G49" s="490">
        <f>'Income Statement'!BK20</f>
        <v>-107828</v>
      </c>
      <c r="H49" s="499">
        <f>'Income Statement'!BL20</f>
        <v>-102140</v>
      </c>
      <c r="I49" s="499">
        <f>'Income Statement'!BM20</f>
        <v>-83590</v>
      </c>
      <c r="J49" s="489">
        <f>'Income Statement'!BN20</f>
        <v>-381658</v>
      </c>
      <c r="K49" s="499">
        <f>'Income Statement'!BO20</f>
        <v>-78168</v>
      </c>
      <c r="L49" s="499">
        <f>'Income Statement'!BP20</f>
        <v>-75678</v>
      </c>
      <c r="M49" s="499">
        <f>'Income Statement'!BQ20</f>
        <v>-83500</v>
      </c>
      <c r="N49" s="499">
        <f>'Income Statement'!BR20</f>
        <v>-93350</v>
      </c>
      <c r="O49" s="489">
        <f>'Income Statement'!BS20</f>
        <v>-330696</v>
      </c>
      <c r="P49" s="499">
        <f>'Income Statement'!BT20</f>
        <v>-82847</v>
      </c>
      <c r="Q49" s="499">
        <f>'Income Statement'!BU20</f>
        <v>-74523</v>
      </c>
      <c r="R49" s="499">
        <f>'Income Statement'!BV20</f>
        <v>-84406</v>
      </c>
      <c r="S49" s="499">
        <f>'Income Statement'!BW20</f>
        <v>-66853</v>
      </c>
      <c r="T49" s="489">
        <f>'Income Statement'!BX20</f>
        <v>-308629</v>
      </c>
      <c r="U49" s="499">
        <f>'Income Statement'!BY20</f>
        <v>-55073</v>
      </c>
      <c r="V49" s="499">
        <f>'Income Statement'!BZ20</f>
        <v>-103651</v>
      </c>
      <c r="W49" s="499">
        <f>'Income Statement'!CA20</f>
        <v>-73044</v>
      </c>
      <c r="X49" s="499">
        <f>'Income Statement'!CB20</f>
        <v>-86909</v>
      </c>
      <c r="Y49" s="489">
        <f>'Income Statement'!CC20</f>
        <v>-318677</v>
      </c>
      <c r="Z49" s="499">
        <f>'Income Statement'!CD20</f>
        <v>-78603</v>
      </c>
      <c r="AA49" s="499">
        <f>'Income Statement'!CE20</f>
        <v>-83473</v>
      </c>
      <c r="AB49" s="499">
        <f>'Income Statement'!CF20</f>
        <v>-84062</v>
      </c>
      <c r="AC49" s="499">
        <f>'Income Statement'!CG20</f>
        <v>-93376</v>
      </c>
      <c r="AD49" s="489">
        <f>'Income Statement'!CH20</f>
        <v>-339514</v>
      </c>
      <c r="AE49" s="499">
        <f>'Income Statement'!CI20</f>
        <v>-108655</v>
      </c>
      <c r="AF49" s="499">
        <f>'Income Statement'!CJ20</f>
        <v>-114704</v>
      </c>
      <c r="AG49" s="499">
        <f>'Income Statement'!CK20</f>
        <v>-111352</v>
      </c>
      <c r="AH49" s="499">
        <f>'Income Statement'!CL20</f>
        <v>-126719</v>
      </c>
      <c r="AI49" s="489">
        <f>'Income Statement'!CM20</f>
        <v>-461430</v>
      </c>
      <c r="AJ49" s="499">
        <f>'Income Statement'!CN20</f>
        <v>-127709</v>
      </c>
      <c r="AK49" s="499">
        <f>'Income Statement'!CO20</f>
        <v>-133495</v>
      </c>
      <c r="AL49" s="499">
        <f>'Income Statement'!CP20</f>
        <v>-128406</v>
      </c>
      <c r="AM49" s="499">
        <f>'Income Statement'!CQ20</f>
        <v>-121721</v>
      </c>
      <c r="AN49" s="489">
        <f>'Income Statement'!CR20</f>
        <v>-511331</v>
      </c>
      <c r="AO49" s="499">
        <f>'Income Statement'!CS20</f>
        <v>-84481</v>
      </c>
      <c r="AP49" s="499">
        <f>'Income Statement'!CT20</f>
        <v>-102537</v>
      </c>
      <c r="AQ49" s="499">
        <f>'Income Statement'!CU20</f>
        <v>-108251</v>
      </c>
      <c r="AR49" s="499">
        <f>'Income Statement'!CV20</f>
        <v>-155290</v>
      </c>
      <c r="AS49" s="489">
        <f>'Income Statement'!CW20</f>
        <v>-450559</v>
      </c>
      <c r="AT49" s="499">
        <f>'Income Statement'!CX20</f>
        <v>-83238</v>
      </c>
      <c r="AU49" s="499">
        <f>'Income Statement'!CY20</f>
        <v>-93659</v>
      </c>
      <c r="AV49" s="499">
        <f>'Income Statement'!CZ20</f>
        <v>-85049</v>
      </c>
      <c r="AW49" s="499">
        <f>'Income Statement'!DA20</f>
        <v>-100431</v>
      </c>
      <c r="AX49" s="489">
        <f>'Income Statement'!DB20</f>
        <v>-362377</v>
      </c>
      <c r="AY49" s="499">
        <f>'Income Statement'!DC20</f>
        <v>-96435</v>
      </c>
      <c r="AZ49" s="499">
        <f>'Income Statement'!DD20</f>
        <v>-103144</v>
      </c>
      <c r="BA49" s="499">
        <f>'Income Statement'!DE20</f>
        <v>-103084</v>
      </c>
      <c r="BB49" s="499">
        <f>'Income Statement'!DF20</f>
        <v>-89683</v>
      </c>
      <c r="BC49" s="489">
        <f>'Income Statement'!DG20</f>
        <v>-392346</v>
      </c>
      <c r="BD49" s="499">
        <f>'Income Statement'!DH20</f>
        <v>-79262</v>
      </c>
      <c r="BE49" s="499">
        <f>'Income Statement'!DI20</f>
        <v>-93166</v>
      </c>
      <c r="BF49" s="499">
        <f>'Income Statement'!DJ20</f>
        <v>-94196.880904843681</v>
      </c>
      <c r="BG49" s="499">
        <f>'Income Statement'!DK20</f>
        <v>-93718.735000000001</v>
      </c>
      <c r="BH49" s="489">
        <f>'Income Statement'!DL20</f>
        <v>-360343.61590484367</v>
      </c>
      <c r="BI49" s="499">
        <f>'Income Statement'!DM20</f>
        <v>-94196.880904843681</v>
      </c>
      <c r="BJ49" s="499">
        <f>'Income Statement'!DN20</f>
        <v>-95239.168497105216</v>
      </c>
      <c r="BK49" s="499">
        <f>'Income Statement'!DO20</f>
        <v>-96292.988991672508</v>
      </c>
      <c r="BL49" s="499">
        <f>'Income Statement'!DP20</f>
        <v>-97936.078074999998</v>
      </c>
      <c r="BM49" s="489">
        <f>'Income Statement'!DQ20</f>
        <v>-383665.11646862142</v>
      </c>
    </row>
    <row r="50" spans="2:65" hidden="1">
      <c r="B50" s="527" t="str">
        <f>'Income Statement'!A21</f>
        <v xml:space="preserve">  % of revenues</v>
      </c>
      <c r="C50" s="496">
        <f>'Income Statement'!AY21</f>
        <v>7.1017196580267394E-2</v>
      </c>
      <c r="D50" s="496">
        <f>'Income Statement'!BD21</f>
        <v>7.6610277165732737E-2</v>
      </c>
      <c r="E50" s="496">
        <f>'Income Statement'!BI21</f>
        <v>9.0022445489525441E-2</v>
      </c>
      <c r="F50" s="497">
        <f>'Income Statement'!BJ21</f>
        <v>0.10867071416765141</v>
      </c>
      <c r="G50" s="497">
        <f>'Income Statement'!BK21</f>
        <v>0.16820974895208202</v>
      </c>
      <c r="H50" s="497">
        <f>'Income Statement'!BL21</f>
        <v>0.12383503049804379</v>
      </c>
      <c r="I50" s="497">
        <f>'Income Statement'!BM21</f>
        <v>9.0980926549146468E-2</v>
      </c>
      <c r="J50" s="496">
        <f>'Income Statement'!BN21</f>
        <v>0.11944318391642751</v>
      </c>
      <c r="K50" s="497">
        <f>'Income Statement'!BO21</f>
        <v>0.11289640042346261</v>
      </c>
      <c r="L50" s="497">
        <f>'Income Statement'!BP21</f>
        <v>0.13166978683128144</v>
      </c>
      <c r="M50" s="497">
        <f>'Income Statement'!BQ21</f>
        <v>0.13967251395470595</v>
      </c>
      <c r="N50" s="497">
        <f>'Income Statement'!BR21</f>
        <v>0.11541790306627102</v>
      </c>
      <c r="O50" s="496">
        <f>'Income Statement'!BS21</f>
        <v>0.12368154328906375</v>
      </c>
      <c r="P50" s="497">
        <f>'Income Statement'!BT21</f>
        <v>0.18385032244320074</v>
      </c>
      <c r="Q50" s="497">
        <f>'Income Statement'!BU21</f>
        <v>0.11652612272277375</v>
      </c>
      <c r="R50" s="497">
        <f>'Income Statement'!BV21</f>
        <v>0.11645017762908288</v>
      </c>
      <c r="S50" s="497">
        <f>'Income Statement'!BW21</f>
        <v>6.2063497810468347E-2</v>
      </c>
      <c r="T50" s="496">
        <f>'Income Statement'!BX21</f>
        <v>0.10671239493568295</v>
      </c>
      <c r="U50" s="497">
        <f>'Income Statement'!BY21</f>
        <v>6.6655289771929568E-2</v>
      </c>
      <c r="V50" s="497">
        <f>'Income Statement'!BZ21</f>
        <v>0.1106647078543959</v>
      </c>
      <c r="W50" s="497">
        <f>'Income Statement'!CA21</f>
        <v>7.8142066564750909E-2</v>
      </c>
      <c r="X50" s="497">
        <f>'Income Statement'!CB21</f>
        <v>7.0474032724459665E-2</v>
      </c>
      <c r="Y50" s="496">
        <f>'Income Statement'!CC21</f>
        <v>8.1071317635009257E-2</v>
      </c>
      <c r="Z50" s="497">
        <f>'Income Statement'!CD21</f>
        <v>0.10278193669868128</v>
      </c>
      <c r="AA50" s="497">
        <f>'Income Statement'!CE21</f>
        <v>9.9513833916700836E-2</v>
      </c>
      <c r="AB50" s="497">
        <f>'Income Statement'!CF21</f>
        <v>7.2249061669802314E-2</v>
      </c>
      <c r="AC50" s="497">
        <f>'Income Statement'!CG21</f>
        <v>8.837152077832354E-2</v>
      </c>
      <c r="AD50" s="496">
        <f>'Income Statement'!CH21</f>
        <v>8.8792100627246517E-2</v>
      </c>
      <c r="AE50" s="497">
        <f>'Income Statement'!CI21</f>
        <v>0.10825100724097668</v>
      </c>
      <c r="AF50" s="497">
        <f>'Income Statement'!CJ21</f>
        <v>9.7040741307880832E-2</v>
      </c>
      <c r="AG50" s="497">
        <f>'Income Statement'!CK21</f>
        <v>8.6430667704695735E-2</v>
      </c>
      <c r="AH50" s="497">
        <f>'Income Statement'!CL21</f>
        <v>9.6236699188831834E-2</v>
      </c>
      <c r="AI50" s="496">
        <f>'Income Statement'!CM21</f>
        <v>9.6315191950961346E-2</v>
      </c>
      <c r="AJ50" s="497">
        <f>'Income Statement'!CN21</f>
        <v>0.10368919142744866</v>
      </c>
      <c r="AK50" s="497">
        <f>'Income Statement'!CO21</f>
        <v>0.10678890921642803</v>
      </c>
      <c r="AL50" s="497">
        <f>'Income Statement'!CP21</f>
        <v>8.2330326664290063E-2</v>
      </c>
      <c r="AM50" s="497">
        <f>'Income Statement'!CQ21</f>
        <v>8.8788080378374754E-2</v>
      </c>
      <c r="AN50" s="496">
        <f>'Income Statement'!CR21</f>
        <v>9.4475818483656188E-2</v>
      </c>
      <c r="AO50" s="497">
        <f>'Income Statement'!CS21</f>
        <v>6.5824597600484952E-2</v>
      </c>
      <c r="AP50" s="497">
        <f>'Income Statement'!CT21</f>
        <v>6.2788454767291974E-2</v>
      </c>
      <c r="AQ50" s="497">
        <f>'Income Statement'!CU21</f>
        <v>6.6575563027256673E-2</v>
      </c>
      <c r="AR50" s="497">
        <f>'Income Statement'!CV21</f>
        <v>9.0800599451185252E-2</v>
      </c>
      <c r="AS50" s="496">
        <f>'Income Statement'!CW21</f>
        <v>7.2058322334083255E-2</v>
      </c>
      <c r="AT50" s="497">
        <f>'Income Statement'!CX21</f>
        <v>5.2919713829962405E-2</v>
      </c>
      <c r="AU50" s="497">
        <f>'Income Statement'!CY21</f>
        <v>5.043953303889314E-2</v>
      </c>
      <c r="AV50" s="497">
        <f>'Income Statement'!CZ21</f>
        <v>4.1903263171845798E-2</v>
      </c>
      <c r="AW50" s="497">
        <f>'Income Statement'!DA21</f>
        <v>4.0071915664280248E-2</v>
      </c>
      <c r="AX50" s="496">
        <f>'Income Statement'!DB21</f>
        <v>4.5492241222603751E-2</v>
      </c>
      <c r="AY50" s="497">
        <f>'Income Statement'!DC21</f>
        <v>4.9384353504606848E-2</v>
      </c>
      <c r="AZ50" s="497">
        <f>'Income Statement'!DD21</f>
        <v>4.8949993593181244E-2</v>
      </c>
      <c r="BA50" s="497">
        <f>'Income Statement'!DE21</f>
        <v>4.843157871987356E-2</v>
      </c>
      <c r="BB50" s="497">
        <f>'Income Statement'!DF21</f>
        <v>2.7721229213637351E-2</v>
      </c>
      <c r="BC50" s="496">
        <f>'Income Statement'!DG21</f>
        <v>4.1634875556773317E-2</v>
      </c>
      <c r="BD50" s="497">
        <f>'Income Statement'!DH21</f>
        <v>3.9141090540252922E-2</v>
      </c>
      <c r="BE50" s="497">
        <f>'Income Statement'!DI21</f>
        <v>3.7553746244766456E-2</v>
      </c>
      <c r="BF50" s="497">
        <f>'Income Statement'!DJ21</f>
        <v>3.4775251606692488E-2</v>
      </c>
      <c r="BG50" s="497">
        <f>'Income Statement'!DK21</f>
        <v>3.113544559644911E-2</v>
      </c>
      <c r="BH50" s="496">
        <f>'Income Statement'!DL21</f>
        <v>3.5242564117208011E-2</v>
      </c>
      <c r="BI50" s="497">
        <f>'Income Statement'!DM21</f>
        <v>3.3123941788646187E-2</v>
      </c>
      <c r="BJ50" s="497">
        <f>'Income Statement'!DN21</f>
        <v>3.2092367403241513E-2</v>
      </c>
      <c r="BK50" s="497">
        <f>'Income Statement'!DO21</f>
        <v>3.1358733113765087E-2</v>
      </c>
      <c r="BL50" s="497">
        <f>'Income Statement'!DP21</f>
        <v>2.9302435529550454E-2</v>
      </c>
      <c r="BM50" s="496">
        <f>'Income Statement'!DQ21</f>
        <v>3.138526716491935E-2</v>
      </c>
    </row>
    <row r="51" spans="2:65" hidden="1" outlineLevel="1">
      <c r="B51" s="523" t="str">
        <f>'Income Statement'!A22</f>
        <v>Net Financial Result</v>
      </c>
      <c r="C51" s="489">
        <f>'Income Statement'!AY22</f>
        <v>27878</v>
      </c>
      <c r="D51" s="489">
        <f>'Income Statement'!BD22</f>
        <v>16144</v>
      </c>
      <c r="E51" s="489">
        <f>'Income Statement'!BI22</f>
        <v>17597</v>
      </c>
      <c r="F51" s="500">
        <f>'Income Statement'!BJ22</f>
        <v>20257</v>
      </c>
      <c r="G51" s="500">
        <f>'Income Statement'!BK22</f>
        <v>25931</v>
      </c>
      <c r="H51" s="500">
        <f>'Income Statement'!BL22</f>
        <v>18196</v>
      </c>
      <c r="I51" s="500">
        <f>'Income Statement'!BM22</f>
        <v>14759</v>
      </c>
      <c r="J51" s="489">
        <f>'Income Statement'!BN22</f>
        <v>79143</v>
      </c>
      <c r="K51" s="500">
        <f>'Income Statement'!BO22</f>
        <v>12967</v>
      </c>
      <c r="L51" s="500">
        <f>'Income Statement'!BP22</f>
        <v>5208</v>
      </c>
      <c r="M51" s="500">
        <f>'Income Statement'!BQ22</f>
        <v>11674</v>
      </c>
      <c r="N51" s="500">
        <f>'Income Statement'!BR22</f>
        <v>7963</v>
      </c>
      <c r="O51" s="489">
        <f>'Income Statement'!BS22</f>
        <v>37812</v>
      </c>
      <c r="P51" s="500">
        <f>'Income Statement'!BT22</f>
        <v>2760</v>
      </c>
      <c r="Q51" s="500">
        <f>'Income Statement'!BU22</f>
        <v>4473</v>
      </c>
      <c r="R51" s="500">
        <f>'Income Statement'!BV22</f>
        <v>-769</v>
      </c>
      <c r="S51" s="500">
        <f>'Income Statement'!BW22</f>
        <v>15654</v>
      </c>
      <c r="T51" s="489">
        <f>'Income Statement'!BX22</f>
        <v>22118</v>
      </c>
      <c r="U51" s="500">
        <f>'Income Statement'!BY22</f>
        <v>1872</v>
      </c>
      <c r="V51" s="500">
        <f>'Income Statement'!BZ22</f>
        <v>17872</v>
      </c>
      <c r="W51" s="500">
        <f>'Income Statement'!CA22</f>
        <v>9055</v>
      </c>
      <c r="X51" s="500">
        <f>'Income Statement'!CB22</f>
        <v>1794</v>
      </c>
      <c r="Y51" s="489">
        <f>'Income Statement'!CC22</f>
        <v>30593</v>
      </c>
      <c r="Z51" s="500">
        <f>'Income Statement'!CD22</f>
        <v>3251</v>
      </c>
      <c r="AA51" s="500">
        <f>'Income Statement'!CE22</f>
        <v>6501</v>
      </c>
      <c r="AB51" s="500">
        <f>'Income Statement'!CF22</f>
        <v>24471</v>
      </c>
      <c r="AC51" s="500">
        <f>'Income Statement'!CG22</f>
        <v>50278</v>
      </c>
      <c r="AD51" s="489">
        <f>'Income Statement'!CH22</f>
        <v>84501</v>
      </c>
      <c r="AE51" s="500">
        <f>'Income Statement'!CI22</f>
        <v>10887</v>
      </c>
      <c r="AF51" s="500">
        <f>'Income Statement'!CJ22</f>
        <v>9293</v>
      </c>
      <c r="AG51" s="500">
        <f>'Income Statement'!CK22</f>
        <v>8859</v>
      </c>
      <c r="AH51" s="500">
        <f>'Income Statement'!CL22</f>
        <v>13958</v>
      </c>
      <c r="AI51" s="489">
        <f>'Income Statement'!CM22</f>
        <v>42997</v>
      </c>
      <c r="AJ51" s="500">
        <f>'Income Statement'!CN22</f>
        <v>9333</v>
      </c>
      <c r="AK51" s="500">
        <f>'Income Statement'!CO22</f>
        <v>25501</v>
      </c>
      <c r="AL51" s="500">
        <f>'Income Statement'!CP22</f>
        <v>7027</v>
      </c>
      <c r="AM51" s="500">
        <f>'Income Statement'!CQ22</f>
        <v>26466</v>
      </c>
      <c r="AN51" s="489">
        <f>'Income Statement'!CR22</f>
        <v>68327</v>
      </c>
      <c r="AO51" s="500">
        <f>'Income Statement'!CS22</f>
        <v>45587</v>
      </c>
      <c r="AP51" s="500">
        <f>'Income Statement'!CT22</f>
        <v>29183</v>
      </c>
      <c r="AQ51" s="500">
        <f>'Income Statement'!CU22</f>
        <v>28081</v>
      </c>
      <c r="AR51" s="500">
        <f>'Income Statement'!CV22</f>
        <v>33921</v>
      </c>
      <c r="AS51" s="489">
        <f>'Income Statement'!CW22</f>
        <v>136772</v>
      </c>
      <c r="AT51" s="500">
        <f>'Income Statement'!CX22</f>
        <v>13135</v>
      </c>
      <c r="AU51" s="500">
        <f>'Income Statement'!CY22</f>
        <v>44695</v>
      </c>
      <c r="AV51" s="500">
        <f>'Income Statement'!CZ22</f>
        <v>39210</v>
      </c>
      <c r="AW51" s="500">
        <f>'Income Statement'!DA22</f>
        <v>16645</v>
      </c>
      <c r="AX51" s="489">
        <f>'Income Statement'!DB22</f>
        <v>113685</v>
      </c>
      <c r="AY51" s="500">
        <f>'Income Statement'!DC22</f>
        <v>59001</v>
      </c>
      <c r="AZ51" s="500">
        <f>'Income Statement'!DD22</f>
        <v>66436</v>
      </c>
      <c r="BA51" s="500">
        <f>'Income Statement'!DE22</f>
        <v>56503</v>
      </c>
      <c r="BB51" s="500">
        <f>'Income Statement'!DF22</f>
        <v>65739</v>
      </c>
      <c r="BC51" s="489">
        <f>'Income Statement'!DG22</f>
        <v>247679</v>
      </c>
      <c r="BD51" s="500">
        <f>'Income Statement'!DH22</f>
        <v>37699</v>
      </c>
      <c r="BE51" s="500">
        <f>'Income Statement'!DI22</f>
        <v>69311</v>
      </c>
      <c r="BF51" s="500">
        <f ca="1">'Income Statement'!DJ22</f>
        <v>49433.594602421043</v>
      </c>
      <c r="BG51" s="500">
        <f ca="1">'Income Statement'!DK22</f>
        <v>52198.18096926884</v>
      </c>
      <c r="BH51" s="489">
        <f ca="1">'Income Statement'!DL22</f>
        <v>208641.77557168988</v>
      </c>
      <c r="BI51" s="500">
        <f ca="1">'Income Statement'!DM22</f>
        <v>27900.044596645093</v>
      </c>
      <c r="BJ51" s="500">
        <f ca="1">'Income Statement'!DN22</f>
        <v>25908.02369855492</v>
      </c>
      <c r="BK51" s="500">
        <f ca="1">'Income Statement'!DO22</f>
        <v>5388.93713694506</v>
      </c>
      <c r="BL51" s="500">
        <f ca="1">'Income Statement'!DP22</f>
        <v>-171.38227001210362</v>
      </c>
      <c r="BM51" s="489">
        <f ca="1">'Income Statement'!DQ22</f>
        <v>59025.623162132972</v>
      </c>
    </row>
    <row r="52" spans="2:65" hidden="1" outlineLevel="1">
      <c r="B52" s="523" t="str">
        <f>'Income Statement'!A23</f>
        <v xml:space="preserve">  Financial Income</v>
      </c>
      <c r="C52" s="489">
        <f>'Income Statement'!AY23</f>
        <v>144550</v>
      </c>
      <c r="D52" s="489">
        <f>'Income Statement'!BD23</f>
        <v>223322</v>
      </c>
      <c r="E52" s="489">
        <f>'Income Statement'!BI23</f>
        <v>289743</v>
      </c>
      <c r="F52" s="490">
        <f>'Income Statement'!BJ23</f>
        <v>75343</v>
      </c>
      <c r="G52" s="490">
        <f>'Income Statement'!BK23</f>
        <v>77531</v>
      </c>
      <c r="H52" s="500">
        <f>'Income Statement'!BL23</f>
        <v>66572</v>
      </c>
      <c r="I52" s="500">
        <f>'Income Statement'!BM23</f>
        <v>67118</v>
      </c>
      <c r="J52" s="489">
        <f>'Income Statement'!BN23</f>
        <v>286564</v>
      </c>
      <c r="K52" s="500">
        <f>'Income Statement'!BO23</f>
        <v>60573</v>
      </c>
      <c r="L52" s="500">
        <f>'Income Statement'!BP23</f>
        <v>45707</v>
      </c>
      <c r="M52" s="500">
        <f>'Income Statement'!BQ23</f>
        <v>49917</v>
      </c>
      <c r="N52" s="500">
        <f>'Income Statement'!BR23</f>
        <v>32244</v>
      </c>
      <c r="O52" s="489">
        <f>'Income Statement'!BS23</f>
        <v>188441</v>
      </c>
      <c r="P52" s="500">
        <f>'Income Statement'!BT23</f>
        <v>29534</v>
      </c>
      <c r="Q52" s="500">
        <f>'Income Statement'!BU23</f>
        <v>28664</v>
      </c>
      <c r="R52" s="500">
        <f>'Income Statement'!BV23</f>
        <v>42228</v>
      </c>
      <c r="S52" s="500">
        <f>'Income Statement'!BW23</f>
        <v>54212</v>
      </c>
      <c r="T52" s="489">
        <f>'Income Statement'!BX23</f>
        <v>154638</v>
      </c>
      <c r="U52" s="500">
        <f>'Income Statement'!BY23</f>
        <v>36402</v>
      </c>
      <c r="V52" s="500">
        <f>'Income Statement'!BZ23</f>
        <v>45795</v>
      </c>
      <c r="W52" s="500">
        <f>'Income Statement'!CA23</f>
        <v>43500</v>
      </c>
      <c r="X52" s="500">
        <f>'Income Statement'!CB23</f>
        <v>40873</v>
      </c>
      <c r="Y52" s="489">
        <f>'Income Statement'!CC23</f>
        <v>166570</v>
      </c>
      <c r="Z52" s="500">
        <f>'Income Statement'!CD23</f>
        <v>27505</v>
      </c>
      <c r="AA52" s="500">
        <f>'Income Statement'!CE23</f>
        <v>34572</v>
      </c>
      <c r="AB52" s="500">
        <f>'Income Statement'!CF23</f>
        <v>52179</v>
      </c>
      <c r="AC52" s="500">
        <f>'Income Statement'!CG23</f>
        <v>71282</v>
      </c>
      <c r="AD52" s="489">
        <f>'Income Statement'!CH23</f>
        <v>185538</v>
      </c>
      <c r="AE52" s="500">
        <f>'Income Statement'!CI23</f>
        <v>52590</v>
      </c>
      <c r="AF52" s="500">
        <f>'Income Statement'!CJ23</f>
        <v>48563</v>
      </c>
      <c r="AG52" s="500">
        <f>'Income Statement'!CK23</f>
        <v>69268</v>
      </c>
      <c r="AH52" s="500">
        <f>'Income Statement'!CL23</f>
        <v>91837</v>
      </c>
      <c r="AI52" s="489">
        <f>'Income Statement'!CM23</f>
        <v>262258</v>
      </c>
      <c r="AJ52" s="500">
        <f>'Income Statement'!CN23</f>
        <v>87063</v>
      </c>
      <c r="AK52" s="500">
        <f>'Income Statement'!CO23</f>
        <v>123190</v>
      </c>
      <c r="AL52" s="500">
        <f>'Income Statement'!CP23</f>
        <v>127352</v>
      </c>
      <c r="AM52" s="500">
        <f>'Income Statement'!CQ23</f>
        <v>209350</v>
      </c>
      <c r="AN52" s="489">
        <f>'Income Statement'!CR23</f>
        <v>546955</v>
      </c>
      <c r="AO52" s="500">
        <f>'Income Statement'!CS23</f>
        <v>187928</v>
      </c>
      <c r="AP52" s="500">
        <f>'Income Statement'!CT23</f>
        <v>175031</v>
      </c>
      <c r="AQ52" s="500">
        <f>'Income Statement'!CU23</f>
        <v>152003</v>
      </c>
      <c r="AR52" s="500">
        <f>'Income Statement'!CV23</f>
        <v>167390</v>
      </c>
      <c r="AS52" s="489">
        <f>'Income Statement'!CW23</f>
        <v>682352</v>
      </c>
      <c r="AT52" s="500">
        <f>'Income Statement'!CX23</f>
        <v>153718</v>
      </c>
      <c r="AU52" s="500">
        <f>'Income Statement'!CY23</f>
        <v>178220</v>
      </c>
      <c r="AV52" s="500">
        <f>'Income Statement'!CZ23</f>
        <v>166458</v>
      </c>
      <c r="AW52" s="500">
        <f>'Income Statement'!DA23</f>
        <v>170531</v>
      </c>
      <c r="AX52" s="489">
        <f>'Income Statement'!DB23</f>
        <v>668927</v>
      </c>
      <c r="AY52" s="500">
        <f>'Income Statement'!DC23</f>
        <v>207879</v>
      </c>
      <c r="AZ52" s="500">
        <f>'Income Statement'!DD23</f>
        <v>248937</v>
      </c>
      <c r="BA52" s="500">
        <f>'Income Statement'!DE23</f>
        <v>238180</v>
      </c>
      <c r="BB52" s="500">
        <f>'Income Statement'!DF23</f>
        <v>258155</v>
      </c>
      <c r="BC52" s="489">
        <f>'Income Statement'!DG23</f>
        <v>953151</v>
      </c>
      <c r="BD52" s="500">
        <f>'Income Statement'!DH23</f>
        <v>258243</v>
      </c>
      <c r="BE52" s="500">
        <f>'Income Statement'!DI23</f>
        <v>328877</v>
      </c>
      <c r="BF52" s="500">
        <f ca="1">'Income Statement'!DJ23</f>
        <v>282825.06754921301</v>
      </c>
      <c r="BG52" s="500">
        <f ca="1">'Income Statement'!DK23</f>
        <v>274608.24174167286</v>
      </c>
      <c r="BH52" s="489">
        <f ca="1">'Income Statement'!DL23</f>
        <v>1144553.3092908859</v>
      </c>
      <c r="BI52" s="500">
        <f ca="1">'Income Statement'!DM23</f>
        <v>268974.96144456603</v>
      </c>
      <c r="BJ52" s="500">
        <f ca="1">'Income Statement'!DN23</f>
        <v>272847.52182183811</v>
      </c>
      <c r="BK52" s="500">
        <f ca="1">'Income Statement'!DO23</f>
        <v>251203.19482537481</v>
      </c>
      <c r="BL52" s="500">
        <f ca="1">'Income Statement'!DP23</f>
        <v>244595.30748825442</v>
      </c>
      <c r="BM52" s="489">
        <f ca="1">'Income Statement'!DQ23</f>
        <v>1037620.9855800333</v>
      </c>
    </row>
    <row r="53" spans="2:65" hidden="1" outlineLevel="1">
      <c r="B53" s="527" t="str">
        <f>'Income Statement'!A24</f>
        <v xml:space="preserve">  Avg rate (%)</v>
      </c>
      <c r="C53" s="496">
        <f>'Income Statement'!AY24</f>
        <v>7.3363270758430563E-2</v>
      </c>
      <c r="D53" s="496">
        <f>'Income Statement'!BD24</f>
        <v>0.1087207294135574</v>
      </c>
      <c r="E53" s="496">
        <f>'Income Statement'!BI24</f>
        <v>0.11767015983222409</v>
      </c>
      <c r="F53" s="497">
        <f>'Income Statement'!BJ24</f>
        <v>0.12914314902372759</v>
      </c>
      <c r="G53" s="497">
        <f>'Income Statement'!BK24</f>
        <v>0.14150858013924772</v>
      </c>
      <c r="H53" s="498">
        <f>'Income Statement'!BL24</f>
        <v>0.13769975727891448</v>
      </c>
      <c r="I53" s="498">
        <f>'Income Statement'!BM24</f>
        <v>0.14382363849409696</v>
      </c>
      <c r="J53" s="496">
        <f>'Income Statement'!BN24</f>
        <v>0.13424774748977059</v>
      </c>
      <c r="K53" s="498">
        <f>'Income Statement'!BO24</f>
        <v>0.11644379244743841</v>
      </c>
      <c r="L53" s="498">
        <f>'Income Statement'!BP24</f>
        <v>8.9224232714151919E-2</v>
      </c>
      <c r="M53" s="498">
        <f>'Income Statement'!BQ24</f>
        <v>0.10834922509456635</v>
      </c>
      <c r="N53" s="498">
        <f>'Income Statement'!BR24</f>
        <v>7.3354475704908939E-2</v>
      </c>
      <c r="O53" s="496">
        <f>'Income Statement'!BS24</f>
        <v>9.608615686476471E-2</v>
      </c>
      <c r="P53" s="498">
        <f>'Income Statement'!BT24</f>
        <v>7.6063712506257097E-2</v>
      </c>
      <c r="Q53" s="498">
        <f>'Income Statement'!BU24</f>
        <v>7.0298213812037824E-2</v>
      </c>
      <c r="R53" s="498">
        <f>'Income Statement'!BV24</f>
        <v>8.1817441839665106E-2</v>
      </c>
      <c r="S53" s="498">
        <f>'Income Statement'!BW24</f>
        <v>0.10666120272522539</v>
      </c>
      <c r="T53" s="496">
        <f>'Income Statement'!BX24</f>
        <v>8.1688572815245497E-2</v>
      </c>
      <c r="U53" s="498">
        <f>'Income Statement'!BY24</f>
        <v>8.3220133868459722E-2</v>
      </c>
      <c r="V53" s="498">
        <f>'Income Statement'!BZ24</f>
        <v>0.10479399271224077</v>
      </c>
      <c r="W53" s="498">
        <f>'Income Statement'!CA24</f>
        <v>9.0584114300356955E-2</v>
      </c>
      <c r="X53" s="498">
        <f>'Income Statement'!CB24</f>
        <v>8.1340143575881596E-2</v>
      </c>
      <c r="Y53" s="496">
        <f>'Income Statement'!CC24</f>
        <v>8.5738018289524737E-2</v>
      </c>
      <c r="Z53" s="498">
        <f>'Income Statement'!CD24</f>
        <v>5.4413118178558761E-2</v>
      </c>
      <c r="AA53" s="498">
        <f>'Income Statement'!CE24</f>
        <v>6.2143383074845682E-2</v>
      </c>
      <c r="AB53" s="498">
        <f>'Income Statement'!CF24</f>
        <v>8.0331746706340468E-2</v>
      </c>
      <c r="AC53" s="498">
        <f>'Income Statement'!CG24</f>
        <v>0.10432007634748897</v>
      </c>
      <c r="AD53" s="496">
        <f>'Income Statement'!CH24</f>
        <v>7.2554734121319714E-2</v>
      </c>
      <c r="AE53" s="498">
        <f>'Income Statement'!CI24</f>
        <v>7.7085573761245474E-2</v>
      </c>
      <c r="AF53" s="498">
        <f>'Income Statement'!CJ24</f>
        <v>6.6096956928177519E-2</v>
      </c>
      <c r="AG53" s="498">
        <f>'Income Statement'!CK24</f>
        <v>8.6436967735254777E-2</v>
      </c>
      <c r="AH53" s="498">
        <f>'Income Statement'!CL24</f>
        <v>0.10488604295193094</v>
      </c>
      <c r="AI53" s="496">
        <f>'Income Statement'!CM24</f>
        <v>7.8898137263529039E-2</v>
      </c>
      <c r="AJ53" s="498">
        <f>'Income Statement'!CN24</f>
        <v>9.474081010285107E-2</v>
      </c>
      <c r="AK53" s="498">
        <f>'Income Statement'!CO24</f>
        <v>0.13041413283526571</v>
      </c>
      <c r="AL53" s="498">
        <f>'Income Statement'!CP24</f>
        <v>0.12435804524484362</v>
      </c>
      <c r="AM53" s="498">
        <f>'Income Statement'!CQ24</f>
        <v>0.18715983089458943</v>
      </c>
      <c r="AN53" s="496">
        <f>'Income Statement'!CR24</f>
        <v>0.12522509316672065</v>
      </c>
      <c r="AO53" s="498">
        <f>'Income Statement'!CS24</f>
        <v>0.15805693463441606</v>
      </c>
      <c r="AP53" s="498">
        <f>'Income Statement'!CT24</f>
        <v>0.14683670348433142</v>
      </c>
      <c r="AQ53" s="498">
        <f>'Income Statement'!CU24</f>
        <v>0.12431134646984243</v>
      </c>
      <c r="AR53" s="498">
        <f>'Income Statement'!CV24</f>
        <v>0.13892617427230736</v>
      </c>
      <c r="AS53" s="496">
        <f>'Income Statement'!CW24</f>
        <v>0.13529441418716445</v>
      </c>
      <c r="AT53" s="498">
        <f>'Income Statement'!CX24</f>
        <v>0.13136325000163152</v>
      </c>
      <c r="AU53" s="498">
        <f>'Income Statement'!CY24</f>
        <v>0.15184522880680329</v>
      </c>
      <c r="AV53" s="498">
        <f>'Income Statement'!CZ24</f>
        <v>0.13320206016435709</v>
      </c>
      <c r="AW53" s="498">
        <f>'Income Statement'!DA24</f>
        <v>0.13133374755412097</v>
      </c>
      <c r="AX53" s="496">
        <f>'Income Statement'!DB24</f>
        <v>0.12867341743639096</v>
      </c>
      <c r="AY53" s="498">
        <f>'Income Statement'!DC24</f>
        <v>0.15592497174808528</v>
      </c>
      <c r="AZ53" s="498">
        <f>'Income Statement'!DD24</f>
        <v>0.17631075164632493</v>
      </c>
      <c r="BA53" s="498">
        <f>'Income Statement'!DE24</f>
        <v>0.14778190242228595</v>
      </c>
      <c r="BB53" s="498">
        <f>'Income Statement'!DF24</f>
        <v>0.15026892054145424</v>
      </c>
      <c r="BC53" s="496">
        <f>'Income Statement'!DG24</f>
        <v>0.14380431529419485</v>
      </c>
      <c r="BD53" s="498">
        <f>'Income Statement'!DH24</f>
        <v>0.14878180529696983</v>
      </c>
      <c r="BE53" s="498">
        <f>'Income Statement'!DI24</f>
        <v>0.1819083735453273</v>
      </c>
      <c r="BF53" s="498">
        <f>'Income Statement'!DJ24</f>
        <v>0.13750000000000001</v>
      </c>
      <c r="BG53" s="498">
        <f>'Income Statement'!DK24</f>
        <v>0.13250000000000001</v>
      </c>
      <c r="BH53" s="496">
        <f ca="1">'Income Statement'!DL24</f>
        <v>0.14308781759042494</v>
      </c>
      <c r="BI53" s="498">
        <f>'Income Statement'!DM24</f>
        <v>0.13</v>
      </c>
      <c r="BJ53" s="498">
        <f>'Income Statement'!DN24</f>
        <v>0.13</v>
      </c>
      <c r="BK53" s="498">
        <f>'Income Statement'!DO24</f>
        <v>0.13</v>
      </c>
      <c r="BL53" s="498">
        <f>'Income Statement'!DP24</f>
        <v>0.13</v>
      </c>
      <c r="BM53" s="496">
        <f ca="1">'Income Statement'!DQ24</f>
        <v>0.13034360559721581</v>
      </c>
    </row>
    <row r="54" spans="2:65" hidden="1" outlineLevel="1">
      <c r="B54" s="523" t="str">
        <f>'Income Statement'!A25</f>
        <v xml:space="preserve">  Financial Expenses</v>
      </c>
      <c r="C54" s="489">
        <f>'Income Statement'!AY25</f>
        <v>-179288</v>
      </c>
      <c r="D54" s="489">
        <f>'Income Statement'!BD25</f>
        <v>-262499</v>
      </c>
      <c r="E54" s="489">
        <f>'Income Statement'!BI25</f>
        <v>-313288</v>
      </c>
      <c r="F54" s="490">
        <f>'Income Statement'!BJ25</f>
        <v>-59283</v>
      </c>
      <c r="G54" s="490">
        <f>'Income Statement'!BK25</f>
        <v>-56918</v>
      </c>
      <c r="H54" s="500">
        <f>'Income Statement'!BL25</f>
        <v>-54208</v>
      </c>
      <c r="I54" s="500">
        <f>'Income Statement'!BM25</f>
        <v>-56141</v>
      </c>
      <c r="J54" s="489">
        <f>'Income Statement'!BN25</f>
        <v>-226550</v>
      </c>
      <c r="K54" s="500">
        <f>'Income Statement'!BO25</f>
        <v>-52000</v>
      </c>
      <c r="L54" s="500">
        <f>'Income Statement'!BP25</f>
        <v>-44369</v>
      </c>
      <c r="M54" s="500">
        <f>'Income Statement'!BQ25</f>
        <v>-42056</v>
      </c>
      <c r="N54" s="500">
        <f>'Income Statement'!BR25</f>
        <v>-29155</v>
      </c>
      <c r="O54" s="489">
        <f>'Income Statement'!BS25</f>
        <v>-167580</v>
      </c>
      <c r="P54" s="500">
        <f>'Income Statement'!BT25</f>
        <v>-29193</v>
      </c>
      <c r="Q54" s="500">
        <f>'Income Statement'!BU25</f>
        <v>-28597</v>
      </c>
      <c r="R54" s="500">
        <f>'Income Statement'!BV25</f>
        <v>-50050</v>
      </c>
      <c r="S54" s="500">
        <f>'Income Statement'!BW25</f>
        <v>-43048</v>
      </c>
      <c r="T54" s="489">
        <f>'Income Statement'!BX25</f>
        <v>-150888</v>
      </c>
      <c r="U54" s="500">
        <f>'Income Statement'!BY25</f>
        <v>-38236</v>
      </c>
      <c r="V54" s="500">
        <f>'Income Statement'!BZ25</f>
        <v>-31414</v>
      </c>
      <c r="W54" s="500">
        <f>'Income Statement'!CA25</f>
        <v>-38901</v>
      </c>
      <c r="X54" s="500">
        <f>'Income Statement'!CB25</f>
        <v>-41378</v>
      </c>
      <c r="Y54" s="489">
        <f>'Income Statement'!CC25</f>
        <v>-149929</v>
      </c>
      <c r="Z54" s="500">
        <f>'Income Statement'!CD25</f>
        <v>-27890</v>
      </c>
      <c r="AA54" s="500">
        <f>'Income Statement'!CE25</f>
        <v>-36054</v>
      </c>
      <c r="AB54" s="500">
        <f>'Income Statement'!CF25</f>
        <v>-30983</v>
      </c>
      <c r="AC54" s="500">
        <f>'Income Statement'!CG25</f>
        <v>-23003</v>
      </c>
      <c r="AD54" s="489">
        <f>'Income Statement'!CH25</f>
        <v>-117930</v>
      </c>
      <c r="AE54" s="500">
        <f>'Income Statement'!CI25</f>
        <v>-43034</v>
      </c>
      <c r="AF54" s="500">
        <f>'Income Statement'!CJ25</f>
        <v>-42572</v>
      </c>
      <c r="AG54" s="500">
        <f>'Income Statement'!CK25</f>
        <v>-62614</v>
      </c>
      <c r="AH54" s="500">
        <f>'Income Statement'!CL25</f>
        <v>-80645</v>
      </c>
      <c r="AI54" s="489">
        <f>'Income Statement'!CM25</f>
        <v>-228865</v>
      </c>
      <c r="AJ54" s="500">
        <f>'Income Statement'!CN25</f>
        <v>-86542</v>
      </c>
      <c r="AK54" s="500">
        <f>'Income Statement'!CO25</f>
        <v>-104608</v>
      </c>
      <c r="AL54" s="500">
        <f>'Income Statement'!CP25</f>
        <v>-123921</v>
      </c>
      <c r="AM54" s="500">
        <f>'Income Statement'!CQ25</f>
        <v>-189315</v>
      </c>
      <c r="AN54" s="489">
        <f>'Income Statement'!CR25</f>
        <v>-504386</v>
      </c>
      <c r="AO54" s="500">
        <f>'Income Statement'!CS25</f>
        <v>-145233</v>
      </c>
      <c r="AP54" s="500">
        <f>'Income Statement'!CT25</f>
        <v>-148849</v>
      </c>
      <c r="AQ54" s="500">
        <f>'Income Statement'!CU25</f>
        <v>-128027</v>
      </c>
      <c r="AR54" s="500">
        <f>'Income Statement'!CV25</f>
        <v>-135844</v>
      </c>
      <c r="AS54" s="489">
        <f>'Income Statement'!CW25</f>
        <v>-557953</v>
      </c>
      <c r="AT54" s="500">
        <f>'Income Statement'!CX25</f>
        <v>-144331</v>
      </c>
      <c r="AU54" s="500">
        <f>'Income Statement'!CY25</f>
        <v>-137606</v>
      </c>
      <c r="AV54" s="500">
        <f>'Income Statement'!CZ25</f>
        <v>-130318</v>
      </c>
      <c r="AW54" s="500">
        <f>'Income Statement'!DA25</f>
        <v>-157533</v>
      </c>
      <c r="AX54" s="489">
        <f>'Income Statement'!DB25</f>
        <v>-569788</v>
      </c>
      <c r="AY54" s="500">
        <f>'Income Statement'!DC25</f>
        <v>-152617</v>
      </c>
      <c r="AZ54" s="500">
        <f>'Income Statement'!DD25</f>
        <v>-186107</v>
      </c>
      <c r="BA54" s="500">
        <f>'Income Statement'!DE25</f>
        <v>-190392</v>
      </c>
      <c r="BB54" s="500">
        <f>'Income Statement'!DF25</f>
        <v>-199183</v>
      </c>
      <c r="BC54" s="489">
        <f>'Income Statement'!DG25</f>
        <v>-728299</v>
      </c>
      <c r="BD54" s="500">
        <f>'Income Statement'!DH25</f>
        <v>-223289</v>
      </c>
      <c r="BE54" s="500">
        <f>'Income Statement'!DI25</f>
        <v>-263253</v>
      </c>
      <c r="BF54" s="500">
        <f>'Income Statement'!DJ25</f>
        <v>-242832.35379352188</v>
      </c>
      <c r="BG54" s="500">
        <f>'Income Statement'!DK25</f>
        <v>-234399.18615650211</v>
      </c>
      <c r="BH54" s="489">
        <f>'Income Statement'!DL25</f>
        <v>-963773.53995002399</v>
      </c>
      <c r="BI54" s="500">
        <f>'Income Statement'!DM25</f>
        <v>-247805.9117730312</v>
      </c>
      <c r="BJ54" s="500">
        <f>'Income Statement'!DN25</f>
        <v>-254463.87596373845</v>
      </c>
      <c r="BK54" s="500">
        <f>'Income Statement'!DO25</f>
        <v>-254463.87596373845</v>
      </c>
      <c r="BL54" s="500">
        <f>'Income Statement'!DP25</f>
        <v>-254463.87596373845</v>
      </c>
      <c r="BM54" s="489">
        <f>'Income Statement'!DQ25</f>
        <v>-1011197.5396642465</v>
      </c>
    </row>
    <row r="55" spans="2:65" hidden="1" collapsed="1">
      <c r="B55" s="527" t="str">
        <f>'Income Statement'!A26</f>
        <v xml:space="preserve">  Avg rate (%)</v>
      </c>
      <c r="C55" s="496">
        <f>'Income Statement'!AY26</f>
        <v>4.3016985768654377E-2</v>
      </c>
      <c r="D55" s="496">
        <f>'Income Statement'!BD26</f>
        <v>5.9698712526975395E-2</v>
      </c>
      <c r="E55" s="496">
        <f>'Income Statement'!BI26</f>
        <v>7.8056894393858961E-2</v>
      </c>
      <c r="F55" s="497">
        <f>'Income Statement'!BJ26</f>
        <v>6.3051054623825875E-2</v>
      </c>
      <c r="G55" s="497">
        <f>'Income Statement'!BK26</f>
        <v>6.239413889357448E-2</v>
      </c>
      <c r="H55" s="497">
        <f>'Income Statement'!BL26</f>
        <v>6.1289796806092145E-2</v>
      </c>
      <c r="I55" s="497">
        <f>'Income Statement'!BM26</f>
        <v>6.4948881597162611E-2</v>
      </c>
      <c r="J55" s="496">
        <f>'Income Statement'!BN26</f>
        <v>6.2291286897981211E-2</v>
      </c>
      <c r="K55" s="497">
        <f>'Income Statement'!BO26</f>
        <v>5.9735976766840393E-2</v>
      </c>
      <c r="L55" s="497">
        <f>'Income Statement'!BP26</f>
        <v>5.1097860752372437E-2</v>
      </c>
      <c r="M55" s="497">
        <f>'Income Statement'!BQ26</f>
        <v>5.2062408059937892E-2</v>
      </c>
      <c r="N55" s="497">
        <f>'Income Statement'!BR26</f>
        <v>4.1091596247837758E-2</v>
      </c>
      <c r="O55" s="496">
        <f>'Income Statement'!BS26</f>
        <v>5.2201257371854527E-2</v>
      </c>
      <c r="P55" s="497">
        <f>'Income Statement'!BT26</f>
        <v>4.9609029433363538E-2</v>
      </c>
      <c r="Q55" s="497">
        <f>'Income Statement'!BU26</f>
        <v>5.1078586322136132E-2</v>
      </c>
      <c r="R55" s="497">
        <f>'Income Statement'!BV26</f>
        <v>7.7217939828035931E-2</v>
      </c>
      <c r="S55" s="497">
        <f>'Income Statement'!BW26</f>
        <v>6.6063080194832757E-2</v>
      </c>
      <c r="T55" s="496">
        <f>'Income Statement'!BX26</f>
        <v>6.093910017615789E-2</v>
      </c>
      <c r="U55" s="497">
        <f>'Income Statement'!BY26</f>
        <v>6.8625620481114646E-2</v>
      </c>
      <c r="V55" s="497">
        <f>'Income Statement'!BZ26</f>
        <v>6.0622734407001611E-2</v>
      </c>
      <c r="W55" s="497">
        <f>'Income Statement'!CA26</f>
        <v>6.988856452086778E-2</v>
      </c>
      <c r="X55" s="497">
        <f>'Income Statement'!CB26</f>
        <v>6.6318503299104936E-2</v>
      </c>
      <c r="Y55" s="496">
        <f>'Income Statement'!CC26</f>
        <v>6.412363759617086E-2</v>
      </c>
      <c r="Z55" s="497">
        <f>'Income Statement'!CD26</f>
        <v>4.3502325210904136E-2</v>
      </c>
      <c r="AA55" s="497">
        <f>'Income Statement'!CE26</f>
        <v>5.2514926645586879E-2</v>
      </c>
      <c r="AB55" s="497">
        <f>'Income Statement'!CF26</f>
        <v>4.5630380678074234E-2</v>
      </c>
      <c r="AC55" s="497">
        <f>'Income Statement'!CG26</f>
        <v>3.50795747289121E-2</v>
      </c>
      <c r="AD55" s="496">
        <f>'Income Statement'!CH26</f>
        <v>4.3222322553866412E-2</v>
      </c>
      <c r="AE55" s="497">
        <f>'Income Statement'!CI26</f>
        <v>6.2729706311728251E-2</v>
      </c>
      <c r="AF55" s="497">
        <f>'Income Statement'!CJ26</f>
        <v>5.5537861755068141E-2</v>
      </c>
      <c r="AG55" s="497">
        <f>'Income Statement'!CK26</f>
        <v>7.4470221168180695E-2</v>
      </c>
      <c r="AH55" s="497">
        <f>'Income Statement'!CL26</f>
        <v>9.2397662001304948E-2</v>
      </c>
      <c r="AI55" s="496">
        <f>'Income Statement'!CM26</f>
        <v>6.7919980460745363E-2</v>
      </c>
      <c r="AJ55" s="497">
        <f>'Income Statement'!CN26</f>
        <v>9.5347637559566545E-2</v>
      </c>
      <c r="AK55" s="497">
        <f>'Income Statement'!CO26</f>
        <v>0.11001776915244843</v>
      </c>
      <c r="AL55" s="497">
        <f>'Income Statement'!CP26</f>
        <v>0.11908937399348019</v>
      </c>
      <c r="AM55" s="497">
        <f>'Income Statement'!CQ26</f>
        <v>0.16680104303732768</v>
      </c>
      <c r="AN55" s="496">
        <f>'Income Statement'!CR26</f>
        <v>0.11500481727144865</v>
      </c>
      <c r="AO55" s="497">
        <f>'Income Statement'!CS26</f>
        <v>0.12160394849041256</v>
      </c>
      <c r="AP55" s="497">
        <f>'Income Statement'!CT26</f>
        <v>0.12529839336953508</v>
      </c>
      <c r="AQ55" s="497">
        <f>'Income Statement'!CU26</f>
        <v>0.10535499284884198</v>
      </c>
      <c r="AR55" s="497">
        <f>'Income Statement'!CV26</f>
        <v>0.11011658614354114</v>
      </c>
      <c r="AS55" s="496">
        <f>'Income Statement'!CW26</f>
        <v>0.11044755068606227</v>
      </c>
      <c r="AT55" s="497">
        <f>'Income Statement'!CX26</f>
        <v>0.11776188234753815</v>
      </c>
      <c r="AU55" s="497">
        <f>'Income Statement'!CY26</f>
        <v>0.11049727394433595</v>
      </c>
      <c r="AV55" s="497">
        <f>'Income Statement'!CZ26</f>
        <v>9.9120582868338136E-2</v>
      </c>
      <c r="AW55" s="497">
        <f>'Income Statement'!DA26</f>
        <v>0.11261643191941895</v>
      </c>
      <c r="AX55" s="496">
        <f>'Income Statement'!DB26</f>
        <v>0.1035068450747107</v>
      </c>
      <c r="AY55" s="497">
        <f>'Income Statement'!DC26</f>
        <v>0.10302709852985537</v>
      </c>
      <c r="AZ55" s="497">
        <f>'Income Statement'!DD26</f>
        <v>0.11666546366652875</v>
      </c>
      <c r="BA55" s="497">
        <f>'Income Statement'!DE26</f>
        <v>0.10668343154883497</v>
      </c>
      <c r="BB55" s="497">
        <f>'Income Statement'!DF26</f>
        <v>9.9695683434069871E-2</v>
      </c>
      <c r="BC55" s="496">
        <f>'Income Statement'!DG26</f>
        <v>9.7508779802065473E-2</v>
      </c>
      <c r="BD55" s="497">
        <f>'Income Statement'!DH26</f>
        <v>0.10438448226498465</v>
      </c>
      <c r="BE55" s="497">
        <f>'Income Statement'!DI26</f>
        <v>0.12238385931364748</v>
      </c>
      <c r="BF55" s="497">
        <f>'Income Statement'!DJ26</f>
        <v>0.11166437429594489</v>
      </c>
      <c r="BG55" s="497">
        <f>'Income Statement'!DK26</f>
        <v>0.10763666651409398</v>
      </c>
      <c r="BH55" s="496">
        <f>'Income Statement'!DL26</f>
        <v>0.10682230253881167</v>
      </c>
      <c r="BI55" s="497">
        <f>'Income Statement'!DM26</f>
        <v>0.11085902005783677</v>
      </c>
      <c r="BJ55" s="497">
        <f>'Income Statement'!DN26</f>
        <v>0.11085902005783677</v>
      </c>
      <c r="BK55" s="497">
        <f>'Income Statement'!DO26</f>
        <v>0.11085902005783677</v>
      </c>
      <c r="BL55" s="497">
        <f>'Income Statement'!DP26</f>
        <v>0.11085902005783677</v>
      </c>
      <c r="BM55" s="496">
        <f>'Income Statement'!DQ26</f>
        <v>0.10583061321875367</v>
      </c>
    </row>
    <row r="56" spans="2:65" hidden="1">
      <c r="B56" s="523" t="str">
        <f>'Income Statement'!A27</f>
        <v xml:space="preserve">  Monetary Variation (when applicable)</v>
      </c>
      <c r="C56" s="489">
        <f>'Income Statement'!AY27</f>
        <v>62616</v>
      </c>
      <c r="D56" s="489">
        <f>'Income Statement'!BD27</f>
        <v>55321</v>
      </c>
      <c r="E56" s="489">
        <f>'Income Statement'!BI27</f>
        <v>41142</v>
      </c>
      <c r="F56" s="490">
        <f>'Income Statement'!BJ27</f>
        <v>4197</v>
      </c>
      <c r="G56" s="490">
        <f>'Income Statement'!BK27</f>
        <v>5318</v>
      </c>
      <c r="H56" s="490">
        <f>'Income Statement'!BL27</f>
        <v>5832</v>
      </c>
      <c r="I56" s="490">
        <f>'Income Statement'!BM27</f>
        <v>3782</v>
      </c>
      <c r="J56" s="489">
        <f>'Income Statement'!BN27</f>
        <v>19129</v>
      </c>
      <c r="K56" s="490">
        <f>'Income Statement'!BO27</f>
        <v>4394</v>
      </c>
      <c r="L56" s="490">
        <f>'Income Statement'!BP27</f>
        <v>3870</v>
      </c>
      <c r="M56" s="490">
        <f>'Income Statement'!BQ27</f>
        <v>3813</v>
      </c>
      <c r="N56" s="490">
        <f>'Income Statement'!BR27</f>
        <v>4874</v>
      </c>
      <c r="O56" s="489">
        <f>'Income Statement'!BS27</f>
        <v>16951</v>
      </c>
      <c r="P56" s="490">
        <f>'Income Statement'!BT27</f>
        <v>2419</v>
      </c>
      <c r="Q56" s="490">
        <f>'Income Statement'!BU27</f>
        <v>4406</v>
      </c>
      <c r="R56" s="490">
        <f>'Income Statement'!BV27</f>
        <v>7053</v>
      </c>
      <c r="S56" s="490">
        <f>'Income Statement'!BW27</f>
        <v>4490</v>
      </c>
      <c r="T56" s="489">
        <f>'Income Statement'!BX27</f>
        <v>18368</v>
      </c>
      <c r="U56" s="490">
        <f>'Income Statement'!BY27</f>
        <v>3706</v>
      </c>
      <c r="V56" s="490">
        <f>'Income Statement'!BZ27</f>
        <v>3491</v>
      </c>
      <c r="W56" s="490">
        <f>'Income Statement'!CA27</f>
        <v>4456</v>
      </c>
      <c r="X56" s="490">
        <f>'Income Statement'!CB27</f>
        <v>2299</v>
      </c>
      <c r="Y56" s="489">
        <f>'Income Statement'!CC27</f>
        <v>13952</v>
      </c>
      <c r="Z56" s="490">
        <f>'Income Statement'!CD27</f>
        <v>3636</v>
      </c>
      <c r="AA56" s="490">
        <f>'Income Statement'!CE27</f>
        <v>7983</v>
      </c>
      <c r="AB56" s="490">
        <f>'Income Statement'!CF27</f>
        <v>3275</v>
      </c>
      <c r="AC56" s="490">
        <f>'Income Statement'!CG27</f>
        <v>1999</v>
      </c>
      <c r="AD56" s="489">
        <f>'Income Statement'!CH27</f>
        <v>16893</v>
      </c>
      <c r="AE56" s="490">
        <f>'Income Statement'!CI27</f>
        <v>1331</v>
      </c>
      <c r="AF56" s="490">
        <f>'Income Statement'!CJ27</f>
        <v>3302</v>
      </c>
      <c r="AG56" s="490">
        <f>'Income Statement'!CK27</f>
        <v>2205</v>
      </c>
      <c r="AH56" s="490">
        <f>'Income Statement'!CL27</f>
        <v>2766</v>
      </c>
      <c r="AI56" s="489">
        <f>'Income Statement'!CM27</f>
        <v>9604</v>
      </c>
      <c r="AJ56" s="490">
        <f>'Income Statement'!CN27</f>
        <v>8812</v>
      </c>
      <c r="AK56" s="490">
        <f>'Income Statement'!CO27</f>
        <v>6919</v>
      </c>
      <c r="AL56" s="490">
        <f>'Income Statement'!CP27</f>
        <v>3596</v>
      </c>
      <c r="AM56" s="490">
        <f>'Income Statement'!CQ27</f>
        <v>6431</v>
      </c>
      <c r="AN56" s="489">
        <f>'Income Statement'!CR27</f>
        <v>25758</v>
      </c>
      <c r="AO56" s="490">
        <f>'Income Statement'!CS27</f>
        <v>2892</v>
      </c>
      <c r="AP56" s="490">
        <f>'Income Statement'!CT27</f>
        <v>3001</v>
      </c>
      <c r="AQ56" s="490">
        <f>'Income Statement'!CU27</f>
        <v>4105</v>
      </c>
      <c r="AR56" s="490">
        <f>'Income Statement'!CV27</f>
        <v>2375</v>
      </c>
      <c r="AS56" s="489">
        <f>'Income Statement'!CW27</f>
        <v>12373</v>
      </c>
      <c r="AT56" s="490">
        <f>'Income Statement'!CX27</f>
        <v>3748</v>
      </c>
      <c r="AU56" s="490">
        <f>'Income Statement'!CY27</f>
        <v>4081</v>
      </c>
      <c r="AV56" s="490">
        <f>'Income Statement'!CZ27</f>
        <v>3070</v>
      </c>
      <c r="AW56" s="490">
        <f>'Income Statement'!DA27</f>
        <v>3647</v>
      </c>
      <c r="AX56" s="489">
        <f>'Income Statement'!DB27</f>
        <v>14546</v>
      </c>
      <c r="AY56" s="490">
        <f>'Income Statement'!DC27</f>
        <v>3739</v>
      </c>
      <c r="AZ56" s="490">
        <f>'Income Statement'!DD27</f>
        <v>3606</v>
      </c>
      <c r="BA56" s="490">
        <f>'Income Statement'!DE27</f>
        <v>8715</v>
      </c>
      <c r="BB56" s="490">
        <f>'Income Statement'!DF27</f>
        <v>6767</v>
      </c>
      <c r="BC56" s="489">
        <f>'Income Statement'!DG27</f>
        <v>22827</v>
      </c>
      <c r="BD56" s="490">
        <f>'Income Statement'!DH27</f>
        <v>2745</v>
      </c>
      <c r="BE56" s="490">
        <f>'Income Statement'!DI27</f>
        <v>3687</v>
      </c>
      <c r="BF56" s="490">
        <f>'Income Statement'!DJ27</f>
        <v>9440.8808467299077</v>
      </c>
      <c r="BG56" s="490">
        <f>'Income Statement'!DK27</f>
        <v>11989.125384098092</v>
      </c>
      <c r="BH56" s="489">
        <f>'Income Statement'!DL27</f>
        <v>27862.006230827999</v>
      </c>
      <c r="BI56" s="490">
        <f>'Income Statement'!DM27</f>
        <v>6730.9949251102644</v>
      </c>
      <c r="BJ56" s="490">
        <f>'Income Statement'!DN27</f>
        <v>7524.377840455265</v>
      </c>
      <c r="BK56" s="490">
        <f>'Income Statement'!DO27</f>
        <v>8649.6182753086978</v>
      </c>
      <c r="BL56" s="490">
        <f>'Income Statement'!DP27</f>
        <v>9697.1862054719295</v>
      </c>
      <c r="BM56" s="489">
        <f>'Income Statement'!DQ27</f>
        <v>32602.17724634616</v>
      </c>
    </row>
    <row r="57" spans="2:65" hidden="1">
      <c r="B57" s="523" t="str">
        <f>'Income Statement'!A28</f>
        <v>Other Operating Income</v>
      </c>
      <c r="C57" s="489">
        <f>'Income Statement'!AY28</f>
        <v>0</v>
      </c>
      <c r="D57" s="489">
        <f>'Income Statement'!BD28</f>
        <v>0</v>
      </c>
      <c r="E57" s="489">
        <f>'Income Statement'!BI28</f>
        <v>0</v>
      </c>
      <c r="F57" s="500">
        <f>'Income Statement'!BJ28</f>
        <v>0</v>
      </c>
      <c r="G57" s="500">
        <f>'Income Statement'!BK28</f>
        <v>0</v>
      </c>
      <c r="H57" s="500">
        <f>'Income Statement'!BL28</f>
        <v>0</v>
      </c>
      <c r="I57" s="500">
        <f>'Income Statement'!BM28</f>
        <v>0</v>
      </c>
      <c r="J57" s="489">
        <f>'Income Statement'!BN28</f>
        <v>0</v>
      </c>
      <c r="K57" s="500">
        <f>'Income Statement'!BO28</f>
        <v>0</v>
      </c>
      <c r="L57" s="500">
        <f>'Income Statement'!BP28</f>
        <v>0</v>
      </c>
      <c r="M57" s="500">
        <f>'Income Statement'!BQ28</f>
        <v>0</v>
      </c>
      <c r="N57" s="500">
        <f>'Income Statement'!BR28</f>
        <v>0</v>
      </c>
      <c r="O57" s="489">
        <f>'Income Statement'!BS28</f>
        <v>0</v>
      </c>
      <c r="P57" s="500">
        <f>'Income Statement'!BT28</f>
        <v>0</v>
      </c>
      <c r="Q57" s="500">
        <f>'Income Statement'!BU28</f>
        <v>0</v>
      </c>
      <c r="R57" s="500">
        <f>'Income Statement'!BV28</f>
        <v>0</v>
      </c>
      <c r="S57" s="500">
        <f>'Income Statement'!BW28</f>
        <v>20000</v>
      </c>
      <c r="T57" s="489">
        <f>'Income Statement'!BX28</f>
        <v>20000</v>
      </c>
      <c r="U57" s="500">
        <f>'Income Statement'!BY28</f>
        <v>0</v>
      </c>
      <c r="V57" s="500">
        <f>'Income Statement'!BZ28</f>
        <v>0</v>
      </c>
      <c r="W57" s="500">
        <f>'Income Statement'!CA28</f>
        <v>0</v>
      </c>
      <c r="X57" s="500">
        <f>'Income Statement'!CB28</f>
        <v>0</v>
      </c>
      <c r="Y57" s="489">
        <f>'Income Statement'!CC28</f>
        <v>0</v>
      </c>
      <c r="Z57" s="500">
        <f>'Income Statement'!CD28</f>
        <v>0</v>
      </c>
      <c r="AA57" s="500">
        <f>'Income Statement'!CE28</f>
        <v>0</v>
      </c>
      <c r="AB57" s="500">
        <f>'Income Statement'!CF28</f>
        <v>1153000</v>
      </c>
      <c r="AC57" s="500">
        <f>'Income Statement'!CG28</f>
        <v>0</v>
      </c>
      <c r="AD57" s="489">
        <f>'Income Statement'!CH28</f>
        <v>1153000</v>
      </c>
      <c r="AE57" s="500">
        <f>'Income Statement'!CI28</f>
        <v>0</v>
      </c>
      <c r="AF57" s="500">
        <f>'Income Statement'!CJ28</f>
        <v>0</v>
      </c>
      <c r="AG57" s="500">
        <f>'Income Statement'!CK28</f>
        <v>0</v>
      </c>
      <c r="AH57" s="500">
        <f>'Income Statement'!CL28</f>
        <v>0</v>
      </c>
      <c r="AI57" s="489">
        <f>'Income Statement'!CM28</f>
        <v>0</v>
      </c>
      <c r="AJ57" s="500">
        <f>'Income Statement'!CN28</f>
        <v>0</v>
      </c>
      <c r="AK57" s="500">
        <f>'Income Statement'!CO28</f>
        <v>0</v>
      </c>
      <c r="AL57" s="500">
        <f>'Income Statement'!CP28</f>
        <v>0</v>
      </c>
      <c r="AM57" s="500">
        <f>'Income Statement'!CQ28</f>
        <v>0</v>
      </c>
      <c r="AN57" s="489">
        <f>'Income Statement'!CR28</f>
        <v>0</v>
      </c>
      <c r="AO57" s="500">
        <f>'Income Statement'!CS28</f>
        <v>0</v>
      </c>
      <c r="AP57" s="500">
        <f>'Income Statement'!CT28</f>
        <v>0</v>
      </c>
      <c r="AQ57" s="500">
        <f>'Income Statement'!CU28</f>
        <v>0</v>
      </c>
      <c r="AR57" s="500">
        <f>'Income Statement'!CV28</f>
        <v>0</v>
      </c>
      <c r="AS57" s="489">
        <f>'Income Statement'!CW28</f>
        <v>0</v>
      </c>
      <c r="AT57" s="500">
        <f>'Income Statement'!CX28</f>
        <v>0</v>
      </c>
      <c r="AU57" s="500">
        <f>'Income Statement'!CY28</f>
        <v>0</v>
      </c>
      <c r="AV57" s="500">
        <f>'Income Statement'!CZ28</f>
        <v>0</v>
      </c>
      <c r="AW57" s="500">
        <f>'Income Statement'!DA28</f>
        <v>0</v>
      </c>
      <c r="AX57" s="489">
        <f>'Income Statement'!DB28</f>
        <v>0</v>
      </c>
      <c r="AY57" s="500">
        <f>'Income Statement'!DC28</f>
        <v>0</v>
      </c>
      <c r="AZ57" s="500">
        <f>'Income Statement'!DD28</f>
        <v>0</v>
      </c>
      <c r="BA57" s="500">
        <f>'Income Statement'!DE28</f>
        <v>0</v>
      </c>
      <c r="BB57" s="500">
        <f>'Income Statement'!DF28</f>
        <v>0</v>
      </c>
      <c r="BC57" s="489">
        <f>'Income Statement'!DG28</f>
        <v>0</v>
      </c>
      <c r="BD57" s="500">
        <f>'Income Statement'!DH28</f>
        <v>0</v>
      </c>
      <c r="BE57" s="500">
        <f>'Income Statement'!DI28</f>
        <v>0</v>
      </c>
      <c r="BF57" s="500">
        <f>'Income Statement'!DJ28</f>
        <v>0</v>
      </c>
      <c r="BG57" s="500">
        <f>'Income Statement'!DK28</f>
        <v>0</v>
      </c>
      <c r="BH57" s="489">
        <f>'Income Statement'!DL28</f>
        <v>0</v>
      </c>
      <c r="BI57" s="500">
        <f>'Income Statement'!DM28</f>
        <v>0</v>
      </c>
      <c r="BJ57" s="500">
        <f>'Income Statement'!DN28</f>
        <v>0</v>
      </c>
      <c r="BK57" s="500">
        <f>'Income Statement'!DO28</f>
        <v>0</v>
      </c>
      <c r="BL57" s="500">
        <f>'Income Statement'!DP28</f>
        <v>0</v>
      </c>
      <c r="BM57" s="489">
        <f>'Income Statement'!DQ28</f>
        <v>0</v>
      </c>
    </row>
    <row r="58" spans="2:65" hidden="1">
      <c r="B58" s="523" t="str">
        <f>'Income Statement'!A29</f>
        <v xml:space="preserve">  Client Financing (when applicable)</v>
      </c>
      <c r="C58" s="489">
        <f>'Income Statement'!AY29</f>
        <v>0</v>
      </c>
      <c r="D58" s="489">
        <f>'Income Statement'!BD29</f>
        <v>0</v>
      </c>
      <c r="E58" s="489">
        <f>'Income Statement'!BI29</f>
        <v>0</v>
      </c>
      <c r="F58" s="490">
        <f>'Income Statement'!BJ29</f>
        <v>0</v>
      </c>
      <c r="G58" s="490">
        <f>'Income Statement'!BK29</f>
        <v>0</v>
      </c>
      <c r="H58" s="490">
        <f>'Income Statement'!BL29</f>
        <v>0</v>
      </c>
      <c r="I58" s="490">
        <f>'Income Statement'!BM29</f>
        <v>0</v>
      </c>
      <c r="J58" s="489">
        <f>'Income Statement'!BN29</f>
        <v>0</v>
      </c>
      <c r="K58" s="490">
        <f>'Income Statement'!BO29</f>
        <v>0</v>
      </c>
      <c r="L58" s="490">
        <f>'Income Statement'!BP29</f>
        <v>0</v>
      </c>
      <c r="M58" s="490">
        <f>'Income Statement'!BQ29</f>
        <v>0</v>
      </c>
      <c r="N58" s="490">
        <f>'Income Statement'!BR29</f>
        <v>0</v>
      </c>
      <c r="O58" s="489">
        <f>'Income Statement'!BS29</f>
        <v>0</v>
      </c>
      <c r="P58" s="490">
        <f>'Income Statement'!BT29</f>
        <v>0</v>
      </c>
      <c r="Q58" s="490">
        <f>'Income Statement'!BU29</f>
        <v>0</v>
      </c>
      <c r="R58" s="490">
        <f>'Income Statement'!BV29</f>
        <v>0</v>
      </c>
      <c r="S58" s="490">
        <f>'Income Statement'!BW29</f>
        <v>0</v>
      </c>
      <c r="T58" s="489">
        <f>'Income Statement'!BX29</f>
        <v>0</v>
      </c>
      <c r="U58" s="490">
        <f>'Income Statement'!BY29</f>
        <v>0</v>
      </c>
      <c r="V58" s="490">
        <f>'Income Statement'!BZ29</f>
        <v>0</v>
      </c>
      <c r="W58" s="490">
        <f>'Income Statement'!CA29</f>
        <v>0</v>
      </c>
      <c r="X58" s="490">
        <f>'Income Statement'!CB29</f>
        <v>0</v>
      </c>
      <c r="Y58" s="489">
        <f>'Income Statement'!CC29</f>
        <v>0</v>
      </c>
      <c r="Z58" s="490">
        <f>'Income Statement'!CD29</f>
        <v>0</v>
      </c>
      <c r="AA58" s="490">
        <f>'Income Statement'!CE29</f>
        <v>0</v>
      </c>
      <c r="AB58" s="490">
        <f>'Income Statement'!CF29</f>
        <v>0</v>
      </c>
      <c r="AC58" s="490">
        <f>'Income Statement'!CG29</f>
        <v>0</v>
      </c>
      <c r="AD58" s="489">
        <f>'Income Statement'!CH29</f>
        <v>0</v>
      </c>
      <c r="AE58" s="490">
        <f>'Income Statement'!CI29</f>
        <v>0</v>
      </c>
      <c r="AF58" s="490">
        <f>'Income Statement'!CJ29</f>
        <v>0</v>
      </c>
      <c r="AG58" s="490">
        <f>'Income Statement'!CK29</f>
        <v>0</v>
      </c>
      <c r="AH58" s="490">
        <f>'Income Statement'!CL29</f>
        <v>0</v>
      </c>
      <c r="AI58" s="489">
        <f>'Income Statement'!CM29</f>
        <v>0</v>
      </c>
      <c r="AJ58" s="490">
        <f>'Income Statement'!CN29</f>
        <v>0</v>
      </c>
      <c r="AK58" s="490">
        <f>'Income Statement'!CO29</f>
        <v>0</v>
      </c>
      <c r="AL58" s="490">
        <f>'Income Statement'!CP29</f>
        <v>0</v>
      </c>
      <c r="AM58" s="490">
        <f>'Income Statement'!CQ29</f>
        <v>0</v>
      </c>
      <c r="AN58" s="489">
        <f>'Income Statement'!CR29</f>
        <v>0</v>
      </c>
      <c r="AO58" s="490">
        <f>'Income Statement'!CS29</f>
        <v>0</v>
      </c>
      <c r="AP58" s="490">
        <f>'Income Statement'!CT29</f>
        <v>0</v>
      </c>
      <c r="AQ58" s="490">
        <f>'Income Statement'!CU29</f>
        <v>0</v>
      </c>
      <c r="AR58" s="490">
        <f>'Income Statement'!CV29</f>
        <v>0</v>
      </c>
      <c r="AS58" s="489">
        <f>'Income Statement'!CW29</f>
        <v>0</v>
      </c>
      <c r="AT58" s="490">
        <f>'Income Statement'!CX29</f>
        <v>0</v>
      </c>
      <c r="AU58" s="490">
        <f>'Income Statement'!CY29</f>
        <v>0</v>
      </c>
      <c r="AV58" s="490">
        <f>'Income Statement'!CZ29</f>
        <v>0</v>
      </c>
      <c r="AW58" s="490">
        <f>'Income Statement'!DA29</f>
        <v>0</v>
      </c>
      <c r="AX58" s="489">
        <f>'Income Statement'!DB29</f>
        <v>0</v>
      </c>
      <c r="AY58" s="490">
        <f>'Income Statement'!DC29</f>
        <v>0</v>
      </c>
      <c r="AZ58" s="490">
        <f>'Income Statement'!DD29</f>
        <v>0</v>
      </c>
      <c r="BA58" s="490">
        <f>'Income Statement'!DE29</f>
        <v>0</v>
      </c>
      <c r="BB58" s="490">
        <f>'Income Statement'!DF29</f>
        <v>0</v>
      </c>
      <c r="BC58" s="489">
        <f>'Income Statement'!DG29</f>
        <v>0</v>
      </c>
      <c r="BD58" s="490">
        <f>'Income Statement'!DH29</f>
        <v>0</v>
      </c>
      <c r="BE58" s="490">
        <f>'Income Statement'!DI29</f>
        <v>0</v>
      </c>
      <c r="BF58" s="490">
        <f>'Income Statement'!DJ29</f>
        <v>0</v>
      </c>
      <c r="BG58" s="490">
        <f>'Income Statement'!DK29</f>
        <v>0</v>
      </c>
      <c r="BH58" s="489">
        <f>'Income Statement'!DL29</f>
        <v>0</v>
      </c>
      <c r="BI58" s="490">
        <f>'Income Statement'!DM29</f>
        <v>0</v>
      </c>
      <c r="BJ58" s="490">
        <f>'Income Statement'!DN29</f>
        <v>0</v>
      </c>
      <c r="BK58" s="490">
        <f>'Income Statement'!DO29</f>
        <v>0</v>
      </c>
      <c r="BL58" s="490">
        <f>'Income Statement'!DP29</f>
        <v>0</v>
      </c>
      <c r="BM58" s="489">
        <f>'Income Statement'!DQ29</f>
        <v>0</v>
      </c>
    </row>
    <row r="59" spans="2:65" hidden="1">
      <c r="B59" s="523" t="str">
        <f>'Income Statement'!A30</f>
        <v xml:space="preserve">  Extraordinary items</v>
      </c>
      <c r="C59" s="489">
        <f>'Income Statement'!AY30</f>
        <v>0</v>
      </c>
      <c r="D59" s="489">
        <f>'Income Statement'!BD30</f>
        <v>0</v>
      </c>
      <c r="E59" s="489">
        <f>'Income Statement'!BI30</f>
        <v>0</v>
      </c>
      <c r="F59" s="490">
        <f>'Income Statement'!BJ30</f>
        <v>0</v>
      </c>
      <c r="G59" s="490">
        <f>'Income Statement'!BK30</f>
        <v>0</v>
      </c>
      <c r="H59" s="490">
        <f>'Income Statement'!BL30</f>
        <v>0</v>
      </c>
      <c r="I59" s="490">
        <f>'Income Statement'!BM30</f>
        <v>0</v>
      </c>
      <c r="J59" s="489">
        <f>'Income Statement'!BN30</f>
        <v>0</v>
      </c>
      <c r="K59" s="490">
        <f>'Income Statement'!BO30</f>
        <v>0</v>
      </c>
      <c r="L59" s="490">
        <f>'Income Statement'!BP30</f>
        <v>0</v>
      </c>
      <c r="M59" s="490">
        <f>'Income Statement'!BQ30</f>
        <v>0</v>
      </c>
      <c r="N59" s="490">
        <f>'Income Statement'!BR30</f>
        <v>0</v>
      </c>
      <c r="O59" s="489">
        <f>'Income Statement'!BS30</f>
        <v>0</v>
      </c>
      <c r="P59" s="490">
        <f>'Income Statement'!BT30</f>
        <v>0</v>
      </c>
      <c r="Q59" s="490">
        <f>'Income Statement'!BU30</f>
        <v>0</v>
      </c>
      <c r="R59" s="490">
        <f>'Income Statement'!BV30</f>
        <v>0</v>
      </c>
      <c r="S59" s="490">
        <f>'Income Statement'!BW30</f>
        <v>20000</v>
      </c>
      <c r="T59" s="489">
        <f>'Income Statement'!BX30</f>
        <v>20000</v>
      </c>
      <c r="U59" s="490">
        <f>'Income Statement'!BY30</f>
        <v>0</v>
      </c>
      <c r="V59" s="490">
        <f>'Income Statement'!BZ30</f>
        <v>0</v>
      </c>
      <c r="W59" s="490">
        <f>'Income Statement'!CA30</f>
        <v>0</v>
      </c>
      <c r="X59" s="490">
        <f>'Income Statement'!CB30</f>
        <v>0</v>
      </c>
      <c r="Y59" s="489">
        <f>'Income Statement'!CC30</f>
        <v>0</v>
      </c>
      <c r="Z59" s="490">
        <f>'Income Statement'!CD30</f>
        <v>0</v>
      </c>
      <c r="AA59" s="490">
        <f>'Income Statement'!CE30</f>
        <v>0</v>
      </c>
      <c r="AB59" s="490">
        <f>'Income Statement'!CF30</f>
        <v>1153000</v>
      </c>
      <c r="AC59" s="490">
        <f>'Income Statement'!CG30</f>
        <v>0</v>
      </c>
      <c r="AD59" s="489">
        <f>'Income Statement'!CH30</f>
        <v>1153000</v>
      </c>
      <c r="AE59" s="490">
        <f>'Income Statement'!CI30</f>
        <v>0</v>
      </c>
      <c r="AF59" s="490">
        <f>'Income Statement'!CJ30</f>
        <v>0</v>
      </c>
      <c r="AG59" s="490">
        <f>'Income Statement'!CK30</f>
        <v>0</v>
      </c>
      <c r="AH59" s="490">
        <f>'Income Statement'!CL30</f>
        <v>0</v>
      </c>
      <c r="AI59" s="489">
        <f>'Income Statement'!CM30</f>
        <v>0</v>
      </c>
      <c r="AJ59" s="490">
        <f>'Income Statement'!CN30</f>
        <v>0</v>
      </c>
      <c r="AK59" s="490">
        <f>'Income Statement'!CO30</f>
        <v>0</v>
      </c>
      <c r="AL59" s="490">
        <f>'Income Statement'!CP30</f>
        <v>0</v>
      </c>
      <c r="AM59" s="490">
        <f>'Income Statement'!CQ30</f>
        <v>0</v>
      </c>
      <c r="AN59" s="489">
        <f>'Income Statement'!CR30</f>
        <v>0</v>
      </c>
      <c r="AO59" s="490">
        <f>'Income Statement'!CS30</f>
        <v>0</v>
      </c>
      <c r="AP59" s="490">
        <f>'Income Statement'!CT30</f>
        <v>0</v>
      </c>
      <c r="AQ59" s="490">
        <f>'Income Statement'!CU30</f>
        <v>0</v>
      </c>
      <c r="AR59" s="490">
        <f>'Income Statement'!CV30</f>
        <v>0</v>
      </c>
      <c r="AS59" s="489">
        <f>'Income Statement'!CW30</f>
        <v>0</v>
      </c>
      <c r="AT59" s="490">
        <f>'Income Statement'!CX30</f>
        <v>0</v>
      </c>
      <c r="AU59" s="490">
        <f>'Income Statement'!CY30</f>
        <v>0</v>
      </c>
      <c r="AV59" s="490">
        <f>'Income Statement'!CZ30</f>
        <v>0</v>
      </c>
      <c r="AW59" s="490">
        <f>'Income Statement'!DA30</f>
        <v>0</v>
      </c>
      <c r="AX59" s="489">
        <f>'Income Statement'!DB30</f>
        <v>0</v>
      </c>
      <c r="AY59" s="490">
        <f>'Income Statement'!DC30</f>
        <v>0</v>
      </c>
      <c r="AZ59" s="490">
        <f>'Income Statement'!DD30</f>
        <v>0</v>
      </c>
      <c r="BA59" s="490">
        <f>'Income Statement'!DE30</f>
        <v>0</v>
      </c>
      <c r="BB59" s="490">
        <f>'Income Statement'!DF30</f>
        <v>0</v>
      </c>
      <c r="BC59" s="489">
        <f>'Income Statement'!DG30</f>
        <v>0</v>
      </c>
      <c r="BD59" s="490">
        <f>'Income Statement'!DH30</f>
        <v>0</v>
      </c>
      <c r="BE59" s="490">
        <f>'Income Statement'!DI30</f>
        <v>0</v>
      </c>
      <c r="BF59" s="490">
        <f>'Income Statement'!DJ30</f>
        <v>0</v>
      </c>
      <c r="BG59" s="490">
        <f>'Income Statement'!DK30</f>
        <v>0</v>
      </c>
      <c r="BH59" s="489">
        <f>'Income Statement'!DL30</f>
        <v>0</v>
      </c>
      <c r="BI59" s="490">
        <f>'Income Statement'!DM30</f>
        <v>0</v>
      </c>
      <c r="BJ59" s="490">
        <f>'Income Statement'!DN30</f>
        <v>0</v>
      </c>
      <c r="BK59" s="490">
        <f>'Income Statement'!DO30</f>
        <v>0</v>
      </c>
      <c r="BL59" s="490">
        <f>'Income Statement'!DP30</f>
        <v>0</v>
      </c>
      <c r="BM59" s="489">
        <f>'Income Statement'!DQ30</f>
        <v>0</v>
      </c>
    </row>
    <row r="60" spans="2:65" hidden="1">
      <c r="B60" s="523" t="str">
        <f>'Income Statement'!A31</f>
        <v>Other Operating Expenses</v>
      </c>
      <c r="C60" s="489">
        <f>'Income Statement'!AY31</f>
        <v>-57038</v>
      </c>
      <c r="D60" s="489">
        <f>'Income Statement'!BD31</f>
        <v>-114799</v>
      </c>
      <c r="E60" s="489">
        <f>'Income Statement'!BI31</f>
        <v>-53581</v>
      </c>
      <c r="F60" s="500">
        <f>'Income Statement'!BJ31</f>
        <v>-11807</v>
      </c>
      <c r="G60" s="500">
        <f>'Income Statement'!BK31</f>
        <v>-18604</v>
      </c>
      <c r="H60" s="500">
        <f>'Income Statement'!BL31</f>
        <v>-19828</v>
      </c>
      <c r="I60" s="500">
        <f>'Income Statement'!BM31</f>
        <v>-50573</v>
      </c>
      <c r="J60" s="489">
        <f>'Income Statement'!BN31</f>
        <v>-100812</v>
      </c>
      <c r="K60" s="500">
        <f>'Income Statement'!BO31</f>
        <v>-14495</v>
      </c>
      <c r="L60" s="500">
        <f>'Income Statement'!BP31</f>
        <v>-149746</v>
      </c>
      <c r="M60" s="500">
        <f>'Income Statement'!BQ31</f>
        <v>16317</v>
      </c>
      <c r="N60" s="500">
        <f>'Income Statement'!BR31</f>
        <v>-23157</v>
      </c>
      <c r="O60" s="489">
        <f>'Income Statement'!BS31</f>
        <v>-171081</v>
      </c>
      <c r="P60" s="500">
        <f>'Income Statement'!BT31</f>
        <v>-4672</v>
      </c>
      <c r="Q60" s="500">
        <f>'Income Statement'!BU31</f>
        <v>-36070</v>
      </c>
      <c r="R60" s="500">
        <f>'Income Statement'!BV31</f>
        <v>-133002</v>
      </c>
      <c r="S60" s="500">
        <f>'Income Statement'!BW31</f>
        <v>-74971</v>
      </c>
      <c r="T60" s="489">
        <f>'Income Statement'!BX31</f>
        <v>-248715</v>
      </c>
      <c r="U60" s="500">
        <f>'Income Statement'!BY31</f>
        <v>-27820</v>
      </c>
      <c r="V60" s="500">
        <f>'Income Statement'!BZ31</f>
        <v>1272</v>
      </c>
      <c r="W60" s="500">
        <f>'Income Statement'!CA31</f>
        <v>-22314</v>
      </c>
      <c r="X60" s="500">
        <f>'Income Statement'!CB31</f>
        <v>19528</v>
      </c>
      <c r="Y60" s="489">
        <f>'Income Statement'!CC31</f>
        <v>-29334</v>
      </c>
      <c r="Z60" s="500">
        <f>'Income Statement'!CD31</f>
        <v>-40355</v>
      </c>
      <c r="AA60" s="500">
        <f>'Income Statement'!CE31</f>
        <v>-20788</v>
      </c>
      <c r="AB60" s="500">
        <f>'Income Statement'!CF31</f>
        <v>-29104</v>
      </c>
      <c r="AC60" s="500">
        <f>'Income Statement'!CG31</f>
        <v>26862</v>
      </c>
      <c r="AD60" s="489">
        <f>'Income Statement'!CH31</f>
        <v>-63385</v>
      </c>
      <c r="AE60" s="500">
        <f>'Income Statement'!CI31</f>
        <v>-31171</v>
      </c>
      <c r="AF60" s="500">
        <f>'Income Statement'!CJ31</f>
        <v>-14738</v>
      </c>
      <c r="AG60" s="500">
        <f>'Income Statement'!CK31</f>
        <v>-35335</v>
      </c>
      <c r="AH60" s="500">
        <f>'Income Statement'!CL31</f>
        <v>-9530</v>
      </c>
      <c r="AI60" s="489">
        <f>'Income Statement'!CM31</f>
        <v>-90774</v>
      </c>
      <c r="AJ60" s="500">
        <f>'Income Statement'!CN31</f>
        <v>-30483</v>
      </c>
      <c r="AK60" s="500">
        <f>'Income Statement'!CO31</f>
        <v>-21795</v>
      </c>
      <c r="AL60" s="500">
        <f>'Income Statement'!CP31</f>
        <v>27790</v>
      </c>
      <c r="AM60" s="500">
        <f>'Income Statement'!CQ31</f>
        <v>13030</v>
      </c>
      <c r="AN60" s="489">
        <f>'Income Statement'!CR31</f>
        <v>-11458</v>
      </c>
      <c r="AO60" s="500">
        <f>'Income Statement'!CS31</f>
        <v>-37625</v>
      </c>
      <c r="AP60" s="500">
        <f>'Income Statement'!CT31</f>
        <v>16531</v>
      </c>
      <c r="AQ60" s="500">
        <f>'Income Statement'!CU31</f>
        <v>-54025</v>
      </c>
      <c r="AR60" s="500">
        <f>'Income Statement'!CV31</f>
        <v>-25956</v>
      </c>
      <c r="AS60" s="489">
        <f>'Income Statement'!CW31</f>
        <v>-101075</v>
      </c>
      <c r="AT60" s="500">
        <f>'Income Statement'!CX31</f>
        <v>-18668</v>
      </c>
      <c r="AU60" s="500">
        <f>'Income Statement'!CY31</f>
        <v>-10492</v>
      </c>
      <c r="AV60" s="500">
        <f>'Income Statement'!CZ31</f>
        <v>-3423</v>
      </c>
      <c r="AW60" s="500">
        <f>'Income Statement'!DA31</f>
        <v>-33704</v>
      </c>
      <c r="AX60" s="489">
        <f>'Income Statement'!DB31</f>
        <v>-66287</v>
      </c>
      <c r="AY60" s="500">
        <f>'Income Statement'!DC31</f>
        <v>-70720</v>
      </c>
      <c r="AZ60" s="500">
        <f>'Income Statement'!DD31</f>
        <v>-38346</v>
      </c>
      <c r="BA60" s="500">
        <f>'Income Statement'!DE31</f>
        <v>188788</v>
      </c>
      <c r="BB60" s="500">
        <f>'Income Statement'!DF31</f>
        <v>-71050</v>
      </c>
      <c r="BC60" s="489">
        <f>'Income Statement'!DG31</f>
        <v>8672</v>
      </c>
      <c r="BD60" s="500">
        <f>'Income Statement'!DH31</f>
        <v>-64455</v>
      </c>
      <c r="BE60" s="500">
        <f>'Income Statement'!DI31</f>
        <v>-68131</v>
      </c>
      <c r="BF60" s="500">
        <f>'Income Statement'!DJ31</f>
        <v>-70139.815530518274</v>
      </c>
      <c r="BG60" s="500">
        <f>'Income Statement'!DK31</f>
        <v>-73431.979534789352</v>
      </c>
      <c r="BH60" s="489">
        <f>'Income Statement'!DL31</f>
        <v>-276157.79506530764</v>
      </c>
      <c r="BI60" s="500">
        <f>'Income Statement'!DM31</f>
        <v>-86338.675426427799</v>
      </c>
      <c r="BJ60" s="500">
        <f>'Income Statement'!DN31</f>
        <v>-88487.464916787838</v>
      </c>
      <c r="BK60" s="500">
        <f>'Income Statement'!DO31</f>
        <v>-90321.643009482912</v>
      </c>
      <c r="BL60" s="500">
        <f>'Income Statement'!DP31</f>
        <v>-94713.539394830499</v>
      </c>
      <c r="BM60" s="489">
        <f>'Income Statement'!DQ31</f>
        <v>-359861.32274752902</v>
      </c>
    </row>
    <row r="61" spans="2:65" hidden="1">
      <c r="B61" s="523" t="str">
        <f>'Income Statement'!A32</f>
        <v xml:space="preserve">  Expenses</v>
      </c>
      <c r="C61" s="489">
        <f>'Income Statement'!AY32</f>
        <v>-31457</v>
      </c>
      <c r="D61" s="489">
        <f>'Income Statement'!BD32</f>
        <v>-93195</v>
      </c>
      <c r="E61" s="489">
        <f>'Income Statement'!BI32</f>
        <v>-31977</v>
      </c>
      <c r="F61" s="501">
        <f>'Income Statement'!BJ32</f>
        <v>-4807</v>
      </c>
      <c r="G61" s="501">
        <f>'Income Statement'!BK32</f>
        <v>-10914</v>
      </c>
      <c r="H61" s="501">
        <f>'Income Statement'!BL32</f>
        <v>-8575</v>
      </c>
      <c r="I61" s="501">
        <f>'Income Statement'!BM32</f>
        <v>-19573</v>
      </c>
      <c r="J61" s="489">
        <f>'Income Statement'!BN32</f>
        <v>-43869</v>
      </c>
      <c r="K61" s="501">
        <f>'Income Statement'!BO32</f>
        <v>6847</v>
      </c>
      <c r="L61" s="501">
        <f>'Income Statement'!BP32</f>
        <v>-121085</v>
      </c>
      <c r="M61" s="501">
        <f>'Income Statement'!BQ32</f>
        <v>27192</v>
      </c>
      <c r="N61" s="501">
        <f>'Income Statement'!BR32</f>
        <v>-17500</v>
      </c>
      <c r="O61" s="489">
        <f>'Income Statement'!BS32</f>
        <v>-104546</v>
      </c>
      <c r="P61" s="501">
        <f>'Income Statement'!BT32</f>
        <v>11195</v>
      </c>
      <c r="Q61" s="501">
        <f>'Income Statement'!BU32</f>
        <v>-26486</v>
      </c>
      <c r="R61" s="501">
        <f>'Income Statement'!BV32</f>
        <v>-122127</v>
      </c>
      <c r="S61" s="501">
        <f>'Income Statement'!BW32</f>
        <v>-49928</v>
      </c>
      <c r="T61" s="489">
        <f>'Income Statement'!BX32</f>
        <v>-187346</v>
      </c>
      <c r="U61" s="501">
        <f>'Income Statement'!BY32</f>
        <v>-3461</v>
      </c>
      <c r="V61" s="501">
        <f>'Income Statement'!BZ32</f>
        <v>-6609</v>
      </c>
      <c r="W61" s="501">
        <f>'Income Statement'!CA32</f>
        <v>9224</v>
      </c>
      <c r="X61" s="501">
        <f>'Income Statement'!CB32</f>
        <v>46190</v>
      </c>
      <c r="Y61" s="489">
        <f>'Income Statement'!CC32</f>
        <v>45344</v>
      </c>
      <c r="Z61" s="501">
        <f>'Income Statement'!CD32</f>
        <v>-23156</v>
      </c>
      <c r="AA61" s="501">
        <f>'Income Statement'!CE32</f>
        <v>-7063</v>
      </c>
      <c r="AB61" s="501">
        <f>'Income Statement'!CF32</f>
        <v>-20141</v>
      </c>
      <c r="AC61" s="501">
        <f>'Income Statement'!CG32</f>
        <v>38138</v>
      </c>
      <c r="AD61" s="489">
        <f>'Income Statement'!CH32</f>
        <v>-12222</v>
      </c>
      <c r="AE61" s="501">
        <f>'Income Statement'!CI32</f>
        <v>-20239</v>
      </c>
      <c r="AF61" s="501">
        <f>'Income Statement'!CJ32</f>
        <v>-4276</v>
      </c>
      <c r="AG61" s="501">
        <f>'Income Statement'!CK32</f>
        <v>-24315</v>
      </c>
      <c r="AH61" s="501">
        <f>'Income Statement'!CL32</f>
        <v>-1921</v>
      </c>
      <c r="AI61" s="489">
        <f>'Income Statement'!CM32</f>
        <v>-50751</v>
      </c>
      <c r="AJ61" s="501">
        <f>'Income Statement'!CN32</f>
        <v>-21951</v>
      </c>
      <c r="AK61" s="501">
        <f>'Income Statement'!CO32</f>
        <v>-12544</v>
      </c>
      <c r="AL61" s="501">
        <f>'Income Statement'!CP32</f>
        <v>50622</v>
      </c>
      <c r="AM61" s="501">
        <f>'Income Statement'!CQ32</f>
        <v>15889</v>
      </c>
      <c r="AN61" s="489">
        <f>'Income Statement'!CR32</f>
        <v>32016</v>
      </c>
      <c r="AO61" s="501">
        <f>'Income Statement'!CS32</f>
        <v>-8341</v>
      </c>
      <c r="AP61" s="501">
        <f>'Income Statement'!CT32</f>
        <v>32602</v>
      </c>
      <c r="AQ61" s="501">
        <f>'Income Statement'!CU32</f>
        <v>-11723</v>
      </c>
      <c r="AR61" s="501">
        <f>'Income Statement'!CV32</f>
        <v>-46525</v>
      </c>
      <c r="AS61" s="489">
        <f>'Income Statement'!CW32</f>
        <v>-33987</v>
      </c>
      <c r="AT61" s="501">
        <f>'Income Statement'!CX32</f>
        <v>4970</v>
      </c>
      <c r="AU61" s="501">
        <f>'Income Statement'!CY32</f>
        <v>5873</v>
      </c>
      <c r="AV61" s="501">
        <f>'Income Statement'!CZ32</f>
        <v>36576</v>
      </c>
      <c r="AW61" s="501">
        <f>'Income Statement'!DA32</f>
        <v>-13647</v>
      </c>
      <c r="AX61" s="489">
        <f>'Income Statement'!DB32</f>
        <v>33772</v>
      </c>
      <c r="AY61" s="501">
        <f>'Income Statement'!DC32</f>
        <v>-40448</v>
      </c>
      <c r="AZ61" s="501">
        <f>'Income Statement'!DD32</f>
        <v>-14544</v>
      </c>
      <c r="BA61" s="501">
        <f>'Income Statement'!DE32</f>
        <v>4417</v>
      </c>
      <c r="BB61" s="501">
        <f>'Income Statement'!DF32</f>
        <v>-21178</v>
      </c>
      <c r="BC61" s="489">
        <f>'Income Statement'!DG32</f>
        <v>-71753</v>
      </c>
      <c r="BD61" s="501">
        <f>'Income Statement'!DH32</f>
        <v>-9872</v>
      </c>
      <c r="BE61" s="501">
        <f>'Income Statement'!DI32</f>
        <v>-26965</v>
      </c>
      <c r="BF61" s="501">
        <f>'Income Statement'!DJ32</f>
        <v>-27467.053225030002</v>
      </c>
      <c r="BG61" s="501">
        <f>'Income Statement'!DK32</f>
        <v>-30492.764493347455</v>
      </c>
      <c r="BH61" s="489">
        <f>'Income Statement'!DL32</f>
        <v>-94796.817718377453</v>
      </c>
      <c r="BI61" s="501">
        <f>'Income Statement'!DM32</f>
        <v>-43131.343893121913</v>
      </c>
      <c r="BJ61" s="501">
        <f>'Income Statement'!DN32</f>
        <v>-45010.34274705944</v>
      </c>
      <c r="BK61" s="501">
        <f>'Income Statement'!DO32</f>
        <v>-46573.045605257576</v>
      </c>
      <c r="BL61" s="501">
        <f>'Income Statement'!DP32</f>
        <v>-50691.77163924522</v>
      </c>
      <c r="BM61" s="489">
        <f>'Income Statement'!DQ32</f>
        <v>-185406.50388468412</v>
      </c>
    </row>
    <row r="62" spans="2:65" hidden="1">
      <c r="B62" s="523" t="str">
        <f>'Income Statement'!A33</f>
        <v xml:space="preserve">  Depreciation&amp;Amortization</v>
      </c>
      <c r="C62" s="489">
        <f>'Income Statement'!AY33</f>
        <v>-19581</v>
      </c>
      <c r="D62" s="489">
        <f>'Income Statement'!BD33</f>
        <v>-21604</v>
      </c>
      <c r="E62" s="489">
        <f>'Income Statement'!BI33</f>
        <v>-21604</v>
      </c>
      <c r="F62" s="461">
        <f>'Income Statement'!BJ33</f>
        <v>-7000</v>
      </c>
      <c r="G62" s="461">
        <f>'Income Statement'!BK33</f>
        <v>-7690</v>
      </c>
      <c r="H62" s="500">
        <f>'Income Statement'!BL33</f>
        <v>-11253</v>
      </c>
      <c r="I62" s="500">
        <f>'Income Statement'!BM33</f>
        <v>-31000</v>
      </c>
      <c r="J62" s="489">
        <f>'Income Statement'!BN33</f>
        <v>-56943</v>
      </c>
      <c r="K62" s="500">
        <f>'Income Statement'!BO33</f>
        <v>-21342</v>
      </c>
      <c r="L62" s="500">
        <f>'Income Statement'!BP33</f>
        <v>-28661</v>
      </c>
      <c r="M62" s="500">
        <f>'Income Statement'!BQ33</f>
        <v>-10875</v>
      </c>
      <c r="N62" s="500">
        <f>'Income Statement'!BR33</f>
        <v>-5657</v>
      </c>
      <c r="O62" s="489">
        <f>'Income Statement'!BS33</f>
        <v>-66535</v>
      </c>
      <c r="P62" s="500">
        <f>'Income Statement'!BT33</f>
        <v>-15867</v>
      </c>
      <c r="Q62" s="500">
        <f>'Income Statement'!BU33</f>
        <v>-9584</v>
      </c>
      <c r="R62" s="500">
        <f>'Income Statement'!BV33</f>
        <v>-10875</v>
      </c>
      <c r="S62" s="500">
        <f>'Income Statement'!BW33</f>
        <v>-25043</v>
      </c>
      <c r="T62" s="489">
        <f>'Income Statement'!BX33</f>
        <v>-61369</v>
      </c>
      <c r="U62" s="500">
        <f>'Income Statement'!BY33</f>
        <v>-24359</v>
      </c>
      <c r="V62" s="500">
        <f>'Income Statement'!BZ33</f>
        <v>7881</v>
      </c>
      <c r="W62" s="500">
        <f>'Income Statement'!CA33</f>
        <v>-31538</v>
      </c>
      <c r="X62" s="500">
        <f>'Income Statement'!CB33</f>
        <v>-26662</v>
      </c>
      <c r="Y62" s="489">
        <f>'Income Statement'!CC33</f>
        <v>-74678</v>
      </c>
      <c r="Z62" s="500">
        <f>'Income Statement'!CD33</f>
        <v>-17199</v>
      </c>
      <c r="AA62" s="500">
        <f>'Income Statement'!CE33</f>
        <v>-13725</v>
      </c>
      <c r="AB62" s="500">
        <f>'Income Statement'!CF33</f>
        <v>-8963</v>
      </c>
      <c r="AC62" s="500">
        <f>'Income Statement'!CG33</f>
        <v>-11276</v>
      </c>
      <c r="AD62" s="489">
        <f>'Income Statement'!CH33</f>
        <v>-51163</v>
      </c>
      <c r="AE62" s="500">
        <f>'Income Statement'!CI33</f>
        <v>-10932</v>
      </c>
      <c r="AF62" s="500">
        <f>'Income Statement'!CJ33</f>
        <v>-10462</v>
      </c>
      <c r="AG62" s="500">
        <f>'Income Statement'!CK33</f>
        <v>-11020</v>
      </c>
      <c r="AH62" s="500">
        <f>'Income Statement'!CL33</f>
        <v>-7609</v>
      </c>
      <c r="AI62" s="489">
        <f>'Income Statement'!CM33</f>
        <v>-40023</v>
      </c>
      <c r="AJ62" s="500">
        <f>'Income Statement'!CN33</f>
        <v>-8532</v>
      </c>
      <c r="AK62" s="500">
        <f>'Income Statement'!CO33</f>
        <v>-9251</v>
      </c>
      <c r="AL62" s="500">
        <f>'Income Statement'!CP33</f>
        <v>-22832</v>
      </c>
      <c r="AM62" s="500">
        <f>'Income Statement'!CQ33</f>
        <v>-2859</v>
      </c>
      <c r="AN62" s="489">
        <f>'Income Statement'!CR33</f>
        <v>-43474</v>
      </c>
      <c r="AO62" s="500">
        <f>'Income Statement'!CS33</f>
        <v>-29284</v>
      </c>
      <c r="AP62" s="500">
        <f>'Income Statement'!CT33</f>
        <v>-16071</v>
      </c>
      <c r="AQ62" s="500">
        <f>'Income Statement'!CU33</f>
        <v>-42302</v>
      </c>
      <c r="AR62" s="500">
        <f>'Income Statement'!CV33</f>
        <v>20569</v>
      </c>
      <c r="AS62" s="489">
        <f>'Income Statement'!CW33</f>
        <v>-67088</v>
      </c>
      <c r="AT62" s="500">
        <f>'Income Statement'!CX33</f>
        <v>-23638</v>
      </c>
      <c r="AU62" s="500">
        <f>'Income Statement'!CY33</f>
        <v>-16365</v>
      </c>
      <c r="AV62" s="500">
        <f>'Income Statement'!CZ33</f>
        <v>-39999</v>
      </c>
      <c r="AW62" s="500">
        <f>'Income Statement'!DA33</f>
        <v>-20057</v>
      </c>
      <c r="AX62" s="489">
        <f>'Income Statement'!DB33</f>
        <v>-100059</v>
      </c>
      <c r="AY62" s="500">
        <f>'Income Statement'!DC33</f>
        <v>-30272</v>
      </c>
      <c r="AZ62" s="500">
        <f>'Income Statement'!DD33</f>
        <v>-23802</v>
      </c>
      <c r="BA62" s="500">
        <f>'Income Statement'!DE33</f>
        <v>-28629</v>
      </c>
      <c r="BB62" s="500">
        <f>'Income Statement'!DF33</f>
        <v>-49872</v>
      </c>
      <c r="BC62" s="489">
        <f>'Income Statement'!DG33</f>
        <v>-132575</v>
      </c>
      <c r="BD62" s="500">
        <f>'Income Statement'!DH33</f>
        <v>-54583</v>
      </c>
      <c r="BE62" s="500">
        <f>'Income Statement'!DI33</f>
        <v>-41166</v>
      </c>
      <c r="BF62" s="500">
        <f>'Income Statement'!DJ33</f>
        <v>-42672.762305488272</v>
      </c>
      <c r="BG62" s="500">
        <f>'Income Statement'!DK33</f>
        <v>-42939.215041441901</v>
      </c>
      <c r="BH62" s="489">
        <f>'Income Statement'!DL33</f>
        <v>-181360.97734693019</v>
      </c>
      <c r="BI62" s="500">
        <f>'Income Statement'!DM33</f>
        <v>-43207.331533305885</v>
      </c>
      <c r="BJ62" s="500">
        <f>'Income Statement'!DN33</f>
        <v>-43477.122169728405</v>
      </c>
      <c r="BK62" s="500">
        <f>'Income Statement'!DO33</f>
        <v>-43748.597404225344</v>
      </c>
      <c r="BL62" s="500">
        <f>'Income Statement'!DP33</f>
        <v>-44021.767755585286</v>
      </c>
      <c r="BM62" s="489">
        <f>'Income Statement'!DQ33</f>
        <v>-174454.81886284493</v>
      </c>
    </row>
    <row r="63" spans="2:65" hidden="1">
      <c r="B63" s="523" t="str">
        <f>'Income Statement'!A34</f>
        <v xml:space="preserve">  Extraordinary items</v>
      </c>
      <c r="C63" s="489">
        <f>'Income Statement'!AY34</f>
        <v>-6000</v>
      </c>
      <c r="D63" s="489">
        <f>'Income Statement'!BD34</f>
        <v>0</v>
      </c>
      <c r="E63" s="489">
        <f>'Income Statement'!BI34</f>
        <v>0</v>
      </c>
      <c r="F63" s="490">
        <f>'Income Statement'!BJ34</f>
        <v>0</v>
      </c>
      <c r="G63" s="490">
        <f>'Income Statement'!BK34</f>
        <v>0</v>
      </c>
      <c r="H63" s="490">
        <f>'Income Statement'!BL34</f>
        <v>0</v>
      </c>
      <c r="I63" s="490">
        <f>'Income Statement'!BM34</f>
        <v>0</v>
      </c>
      <c r="J63" s="489">
        <f>'Income Statement'!BN34</f>
        <v>0</v>
      </c>
      <c r="K63" s="490">
        <f>'Income Statement'!BO34</f>
        <v>0</v>
      </c>
      <c r="L63" s="490">
        <f>'Income Statement'!BP34</f>
        <v>0</v>
      </c>
      <c r="M63" s="490">
        <f>'Income Statement'!BQ34</f>
        <v>0</v>
      </c>
      <c r="N63" s="490">
        <f>'Income Statement'!BR34</f>
        <v>0</v>
      </c>
      <c r="O63" s="489">
        <f>'Income Statement'!BS34</f>
        <v>0</v>
      </c>
      <c r="P63" s="490">
        <f>'Income Statement'!BT34</f>
        <v>0</v>
      </c>
      <c r="Q63" s="490">
        <f>'Income Statement'!BU34</f>
        <v>0</v>
      </c>
      <c r="R63" s="490">
        <f>'Income Statement'!BV34</f>
        <v>0</v>
      </c>
      <c r="S63" s="490">
        <f>'Income Statement'!BW34</f>
        <v>0</v>
      </c>
      <c r="T63" s="489">
        <f>'Income Statement'!BX34</f>
        <v>0</v>
      </c>
      <c r="U63" s="490">
        <f>'Income Statement'!BY34</f>
        <v>0</v>
      </c>
      <c r="V63" s="490">
        <f>'Income Statement'!BZ34</f>
        <v>0</v>
      </c>
      <c r="W63" s="490">
        <f>'Income Statement'!CA34</f>
        <v>0</v>
      </c>
      <c r="X63" s="490">
        <f>'Income Statement'!CB34</f>
        <v>0</v>
      </c>
      <c r="Y63" s="489">
        <f>'Income Statement'!CC34</f>
        <v>0</v>
      </c>
      <c r="Z63" s="490">
        <f>'Income Statement'!CD34</f>
        <v>0</v>
      </c>
      <c r="AA63" s="490">
        <f>'Income Statement'!CE34</f>
        <v>0</v>
      </c>
      <c r="AB63" s="490">
        <f>'Income Statement'!CF34</f>
        <v>0</v>
      </c>
      <c r="AC63" s="490">
        <f>'Income Statement'!CG34</f>
        <v>0</v>
      </c>
      <c r="AD63" s="489">
        <f>'Income Statement'!CH34</f>
        <v>0</v>
      </c>
      <c r="AE63" s="490">
        <f>'Income Statement'!CI34</f>
        <v>0</v>
      </c>
      <c r="AF63" s="490">
        <f>'Income Statement'!CJ34</f>
        <v>0</v>
      </c>
      <c r="AG63" s="490">
        <f>'Income Statement'!CK34</f>
        <v>0</v>
      </c>
      <c r="AH63" s="490">
        <f>'Income Statement'!CL34</f>
        <v>0</v>
      </c>
      <c r="AI63" s="489">
        <f>'Income Statement'!CM34</f>
        <v>0</v>
      </c>
      <c r="AJ63" s="490">
        <f>'Income Statement'!CN34</f>
        <v>0</v>
      </c>
      <c r="AK63" s="490">
        <f>'Income Statement'!CO34</f>
        <v>0</v>
      </c>
      <c r="AL63" s="490">
        <f>'Income Statement'!CP34</f>
        <v>0</v>
      </c>
      <c r="AM63" s="490">
        <f>'Income Statement'!CQ34</f>
        <v>0</v>
      </c>
      <c r="AN63" s="489">
        <f>'Income Statement'!CR34</f>
        <v>0</v>
      </c>
      <c r="AO63" s="490">
        <f>'Income Statement'!CS34</f>
        <v>0</v>
      </c>
      <c r="AP63" s="490">
        <f>'Income Statement'!CT34</f>
        <v>0</v>
      </c>
      <c r="AQ63" s="490">
        <f>'Income Statement'!CU34</f>
        <v>0</v>
      </c>
      <c r="AR63" s="490">
        <f>'Income Statement'!CV34</f>
        <v>0</v>
      </c>
      <c r="AS63" s="489">
        <f>'Income Statement'!CW34</f>
        <v>0</v>
      </c>
      <c r="AT63" s="490">
        <f>'Income Statement'!CX34</f>
        <v>0</v>
      </c>
      <c r="AU63" s="490">
        <f>'Income Statement'!CY34</f>
        <v>0</v>
      </c>
      <c r="AV63" s="490">
        <f>'Income Statement'!CZ34</f>
        <v>0</v>
      </c>
      <c r="AW63" s="490">
        <f>'Income Statement'!DA34</f>
        <v>0</v>
      </c>
      <c r="AX63" s="489">
        <f>'Income Statement'!DB34</f>
        <v>0</v>
      </c>
      <c r="AY63" s="490">
        <f>'Income Statement'!DC34</f>
        <v>0</v>
      </c>
      <c r="AZ63" s="490">
        <f>'Income Statement'!DD34</f>
        <v>0</v>
      </c>
      <c r="BA63" s="490">
        <f>'Income Statement'!DE34</f>
        <v>213000</v>
      </c>
      <c r="BB63" s="490">
        <f>'Income Statement'!DF34</f>
        <v>0</v>
      </c>
      <c r="BC63" s="489">
        <f>'Income Statement'!DG34</f>
        <v>213000</v>
      </c>
      <c r="BD63" s="490">
        <f>'Income Statement'!DH34</f>
        <v>0</v>
      </c>
      <c r="BE63" s="490">
        <f>'Income Statement'!DI34</f>
        <v>0</v>
      </c>
      <c r="BF63" s="490">
        <f>'Income Statement'!DJ34</f>
        <v>0</v>
      </c>
      <c r="BG63" s="490">
        <f>'Income Statement'!DK34</f>
        <v>0</v>
      </c>
      <c r="BH63" s="489">
        <f>'Income Statement'!DL34</f>
        <v>0</v>
      </c>
      <c r="BI63" s="490">
        <f>'Income Statement'!DM34</f>
        <v>0</v>
      </c>
      <c r="BJ63" s="490">
        <f>'Income Statement'!DN34</f>
        <v>0</v>
      </c>
      <c r="BK63" s="490">
        <f>'Income Statement'!DO34</f>
        <v>0</v>
      </c>
      <c r="BL63" s="490">
        <f>'Income Statement'!DP34</f>
        <v>0</v>
      </c>
      <c r="BM63" s="489">
        <f>'Income Statement'!DQ34</f>
        <v>0</v>
      </c>
    </row>
    <row r="64" spans="2:65" hidden="1">
      <c r="B64" s="523" t="str">
        <f>'Income Statement'!A35</f>
        <v>Equity Income</v>
      </c>
      <c r="C64" s="489">
        <f>'Income Statement'!AY35</f>
        <v>106630</v>
      </c>
      <c r="D64" s="489">
        <f>'Income Statement'!BD35</f>
        <v>118657</v>
      </c>
      <c r="E64" s="489">
        <f>'Income Statement'!BI35</f>
        <v>73651</v>
      </c>
      <c r="F64" s="501">
        <f>'Income Statement'!BJ35</f>
        <v>6882</v>
      </c>
      <c r="G64" s="490">
        <f>'Income Statement'!BK35</f>
        <v>12736</v>
      </c>
      <c r="H64" s="501">
        <f>'Income Statement'!BL35</f>
        <v>5795</v>
      </c>
      <c r="I64" s="501">
        <f>'Income Statement'!BM35</f>
        <v>34313</v>
      </c>
      <c r="J64" s="489">
        <f>'Income Statement'!BN35</f>
        <v>59726</v>
      </c>
      <c r="K64" s="501">
        <f>'Income Statement'!BO35</f>
        <v>1752</v>
      </c>
      <c r="L64" s="501">
        <f>'Income Statement'!BP35</f>
        <v>34350</v>
      </c>
      <c r="M64" s="501">
        <f>'Income Statement'!BQ35</f>
        <v>25084</v>
      </c>
      <c r="N64" s="501">
        <f>'Income Statement'!BR35</f>
        <v>66179</v>
      </c>
      <c r="O64" s="489">
        <f>'Income Statement'!BS35</f>
        <v>127365</v>
      </c>
      <c r="P64" s="501">
        <f>'Income Statement'!BT35</f>
        <v>10149</v>
      </c>
      <c r="Q64" s="501">
        <f>'Income Statement'!BU35</f>
        <v>14024</v>
      </c>
      <c r="R64" s="501">
        <f>'Income Statement'!BV35</f>
        <v>22686</v>
      </c>
      <c r="S64" s="501">
        <f>'Income Statement'!BW35</f>
        <v>60795</v>
      </c>
      <c r="T64" s="489">
        <f>'Income Statement'!BX35</f>
        <v>107654</v>
      </c>
      <c r="U64" s="501">
        <f>'Income Statement'!BY35</f>
        <v>-842</v>
      </c>
      <c r="V64" s="501">
        <f>'Income Statement'!BZ35</f>
        <v>51491</v>
      </c>
      <c r="W64" s="501">
        <f>'Income Statement'!CA35</f>
        <v>35780</v>
      </c>
      <c r="X64" s="501">
        <f>'Income Statement'!CB35</f>
        <v>17771</v>
      </c>
      <c r="Y64" s="489">
        <f>'Income Statement'!CC35</f>
        <v>104200</v>
      </c>
      <c r="Z64" s="501">
        <f>'Income Statement'!CD35</f>
        <v>10692</v>
      </c>
      <c r="AA64" s="501">
        <f>'Income Statement'!CE35</f>
        <v>21467</v>
      </c>
      <c r="AB64" s="501">
        <f>'Income Statement'!CF35</f>
        <v>64800</v>
      </c>
      <c r="AC64" s="501">
        <f>'Income Statement'!CG35</f>
        <v>58753</v>
      </c>
      <c r="AD64" s="489">
        <f>'Income Statement'!CH35</f>
        <v>155712</v>
      </c>
      <c r="AE64" s="501">
        <f>'Income Statement'!CI35</f>
        <v>79017</v>
      </c>
      <c r="AF64" s="501">
        <f>'Income Statement'!CJ35</f>
        <v>74405</v>
      </c>
      <c r="AG64" s="501">
        <f>'Income Statement'!CK35</f>
        <v>78321</v>
      </c>
      <c r="AH64" s="501">
        <f>'Income Statement'!CL35</f>
        <v>65424</v>
      </c>
      <c r="AI64" s="489">
        <f>'Income Statement'!CM35</f>
        <v>297167</v>
      </c>
      <c r="AJ64" s="501">
        <f>'Income Statement'!CN35</f>
        <v>60334</v>
      </c>
      <c r="AK64" s="501">
        <f>'Income Statement'!CO35</f>
        <v>38724</v>
      </c>
      <c r="AL64" s="501">
        <f>'Income Statement'!CP35</f>
        <v>59701</v>
      </c>
      <c r="AM64" s="501">
        <f>'Income Statement'!CQ35</f>
        <v>58326</v>
      </c>
      <c r="AN64" s="489">
        <f>'Income Statement'!CR35</f>
        <v>217085</v>
      </c>
      <c r="AO64" s="501">
        <f>'Income Statement'!CS35</f>
        <v>47138</v>
      </c>
      <c r="AP64" s="501">
        <f>'Income Statement'!CT35</f>
        <v>33021</v>
      </c>
      <c r="AQ64" s="501">
        <f>'Income Statement'!CU35</f>
        <v>89430</v>
      </c>
      <c r="AR64" s="501">
        <f>'Income Statement'!CV35</f>
        <v>92470</v>
      </c>
      <c r="AS64" s="489">
        <f>'Income Statement'!CW35</f>
        <v>262059</v>
      </c>
      <c r="AT64" s="501">
        <f>'Income Statement'!CX35</f>
        <v>100891</v>
      </c>
      <c r="AU64" s="501">
        <f>'Income Statement'!CY35</f>
        <v>116467</v>
      </c>
      <c r="AV64" s="501">
        <f>'Income Statement'!CZ35</f>
        <v>135914</v>
      </c>
      <c r="AW64" s="501">
        <f>'Income Statement'!DA35</f>
        <v>147608</v>
      </c>
      <c r="AX64" s="489">
        <f>'Income Statement'!DB35</f>
        <v>500880</v>
      </c>
      <c r="AY64" s="501">
        <f>'Income Statement'!DC35</f>
        <v>112558</v>
      </c>
      <c r="AZ64" s="501">
        <f>'Income Statement'!DD35</f>
        <v>139609</v>
      </c>
      <c r="BA64" s="501">
        <f>'Income Statement'!DE35</f>
        <v>131891</v>
      </c>
      <c r="BB64" s="501">
        <f>'Income Statement'!DF35</f>
        <v>164048</v>
      </c>
      <c r="BC64" s="489">
        <f>'Income Statement'!DG35</f>
        <v>548106</v>
      </c>
      <c r="BD64" s="501">
        <f>'Income Statement'!DH35</f>
        <v>128141</v>
      </c>
      <c r="BE64" s="501">
        <f>'Income Statement'!DI35</f>
        <v>106557</v>
      </c>
      <c r="BF64" s="501">
        <f>'Income Statement'!DJ35</f>
        <v>152756.77435510326</v>
      </c>
      <c r="BG64" s="501">
        <f>'Income Statement'!DK35</f>
        <v>167018.49188163708</v>
      </c>
      <c r="BH64" s="489">
        <f>'Income Statement'!DL35</f>
        <v>554473.2662367404</v>
      </c>
      <c r="BI64" s="501">
        <f>'Income Statement'!DM35</f>
        <v>161378.41027654873</v>
      </c>
      <c r="BJ64" s="501">
        <f>'Income Statement'!DN35</f>
        <v>173048.6787032843</v>
      </c>
      <c r="BK64" s="501">
        <f>'Income Statement'!DO35</f>
        <v>180222.14820831997</v>
      </c>
      <c r="BL64" s="501">
        <f>'Income Statement'!DP35</f>
        <v>187958.75119546882</v>
      </c>
      <c r="BM64" s="489">
        <f>'Income Statement'!DQ35</f>
        <v>702607.98838362191</v>
      </c>
    </row>
    <row r="65" spans="2:65">
      <c r="B65" s="525" t="s">
        <v>4</v>
      </c>
      <c r="C65" s="487">
        <f>'Income Statement'!AY58</f>
        <v>1177770</v>
      </c>
      <c r="D65" s="487">
        <f>'Income Statement'!BD58</f>
        <v>1129434</v>
      </c>
      <c r="E65" s="487">
        <f>'Income Statement'!BI58</f>
        <v>837346</v>
      </c>
      <c r="F65" s="488">
        <f>'Income Statement'!BJ58</f>
        <v>160182</v>
      </c>
      <c r="G65" s="488">
        <f>'Income Statement'!BK58</f>
        <v>98307</v>
      </c>
      <c r="H65" s="488">
        <f>'Income Statement'!BL58</f>
        <v>118245</v>
      </c>
      <c r="I65" s="488">
        <f>'Income Statement'!BM58</f>
        <v>94124</v>
      </c>
      <c r="J65" s="487">
        <f>'Income Statement'!BN58</f>
        <v>470858</v>
      </c>
      <c r="K65" s="488">
        <f>'Income Statement'!BO58</f>
        <v>101201</v>
      </c>
      <c r="L65" s="488">
        <f>'Income Statement'!BP58</f>
        <v>-82779</v>
      </c>
      <c r="M65" s="488">
        <f>'Income Statement'!BQ58</f>
        <v>31821</v>
      </c>
      <c r="N65" s="488">
        <f>'Income Statement'!BR58</f>
        <v>57632</v>
      </c>
      <c r="O65" s="487">
        <f>'Income Statement'!BS58</f>
        <v>107875</v>
      </c>
      <c r="P65" s="488">
        <f>'Income Statement'!BT58</f>
        <v>5663</v>
      </c>
      <c r="Q65" s="488">
        <f>'Income Statement'!BU58</f>
        <v>15129</v>
      </c>
      <c r="R65" s="488">
        <f>'Income Statement'!BV58</f>
        <v>-44829</v>
      </c>
      <c r="S65" s="488">
        <f>'Income Statement'!BW58</f>
        <v>139911</v>
      </c>
      <c r="T65" s="487">
        <f>'Income Statement'!BX58</f>
        <v>95874</v>
      </c>
      <c r="U65" s="488">
        <f>'Income Statement'!BY58</f>
        <v>126684</v>
      </c>
      <c r="V65" s="488">
        <f>'Income Statement'!BZ58</f>
        <v>102510</v>
      </c>
      <c r="W65" s="488">
        <f>'Income Statement'!CA58</f>
        <v>149795</v>
      </c>
      <c r="X65" s="488">
        <f>'Income Statement'!CB58</f>
        <v>262781</v>
      </c>
      <c r="Y65" s="487">
        <f>'Income Statement'!CC58</f>
        <v>641770</v>
      </c>
      <c r="Z65" s="488">
        <f>'Income Statement'!CD58</f>
        <v>79984</v>
      </c>
      <c r="AA65" s="488">
        <f>'Income Statement'!CE58</f>
        <v>111840</v>
      </c>
      <c r="AB65" s="488">
        <f>'Income Statement'!CF58</f>
        <v>221112</v>
      </c>
      <c r="AC65" s="488">
        <f>'Income Statement'!CG58</f>
        <v>226746</v>
      </c>
      <c r="AD65" s="487">
        <f>'Income Statement'!CH58</f>
        <v>639682</v>
      </c>
      <c r="AE65" s="488">
        <f>'Income Statement'!CI58</f>
        <v>156079</v>
      </c>
      <c r="AF65" s="488">
        <f>'Income Statement'!CJ58</f>
        <v>248539</v>
      </c>
      <c r="AG65" s="488">
        <f>'Income Statement'!CK58</f>
        <v>228262</v>
      </c>
      <c r="AH65" s="488">
        <f>'Income Statement'!CL58</f>
        <v>219311</v>
      </c>
      <c r="AI65" s="487">
        <f>'Income Statement'!CM58</f>
        <v>852191</v>
      </c>
      <c r="AJ65" s="488">
        <f>'Income Statement'!CN58</f>
        <v>152203</v>
      </c>
      <c r="AK65" s="488">
        <f>'Income Statement'!CO58</f>
        <v>156659</v>
      </c>
      <c r="AL65" s="488">
        <f>'Income Statement'!CP58</f>
        <v>321002</v>
      </c>
      <c r="AM65" s="488">
        <f>'Income Statement'!CQ58</f>
        <v>211627</v>
      </c>
      <c r="AN65" s="487">
        <f>'Income Statement'!CR58</f>
        <v>841491</v>
      </c>
      <c r="AO65" s="488">
        <f>'Income Statement'!CS58</f>
        <v>184271</v>
      </c>
      <c r="AP65" s="488">
        <f>'Income Statement'!CT58</f>
        <v>332097</v>
      </c>
      <c r="AQ65" s="488">
        <f>'Income Statement'!CU58</f>
        <v>300438</v>
      </c>
      <c r="AR65" s="488">
        <f>'Income Statement'!CV58</f>
        <v>252210</v>
      </c>
      <c r="AS65" s="487">
        <f>'Income Statement'!CW58</f>
        <v>1069016</v>
      </c>
      <c r="AT65" s="488">
        <f>'Income Statement'!CX58</f>
        <v>288575</v>
      </c>
      <c r="AU65" s="488">
        <f>'Income Statement'!CY58</f>
        <v>409645</v>
      </c>
      <c r="AV65" s="488">
        <f>'Income Statement'!CZ58</f>
        <v>493437</v>
      </c>
      <c r="AW65" s="488">
        <f>'Income Statement'!DA58</f>
        <v>534308</v>
      </c>
      <c r="AX65" s="487">
        <f>'Income Statement'!DB58</f>
        <v>1725965</v>
      </c>
      <c r="AY65" s="488">
        <f>'Income Statement'!DC58</f>
        <v>333171</v>
      </c>
      <c r="AZ65" s="488">
        <f>'Income Statement'!DD58</f>
        <v>392064</v>
      </c>
      <c r="BA65" s="488">
        <f>'Income Statement'!DE58</f>
        <v>414661</v>
      </c>
      <c r="BB65" s="488">
        <f>'Income Statement'!DF58</f>
        <v>705984</v>
      </c>
      <c r="BC65" s="487">
        <f>'Income Statement'!DG58</f>
        <v>1845880</v>
      </c>
      <c r="BD65" s="488">
        <f>'Income Statement'!DH58</f>
        <v>365264</v>
      </c>
      <c r="BE65" s="488">
        <f>'Income Statement'!DI58</f>
        <v>511756</v>
      </c>
      <c r="BF65" s="488">
        <f>'Income Statement'!DJ58</f>
        <v>571699.90517564712</v>
      </c>
      <c r="BG65" s="488">
        <f>'Income Statement'!DK58</f>
        <v>651970.45440780581</v>
      </c>
      <c r="BH65" s="487">
        <f>'Income Statement'!DL58</f>
        <v>2100690.3595834537</v>
      </c>
      <c r="BI65" s="488">
        <f>'Income Statement'!DM58</f>
        <v>599163.79693914403</v>
      </c>
      <c r="BJ65" s="488">
        <f>'Income Statement'!DN58</f>
        <v>610690.83713787503</v>
      </c>
      <c r="BK65" s="488">
        <f>'Income Statement'!DO58</f>
        <v>623107.96396778151</v>
      </c>
      <c r="BL65" s="488">
        <f>'Income Statement'!DP58</f>
        <v>666612.54891409213</v>
      </c>
      <c r="BM65" s="487">
        <f>'Income Statement'!DQ58</f>
        <v>2499575.1469588918</v>
      </c>
    </row>
    <row r="66" spans="2:65" hidden="1" outlineLevel="1">
      <c r="B66" s="525" t="str">
        <f>'Income Statement'!A36</f>
        <v>Operating Income</v>
      </c>
      <c r="C66" s="487">
        <f>'Income Statement'!AY36</f>
        <v>1023890</v>
      </c>
      <c r="D66" s="487">
        <f>'Income Statement'!BD36</f>
        <v>976407</v>
      </c>
      <c r="E66" s="487">
        <f>'Income Statement'!BI36</f>
        <v>690404</v>
      </c>
      <c r="F66" s="488">
        <f>'Income Statement'!BJ36</f>
        <v>107117</v>
      </c>
      <c r="G66" s="488">
        <f>'Income Statement'!BK36</f>
        <v>71337</v>
      </c>
      <c r="H66" s="488">
        <f>'Income Statement'!BL36</f>
        <v>61473</v>
      </c>
      <c r="I66" s="488">
        <f>'Income Statement'!BM36</f>
        <v>78416</v>
      </c>
      <c r="J66" s="487">
        <f>'Income Statement'!BN36</f>
        <v>318343</v>
      </c>
      <c r="K66" s="488">
        <f>'Income Statement'!BO36</f>
        <v>49697</v>
      </c>
      <c r="L66" s="488">
        <f>'Income Statement'!BP36</f>
        <v>-119981</v>
      </c>
      <c r="M66" s="488">
        <f>'Income Statement'!BQ36</f>
        <v>28451</v>
      </c>
      <c r="N66" s="488">
        <f>'Income Statement'!BR36</f>
        <v>96463</v>
      </c>
      <c r="O66" s="487">
        <f>'Income Statement'!BS36</f>
        <v>54630</v>
      </c>
      <c r="P66" s="488">
        <f>'Income Statement'!BT36</f>
        <v>-22900</v>
      </c>
      <c r="Q66" s="488">
        <f>'Income Statement'!BU36</f>
        <v>-4938</v>
      </c>
      <c r="R66" s="488">
        <f>'Income Statement'!BV36</f>
        <v>-78688</v>
      </c>
      <c r="S66" s="488">
        <f>'Income Statement'!BW36</f>
        <v>181086</v>
      </c>
      <c r="T66" s="487">
        <f>'Income Statement'!BX36</f>
        <v>74560</v>
      </c>
      <c r="U66" s="488">
        <f>'Income Statement'!BY36</f>
        <v>79512</v>
      </c>
      <c r="V66" s="488">
        <f>'Income Statement'!BZ36</f>
        <v>161495</v>
      </c>
      <c r="W66" s="488">
        <f>'Income Statement'!CA36</f>
        <v>142930</v>
      </c>
      <c r="X66" s="488">
        <f>'Income Statement'!CB36</f>
        <v>236554</v>
      </c>
      <c r="Y66" s="487">
        <f>'Income Statement'!CC36</f>
        <v>620491</v>
      </c>
      <c r="Z66" s="488">
        <f>'Income Statement'!CD36</f>
        <v>65085</v>
      </c>
      <c r="AA66" s="488">
        <f>'Income Statement'!CE36</f>
        <v>109257</v>
      </c>
      <c r="AB66" s="488">
        <f>'Income Statement'!CF36</f>
        <v>1436163</v>
      </c>
      <c r="AC66" s="488">
        <f>'Income Statement'!CG36</f>
        <v>303874</v>
      </c>
      <c r="AD66" s="487">
        <f>'Income Statement'!CH36</f>
        <v>1914379</v>
      </c>
      <c r="AE66" s="488">
        <f>'Income Statement'!CI36</f>
        <v>226040</v>
      </c>
      <c r="AF66" s="488">
        <f>'Income Statement'!CJ36</f>
        <v>311399</v>
      </c>
      <c r="AG66" s="488">
        <f>'Income Statement'!CK36</f>
        <v>292827</v>
      </c>
      <c r="AH66" s="488">
        <f>'Income Statement'!CL36</f>
        <v>275668</v>
      </c>
      <c r="AI66" s="487">
        <f>'Income Statement'!CM36</f>
        <v>1105934</v>
      </c>
      <c r="AJ66" s="488">
        <f>'Income Statement'!CN36</f>
        <v>197071</v>
      </c>
      <c r="AK66" s="488">
        <f>'Income Statement'!CO36</f>
        <v>192122</v>
      </c>
      <c r="AL66" s="488">
        <f>'Income Statement'!CP36</f>
        <v>342107</v>
      </c>
      <c r="AM66" s="488">
        <f>'Income Statement'!CQ36</f>
        <v>250316</v>
      </c>
      <c r="AN66" s="487">
        <f>'Income Statement'!CR36</f>
        <v>981616</v>
      </c>
      <c r="AO66" s="488">
        <f>'Income Statement'!CS36</f>
        <v>223037</v>
      </c>
      <c r="AP66" s="488">
        <f>'Income Statement'!CT36</f>
        <v>347849</v>
      </c>
      <c r="AQ66" s="488">
        <f>'Income Statement'!CU36</f>
        <v>345646</v>
      </c>
      <c r="AR66" s="488">
        <f>'Income Statement'!CV36</f>
        <v>345679</v>
      </c>
      <c r="AS66" s="487">
        <f>'Income Statement'!CW36</f>
        <v>1262211</v>
      </c>
      <c r="AT66" s="488">
        <f>'Income Statement'!CX36</f>
        <v>351844</v>
      </c>
      <c r="AU66" s="488">
        <f>'Income Statement'!CY36</f>
        <v>519244</v>
      </c>
      <c r="AV66" s="488">
        <f>'Income Statement'!CZ36</f>
        <v>592708</v>
      </c>
      <c r="AW66" s="488">
        <f>'Income Statement'!DA36</f>
        <v>642686</v>
      </c>
      <c r="AX66" s="487">
        <f>'Income Statement'!DB36</f>
        <v>2106482</v>
      </c>
      <c r="AY66" s="488">
        <f>'Income Statement'!DC36</f>
        <v>437963</v>
      </c>
      <c r="AZ66" s="488">
        <f>'Income Statement'!DD36</f>
        <v>528736</v>
      </c>
      <c r="BA66" s="488">
        <f>'Income Statement'!DE36</f>
        <v>738803</v>
      </c>
      <c r="BB66" s="488">
        <f>'Income Statement'!DF36</f>
        <v>838358</v>
      </c>
      <c r="BC66" s="487">
        <f>'Income Statement'!DG36</f>
        <v>2543860</v>
      </c>
      <c r="BD66" s="488">
        <f>'Income Statement'!DH36</f>
        <v>411281</v>
      </c>
      <c r="BE66" s="488">
        <f>'Income Statement'!DI36</f>
        <v>573703</v>
      </c>
      <c r="BF66" s="488">
        <f ca="1">'Income Statement'!DJ36</f>
        <v>686004.49880399811</v>
      </c>
      <c r="BG66" s="488">
        <f ca="1">'Income Statement'!DK36</f>
        <v>777252.61020353623</v>
      </c>
      <c r="BH66" s="487">
        <f ca="1">'Income Statement'!DL36</f>
        <v>2448241.1090075346</v>
      </c>
      <c r="BI66" s="488">
        <f ca="1">'Income Statement'!DM36</f>
        <v>696709.97064079891</v>
      </c>
      <c r="BJ66" s="488">
        <f ca="1">'Income Statement'!DN36</f>
        <v>715766.70150877628</v>
      </c>
      <c r="BK66" s="488">
        <f ca="1">'Income Statement'!DO36</f>
        <v>712364.92877006601</v>
      </c>
      <c r="BL66" s="488">
        <f ca="1">'Income Statement'!DP36</f>
        <v>752331.41819027322</v>
      </c>
      <c r="BM66" s="487">
        <f ca="1">'Income Statement'!DQ36</f>
        <v>2877173.019109915</v>
      </c>
    </row>
    <row r="67" spans="2:65" hidden="1" outlineLevel="1">
      <c r="B67" s="525" t="str">
        <f>'Income Statement'!A37</f>
        <v>Non-operating Expenses</v>
      </c>
      <c r="C67" s="487">
        <f>'Income Statement'!AY37</f>
        <v>0</v>
      </c>
      <c r="D67" s="487">
        <f>'Income Statement'!BD37</f>
        <v>0</v>
      </c>
      <c r="E67" s="487">
        <f>'Income Statement'!BI37</f>
        <v>0</v>
      </c>
      <c r="F67" s="502">
        <f>'Income Statement'!BJ37</f>
        <v>0</v>
      </c>
      <c r="G67" s="502">
        <f>'Income Statement'!BK37</f>
        <v>0</v>
      </c>
      <c r="H67" s="502">
        <f>'Income Statement'!BL37</f>
        <v>0</v>
      </c>
      <c r="I67" s="502">
        <f>'Income Statement'!BM37</f>
        <v>0</v>
      </c>
      <c r="J67" s="487">
        <f>'Income Statement'!BN37</f>
        <v>0</v>
      </c>
      <c r="K67" s="502">
        <f>'Income Statement'!BO37</f>
        <v>0</v>
      </c>
      <c r="L67" s="502">
        <f>'Income Statement'!BP37</f>
        <v>0</v>
      </c>
      <c r="M67" s="502">
        <f>'Income Statement'!BQ37</f>
        <v>0</v>
      </c>
      <c r="N67" s="502">
        <f>'Income Statement'!BR37</f>
        <v>0</v>
      </c>
      <c r="O67" s="487">
        <f>'Income Statement'!BS37</f>
        <v>0</v>
      </c>
      <c r="P67" s="502">
        <f>'Income Statement'!BT37</f>
        <v>0</v>
      </c>
      <c r="Q67" s="502">
        <f>'Income Statement'!BU37</f>
        <v>0</v>
      </c>
      <c r="R67" s="502">
        <f>'Income Statement'!BV37</f>
        <v>0</v>
      </c>
      <c r="S67" s="502">
        <f>'Income Statement'!BW37</f>
        <v>0</v>
      </c>
      <c r="T67" s="487">
        <f>'Income Statement'!BX37</f>
        <v>0</v>
      </c>
      <c r="U67" s="502">
        <f>'Income Statement'!BY37</f>
        <v>0</v>
      </c>
      <c r="V67" s="502">
        <f>'Income Statement'!BZ37</f>
        <v>0</v>
      </c>
      <c r="W67" s="502">
        <f>'Income Statement'!CA37</f>
        <v>0</v>
      </c>
      <c r="X67" s="502">
        <f>'Income Statement'!CB37</f>
        <v>0</v>
      </c>
      <c r="Y67" s="487">
        <f>'Income Statement'!CC37</f>
        <v>0</v>
      </c>
      <c r="Z67" s="502">
        <f>'Income Statement'!CD37</f>
        <v>0</v>
      </c>
      <c r="AA67" s="502">
        <f>'Income Statement'!CE37</f>
        <v>0</v>
      </c>
      <c r="AB67" s="502">
        <f>'Income Statement'!CF37</f>
        <v>0</v>
      </c>
      <c r="AC67" s="502">
        <f>'Income Statement'!CG37</f>
        <v>0</v>
      </c>
      <c r="AD67" s="487">
        <f>'Income Statement'!CH37</f>
        <v>0</v>
      </c>
      <c r="AE67" s="502">
        <f>'Income Statement'!CI37</f>
        <v>0</v>
      </c>
      <c r="AF67" s="502">
        <f>'Income Statement'!CJ37</f>
        <v>0</v>
      </c>
      <c r="AG67" s="502">
        <f>'Income Statement'!CK37</f>
        <v>0</v>
      </c>
      <c r="AH67" s="502">
        <f>'Income Statement'!CL37</f>
        <v>0</v>
      </c>
      <c r="AI67" s="487">
        <f>'Income Statement'!CM37</f>
        <v>0</v>
      </c>
      <c r="AJ67" s="502">
        <f>'Income Statement'!CN37</f>
        <v>0</v>
      </c>
      <c r="AK67" s="502">
        <f>'Income Statement'!CO37</f>
        <v>0</v>
      </c>
      <c r="AL67" s="502">
        <f>'Income Statement'!CP37</f>
        <v>0</v>
      </c>
      <c r="AM67" s="502">
        <f>'Income Statement'!CQ37</f>
        <v>0</v>
      </c>
      <c r="AN67" s="487">
        <f>'Income Statement'!CR37</f>
        <v>0</v>
      </c>
      <c r="AO67" s="502">
        <f>'Income Statement'!CS37</f>
        <v>0</v>
      </c>
      <c r="AP67" s="502">
        <f>'Income Statement'!CT37</f>
        <v>0</v>
      </c>
      <c r="AQ67" s="502">
        <f>'Income Statement'!CU37</f>
        <v>0</v>
      </c>
      <c r="AR67" s="502">
        <f>'Income Statement'!CV37</f>
        <v>0</v>
      </c>
      <c r="AS67" s="487">
        <f>'Income Statement'!CW37</f>
        <v>0</v>
      </c>
      <c r="AT67" s="502">
        <f>'Income Statement'!CX37</f>
        <v>0</v>
      </c>
      <c r="AU67" s="502">
        <f>'Income Statement'!CY37</f>
        <v>0</v>
      </c>
      <c r="AV67" s="502">
        <f>'Income Statement'!CZ37</f>
        <v>0</v>
      </c>
      <c r="AW67" s="502">
        <f>'Income Statement'!DA37</f>
        <v>0</v>
      </c>
      <c r="AX67" s="487">
        <f>'Income Statement'!DB37</f>
        <v>0</v>
      </c>
      <c r="AY67" s="502">
        <f>'Income Statement'!DC37</f>
        <v>0</v>
      </c>
      <c r="AZ67" s="502">
        <f>'Income Statement'!DD37</f>
        <v>0</v>
      </c>
      <c r="BA67" s="502">
        <f>'Income Statement'!DE37</f>
        <v>0</v>
      </c>
      <c r="BB67" s="502">
        <f>'Income Statement'!DF37</f>
        <v>0</v>
      </c>
      <c r="BC67" s="487">
        <f>'Income Statement'!DG37</f>
        <v>0</v>
      </c>
      <c r="BD67" s="502">
        <f>'Income Statement'!DH37</f>
        <v>0</v>
      </c>
      <c r="BE67" s="502">
        <f>'Income Statement'!DI37</f>
        <v>0</v>
      </c>
      <c r="BF67" s="502">
        <f>'Income Statement'!DJ37</f>
        <v>0</v>
      </c>
      <c r="BG67" s="502">
        <f>'Income Statement'!DK37</f>
        <v>0</v>
      </c>
      <c r="BH67" s="487">
        <f>'Income Statement'!DL37</f>
        <v>0</v>
      </c>
      <c r="BI67" s="502">
        <f>'Income Statement'!DM37</f>
        <v>0</v>
      </c>
      <c r="BJ67" s="502">
        <f>'Income Statement'!DN37</f>
        <v>0</v>
      </c>
      <c r="BK67" s="502">
        <f>'Income Statement'!DO37</f>
        <v>0</v>
      </c>
      <c r="BL67" s="502">
        <f>'Income Statement'!DP37</f>
        <v>0</v>
      </c>
      <c r="BM67" s="487">
        <f>'Income Statement'!DQ37</f>
        <v>0</v>
      </c>
    </row>
    <row r="68" spans="2:65" hidden="1" outlineLevel="1" collapsed="1">
      <c r="B68" s="525" t="str">
        <f>'Income Statement'!A38</f>
        <v>Income Before Taxes on Income</v>
      </c>
      <c r="C68" s="487">
        <f>'Income Statement'!AY38</f>
        <v>1023890</v>
      </c>
      <c r="D68" s="487">
        <f>'Income Statement'!BD38</f>
        <v>976407</v>
      </c>
      <c r="E68" s="487">
        <f>'Income Statement'!BI38</f>
        <v>690404</v>
      </c>
      <c r="F68" s="488">
        <f>'Income Statement'!BJ38</f>
        <v>107117</v>
      </c>
      <c r="G68" s="488">
        <f>'Income Statement'!BK38</f>
        <v>71337</v>
      </c>
      <c r="H68" s="488">
        <f>'Income Statement'!BL38</f>
        <v>61473</v>
      </c>
      <c r="I68" s="488">
        <f>'Income Statement'!BM38</f>
        <v>78416</v>
      </c>
      <c r="J68" s="487">
        <f>'Income Statement'!BN38</f>
        <v>318343</v>
      </c>
      <c r="K68" s="488">
        <f>'Income Statement'!BO38</f>
        <v>49697</v>
      </c>
      <c r="L68" s="488">
        <f>'Income Statement'!BP38</f>
        <v>-119981</v>
      </c>
      <c r="M68" s="488">
        <f>'Income Statement'!BQ38</f>
        <v>28451</v>
      </c>
      <c r="N68" s="488">
        <f>'Income Statement'!BR38</f>
        <v>96463</v>
      </c>
      <c r="O68" s="487">
        <f>'Income Statement'!BS38</f>
        <v>54630</v>
      </c>
      <c r="P68" s="488">
        <f>'Income Statement'!BT38</f>
        <v>-22900</v>
      </c>
      <c r="Q68" s="488">
        <f>'Income Statement'!BU38</f>
        <v>-4938</v>
      </c>
      <c r="R68" s="488">
        <f>'Income Statement'!BV38</f>
        <v>-78688</v>
      </c>
      <c r="S68" s="488">
        <f>'Income Statement'!BW38</f>
        <v>181086</v>
      </c>
      <c r="T68" s="487">
        <f>'Income Statement'!BX38</f>
        <v>74560</v>
      </c>
      <c r="U68" s="488">
        <f>'Income Statement'!BY38</f>
        <v>79512</v>
      </c>
      <c r="V68" s="488">
        <f>'Income Statement'!BZ38</f>
        <v>161495</v>
      </c>
      <c r="W68" s="488">
        <f>'Income Statement'!CA38</f>
        <v>142930</v>
      </c>
      <c r="X68" s="488">
        <f>'Income Statement'!CB38</f>
        <v>236554</v>
      </c>
      <c r="Y68" s="487">
        <f>'Income Statement'!CC38</f>
        <v>620491</v>
      </c>
      <c r="Z68" s="488">
        <f>'Income Statement'!CD38</f>
        <v>65085</v>
      </c>
      <c r="AA68" s="488">
        <f>'Income Statement'!CE38</f>
        <v>109257</v>
      </c>
      <c r="AB68" s="488">
        <f>'Income Statement'!CF38</f>
        <v>1436163</v>
      </c>
      <c r="AC68" s="488">
        <f>'Income Statement'!CG38</f>
        <v>303874</v>
      </c>
      <c r="AD68" s="487">
        <f>'Income Statement'!CH38</f>
        <v>1914379</v>
      </c>
      <c r="AE68" s="488">
        <f>'Income Statement'!CI38</f>
        <v>226040</v>
      </c>
      <c r="AF68" s="488">
        <f>'Income Statement'!CJ38</f>
        <v>311399</v>
      </c>
      <c r="AG68" s="488">
        <f>'Income Statement'!CK38</f>
        <v>292827</v>
      </c>
      <c r="AH68" s="488">
        <f>'Income Statement'!CL38</f>
        <v>275668</v>
      </c>
      <c r="AI68" s="487">
        <f>'Income Statement'!CM38</f>
        <v>1105934</v>
      </c>
      <c r="AJ68" s="488">
        <f>'Income Statement'!CN38</f>
        <v>197071</v>
      </c>
      <c r="AK68" s="488">
        <f>'Income Statement'!CO38</f>
        <v>192122</v>
      </c>
      <c r="AL68" s="488">
        <f>'Income Statement'!CP38</f>
        <v>342107</v>
      </c>
      <c r="AM68" s="488">
        <f>'Income Statement'!CQ38</f>
        <v>250316</v>
      </c>
      <c r="AN68" s="487">
        <f>'Income Statement'!CR38</f>
        <v>981616</v>
      </c>
      <c r="AO68" s="488">
        <f>'Income Statement'!CS38</f>
        <v>223037</v>
      </c>
      <c r="AP68" s="488">
        <f>'Income Statement'!CT38</f>
        <v>347849</v>
      </c>
      <c r="AQ68" s="488">
        <f>'Income Statement'!CU38</f>
        <v>345646</v>
      </c>
      <c r="AR68" s="488">
        <f>'Income Statement'!CV38</f>
        <v>345679</v>
      </c>
      <c r="AS68" s="487">
        <f>'Income Statement'!CW38</f>
        <v>1262211</v>
      </c>
      <c r="AT68" s="488">
        <f>'Income Statement'!CX38</f>
        <v>351844</v>
      </c>
      <c r="AU68" s="488">
        <f>'Income Statement'!CY38</f>
        <v>519244</v>
      </c>
      <c r="AV68" s="488">
        <f>'Income Statement'!CZ38</f>
        <v>592708</v>
      </c>
      <c r="AW68" s="488">
        <f>'Income Statement'!DA38</f>
        <v>642686</v>
      </c>
      <c r="AX68" s="487">
        <f>'Income Statement'!DB38</f>
        <v>2106482</v>
      </c>
      <c r="AY68" s="488">
        <f>'Income Statement'!DC38</f>
        <v>437963</v>
      </c>
      <c r="AZ68" s="488">
        <f>'Income Statement'!DD38</f>
        <v>528736</v>
      </c>
      <c r="BA68" s="488">
        <f>'Income Statement'!DE38</f>
        <v>738803</v>
      </c>
      <c r="BB68" s="488">
        <f>'Income Statement'!DF38</f>
        <v>838358</v>
      </c>
      <c r="BC68" s="487">
        <f>'Income Statement'!DG38</f>
        <v>2543860</v>
      </c>
      <c r="BD68" s="488">
        <f>'Income Statement'!DH38</f>
        <v>411281</v>
      </c>
      <c r="BE68" s="488">
        <f>'Income Statement'!DI38</f>
        <v>573703</v>
      </c>
      <c r="BF68" s="488">
        <f ca="1">'Income Statement'!DJ38</f>
        <v>686004.49880399811</v>
      </c>
      <c r="BG68" s="488">
        <f ca="1">'Income Statement'!DK38</f>
        <v>777252.61020353623</v>
      </c>
      <c r="BH68" s="487">
        <f ca="1">'Income Statement'!DL38</f>
        <v>2448241.1090075346</v>
      </c>
      <c r="BI68" s="488">
        <f ca="1">'Income Statement'!DM38</f>
        <v>696709.97064079891</v>
      </c>
      <c r="BJ68" s="488">
        <f ca="1">'Income Statement'!DN38</f>
        <v>715766.70150877628</v>
      </c>
      <c r="BK68" s="488">
        <f ca="1">'Income Statement'!DO38</f>
        <v>712364.92877006601</v>
      </c>
      <c r="BL68" s="488">
        <f ca="1">'Income Statement'!DP38</f>
        <v>752331.41819027322</v>
      </c>
      <c r="BM68" s="487">
        <f ca="1">'Income Statement'!DQ38</f>
        <v>2877173.019109915</v>
      </c>
    </row>
    <row r="69" spans="2:65" hidden="1" outlineLevel="1">
      <c r="B69" s="525" t="str">
        <f>'Income Statement'!A39</f>
        <v>Income Tax and Social Contribution</v>
      </c>
      <c r="C69" s="487">
        <f>'Income Statement'!AY39</f>
        <v>-142835</v>
      </c>
      <c r="D69" s="487">
        <f>'Income Statement'!BD39</f>
        <v>-139210</v>
      </c>
      <c r="E69" s="487">
        <f>'Income Statement'!BI39</f>
        <v>-118474</v>
      </c>
      <c r="F69" s="502">
        <f>'Income Statement'!BJ39</f>
        <v>-20775</v>
      </c>
      <c r="G69" s="502">
        <f>'Income Statement'!BK39</f>
        <v>-20557</v>
      </c>
      <c r="H69" s="503">
        <f>'Income Statement'!BL39</f>
        <v>-17757</v>
      </c>
      <c r="I69" s="503">
        <f>'Income Statement'!BM39</f>
        <v>-24075</v>
      </c>
      <c r="J69" s="487">
        <f>'Income Statement'!BN39</f>
        <v>-83164</v>
      </c>
      <c r="K69" s="503">
        <f>'Income Statement'!BO39</f>
        <v>-21610</v>
      </c>
      <c r="L69" s="503">
        <f>'Income Statement'!BP39</f>
        <v>-19338</v>
      </c>
      <c r="M69" s="503">
        <f>'Income Statement'!BQ39</f>
        <v>-20444</v>
      </c>
      <c r="N69" s="503">
        <f>'Income Statement'!BR39</f>
        <v>-21372</v>
      </c>
      <c r="O69" s="487">
        <f>'Income Statement'!BS39</f>
        <v>-82764</v>
      </c>
      <c r="P69" s="503">
        <f>'Income Statement'!BT39</f>
        <v>-14173</v>
      </c>
      <c r="Q69" s="503">
        <f>'Income Statement'!BU39</f>
        <v>-16481</v>
      </c>
      <c r="R69" s="503">
        <f>'Income Statement'!BV39</f>
        <v>-18051</v>
      </c>
      <c r="S69" s="503">
        <f>'Income Statement'!BW39</f>
        <v>-18728</v>
      </c>
      <c r="T69" s="487">
        <f>'Income Statement'!BX39</f>
        <v>-67433</v>
      </c>
      <c r="U69" s="503">
        <f>'Income Statement'!BY39</f>
        <v>-174</v>
      </c>
      <c r="V69" s="503">
        <f>'Income Statement'!BZ39</f>
        <v>401</v>
      </c>
      <c r="W69" s="503">
        <f>'Income Statement'!CA39</f>
        <v>-21871</v>
      </c>
      <c r="X69" s="503">
        <f>'Income Statement'!CB39</f>
        <v>-61573</v>
      </c>
      <c r="Y69" s="487">
        <f>'Income Statement'!CC39</f>
        <v>-83217</v>
      </c>
      <c r="Z69" s="503">
        <f>'Income Statement'!CD39</f>
        <v>-18306</v>
      </c>
      <c r="AA69" s="503">
        <f>'Income Statement'!CE39</f>
        <v>-13360</v>
      </c>
      <c r="AB69" s="503">
        <f>'Income Statement'!CF39</f>
        <v>-21288</v>
      </c>
      <c r="AC69" s="503">
        <f>'Income Statement'!CG39</f>
        <v>-36130</v>
      </c>
      <c r="AD69" s="487">
        <f>'Income Statement'!CH39</f>
        <v>-89084</v>
      </c>
      <c r="AE69" s="503">
        <f>'Income Statement'!CI39</f>
        <v>-17832</v>
      </c>
      <c r="AF69" s="503">
        <f>'Income Statement'!CJ39</f>
        <v>-24464</v>
      </c>
      <c r="AG69" s="503">
        <f>'Income Statement'!CK39</f>
        <v>-24110</v>
      </c>
      <c r="AH69" s="503">
        <f>'Income Statement'!CL39</f>
        <v>-26613</v>
      </c>
      <c r="AI69" s="487">
        <f>'Income Statement'!CM39</f>
        <v>-93019</v>
      </c>
      <c r="AJ69" s="503">
        <f>'Income Statement'!CN39</f>
        <v>-25176</v>
      </c>
      <c r="AK69" s="503">
        <f>'Income Statement'!CO39</f>
        <v>-27899</v>
      </c>
      <c r="AL69" s="503">
        <f>'Income Statement'!CP39</f>
        <v>-35365</v>
      </c>
      <c r="AM69" s="503">
        <f>'Income Statement'!CQ39</f>
        <v>-32718</v>
      </c>
      <c r="AN69" s="487">
        <f>'Income Statement'!CR39</f>
        <v>-121158</v>
      </c>
      <c r="AO69" s="503">
        <f>'Income Statement'!CS39</f>
        <v>-35951</v>
      </c>
      <c r="AP69" s="503">
        <f>'Income Statement'!CT39</f>
        <v>-33981</v>
      </c>
      <c r="AQ69" s="503">
        <f>'Income Statement'!CU39</f>
        <v>-35936</v>
      </c>
      <c r="AR69" s="503">
        <f>'Income Statement'!CV39</f>
        <v>-38095</v>
      </c>
      <c r="AS69" s="487">
        <f>'Income Statement'!CW39</f>
        <v>-143963</v>
      </c>
      <c r="AT69" s="503">
        <f>'Income Statement'!CX39</f>
        <v>-34290</v>
      </c>
      <c r="AU69" s="503">
        <f>'Income Statement'!CY39</f>
        <v>-34111</v>
      </c>
      <c r="AV69" s="503">
        <f>'Income Statement'!CZ39</f>
        <v>-44362</v>
      </c>
      <c r="AW69" s="503">
        <f>'Income Statement'!DA39</f>
        <v>-45720</v>
      </c>
      <c r="AX69" s="487">
        <f>'Income Statement'!DB39</f>
        <v>-158483</v>
      </c>
      <c r="AY69" s="503">
        <f>'Income Statement'!DC39</f>
        <v>-43072</v>
      </c>
      <c r="AZ69" s="503">
        <f>'Income Statement'!DD39</f>
        <v>-43481</v>
      </c>
      <c r="BA69" s="503">
        <f>'Income Statement'!DE39</f>
        <v>-54825</v>
      </c>
      <c r="BB69" s="503">
        <f>'Income Statement'!DF39</f>
        <v>-56363</v>
      </c>
      <c r="BC69" s="487">
        <f>'Income Statement'!DG39</f>
        <v>-197741</v>
      </c>
      <c r="BD69" s="503">
        <f>'Income Statement'!DH39</f>
        <v>-46053</v>
      </c>
      <c r="BE69" s="503">
        <f>'Income Statement'!DI39</f>
        <v>-52535</v>
      </c>
      <c r="BF69" s="503">
        <f>'Income Statement'!DJ39</f>
        <v>-54805.347102880638</v>
      </c>
      <c r="BG69" s="503">
        <f>'Income Statement'!DK39</f>
        <v>-59978.541302596866</v>
      </c>
      <c r="BH69" s="487">
        <f>'Income Statement'!DL39</f>
        <v>-213371.88840547751</v>
      </c>
      <c r="BI69" s="503">
        <f>'Income Statement'!DM39</f>
        <v>-58047.047164105425</v>
      </c>
      <c r="BJ69" s="503">
        <f>'Income Statement'!DN39</f>
        <v>-49773.141132644982</v>
      </c>
      <c r="BK69" s="503">
        <f>'Income Statement'!DO39</f>
        <v>-50836.055399412537</v>
      </c>
      <c r="BL69" s="503">
        <f>'Income Statement'!DP39</f>
        <v>-58751.366105862711</v>
      </c>
      <c r="BM69" s="487">
        <f>'Income Statement'!DQ39</f>
        <v>-217407.60980202566</v>
      </c>
    </row>
    <row r="70" spans="2:65" hidden="1" outlineLevel="1">
      <c r="B70" s="526" t="str">
        <f>'Income Statement'!A40</f>
        <v xml:space="preserve">  Cash Tax Rate (% of collection)</v>
      </c>
      <c r="C70" s="492">
        <f>'Income Statement'!AY40</f>
        <v>2.4581680327840638E-2</v>
      </c>
      <c r="D70" s="492">
        <f>'Income Statement'!BD40</f>
        <v>2.0968724652372709E-2</v>
      </c>
      <c r="E70" s="492">
        <f>'Income Statement'!BI40</f>
        <v>2.1348605350828255E-2</v>
      </c>
      <c r="F70" s="493">
        <f>'Income Statement'!BJ40</f>
        <v>2.7854424931822021E-2</v>
      </c>
      <c r="G70" s="493">
        <f>'Income Statement'!BK40</f>
        <v>2.0239443137177682E-2</v>
      </c>
      <c r="H70" s="494">
        <f>'Income Statement'!BL40</f>
        <v>2.0622304188568016E-2</v>
      </c>
      <c r="I70" s="494">
        <f>'Income Statement'!BM40</f>
        <v>2.1218669961766735E-2</v>
      </c>
      <c r="J70" s="492">
        <f>'Income Statement'!BN40</f>
        <v>2.2134544730602862E-2</v>
      </c>
      <c r="K70" s="494">
        <f>'Income Statement'!BO40</f>
        <v>2.6024449253528235E-2</v>
      </c>
      <c r="L70" s="494">
        <f>'Income Statement'!BP40</f>
        <v>2.1163662151868812E-2</v>
      </c>
      <c r="M70" s="494">
        <f>'Income Statement'!BQ40</f>
        <v>2.392213487852882E-2</v>
      </c>
      <c r="N70" s="494">
        <f>'Income Statement'!BR40</f>
        <v>2.4742869580116792E-2</v>
      </c>
      <c r="O70" s="492">
        <f>'Income Statement'!BS40</f>
        <v>2.3903105260710607E-2</v>
      </c>
      <c r="P70" s="494">
        <f>'Income Statement'!BT40</f>
        <v>1.6468608784265058E-2</v>
      </c>
      <c r="Q70" s="494">
        <f>'Income Statement'!BU40</f>
        <v>2.0947858503767972E-2</v>
      </c>
      <c r="R70" s="494">
        <f>'Income Statement'!BV40</f>
        <v>2.3719263574091327E-2</v>
      </c>
      <c r="S70" s="494">
        <f>'Income Statement'!BW40</f>
        <v>1.4547725597332192E-2</v>
      </c>
      <c r="T70" s="492">
        <f>'Income Statement'!BX40</f>
        <v>1.8246113233972249E-2</v>
      </c>
      <c r="U70" s="494">
        <f>'Income Statement'!BY40</f>
        <v>2.1033239771680557E-4</v>
      </c>
      <c r="V70" s="494">
        <f>'Income Statement'!BZ40</f>
        <v>-4.100560887193672E-4</v>
      </c>
      <c r="W70" s="494">
        <f>'Income Statement'!CA40</f>
        <v>2.2756264189499924E-2</v>
      </c>
      <c r="X70" s="494">
        <f>'Income Statement'!CB40</f>
        <v>5.3738703159842381E-2</v>
      </c>
      <c r="Y70" s="492">
        <f>'Income Statement'!CC40</f>
        <v>2.1271913007469209E-2</v>
      </c>
      <c r="Z70" s="494">
        <f>'Income Statement'!CD40</f>
        <v>2.3162798819210975E-2</v>
      </c>
      <c r="AA70" s="494">
        <f>'Income Statement'!CE40</f>
        <v>1.8039135201698055E-2</v>
      </c>
      <c r="AB70" s="494">
        <f>'Income Statement'!CF40</f>
        <v>1.6249166092918238E-2</v>
      </c>
      <c r="AC70" s="494">
        <f>'Income Statement'!CG40</f>
        <v>3.3125880178382819E-2</v>
      </c>
      <c r="AD70" s="492">
        <f>'Income Statement'!CH40</f>
        <v>2.2657785389945409E-2</v>
      </c>
      <c r="AE70" s="494">
        <f>'Income Statement'!CI40</f>
        <v>1.8487243366643962E-2</v>
      </c>
      <c r="AF70" s="494">
        <f>'Income Statement'!CJ40</f>
        <v>2.070087139295947E-2</v>
      </c>
      <c r="AG70" s="494">
        <f>'Income Statement'!CK40</f>
        <v>1.9735522713040916E-2</v>
      </c>
      <c r="AH70" s="494">
        <f>'Income Statement'!CL40</f>
        <v>2.0798360701859683E-2</v>
      </c>
      <c r="AI70" s="492">
        <f>'Income Statement'!CM40</f>
        <v>2.0014545235467137E-2</v>
      </c>
      <c r="AJ70" s="494">
        <f>'Income Statement'!CN40</f>
        <v>2.1148216438252602E-2</v>
      </c>
      <c r="AK70" s="494">
        <f>'Income Statement'!CO40</f>
        <v>2.3515737143637416E-2</v>
      </c>
      <c r="AL70" s="494">
        <f>'Income Statement'!CP40</f>
        <v>2.5465584916366454E-2</v>
      </c>
      <c r="AM70" s="494">
        <f>'Income Statement'!CQ40</f>
        <v>2.3123977397616076E-2</v>
      </c>
      <c r="AN70" s="492">
        <f>'Income Statement'!CR40</f>
        <v>2.338739005853507E-2</v>
      </c>
      <c r="AO70" s="494">
        <f>'Income Statement'!CS40</f>
        <v>2.6429175822277374E-2</v>
      </c>
      <c r="AP70" s="494">
        <f>'Income Statement'!CT40</f>
        <v>2.4549109416596531E-2</v>
      </c>
      <c r="AQ70" s="494">
        <f>'Income Statement'!CU40</f>
        <v>2.5053245816151173E-2</v>
      </c>
      <c r="AR70" s="494">
        <f>'Income Statement'!CV40</f>
        <v>2.5310560141066758E-2</v>
      </c>
      <c r="AS70" s="492">
        <f>'Income Statement'!CW40</f>
        <v>2.5327895819295315E-2</v>
      </c>
      <c r="AT70" s="494">
        <f>'Income Statement'!CX40</f>
        <v>2.3909266113130084E-2</v>
      </c>
      <c r="AU70" s="494">
        <f>'Income Statement'!CY40</f>
        <v>2.1987974329421896E-2</v>
      </c>
      <c r="AV70" s="494">
        <f>'Income Statement'!CZ40</f>
        <v>2.5132910617892738E-2</v>
      </c>
      <c r="AW70" s="494">
        <f>'Income Statement'!DA40</f>
        <v>2.1637011215089496E-2</v>
      </c>
      <c r="AX70" s="492">
        <f>'Income Statement'!DB40</f>
        <v>2.3090152166583961E-2</v>
      </c>
      <c r="AY70" s="494">
        <f>'Income Statement'!DC40</f>
        <v>2.2814949003779363E-2</v>
      </c>
      <c r="AZ70" s="494">
        <f>'Income Statement'!DD40</f>
        <v>2.4557420287645043E-2</v>
      </c>
      <c r="BA70" s="494">
        <f>'Income Statement'!DE40</f>
        <v>2.5960970232367851E-2</v>
      </c>
      <c r="BB70" s="494">
        <f>'Income Statement'!DF40</f>
        <v>2.1916119700127541E-2</v>
      </c>
      <c r="BC70" s="492">
        <f>'Income Statement'!DG40</f>
        <v>2.3704114118657107E-2</v>
      </c>
      <c r="BD70" s="494">
        <f>'Income Statement'!DH40</f>
        <v>2.4441115079106041E-2</v>
      </c>
      <c r="BE70" s="494">
        <f>'Income Statement'!DI40</f>
        <v>2.2490376250916141E-2</v>
      </c>
      <c r="BF70" s="494">
        <f>'Income Statement'!DJ40</f>
        <v>2.1832301000732912E-2</v>
      </c>
      <c r="BG70" s="494">
        <f>'Income Statement'!DK40</f>
        <v>2.1305840800586329E-2</v>
      </c>
      <c r="BH70" s="492">
        <f>'Income Statement'!DL40</f>
        <v>2.2353044710441042E-2</v>
      </c>
      <c r="BI70" s="494">
        <f>'Income Statement'!DM40</f>
        <v>2.0884672640469063E-2</v>
      </c>
      <c r="BJ70" s="494">
        <f>'Income Statement'!DN40</f>
        <v>2.0547738112375251E-2</v>
      </c>
      <c r="BK70" s="494">
        <f>'Income Statement'!DO40</f>
        <v>2.0278190489900202E-2</v>
      </c>
      <c r="BL70" s="494">
        <f>'Income Statement'!DP40</f>
        <v>2.006255239192016E-2</v>
      </c>
      <c r="BM70" s="492">
        <f>'Income Statement'!DQ40</f>
        <v>2.0438677868848499E-2</v>
      </c>
    </row>
    <row r="71" spans="2:65" hidden="1" outlineLevel="1">
      <c r="B71" s="525" t="str">
        <f>'Income Statement'!A41</f>
        <v>Deffered Taxes</v>
      </c>
      <c r="C71" s="487">
        <f>'Income Statement'!AY41</f>
        <v>6944</v>
      </c>
      <c r="D71" s="487">
        <f>'Income Statement'!BD41</f>
        <v>-5811</v>
      </c>
      <c r="E71" s="487">
        <f>'Income Statement'!BI41</f>
        <v>21223</v>
      </c>
      <c r="F71" s="502">
        <f>'Income Statement'!BJ41</f>
        <v>2525</v>
      </c>
      <c r="G71" s="502">
        <f>'Income Statement'!BK41</f>
        <v>5723</v>
      </c>
      <c r="H71" s="503">
        <f>'Income Statement'!BL41</f>
        <v>-741</v>
      </c>
      <c r="I71" s="503">
        <f>'Income Statement'!BM41</f>
        <v>1934</v>
      </c>
      <c r="J71" s="487">
        <f>'Income Statement'!BN41</f>
        <v>9441</v>
      </c>
      <c r="K71" s="503">
        <f>'Income Statement'!BO41</f>
        <v>6159</v>
      </c>
      <c r="L71" s="503">
        <f>'Income Statement'!BP41</f>
        <v>4999</v>
      </c>
      <c r="M71" s="503">
        <f>'Income Statement'!BQ41</f>
        <v>6156</v>
      </c>
      <c r="N71" s="503">
        <f>'Income Statement'!BR41</f>
        <v>281</v>
      </c>
      <c r="O71" s="487">
        <f>'Income Statement'!BS41</f>
        <v>17595</v>
      </c>
      <c r="P71" s="503">
        <f>'Income Statement'!BT41</f>
        <v>2418</v>
      </c>
      <c r="Q71" s="503">
        <f>'Income Statement'!BU41</f>
        <v>2288</v>
      </c>
      <c r="R71" s="503">
        <f>'Income Statement'!BV41</f>
        <v>2662</v>
      </c>
      <c r="S71" s="503">
        <f>'Income Statement'!BW41</f>
        <v>-8467</v>
      </c>
      <c r="T71" s="487">
        <f>'Income Statement'!BX41</f>
        <v>-1099</v>
      </c>
      <c r="U71" s="503">
        <f>'Income Statement'!BY41</f>
        <v>-17937</v>
      </c>
      <c r="V71" s="503">
        <f>'Income Statement'!BZ41</f>
        <v>-19605</v>
      </c>
      <c r="W71" s="503">
        <f>'Income Statement'!CA41</f>
        <v>202</v>
      </c>
      <c r="X71" s="503">
        <f>'Income Statement'!CB41</f>
        <v>34384</v>
      </c>
      <c r="Y71" s="487">
        <f>'Income Statement'!CC41</f>
        <v>-2956</v>
      </c>
      <c r="Z71" s="503">
        <f>'Income Statement'!CD41</f>
        <v>1457</v>
      </c>
      <c r="AA71" s="503">
        <f>'Income Statement'!CE41</f>
        <v>-2972</v>
      </c>
      <c r="AB71" s="503">
        <f>'Income Statement'!CF41</f>
        <v>0</v>
      </c>
      <c r="AC71" s="503">
        <f>'Income Statement'!CG41</f>
        <v>5717</v>
      </c>
      <c r="AD71" s="487">
        <f>'Income Statement'!CH41</f>
        <v>4202</v>
      </c>
      <c r="AE71" s="503">
        <f>'Income Statement'!CI41</f>
        <v>-15</v>
      </c>
      <c r="AF71" s="503">
        <f>'Income Statement'!CJ41</f>
        <v>3417</v>
      </c>
      <c r="AG71" s="503">
        <f>'Income Statement'!CK41</f>
        <v>-2474</v>
      </c>
      <c r="AH71" s="503">
        <f>'Income Statement'!CL41</f>
        <v>3471</v>
      </c>
      <c r="AI71" s="487">
        <f>'Income Statement'!CM41</f>
        <v>4399</v>
      </c>
      <c r="AJ71" s="503">
        <f>'Income Statement'!CN41</f>
        <v>-1238</v>
      </c>
      <c r="AK71" s="503">
        <f>'Income Statement'!CO41</f>
        <v>-2609</v>
      </c>
      <c r="AL71" s="503">
        <f>'Income Statement'!CP41</f>
        <v>2855</v>
      </c>
      <c r="AM71" s="503">
        <f>'Income Statement'!CQ41</f>
        <v>-875</v>
      </c>
      <c r="AN71" s="487">
        <f>'Income Statement'!CR41</f>
        <v>-1867</v>
      </c>
      <c r="AO71" s="503">
        <f>'Income Statement'!CS41</f>
        <v>3974</v>
      </c>
      <c r="AP71" s="503">
        <f>'Income Statement'!CT41</f>
        <v>-5843</v>
      </c>
      <c r="AQ71" s="503">
        <f>'Income Statement'!CU41</f>
        <v>-5072</v>
      </c>
      <c r="AR71" s="503">
        <f>'Income Statement'!CV41</f>
        <v>-5607</v>
      </c>
      <c r="AS71" s="487">
        <f>'Income Statement'!CW41</f>
        <v>-12548</v>
      </c>
      <c r="AT71" s="503">
        <f>'Income Statement'!CX41</f>
        <v>-2751</v>
      </c>
      <c r="AU71" s="503">
        <f>'Income Statement'!CY41</f>
        <v>-7190</v>
      </c>
      <c r="AV71" s="503">
        <f>'Income Statement'!CZ41</f>
        <v>-7334</v>
      </c>
      <c r="AW71" s="503">
        <f>'Income Statement'!DA41</f>
        <v>-9672</v>
      </c>
      <c r="AX71" s="487">
        <f>'Income Statement'!DB41</f>
        <v>-26947</v>
      </c>
      <c r="AY71" s="503">
        <f>'Income Statement'!DC41</f>
        <v>-1078</v>
      </c>
      <c r="AZ71" s="503">
        <f>'Income Statement'!DD41</f>
        <v>-6252</v>
      </c>
      <c r="BA71" s="503">
        <f>'Income Statement'!DE41</f>
        <v>-1015</v>
      </c>
      <c r="BB71" s="503">
        <f>'Income Statement'!DF41</f>
        <v>58055</v>
      </c>
      <c r="BC71" s="487">
        <f>'Income Statement'!DG41</f>
        <v>49710</v>
      </c>
      <c r="BD71" s="503">
        <f>'Income Statement'!DH41</f>
        <v>-5169</v>
      </c>
      <c r="BE71" s="503">
        <f>'Income Statement'!DI41</f>
        <v>-2441</v>
      </c>
      <c r="BF71" s="503">
        <f>'Income Statement'!DJ41</f>
        <v>-10408.820503281946</v>
      </c>
      <c r="BG71" s="503">
        <f>'Income Statement'!DK41</f>
        <v>-4941.7633384275396</v>
      </c>
      <c r="BH71" s="487">
        <f>'Income Statement'!DL41</f>
        <v>-22960.583841709486</v>
      </c>
      <c r="BI71" s="503">
        <f>'Income Statement'!DM41</f>
        <v>-1940.5060732319471</v>
      </c>
      <c r="BJ71" s="503">
        <f>'Income Statement'!DN41</f>
        <v>-11703.373913013027</v>
      </c>
      <c r="BK71" s="503">
        <f>'Income Statement'!DO41</f>
        <v>-11844.121462321033</v>
      </c>
      <c r="BL71" s="503">
        <f>'Income Statement'!DP41</f>
        <v>-8661.5559469174841</v>
      </c>
      <c r="BM71" s="487">
        <f>'Income Statement'!DQ41</f>
        <v>-34149.557395483491</v>
      </c>
    </row>
    <row r="72" spans="2:65" hidden="1" outlineLevel="1">
      <c r="B72" s="526" t="str">
        <f>'Income Statement'!A42</f>
        <v xml:space="preserve">  Total Tax Rate (% of revenues)</v>
      </c>
      <c r="C72" s="492">
        <f>'Income Statement'!AY42</f>
        <v>2.5296720962969775E-2</v>
      </c>
      <c r="D72" s="492">
        <f>'Income Statement'!BD42</f>
        <v>2.4926576081136805E-2</v>
      </c>
      <c r="E72" s="492">
        <f>'Income Statement'!BI42</f>
        <v>2.2401953015582846E-2</v>
      </c>
      <c r="F72" s="493">
        <f>'Income Statement'!BJ42</f>
        <v>2.251124328671553E-2</v>
      </c>
      <c r="G72" s="493">
        <f>'Income Statement'!BK42</f>
        <v>2.3140774343910531E-2</v>
      </c>
      <c r="H72" s="494">
        <f>'Income Statement'!BL42</f>
        <v>2.2427064755754983E-2</v>
      </c>
      <c r="I72" s="494">
        <f>'Income Statement'!BM42</f>
        <v>2.4098680401060554E-2</v>
      </c>
      <c r="J72" s="492">
        <f>'Income Statement'!BN42</f>
        <v>2.3072252770466716E-2</v>
      </c>
      <c r="K72" s="494">
        <f>'Income Statement'!BO42</f>
        <v>2.2315554740340301E-2</v>
      </c>
      <c r="L72" s="494">
        <f>'Income Statement'!BP42</f>
        <v>2.4947977924545374E-2</v>
      </c>
      <c r="M72" s="494">
        <f>'Income Statement'!BQ42</f>
        <v>2.3899890771075915E-2</v>
      </c>
      <c r="N72" s="494">
        <f>'Income Statement'!BR42</f>
        <v>2.6076904055390704E-2</v>
      </c>
      <c r="O72" s="492">
        <f>'Income Statement'!BS42</f>
        <v>2.4373450221971224E-2</v>
      </c>
      <c r="P72" s="494">
        <f>'Income Statement'!BT42</f>
        <v>2.608616534479009E-2</v>
      </c>
      <c r="Q72" s="494">
        <f>'Income Statement'!BU42</f>
        <v>2.2192548069781513E-2</v>
      </c>
      <c r="R72" s="494">
        <f>'Income Statement'!BV42</f>
        <v>2.1231331700755356E-2</v>
      </c>
      <c r="S72" s="494">
        <f>'Income Statement'!BW42</f>
        <v>2.5246687851789549E-2</v>
      </c>
      <c r="T72" s="492">
        <f>'Income Statement'!BX42</f>
        <v>2.3695809044944654E-2</v>
      </c>
      <c r="U72" s="494">
        <f>'Income Statement'!BY42</f>
        <v>2.1919887296123625E-2</v>
      </c>
      <c r="V72" s="494">
        <f>'Income Statement'!BZ42</f>
        <v>2.0503468848692429E-2</v>
      </c>
      <c r="W72" s="494">
        <f>'Income Statement'!CA42</f>
        <v>2.3181376162197957E-2</v>
      </c>
      <c r="X72" s="494">
        <f>'Income Statement'!CB42</f>
        <v>2.2047411381391269E-2</v>
      </c>
      <c r="Y72" s="492">
        <f>'Income Statement'!CC42</f>
        <v>2.1922381140030981E-2</v>
      </c>
      <c r="Z72" s="494">
        <f>'Income Statement'!CD42</f>
        <v>2.203189256690051E-2</v>
      </c>
      <c r="AA72" s="494">
        <f>'Income Statement'!CE42</f>
        <v>1.9470486690637188E-2</v>
      </c>
      <c r="AB72" s="494">
        <f>'Income Statement'!CF42</f>
        <v>1.8296471947214576E-2</v>
      </c>
      <c r="AC72" s="494">
        <f>'Income Statement'!CG42</f>
        <v>2.8783017707239053E-2</v>
      </c>
      <c r="AD72" s="492">
        <f>'Income Statement'!CH42</f>
        <v>2.2198940501546149E-2</v>
      </c>
      <c r="AE72" s="494">
        <f>'Income Statement'!CI42</f>
        <v>1.7780642641661321E-2</v>
      </c>
      <c r="AF72" s="494">
        <f>'Income Statement'!CJ42</f>
        <v>1.7805974354050146E-2</v>
      </c>
      <c r="AG72" s="494">
        <f>'Income Statement'!CK42</f>
        <v>2.0634320625239164E-2</v>
      </c>
      <c r="AH72" s="494">
        <f>'Income Statement'!CL42</f>
        <v>1.7575183615937202E-2</v>
      </c>
      <c r="AI72" s="492">
        <f>'Income Statement'!CM42</f>
        <v>1.8497826995848111E-2</v>
      </c>
      <c r="AJ72" s="494">
        <f>'Income Statement'!CN42</f>
        <v>2.1445992861620002E-2</v>
      </c>
      <c r="AK72" s="494">
        <f>'Income Statement'!CO42</f>
        <v>2.4404779522639697E-2</v>
      </c>
      <c r="AL72" s="494">
        <f>'Income Statement'!CP42</f>
        <v>2.0844500411632397E-2</v>
      </c>
      <c r="AM72" s="494">
        <f>'Income Statement'!CQ42</f>
        <v>2.4504054223599404E-2</v>
      </c>
      <c r="AN72" s="492">
        <f>'Income Statement'!CR42</f>
        <v>2.2730653077853297E-2</v>
      </c>
      <c r="AO72" s="494">
        <f>'Income Statement'!CS42</f>
        <v>2.4915343775176752E-2</v>
      </c>
      <c r="AP72" s="494">
        <f>'Income Statement'!CT42</f>
        <v>2.4386196423268048E-2</v>
      </c>
      <c r="AQ72" s="494">
        <f>'Income Statement'!CU42</f>
        <v>2.5220373840627263E-2</v>
      </c>
      <c r="AR72" s="494">
        <f>'Income Statement'!CV42</f>
        <v>2.5553273212799908E-2</v>
      </c>
      <c r="AS72" s="492">
        <f>'Income Statement'!CW42</f>
        <v>2.5030950634278095E-2</v>
      </c>
      <c r="AT72" s="494">
        <f>'Income Statement'!CX42</f>
        <v>2.3549329873082458E-2</v>
      </c>
      <c r="AU72" s="494">
        <f>'Income Statement'!CY42</f>
        <v>2.2242423622282168E-2</v>
      </c>
      <c r="AV72" s="494">
        <f>'Income Statement'!CZ42</f>
        <v>2.5470388751563693E-2</v>
      </c>
      <c r="AW72" s="494">
        <f>'Income Statement'!DA42</f>
        <v>2.2101378583065105E-2</v>
      </c>
      <c r="AX72" s="492">
        <f>'Income Statement'!DB42</f>
        <v>2.3278591880575791E-2</v>
      </c>
      <c r="AY72" s="494">
        <f>'Income Statement'!DC42</f>
        <v>2.2609210423895812E-2</v>
      </c>
      <c r="AZ72" s="494">
        <f>'Income Statement'!DD42</f>
        <v>2.3602245708617884E-2</v>
      </c>
      <c r="BA72" s="494">
        <f>'Income Statement'!DE42</f>
        <v>2.6235102981236075E-2</v>
      </c>
      <c r="BB72" s="494">
        <f>'Income Statement'!DF42</f>
        <v>-5.2300123579133615E-4</v>
      </c>
      <c r="BC72" s="492">
        <f>'Income Statement'!DG42</f>
        <v>1.5708716957850241E-2</v>
      </c>
      <c r="BD72" s="494">
        <f>'Income Statement'!DH42</f>
        <v>2.5294402609735249E-2</v>
      </c>
      <c r="BE72" s="494">
        <f>'Income Statement'!DI42</f>
        <v>2.2159959143381498E-2</v>
      </c>
      <c r="BF72" s="494">
        <f>'Income Statement'!DJ42</f>
        <v>2.4075522087788199E-2</v>
      </c>
      <c r="BG72" s="494">
        <f>'Income Statement'!DK42</f>
        <v>2.15679673147052E-2</v>
      </c>
      <c r="BH72" s="492">
        <f>'Income Statement'!DL42</f>
        <v>2.3113944408964384E-2</v>
      </c>
      <c r="BI72" s="494">
        <f>'Income Statement'!DM42</f>
        <v>2.1094373851764159E-2</v>
      </c>
      <c r="BJ72" s="494">
        <f>'Income Statement'!DN42</f>
        <v>2.0715499081411327E-2</v>
      </c>
      <c r="BK72" s="494">
        <f>'Income Statement'!DO42</f>
        <v>2.0412399265129062E-2</v>
      </c>
      <c r="BL72" s="494">
        <f>'Income Statement'!DP42</f>
        <v>2.0169919412103249E-2</v>
      </c>
      <c r="BM72" s="492">
        <f>'Income Statement'!DQ42</f>
        <v>2.0578333971078732E-2</v>
      </c>
    </row>
    <row r="73" spans="2:65" hidden="1" outlineLevel="1">
      <c r="B73" s="525" t="str">
        <f>'Income Statement'!A43</f>
        <v>Employee compensation</v>
      </c>
      <c r="C73" s="487">
        <f>'Income Statement'!AY43</f>
        <v>0</v>
      </c>
      <c r="D73" s="487">
        <f>'Income Statement'!BD43</f>
        <v>0</v>
      </c>
      <c r="E73" s="487">
        <f>'Income Statement'!BI43</f>
        <v>0</v>
      </c>
      <c r="F73" s="502">
        <f>'Income Statement'!BJ43</f>
        <v>0</v>
      </c>
      <c r="G73" s="502">
        <f>'Income Statement'!BK43</f>
        <v>0</v>
      </c>
      <c r="H73" s="502">
        <f>'Income Statement'!BL43</f>
        <v>0</v>
      </c>
      <c r="I73" s="502">
        <f>'Income Statement'!BM43</f>
        <v>0</v>
      </c>
      <c r="J73" s="487">
        <f>'Income Statement'!BN43</f>
        <v>0</v>
      </c>
      <c r="K73" s="502">
        <f>'Income Statement'!BO43</f>
        <v>0</v>
      </c>
      <c r="L73" s="502">
        <f>'Income Statement'!BP43</f>
        <v>0</v>
      </c>
      <c r="M73" s="502">
        <f>'Income Statement'!BQ43</f>
        <v>0</v>
      </c>
      <c r="N73" s="502">
        <f>'Income Statement'!BR43</f>
        <v>0</v>
      </c>
      <c r="O73" s="487">
        <f>'Income Statement'!BS43</f>
        <v>0</v>
      </c>
      <c r="P73" s="502">
        <f>'Income Statement'!BT43</f>
        <v>0</v>
      </c>
      <c r="Q73" s="502">
        <f>'Income Statement'!BU43</f>
        <v>0</v>
      </c>
      <c r="R73" s="502">
        <f>'Income Statement'!BV43</f>
        <v>0</v>
      </c>
      <c r="S73" s="502">
        <f>'Income Statement'!BW43</f>
        <v>0</v>
      </c>
      <c r="T73" s="487">
        <f>'Income Statement'!BX43</f>
        <v>0</v>
      </c>
      <c r="U73" s="502">
        <f>'Income Statement'!BY43</f>
        <v>0</v>
      </c>
      <c r="V73" s="502">
        <f>'Income Statement'!BZ43</f>
        <v>0</v>
      </c>
      <c r="W73" s="502">
        <f>'Income Statement'!CA43</f>
        <v>0</v>
      </c>
      <c r="X73" s="502">
        <f>'Income Statement'!CB43</f>
        <v>0</v>
      </c>
      <c r="Y73" s="487">
        <f>'Income Statement'!CC43</f>
        <v>0</v>
      </c>
      <c r="Z73" s="502">
        <f>'Income Statement'!CD43</f>
        <v>0</v>
      </c>
      <c r="AA73" s="502">
        <f>'Income Statement'!CE43</f>
        <v>0</v>
      </c>
      <c r="AB73" s="502">
        <f>'Income Statement'!CF43</f>
        <v>0</v>
      </c>
      <c r="AC73" s="502">
        <f>'Income Statement'!CG43</f>
        <v>0</v>
      </c>
      <c r="AD73" s="487">
        <f>'Income Statement'!CH43</f>
        <v>0</v>
      </c>
      <c r="AE73" s="502">
        <f>'Income Statement'!CI43</f>
        <v>0</v>
      </c>
      <c r="AF73" s="502">
        <f>'Income Statement'!CJ43</f>
        <v>0</v>
      </c>
      <c r="AG73" s="502">
        <f>'Income Statement'!CK43</f>
        <v>0</v>
      </c>
      <c r="AH73" s="502">
        <f>'Income Statement'!CL43</f>
        <v>0</v>
      </c>
      <c r="AI73" s="487">
        <f>'Income Statement'!CM43</f>
        <v>0</v>
      </c>
      <c r="AJ73" s="502">
        <f>'Income Statement'!CN43</f>
        <v>0</v>
      </c>
      <c r="AK73" s="502">
        <f>'Income Statement'!CO43</f>
        <v>0</v>
      </c>
      <c r="AL73" s="502">
        <f>'Income Statement'!CP43</f>
        <v>0</v>
      </c>
      <c r="AM73" s="502">
        <f>'Income Statement'!CQ43</f>
        <v>0</v>
      </c>
      <c r="AN73" s="487">
        <f>'Income Statement'!CR43</f>
        <v>0</v>
      </c>
      <c r="AO73" s="502">
        <f>'Income Statement'!CS43</f>
        <v>0</v>
      </c>
      <c r="AP73" s="502">
        <f>'Income Statement'!CT43</f>
        <v>0</v>
      </c>
      <c r="AQ73" s="502">
        <f>'Income Statement'!CU43</f>
        <v>0</v>
      </c>
      <c r="AR73" s="502">
        <f>'Income Statement'!CV43</f>
        <v>0</v>
      </c>
      <c r="AS73" s="487">
        <f>'Income Statement'!CW43</f>
        <v>0</v>
      </c>
      <c r="AT73" s="502">
        <f>'Income Statement'!CX43</f>
        <v>0</v>
      </c>
      <c r="AU73" s="502">
        <f>'Income Statement'!CY43</f>
        <v>0</v>
      </c>
      <c r="AV73" s="502">
        <f>'Income Statement'!CZ43</f>
        <v>0</v>
      </c>
      <c r="AW73" s="502">
        <f>'Income Statement'!DA43</f>
        <v>0</v>
      </c>
      <c r="AX73" s="487">
        <f>'Income Statement'!DB43</f>
        <v>0</v>
      </c>
      <c r="AY73" s="502">
        <f>'Income Statement'!DC43</f>
        <v>0</v>
      </c>
      <c r="AZ73" s="502">
        <f>'Income Statement'!DD43</f>
        <v>0</v>
      </c>
      <c r="BA73" s="502">
        <f>'Income Statement'!DE43</f>
        <v>0</v>
      </c>
      <c r="BB73" s="502">
        <f>'Income Statement'!DF43</f>
        <v>0</v>
      </c>
      <c r="BC73" s="487">
        <f>'Income Statement'!DG43</f>
        <v>0</v>
      </c>
      <c r="BD73" s="502">
        <f>'Income Statement'!DH43</f>
        <v>0</v>
      </c>
      <c r="BE73" s="502">
        <f>'Income Statement'!DI43</f>
        <v>0</v>
      </c>
      <c r="BF73" s="502">
        <f>'Income Statement'!DJ43</f>
        <v>0</v>
      </c>
      <c r="BG73" s="502">
        <f>'Income Statement'!DK43</f>
        <v>0</v>
      </c>
      <c r="BH73" s="487">
        <f>'Income Statement'!DL43</f>
        <v>0</v>
      </c>
      <c r="BI73" s="502">
        <f>'Income Statement'!DM43</f>
        <v>0</v>
      </c>
      <c r="BJ73" s="502">
        <f>'Income Statement'!DN43</f>
        <v>0</v>
      </c>
      <c r="BK73" s="502">
        <f>'Income Statement'!DO43</f>
        <v>0</v>
      </c>
      <c r="BL73" s="502">
        <f>'Income Statement'!DP43</f>
        <v>0</v>
      </c>
      <c r="BM73" s="487">
        <f>'Income Statement'!DQ43</f>
        <v>0</v>
      </c>
    </row>
    <row r="74" spans="2:65" hidden="1" outlineLevel="1">
      <c r="B74" s="525" t="str">
        <f>'Income Statement'!A44</f>
        <v>Majority Earnings</v>
      </c>
      <c r="C74" s="487">
        <f>'Income Statement'!AY44</f>
        <v>887999</v>
      </c>
      <c r="D74" s="487">
        <f>'Income Statement'!BD44</f>
        <v>831386</v>
      </c>
      <c r="E74" s="487">
        <f>'Income Statement'!BI44</f>
        <v>593153</v>
      </c>
      <c r="F74" s="488">
        <f>'Income Statement'!BJ44</f>
        <v>88867</v>
      </c>
      <c r="G74" s="488">
        <f>'Income Statement'!BK44</f>
        <v>56503</v>
      </c>
      <c r="H74" s="488">
        <f>'Income Statement'!BL44</f>
        <v>42975</v>
      </c>
      <c r="I74" s="488">
        <f>'Income Statement'!BM44</f>
        <v>56275</v>
      </c>
      <c r="J74" s="487">
        <f>'Income Statement'!BN44</f>
        <v>244620</v>
      </c>
      <c r="K74" s="488">
        <f>'Income Statement'!BO44</f>
        <v>34246</v>
      </c>
      <c r="L74" s="488">
        <f>'Income Statement'!BP44</f>
        <v>-134320</v>
      </c>
      <c r="M74" s="488">
        <f>'Income Statement'!BQ44</f>
        <v>14163</v>
      </c>
      <c r="N74" s="488">
        <f>'Income Statement'!BR44</f>
        <v>75372</v>
      </c>
      <c r="O74" s="487">
        <f>'Income Statement'!BS44</f>
        <v>-10539</v>
      </c>
      <c r="P74" s="488">
        <f>'Income Statement'!BT44</f>
        <v>-34655</v>
      </c>
      <c r="Q74" s="488">
        <f>'Income Statement'!BU44</f>
        <v>-19131</v>
      </c>
      <c r="R74" s="488">
        <f>'Income Statement'!BV44</f>
        <v>-94077</v>
      </c>
      <c r="S74" s="488">
        <f>'Income Statement'!BW44</f>
        <v>153891</v>
      </c>
      <c r="T74" s="487">
        <f>'Income Statement'!BX44</f>
        <v>6028</v>
      </c>
      <c r="U74" s="488">
        <f>'Income Statement'!BY44</f>
        <v>61401</v>
      </c>
      <c r="V74" s="488">
        <f>'Income Statement'!BZ44</f>
        <v>142291</v>
      </c>
      <c r="W74" s="488">
        <f>'Income Statement'!CA44</f>
        <v>121261</v>
      </c>
      <c r="X74" s="488">
        <f>'Income Statement'!CB44</f>
        <v>209365</v>
      </c>
      <c r="Y74" s="487">
        <f>'Income Statement'!CC44</f>
        <v>534318</v>
      </c>
      <c r="Z74" s="488">
        <f>'Income Statement'!CD44</f>
        <v>48236</v>
      </c>
      <c r="AA74" s="488">
        <f>'Income Statement'!CE44</f>
        <v>92925</v>
      </c>
      <c r="AB74" s="488">
        <f>'Income Statement'!CF44</f>
        <v>1414875</v>
      </c>
      <c r="AC74" s="488">
        <f>'Income Statement'!CG44</f>
        <v>273461</v>
      </c>
      <c r="AD74" s="487">
        <f>'Income Statement'!CH44</f>
        <v>1829497</v>
      </c>
      <c r="AE74" s="488">
        <f>'Income Statement'!CI44</f>
        <v>208193</v>
      </c>
      <c r="AF74" s="488">
        <f>'Income Statement'!CJ44</f>
        <v>290352</v>
      </c>
      <c r="AG74" s="488">
        <f>'Income Statement'!CK44</f>
        <v>266243</v>
      </c>
      <c r="AH74" s="488">
        <f>'Income Statement'!CL44</f>
        <v>252526</v>
      </c>
      <c r="AI74" s="487">
        <f>'Income Statement'!CM44</f>
        <v>1017314</v>
      </c>
      <c r="AJ74" s="488">
        <f>'Income Statement'!CN44</f>
        <v>170657</v>
      </c>
      <c r="AK74" s="488">
        <f>'Income Statement'!CO44</f>
        <v>161614</v>
      </c>
      <c r="AL74" s="488">
        <f>'Income Statement'!CP44</f>
        <v>309597</v>
      </c>
      <c r="AM74" s="488">
        <f>'Income Statement'!CQ44</f>
        <v>216723</v>
      </c>
      <c r="AN74" s="487">
        <f>'Income Statement'!CR44</f>
        <v>858591</v>
      </c>
      <c r="AO74" s="488">
        <f>'Income Statement'!CS44</f>
        <v>191060</v>
      </c>
      <c r="AP74" s="488">
        <f>'Income Statement'!CT44</f>
        <v>308025</v>
      </c>
      <c r="AQ74" s="488">
        <f>'Income Statement'!CU44</f>
        <v>304638</v>
      </c>
      <c r="AR74" s="488">
        <f>'Income Statement'!CV44</f>
        <v>301977</v>
      </c>
      <c r="AS74" s="487">
        <f>'Income Statement'!CW44</f>
        <v>1105700</v>
      </c>
      <c r="AT74" s="488">
        <f>'Income Statement'!CX44</f>
        <v>314803</v>
      </c>
      <c r="AU74" s="488">
        <f>'Income Statement'!CY44</f>
        <v>477943</v>
      </c>
      <c r="AV74" s="488">
        <f>'Income Statement'!CZ44</f>
        <v>541012</v>
      </c>
      <c r="AW74" s="488">
        <f>'Income Statement'!DA44</f>
        <v>587294</v>
      </c>
      <c r="AX74" s="487">
        <f>'Income Statement'!DB44</f>
        <v>1921052</v>
      </c>
      <c r="AY74" s="488">
        <f>'Income Statement'!DC44</f>
        <v>393813</v>
      </c>
      <c r="AZ74" s="488">
        <f>'Income Statement'!DD44</f>
        <v>479003</v>
      </c>
      <c r="BA74" s="488">
        <f>'Income Statement'!DE44</f>
        <v>682963</v>
      </c>
      <c r="BB74" s="488">
        <f>'Income Statement'!DF44</f>
        <v>840050</v>
      </c>
      <c r="BC74" s="487">
        <f>'Income Statement'!DG44</f>
        <v>2395829</v>
      </c>
      <c r="BD74" s="488">
        <f>'Income Statement'!DH44</f>
        <v>360059</v>
      </c>
      <c r="BE74" s="488">
        <f>'Income Statement'!DI44</f>
        <v>518727</v>
      </c>
      <c r="BF74" s="488">
        <f ca="1">'Income Statement'!DJ44</f>
        <v>620790.33119783562</v>
      </c>
      <c r="BG74" s="488">
        <f ca="1">'Income Statement'!DK44</f>
        <v>712332.30556251178</v>
      </c>
      <c r="BH74" s="487">
        <f ca="1">'Income Statement'!DL44</f>
        <v>2211908.6367603475</v>
      </c>
      <c r="BI74" s="488">
        <f ca="1">'Income Statement'!DM44</f>
        <v>636722.41740346153</v>
      </c>
      <c r="BJ74" s="488">
        <f ca="1">'Income Statement'!DN44</f>
        <v>654290.1864631183</v>
      </c>
      <c r="BK74" s="488">
        <f ca="1">'Income Statement'!DO44</f>
        <v>649684.75190833246</v>
      </c>
      <c r="BL74" s="488">
        <f ca="1">'Income Statement'!DP44</f>
        <v>684918.49613749306</v>
      </c>
      <c r="BM74" s="487">
        <f ca="1">'Income Statement'!DQ44</f>
        <v>2625615.8519124053</v>
      </c>
    </row>
    <row r="75" spans="2:65" hidden="1" outlineLevel="1">
      <c r="B75" s="525" t="str">
        <f>'Income Statement'!A45</f>
        <v>Minority Interest</v>
      </c>
      <c r="C75" s="487">
        <f>'Income Statement'!AY45</f>
        <v>-175167</v>
      </c>
      <c r="D75" s="487">
        <f>'Income Statement'!BD45</f>
        <v>-169887</v>
      </c>
      <c r="E75" s="487">
        <f>'Income Statement'!BI45</f>
        <v>-145353</v>
      </c>
      <c r="F75" s="502">
        <f>'Income Statement'!BJ45</f>
        <v>-27595</v>
      </c>
      <c r="G75" s="502">
        <f>'Income Statement'!BK45</f>
        <v>-11800</v>
      </c>
      <c r="H75" s="502">
        <f>'Income Statement'!BL45</f>
        <v>-28531</v>
      </c>
      <c r="I75" s="502">
        <f>'Income Statement'!BM45</f>
        <v>-25342</v>
      </c>
      <c r="J75" s="487">
        <f>'Income Statement'!BN45</f>
        <v>-93268</v>
      </c>
      <c r="K75" s="502">
        <f>'Income Statement'!BO45</f>
        <v>-30221</v>
      </c>
      <c r="L75" s="502">
        <f>'Income Statement'!BP45</f>
        <v>-6708</v>
      </c>
      <c r="M75" s="502">
        <f>'Income Statement'!BQ45</f>
        <v>-20926</v>
      </c>
      <c r="N75" s="502">
        <f>'Income Statement'!BR45</f>
        <v>-26610</v>
      </c>
      <c r="O75" s="487">
        <f>'Income Statement'!BS45</f>
        <v>-84465</v>
      </c>
      <c r="P75" s="502">
        <f>'Income Statement'!BT45</f>
        <v>-16629</v>
      </c>
      <c r="Q75" s="502">
        <f>'Income Statement'!BU45</f>
        <v>-9306</v>
      </c>
      <c r="R75" s="502">
        <f>'Income Statement'!BV45</f>
        <v>-26676</v>
      </c>
      <c r="S75" s="502">
        <f>'Income Statement'!BW45</f>
        <v>-37780</v>
      </c>
      <c r="T75" s="487">
        <f>'Income Statement'!BX45</f>
        <v>-90391</v>
      </c>
      <c r="U75" s="502">
        <f>'Income Statement'!BY45</f>
        <v>-12991</v>
      </c>
      <c r="V75" s="502">
        <f>'Income Statement'!BZ45</f>
        <v>-28456</v>
      </c>
      <c r="W75" s="502">
        <f>'Income Statement'!CA45</f>
        <v>-16878</v>
      </c>
      <c r="X75" s="502">
        <f>'Income Statement'!CB45</f>
        <v>-60150</v>
      </c>
      <c r="Y75" s="487">
        <f>'Income Statement'!CC45</f>
        <v>-118475</v>
      </c>
      <c r="Z75" s="502">
        <f>'Income Statement'!CD45</f>
        <v>-20301</v>
      </c>
      <c r="AA75" s="502">
        <f>'Income Statement'!CE45</f>
        <v>-25114</v>
      </c>
      <c r="AB75" s="502">
        <f>'Income Statement'!CF45</f>
        <v>-11594</v>
      </c>
      <c r="AC75" s="502">
        <f>'Income Statement'!CG45</f>
        <v>-12230</v>
      </c>
      <c r="AD75" s="487">
        <f>'Income Statement'!CH45</f>
        <v>-69239</v>
      </c>
      <c r="AE75" s="502">
        <f>'Income Statement'!CI45</f>
        <v>-15908</v>
      </c>
      <c r="AF75" s="502">
        <f>'Income Statement'!CJ45</f>
        <v>-23378</v>
      </c>
      <c r="AG75" s="502">
        <f>'Income Statement'!CK45</f>
        <v>-28696</v>
      </c>
      <c r="AH75" s="502">
        <f>'Income Statement'!CL45</f>
        <v>-34977</v>
      </c>
      <c r="AI75" s="487">
        <f>'Income Statement'!CM45</f>
        <v>-102959</v>
      </c>
      <c r="AJ75" s="502">
        <f>'Income Statement'!CN45</f>
        <v>-8906</v>
      </c>
      <c r="AK75" s="502">
        <f>'Income Statement'!CO45</f>
        <v>-10817</v>
      </c>
      <c r="AL75" s="502">
        <f>'Income Statement'!CP45</f>
        <v>-20969</v>
      </c>
      <c r="AM75" s="502">
        <f>'Income Statement'!CQ45</f>
        <v>-9019</v>
      </c>
      <c r="AN75" s="487">
        <f>'Income Statement'!CR45</f>
        <v>-49711</v>
      </c>
      <c r="AO75" s="502">
        <f>'Income Statement'!CS45</f>
        <v>-27484</v>
      </c>
      <c r="AP75" s="502">
        <f>'Income Statement'!CT45</f>
        <v>-28640</v>
      </c>
      <c r="AQ75" s="502">
        <f>'Income Statement'!CU45</f>
        <v>-53319</v>
      </c>
      <c r="AR75" s="502">
        <f>'Income Statement'!CV45</f>
        <v>-54167</v>
      </c>
      <c r="AS75" s="487">
        <f>'Income Statement'!CW45</f>
        <v>-163610</v>
      </c>
      <c r="AT75" s="502">
        <f>'Income Statement'!CX45</f>
        <v>-47545</v>
      </c>
      <c r="AU75" s="502">
        <f>'Income Statement'!CY45</f>
        <v>-65938</v>
      </c>
      <c r="AV75" s="502">
        <f>'Income Statement'!CZ45</f>
        <v>-67911</v>
      </c>
      <c r="AW75" s="502">
        <f>'Income Statement'!DA45</f>
        <v>-90662</v>
      </c>
      <c r="AX75" s="487">
        <f>'Income Statement'!DB45</f>
        <v>-272056</v>
      </c>
      <c r="AY75" s="502">
        <f>'Income Statement'!DC45</f>
        <v>-66181</v>
      </c>
      <c r="AZ75" s="502">
        <f>'Income Statement'!DD45</f>
        <v>-91196</v>
      </c>
      <c r="BA75" s="502">
        <f>'Income Statement'!DE45</f>
        <v>-73848</v>
      </c>
      <c r="BB75" s="502">
        <f>'Income Statement'!DF45</f>
        <v>-157848</v>
      </c>
      <c r="BC75" s="487">
        <f>'Income Statement'!DG45</f>
        <v>-389073</v>
      </c>
      <c r="BD75" s="502">
        <f>'Income Statement'!DH45</f>
        <v>-63283</v>
      </c>
      <c r="BE75" s="502">
        <f>'Income Statement'!DI45</f>
        <v>-67151</v>
      </c>
      <c r="BF75" s="502">
        <f>'Income Statement'!DJ45</f>
        <v>-96260.25</v>
      </c>
      <c r="BG75" s="502">
        <f>'Income Statement'!DK45</f>
        <v>-95144.265189510217</v>
      </c>
      <c r="BH75" s="487">
        <f>'Income Statement'!DL45</f>
        <v>-321838.51518951019</v>
      </c>
      <c r="BI75" s="502">
        <f>'Income Statement'!DM45</f>
        <v>-99065.432050399962</v>
      </c>
      <c r="BJ75" s="502">
        <f>'Income Statement'!DN45</f>
        <v>-98640.759862051564</v>
      </c>
      <c r="BK75" s="502">
        <f>'Income Statement'!DO45</f>
        <v>-102537.42783356267</v>
      </c>
      <c r="BL75" s="502">
        <f>'Income Statement'!DP45</f>
        <v>-107636.19116155068</v>
      </c>
      <c r="BM75" s="487">
        <f>'Income Statement'!DQ45</f>
        <v>-407879.81090756488</v>
      </c>
    </row>
    <row r="76" spans="2:65" hidden="1" collapsed="1">
      <c r="B76" s="529" t="str">
        <f>'Income Statement'!A46</f>
        <v>As % of Majority Earnings</v>
      </c>
      <c r="C76" s="496">
        <f>'Income Statement'!AY46</f>
        <v>0.1972603572751771</v>
      </c>
      <c r="D76" s="496">
        <f>'Income Statement'!BD46</f>
        <v>0.20434190616632947</v>
      </c>
      <c r="E76" s="496">
        <f>'Income Statement'!BI46</f>
        <v>0.24505144541121768</v>
      </c>
      <c r="F76" s="497">
        <f>'Income Statement'!BJ46</f>
        <v>0.31052021560309229</v>
      </c>
      <c r="G76" s="497">
        <f>'Income Statement'!BK46</f>
        <v>0.20883846875387146</v>
      </c>
      <c r="H76" s="497">
        <f>'Income Statement'!BL46</f>
        <v>0.66389761489237931</v>
      </c>
      <c r="I76" s="497">
        <f>'Income Statement'!BM46</f>
        <v>0.45032430031097292</v>
      </c>
      <c r="J76" s="496">
        <f>'Income Statement'!BN46</f>
        <v>0.38127708282233669</v>
      </c>
      <c r="K76" s="497">
        <f>'Income Statement'!BO46</f>
        <v>0.88246802546282777</v>
      </c>
      <c r="L76" s="497">
        <f>'Income Statement'!BP46</f>
        <v>-4.994044073853484E-2</v>
      </c>
      <c r="M76" s="497">
        <f>'Income Statement'!BQ46</f>
        <v>1.4775118265904117</v>
      </c>
      <c r="N76" s="497">
        <f>'Income Statement'!BR46</f>
        <v>0.35304887756726638</v>
      </c>
      <c r="O76" s="496">
        <f>'Income Statement'!BS46</f>
        <v>-8.0145175064047827</v>
      </c>
      <c r="P76" s="497">
        <f>'Income Statement'!BT46</f>
        <v>-0.47984417832924542</v>
      </c>
      <c r="Q76" s="497">
        <f>'Income Statement'!BU46</f>
        <v>-0.48643562803826251</v>
      </c>
      <c r="R76" s="497">
        <f>'Income Statement'!BV46</f>
        <v>-0.28355496029847893</v>
      </c>
      <c r="S76" s="497">
        <f>'Income Statement'!BW46</f>
        <v>0.24549843720555459</v>
      </c>
      <c r="T76" s="496">
        <f>'Income Statement'!BX46</f>
        <v>14.995189117451892</v>
      </c>
      <c r="U76" s="497">
        <f>'Income Statement'!BY46</f>
        <v>0.21157635869122654</v>
      </c>
      <c r="V76" s="497">
        <f>'Income Statement'!BZ46</f>
        <v>0.199984538726975</v>
      </c>
      <c r="W76" s="497">
        <f>'Income Statement'!CA46</f>
        <v>0.13918737269196196</v>
      </c>
      <c r="X76" s="497">
        <f>'Income Statement'!CB46</f>
        <v>0.287297303751821</v>
      </c>
      <c r="Y76" s="496">
        <f>'Income Statement'!CC46</f>
        <v>0.22173125367290639</v>
      </c>
      <c r="Z76" s="497">
        <f>'Income Statement'!CD46</f>
        <v>0.42086823119661665</v>
      </c>
      <c r="AA76" s="497">
        <f>'Income Statement'!CE46</f>
        <v>0.27026096314231907</v>
      </c>
      <c r="AB76" s="497">
        <f>'Income Statement'!CF46</f>
        <v>8.1943634596695816E-3</v>
      </c>
      <c r="AC76" s="497">
        <f>'Income Statement'!CG46</f>
        <v>4.4723013519295259E-2</v>
      </c>
      <c r="AD76" s="496">
        <f>'Income Statement'!CH46</f>
        <v>3.7845921583910772E-2</v>
      </c>
      <c r="AE76" s="497">
        <f>'Income Statement'!CI46</f>
        <v>7.6409869688221985E-2</v>
      </c>
      <c r="AF76" s="497">
        <f>'Income Statement'!CJ46</f>
        <v>8.051606326114509E-2</v>
      </c>
      <c r="AG76" s="497">
        <f>'Income Statement'!CK46</f>
        <v>0.10778123744098436</v>
      </c>
      <c r="AH76" s="497">
        <f>'Income Statement'!CL46</f>
        <v>0.13850851001481035</v>
      </c>
      <c r="AI76" s="496">
        <f>'Income Statement'!CM46</f>
        <v>0.10120670707372552</v>
      </c>
      <c r="AJ76" s="497">
        <f>'Income Statement'!CN46</f>
        <v>5.2186549628787569E-2</v>
      </c>
      <c r="AK76" s="497">
        <f>'Income Statement'!CO46</f>
        <v>6.6931082703231157E-2</v>
      </c>
      <c r="AL76" s="497">
        <f>'Income Statement'!CP46</f>
        <v>6.7729984463673745E-2</v>
      </c>
      <c r="AM76" s="497">
        <f>'Income Statement'!CQ46</f>
        <v>4.1615333859350415E-2</v>
      </c>
      <c r="AN76" s="496">
        <f>'Income Statement'!CR46</f>
        <v>5.7898347408719637E-2</v>
      </c>
      <c r="AO76" s="497">
        <f>'Income Statement'!CS46</f>
        <v>0.14385009944520047</v>
      </c>
      <c r="AP76" s="497">
        <f>'Income Statement'!CT46</f>
        <v>9.2979465952438931E-2</v>
      </c>
      <c r="AQ76" s="497">
        <f>'Income Statement'!CU46</f>
        <v>0.17502412699663206</v>
      </c>
      <c r="AR76" s="497">
        <f>'Income Statement'!CV46</f>
        <v>0.17937458813088414</v>
      </c>
      <c r="AS76" s="496">
        <f>'Income Statement'!CW46</f>
        <v>0.14796961201049108</v>
      </c>
      <c r="AT76" s="497">
        <f>'Income Statement'!CX46</f>
        <v>0.15103096222081747</v>
      </c>
      <c r="AU76" s="497">
        <f>'Income Statement'!CY46</f>
        <v>0.13796205823707011</v>
      </c>
      <c r="AV76" s="497">
        <f>'Income Statement'!CZ46</f>
        <v>0.12552586633937879</v>
      </c>
      <c r="AW76" s="497">
        <f>'Income Statement'!DA46</f>
        <v>0.15437242675729704</v>
      </c>
      <c r="AX76" s="496">
        <f>'Income Statement'!DB46</f>
        <v>0.14161823834024273</v>
      </c>
      <c r="AY76" s="497">
        <f>'Income Statement'!DC46</f>
        <v>0.16805184186403191</v>
      </c>
      <c r="AZ76" s="497">
        <f>'Income Statement'!DD46</f>
        <v>0.19038711657338264</v>
      </c>
      <c r="BA76" s="497">
        <f>'Income Statement'!DE46</f>
        <v>0.10812884446155942</v>
      </c>
      <c r="BB76" s="497">
        <f>'Income Statement'!DF46</f>
        <v>0.1879031010058925</v>
      </c>
      <c r="BC76" s="496">
        <f>'Income Statement'!DG46</f>
        <v>0.16239598068142594</v>
      </c>
      <c r="BD76" s="497">
        <f>'Income Statement'!DH46</f>
        <v>0.17575730644144433</v>
      </c>
      <c r="BE76" s="497">
        <f>'Income Statement'!DI46</f>
        <v>0.12945345046623755</v>
      </c>
      <c r="BF76" s="497">
        <f ca="1">'Income Statement'!DJ46</f>
        <v>0.15506080742955941</v>
      </c>
      <c r="BG76" s="497">
        <f ca="1">'Income Statement'!DK46</f>
        <v>0.13356724726162331</v>
      </c>
      <c r="BH76" s="496">
        <f ca="1">'Income Statement'!DL46</f>
        <v>0.14550262603110412</v>
      </c>
      <c r="BI76" s="497">
        <f ca="1">'Income Statement'!DM46</f>
        <v>0.15558653086911306</v>
      </c>
      <c r="BJ76" s="497">
        <f ca="1">'Income Statement'!DN46</f>
        <v>0.1507599562134222</v>
      </c>
      <c r="BK76" s="497">
        <f ca="1">'Income Statement'!DO46</f>
        <v>0.1578264343320008</v>
      </c>
      <c r="BL76" s="497">
        <f ca="1">'Income Statement'!DP46</f>
        <v>0.15715182429522739</v>
      </c>
      <c r="BM76" s="496">
        <f ca="1">'Income Statement'!DQ46</f>
        <v>0.15534633926378824</v>
      </c>
    </row>
    <row r="77" spans="2:65">
      <c r="B77" s="530" t="str">
        <f>'Income Statement'!A47</f>
        <v>Net Earnings</v>
      </c>
      <c r="C77" s="504">
        <f>'Income Statement'!AY47</f>
        <v>712832</v>
      </c>
      <c r="D77" s="504">
        <f>'Income Statement'!BD47</f>
        <v>661499</v>
      </c>
      <c r="E77" s="504">
        <f>'Income Statement'!BI47</f>
        <v>447800</v>
      </c>
      <c r="F77" s="505">
        <f>'Income Statement'!BJ47</f>
        <v>61272</v>
      </c>
      <c r="G77" s="505">
        <f>'Income Statement'!BK47</f>
        <v>44703</v>
      </c>
      <c r="H77" s="505">
        <f>'Income Statement'!BL47</f>
        <v>14444</v>
      </c>
      <c r="I77" s="505">
        <f>'Income Statement'!BM47</f>
        <v>30933</v>
      </c>
      <c r="J77" s="504">
        <f>'Income Statement'!BN47</f>
        <v>151352</v>
      </c>
      <c r="K77" s="505">
        <f>'Income Statement'!BO47</f>
        <v>4025</v>
      </c>
      <c r="L77" s="505">
        <f>'Income Statement'!BP47</f>
        <v>-141028</v>
      </c>
      <c r="M77" s="505">
        <f>'Income Statement'!BQ47</f>
        <v>-6763</v>
      </c>
      <c r="N77" s="505">
        <f>'Income Statement'!BR47</f>
        <v>48762</v>
      </c>
      <c r="O77" s="504">
        <f>'Income Statement'!BS47</f>
        <v>-95004</v>
      </c>
      <c r="P77" s="505">
        <f>'Income Statement'!BT47</f>
        <v>-51284</v>
      </c>
      <c r="Q77" s="505">
        <f>'Income Statement'!BU47</f>
        <v>-28437</v>
      </c>
      <c r="R77" s="505">
        <f>'Income Statement'!BV47</f>
        <v>-120753</v>
      </c>
      <c r="S77" s="505">
        <f>'Income Statement'!BW47</f>
        <v>116111</v>
      </c>
      <c r="T77" s="504">
        <f>'Income Statement'!BX47</f>
        <v>-84363</v>
      </c>
      <c r="U77" s="505">
        <f>'Income Statement'!BY47</f>
        <v>48410</v>
      </c>
      <c r="V77" s="505">
        <f>'Income Statement'!BZ47</f>
        <v>113835</v>
      </c>
      <c r="W77" s="505">
        <f>'Income Statement'!CA47</f>
        <v>104383</v>
      </c>
      <c r="X77" s="505">
        <f>'Income Statement'!CB47</f>
        <v>149215</v>
      </c>
      <c r="Y77" s="504">
        <f>'Income Statement'!CC47</f>
        <v>415843</v>
      </c>
      <c r="Z77" s="505">
        <f>'Income Statement'!CD47</f>
        <v>27935</v>
      </c>
      <c r="AA77" s="505">
        <f>'Income Statement'!CE47</f>
        <v>67811</v>
      </c>
      <c r="AB77" s="505">
        <f>'Income Statement'!CF47</f>
        <v>1403281</v>
      </c>
      <c r="AC77" s="505">
        <f>'Income Statement'!CG47</f>
        <v>261231</v>
      </c>
      <c r="AD77" s="504">
        <f>'Income Statement'!CH47</f>
        <v>1760258</v>
      </c>
      <c r="AE77" s="505">
        <f>'Income Statement'!CI47</f>
        <v>192285</v>
      </c>
      <c r="AF77" s="505">
        <f>'Income Statement'!CJ47</f>
        <v>266974</v>
      </c>
      <c r="AG77" s="505">
        <f>'Income Statement'!CK47</f>
        <v>237547</v>
      </c>
      <c r="AH77" s="505">
        <f>'Income Statement'!CL47</f>
        <v>217549</v>
      </c>
      <c r="AI77" s="504">
        <f>'Income Statement'!CM47</f>
        <v>914355</v>
      </c>
      <c r="AJ77" s="505">
        <f>'Income Statement'!CN47</f>
        <v>161751</v>
      </c>
      <c r="AK77" s="505">
        <f>'Income Statement'!CO47</f>
        <v>150797</v>
      </c>
      <c r="AL77" s="505">
        <f>'Income Statement'!CP47</f>
        <v>288628</v>
      </c>
      <c r="AM77" s="505">
        <f>'Income Statement'!CQ47</f>
        <v>207704</v>
      </c>
      <c r="AN77" s="504">
        <f>'Income Statement'!CR47</f>
        <v>808880</v>
      </c>
      <c r="AO77" s="505">
        <f>'Income Statement'!CS47</f>
        <v>163576</v>
      </c>
      <c r="AP77" s="505">
        <f>'Income Statement'!CT47</f>
        <v>279385</v>
      </c>
      <c r="AQ77" s="505">
        <f>'Income Statement'!CU47</f>
        <v>251319</v>
      </c>
      <c r="AR77" s="505">
        <f>'Income Statement'!CV47</f>
        <v>247810</v>
      </c>
      <c r="AS77" s="504">
        <f>'Income Statement'!CW47</f>
        <v>942090</v>
      </c>
      <c r="AT77" s="505">
        <f>'Income Statement'!CX47</f>
        <v>267258</v>
      </c>
      <c r="AU77" s="505">
        <f>'Income Statement'!CY47</f>
        <v>412005</v>
      </c>
      <c r="AV77" s="505">
        <f>'Income Statement'!CZ47</f>
        <v>473101</v>
      </c>
      <c r="AW77" s="505">
        <f>'Income Statement'!DA47</f>
        <v>496632</v>
      </c>
      <c r="AX77" s="504">
        <f>'Income Statement'!DB47</f>
        <v>1648996</v>
      </c>
      <c r="AY77" s="505">
        <f>'Income Statement'!DC47</f>
        <v>327632</v>
      </c>
      <c r="AZ77" s="505">
        <f>'Income Statement'!DD47</f>
        <v>387807</v>
      </c>
      <c r="BA77" s="505">
        <f>'Income Statement'!DE47</f>
        <v>609115</v>
      </c>
      <c r="BB77" s="505">
        <f>'Income Statement'!DF47</f>
        <v>682202</v>
      </c>
      <c r="BC77" s="504">
        <f>'Income Statement'!DG47</f>
        <v>2006756</v>
      </c>
      <c r="BD77" s="505">
        <f>'Income Statement'!DH47</f>
        <v>296776</v>
      </c>
      <c r="BE77" s="505">
        <f>'Income Statement'!DI47</f>
        <v>451576</v>
      </c>
      <c r="BF77" s="505">
        <f ca="1">'Income Statement'!DJ47</f>
        <v>524530.08119783562</v>
      </c>
      <c r="BG77" s="505">
        <f ca="1">'Income Statement'!DK47</f>
        <v>617188.0403730016</v>
      </c>
      <c r="BH77" s="504">
        <f ca="1">'Income Statement'!DL47</f>
        <v>1890070.1215708372</v>
      </c>
      <c r="BI77" s="505">
        <f ca="1">'Income Statement'!DM47</f>
        <v>537656.98535306158</v>
      </c>
      <c r="BJ77" s="505">
        <f ca="1">'Income Statement'!DN47</f>
        <v>555649.42660106672</v>
      </c>
      <c r="BK77" s="505">
        <f ca="1">'Income Statement'!DO47</f>
        <v>547147.32407476974</v>
      </c>
      <c r="BL77" s="505">
        <f ca="1">'Income Statement'!DP47</f>
        <v>577282.30497594236</v>
      </c>
      <c r="BM77" s="504">
        <f ca="1">'Income Statement'!DQ47</f>
        <v>2217736.0410048403</v>
      </c>
    </row>
    <row r="78" spans="2:65">
      <c r="B78" s="531" t="str">
        <f>'Income Statement'!A70</f>
        <v>Gross Margin</v>
      </c>
      <c r="C78" s="506">
        <f>'Income Statement'!AY70</f>
        <v>0.36219429242861256</v>
      </c>
      <c r="D78" s="506">
        <f>'Income Statement'!BD70</f>
        <v>0.35690960027514956</v>
      </c>
      <c r="E78" s="506">
        <f>'Income Statement'!BI70</f>
        <v>0.38562751544279167</v>
      </c>
      <c r="F78" s="507">
        <f>'Income Statement'!BJ70</f>
        <v>0.41028190244058882</v>
      </c>
      <c r="G78" s="507">
        <f>'Income Statement'!BK70</f>
        <v>0.47107871201638607</v>
      </c>
      <c r="H78" s="507">
        <f>'Income Statement'!BL70</f>
        <v>0.38381948746797734</v>
      </c>
      <c r="I78" s="507">
        <f>'Income Statement'!BM70</f>
        <v>0.34187560679347473</v>
      </c>
      <c r="J78" s="506">
        <f>'Income Statement'!BN70</f>
        <v>0.39597879391983876</v>
      </c>
      <c r="K78" s="507">
        <f>'Income Statement'!BO70</f>
        <v>0.37536522205067396</v>
      </c>
      <c r="L78" s="507">
        <f>'Income Statement'!BP70</f>
        <v>0.35091064730076765</v>
      </c>
      <c r="M78" s="507">
        <f>'Income Statement'!BQ70</f>
        <v>0.31229603212969637</v>
      </c>
      <c r="N78" s="507">
        <f>'Income Statement'!BR70</f>
        <v>0.32170375865479722</v>
      </c>
      <c r="O78" s="506">
        <f>'Income Statement'!BS70</f>
        <v>0.33977455054099642</v>
      </c>
      <c r="P78" s="507">
        <f>'Income Statement'!BT70</f>
        <v>0.33373426064417627</v>
      </c>
      <c r="Q78" s="507">
        <f>'Income Statement'!BU70</f>
        <v>0.31315838439876226</v>
      </c>
      <c r="R78" s="507">
        <f>'Income Statement'!BV70</f>
        <v>0.32788328217155865</v>
      </c>
      <c r="S78" s="507">
        <f>'Income Statement'!BW70</f>
        <v>0.31222619249868405</v>
      </c>
      <c r="T78" s="506">
        <f>'Income Statement'!BX70</f>
        <v>0.3197074017765979</v>
      </c>
      <c r="U78" s="507">
        <f>'Income Statement'!BY70</f>
        <v>0.33008970802530996</v>
      </c>
      <c r="V78" s="507">
        <f>'Income Statement'!BZ70</f>
        <v>0.33227812287133979</v>
      </c>
      <c r="W78" s="507">
        <f>'Income Statement'!CA70</f>
        <v>0.33066169996758521</v>
      </c>
      <c r="X78" s="507">
        <f>'Income Statement'!CB70</f>
        <v>0.32765653102563563</v>
      </c>
      <c r="Y78" s="506">
        <f>'Income Statement'!CC70</f>
        <v>0.32998382272618226</v>
      </c>
      <c r="Z78" s="507">
        <f>'Income Statement'!CD70</f>
        <v>0.35632065171198618</v>
      </c>
      <c r="AA78" s="507">
        <f>'Income Statement'!CE70</f>
        <v>0.34775180971092312</v>
      </c>
      <c r="AB78" s="507">
        <f>'Income Statement'!CF70</f>
        <v>0.34107174626967013</v>
      </c>
      <c r="AC78" s="507">
        <f>'Income Statement'!CG70</f>
        <v>0.33758553135913233</v>
      </c>
      <c r="AD78" s="506">
        <f>'Income Statement'!CH70</f>
        <v>0.3446236311673313</v>
      </c>
      <c r="AE78" s="507">
        <f>'Income Statement'!CI70</f>
        <v>0.35422901730740874</v>
      </c>
      <c r="AF78" s="507">
        <f>'Income Statement'!CJ70</f>
        <v>0.37449482622529756</v>
      </c>
      <c r="AG78" s="507">
        <f>'Income Statement'!CK70</f>
        <v>0.35587760674791341</v>
      </c>
      <c r="AH78" s="507">
        <f>'Income Statement'!CL70</f>
        <v>0.3458283051438284</v>
      </c>
      <c r="AI78" s="506">
        <f>'Income Statement'!CM70</f>
        <v>0.35736353156121287</v>
      </c>
      <c r="AJ78" s="507">
        <f>'Income Statement'!CN70</f>
        <v>0.32461847989529508</v>
      </c>
      <c r="AK78" s="507">
        <f>'Income Statement'!CO70</f>
        <v>0.32865177752197255</v>
      </c>
      <c r="AL78" s="507">
        <f>'Income Statement'!CP70</f>
        <v>0.35339795491791715</v>
      </c>
      <c r="AM78" s="507">
        <f>'Income Statement'!CQ70</f>
        <v>0.33126902012960679</v>
      </c>
      <c r="AN78" s="506">
        <f>'Income Statement'!CR70</f>
        <v>0.33552790452109504</v>
      </c>
      <c r="AO78" s="507">
        <f>'Income Statement'!CS70</f>
        <v>0.32658057418191622</v>
      </c>
      <c r="AP78" s="507">
        <f>'Income Statement'!CT70</f>
        <v>0.34136572252618558</v>
      </c>
      <c r="AQ78" s="507">
        <f>'Income Statement'!CU70</f>
        <v>0.35391734374260064</v>
      </c>
      <c r="AR78" s="507">
        <f>'Income Statement'!CV70</f>
        <v>0.35446088861680086</v>
      </c>
      <c r="AS78" s="506">
        <f>'Income Statement'!CW70</f>
        <v>0.34517669889434949</v>
      </c>
      <c r="AT78" s="507">
        <f>'Income Statement'!CX70</f>
        <v>0.3310047421627797</v>
      </c>
      <c r="AU78" s="507">
        <f>'Income Statement'!CY70</f>
        <v>0.34748233170351839</v>
      </c>
      <c r="AV78" s="507">
        <f>'Income Statement'!CZ70</f>
        <v>0.35080858728914477</v>
      </c>
      <c r="AW78" s="507">
        <f>'Income Statement'!DA70</f>
        <v>0.33355118704337006</v>
      </c>
      <c r="AX78" s="506">
        <f>'Income Statement'!DB70</f>
        <v>0.34069298220065863</v>
      </c>
      <c r="AY78" s="507">
        <f>'Income Statement'!DC70</f>
        <v>0.34353402186871396</v>
      </c>
      <c r="AZ78" s="507">
        <f>'Income Statement'!DD70</f>
        <v>0.34900884140987981</v>
      </c>
      <c r="BA78" s="507">
        <f>'Income Statement'!DE70</f>
        <v>0.35285696700785457</v>
      </c>
      <c r="BB78" s="507">
        <f>'Income Statement'!DF70</f>
        <v>0.33720628318600482</v>
      </c>
      <c r="BC78" s="506">
        <f>'Income Statement'!DG70</f>
        <v>0.34469157618182811</v>
      </c>
      <c r="BD78" s="507">
        <f>'Income Statement'!DH70</f>
        <v>0.36106374562784904</v>
      </c>
      <c r="BE78" s="507">
        <f>'Income Statement'!DI70</f>
        <v>0.37312460019082005</v>
      </c>
      <c r="BF78" s="507">
        <f>'Income Statement'!DJ70</f>
        <v>0.34878206884313451</v>
      </c>
      <c r="BG78" s="507">
        <f>'Income Statement'!DK70</f>
        <v>0.34930130325120895</v>
      </c>
      <c r="BH78" s="506">
        <f>'Income Statement'!DL70</f>
        <v>0.35727372550638353</v>
      </c>
      <c r="BI78" s="507">
        <f>'Income Statement'!DM70</f>
        <v>0.34607676449891489</v>
      </c>
      <c r="BJ78" s="507">
        <f>'Income Statement'!DN70</f>
        <v>0.34554817297579032</v>
      </c>
      <c r="BK78" s="507">
        <f>'Income Statement'!DO70</f>
        <v>0.34511208341544763</v>
      </c>
      <c r="BL78" s="507">
        <f>'Income Statement'!DP70</f>
        <v>0.34448819601949549</v>
      </c>
      <c r="BM78" s="506">
        <f>'Income Statement'!DQ70</f>
        <v>0.34527178965073624</v>
      </c>
    </row>
    <row r="79" spans="2:65" hidden="1">
      <c r="B79" s="532" t="str">
        <f>'Income Statement'!A71</f>
        <v xml:space="preserve">  Development &amp; Sales</v>
      </c>
      <c r="C79" s="508">
        <f>'Income Statement'!AY71</f>
        <v>0.3820122884594348</v>
      </c>
      <c r="D79" s="508">
        <f>'Income Statement'!BD71</f>
        <v>0.37163299348478163</v>
      </c>
      <c r="E79" s="508">
        <f>'Income Statement'!BI71</f>
        <v>0.40485529605535464</v>
      </c>
      <c r="F79" s="509">
        <f>'Income Statement'!BJ71</f>
        <v>0.43007108522302673</v>
      </c>
      <c r="G79" s="509">
        <f>'Income Statement'!BK71</f>
        <v>0.50138895443033993</v>
      </c>
      <c r="H79" s="510">
        <f>'Income Statement'!BL71</f>
        <v>0.40288349356052344</v>
      </c>
      <c r="I79" s="510">
        <f>'Income Statement'!BM71</f>
        <v>0.36344662424491292</v>
      </c>
      <c r="J79" s="508">
        <f>'Income Statement'!BN71</f>
        <v>0.41763449495378491</v>
      </c>
      <c r="K79" s="510">
        <f>'Income Statement'!BO71</f>
        <v>0.38837227711372257</v>
      </c>
      <c r="L79" s="510">
        <f>'Income Statement'!BP71</f>
        <v>0.36832725924483101</v>
      </c>
      <c r="M79" s="510">
        <f>'Income Statement'!BQ71</f>
        <v>0.33053978182702215</v>
      </c>
      <c r="N79" s="510">
        <f>'Income Statement'!BR71</f>
        <v>0.34033352801831251</v>
      </c>
      <c r="O79" s="508">
        <f>'Income Statement'!BS71</f>
        <v>0.35646087874166277</v>
      </c>
      <c r="P79" s="510">
        <f>'Income Statement'!BT71</f>
        <v>0.35256102306148929</v>
      </c>
      <c r="Q79" s="510">
        <f>'Income Statement'!BU71</f>
        <v>0.33267411668287905</v>
      </c>
      <c r="R79" s="510">
        <f>'Income Statement'!BV71</f>
        <v>0.3476583096021979</v>
      </c>
      <c r="S79" s="510">
        <f>'Income Statement'!BW71</f>
        <v>0.33383511934108645</v>
      </c>
      <c r="T79" s="508">
        <f>'Income Statement'!BX71</f>
        <v>0.3399471969673632</v>
      </c>
      <c r="U79" s="510">
        <f>'Income Statement'!BY71</f>
        <v>0.34938753444081394</v>
      </c>
      <c r="V79" s="510">
        <f>'Income Statement'!BZ71</f>
        <v>0.34895601164428425</v>
      </c>
      <c r="W79" s="510">
        <f>'Income Statement'!CA71</f>
        <v>0.3444165443042897</v>
      </c>
      <c r="X79" s="510">
        <f>'Income Statement'!CB71</f>
        <v>0.3445246927182315</v>
      </c>
      <c r="Y79" s="508">
        <f>'Income Statement'!CC71</f>
        <v>0.34657918993277304</v>
      </c>
      <c r="Z79" s="510">
        <f>'Income Statement'!CD71</f>
        <v>0.36905021939886651</v>
      </c>
      <c r="AA79" s="510">
        <f>'Income Statement'!CE71</f>
        <v>0.37048852945446309</v>
      </c>
      <c r="AB79" s="510">
        <f>'Income Statement'!CF71</f>
        <v>0.35480899941861799</v>
      </c>
      <c r="AC79" s="510">
        <f>'Income Statement'!CG71</f>
        <v>0.34802665299846236</v>
      </c>
      <c r="AD79" s="508">
        <f>'Income Statement'!CH71</f>
        <v>0.35924928316518556</v>
      </c>
      <c r="AE79" s="510">
        <f>'Income Statement'!CI71</f>
        <v>0.36952880971634239</v>
      </c>
      <c r="AF79" s="510">
        <f>'Income Statement'!CJ71</f>
        <v>0.39117184799856708</v>
      </c>
      <c r="AG79" s="510">
        <f>'Income Statement'!CK71</f>
        <v>0.37693505732503718</v>
      </c>
      <c r="AH79" s="510">
        <f>'Income Statement'!CL71</f>
        <v>0.35291124307374455</v>
      </c>
      <c r="AI79" s="508">
        <f>'Income Statement'!CM71</f>
        <v>0.37235855959184483</v>
      </c>
      <c r="AJ79" s="510">
        <f>'Income Statement'!CN71</f>
        <v>0.34229233191387032</v>
      </c>
      <c r="AK79" s="510">
        <f>'Income Statement'!CO71</f>
        <v>0.34944212728235147</v>
      </c>
      <c r="AL79" s="510">
        <f>'Income Statement'!CP71</f>
        <v>0.37164260393475834</v>
      </c>
      <c r="AM79" s="510">
        <f>'Income Statement'!CQ71</f>
        <v>0.35127654820044529</v>
      </c>
      <c r="AN79" s="508">
        <f>'Income Statement'!CR71</f>
        <v>0.35467464678358818</v>
      </c>
      <c r="AO79" s="510">
        <f>'Income Statement'!CS71</f>
        <v>0.3434788356331786</v>
      </c>
      <c r="AP79" s="510">
        <f>'Income Statement'!CT71</f>
        <v>0.35542219541616404</v>
      </c>
      <c r="AQ79" s="510">
        <f>'Income Statement'!CU71</f>
        <v>0.36636339139465246</v>
      </c>
      <c r="AR79" s="510">
        <f>'Income Statement'!CV71</f>
        <v>0.36688167824421314</v>
      </c>
      <c r="AS79" s="508">
        <f>'Income Statement'!CW71</f>
        <v>0.35895180095958912</v>
      </c>
      <c r="AT79" s="510">
        <f>'Income Statement'!CX71</f>
        <v>0.34745300410077629</v>
      </c>
      <c r="AU79" s="510">
        <f>'Income Statement'!CY71</f>
        <v>0.36179374632432293</v>
      </c>
      <c r="AV79" s="510">
        <f>'Income Statement'!CZ71</f>
        <v>0.36504788811101974</v>
      </c>
      <c r="AW79" s="510">
        <f>'Income Statement'!DA71</f>
        <v>0.34736243518720555</v>
      </c>
      <c r="AX79" s="508">
        <f>'Income Statement'!DB71</f>
        <v>0.35525055478252632</v>
      </c>
      <c r="AY79" s="510">
        <f>'Income Statement'!DC71</f>
        <v>0.35615231645923362</v>
      </c>
      <c r="AZ79" s="510">
        <f>'Income Statement'!DD71</f>
        <v>0.36141686141662799</v>
      </c>
      <c r="BA79" s="510">
        <f>'Income Statement'!DE71</f>
        <v>0.36567287346299848</v>
      </c>
      <c r="BB79" s="510">
        <f>'Income Statement'!DF71</f>
        <v>0.34875370270122319</v>
      </c>
      <c r="BC79" s="508">
        <f>'Income Statement'!DG71</f>
        <v>0.35694041339494087</v>
      </c>
      <c r="BD79" s="510">
        <f>'Income Statement'!DH71</f>
        <v>0.37258308801830164</v>
      </c>
      <c r="BE79" s="510">
        <f>'Income Statement'!DI71</f>
        <v>0.38195220521739548</v>
      </c>
      <c r="BF79" s="510">
        <f>'Income Statement'!DJ71</f>
        <v>0.36078488507024681</v>
      </c>
      <c r="BG79" s="510">
        <f>'Income Statement'!DK71</f>
        <v>0.36067552625885391</v>
      </c>
      <c r="BH79" s="508">
        <f>'Income Statement'!DL71</f>
        <v>0.36821139118659785</v>
      </c>
      <c r="BI79" s="510">
        <f>'Income Statement'!DM71</f>
        <v>0.35577515147531064</v>
      </c>
      <c r="BJ79" s="510">
        <f>'Income Statement'!DN71</f>
        <v>0.3552523786876729</v>
      </c>
      <c r="BK79" s="510">
        <f>'Income Statement'!DO71</f>
        <v>0.35482108960121039</v>
      </c>
      <c r="BL79" s="510">
        <f>'Income Statement'!DP71</f>
        <v>0.35420406995771297</v>
      </c>
      <c r="BM79" s="508">
        <f>'Income Statement'!DQ71</f>
        <v>0.35497903779026097</v>
      </c>
    </row>
    <row r="80" spans="2:65" hidden="1">
      <c r="B80" s="532" t="str">
        <f>'Income Statement'!A72</f>
        <v xml:space="preserve">  Rental &amp; Services</v>
      </c>
      <c r="C80" s="508">
        <f>'Income Statement'!AY72</f>
        <v>0.29506263992759496</v>
      </c>
      <c r="D80" s="508">
        <f>'Income Statement'!BD72</f>
        <v>0.29657262765213332</v>
      </c>
      <c r="E80" s="508">
        <f>'Income Statement'!BI72</f>
        <v>0.19605995332974335</v>
      </c>
      <c r="F80" s="509">
        <f>'Income Statement'!BJ72</f>
        <v>0.18218341960905504</v>
      </c>
      <c r="G80" s="509">
        <f>'Income Statement'!BK72</f>
        <v>0.16575963718820863</v>
      </c>
      <c r="H80" s="510">
        <f>'Income Statement'!BL72</f>
        <v>0.13142926297954738</v>
      </c>
      <c r="I80" s="510">
        <f>'Income Statement'!BM72</f>
        <v>0.13106351821343587</v>
      </c>
      <c r="J80" s="508">
        <f>'Income Statement'!BN72</f>
        <v>0.16085377101018272</v>
      </c>
      <c r="K80" s="510">
        <f>'Income Statement'!BO72</f>
        <v>0.57249957403305496</v>
      </c>
      <c r="L80" s="510">
        <f>'Income Statement'!BP72</f>
        <v>0.42286595817620842</v>
      </c>
      <c r="M80" s="510">
        <f>'Income Statement'!BQ72</f>
        <v>0.37486874343717191</v>
      </c>
      <c r="N80" s="510">
        <f>'Income Statement'!BR72</f>
        <v>0.37560876623376627</v>
      </c>
      <c r="O80" s="508">
        <f>'Income Statement'!BS72</f>
        <v>0.48528591966669599</v>
      </c>
      <c r="P80" s="510">
        <f>'Income Statement'!BT72</f>
        <v>0.41955835962145105</v>
      </c>
      <c r="Q80" s="510">
        <f>'Income Statement'!BU72</f>
        <v>0.23085061362674564</v>
      </c>
      <c r="R80" s="510">
        <f>'Income Statement'!BV72</f>
        <v>0.13612334801762116</v>
      </c>
      <c r="S80" s="510">
        <f>'Income Statement'!BW72</f>
        <v>0.24302840761011202</v>
      </c>
      <c r="T80" s="508">
        <f>'Income Statement'!BX72</f>
        <v>0.24053833954824055</v>
      </c>
      <c r="U80" s="510">
        <f>'Income Statement'!BY72</f>
        <v>-6.6546356868937506E-2</v>
      </c>
      <c r="V80" s="510">
        <f>'Income Statement'!BZ72</f>
        <v>0.18908725169725926</v>
      </c>
      <c r="W80" s="510">
        <f>'Income Statement'!CA72</f>
        <v>0.77069311607037427</v>
      </c>
      <c r="X80" s="510">
        <f>'Income Statement'!CB72</f>
        <v>0.3724607711957183</v>
      </c>
      <c r="Y80" s="508">
        <f>'Income Statement'!CC72</f>
        <v>0.40023904382470121</v>
      </c>
      <c r="Z80" s="510">
        <f>'Income Statement'!CD72</f>
        <v>0.64402647161267845</v>
      </c>
      <c r="AA80" s="510">
        <f>'Income Statement'!CE72</f>
        <v>-2.0176544766708604E-2</v>
      </c>
      <c r="AB80" s="510">
        <f>'Income Statement'!CF72</f>
        <v>0.50769317796130786</v>
      </c>
      <c r="AC80" s="510">
        <f>'Income Statement'!CG72</f>
        <v>0.67046265886048828</v>
      </c>
      <c r="AD80" s="508">
        <f>'Income Statement'!CH72</f>
        <v>0.49366640718986621</v>
      </c>
      <c r="AE80" s="510">
        <f>'Income Statement'!CI72</f>
        <v>0.4335068622811169</v>
      </c>
      <c r="AF80" s="510">
        <f>'Income Statement'!CJ72</f>
        <v>0.38029135224567212</v>
      </c>
      <c r="AG80" s="510">
        <f>'Income Statement'!CK72</f>
        <v>0.12363944207046684</v>
      </c>
      <c r="AH80" s="510">
        <f>'Income Statement'!CL72</f>
        <v>0.66251632158179441</v>
      </c>
      <c r="AI80" s="508">
        <f>'Income Statement'!CM72</f>
        <v>0.44069363144227802</v>
      </c>
      <c r="AJ80" s="510">
        <f>'Income Statement'!CN72</f>
        <v>0.1556281407035176</v>
      </c>
      <c r="AK80" s="510">
        <f>'Income Statement'!CO72</f>
        <v>0.219216386483846</v>
      </c>
      <c r="AL80" s="510">
        <f>'Income Statement'!CP72</f>
        <v>0.2714861827317202</v>
      </c>
      <c r="AM80" s="510">
        <f>'Income Statement'!CQ72</f>
        <v>0.3310563786800077</v>
      </c>
      <c r="AN80" s="508">
        <f>'Income Statement'!CR72</f>
        <v>0.24546077934468258</v>
      </c>
      <c r="AO80" s="510">
        <f>'Income Statement'!CS72</f>
        <v>0.37836004932182488</v>
      </c>
      <c r="AP80" s="510">
        <f>'Income Statement'!CT72</f>
        <v>0.66360078277886503</v>
      </c>
      <c r="AQ80" s="510">
        <f>'Income Statement'!CU72</f>
        <v>0.80881535038932151</v>
      </c>
      <c r="AR80" s="510">
        <f>'Income Statement'!CV72</f>
        <v>0.75885986777934322</v>
      </c>
      <c r="AS80" s="508">
        <f>'Income Statement'!CW72</f>
        <v>0.67690910995495646</v>
      </c>
      <c r="AT80" s="510">
        <f>'Income Statement'!CX72</f>
        <v>0.41407238673753477</v>
      </c>
      <c r="AU80" s="510">
        <f>'Income Statement'!CY72</f>
        <v>0.65390323538141881</v>
      </c>
      <c r="AV80" s="510">
        <f>'Income Statement'!CZ72</f>
        <v>0.65673232542533455</v>
      </c>
      <c r="AW80" s="510">
        <f>'Income Statement'!DA72</f>
        <v>0.7279967250939674</v>
      </c>
      <c r="AX80" s="508">
        <f>'Income Statement'!DB72</f>
        <v>0.62590274434280213</v>
      </c>
      <c r="AY80" s="510">
        <f>'Income Statement'!DC72</f>
        <v>0.63907367222795353</v>
      </c>
      <c r="AZ80" s="510">
        <f>'Income Statement'!DD72</f>
        <v>0.84349779199025432</v>
      </c>
      <c r="BA80" s="510">
        <f>'Income Statement'!DE72</f>
        <v>0.81203644840008482</v>
      </c>
      <c r="BB80" s="510">
        <f>'Income Statement'!DF72</f>
        <v>0.90104346624283049</v>
      </c>
      <c r="BC80" s="508">
        <f>'Income Statement'!DG72</f>
        <v>0.79896089935951986</v>
      </c>
      <c r="BD80" s="510">
        <f>'Income Statement'!DH72</f>
        <v>0.75628583325325904</v>
      </c>
      <c r="BE80" s="510">
        <f>'Income Statement'!DI72</f>
        <v>0.83659983310403929</v>
      </c>
      <c r="BF80" s="510">
        <f>'Income Statement'!DJ72</f>
        <v>0.75</v>
      </c>
      <c r="BG80" s="510">
        <f>'Income Statement'!DK72</f>
        <v>0.75</v>
      </c>
      <c r="BH80" s="508">
        <f>'Income Statement'!DL72</f>
        <v>0.77781304153872599</v>
      </c>
      <c r="BI80" s="510">
        <f>'Income Statement'!DM72</f>
        <v>0.75</v>
      </c>
      <c r="BJ80" s="510">
        <f>'Income Statement'!DN72</f>
        <v>0.75</v>
      </c>
      <c r="BK80" s="510">
        <f>'Income Statement'!DO72</f>
        <v>0.75</v>
      </c>
      <c r="BL80" s="510">
        <f>'Income Statement'!DP72</f>
        <v>0.75</v>
      </c>
      <c r="BM80" s="508">
        <f>'Income Statement'!DQ72</f>
        <v>0.75</v>
      </c>
    </row>
    <row r="81" spans="2:65">
      <c r="B81" s="531" t="str">
        <f>'Income Statement'!A73</f>
        <v>EBITDA Margin</v>
      </c>
      <c r="C81" s="506">
        <f>'Income Statement'!AY73</f>
        <v>0.21924718376166863</v>
      </c>
      <c r="D81" s="506">
        <f>'Income Statement'!BD73</f>
        <v>0.19412997103607521</v>
      </c>
      <c r="E81" s="506">
        <f>'Income Statement'!BI73</f>
        <v>0.1928842454040188</v>
      </c>
      <c r="F81" s="507">
        <f>'Income Statement'!BJ73</f>
        <v>0.19758334093987215</v>
      </c>
      <c r="G81" s="507">
        <f>'Income Statement'!BK73</f>
        <v>0.15335715945980941</v>
      </c>
      <c r="H81" s="507">
        <f>'Income Statement'!BL73</f>
        <v>0.14336081046838836</v>
      </c>
      <c r="I81" s="507">
        <f>'Income Statement'!BM73</f>
        <v>0.10244633006952819</v>
      </c>
      <c r="J81" s="506">
        <f>'Income Statement'!BN73</f>
        <v>0.14735909817826753</v>
      </c>
      <c r="K81" s="507">
        <f>'Income Statement'!BO73</f>
        <v>0.14616247849829647</v>
      </c>
      <c r="L81" s="507">
        <f>'Income Statement'!BP73</f>
        <v>-0.14402459478456944</v>
      </c>
      <c r="M81" s="507">
        <f>'Income Statement'!BQ73</f>
        <v>5.3227773252128123E-2</v>
      </c>
      <c r="N81" s="507">
        <f>'Income Statement'!BR73</f>
        <v>7.1256181998021764E-2</v>
      </c>
      <c r="O81" s="506">
        <f>'Income Statement'!BS73</f>
        <v>4.0345654263455717E-2</v>
      </c>
      <c r="P81" s="507">
        <f>'Income Statement'!BT73</f>
        <v>1.2567073955554767E-2</v>
      </c>
      <c r="Q81" s="507">
        <f>'Income Statement'!BU73</f>
        <v>2.3656102286178014E-2</v>
      </c>
      <c r="R81" s="507">
        <f>'Income Statement'!BV73</f>
        <v>-6.1848032283654673E-2</v>
      </c>
      <c r="S81" s="507">
        <f>'Income Statement'!BW73</f>
        <v>0.12988745519513614</v>
      </c>
      <c r="T81" s="506">
        <f>'Income Statement'!BX73</f>
        <v>3.3149652664084282E-2</v>
      </c>
      <c r="U81" s="507">
        <f>'Income Statement'!BY73</f>
        <v>0.15332665243344518</v>
      </c>
      <c r="V81" s="507">
        <f>'Income Statement'!BZ73</f>
        <v>0.10944650029574364</v>
      </c>
      <c r="W81" s="507">
        <f>'Income Statement'!CA73</f>
        <v>0.16024986119416876</v>
      </c>
      <c r="X81" s="507">
        <f>'Income Statement'!CB73</f>
        <v>0.21308767553839342</v>
      </c>
      <c r="Y81" s="506">
        <f>'Income Statement'!CC73</f>
        <v>0.16326606412957287</v>
      </c>
      <c r="Z81" s="507">
        <f>'Income Statement'!CD73</f>
        <v>0.10458774378722598</v>
      </c>
      <c r="AA81" s="507">
        <f>'Income Statement'!CE73</f>
        <v>0.13333206168753756</v>
      </c>
      <c r="AB81" s="507">
        <f>'Income Statement'!CF73</f>
        <v>0.19003990535477777</v>
      </c>
      <c r="AC81" s="507">
        <f>'Income Statement'!CG73</f>
        <v>0.2145935663382641</v>
      </c>
      <c r="AD81" s="506">
        <f>'Income Statement'!CH73</f>
        <v>0.16729415727610145</v>
      </c>
      <c r="AE81" s="507">
        <f>'Income Statement'!CI73</f>
        <v>0.15549867893023236</v>
      </c>
      <c r="AF81" s="507">
        <f>'Income Statement'!CJ73</f>
        <v>0.21026650163829855</v>
      </c>
      <c r="AG81" s="507">
        <f>'Income Statement'!CK73</f>
        <v>0.17717541733969086</v>
      </c>
      <c r="AH81" s="507">
        <f>'Income Statement'!CL73</f>
        <v>0.16655566044398945</v>
      </c>
      <c r="AI81" s="506">
        <f>'Income Statement'!CM73</f>
        <v>0.17787950446195891</v>
      </c>
      <c r="AJ81" s="507">
        <f>'Income Statement'!CN73</f>
        <v>0.12357630239710568</v>
      </c>
      <c r="AK81" s="507">
        <f>'Income Statement'!CO73</f>
        <v>0.12531887882644593</v>
      </c>
      <c r="AL81" s="507">
        <f>'Income Statement'!CP73</f>
        <v>0.20581748142524833</v>
      </c>
      <c r="AM81" s="507">
        <f>'Income Statement'!CQ73</f>
        <v>0.15436904959895428</v>
      </c>
      <c r="AN81" s="506">
        <f>'Income Statement'!CR73</f>
        <v>0.15547766705251653</v>
      </c>
      <c r="AO81" s="507">
        <f>'Income Statement'!CS73</f>
        <v>0.14357742479893659</v>
      </c>
      <c r="AP81" s="507">
        <f>'Income Statement'!CT73</f>
        <v>0.20335934797052152</v>
      </c>
      <c r="AQ81" s="507">
        <f>'Income Statement'!CU73</f>
        <v>0.18477269498464624</v>
      </c>
      <c r="AR81" s="507">
        <f>'Income Statement'!CV73</f>
        <v>0.14747130650771739</v>
      </c>
      <c r="AS81" s="506">
        <f>'Income Statement'!CW73</f>
        <v>0.17096872886412731</v>
      </c>
      <c r="AT81" s="507">
        <f>'Income Statement'!CX73</f>
        <v>0.18346556162427499</v>
      </c>
      <c r="AU81" s="507">
        <f>'Income Statement'!CY73</f>
        <v>0.22061203420618819</v>
      </c>
      <c r="AV81" s="507">
        <f>'Income Statement'!CZ73</f>
        <v>0.24311421027555968</v>
      </c>
      <c r="AW81" s="507">
        <f>'Income Statement'!DA73</f>
        <v>0.21318860824596242</v>
      </c>
      <c r="AX81" s="506">
        <f>'Income Statement'!DB73</f>
        <v>0.21667494383410446</v>
      </c>
      <c r="AY81" s="507">
        <f>'Income Statement'!DC73</f>
        <v>0.17061683456715268</v>
      </c>
      <c r="AZ81" s="507">
        <f>'Income Statement'!DD73</f>
        <v>0.18606540650078543</v>
      </c>
      <c r="BA81" s="507">
        <f>'Income Statement'!DE73</f>
        <v>0.19481866112647445</v>
      </c>
      <c r="BB81" s="507">
        <f>'Income Statement'!DF73</f>
        <v>0.21822133832677934</v>
      </c>
      <c r="BC81" s="506">
        <f>'Income Statement'!DG73</f>
        <v>0.19588063620563667</v>
      </c>
      <c r="BD81" s="507">
        <f>'Income Statement'!DH73</f>
        <v>0.18037434451685477</v>
      </c>
      <c r="BE81" s="507">
        <f>'Income Statement'!DI73</f>
        <v>0.2062807780009521</v>
      </c>
      <c r="BF81" s="507">
        <f>'Income Statement'!DJ73</f>
        <v>0.21105802925777203</v>
      </c>
      <c r="BG81" s="507">
        <f>'Income Statement'!DK73</f>
        <v>0.21659906755790551</v>
      </c>
      <c r="BH81" s="506">
        <f>'Income Statement'!DL73</f>
        <v>0.20545310481529605</v>
      </c>
      <c r="BI81" s="507">
        <f>'Income Statement'!DM73</f>
        <v>0.21069345970940634</v>
      </c>
      <c r="BJ81" s="507">
        <f>'Income Statement'!DN73</f>
        <v>0.20578208550631674</v>
      </c>
      <c r="BK81" s="507">
        <f>'Income Statement'!DO73</f>
        <v>0.20292106982801247</v>
      </c>
      <c r="BL81" s="507">
        <f>'Income Statement'!DP73</f>
        <v>0.19945020896983148</v>
      </c>
      <c r="BM81" s="506">
        <f>'Income Statement'!DQ73</f>
        <v>0.20447476306466211</v>
      </c>
    </row>
    <row r="82" spans="2:65" hidden="1" outlineLevel="1">
      <c r="B82" s="531" t="str">
        <f>'Income Statement'!A74</f>
        <v>EBIT Margin</v>
      </c>
      <c r="C82" s="506">
        <f>'Income Statement'!AY74</f>
        <v>0.20137411804652447</v>
      </c>
      <c r="D82" s="506">
        <f>'Income Statement'!BD74</f>
        <v>0.18036218054987627</v>
      </c>
      <c r="E82" s="506">
        <f>'Income Statement'!BI74</f>
        <v>0.17740713132638469</v>
      </c>
      <c r="F82" s="507">
        <f>'Income Statement'!BJ74</f>
        <v>0.16076728185063388</v>
      </c>
      <c r="G82" s="507">
        <f>'Income Statement'!BK74</f>
        <v>0.12591707447198505</v>
      </c>
      <c r="H82" s="507">
        <f>'Income Statement'!BL74</f>
        <v>0.11231475969529842</v>
      </c>
      <c r="I82" s="507">
        <f>'Income Statement'!BM74</f>
        <v>8.5480057990953068E-2</v>
      </c>
      <c r="J82" s="506">
        <f>'Income Statement'!BN74</f>
        <v>0.11962094444670471</v>
      </c>
      <c r="K82" s="507">
        <f>'Income Statement'!BO74</f>
        <v>0.11533867620275944</v>
      </c>
      <c r="L82" s="507">
        <f>'Income Statement'!BP74</f>
        <v>-0.19389097286500706</v>
      </c>
      <c r="M82" s="507">
        <f>'Income Statement'!BQ74</f>
        <v>5.195482974171458E-2</v>
      </c>
      <c r="N82" s="507">
        <f>'Income Statement'!BR74</f>
        <v>7.9055390702274977E-2</v>
      </c>
      <c r="O82" s="506">
        <f>'Income Statement'!BS74</f>
        <v>2.3718943663815512E-2</v>
      </c>
      <c r="P82" s="507">
        <f>'Income Statement'!BT74</f>
        <v>-2.264425616148346E-2</v>
      </c>
      <c r="Q82" s="507">
        <f>'Income Statement'!BU74</f>
        <v>8.6703078311095964E-3</v>
      </c>
      <c r="R82" s="507">
        <f>'Income Statement'!BV74</f>
        <v>-9.3433587417652536E-2</v>
      </c>
      <c r="S82" s="507">
        <f>'Income Statement'!BW74</f>
        <v>9.9229370267116368E-2</v>
      </c>
      <c r="T82" s="506">
        <f>'Income Statement'!BX74</f>
        <v>1.1930541806686151E-2</v>
      </c>
      <c r="U82" s="507">
        <f>'Income Statement'!BY74</f>
        <v>0.12384476106100437</v>
      </c>
      <c r="V82" s="507">
        <f>'Income Statement'!BZ74</f>
        <v>0.11786078054967745</v>
      </c>
      <c r="W82" s="507">
        <f>'Income Statement'!CA74</f>
        <v>0.12651068350237868</v>
      </c>
      <c r="X82" s="507">
        <f>'Income Statement'!CB74</f>
        <v>0.19146760557441336</v>
      </c>
      <c r="Y82" s="506">
        <f>'Income Statement'!CC74</f>
        <v>0.14426800697970882</v>
      </c>
      <c r="Z82" s="507">
        <f>'Income Statement'!CD74</f>
        <v>8.2098188308674019E-2</v>
      </c>
      <c r="AA82" s="507">
        <f>'Income Statement'!CE74</f>
        <v>0.11696955679964903</v>
      </c>
      <c r="AB82" s="507">
        <f>'Income Statement'!CF74</f>
        <v>0.18233644434092564</v>
      </c>
      <c r="AC82" s="507">
        <f>'Income Statement'!CG74</f>
        <v>0.20392190265277343</v>
      </c>
      <c r="AD82" s="506">
        <f>'Income Statement'!CH74</f>
        <v>0.1539136479469079</v>
      </c>
      <c r="AE82" s="507">
        <f>'Income Statement'!CI74</f>
        <v>0.14460732546137814</v>
      </c>
      <c r="AF82" s="507">
        <f>'Income Statement'!CJ74</f>
        <v>0.20141554408177872</v>
      </c>
      <c r="AG82" s="507">
        <f>'Income Statement'!CK74</f>
        <v>0.16862176802844592</v>
      </c>
      <c r="AH82" s="507">
        <f>'Income Statement'!CL74</f>
        <v>0.16066385012109424</v>
      </c>
      <c r="AI82" s="506">
        <f>'Income Statement'!CM74</f>
        <v>0.16949432384723073</v>
      </c>
      <c r="AJ82" s="507">
        <f>'Income Statement'!CN74</f>
        <v>0.11664902098969514</v>
      </c>
      <c r="AK82" s="507">
        <f>'Income Statement'!CO74</f>
        <v>0.11791857020693826</v>
      </c>
      <c r="AL82" s="507">
        <f>'Income Statement'!CP74</f>
        <v>0.19117824324012403</v>
      </c>
      <c r="AM82" s="507">
        <f>'Income Statement'!CQ74</f>
        <v>0.13784141406183895</v>
      </c>
      <c r="AN82" s="506">
        <f>'Income Statement'!CR74</f>
        <v>0.14378706260468063</v>
      </c>
      <c r="AO82" s="507">
        <f>'Income Statement'!CS74</f>
        <v>0.1207603710693098</v>
      </c>
      <c r="AP82" s="507">
        <f>'Income Statement'!CT74</f>
        <v>0.19351828321765036</v>
      </c>
      <c r="AQ82" s="507">
        <f>'Income Statement'!CU74</f>
        <v>0.15875649682316034</v>
      </c>
      <c r="AR82" s="507">
        <f>'Income Statement'!CV74</f>
        <v>0.14554642033736964</v>
      </c>
      <c r="AS82" s="506">
        <f>'Income Statement'!CW74</f>
        <v>0.15642317021817298</v>
      </c>
      <c r="AT82" s="507">
        <f>'Income Statement'!CX74</f>
        <v>0.16843737503266237</v>
      </c>
      <c r="AU82" s="507">
        <f>'Income Statement'!CY74</f>
        <v>0.21179875456214453</v>
      </c>
      <c r="AV82" s="507">
        <f>'Income Statement'!CZ74</f>
        <v>0.22340688128156022</v>
      </c>
      <c r="AW82" s="507">
        <f>'Income Statement'!DA74</f>
        <v>0.20518587589759918</v>
      </c>
      <c r="AX82" s="506">
        <f>'Income Statement'!DB74</f>
        <v>0.20411369363198759</v>
      </c>
      <c r="AY82" s="507">
        <f>'Income Statement'!DC74</f>
        <v>0.15511454650481579</v>
      </c>
      <c r="AZ82" s="507">
        <f>'Income Statement'!DD74</f>
        <v>0.17476947316966679</v>
      </c>
      <c r="BA82" s="507">
        <f>'Income Statement'!DE74</f>
        <v>0.18136800275882028</v>
      </c>
      <c r="BB82" s="507">
        <f>'Income Statement'!DF74</f>
        <v>0.20280578417111414</v>
      </c>
      <c r="BC82" s="506">
        <f>'Income Statement'!DG74</f>
        <v>0.18181207522390316</v>
      </c>
      <c r="BD82" s="507">
        <f>'Income Statement'!DH74</f>
        <v>0.1534202158680871</v>
      </c>
      <c r="BE82" s="507">
        <f>'Income Statement'!DI74</f>
        <v>0.18968741220321411</v>
      </c>
      <c r="BF82" s="507">
        <f>'Income Statement'!DJ74</f>
        <v>0.19530425873298143</v>
      </c>
      <c r="BG82" s="507">
        <f>'Income Statement'!DK74</f>
        <v>0.202333706487069</v>
      </c>
      <c r="BH82" s="506">
        <f>'Income Statement'!DL74</f>
        <v>0.18771551882682513</v>
      </c>
      <c r="BI82" s="507">
        <f>'Income Statement'!DM74</f>
        <v>0.19549978109920121</v>
      </c>
      <c r="BJ82" s="507">
        <f>'Income Statement'!DN74</f>
        <v>0.1911317709317103</v>
      </c>
      <c r="BK82" s="507">
        <f>'Income Statement'!DO74</f>
        <v>0.1886739205343157</v>
      </c>
      <c r="BL82" s="507">
        <f>'Income Statement'!DP74</f>
        <v>0.18627891360136645</v>
      </c>
      <c r="BM82" s="506">
        <f>'Income Statement'!DQ74</f>
        <v>0.19020369472096035</v>
      </c>
    </row>
    <row r="83" spans="2:65" collapsed="1">
      <c r="B83" s="533" t="str">
        <f>'Income Statement'!A79</f>
        <v>EPS</v>
      </c>
      <c r="C83" s="511">
        <f>'Income Statement'!AY79</f>
        <v>1.7299129924739483</v>
      </c>
      <c r="D83" s="511">
        <f>'Income Statement'!BD79</f>
        <v>1.6868691762761829</v>
      </c>
      <c r="E83" s="511">
        <f>'Income Statement'!BI79</f>
        <v>1.1821956797732045</v>
      </c>
      <c r="F83" s="512">
        <f>'Income Statement'!BJ79</f>
        <v>0.16123472262222036</v>
      </c>
      <c r="G83" s="512">
        <f>'Income Statement'!BK79</f>
        <v>0.11731038717702445</v>
      </c>
      <c r="H83" s="512">
        <f>'Income Statement'!BL79</f>
        <v>3.7871299459618195E-2</v>
      </c>
      <c r="I83" s="512">
        <f>'Income Statement'!BM79</f>
        <v>8.1001355128868177E-2</v>
      </c>
      <c r="J83" s="511">
        <f>'Income Statement'!BN79</f>
        <v>0.39675548218523271</v>
      </c>
      <c r="K83" s="512">
        <f>'Income Statement'!BO79</f>
        <v>1.0532540972238578E-2</v>
      </c>
      <c r="L83" s="512">
        <f>'Income Statement'!BP79</f>
        <v>-0.36884047547436283</v>
      </c>
      <c r="M83" s="512">
        <f>'Income Statement'!BQ79</f>
        <v>-1.7675962468309766E-2</v>
      </c>
      <c r="N83" s="512">
        <f>'Income Statement'!BR79</f>
        <v>0.12742122406636294</v>
      </c>
      <c r="O83" s="511">
        <f>'Income Statement'!BS79</f>
        <v>-0.24836397122497755</v>
      </c>
      <c r="P83" s="512">
        <f>'Income Statement'!BT79</f>
        <v>-0.13396986696795346</v>
      </c>
      <c r="Q83" s="512">
        <f>'Income Statement'!BU79</f>
        <v>-7.4146018402876462E-2</v>
      </c>
      <c r="R83" s="512">
        <f>'Income Statement'!BV79</f>
        <v>-0.31433242137980044</v>
      </c>
      <c r="S83" s="512">
        <f>'Income Statement'!BW79</f>
        <v>0.30222049855150929</v>
      </c>
      <c r="T83" s="511">
        <f>'Income Statement'!BX79</f>
        <v>-0.21977543896212159</v>
      </c>
      <c r="U83" s="512">
        <f>'Income Statement'!BY79</f>
        <v>0.12597109768680009</v>
      </c>
      <c r="V83" s="512">
        <f>'Income Statement'!BZ79</f>
        <v>0.29614723722087016</v>
      </c>
      <c r="W83" s="512">
        <f>'Income Statement'!CA79</f>
        <v>0.27153373913948287</v>
      </c>
      <c r="X83" s="512">
        <f>'Income Statement'!CB79</f>
        <v>0.38814911543674091</v>
      </c>
      <c r="Y83" s="511">
        <f>'Income Statement'!CC79</f>
        <v>1.0817786108074325</v>
      </c>
      <c r="Z83" s="512">
        <f>'Income Statement'!CD79</f>
        <v>7.2666592096809021E-2</v>
      </c>
      <c r="AA83" s="512">
        <f>'Income Statement'!CE79</f>
        <v>0.17639499827015273</v>
      </c>
      <c r="AB83" s="512">
        <f>'Income Statement'!CF79</f>
        <v>3.6499529866789087</v>
      </c>
      <c r="AC83" s="512">
        <f>'Income Statement'!CG79</f>
        <v>0.67939735347356589</v>
      </c>
      <c r="AD83" s="511">
        <f>'Income Statement'!CH79</f>
        <v>4.5784550239228228</v>
      </c>
      <c r="AE83" s="512">
        <f>'Income Statement'!CI79</f>
        <v>0.50008582485487796</v>
      </c>
      <c r="AF83" s="512">
        <f>'Income Statement'!CJ79</f>
        <v>0.69433347897551134</v>
      </c>
      <c r="AG83" s="512">
        <f>'Income Statement'!CK79</f>
        <v>0.61780111520296277</v>
      </c>
      <c r="AH83" s="512">
        <f>'Income Statement'!CL79</f>
        <v>0.56579125314691137</v>
      </c>
      <c r="AI83" s="511">
        <f>'Income Statement'!CM79</f>
        <v>2.3780116721802633</v>
      </c>
      <c r="AJ83" s="512">
        <f>'Income Statement'!CN79</f>
        <v>0.38429428088115103</v>
      </c>
      <c r="AK83" s="512">
        <f>'Income Statement'!CO79</f>
        <v>0.35898534629800899</v>
      </c>
      <c r="AL83" s="512">
        <f>'Income Statement'!CP79</f>
        <v>0.63499271237246657</v>
      </c>
      <c r="AM83" s="512">
        <f>'Income Statement'!CQ79</f>
        <v>0.46140961588444768</v>
      </c>
      <c r="AN83" s="511">
        <f>'Income Statement'!CR79</f>
        <v>1.7843948178693172</v>
      </c>
      <c r="AO83" s="512">
        <f>'Income Statement'!CS79</f>
        <v>0.36502233746758722</v>
      </c>
      <c r="AP83" s="512">
        <f>'Income Statement'!CT79</f>
        <v>0.62345188629983528</v>
      </c>
      <c r="AQ83" s="512">
        <f>'Income Statement'!CU79</f>
        <v>0.5613294886771002</v>
      </c>
      <c r="AR83" s="512">
        <f>'Income Statement'!CV79</f>
        <v>0.55349201846685769</v>
      </c>
      <c r="AS83" s="511">
        <f>'Income Statement'!CW79</f>
        <v>2.1041898861121098</v>
      </c>
      <c r="AT83" s="512">
        <f>'Income Statement'!CX79</f>
        <v>0.59692978439697941</v>
      </c>
      <c r="AU83" s="512">
        <f>'Income Statement'!CY79</f>
        <v>0.92022710571985677</v>
      </c>
      <c r="AV83" s="512">
        <f>'Income Statement'!CZ79</f>
        <v>1.0566870886109876</v>
      </c>
      <c r="AW83" s="512">
        <f>'Income Statement'!DA79</f>
        <v>1.1002086850185424</v>
      </c>
      <c r="AX83" s="511">
        <f>'Income Statement'!DB79</f>
        <v>2.8917195610369708</v>
      </c>
      <c r="AY83" s="512">
        <f>'Income Statement'!DC79</f>
        <v>0.73280503161534627</v>
      </c>
      <c r="AZ83" s="512">
        <f>'Income Statement'!DD79</f>
        <v>0.88316393804755522</v>
      </c>
      <c r="BA83" s="512">
        <f>'Income Statement'!DE79</f>
        <v>1.3871549562639058</v>
      </c>
      <c r="BB83" s="512">
        <f>'Income Statement'!DF79</f>
        <v>1.5535980651816967</v>
      </c>
      <c r="BC83" s="511">
        <f>'Income Statement'!DG79</f>
        <v>4.5700426543630197</v>
      </c>
      <c r="BD83" s="512">
        <f>'Income Statement'!DH79</f>
        <v>0.67844749150729022</v>
      </c>
      <c r="BE83" s="512">
        <f>'Income Statement'!DI79</f>
        <v>1.0363023428195073</v>
      </c>
      <c r="BF83" s="512">
        <f ca="1">'Income Statement'!DJ79</f>
        <v>1.2037215264421126</v>
      </c>
      <c r="BG83" s="512">
        <f ca="1">'Income Statement'!DK79</f>
        <v>1.4163582922890547</v>
      </c>
      <c r="BH83" s="511">
        <f ca="1">'Income Statement'!DL79</f>
        <v>4.3374406413915034</v>
      </c>
      <c r="BI83" s="512">
        <f ca="1">'Income Statement'!DM79</f>
        <v>1.2338458942783743</v>
      </c>
      <c r="BJ83" s="512">
        <f ca="1">'Income Statement'!DN79</f>
        <v>1.2751359739512313</v>
      </c>
      <c r="BK83" s="512">
        <f ca="1">'Income Statement'!DO79</f>
        <v>1.255624864488166</v>
      </c>
      <c r="BL83" s="512">
        <f ca="1">'Income Statement'!DP79</f>
        <v>1.3247803362331354</v>
      </c>
      <c r="BM83" s="511">
        <f ca="1">'Income Statement'!DQ79</f>
        <v>5.0893870689509066</v>
      </c>
    </row>
    <row r="84" spans="2:65" hidden="1">
      <c r="B84" s="400" t="str">
        <f>'Income Statement'!A80</f>
        <v>Adj. EPS</v>
      </c>
      <c r="C84" s="401">
        <f>'Income Statement'!AY80</f>
        <v>1.7444738959615071</v>
      </c>
      <c r="D84" s="401">
        <f>'Income Statement'!BD80</f>
        <v>1.6868691762761829</v>
      </c>
      <c r="E84" s="401">
        <f>'Income Statement'!BI80</f>
        <v>1.1821956797732045</v>
      </c>
      <c r="F84" s="402">
        <f>'Income Statement'!BJ80</f>
        <v>0.16123472262222036</v>
      </c>
      <c r="G84" s="402">
        <f>'Income Statement'!BK80</f>
        <v>0.11731038717702445</v>
      </c>
      <c r="H84" s="402">
        <f>'Income Statement'!BL80</f>
        <v>3.7871299459618195E-2</v>
      </c>
      <c r="I84" s="104">
        <f>'Income Statement'!BM80</f>
        <v>8.1001355128868177E-2</v>
      </c>
      <c r="J84" s="401">
        <f>'Income Statement'!BN80</f>
        <v>0.39675548218523271</v>
      </c>
      <c r="K84" s="401"/>
      <c r="L84" s="401"/>
      <c r="M84" s="401"/>
      <c r="N84" s="401"/>
      <c r="O84" s="401">
        <f>'Income Statement'!BS80</f>
        <v>-0.24836397122497755</v>
      </c>
      <c r="P84" s="401"/>
      <c r="Q84" s="401"/>
      <c r="R84" s="401"/>
      <c r="S84" s="401"/>
      <c r="T84" s="401">
        <f>'Income Statement'!BX80</f>
        <v>-0.27187776793622676</v>
      </c>
      <c r="U84" s="401"/>
      <c r="V84" s="401"/>
      <c r="W84" s="401"/>
      <c r="X84" s="401"/>
      <c r="Y84" s="401">
        <f>'Income Statement'!CC80</f>
        <v>1.0817786108074325</v>
      </c>
    </row>
    <row r="85" spans="2:65" hidden="1">
      <c r="B85" s="400" t="str">
        <f>'Income Statement'!A81</f>
        <v>DPS</v>
      </c>
      <c r="C85" s="401">
        <f>'Income Statement'!AY81</f>
        <v>0.53590434559061895</v>
      </c>
      <c r="D85" s="401">
        <f>'Income Statement'!BD81</f>
        <v>0.40063139748971044</v>
      </c>
      <c r="E85" s="401">
        <f>'Income Statement'!BI81</f>
        <v>0.28077279395024479</v>
      </c>
      <c r="F85" s="402">
        <f>'Income Statement'!BJ81</f>
        <v>0</v>
      </c>
      <c r="G85" s="402">
        <f>'Income Statement'!BK81</f>
        <v>0</v>
      </c>
      <c r="H85" s="402">
        <f>'Income Statement'!BL81</f>
        <v>0</v>
      </c>
      <c r="I85" s="104">
        <f>'Income Statement'!BM81</f>
        <v>9.4128642676739566E-2</v>
      </c>
      <c r="J85" s="401">
        <f>'Income Statement'!BN81</f>
        <v>9.4229378226708613E-2</v>
      </c>
      <c r="K85" s="401"/>
      <c r="L85" s="401"/>
      <c r="M85" s="401"/>
      <c r="N85" s="401"/>
      <c r="O85" s="401">
        <f>'Income Statement'!BS81</f>
        <v>0</v>
      </c>
      <c r="P85" s="401"/>
      <c r="Q85" s="401"/>
      <c r="R85" s="401"/>
      <c r="S85" s="401"/>
      <c r="T85" s="401">
        <f>'Income Statement'!BX81</f>
        <v>1.1202000729432606</v>
      </c>
      <c r="U85" s="401"/>
      <c r="V85" s="401"/>
      <c r="W85" s="401"/>
      <c r="X85" s="401"/>
      <c r="Y85" s="401">
        <f>'Income Statement'!CC81</f>
        <v>1.8209877948293052</v>
      </c>
    </row>
  </sheetData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936CA-464C-44E4-858F-1ACC1BAFD51B}">
  <sheetPr>
    <tabColor rgb="FFFFFF00"/>
  </sheetPr>
  <dimension ref="B2:O27"/>
  <sheetViews>
    <sheetView zoomScale="130" zoomScaleNormal="130" workbookViewId="0">
      <selection activeCell="I17" sqref="I17"/>
    </sheetView>
  </sheetViews>
  <sheetFormatPr defaultColWidth="9.140625" defaultRowHeight="14.25" customHeight="1"/>
  <cols>
    <col min="1" max="1" width="3.5703125" style="565" customWidth="1"/>
    <col min="2" max="2" width="18.7109375" style="565" customWidth="1"/>
    <col min="3" max="4" width="11.85546875" style="572" customWidth="1"/>
    <col min="5" max="5" width="11.85546875" style="574" customWidth="1"/>
    <col min="6" max="9" width="11.85546875" style="572" customWidth="1"/>
    <col min="10" max="16384" width="9.140625" style="565"/>
  </cols>
  <sheetData>
    <row r="2" spans="2:15" ht="14.25" customHeight="1">
      <c r="B2" s="591" t="s">
        <v>1025</v>
      </c>
      <c r="C2" s="589"/>
      <c r="D2" s="589"/>
      <c r="E2" s="590" t="s">
        <v>1024</v>
      </c>
    </row>
    <row r="3" spans="2:15" ht="14.25" customHeight="1">
      <c r="B3" s="575" t="s">
        <v>1003</v>
      </c>
      <c r="C3" s="576"/>
      <c r="D3" s="576"/>
      <c r="E3" s="585">
        <v>-2851000</v>
      </c>
      <c r="F3" s="573"/>
      <c r="G3" s="594" t="s">
        <v>1026</v>
      </c>
      <c r="H3" s="595"/>
      <c r="I3" s="600">
        <v>9000000</v>
      </c>
      <c r="J3" s="566"/>
      <c r="K3" s="566"/>
      <c r="L3" s="566"/>
      <c r="M3" s="566"/>
      <c r="N3" s="566"/>
      <c r="O3" s="566"/>
    </row>
    <row r="4" spans="2:15" ht="14.25" customHeight="1">
      <c r="B4" s="575" t="s">
        <v>1004</v>
      </c>
      <c r="C4" s="576"/>
      <c r="D4" s="576"/>
      <c r="E4" s="585">
        <v>-734000</v>
      </c>
      <c r="F4" s="573"/>
      <c r="G4" s="596" t="s">
        <v>1027</v>
      </c>
      <c r="H4" s="585"/>
      <c r="I4" s="597">
        <f>Forecasts!DB24*75%</f>
        <v>7915828.9757451089</v>
      </c>
      <c r="J4" s="566"/>
      <c r="K4" s="566"/>
      <c r="L4" s="566"/>
      <c r="M4" s="566"/>
      <c r="N4" s="566"/>
      <c r="O4" s="566"/>
    </row>
    <row r="5" spans="2:15" ht="14.25" customHeight="1">
      <c r="B5" s="582" t="s">
        <v>1005</v>
      </c>
      <c r="C5" s="583"/>
      <c r="D5" s="583"/>
      <c r="E5" s="586">
        <f>E4+E3</f>
        <v>-3585000</v>
      </c>
      <c r="F5" s="573"/>
      <c r="G5" s="596" t="s">
        <v>1028</v>
      </c>
      <c r="H5" s="585"/>
      <c r="I5" s="597">
        <f>(I4+I3)*I6</f>
        <v>7612123.0390852988</v>
      </c>
      <c r="J5" s="566"/>
      <c r="K5" s="566"/>
      <c r="L5" s="566"/>
      <c r="M5" s="566"/>
      <c r="N5" s="566"/>
      <c r="O5" s="566"/>
    </row>
    <row r="6" spans="2:15" ht="14.25" customHeight="1">
      <c r="B6" s="575" t="s">
        <v>1006</v>
      </c>
      <c r="C6" s="578"/>
      <c r="D6" s="578"/>
      <c r="E6" s="585">
        <f>-I3*20%</f>
        <v>-1800000</v>
      </c>
      <c r="G6" s="598" t="s">
        <v>1029</v>
      </c>
      <c r="H6" s="599"/>
      <c r="I6" s="601">
        <v>0.45</v>
      </c>
    </row>
    <row r="7" spans="2:15" ht="14.25" customHeight="1">
      <c r="B7" s="575" t="s">
        <v>1007</v>
      </c>
      <c r="C7" s="578"/>
      <c r="D7" s="578"/>
      <c r="E7" s="585">
        <f>-I3*(1-35%-20%)*10%</f>
        <v>-405000</v>
      </c>
    </row>
    <row r="8" spans="2:15" ht="14.25" customHeight="1">
      <c r="B8" s="582" t="s">
        <v>1008</v>
      </c>
      <c r="C8" s="584"/>
      <c r="D8" s="584"/>
      <c r="E8" s="586">
        <f>E6+E7</f>
        <v>-2205000</v>
      </c>
    </row>
    <row r="9" spans="2:15" ht="14.25" customHeight="1">
      <c r="B9" s="577" t="s">
        <v>1009</v>
      </c>
      <c r="C9" s="579"/>
      <c r="D9" s="579"/>
      <c r="E9" s="587">
        <f>-I5*8%+'Income Statement'!DG20</f>
        <v>-1001315.8431268239</v>
      </c>
    </row>
    <row r="10" spans="2:15" ht="14.25" customHeight="1">
      <c r="B10" s="577" t="s">
        <v>1010</v>
      </c>
      <c r="C10" s="579"/>
      <c r="D10" s="579"/>
      <c r="E10" s="587">
        <f>'Income Statement'!DG32</f>
        <v>-71753</v>
      </c>
    </row>
    <row r="11" spans="2:15" ht="14.25" customHeight="1">
      <c r="B11" s="577" t="s">
        <v>1011</v>
      </c>
      <c r="C11" s="579"/>
      <c r="D11" s="579"/>
      <c r="E11" s="587">
        <f>'Income Statement'!DG85+'Income Statement'!DG23</f>
        <v>15858</v>
      </c>
    </row>
    <row r="12" spans="2:15" ht="14.25" customHeight="1">
      <c r="B12" s="577" t="s">
        <v>1023</v>
      </c>
      <c r="C12" s="579"/>
      <c r="D12" s="579"/>
      <c r="E12" s="587">
        <f>-4%*(E17+E20+E23)</f>
        <v>-418354.85740180657</v>
      </c>
    </row>
    <row r="13" spans="2:15" ht="14.25" customHeight="1">
      <c r="B13" s="580" t="s">
        <v>1012</v>
      </c>
      <c r="C13" s="581"/>
      <c r="D13" s="581"/>
      <c r="E13" s="588">
        <f>E12+E8+E5+E9+E10+E11</f>
        <v>-7265565.700528631</v>
      </c>
    </row>
    <row r="14" spans="2:15" ht="14.25" customHeight="1">
      <c r="B14" s="575" t="s">
        <v>1013</v>
      </c>
      <c r="C14" s="578"/>
      <c r="D14" s="578"/>
      <c r="E14" s="585">
        <v>6499519.3853573017</v>
      </c>
    </row>
    <row r="15" spans="2:15" ht="14.25" customHeight="1">
      <c r="B15" s="575" t="s">
        <v>1014</v>
      </c>
      <c r="C15" s="578"/>
      <c r="D15" s="578"/>
      <c r="E15" s="593">
        <v>0.9</v>
      </c>
    </row>
    <row r="16" spans="2:15" ht="14.25" customHeight="1">
      <c r="B16" s="575" t="s">
        <v>1015</v>
      </c>
      <c r="C16" s="578"/>
      <c r="D16" s="578"/>
      <c r="E16" s="593">
        <v>0.5</v>
      </c>
    </row>
    <row r="17" spans="2:5" ht="14.25" customHeight="1">
      <c r="B17" s="582" t="s">
        <v>1016</v>
      </c>
      <c r="C17" s="584"/>
      <c r="D17" s="584"/>
      <c r="E17" s="586">
        <f>E14*E15*E16</f>
        <v>2924783.7234107857</v>
      </c>
    </row>
    <row r="18" spans="2:5" ht="14.25" customHeight="1">
      <c r="B18" s="575" t="s">
        <v>1017</v>
      </c>
      <c r="C18" s="578"/>
      <c r="D18" s="578"/>
      <c r="E18" s="585">
        <f>SUM(Forecasts!CR10,Forecasts!CW10,Forecasts!DB10)-Forecasts!CR63</f>
        <v>22524227.807452213</v>
      </c>
    </row>
    <row r="19" spans="2:5" ht="14.25" customHeight="1">
      <c r="B19" s="575" t="s">
        <v>1015</v>
      </c>
      <c r="C19" s="578"/>
      <c r="D19" s="578"/>
      <c r="E19" s="593">
        <v>0.5</v>
      </c>
    </row>
    <row r="20" spans="2:5" ht="14.25" customHeight="1">
      <c r="B20" s="582" t="s">
        <v>1018</v>
      </c>
      <c r="C20" s="584"/>
      <c r="D20" s="584"/>
      <c r="E20" s="586">
        <f>E18*(1-E19)/2</f>
        <v>5631056.9518630533</v>
      </c>
    </row>
    <row r="21" spans="2:5" ht="14.25" customHeight="1">
      <c r="B21" s="575" t="s">
        <v>1019</v>
      </c>
      <c r="C21" s="578"/>
      <c r="D21" s="578"/>
      <c r="E21" s="585">
        <f>I5</f>
        <v>7612123.0390852988</v>
      </c>
    </row>
    <row r="22" spans="2:5" ht="14.25" customHeight="1">
      <c r="B22" s="575" t="s">
        <v>1015</v>
      </c>
      <c r="C22" s="578"/>
      <c r="D22" s="578"/>
      <c r="E22" s="593">
        <v>0.5</v>
      </c>
    </row>
    <row r="23" spans="2:5" ht="14.25" customHeight="1">
      <c r="B23" s="582" t="s">
        <v>1018</v>
      </c>
      <c r="C23" s="584"/>
      <c r="D23" s="584"/>
      <c r="E23" s="586">
        <f>E21*(1-E22)/2</f>
        <v>1903030.7597713247</v>
      </c>
    </row>
    <row r="24" spans="2:5" ht="14.25" customHeight="1">
      <c r="B24" s="575" t="s">
        <v>1020</v>
      </c>
      <c r="C24" s="592"/>
      <c r="D24" s="592"/>
      <c r="E24" s="602">
        <f>900000*19.21%*75%+450000*33.5%*75%+400000*25.82%*35%</f>
        <v>278878</v>
      </c>
    </row>
    <row r="25" spans="2:5" ht="14.25" customHeight="1">
      <c r="B25" s="575" t="s">
        <v>1022</v>
      </c>
      <c r="C25" s="592"/>
      <c r="D25" s="592"/>
      <c r="E25" s="603">
        <v>200000</v>
      </c>
    </row>
    <row r="26" spans="2:5" ht="14.25" customHeight="1">
      <c r="B26" s="582" t="s">
        <v>1021</v>
      </c>
      <c r="C26" s="584"/>
      <c r="D26" s="584"/>
      <c r="E26" s="586">
        <f>E17+E20+E23+E24+E25</f>
        <v>10937749.435045164</v>
      </c>
    </row>
    <row r="27" spans="2:5" ht="14.25" customHeight="1">
      <c r="B27" s="580" t="s">
        <v>999</v>
      </c>
      <c r="C27" s="581"/>
      <c r="D27" s="581"/>
      <c r="E27" s="588">
        <f>E13+E26</f>
        <v>3672183.7345165331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R630"/>
  <sheetViews>
    <sheetView zoomScale="70" workbookViewId="0">
      <pane xSplit="1" ySplit="1" topLeftCell="B268" activePane="bottomRight" state="frozen"/>
      <selection activeCell="A280" sqref="A280"/>
      <selection pane="topRight" activeCell="A280" sqref="A280"/>
      <selection pane="bottomLeft" activeCell="A280" sqref="A280"/>
      <selection pane="bottomRight" activeCell="A280" sqref="A280"/>
    </sheetView>
  </sheetViews>
  <sheetFormatPr defaultColWidth="10.28515625" defaultRowHeight="12.75" outlineLevelCol="1"/>
  <cols>
    <col min="1" max="1" width="60" style="60" customWidth="1"/>
    <col min="2" max="31" width="10" style="60" hidden="1" customWidth="1"/>
    <col min="32" max="34" width="8.7109375" style="60" hidden="1" customWidth="1"/>
    <col min="35" max="35" width="11.42578125" style="60" hidden="1" customWidth="1"/>
    <col min="36" max="36" width="10" style="60" hidden="1" customWidth="1"/>
    <col min="37" max="39" width="9.5703125" style="60" hidden="1" customWidth="1"/>
    <col min="40" max="40" width="10" style="60" hidden="1" customWidth="1"/>
    <col min="41" max="41" width="12.5703125" style="60" customWidth="1" collapsed="1"/>
    <col min="42" max="45" width="12.5703125" style="60" hidden="1" customWidth="1" outlineLevel="1"/>
    <col min="46" max="46" width="12.5703125" style="60" customWidth="1" collapsed="1"/>
    <col min="47" max="50" width="12.5703125" style="60" hidden="1" customWidth="1" outlineLevel="1"/>
    <col min="51" max="51" width="12.5703125" style="60" customWidth="1" collapsed="1"/>
    <col min="52" max="55" width="12.5703125" style="60" hidden="1" customWidth="1" outlineLevel="1"/>
    <col min="56" max="56" width="12.5703125" style="60" customWidth="1" collapsed="1"/>
    <col min="57" max="60" width="12.5703125" style="60" hidden="1" customWidth="1" outlineLevel="1"/>
    <col min="61" max="61" width="12.5703125" style="60" customWidth="1" collapsed="1"/>
    <col min="62" max="65" width="12.5703125" style="60" hidden="1" customWidth="1" outlineLevel="1"/>
    <col min="66" max="66" width="12.5703125" style="60" customWidth="1" collapsed="1"/>
    <col min="67" max="70" width="12.5703125" style="60" hidden="1" customWidth="1" outlineLevel="1"/>
    <col min="71" max="71" width="12.5703125" style="60" customWidth="1" collapsed="1"/>
    <col min="72" max="75" width="12.5703125" style="60" hidden="1" customWidth="1" outlineLevel="1"/>
    <col min="76" max="76" width="12.5703125" style="60" customWidth="1" collapsed="1"/>
    <col min="77" max="80" width="12.5703125" style="60" hidden="1" customWidth="1" outlineLevel="1"/>
    <col min="81" max="81" width="12.5703125" style="60" customWidth="1"/>
    <col min="82" max="85" width="12.5703125" style="60" customWidth="1" outlineLevel="1"/>
    <col min="86" max="86" width="12.5703125" style="60" customWidth="1"/>
    <col min="87" max="90" width="12.5703125" style="60" customWidth="1" outlineLevel="1"/>
    <col min="91" max="91" width="12.5703125" style="60" customWidth="1"/>
    <col min="92" max="95" width="12.5703125" style="60" customWidth="1" outlineLevel="1"/>
    <col min="96" max="96" width="12.5703125" style="60" customWidth="1"/>
    <col min="97" max="100" width="12.5703125" style="60" customWidth="1" outlineLevel="1"/>
    <col min="101" max="101" width="12.5703125" style="60" customWidth="1"/>
    <col min="102" max="105" width="12.5703125" style="60" customWidth="1" outlineLevel="1"/>
    <col min="106" max="111" width="12.5703125" style="60" customWidth="1"/>
    <col min="112" max="256" width="10.28515625" style="60"/>
    <col min="257" max="257" width="60" style="60" customWidth="1"/>
    <col min="258" max="286" width="0" style="60" hidden="1" customWidth="1"/>
    <col min="287" max="287" width="10" style="60" customWidth="1"/>
    <col min="288" max="291" width="0" style="60" hidden="1" customWidth="1"/>
    <col min="292" max="292" width="10" style="60" customWidth="1"/>
    <col min="293" max="295" width="9.5703125" style="60" customWidth="1"/>
    <col min="296" max="296" width="10" style="60" customWidth="1"/>
    <col min="297" max="297" width="10" style="60" bestFit="1" customWidth="1"/>
    <col min="298" max="300" width="9.5703125" style="60" customWidth="1"/>
    <col min="301" max="301" width="10" style="60" customWidth="1"/>
    <col min="302" max="302" width="10" style="60" bestFit="1" customWidth="1"/>
    <col min="303" max="305" width="8.7109375" style="60" bestFit="1" customWidth="1"/>
    <col min="306" max="307" width="10" style="60" bestFit="1" customWidth="1"/>
    <col min="308" max="310" width="8.7109375" style="60" bestFit="1" customWidth="1"/>
    <col min="311" max="311" width="10" style="60" bestFit="1" customWidth="1"/>
    <col min="312" max="312" width="12.85546875" style="60" customWidth="1"/>
    <col min="313" max="314" width="10.42578125" style="60" customWidth="1"/>
    <col min="315" max="315" width="9.7109375" style="60" customWidth="1"/>
    <col min="316" max="316" width="12.5703125" style="60" customWidth="1"/>
    <col min="317" max="317" width="16.28515625" style="60" bestFit="1" customWidth="1"/>
    <col min="318" max="318" width="12.5703125" style="60" customWidth="1"/>
    <col min="319" max="319" width="12" style="60" customWidth="1"/>
    <col min="320" max="320" width="12.140625" style="60" customWidth="1"/>
    <col min="321" max="321" width="12.7109375" style="60" customWidth="1"/>
    <col min="322" max="322" width="16.28515625" style="60" bestFit="1" customWidth="1"/>
    <col min="323" max="323" width="12.140625" style="60" customWidth="1"/>
    <col min="324" max="324" width="12.28515625" style="60" customWidth="1"/>
    <col min="325" max="325" width="12.5703125" style="60" customWidth="1"/>
    <col min="326" max="326" width="13" style="60" customWidth="1"/>
    <col min="327" max="327" width="16.28515625" style="60" bestFit="1" customWidth="1"/>
    <col min="328" max="328" width="13.5703125" style="60" customWidth="1"/>
    <col min="329" max="329" width="14.140625" style="60" customWidth="1"/>
    <col min="330" max="330" width="14.42578125" style="60" customWidth="1"/>
    <col min="331" max="331" width="14.7109375" style="60" customWidth="1"/>
    <col min="332" max="332" width="16.28515625" style="60" bestFit="1" customWidth="1"/>
    <col min="333" max="367" width="0" style="60" hidden="1" customWidth="1"/>
    <col min="368" max="512" width="10.28515625" style="60"/>
    <col min="513" max="513" width="60" style="60" customWidth="1"/>
    <col min="514" max="542" width="0" style="60" hidden="1" customWidth="1"/>
    <col min="543" max="543" width="10" style="60" customWidth="1"/>
    <col min="544" max="547" width="0" style="60" hidden="1" customWidth="1"/>
    <col min="548" max="548" width="10" style="60" customWidth="1"/>
    <col min="549" max="551" width="9.5703125" style="60" customWidth="1"/>
    <col min="552" max="552" width="10" style="60" customWidth="1"/>
    <col min="553" max="553" width="10" style="60" bestFit="1" customWidth="1"/>
    <col min="554" max="556" width="9.5703125" style="60" customWidth="1"/>
    <col min="557" max="557" width="10" style="60" customWidth="1"/>
    <col min="558" max="558" width="10" style="60" bestFit="1" customWidth="1"/>
    <col min="559" max="561" width="8.7109375" style="60" bestFit="1" customWidth="1"/>
    <col min="562" max="563" width="10" style="60" bestFit="1" customWidth="1"/>
    <col min="564" max="566" width="8.7109375" style="60" bestFit="1" customWidth="1"/>
    <col min="567" max="567" width="10" style="60" bestFit="1" customWidth="1"/>
    <col min="568" max="568" width="12.85546875" style="60" customWidth="1"/>
    <col min="569" max="570" width="10.42578125" style="60" customWidth="1"/>
    <col min="571" max="571" width="9.7109375" style="60" customWidth="1"/>
    <col min="572" max="572" width="12.5703125" style="60" customWidth="1"/>
    <col min="573" max="573" width="16.28515625" style="60" bestFit="1" customWidth="1"/>
    <col min="574" max="574" width="12.5703125" style="60" customWidth="1"/>
    <col min="575" max="575" width="12" style="60" customWidth="1"/>
    <col min="576" max="576" width="12.140625" style="60" customWidth="1"/>
    <col min="577" max="577" width="12.7109375" style="60" customWidth="1"/>
    <col min="578" max="578" width="16.28515625" style="60" bestFit="1" customWidth="1"/>
    <col min="579" max="579" width="12.140625" style="60" customWidth="1"/>
    <col min="580" max="580" width="12.28515625" style="60" customWidth="1"/>
    <col min="581" max="581" width="12.5703125" style="60" customWidth="1"/>
    <col min="582" max="582" width="13" style="60" customWidth="1"/>
    <col min="583" max="583" width="16.28515625" style="60" bestFit="1" customWidth="1"/>
    <col min="584" max="584" width="13.5703125" style="60" customWidth="1"/>
    <col min="585" max="585" width="14.140625" style="60" customWidth="1"/>
    <col min="586" max="586" width="14.42578125" style="60" customWidth="1"/>
    <col min="587" max="587" width="14.7109375" style="60" customWidth="1"/>
    <col min="588" max="588" width="16.28515625" style="60" bestFit="1" customWidth="1"/>
    <col min="589" max="623" width="0" style="60" hidden="1" customWidth="1"/>
    <col min="624" max="768" width="10.28515625" style="60"/>
    <col min="769" max="769" width="60" style="60" customWidth="1"/>
    <col min="770" max="798" width="0" style="60" hidden="1" customWidth="1"/>
    <col min="799" max="799" width="10" style="60" customWidth="1"/>
    <col min="800" max="803" width="0" style="60" hidden="1" customWidth="1"/>
    <col min="804" max="804" width="10" style="60" customWidth="1"/>
    <col min="805" max="807" width="9.5703125" style="60" customWidth="1"/>
    <col min="808" max="808" width="10" style="60" customWidth="1"/>
    <col min="809" max="809" width="10" style="60" bestFit="1" customWidth="1"/>
    <col min="810" max="812" width="9.5703125" style="60" customWidth="1"/>
    <col min="813" max="813" width="10" style="60" customWidth="1"/>
    <col min="814" max="814" width="10" style="60" bestFit="1" customWidth="1"/>
    <col min="815" max="817" width="8.7109375" style="60" bestFit="1" customWidth="1"/>
    <col min="818" max="819" width="10" style="60" bestFit="1" customWidth="1"/>
    <col min="820" max="822" width="8.7109375" style="60" bestFit="1" customWidth="1"/>
    <col min="823" max="823" width="10" style="60" bestFit="1" customWidth="1"/>
    <col min="824" max="824" width="12.85546875" style="60" customWidth="1"/>
    <col min="825" max="826" width="10.42578125" style="60" customWidth="1"/>
    <col min="827" max="827" width="9.7109375" style="60" customWidth="1"/>
    <col min="828" max="828" width="12.5703125" style="60" customWidth="1"/>
    <col min="829" max="829" width="16.28515625" style="60" bestFit="1" customWidth="1"/>
    <col min="830" max="830" width="12.5703125" style="60" customWidth="1"/>
    <col min="831" max="831" width="12" style="60" customWidth="1"/>
    <col min="832" max="832" width="12.140625" style="60" customWidth="1"/>
    <col min="833" max="833" width="12.7109375" style="60" customWidth="1"/>
    <col min="834" max="834" width="16.28515625" style="60" bestFit="1" customWidth="1"/>
    <col min="835" max="835" width="12.140625" style="60" customWidth="1"/>
    <col min="836" max="836" width="12.28515625" style="60" customWidth="1"/>
    <col min="837" max="837" width="12.5703125" style="60" customWidth="1"/>
    <col min="838" max="838" width="13" style="60" customWidth="1"/>
    <col min="839" max="839" width="16.28515625" style="60" bestFit="1" customWidth="1"/>
    <col min="840" max="840" width="13.5703125" style="60" customWidth="1"/>
    <col min="841" max="841" width="14.140625" style="60" customWidth="1"/>
    <col min="842" max="842" width="14.42578125" style="60" customWidth="1"/>
    <col min="843" max="843" width="14.7109375" style="60" customWidth="1"/>
    <col min="844" max="844" width="16.28515625" style="60" bestFit="1" customWidth="1"/>
    <col min="845" max="879" width="0" style="60" hidden="1" customWidth="1"/>
    <col min="880" max="1024" width="10.28515625" style="60"/>
    <col min="1025" max="1025" width="60" style="60" customWidth="1"/>
    <col min="1026" max="1054" width="0" style="60" hidden="1" customWidth="1"/>
    <col min="1055" max="1055" width="10" style="60" customWidth="1"/>
    <col min="1056" max="1059" width="0" style="60" hidden="1" customWidth="1"/>
    <col min="1060" max="1060" width="10" style="60" customWidth="1"/>
    <col min="1061" max="1063" width="9.5703125" style="60" customWidth="1"/>
    <col min="1064" max="1064" width="10" style="60" customWidth="1"/>
    <col min="1065" max="1065" width="10" style="60" bestFit="1" customWidth="1"/>
    <col min="1066" max="1068" width="9.5703125" style="60" customWidth="1"/>
    <col min="1069" max="1069" width="10" style="60" customWidth="1"/>
    <col min="1070" max="1070" width="10" style="60" bestFit="1" customWidth="1"/>
    <col min="1071" max="1073" width="8.7109375" style="60" bestFit="1" customWidth="1"/>
    <col min="1074" max="1075" width="10" style="60" bestFit="1" customWidth="1"/>
    <col min="1076" max="1078" width="8.7109375" style="60" bestFit="1" customWidth="1"/>
    <col min="1079" max="1079" width="10" style="60" bestFit="1" customWidth="1"/>
    <col min="1080" max="1080" width="12.85546875" style="60" customWidth="1"/>
    <col min="1081" max="1082" width="10.42578125" style="60" customWidth="1"/>
    <col min="1083" max="1083" width="9.7109375" style="60" customWidth="1"/>
    <col min="1084" max="1084" width="12.5703125" style="60" customWidth="1"/>
    <col min="1085" max="1085" width="16.28515625" style="60" bestFit="1" customWidth="1"/>
    <col min="1086" max="1086" width="12.5703125" style="60" customWidth="1"/>
    <col min="1087" max="1087" width="12" style="60" customWidth="1"/>
    <col min="1088" max="1088" width="12.140625" style="60" customWidth="1"/>
    <col min="1089" max="1089" width="12.7109375" style="60" customWidth="1"/>
    <col min="1090" max="1090" width="16.28515625" style="60" bestFit="1" customWidth="1"/>
    <col min="1091" max="1091" width="12.140625" style="60" customWidth="1"/>
    <col min="1092" max="1092" width="12.28515625" style="60" customWidth="1"/>
    <col min="1093" max="1093" width="12.5703125" style="60" customWidth="1"/>
    <col min="1094" max="1094" width="13" style="60" customWidth="1"/>
    <col min="1095" max="1095" width="16.28515625" style="60" bestFit="1" customWidth="1"/>
    <col min="1096" max="1096" width="13.5703125" style="60" customWidth="1"/>
    <col min="1097" max="1097" width="14.140625" style="60" customWidth="1"/>
    <col min="1098" max="1098" width="14.42578125" style="60" customWidth="1"/>
    <col min="1099" max="1099" width="14.7109375" style="60" customWidth="1"/>
    <col min="1100" max="1100" width="16.28515625" style="60" bestFit="1" customWidth="1"/>
    <col min="1101" max="1135" width="0" style="60" hidden="1" customWidth="1"/>
    <col min="1136" max="1280" width="10.28515625" style="60"/>
    <col min="1281" max="1281" width="60" style="60" customWidth="1"/>
    <col min="1282" max="1310" width="0" style="60" hidden="1" customWidth="1"/>
    <col min="1311" max="1311" width="10" style="60" customWidth="1"/>
    <col min="1312" max="1315" width="0" style="60" hidden="1" customWidth="1"/>
    <col min="1316" max="1316" width="10" style="60" customWidth="1"/>
    <col min="1317" max="1319" width="9.5703125" style="60" customWidth="1"/>
    <col min="1320" max="1320" width="10" style="60" customWidth="1"/>
    <col min="1321" max="1321" width="10" style="60" bestFit="1" customWidth="1"/>
    <col min="1322" max="1324" width="9.5703125" style="60" customWidth="1"/>
    <col min="1325" max="1325" width="10" style="60" customWidth="1"/>
    <col min="1326" max="1326" width="10" style="60" bestFit="1" customWidth="1"/>
    <col min="1327" max="1329" width="8.7109375" style="60" bestFit="1" customWidth="1"/>
    <col min="1330" max="1331" width="10" style="60" bestFit="1" customWidth="1"/>
    <col min="1332" max="1334" width="8.7109375" style="60" bestFit="1" customWidth="1"/>
    <col min="1335" max="1335" width="10" style="60" bestFit="1" customWidth="1"/>
    <col min="1336" max="1336" width="12.85546875" style="60" customWidth="1"/>
    <col min="1337" max="1338" width="10.42578125" style="60" customWidth="1"/>
    <col min="1339" max="1339" width="9.7109375" style="60" customWidth="1"/>
    <col min="1340" max="1340" width="12.5703125" style="60" customWidth="1"/>
    <col min="1341" max="1341" width="16.28515625" style="60" bestFit="1" customWidth="1"/>
    <col min="1342" max="1342" width="12.5703125" style="60" customWidth="1"/>
    <col min="1343" max="1343" width="12" style="60" customWidth="1"/>
    <col min="1344" max="1344" width="12.140625" style="60" customWidth="1"/>
    <col min="1345" max="1345" width="12.7109375" style="60" customWidth="1"/>
    <col min="1346" max="1346" width="16.28515625" style="60" bestFit="1" customWidth="1"/>
    <col min="1347" max="1347" width="12.140625" style="60" customWidth="1"/>
    <col min="1348" max="1348" width="12.28515625" style="60" customWidth="1"/>
    <col min="1349" max="1349" width="12.5703125" style="60" customWidth="1"/>
    <col min="1350" max="1350" width="13" style="60" customWidth="1"/>
    <col min="1351" max="1351" width="16.28515625" style="60" bestFit="1" customWidth="1"/>
    <col min="1352" max="1352" width="13.5703125" style="60" customWidth="1"/>
    <col min="1353" max="1353" width="14.140625" style="60" customWidth="1"/>
    <col min="1354" max="1354" width="14.42578125" style="60" customWidth="1"/>
    <col min="1355" max="1355" width="14.7109375" style="60" customWidth="1"/>
    <col min="1356" max="1356" width="16.28515625" style="60" bestFit="1" customWidth="1"/>
    <col min="1357" max="1391" width="0" style="60" hidden="1" customWidth="1"/>
    <col min="1392" max="1536" width="10.28515625" style="60"/>
    <col min="1537" max="1537" width="60" style="60" customWidth="1"/>
    <col min="1538" max="1566" width="0" style="60" hidden="1" customWidth="1"/>
    <col min="1567" max="1567" width="10" style="60" customWidth="1"/>
    <col min="1568" max="1571" width="0" style="60" hidden="1" customWidth="1"/>
    <col min="1572" max="1572" width="10" style="60" customWidth="1"/>
    <col min="1573" max="1575" width="9.5703125" style="60" customWidth="1"/>
    <col min="1576" max="1576" width="10" style="60" customWidth="1"/>
    <col min="1577" max="1577" width="10" style="60" bestFit="1" customWidth="1"/>
    <col min="1578" max="1580" width="9.5703125" style="60" customWidth="1"/>
    <col min="1581" max="1581" width="10" style="60" customWidth="1"/>
    <col min="1582" max="1582" width="10" style="60" bestFit="1" customWidth="1"/>
    <col min="1583" max="1585" width="8.7109375" style="60" bestFit="1" customWidth="1"/>
    <col min="1586" max="1587" width="10" style="60" bestFit="1" customWidth="1"/>
    <col min="1588" max="1590" width="8.7109375" style="60" bestFit="1" customWidth="1"/>
    <col min="1591" max="1591" width="10" style="60" bestFit="1" customWidth="1"/>
    <col min="1592" max="1592" width="12.85546875" style="60" customWidth="1"/>
    <col min="1593" max="1594" width="10.42578125" style="60" customWidth="1"/>
    <col min="1595" max="1595" width="9.7109375" style="60" customWidth="1"/>
    <col min="1596" max="1596" width="12.5703125" style="60" customWidth="1"/>
    <col min="1597" max="1597" width="16.28515625" style="60" bestFit="1" customWidth="1"/>
    <col min="1598" max="1598" width="12.5703125" style="60" customWidth="1"/>
    <col min="1599" max="1599" width="12" style="60" customWidth="1"/>
    <col min="1600" max="1600" width="12.140625" style="60" customWidth="1"/>
    <col min="1601" max="1601" width="12.7109375" style="60" customWidth="1"/>
    <col min="1602" max="1602" width="16.28515625" style="60" bestFit="1" customWidth="1"/>
    <col min="1603" max="1603" width="12.140625" style="60" customWidth="1"/>
    <col min="1604" max="1604" width="12.28515625" style="60" customWidth="1"/>
    <col min="1605" max="1605" width="12.5703125" style="60" customWidth="1"/>
    <col min="1606" max="1606" width="13" style="60" customWidth="1"/>
    <col min="1607" max="1607" width="16.28515625" style="60" bestFit="1" customWidth="1"/>
    <col min="1608" max="1608" width="13.5703125" style="60" customWidth="1"/>
    <col min="1609" max="1609" width="14.140625" style="60" customWidth="1"/>
    <col min="1610" max="1610" width="14.42578125" style="60" customWidth="1"/>
    <col min="1611" max="1611" width="14.7109375" style="60" customWidth="1"/>
    <col min="1612" max="1612" width="16.28515625" style="60" bestFit="1" customWidth="1"/>
    <col min="1613" max="1647" width="0" style="60" hidden="1" customWidth="1"/>
    <col min="1648" max="1792" width="10.28515625" style="60"/>
    <col min="1793" max="1793" width="60" style="60" customWidth="1"/>
    <col min="1794" max="1822" width="0" style="60" hidden="1" customWidth="1"/>
    <col min="1823" max="1823" width="10" style="60" customWidth="1"/>
    <col min="1824" max="1827" width="0" style="60" hidden="1" customWidth="1"/>
    <col min="1828" max="1828" width="10" style="60" customWidth="1"/>
    <col min="1829" max="1831" width="9.5703125" style="60" customWidth="1"/>
    <col min="1832" max="1832" width="10" style="60" customWidth="1"/>
    <col min="1833" max="1833" width="10" style="60" bestFit="1" customWidth="1"/>
    <col min="1834" max="1836" width="9.5703125" style="60" customWidth="1"/>
    <col min="1837" max="1837" width="10" style="60" customWidth="1"/>
    <col min="1838" max="1838" width="10" style="60" bestFit="1" customWidth="1"/>
    <col min="1839" max="1841" width="8.7109375" style="60" bestFit="1" customWidth="1"/>
    <col min="1842" max="1843" width="10" style="60" bestFit="1" customWidth="1"/>
    <col min="1844" max="1846" width="8.7109375" style="60" bestFit="1" customWidth="1"/>
    <col min="1847" max="1847" width="10" style="60" bestFit="1" customWidth="1"/>
    <col min="1848" max="1848" width="12.85546875" style="60" customWidth="1"/>
    <col min="1849" max="1850" width="10.42578125" style="60" customWidth="1"/>
    <col min="1851" max="1851" width="9.7109375" style="60" customWidth="1"/>
    <col min="1852" max="1852" width="12.5703125" style="60" customWidth="1"/>
    <col min="1853" max="1853" width="16.28515625" style="60" bestFit="1" customWidth="1"/>
    <col min="1854" max="1854" width="12.5703125" style="60" customWidth="1"/>
    <col min="1855" max="1855" width="12" style="60" customWidth="1"/>
    <col min="1856" max="1856" width="12.140625" style="60" customWidth="1"/>
    <col min="1857" max="1857" width="12.7109375" style="60" customWidth="1"/>
    <col min="1858" max="1858" width="16.28515625" style="60" bestFit="1" customWidth="1"/>
    <col min="1859" max="1859" width="12.140625" style="60" customWidth="1"/>
    <col min="1860" max="1860" width="12.28515625" style="60" customWidth="1"/>
    <col min="1861" max="1861" width="12.5703125" style="60" customWidth="1"/>
    <col min="1862" max="1862" width="13" style="60" customWidth="1"/>
    <col min="1863" max="1863" width="16.28515625" style="60" bestFit="1" customWidth="1"/>
    <col min="1864" max="1864" width="13.5703125" style="60" customWidth="1"/>
    <col min="1865" max="1865" width="14.140625" style="60" customWidth="1"/>
    <col min="1866" max="1866" width="14.42578125" style="60" customWidth="1"/>
    <col min="1867" max="1867" width="14.7109375" style="60" customWidth="1"/>
    <col min="1868" max="1868" width="16.28515625" style="60" bestFit="1" customWidth="1"/>
    <col min="1869" max="1903" width="0" style="60" hidden="1" customWidth="1"/>
    <col min="1904" max="2048" width="10.28515625" style="60"/>
    <col min="2049" max="2049" width="60" style="60" customWidth="1"/>
    <col min="2050" max="2078" width="0" style="60" hidden="1" customWidth="1"/>
    <col min="2079" max="2079" width="10" style="60" customWidth="1"/>
    <col min="2080" max="2083" width="0" style="60" hidden="1" customWidth="1"/>
    <col min="2084" max="2084" width="10" style="60" customWidth="1"/>
    <col min="2085" max="2087" width="9.5703125" style="60" customWidth="1"/>
    <col min="2088" max="2088" width="10" style="60" customWidth="1"/>
    <col min="2089" max="2089" width="10" style="60" bestFit="1" customWidth="1"/>
    <col min="2090" max="2092" width="9.5703125" style="60" customWidth="1"/>
    <col min="2093" max="2093" width="10" style="60" customWidth="1"/>
    <col min="2094" max="2094" width="10" style="60" bestFit="1" customWidth="1"/>
    <col min="2095" max="2097" width="8.7109375" style="60" bestFit="1" customWidth="1"/>
    <col min="2098" max="2099" width="10" style="60" bestFit="1" customWidth="1"/>
    <col min="2100" max="2102" width="8.7109375" style="60" bestFit="1" customWidth="1"/>
    <col min="2103" max="2103" width="10" style="60" bestFit="1" customWidth="1"/>
    <col min="2104" max="2104" width="12.85546875" style="60" customWidth="1"/>
    <col min="2105" max="2106" width="10.42578125" style="60" customWidth="1"/>
    <col min="2107" max="2107" width="9.7109375" style="60" customWidth="1"/>
    <col min="2108" max="2108" width="12.5703125" style="60" customWidth="1"/>
    <col min="2109" max="2109" width="16.28515625" style="60" bestFit="1" customWidth="1"/>
    <col min="2110" max="2110" width="12.5703125" style="60" customWidth="1"/>
    <col min="2111" max="2111" width="12" style="60" customWidth="1"/>
    <col min="2112" max="2112" width="12.140625" style="60" customWidth="1"/>
    <col min="2113" max="2113" width="12.7109375" style="60" customWidth="1"/>
    <col min="2114" max="2114" width="16.28515625" style="60" bestFit="1" customWidth="1"/>
    <col min="2115" max="2115" width="12.140625" style="60" customWidth="1"/>
    <col min="2116" max="2116" width="12.28515625" style="60" customWidth="1"/>
    <col min="2117" max="2117" width="12.5703125" style="60" customWidth="1"/>
    <col min="2118" max="2118" width="13" style="60" customWidth="1"/>
    <col min="2119" max="2119" width="16.28515625" style="60" bestFit="1" customWidth="1"/>
    <col min="2120" max="2120" width="13.5703125" style="60" customWidth="1"/>
    <col min="2121" max="2121" width="14.140625" style="60" customWidth="1"/>
    <col min="2122" max="2122" width="14.42578125" style="60" customWidth="1"/>
    <col min="2123" max="2123" width="14.7109375" style="60" customWidth="1"/>
    <col min="2124" max="2124" width="16.28515625" style="60" bestFit="1" customWidth="1"/>
    <col min="2125" max="2159" width="0" style="60" hidden="1" customWidth="1"/>
    <col min="2160" max="2304" width="10.28515625" style="60"/>
    <col min="2305" max="2305" width="60" style="60" customWidth="1"/>
    <col min="2306" max="2334" width="0" style="60" hidden="1" customWidth="1"/>
    <col min="2335" max="2335" width="10" style="60" customWidth="1"/>
    <col min="2336" max="2339" width="0" style="60" hidden="1" customWidth="1"/>
    <col min="2340" max="2340" width="10" style="60" customWidth="1"/>
    <col min="2341" max="2343" width="9.5703125" style="60" customWidth="1"/>
    <col min="2344" max="2344" width="10" style="60" customWidth="1"/>
    <col min="2345" max="2345" width="10" style="60" bestFit="1" customWidth="1"/>
    <col min="2346" max="2348" width="9.5703125" style="60" customWidth="1"/>
    <col min="2349" max="2349" width="10" style="60" customWidth="1"/>
    <col min="2350" max="2350" width="10" style="60" bestFit="1" customWidth="1"/>
    <col min="2351" max="2353" width="8.7109375" style="60" bestFit="1" customWidth="1"/>
    <col min="2354" max="2355" width="10" style="60" bestFit="1" customWidth="1"/>
    <col min="2356" max="2358" width="8.7109375" style="60" bestFit="1" customWidth="1"/>
    <col min="2359" max="2359" width="10" style="60" bestFit="1" customWidth="1"/>
    <col min="2360" max="2360" width="12.85546875" style="60" customWidth="1"/>
    <col min="2361" max="2362" width="10.42578125" style="60" customWidth="1"/>
    <col min="2363" max="2363" width="9.7109375" style="60" customWidth="1"/>
    <col min="2364" max="2364" width="12.5703125" style="60" customWidth="1"/>
    <col min="2365" max="2365" width="16.28515625" style="60" bestFit="1" customWidth="1"/>
    <col min="2366" max="2366" width="12.5703125" style="60" customWidth="1"/>
    <col min="2367" max="2367" width="12" style="60" customWidth="1"/>
    <col min="2368" max="2368" width="12.140625" style="60" customWidth="1"/>
    <col min="2369" max="2369" width="12.7109375" style="60" customWidth="1"/>
    <col min="2370" max="2370" width="16.28515625" style="60" bestFit="1" customWidth="1"/>
    <col min="2371" max="2371" width="12.140625" style="60" customWidth="1"/>
    <col min="2372" max="2372" width="12.28515625" style="60" customWidth="1"/>
    <col min="2373" max="2373" width="12.5703125" style="60" customWidth="1"/>
    <col min="2374" max="2374" width="13" style="60" customWidth="1"/>
    <col min="2375" max="2375" width="16.28515625" style="60" bestFit="1" customWidth="1"/>
    <col min="2376" max="2376" width="13.5703125" style="60" customWidth="1"/>
    <col min="2377" max="2377" width="14.140625" style="60" customWidth="1"/>
    <col min="2378" max="2378" width="14.42578125" style="60" customWidth="1"/>
    <col min="2379" max="2379" width="14.7109375" style="60" customWidth="1"/>
    <col min="2380" max="2380" width="16.28515625" style="60" bestFit="1" customWidth="1"/>
    <col min="2381" max="2415" width="0" style="60" hidden="1" customWidth="1"/>
    <col min="2416" max="2560" width="10.28515625" style="60"/>
    <col min="2561" max="2561" width="60" style="60" customWidth="1"/>
    <col min="2562" max="2590" width="0" style="60" hidden="1" customWidth="1"/>
    <col min="2591" max="2591" width="10" style="60" customWidth="1"/>
    <col min="2592" max="2595" width="0" style="60" hidden="1" customWidth="1"/>
    <col min="2596" max="2596" width="10" style="60" customWidth="1"/>
    <col min="2597" max="2599" width="9.5703125" style="60" customWidth="1"/>
    <col min="2600" max="2600" width="10" style="60" customWidth="1"/>
    <col min="2601" max="2601" width="10" style="60" bestFit="1" customWidth="1"/>
    <col min="2602" max="2604" width="9.5703125" style="60" customWidth="1"/>
    <col min="2605" max="2605" width="10" style="60" customWidth="1"/>
    <col min="2606" max="2606" width="10" style="60" bestFit="1" customWidth="1"/>
    <col min="2607" max="2609" width="8.7109375" style="60" bestFit="1" customWidth="1"/>
    <col min="2610" max="2611" width="10" style="60" bestFit="1" customWidth="1"/>
    <col min="2612" max="2614" width="8.7109375" style="60" bestFit="1" customWidth="1"/>
    <col min="2615" max="2615" width="10" style="60" bestFit="1" customWidth="1"/>
    <col min="2616" max="2616" width="12.85546875" style="60" customWidth="1"/>
    <col min="2617" max="2618" width="10.42578125" style="60" customWidth="1"/>
    <col min="2619" max="2619" width="9.7109375" style="60" customWidth="1"/>
    <col min="2620" max="2620" width="12.5703125" style="60" customWidth="1"/>
    <col min="2621" max="2621" width="16.28515625" style="60" bestFit="1" customWidth="1"/>
    <col min="2622" max="2622" width="12.5703125" style="60" customWidth="1"/>
    <col min="2623" max="2623" width="12" style="60" customWidth="1"/>
    <col min="2624" max="2624" width="12.140625" style="60" customWidth="1"/>
    <col min="2625" max="2625" width="12.7109375" style="60" customWidth="1"/>
    <col min="2626" max="2626" width="16.28515625" style="60" bestFit="1" customWidth="1"/>
    <col min="2627" max="2627" width="12.140625" style="60" customWidth="1"/>
    <col min="2628" max="2628" width="12.28515625" style="60" customWidth="1"/>
    <col min="2629" max="2629" width="12.5703125" style="60" customWidth="1"/>
    <col min="2630" max="2630" width="13" style="60" customWidth="1"/>
    <col min="2631" max="2631" width="16.28515625" style="60" bestFit="1" customWidth="1"/>
    <col min="2632" max="2632" width="13.5703125" style="60" customWidth="1"/>
    <col min="2633" max="2633" width="14.140625" style="60" customWidth="1"/>
    <col min="2634" max="2634" width="14.42578125" style="60" customWidth="1"/>
    <col min="2635" max="2635" width="14.7109375" style="60" customWidth="1"/>
    <col min="2636" max="2636" width="16.28515625" style="60" bestFit="1" customWidth="1"/>
    <col min="2637" max="2671" width="0" style="60" hidden="1" customWidth="1"/>
    <col min="2672" max="2816" width="10.28515625" style="60"/>
    <col min="2817" max="2817" width="60" style="60" customWidth="1"/>
    <col min="2818" max="2846" width="0" style="60" hidden="1" customWidth="1"/>
    <col min="2847" max="2847" width="10" style="60" customWidth="1"/>
    <col min="2848" max="2851" width="0" style="60" hidden="1" customWidth="1"/>
    <col min="2852" max="2852" width="10" style="60" customWidth="1"/>
    <col min="2853" max="2855" width="9.5703125" style="60" customWidth="1"/>
    <col min="2856" max="2856" width="10" style="60" customWidth="1"/>
    <col min="2857" max="2857" width="10" style="60" bestFit="1" customWidth="1"/>
    <col min="2858" max="2860" width="9.5703125" style="60" customWidth="1"/>
    <col min="2861" max="2861" width="10" style="60" customWidth="1"/>
    <col min="2862" max="2862" width="10" style="60" bestFit="1" customWidth="1"/>
    <col min="2863" max="2865" width="8.7109375" style="60" bestFit="1" customWidth="1"/>
    <col min="2866" max="2867" width="10" style="60" bestFit="1" customWidth="1"/>
    <col min="2868" max="2870" width="8.7109375" style="60" bestFit="1" customWidth="1"/>
    <col min="2871" max="2871" width="10" style="60" bestFit="1" customWidth="1"/>
    <col min="2872" max="2872" width="12.85546875" style="60" customWidth="1"/>
    <col min="2873" max="2874" width="10.42578125" style="60" customWidth="1"/>
    <col min="2875" max="2875" width="9.7109375" style="60" customWidth="1"/>
    <col min="2876" max="2876" width="12.5703125" style="60" customWidth="1"/>
    <col min="2877" max="2877" width="16.28515625" style="60" bestFit="1" customWidth="1"/>
    <col min="2878" max="2878" width="12.5703125" style="60" customWidth="1"/>
    <col min="2879" max="2879" width="12" style="60" customWidth="1"/>
    <col min="2880" max="2880" width="12.140625" style="60" customWidth="1"/>
    <col min="2881" max="2881" width="12.7109375" style="60" customWidth="1"/>
    <col min="2882" max="2882" width="16.28515625" style="60" bestFit="1" customWidth="1"/>
    <col min="2883" max="2883" width="12.140625" style="60" customWidth="1"/>
    <col min="2884" max="2884" width="12.28515625" style="60" customWidth="1"/>
    <col min="2885" max="2885" width="12.5703125" style="60" customWidth="1"/>
    <col min="2886" max="2886" width="13" style="60" customWidth="1"/>
    <col min="2887" max="2887" width="16.28515625" style="60" bestFit="1" customWidth="1"/>
    <col min="2888" max="2888" width="13.5703125" style="60" customWidth="1"/>
    <col min="2889" max="2889" width="14.140625" style="60" customWidth="1"/>
    <col min="2890" max="2890" width="14.42578125" style="60" customWidth="1"/>
    <col min="2891" max="2891" width="14.7109375" style="60" customWidth="1"/>
    <col min="2892" max="2892" width="16.28515625" style="60" bestFit="1" customWidth="1"/>
    <col min="2893" max="2927" width="0" style="60" hidden="1" customWidth="1"/>
    <col min="2928" max="3072" width="10.28515625" style="60"/>
    <col min="3073" max="3073" width="60" style="60" customWidth="1"/>
    <col min="3074" max="3102" width="0" style="60" hidden="1" customWidth="1"/>
    <col min="3103" max="3103" width="10" style="60" customWidth="1"/>
    <col min="3104" max="3107" width="0" style="60" hidden="1" customWidth="1"/>
    <col min="3108" max="3108" width="10" style="60" customWidth="1"/>
    <col min="3109" max="3111" width="9.5703125" style="60" customWidth="1"/>
    <col min="3112" max="3112" width="10" style="60" customWidth="1"/>
    <col min="3113" max="3113" width="10" style="60" bestFit="1" customWidth="1"/>
    <col min="3114" max="3116" width="9.5703125" style="60" customWidth="1"/>
    <col min="3117" max="3117" width="10" style="60" customWidth="1"/>
    <col min="3118" max="3118" width="10" style="60" bestFit="1" customWidth="1"/>
    <col min="3119" max="3121" width="8.7109375" style="60" bestFit="1" customWidth="1"/>
    <col min="3122" max="3123" width="10" style="60" bestFit="1" customWidth="1"/>
    <col min="3124" max="3126" width="8.7109375" style="60" bestFit="1" customWidth="1"/>
    <col min="3127" max="3127" width="10" style="60" bestFit="1" customWidth="1"/>
    <col min="3128" max="3128" width="12.85546875" style="60" customWidth="1"/>
    <col min="3129" max="3130" width="10.42578125" style="60" customWidth="1"/>
    <col min="3131" max="3131" width="9.7109375" style="60" customWidth="1"/>
    <col min="3132" max="3132" width="12.5703125" style="60" customWidth="1"/>
    <col min="3133" max="3133" width="16.28515625" style="60" bestFit="1" customWidth="1"/>
    <col min="3134" max="3134" width="12.5703125" style="60" customWidth="1"/>
    <col min="3135" max="3135" width="12" style="60" customWidth="1"/>
    <col min="3136" max="3136" width="12.140625" style="60" customWidth="1"/>
    <col min="3137" max="3137" width="12.7109375" style="60" customWidth="1"/>
    <col min="3138" max="3138" width="16.28515625" style="60" bestFit="1" customWidth="1"/>
    <col min="3139" max="3139" width="12.140625" style="60" customWidth="1"/>
    <col min="3140" max="3140" width="12.28515625" style="60" customWidth="1"/>
    <col min="3141" max="3141" width="12.5703125" style="60" customWidth="1"/>
    <col min="3142" max="3142" width="13" style="60" customWidth="1"/>
    <col min="3143" max="3143" width="16.28515625" style="60" bestFit="1" customWidth="1"/>
    <col min="3144" max="3144" width="13.5703125" style="60" customWidth="1"/>
    <col min="3145" max="3145" width="14.140625" style="60" customWidth="1"/>
    <col min="3146" max="3146" width="14.42578125" style="60" customWidth="1"/>
    <col min="3147" max="3147" width="14.7109375" style="60" customWidth="1"/>
    <col min="3148" max="3148" width="16.28515625" style="60" bestFit="1" customWidth="1"/>
    <col min="3149" max="3183" width="0" style="60" hidden="1" customWidth="1"/>
    <col min="3184" max="3328" width="10.28515625" style="60"/>
    <col min="3329" max="3329" width="60" style="60" customWidth="1"/>
    <col min="3330" max="3358" width="0" style="60" hidden="1" customWidth="1"/>
    <col min="3359" max="3359" width="10" style="60" customWidth="1"/>
    <col min="3360" max="3363" width="0" style="60" hidden="1" customWidth="1"/>
    <col min="3364" max="3364" width="10" style="60" customWidth="1"/>
    <col min="3365" max="3367" width="9.5703125" style="60" customWidth="1"/>
    <col min="3368" max="3368" width="10" style="60" customWidth="1"/>
    <col min="3369" max="3369" width="10" style="60" bestFit="1" customWidth="1"/>
    <col min="3370" max="3372" width="9.5703125" style="60" customWidth="1"/>
    <col min="3373" max="3373" width="10" style="60" customWidth="1"/>
    <col min="3374" max="3374" width="10" style="60" bestFit="1" customWidth="1"/>
    <col min="3375" max="3377" width="8.7109375" style="60" bestFit="1" customWidth="1"/>
    <col min="3378" max="3379" width="10" style="60" bestFit="1" customWidth="1"/>
    <col min="3380" max="3382" width="8.7109375" style="60" bestFit="1" customWidth="1"/>
    <col min="3383" max="3383" width="10" style="60" bestFit="1" customWidth="1"/>
    <col min="3384" max="3384" width="12.85546875" style="60" customWidth="1"/>
    <col min="3385" max="3386" width="10.42578125" style="60" customWidth="1"/>
    <col min="3387" max="3387" width="9.7109375" style="60" customWidth="1"/>
    <col min="3388" max="3388" width="12.5703125" style="60" customWidth="1"/>
    <col min="3389" max="3389" width="16.28515625" style="60" bestFit="1" customWidth="1"/>
    <col min="3390" max="3390" width="12.5703125" style="60" customWidth="1"/>
    <col min="3391" max="3391" width="12" style="60" customWidth="1"/>
    <col min="3392" max="3392" width="12.140625" style="60" customWidth="1"/>
    <col min="3393" max="3393" width="12.7109375" style="60" customWidth="1"/>
    <col min="3394" max="3394" width="16.28515625" style="60" bestFit="1" customWidth="1"/>
    <col min="3395" max="3395" width="12.140625" style="60" customWidth="1"/>
    <col min="3396" max="3396" width="12.28515625" style="60" customWidth="1"/>
    <col min="3397" max="3397" width="12.5703125" style="60" customWidth="1"/>
    <col min="3398" max="3398" width="13" style="60" customWidth="1"/>
    <col min="3399" max="3399" width="16.28515625" style="60" bestFit="1" customWidth="1"/>
    <col min="3400" max="3400" width="13.5703125" style="60" customWidth="1"/>
    <col min="3401" max="3401" width="14.140625" style="60" customWidth="1"/>
    <col min="3402" max="3402" width="14.42578125" style="60" customWidth="1"/>
    <col min="3403" max="3403" width="14.7109375" style="60" customWidth="1"/>
    <col min="3404" max="3404" width="16.28515625" style="60" bestFit="1" customWidth="1"/>
    <col min="3405" max="3439" width="0" style="60" hidden="1" customWidth="1"/>
    <col min="3440" max="3584" width="10.28515625" style="60"/>
    <col min="3585" max="3585" width="60" style="60" customWidth="1"/>
    <col min="3586" max="3614" width="0" style="60" hidden="1" customWidth="1"/>
    <col min="3615" max="3615" width="10" style="60" customWidth="1"/>
    <col min="3616" max="3619" width="0" style="60" hidden="1" customWidth="1"/>
    <col min="3620" max="3620" width="10" style="60" customWidth="1"/>
    <col min="3621" max="3623" width="9.5703125" style="60" customWidth="1"/>
    <col min="3624" max="3624" width="10" style="60" customWidth="1"/>
    <col min="3625" max="3625" width="10" style="60" bestFit="1" customWidth="1"/>
    <col min="3626" max="3628" width="9.5703125" style="60" customWidth="1"/>
    <col min="3629" max="3629" width="10" style="60" customWidth="1"/>
    <col min="3630" max="3630" width="10" style="60" bestFit="1" customWidth="1"/>
    <col min="3631" max="3633" width="8.7109375" style="60" bestFit="1" customWidth="1"/>
    <col min="3634" max="3635" width="10" style="60" bestFit="1" customWidth="1"/>
    <col min="3636" max="3638" width="8.7109375" style="60" bestFit="1" customWidth="1"/>
    <col min="3639" max="3639" width="10" style="60" bestFit="1" customWidth="1"/>
    <col min="3640" max="3640" width="12.85546875" style="60" customWidth="1"/>
    <col min="3641" max="3642" width="10.42578125" style="60" customWidth="1"/>
    <col min="3643" max="3643" width="9.7109375" style="60" customWidth="1"/>
    <col min="3644" max="3644" width="12.5703125" style="60" customWidth="1"/>
    <col min="3645" max="3645" width="16.28515625" style="60" bestFit="1" customWidth="1"/>
    <col min="3646" max="3646" width="12.5703125" style="60" customWidth="1"/>
    <col min="3647" max="3647" width="12" style="60" customWidth="1"/>
    <col min="3648" max="3648" width="12.140625" style="60" customWidth="1"/>
    <col min="3649" max="3649" width="12.7109375" style="60" customWidth="1"/>
    <col min="3650" max="3650" width="16.28515625" style="60" bestFit="1" customWidth="1"/>
    <col min="3651" max="3651" width="12.140625" style="60" customWidth="1"/>
    <col min="3652" max="3652" width="12.28515625" style="60" customWidth="1"/>
    <col min="3653" max="3653" width="12.5703125" style="60" customWidth="1"/>
    <col min="3654" max="3654" width="13" style="60" customWidth="1"/>
    <col min="3655" max="3655" width="16.28515625" style="60" bestFit="1" customWidth="1"/>
    <col min="3656" max="3656" width="13.5703125" style="60" customWidth="1"/>
    <col min="3657" max="3657" width="14.140625" style="60" customWidth="1"/>
    <col min="3658" max="3658" width="14.42578125" style="60" customWidth="1"/>
    <col min="3659" max="3659" width="14.7109375" style="60" customWidth="1"/>
    <col min="3660" max="3660" width="16.28515625" style="60" bestFit="1" customWidth="1"/>
    <col min="3661" max="3695" width="0" style="60" hidden="1" customWidth="1"/>
    <col min="3696" max="3840" width="10.28515625" style="60"/>
    <col min="3841" max="3841" width="60" style="60" customWidth="1"/>
    <col min="3842" max="3870" width="0" style="60" hidden="1" customWidth="1"/>
    <col min="3871" max="3871" width="10" style="60" customWidth="1"/>
    <col min="3872" max="3875" width="0" style="60" hidden="1" customWidth="1"/>
    <col min="3876" max="3876" width="10" style="60" customWidth="1"/>
    <col min="3877" max="3879" width="9.5703125" style="60" customWidth="1"/>
    <col min="3880" max="3880" width="10" style="60" customWidth="1"/>
    <col min="3881" max="3881" width="10" style="60" bestFit="1" customWidth="1"/>
    <col min="3882" max="3884" width="9.5703125" style="60" customWidth="1"/>
    <col min="3885" max="3885" width="10" style="60" customWidth="1"/>
    <col min="3886" max="3886" width="10" style="60" bestFit="1" customWidth="1"/>
    <col min="3887" max="3889" width="8.7109375" style="60" bestFit="1" customWidth="1"/>
    <col min="3890" max="3891" width="10" style="60" bestFit="1" customWidth="1"/>
    <col min="3892" max="3894" width="8.7109375" style="60" bestFit="1" customWidth="1"/>
    <col min="3895" max="3895" width="10" style="60" bestFit="1" customWidth="1"/>
    <col min="3896" max="3896" width="12.85546875" style="60" customWidth="1"/>
    <col min="3897" max="3898" width="10.42578125" style="60" customWidth="1"/>
    <col min="3899" max="3899" width="9.7109375" style="60" customWidth="1"/>
    <col min="3900" max="3900" width="12.5703125" style="60" customWidth="1"/>
    <col min="3901" max="3901" width="16.28515625" style="60" bestFit="1" customWidth="1"/>
    <col min="3902" max="3902" width="12.5703125" style="60" customWidth="1"/>
    <col min="3903" max="3903" width="12" style="60" customWidth="1"/>
    <col min="3904" max="3904" width="12.140625" style="60" customWidth="1"/>
    <col min="3905" max="3905" width="12.7109375" style="60" customWidth="1"/>
    <col min="3906" max="3906" width="16.28515625" style="60" bestFit="1" customWidth="1"/>
    <col min="3907" max="3907" width="12.140625" style="60" customWidth="1"/>
    <col min="3908" max="3908" width="12.28515625" style="60" customWidth="1"/>
    <col min="3909" max="3909" width="12.5703125" style="60" customWidth="1"/>
    <col min="3910" max="3910" width="13" style="60" customWidth="1"/>
    <col min="3911" max="3911" width="16.28515625" style="60" bestFit="1" customWidth="1"/>
    <col min="3912" max="3912" width="13.5703125" style="60" customWidth="1"/>
    <col min="3913" max="3913" width="14.140625" style="60" customWidth="1"/>
    <col min="3914" max="3914" width="14.42578125" style="60" customWidth="1"/>
    <col min="3915" max="3915" width="14.7109375" style="60" customWidth="1"/>
    <col min="3916" max="3916" width="16.28515625" style="60" bestFit="1" customWidth="1"/>
    <col min="3917" max="3951" width="0" style="60" hidden="1" customWidth="1"/>
    <col min="3952" max="4096" width="10.28515625" style="60"/>
    <col min="4097" max="4097" width="60" style="60" customWidth="1"/>
    <col min="4098" max="4126" width="0" style="60" hidden="1" customWidth="1"/>
    <col min="4127" max="4127" width="10" style="60" customWidth="1"/>
    <col min="4128" max="4131" width="0" style="60" hidden="1" customWidth="1"/>
    <col min="4132" max="4132" width="10" style="60" customWidth="1"/>
    <col min="4133" max="4135" width="9.5703125" style="60" customWidth="1"/>
    <col min="4136" max="4136" width="10" style="60" customWidth="1"/>
    <col min="4137" max="4137" width="10" style="60" bestFit="1" customWidth="1"/>
    <col min="4138" max="4140" width="9.5703125" style="60" customWidth="1"/>
    <col min="4141" max="4141" width="10" style="60" customWidth="1"/>
    <col min="4142" max="4142" width="10" style="60" bestFit="1" customWidth="1"/>
    <col min="4143" max="4145" width="8.7109375" style="60" bestFit="1" customWidth="1"/>
    <col min="4146" max="4147" width="10" style="60" bestFit="1" customWidth="1"/>
    <col min="4148" max="4150" width="8.7109375" style="60" bestFit="1" customWidth="1"/>
    <col min="4151" max="4151" width="10" style="60" bestFit="1" customWidth="1"/>
    <col min="4152" max="4152" width="12.85546875" style="60" customWidth="1"/>
    <col min="4153" max="4154" width="10.42578125" style="60" customWidth="1"/>
    <col min="4155" max="4155" width="9.7109375" style="60" customWidth="1"/>
    <col min="4156" max="4156" width="12.5703125" style="60" customWidth="1"/>
    <col min="4157" max="4157" width="16.28515625" style="60" bestFit="1" customWidth="1"/>
    <col min="4158" max="4158" width="12.5703125" style="60" customWidth="1"/>
    <col min="4159" max="4159" width="12" style="60" customWidth="1"/>
    <col min="4160" max="4160" width="12.140625" style="60" customWidth="1"/>
    <col min="4161" max="4161" width="12.7109375" style="60" customWidth="1"/>
    <col min="4162" max="4162" width="16.28515625" style="60" bestFit="1" customWidth="1"/>
    <col min="4163" max="4163" width="12.140625" style="60" customWidth="1"/>
    <col min="4164" max="4164" width="12.28515625" style="60" customWidth="1"/>
    <col min="4165" max="4165" width="12.5703125" style="60" customWidth="1"/>
    <col min="4166" max="4166" width="13" style="60" customWidth="1"/>
    <col min="4167" max="4167" width="16.28515625" style="60" bestFit="1" customWidth="1"/>
    <col min="4168" max="4168" width="13.5703125" style="60" customWidth="1"/>
    <col min="4169" max="4169" width="14.140625" style="60" customWidth="1"/>
    <col min="4170" max="4170" width="14.42578125" style="60" customWidth="1"/>
    <col min="4171" max="4171" width="14.7109375" style="60" customWidth="1"/>
    <col min="4172" max="4172" width="16.28515625" style="60" bestFit="1" customWidth="1"/>
    <col min="4173" max="4207" width="0" style="60" hidden="1" customWidth="1"/>
    <col min="4208" max="4352" width="10.28515625" style="60"/>
    <col min="4353" max="4353" width="60" style="60" customWidth="1"/>
    <col min="4354" max="4382" width="0" style="60" hidden="1" customWidth="1"/>
    <col min="4383" max="4383" width="10" style="60" customWidth="1"/>
    <col min="4384" max="4387" width="0" style="60" hidden="1" customWidth="1"/>
    <col min="4388" max="4388" width="10" style="60" customWidth="1"/>
    <col min="4389" max="4391" width="9.5703125" style="60" customWidth="1"/>
    <col min="4392" max="4392" width="10" style="60" customWidth="1"/>
    <col min="4393" max="4393" width="10" style="60" bestFit="1" customWidth="1"/>
    <col min="4394" max="4396" width="9.5703125" style="60" customWidth="1"/>
    <col min="4397" max="4397" width="10" style="60" customWidth="1"/>
    <col min="4398" max="4398" width="10" style="60" bestFit="1" customWidth="1"/>
    <col min="4399" max="4401" width="8.7109375" style="60" bestFit="1" customWidth="1"/>
    <col min="4402" max="4403" width="10" style="60" bestFit="1" customWidth="1"/>
    <col min="4404" max="4406" width="8.7109375" style="60" bestFit="1" customWidth="1"/>
    <col min="4407" max="4407" width="10" style="60" bestFit="1" customWidth="1"/>
    <col min="4408" max="4408" width="12.85546875" style="60" customWidth="1"/>
    <col min="4409" max="4410" width="10.42578125" style="60" customWidth="1"/>
    <col min="4411" max="4411" width="9.7109375" style="60" customWidth="1"/>
    <col min="4412" max="4412" width="12.5703125" style="60" customWidth="1"/>
    <col min="4413" max="4413" width="16.28515625" style="60" bestFit="1" customWidth="1"/>
    <col min="4414" max="4414" width="12.5703125" style="60" customWidth="1"/>
    <col min="4415" max="4415" width="12" style="60" customWidth="1"/>
    <col min="4416" max="4416" width="12.140625" style="60" customWidth="1"/>
    <col min="4417" max="4417" width="12.7109375" style="60" customWidth="1"/>
    <col min="4418" max="4418" width="16.28515625" style="60" bestFit="1" customWidth="1"/>
    <col min="4419" max="4419" width="12.140625" style="60" customWidth="1"/>
    <col min="4420" max="4420" width="12.28515625" style="60" customWidth="1"/>
    <col min="4421" max="4421" width="12.5703125" style="60" customWidth="1"/>
    <col min="4422" max="4422" width="13" style="60" customWidth="1"/>
    <col min="4423" max="4423" width="16.28515625" style="60" bestFit="1" customWidth="1"/>
    <col min="4424" max="4424" width="13.5703125" style="60" customWidth="1"/>
    <col min="4425" max="4425" width="14.140625" style="60" customWidth="1"/>
    <col min="4426" max="4426" width="14.42578125" style="60" customWidth="1"/>
    <col min="4427" max="4427" width="14.7109375" style="60" customWidth="1"/>
    <col min="4428" max="4428" width="16.28515625" style="60" bestFit="1" customWidth="1"/>
    <col min="4429" max="4463" width="0" style="60" hidden="1" customWidth="1"/>
    <col min="4464" max="4608" width="10.28515625" style="60"/>
    <col min="4609" max="4609" width="60" style="60" customWidth="1"/>
    <col min="4610" max="4638" width="0" style="60" hidden="1" customWidth="1"/>
    <col min="4639" max="4639" width="10" style="60" customWidth="1"/>
    <col min="4640" max="4643" width="0" style="60" hidden="1" customWidth="1"/>
    <col min="4644" max="4644" width="10" style="60" customWidth="1"/>
    <col min="4645" max="4647" width="9.5703125" style="60" customWidth="1"/>
    <col min="4648" max="4648" width="10" style="60" customWidth="1"/>
    <col min="4649" max="4649" width="10" style="60" bestFit="1" customWidth="1"/>
    <col min="4650" max="4652" width="9.5703125" style="60" customWidth="1"/>
    <col min="4653" max="4653" width="10" style="60" customWidth="1"/>
    <col min="4654" max="4654" width="10" style="60" bestFit="1" customWidth="1"/>
    <col min="4655" max="4657" width="8.7109375" style="60" bestFit="1" customWidth="1"/>
    <col min="4658" max="4659" width="10" style="60" bestFit="1" customWidth="1"/>
    <col min="4660" max="4662" width="8.7109375" style="60" bestFit="1" customWidth="1"/>
    <col min="4663" max="4663" width="10" style="60" bestFit="1" customWidth="1"/>
    <col min="4664" max="4664" width="12.85546875" style="60" customWidth="1"/>
    <col min="4665" max="4666" width="10.42578125" style="60" customWidth="1"/>
    <col min="4667" max="4667" width="9.7109375" style="60" customWidth="1"/>
    <col min="4668" max="4668" width="12.5703125" style="60" customWidth="1"/>
    <col min="4669" max="4669" width="16.28515625" style="60" bestFit="1" customWidth="1"/>
    <col min="4670" max="4670" width="12.5703125" style="60" customWidth="1"/>
    <col min="4671" max="4671" width="12" style="60" customWidth="1"/>
    <col min="4672" max="4672" width="12.140625" style="60" customWidth="1"/>
    <col min="4673" max="4673" width="12.7109375" style="60" customWidth="1"/>
    <col min="4674" max="4674" width="16.28515625" style="60" bestFit="1" customWidth="1"/>
    <col min="4675" max="4675" width="12.140625" style="60" customWidth="1"/>
    <col min="4676" max="4676" width="12.28515625" style="60" customWidth="1"/>
    <col min="4677" max="4677" width="12.5703125" style="60" customWidth="1"/>
    <col min="4678" max="4678" width="13" style="60" customWidth="1"/>
    <col min="4679" max="4679" width="16.28515625" style="60" bestFit="1" customWidth="1"/>
    <col min="4680" max="4680" width="13.5703125" style="60" customWidth="1"/>
    <col min="4681" max="4681" width="14.140625" style="60" customWidth="1"/>
    <col min="4682" max="4682" width="14.42578125" style="60" customWidth="1"/>
    <col min="4683" max="4683" width="14.7109375" style="60" customWidth="1"/>
    <col min="4684" max="4684" width="16.28515625" style="60" bestFit="1" customWidth="1"/>
    <col min="4685" max="4719" width="0" style="60" hidden="1" customWidth="1"/>
    <col min="4720" max="4864" width="10.28515625" style="60"/>
    <col min="4865" max="4865" width="60" style="60" customWidth="1"/>
    <col min="4866" max="4894" width="0" style="60" hidden="1" customWidth="1"/>
    <col min="4895" max="4895" width="10" style="60" customWidth="1"/>
    <col min="4896" max="4899" width="0" style="60" hidden="1" customWidth="1"/>
    <col min="4900" max="4900" width="10" style="60" customWidth="1"/>
    <col min="4901" max="4903" width="9.5703125" style="60" customWidth="1"/>
    <col min="4904" max="4904" width="10" style="60" customWidth="1"/>
    <col min="4905" max="4905" width="10" style="60" bestFit="1" customWidth="1"/>
    <col min="4906" max="4908" width="9.5703125" style="60" customWidth="1"/>
    <col min="4909" max="4909" width="10" style="60" customWidth="1"/>
    <col min="4910" max="4910" width="10" style="60" bestFit="1" customWidth="1"/>
    <col min="4911" max="4913" width="8.7109375" style="60" bestFit="1" customWidth="1"/>
    <col min="4914" max="4915" width="10" style="60" bestFit="1" customWidth="1"/>
    <col min="4916" max="4918" width="8.7109375" style="60" bestFit="1" customWidth="1"/>
    <col min="4919" max="4919" width="10" style="60" bestFit="1" customWidth="1"/>
    <col min="4920" max="4920" width="12.85546875" style="60" customWidth="1"/>
    <col min="4921" max="4922" width="10.42578125" style="60" customWidth="1"/>
    <col min="4923" max="4923" width="9.7109375" style="60" customWidth="1"/>
    <col min="4924" max="4924" width="12.5703125" style="60" customWidth="1"/>
    <col min="4925" max="4925" width="16.28515625" style="60" bestFit="1" customWidth="1"/>
    <col min="4926" max="4926" width="12.5703125" style="60" customWidth="1"/>
    <col min="4927" max="4927" width="12" style="60" customWidth="1"/>
    <col min="4928" max="4928" width="12.140625" style="60" customWidth="1"/>
    <col min="4929" max="4929" width="12.7109375" style="60" customWidth="1"/>
    <col min="4930" max="4930" width="16.28515625" style="60" bestFit="1" customWidth="1"/>
    <col min="4931" max="4931" width="12.140625" style="60" customWidth="1"/>
    <col min="4932" max="4932" width="12.28515625" style="60" customWidth="1"/>
    <col min="4933" max="4933" width="12.5703125" style="60" customWidth="1"/>
    <col min="4934" max="4934" width="13" style="60" customWidth="1"/>
    <col min="4935" max="4935" width="16.28515625" style="60" bestFit="1" customWidth="1"/>
    <col min="4936" max="4936" width="13.5703125" style="60" customWidth="1"/>
    <col min="4937" max="4937" width="14.140625" style="60" customWidth="1"/>
    <col min="4938" max="4938" width="14.42578125" style="60" customWidth="1"/>
    <col min="4939" max="4939" width="14.7109375" style="60" customWidth="1"/>
    <col min="4940" max="4940" width="16.28515625" style="60" bestFit="1" customWidth="1"/>
    <col min="4941" max="4975" width="0" style="60" hidden="1" customWidth="1"/>
    <col min="4976" max="5120" width="10.28515625" style="60"/>
    <col min="5121" max="5121" width="60" style="60" customWidth="1"/>
    <col min="5122" max="5150" width="0" style="60" hidden="1" customWidth="1"/>
    <col min="5151" max="5151" width="10" style="60" customWidth="1"/>
    <col min="5152" max="5155" width="0" style="60" hidden="1" customWidth="1"/>
    <col min="5156" max="5156" width="10" style="60" customWidth="1"/>
    <col min="5157" max="5159" width="9.5703125" style="60" customWidth="1"/>
    <col min="5160" max="5160" width="10" style="60" customWidth="1"/>
    <col min="5161" max="5161" width="10" style="60" bestFit="1" customWidth="1"/>
    <col min="5162" max="5164" width="9.5703125" style="60" customWidth="1"/>
    <col min="5165" max="5165" width="10" style="60" customWidth="1"/>
    <col min="5166" max="5166" width="10" style="60" bestFit="1" customWidth="1"/>
    <col min="5167" max="5169" width="8.7109375" style="60" bestFit="1" customWidth="1"/>
    <col min="5170" max="5171" width="10" style="60" bestFit="1" customWidth="1"/>
    <col min="5172" max="5174" width="8.7109375" style="60" bestFit="1" customWidth="1"/>
    <col min="5175" max="5175" width="10" style="60" bestFit="1" customWidth="1"/>
    <col min="5176" max="5176" width="12.85546875" style="60" customWidth="1"/>
    <col min="5177" max="5178" width="10.42578125" style="60" customWidth="1"/>
    <col min="5179" max="5179" width="9.7109375" style="60" customWidth="1"/>
    <col min="5180" max="5180" width="12.5703125" style="60" customWidth="1"/>
    <col min="5181" max="5181" width="16.28515625" style="60" bestFit="1" customWidth="1"/>
    <col min="5182" max="5182" width="12.5703125" style="60" customWidth="1"/>
    <col min="5183" max="5183" width="12" style="60" customWidth="1"/>
    <col min="5184" max="5184" width="12.140625" style="60" customWidth="1"/>
    <col min="5185" max="5185" width="12.7109375" style="60" customWidth="1"/>
    <col min="5186" max="5186" width="16.28515625" style="60" bestFit="1" customWidth="1"/>
    <col min="5187" max="5187" width="12.140625" style="60" customWidth="1"/>
    <col min="5188" max="5188" width="12.28515625" style="60" customWidth="1"/>
    <col min="5189" max="5189" width="12.5703125" style="60" customWidth="1"/>
    <col min="5190" max="5190" width="13" style="60" customWidth="1"/>
    <col min="5191" max="5191" width="16.28515625" style="60" bestFit="1" customWidth="1"/>
    <col min="5192" max="5192" width="13.5703125" style="60" customWidth="1"/>
    <col min="5193" max="5193" width="14.140625" style="60" customWidth="1"/>
    <col min="5194" max="5194" width="14.42578125" style="60" customWidth="1"/>
    <col min="5195" max="5195" width="14.7109375" style="60" customWidth="1"/>
    <col min="5196" max="5196" width="16.28515625" style="60" bestFit="1" customWidth="1"/>
    <col min="5197" max="5231" width="0" style="60" hidden="1" customWidth="1"/>
    <col min="5232" max="5376" width="10.28515625" style="60"/>
    <col min="5377" max="5377" width="60" style="60" customWidth="1"/>
    <col min="5378" max="5406" width="0" style="60" hidden="1" customWidth="1"/>
    <col min="5407" max="5407" width="10" style="60" customWidth="1"/>
    <col min="5408" max="5411" width="0" style="60" hidden="1" customWidth="1"/>
    <col min="5412" max="5412" width="10" style="60" customWidth="1"/>
    <col min="5413" max="5415" width="9.5703125" style="60" customWidth="1"/>
    <col min="5416" max="5416" width="10" style="60" customWidth="1"/>
    <col min="5417" max="5417" width="10" style="60" bestFit="1" customWidth="1"/>
    <col min="5418" max="5420" width="9.5703125" style="60" customWidth="1"/>
    <col min="5421" max="5421" width="10" style="60" customWidth="1"/>
    <col min="5422" max="5422" width="10" style="60" bestFit="1" customWidth="1"/>
    <col min="5423" max="5425" width="8.7109375" style="60" bestFit="1" customWidth="1"/>
    <col min="5426" max="5427" width="10" style="60" bestFit="1" customWidth="1"/>
    <col min="5428" max="5430" width="8.7109375" style="60" bestFit="1" customWidth="1"/>
    <col min="5431" max="5431" width="10" style="60" bestFit="1" customWidth="1"/>
    <col min="5432" max="5432" width="12.85546875" style="60" customWidth="1"/>
    <col min="5433" max="5434" width="10.42578125" style="60" customWidth="1"/>
    <col min="5435" max="5435" width="9.7109375" style="60" customWidth="1"/>
    <col min="5436" max="5436" width="12.5703125" style="60" customWidth="1"/>
    <col min="5437" max="5437" width="16.28515625" style="60" bestFit="1" customWidth="1"/>
    <col min="5438" max="5438" width="12.5703125" style="60" customWidth="1"/>
    <col min="5439" max="5439" width="12" style="60" customWidth="1"/>
    <col min="5440" max="5440" width="12.140625" style="60" customWidth="1"/>
    <col min="5441" max="5441" width="12.7109375" style="60" customWidth="1"/>
    <col min="5442" max="5442" width="16.28515625" style="60" bestFit="1" customWidth="1"/>
    <col min="5443" max="5443" width="12.140625" style="60" customWidth="1"/>
    <col min="5444" max="5444" width="12.28515625" style="60" customWidth="1"/>
    <col min="5445" max="5445" width="12.5703125" style="60" customWidth="1"/>
    <col min="5446" max="5446" width="13" style="60" customWidth="1"/>
    <col min="5447" max="5447" width="16.28515625" style="60" bestFit="1" customWidth="1"/>
    <col min="5448" max="5448" width="13.5703125" style="60" customWidth="1"/>
    <col min="5449" max="5449" width="14.140625" style="60" customWidth="1"/>
    <col min="5450" max="5450" width="14.42578125" style="60" customWidth="1"/>
    <col min="5451" max="5451" width="14.7109375" style="60" customWidth="1"/>
    <col min="5452" max="5452" width="16.28515625" style="60" bestFit="1" customWidth="1"/>
    <col min="5453" max="5487" width="0" style="60" hidden="1" customWidth="1"/>
    <col min="5488" max="5632" width="10.28515625" style="60"/>
    <col min="5633" max="5633" width="60" style="60" customWidth="1"/>
    <col min="5634" max="5662" width="0" style="60" hidden="1" customWidth="1"/>
    <col min="5663" max="5663" width="10" style="60" customWidth="1"/>
    <col min="5664" max="5667" width="0" style="60" hidden="1" customWidth="1"/>
    <col min="5668" max="5668" width="10" style="60" customWidth="1"/>
    <col min="5669" max="5671" width="9.5703125" style="60" customWidth="1"/>
    <col min="5672" max="5672" width="10" style="60" customWidth="1"/>
    <col min="5673" max="5673" width="10" style="60" bestFit="1" customWidth="1"/>
    <col min="5674" max="5676" width="9.5703125" style="60" customWidth="1"/>
    <col min="5677" max="5677" width="10" style="60" customWidth="1"/>
    <col min="5678" max="5678" width="10" style="60" bestFit="1" customWidth="1"/>
    <col min="5679" max="5681" width="8.7109375" style="60" bestFit="1" customWidth="1"/>
    <col min="5682" max="5683" width="10" style="60" bestFit="1" customWidth="1"/>
    <col min="5684" max="5686" width="8.7109375" style="60" bestFit="1" customWidth="1"/>
    <col min="5687" max="5687" width="10" style="60" bestFit="1" customWidth="1"/>
    <col min="5688" max="5688" width="12.85546875" style="60" customWidth="1"/>
    <col min="5689" max="5690" width="10.42578125" style="60" customWidth="1"/>
    <col min="5691" max="5691" width="9.7109375" style="60" customWidth="1"/>
    <col min="5692" max="5692" width="12.5703125" style="60" customWidth="1"/>
    <col min="5693" max="5693" width="16.28515625" style="60" bestFit="1" customWidth="1"/>
    <col min="5694" max="5694" width="12.5703125" style="60" customWidth="1"/>
    <col min="5695" max="5695" width="12" style="60" customWidth="1"/>
    <col min="5696" max="5696" width="12.140625" style="60" customWidth="1"/>
    <col min="5697" max="5697" width="12.7109375" style="60" customWidth="1"/>
    <col min="5698" max="5698" width="16.28515625" style="60" bestFit="1" customWidth="1"/>
    <col min="5699" max="5699" width="12.140625" style="60" customWidth="1"/>
    <col min="5700" max="5700" width="12.28515625" style="60" customWidth="1"/>
    <col min="5701" max="5701" width="12.5703125" style="60" customWidth="1"/>
    <col min="5702" max="5702" width="13" style="60" customWidth="1"/>
    <col min="5703" max="5703" width="16.28515625" style="60" bestFit="1" customWidth="1"/>
    <col min="5704" max="5704" width="13.5703125" style="60" customWidth="1"/>
    <col min="5705" max="5705" width="14.140625" style="60" customWidth="1"/>
    <col min="5706" max="5706" width="14.42578125" style="60" customWidth="1"/>
    <col min="5707" max="5707" width="14.7109375" style="60" customWidth="1"/>
    <col min="5708" max="5708" width="16.28515625" style="60" bestFit="1" customWidth="1"/>
    <col min="5709" max="5743" width="0" style="60" hidden="1" customWidth="1"/>
    <col min="5744" max="5888" width="10.28515625" style="60"/>
    <col min="5889" max="5889" width="60" style="60" customWidth="1"/>
    <col min="5890" max="5918" width="0" style="60" hidden="1" customWidth="1"/>
    <col min="5919" max="5919" width="10" style="60" customWidth="1"/>
    <col min="5920" max="5923" width="0" style="60" hidden="1" customWidth="1"/>
    <col min="5924" max="5924" width="10" style="60" customWidth="1"/>
    <col min="5925" max="5927" width="9.5703125" style="60" customWidth="1"/>
    <col min="5928" max="5928" width="10" style="60" customWidth="1"/>
    <col min="5929" max="5929" width="10" style="60" bestFit="1" customWidth="1"/>
    <col min="5930" max="5932" width="9.5703125" style="60" customWidth="1"/>
    <col min="5933" max="5933" width="10" style="60" customWidth="1"/>
    <col min="5934" max="5934" width="10" style="60" bestFit="1" customWidth="1"/>
    <col min="5935" max="5937" width="8.7109375" style="60" bestFit="1" customWidth="1"/>
    <col min="5938" max="5939" width="10" style="60" bestFit="1" customWidth="1"/>
    <col min="5940" max="5942" width="8.7109375" style="60" bestFit="1" customWidth="1"/>
    <col min="5943" max="5943" width="10" style="60" bestFit="1" customWidth="1"/>
    <col min="5944" max="5944" width="12.85546875" style="60" customWidth="1"/>
    <col min="5945" max="5946" width="10.42578125" style="60" customWidth="1"/>
    <col min="5947" max="5947" width="9.7109375" style="60" customWidth="1"/>
    <col min="5948" max="5948" width="12.5703125" style="60" customWidth="1"/>
    <col min="5949" max="5949" width="16.28515625" style="60" bestFit="1" customWidth="1"/>
    <col min="5950" max="5950" width="12.5703125" style="60" customWidth="1"/>
    <col min="5951" max="5951" width="12" style="60" customWidth="1"/>
    <col min="5952" max="5952" width="12.140625" style="60" customWidth="1"/>
    <col min="5953" max="5953" width="12.7109375" style="60" customWidth="1"/>
    <col min="5954" max="5954" width="16.28515625" style="60" bestFit="1" customWidth="1"/>
    <col min="5955" max="5955" width="12.140625" style="60" customWidth="1"/>
    <col min="5956" max="5956" width="12.28515625" style="60" customWidth="1"/>
    <col min="5957" max="5957" width="12.5703125" style="60" customWidth="1"/>
    <col min="5958" max="5958" width="13" style="60" customWidth="1"/>
    <col min="5959" max="5959" width="16.28515625" style="60" bestFit="1" customWidth="1"/>
    <col min="5960" max="5960" width="13.5703125" style="60" customWidth="1"/>
    <col min="5961" max="5961" width="14.140625" style="60" customWidth="1"/>
    <col min="5962" max="5962" width="14.42578125" style="60" customWidth="1"/>
    <col min="5963" max="5963" width="14.7109375" style="60" customWidth="1"/>
    <col min="5964" max="5964" width="16.28515625" style="60" bestFit="1" customWidth="1"/>
    <col min="5965" max="5999" width="0" style="60" hidden="1" customWidth="1"/>
    <col min="6000" max="6144" width="10.28515625" style="60"/>
    <col min="6145" max="6145" width="60" style="60" customWidth="1"/>
    <col min="6146" max="6174" width="0" style="60" hidden="1" customWidth="1"/>
    <col min="6175" max="6175" width="10" style="60" customWidth="1"/>
    <col min="6176" max="6179" width="0" style="60" hidden="1" customWidth="1"/>
    <col min="6180" max="6180" width="10" style="60" customWidth="1"/>
    <col min="6181" max="6183" width="9.5703125" style="60" customWidth="1"/>
    <col min="6184" max="6184" width="10" style="60" customWidth="1"/>
    <col min="6185" max="6185" width="10" style="60" bestFit="1" customWidth="1"/>
    <col min="6186" max="6188" width="9.5703125" style="60" customWidth="1"/>
    <col min="6189" max="6189" width="10" style="60" customWidth="1"/>
    <col min="6190" max="6190" width="10" style="60" bestFit="1" customWidth="1"/>
    <col min="6191" max="6193" width="8.7109375" style="60" bestFit="1" customWidth="1"/>
    <col min="6194" max="6195" width="10" style="60" bestFit="1" customWidth="1"/>
    <col min="6196" max="6198" width="8.7109375" style="60" bestFit="1" customWidth="1"/>
    <col min="6199" max="6199" width="10" style="60" bestFit="1" customWidth="1"/>
    <col min="6200" max="6200" width="12.85546875" style="60" customWidth="1"/>
    <col min="6201" max="6202" width="10.42578125" style="60" customWidth="1"/>
    <col min="6203" max="6203" width="9.7109375" style="60" customWidth="1"/>
    <col min="6204" max="6204" width="12.5703125" style="60" customWidth="1"/>
    <col min="6205" max="6205" width="16.28515625" style="60" bestFit="1" customWidth="1"/>
    <col min="6206" max="6206" width="12.5703125" style="60" customWidth="1"/>
    <col min="6207" max="6207" width="12" style="60" customWidth="1"/>
    <col min="6208" max="6208" width="12.140625" style="60" customWidth="1"/>
    <col min="6209" max="6209" width="12.7109375" style="60" customWidth="1"/>
    <col min="6210" max="6210" width="16.28515625" style="60" bestFit="1" customWidth="1"/>
    <col min="6211" max="6211" width="12.140625" style="60" customWidth="1"/>
    <col min="6212" max="6212" width="12.28515625" style="60" customWidth="1"/>
    <col min="6213" max="6213" width="12.5703125" style="60" customWidth="1"/>
    <col min="6214" max="6214" width="13" style="60" customWidth="1"/>
    <col min="6215" max="6215" width="16.28515625" style="60" bestFit="1" customWidth="1"/>
    <col min="6216" max="6216" width="13.5703125" style="60" customWidth="1"/>
    <col min="6217" max="6217" width="14.140625" style="60" customWidth="1"/>
    <col min="6218" max="6218" width="14.42578125" style="60" customWidth="1"/>
    <col min="6219" max="6219" width="14.7109375" style="60" customWidth="1"/>
    <col min="6220" max="6220" width="16.28515625" style="60" bestFit="1" customWidth="1"/>
    <col min="6221" max="6255" width="0" style="60" hidden="1" customWidth="1"/>
    <col min="6256" max="6400" width="10.28515625" style="60"/>
    <col min="6401" max="6401" width="60" style="60" customWidth="1"/>
    <col min="6402" max="6430" width="0" style="60" hidden="1" customWidth="1"/>
    <col min="6431" max="6431" width="10" style="60" customWidth="1"/>
    <col min="6432" max="6435" width="0" style="60" hidden="1" customWidth="1"/>
    <col min="6436" max="6436" width="10" style="60" customWidth="1"/>
    <col min="6437" max="6439" width="9.5703125" style="60" customWidth="1"/>
    <col min="6440" max="6440" width="10" style="60" customWidth="1"/>
    <col min="6441" max="6441" width="10" style="60" bestFit="1" customWidth="1"/>
    <col min="6442" max="6444" width="9.5703125" style="60" customWidth="1"/>
    <col min="6445" max="6445" width="10" style="60" customWidth="1"/>
    <col min="6446" max="6446" width="10" style="60" bestFit="1" customWidth="1"/>
    <col min="6447" max="6449" width="8.7109375" style="60" bestFit="1" customWidth="1"/>
    <col min="6450" max="6451" width="10" style="60" bestFit="1" customWidth="1"/>
    <col min="6452" max="6454" width="8.7109375" style="60" bestFit="1" customWidth="1"/>
    <col min="6455" max="6455" width="10" style="60" bestFit="1" customWidth="1"/>
    <col min="6456" max="6456" width="12.85546875" style="60" customWidth="1"/>
    <col min="6457" max="6458" width="10.42578125" style="60" customWidth="1"/>
    <col min="6459" max="6459" width="9.7109375" style="60" customWidth="1"/>
    <col min="6460" max="6460" width="12.5703125" style="60" customWidth="1"/>
    <col min="6461" max="6461" width="16.28515625" style="60" bestFit="1" customWidth="1"/>
    <col min="6462" max="6462" width="12.5703125" style="60" customWidth="1"/>
    <col min="6463" max="6463" width="12" style="60" customWidth="1"/>
    <col min="6464" max="6464" width="12.140625" style="60" customWidth="1"/>
    <col min="6465" max="6465" width="12.7109375" style="60" customWidth="1"/>
    <col min="6466" max="6466" width="16.28515625" style="60" bestFit="1" customWidth="1"/>
    <col min="6467" max="6467" width="12.140625" style="60" customWidth="1"/>
    <col min="6468" max="6468" width="12.28515625" style="60" customWidth="1"/>
    <col min="6469" max="6469" width="12.5703125" style="60" customWidth="1"/>
    <col min="6470" max="6470" width="13" style="60" customWidth="1"/>
    <col min="6471" max="6471" width="16.28515625" style="60" bestFit="1" customWidth="1"/>
    <col min="6472" max="6472" width="13.5703125" style="60" customWidth="1"/>
    <col min="6473" max="6473" width="14.140625" style="60" customWidth="1"/>
    <col min="6474" max="6474" width="14.42578125" style="60" customWidth="1"/>
    <col min="6475" max="6475" width="14.7109375" style="60" customWidth="1"/>
    <col min="6476" max="6476" width="16.28515625" style="60" bestFit="1" customWidth="1"/>
    <col min="6477" max="6511" width="0" style="60" hidden="1" customWidth="1"/>
    <col min="6512" max="6656" width="10.28515625" style="60"/>
    <col min="6657" max="6657" width="60" style="60" customWidth="1"/>
    <col min="6658" max="6686" width="0" style="60" hidden="1" customWidth="1"/>
    <col min="6687" max="6687" width="10" style="60" customWidth="1"/>
    <col min="6688" max="6691" width="0" style="60" hidden="1" customWidth="1"/>
    <col min="6692" max="6692" width="10" style="60" customWidth="1"/>
    <col min="6693" max="6695" width="9.5703125" style="60" customWidth="1"/>
    <col min="6696" max="6696" width="10" style="60" customWidth="1"/>
    <col min="6697" max="6697" width="10" style="60" bestFit="1" customWidth="1"/>
    <col min="6698" max="6700" width="9.5703125" style="60" customWidth="1"/>
    <col min="6701" max="6701" width="10" style="60" customWidth="1"/>
    <col min="6702" max="6702" width="10" style="60" bestFit="1" customWidth="1"/>
    <col min="6703" max="6705" width="8.7109375" style="60" bestFit="1" customWidth="1"/>
    <col min="6706" max="6707" width="10" style="60" bestFit="1" customWidth="1"/>
    <col min="6708" max="6710" width="8.7109375" style="60" bestFit="1" customWidth="1"/>
    <col min="6711" max="6711" width="10" style="60" bestFit="1" customWidth="1"/>
    <col min="6712" max="6712" width="12.85546875" style="60" customWidth="1"/>
    <col min="6713" max="6714" width="10.42578125" style="60" customWidth="1"/>
    <col min="6715" max="6715" width="9.7109375" style="60" customWidth="1"/>
    <col min="6716" max="6716" width="12.5703125" style="60" customWidth="1"/>
    <col min="6717" max="6717" width="16.28515625" style="60" bestFit="1" customWidth="1"/>
    <col min="6718" max="6718" width="12.5703125" style="60" customWidth="1"/>
    <col min="6719" max="6719" width="12" style="60" customWidth="1"/>
    <col min="6720" max="6720" width="12.140625" style="60" customWidth="1"/>
    <col min="6721" max="6721" width="12.7109375" style="60" customWidth="1"/>
    <col min="6722" max="6722" width="16.28515625" style="60" bestFit="1" customWidth="1"/>
    <col min="6723" max="6723" width="12.140625" style="60" customWidth="1"/>
    <col min="6724" max="6724" width="12.28515625" style="60" customWidth="1"/>
    <col min="6725" max="6725" width="12.5703125" style="60" customWidth="1"/>
    <col min="6726" max="6726" width="13" style="60" customWidth="1"/>
    <col min="6727" max="6727" width="16.28515625" style="60" bestFit="1" customWidth="1"/>
    <col min="6728" max="6728" width="13.5703125" style="60" customWidth="1"/>
    <col min="6729" max="6729" width="14.140625" style="60" customWidth="1"/>
    <col min="6730" max="6730" width="14.42578125" style="60" customWidth="1"/>
    <col min="6731" max="6731" width="14.7109375" style="60" customWidth="1"/>
    <col min="6732" max="6732" width="16.28515625" style="60" bestFit="1" customWidth="1"/>
    <col min="6733" max="6767" width="0" style="60" hidden="1" customWidth="1"/>
    <col min="6768" max="6912" width="10.28515625" style="60"/>
    <col min="6913" max="6913" width="60" style="60" customWidth="1"/>
    <col min="6914" max="6942" width="0" style="60" hidden="1" customWidth="1"/>
    <col min="6943" max="6943" width="10" style="60" customWidth="1"/>
    <col min="6944" max="6947" width="0" style="60" hidden="1" customWidth="1"/>
    <col min="6948" max="6948" width="10" style="60" customWidth="1"/>
    <col min="6949" max="6951" width="9.5703125" style="60" customWidth="1"/>
    <col min="6952" max="6952" width="10" style="60" customWidth="1"/>
    <col min="6953" max="6953" width="10" style="60" bestFit="1" customWidth="1"/>
    <col min="6954" max="6956" width="9.5703125" style="60" customWidth="1"/>
    <col min="6957" max="6957" width="10" style="60" customWidth="1"/>
    <col min="6958" max="6958" width="10" style="60" bestFit="1" customWidth="1"/>
    <col min="6959" max="6961" width="8.7109375" style="60" bestFit="1" customWidth="1"/>
    <col min="6962" max="6963" width="10" style="60" bestFit="1" customWidth="1"/>
    <col min="6964" max="6966" width="8.7109375" style="60" bestFit="1" customWidth="1"/>
    <col min="6967" max="6967" width="10" style="60" bestFit="1" customWidth="1"/>
    <col min="6968" max="6968" width="12.85546875" style="60" customWidth="1"/>
    <col min="6969" max="6970" width="10.42578125" style="60" customWidth="1"/>
    <col min="6971" max="6971" width="9.7109375" style="60" customWidth="1"/>
    <col min="6972" max="6972" width="12.5703125" style="60" customWidth="1"/>
    <col min="6973" max="6973" width="16.28515625" style="60" bestFit="1" customWidth="1"/>
    <col min="6974" max="6974" width="12.5703125" style="60" customWidth="1"/>
    <col min="6975" max="6975" width="12" style="60" customWidth="1"/>
    <col min="6976" max="6976" width="12.140625" style="60" customWidth="1"/>
    <col min="6977" max="6977" width="12.7109375" style="60" customWidth="1"/>
    <col min="6978" max="6978" width="16.28515625" style="60" bestFit="1" customWidth="1"/>
    <col min="6979" max="6979" width="12.140625" style="60" customWidth="1"/>
    <col min="6980" max="6980" width="12.28515625" style="60" customWidth="1"/>
    <col min="6981" max="6981" width="12.5703125" style="60" customWidth="1"/>
    <col min="6982" max="6982" width="13" style="60" customWidth="1"/>
    <col min="6983" max="6983" width="16.28515625" style="60" bestFit="1" customWidth="1"/>
    <col min="6984" max="6984" width="13.5703125" style="60" customWidth="1"/>
    <col min="6985" max="6985" width="14.140625" style="60" customWidth="1"/>
    <col min="6986" max="6986" width="14.42578125" style="60" customWidth="1"/>
    <col min="6987" max="6987" width="14.7109375" style="60" customWidth="1"/>
    <col min="6988" max="6988" width="16.28515625" style="60" bestFit="1" customWidth="1"/>
    <col min="6989" max="7023" width="0" style="60" hidden="1" customWidth="1"/>
    <col min="7024" max="7168" width="10.28515625" style="60"/>
    <col min="7169" max="7169" width="60" style="60" customWidth="1"/>
    <col min="7170" max="7198" width="0" style="60" hidden="1" customWidth="1"/>
    <col min="7199" max="7199" width="10" style="60" customWidth="1"/>
    <col min="7200" max="7203" width="0" style="60" hidden="1" customWidth="1"/>
    <col min="7204" max="7204" width="10" style="60" customWidth="1"/>
    <col min="7205" max="7207" width="9.5703125" style="60" customWidth="1"/>
    <col min="7208" max="7208" width="10" style="60" customWidth="1"/>
    <col min="7209" max="7209" width="10" style="60" bestFit="1" customWidth="1"/>
    <col min="7210" max="7212" width="9.5703125" style="60" customWidth="1"/>
    <col min="7213" max="7213" width="10" style="60" customWidth="1"/>
    <col min="7214" max="7214" width="10" style="60" bestFit="1" customWidth="1"/>
    <col min="7215" max="7217" width="8.7109375" style="60" bestFit="1" customWidth="1"/>
    <col min="7218" max="7219" width="10" style="60" bestFit="1" customWidth="1"/>
    <col min="7220" max="7222" width="8.7109375" style="60" bestFit="1" customWidth="1"/>
    <col min="7223" max="7223" width="10" style="60" bestFit="1" customWidth="1"/>
    <col min="7224" max="7224" width="12.85546875" style="60" customWidth="1"/>
    <col min="7225" max="7226" width="10.42578125" style="60" customWidth="1"/>
    <col min="7227" max="7227" width="9.7109375" style="60" customWidth="1"/>
    <col min="7228" max="7228" width="12.5703125" style="60" customWidth="1"/>
    <col min="7229" max="7229" width="16.28515625" style="60" bestFit="1" customWidth="1"/>
    <col min="7230" max="7230" width="12.5703125" style="60" customWidth="1"/>
    <col min="7231" max="7231" width="12" style="60" customWidth="1"/>
    <col min="7232" max="7232" width="12.140625" style="60" customWidth="1"/>
    <col min="7233" max="7233" width="12.7109375" style="60" customWidth="1"/>
    <col min="7234" max="7234" width="16.28515625" style="60" bestFit="1" customWidth="1"/>
    <col min="7235" max="7235" width="12.140625" style="60" customWidth="1"/>
    <col min="7236" max="7236" width="12.28515625" style="60" customWidth="1"/>
    <col min="7237" max="7237" width="12.5703125" style="60" customWidth="1"/>
    <col min="7238" max="7238" width="13" style="60" customWidth="1"/>
    <col min="7239" max="7239" width="16.28515625" style="60" bestFit="1" customWidth="1"/>
    <col min="7240" max="7240" width="13.5703125" style="60" customWidth="1"/>
    <col min="7241" max="7241" width="14.140625" style="60" customWidth="1"/>
    <col min="7242" max="7242" width="14.42578125" style="60" customWidth="1"/>
    <col min="7243" max="7243" width="14.7109375" style="60" customWidth="1"/>
    <col min="7244" max="7244" width="16.28515625" style="60" bestFit="1" customWidth="1"/>
    <col min="7245" max="7279" width="0" style="60" hidden="1" customWidth="1"/>
    <col min="7280" max="7424" width="10.28515625" style="60"/>
    <col min="7425" max="7425" width="60" style="60" customWidth="1"/>
    <col min="7426" max="7454" width="0" style="60" hidden="1" customWidth="1"/>
    <col min="7455" max="7455" width="10" style="60" customWidth="1"/>
    <col min="7456" max="7459" width="0" style="60" hidden="1" customWidth="1"/>
    <col min="7460" max="7460" width="10" style="60" customWidth="1"/>
    <col min="7461" max="7463" width="9.5703125" style="60" customWidth="1"/>
    <col min="7464" max="7464" width="10" style="60" customWidth="1"/>
    <col min="7465" max="7465" width="10" style="60" bestFit="1" customWidth="1"/>
    <col min="7466" max="7468" width="9.5703125" style="60" customWidth="1"/>
    <col min="7469" max="7469" width="10" style="60" customWidth="1"/>
    <col min="7470" max="7470" width="10" style="60" bestFit="1" customWidth="1"/>
    <col min="7471" max="7473" width="8.7109375" style="60" bestFit="1" customWidth="1"/>
    <col min="7474" max="7475" width="10" style="60" bestFit="1" customWidth="1"/>
    <col min="7476" max="7478" width="8.7109375" style="60" bestFit="1" customWidth="1"/>
    <col min="7479" max="7479" width="10" style="60" bestFit="1" customWidth="1"/>
    <col min="7480" max="7480" width="12.85546875" style="60" customWidth="1"/>
    <col min="7481" max="7482" width="10.42578125" style="60" customWidth="1"/>
    <col min="7483" max="7483" width="9.7109375" style="60" customWidth="1"/>
    <col min="7484" max="7484" width="12.5703125" style="60" customWidth="1"/>
    <col min="7485" max="7485" width="16.28515625" style="60" bestFit="1" customWidth="1"/>
    <col min="7486" max="7486" width="12.5703125" style="60" customWidth="1"/>
    <col min="7487" max="7487" width="12" style="60" customWidth="1"/>
    <col min="7488" max="7488" width="12.140625" style="60" customWidth="1"/>
    <col min="7489" max="7489" width="12.7109375" style="60" customWidth="1"/>
    <col min="7490" max="7490" width="16.28515625" style="60" bestFit="1" customWidth="1"/>
    <col min="7491" max="7491" width="12.140625" style="60" customWidth="1"/>
    <col min="7492" max="7492" width="12.28515625" style="60" customWidth="1"/>
    <col min="7493" max="7493" width="12.5703125" style="60" customWidth="1"/>
    <col min="7494" max="7494" width="13" style="60" customWidth="1"/>
    <col min="7495" max="7495" width="16.28515625" style="60" bestFit="1" customWidth="1"/>
    <col min="7496" max="7496" width="13.5703125" style="60" customWidth="1"/>
    <col min="7497" max="7497" width="14.140625" style="60" customWidth="1"/>
    <col min="7498" max="7498" width="14.42578125" style="60" customWidth="1"/>
    <col min="7499" max="7499" width="14.7109375" style="60" customWidth="1"/>
    <col min="7500" max="7500" width="16.28515625" style="60" bestFit="1" customWidth="1"/>
    <col min="7501" max="7535" width="0" style="60" hidden="1" customWidth="1"/>
    <col min="7536" max="7680" width="10.28515625" style="60"/>
    <col min="7681" max="7681" width="60" style="60" customWidth="1"/>
    <col min="7682" max="7710" width="0" style="60" hidden="1" customWidth="1"/>
    <col min="7711" max="7711" width="10" style="60" customWidth="1"/>
    <col min="7712" max="7715" width="0" style="60" hidden="1" customWidth="1"/>
    <col min="7716" max="7716" width="10" style="60" customWidth="1"/>
    <col min="7717" max="7719" width="9.5703125" style="60" customWidth="1"/>
    <col min="7720" max="7720" width="10" style="60" customWidth="1"/>
    <col min="7721" max="7721" width="10" style="60" bestFit="1" customWidth="1"/>
    <col min="7722" max="7724" width="9.5703125" style="60" customWidth="1"/>
    <col min="7725" max="7725" width="10" style="60" customWidth="1"/>
    <col min="7726" max="7726" width="10" style="60" bestFit="1" customWidth="1"/>
    <col min="7727" max="7729" width="8.7109375" style="60" bestFit="1" customWidth="1"/>
    <col min="7730" max="7731" width="10" style="60" bestFit="1" customWidth="1"/>
    <col min="7732" max="7734" width="8.7109375" style="60" bestFit="1" customWidth="1"/>
    <col min="7735" max="7735" width="10" style="60" bestFit="1" customWidth="1"/>
    <col min="7736" max="7736" width="12.85546875" style="60" customWidth="1"/>
    <col min="7737" max="7738" width="10.42578125" style="60" customWidth="1"/>
    <col min="7739" max="7739" width="9.7109375" style="60" customWidth="1"/>
    <col min="7740" max="7740" width="12.5703125" style="60" customWidth="1"/>
    <col min="7741" max="7741" width="16.28515625" style="60" bestFit="1" customWidth="1"/>
    <col min="7742" max="7742" width="12.5703125" style="60" customWidth="1"/>
    <col min="7743" max="7743" width="12" style="60" customWidth="1"/>
    <col min="7744" max="7744" width="12.140625" style="60" customWidth="1"/>
    <col min="7745" max="7745" width="12.7109375" style="60" customWidth="1"/>
    <col min="7746" max="7746" width="16.28515625" style="60" bestFit="1" customWidth="1"/>
    <col min="7747" max="7747" width="12.140625" style="60" customWidth="1"/>
    <col min="7748" max="7748" width="12.28515625" style="60" customWidth="1"/>
    <col min="7749" max="7749" width="12.5703125" style="60" customWidth="1"/>
    <col min="7750" max="7750" width="13" style="60" customWidth="1"/>
    <col min="7751" max="7751" width="16.28515625" style="60" bestFit="1" customWidth="1"/>
    <col min="7752" max="7752" width="13.5703125" style="60" customWidth="1"/>
    <col min="7753" max="7753" width="14.140625" style="60" customWidth="1"/>
    <col min="7754" max="7754" width="14.42578125" style="60" customWidth="1"/>
    <col min="7755" max="7755" width="14.7109375" style="60" customWidth="1"/>
    <col min="7756" max="7756" width="16.28515625" style="60" bestFit="1" customWidth="1"/>
    <col min="7757" max="7791" width="0" style="60" hidden="1" customWidth="1"/>
    <col min="7792" max="7936" width="10.28515625" style="60"/>
    <col min="7937" max="7937" width="60" style="60" customWidth="1"/>
    <col min="7938" max="7966" width="0" style="60" hidden="1" customWidth="1"/>
    <col min="7967" max="7967" width="10" style="60" customWidth="1"/>
    <col min="7968" max="7971" width="0" style="60" hidden="1" customWidth="1"/>
    <col min="7972" max="7972" width="10" style="60" customWidth="1"/>
    <col min="7973" max="7975" width="9.5703125" style="60" customWidth="1"/>
    <col min="7976" max="7976" width="10" style="60" customWidth="1"/>
    <col min="7977" max="7977" width="10" style="60" bestFit="1" customWidth="1"/>
    <col min="7978" max="7980" width="9.5703125" style="60" customWidth="1"/>
    <col min="7981" max="7981" width="10" style="60" customWidth="1"/>
    <col min="7982" max="7982" width="10" style="60" bestFit="1" customWidth="1"/>
    <col min="7983" max="7985" width="8.7109375" style="60" bestFit="1" customWidth="1"/>
    <col min="7986" max="7987" width="10" style="60" bestFit="1" customWidth="1"/>
    <col min="7988" max="7990" width="8.7109375" style="60" bestFit="1" customWidth="1"/>
    <col min="7991" max="7991" width="10" style="60" bestFit="1" customWidth="1"/>
    <col min="7992" max="7992" width="12.85546875" style="60" customWidth="1"/>
    <col min="7993" max="7994" width="10.42578125" style="60" customWidth="1"/>
    <col min="7995" max="7995" width="9.7109375" style="60" customWidth="1"/>
    <col min="7996" max="7996" width="12.5703125" style="60" customWidth="1"/>
    <col min="7997" max="7997" width="16.28515625" style="60" bestFit="1" customWidth="1"/>
    <col min="7998" max="7998" width="12.5703125" style="60" customWidth="1"/>
    <col min="7999" max="7999" width="12" style="60" customWidth="1"/>
    <col min="8000" max="8000" width="12.140625" style="60" customWidth="1"/>
    <col min="8001" max="8001" width="12.7109375" style="60" customWidth="1"/>
    <col min="8002" max="8002" width="16.28515625" style="60" bestFit="1" customWidth="1"/>
    <col min="8003" max="8003" width="12.140625" style="60" customWidth="1"/>
    <col min="8004" max="8004" width="12.28515625" style="60" customWidth="1"/>
    <col min="8005" max="8005" width="12.5703125" style="60" customWidth="1"/>
    <col min="8006" max="8006" width="13" style="60" customWidth="1"/>
    <col min="8007" max="8007" width="16.28515625" style="60" bestFit="1" customWidth="1"/>
    <col min="8008" max="8008" width="13.5703125" style="60" customWidth="1"/>
    <col min="8009" max="8009" width="14.140625" style="60" customWidth="1"/>
    <col min="8010" max="8010" width="14.42578125" style="60" customWidth="1"/>
    <col min="8011" max="8011" width="14.7109375" style="60" customWidth="1"/>
    <col min="8012" max="8012" width="16.28515625" style="60" bestFit="1" customWidth="1"/>
    <col min="8013" max="8047" width="0" style="60" hidden="1" customWidth="1"/>
    <col min="8048" max="8192" width="10.28515625" style="60"/>
    <col min="8193" max="8193" width="60" style="60" customWidth="1"/>
    <col min="8194" max="8222" width="0" style="60" hidden="1" customWidth="1"/>
    <col min="8223" max="8223" width="10" style="60" customWidth="1"/>
    <col min="8224" max="8227" width="0" style="60" hidden="1" customWidth="1"/>
    <col min="8228" max="8228" width="10" style="60" customWidth="1"/>
    <col min="8229" max="8231" width="9.5703125" style="60" customWidth="1"/>
    <col min="8232" max="8232" width="10" style="60" customWidth="1"/>
    <col min="8233" max="8233" width="10" style="60" bestFit="1" customWidth="1"/>
    <col min="8234" max="8236" width="9.5703125" style="60" customWidth="1"/>
    <col min="8237" max="8237" width="10" style="60" customWidth="1"/>
    <col min="8238" max="8238" width="10" style="60" bestFit="1" customWidth="1"/>
    <col min="8239" max="8241" width="8.7109375" style="60" bestFit="1" customWidth="1"/>
    <col min="8242" max="8243" width="10" style="60" bestFit="1" customWidth="1"/>
    <col min="8244" max="8246" width="8.7109375" style="60" bestFit="1" customWidth="1"/>
    <col min="8247" max="8247" width="10" style="60" bestFit="1" customWidth="1"/>
    <col min="8248" max="8248" width="12.85546875" style="60" customWidth="1"/>
    <col min="8249" max="8250" width="10.42578125" style="60" customWidth="1"/>
    <col min="8251" max="8251" width="9.7109375" style="60" customWidth="1"/>
    <col min="8252" max="8252" width="12.5703125" style="60" customWidth="1"/>
    <col min="8253" max="8253" width="16.28515625" style="60" bestFit="1" customWidth="1"/>
    <col min="8254" max="8254" width="12.5703125" style="60" customWidth="1"/>
    <col min="8255" max="8255" width="12" style="60" customWidth="1"/>
    <col min="8256" max="8256" width="12.140625" style="60" customWidth="1"/>
    <col min="8257" max="8257" width="12.7109375" style="60" customWidth="1"/>
    <col min="8258" max="8258" width="16.28515625" style="60" bestFit="1" customWidth="1"/>
    <col min="8259" max="8259" width="12.140625" style="60" customWidth="1"/>
    <col min="8260" max="8260" width="12.28515625" style="60" customWidth="1"/>
    <col min="8261" max="8261" width="12.5703125" style="60" customWidth="1"/>
    <col min="8262" max="8262" width="13" style="60" customWidth="1"/>
    <col min="8263" max="8263" width="16.28515625" style="60" bestFit="1" customWidth="1"/>
    <col min="8264" max="8264" width="13.5703125" style="60" customWidth="1"/>
    <col min="8265" max="8265" width="14.140625" style="60" customWidth="1"/>
    <col min="8266" max="8266" width="14.42578125" style="60" customWidth="1"/>
    <col min="8267" max="8267" width="14.7109375" style="60" customWidth="1"/>
    <col min="8268" max="8268" width="16.28515625" style="60" bestFit="1" customWidth="1"/>
    <col min="8269" max="8303" width="0" style="60" hidden="1" customWidth="1"/>
    <col min="8304" max="8448" width="10.28515625" style="60"/>
    <col min="8449" max="8449" width="60" style="60" customWidth="1"/>
    <col min="8450" max="8478" width="0" style="60" hidden="1" customWidth="1"/>
    <col min="8479" max="8479" width="10" style="60" customWidth="1"/>
    <col min="8480" max="8483" width="0" style="60" hidden="1" customWidth="1"/>
    <col min="8484" max="8484" width="10" style="60" customWidth="1"/>
    <col min="8485" max="8487" width="9.5703125" style="60" customWidth="1"/>
    <col min="8488" max="8488" width="10" style="60" customWidth="1"/>
    <col min="8489" max="8489" width="10" style="60" bestFit="1" customWidth="1"/>
    <col min="8490" max="8492" width="9.5703125" style="60" customWidth="1"/>
    <col min="8493" max="8493" width="10" style="60" customWidth="1"/>
    <col min="8494" max="8494" width="10" style="60" bestFit="1" customWidth="1"/>
    <col min="8495" max="8497" width="8.7109375" style="60" bestFit="1" customWidth="1"/>
    <col min="8498" max="8499" width="10" style="60" bestFit="1" customWidth="1"/>
    <col min="8500" max="8502" width="8.7109375" style="60" bestFit="1" customWidth="1"/>
    <col min="8503" max="8503" width="10" style="60" bestFit="1" customWidth="1"/>
    <col min="8504" max="8504" width="12.85546875" style="60" customWidth="1"/>
    <col min="8505" max="8506" width="10.42578125" style="60" customWidth="1"/>
    <col min="8507" max="8507" width="9.7109375" style="60" customWidth="1"/>
    <col min="8508" max="8508" width="12.5703125" style="60" customWidth="1"/>
    <col min="8509" max="8509" width="16.28515625" style="60" bestFit="1" customWidth="1"/>
    <col min="8510" max="8510" width="12.5703125" style="60" customWidth="1"/>
    <col min="8511" max="8511" width="12" style="60" customWidth="1"/>
    <col min="8512" max="8512" width="12.140625" style="60" customWidth="1"/>
    <col min="8513" max="8513" width="12.7109375" style="60" customWidth="1"/>
    <col min="8514" max="8514" width="16.28515625" style="60" bestFit="1" customWidth="1"/>
    <col min="8515" max="8515" width="12.140625" style="60" customWidth="1"/>
    <col min="8516" max="8516" width="12.28515625" style="60" customWidth="1"/>
    <col min="8517" max="8517" width="12.5703125" style="60" customWidth="1"/>
    <col min="8518" max="8518" width="13" style="60" customWidth="1"/>
    <col min="8519" max="8519" width="16.28515625" style="60" bestFit="1" customWidth="1"/>
    <col min="8520" max="8520" width="13.5703125" style="60" customWidth="1"/>
    <col min="8521" max="8521" width="14.140625" style="60" customWidth="1"/>
    <col min="8522" max="8522" width="14.42578125" style="60" customWidth="1"/>
    <col min="8523" max="8523" width="14.7109375" style="60" customWidth="1"/>
    <col min="8524" max="8524" width="16.28515625" style="60" bestFit="1" customWidth="1"/>
    <col min="8525" max="8559" width="0" style="60" hidden="1" customWidth="1"/>
    <col min="8560" max="8704" width="10.28515625" style="60"/>
    <col min="8705" max="8705" width="60" style="60" customWidth="1"/>
    <col min="8706" max="8734" width="0" style="60" hidden="1" customWidth="1"/>
    <col min="8735" max="8735" width="10" style="60" customWidth="1"/>
    <col min="8736" max="8739" width="0" style="60" hidden="1" customWidth="1"/>
    <col min="8740" max="8740" width="10" style="60" customWidth="1"/>
    <col min="8741" max="8743" width="9.5703125" style="60" customWidth="1"/>
    <col min="8744" max="8744" width="10" style="60" customWidth="1"/>
    <col min="8745" max="8745" width="10" style="60" bestFit="1" customWidth="1"/>
    <col min="8746" max="8748" width="9.5703125" style="60" customWidth="1"/>
    <col min="8749" max="8749" width="10" style="60" customWidth="1"/>
    <col min="8750" max="8750" width="10" style="60" bestFit="1" customWidth="1"/>
    <col min="8751" max="8753" width="8.7109375" style="60" bestFit="1" customWidth="1"/>
    <col min="8754" max="8755" width="10" style="60" bestFit="1" customWidth="1"/>
    <col min="8756" max="8758" width="8.7109375" style="60" bestFit="1" customWidth="1"/>
    <col min="8759" max="8759" width="10" style="60" bestFit="1" customWidth="1"/>
    <col min="8760" max="8760" width="12.85546875" style="60" customWidth="1"/>
    <col min="8761" max="8762" width="10.42578125" style="60" customWidth="1"/>
    <col min="8763" max="8763" width="9.7109375" style="60" customWidth="1"/>
    <col min="8764" max="8764" width="12.5703125" style="60" customWidth="1"/>
    <col min="8765" max="8765" width="16.28515625" style="60" bestFit="1" customWidth="1"/>
    <col min="8766" max="8766" width="12.5703125" style="60" customWidth="1"/>
    <col min="8767" max="8767" width="12" style="60" customWidth="1"/>
    <col min="8768" max="8768" width="12.140625" style="60" customWidth="1"/>
    <col min="8769" max="8769" width="12.7109375" style="60" customWidth="1"/>
    <col min="8770" max="8770" width="16.28515625" style="60" bestFit="1" customWidth="1"/>
    <col min="8771" max="8771" width="12.140625" style="60" customWidth="1"/>
    <col min="8772" max="8772" width="12.28515625" style="60" customWidth="1"/>
    <col min="8773" max="8773" width="12.5703125" style="60" customWidth="1"/>
    <col min="8774" max="8774" width="13" style="60" customWidth="1"/>
    <col min="8775" max="8775" width="16.28515625" style="60" bestFit="1" customWidth="1"/>
    <col min="8776" max="8776" width="13.5703125" style="60" customWidth="1"/>
    <col min="8777" max="8777" width="14.140625" style="60" customWidth="1"/>
    <col min="8778" max="8778" width="14.42578125" style="60" customWidth="1"/>
    <col min="8779" max="8779" width="14.7109375" style="60" customWidth="1"/>
    <col min="8780" max="8780" width="16.28515625" style="60" bestFit="1" customWidth="1"/>
    <col min="8781" max="8815" width="0" style="60" hidden="1" customWidth="1"/>
    <col min="8816" max="8960" width="10.28515625" style="60"/>
    <col min="8961" max="8961" width="60" style="60" customWidth="1"/>
    <col min="8962" max="8990" width="0" style="60" hidden="1" customWidth="1"/>
    <col min="8991" max="8991" width="10" style="60" customWidth="1"/>
    <col min="8992" max="8995" width="0" style="60" hidden="1" customWidth="1"/>
    <col min="8996" max="8996" width="10" style="60" customWidth="1"/>
    <col min="8997" max="8999" width="9.5703125" style="60" customWidth="1"/>
    <col min="9000" max="9000" width="10" style="60" customWidth="1"/>
    <col min="9001" max="9001" width="10" style="60" bestFit="1" customWidth="1"/>
    <col min="9002" max="9004" width="9.5703125" style="60" customWidth="1"/>
    <col min="9005" max="9005" width="10" style="60" customWidth="1"/>
    <col min="9006" max="9006" width="10" style="60" bestFit="1" customWidth="1"/>
    <col min="9007" max="9009" width="8.7109375" style="60" bestFit="1" customWidth="1"/>
    <col min="9010" max="9011" width="10" style="60" bestFit="1" customWidth="1"/>
    <col min="9012" max="9014" width="8.7109375" style="60" bestFit="1" customWidth="1"/>
    <col min="9015" max="9015" width="10" style="60" bestFit="1" customWidth="1"/>
    <col min="9016" max="9016" width="12.85546875" style="60" customWidth="1"/>
    <col min="9017" max="9018" width="10.42578125" style="60" customWidth="1"/>
    <col min="9019" max="9019" width="9.7109375" style="60" customWidth="1"/>
    <col min="9020" max="9020" width="12.5703125" style="60" customWidth="1"/>
    <col min="9021" max="9021" width="16.28515625" style="60" bestFit="1" customWidth="1"/>
    <col min="9022" max="9022" width="12.5703125" style="60" customWidth="1"/>
    <col min="9023" max="9023" width="12" style="60" customWidth="1"/>
    <col min="9024" max="9024" width="12.140625" style="60" customWidth="1"/>
    <col min="9025" max="9025" width="12.7109375" style="60" customWidth="1"/>
    <col min="9026" max="9026" width="16.28515625" style="60" bestFit="1" customWidth="1"/>
    <col min="9027" max="9027" width="12.140625" style="60" customWidth="1"/>
    <col min="9028" max="9028" width="12.28515625" style="60" customWidth="1"/>
    <col min="9029" max="9029" width="12.5703125" style="60" customWidth="1"/>
    <col min="9030" max="9030" width="13" style="60" customWidth="1"/>
    <col min="9031" max="9031" width="16.28515625" style="60" bestFit="1" customWidth="1"/>
    <col min="9032" max="9032" width="13.5703125" style="60" customWidth="1"/>
    <col min="9033" max="9033" width="14.140625" style="60" customWidth="1"/>
    <col min="9034" max="9034" width="14.42578125" style="60" customWidth="1"/>
    <col min="9035" max="9035" width="14.7109375" style="60" customWidth="1"/>
    <col min="9036" max="9036" width="16.28515625" style="60" bestFit="1" customWidth="1"/>
    <col min="9037" max="9071" width="0" style="60" hidden="1" customWidth="1"/>
    <col min="9072" max="9216" width="10.28515625" style="60"/>
    <col min="9217" max="9217" width="60" style="60" customWidth="1"/>
    <col min="9218" max="9246" width="0" style="60" hidden="1" customWidth="1"/>
    <col min="9247" max="9247" width="10" style="60" customWidth="1"/>
    <col min="9248" max="9251" width="0" style="60" hidden="1" customWidth="1"/>
    <col min="9252" max="9252" width="10" style="60" customWidth="1"/>
    <col min="9253" max="9255" width="9.5703125" style="60" customWidth="1"/>
    <col min="9256" max="9256" width="10" style="60" customWidth="1"/>
    <col min="9257" max="9257" width="10" style="60" bestFit="1" customWidth="1"/>
    <col min="9258" max="9260" width="9.5703125" style="60" customWidth="1"/>
    <col min="9261" max="9261" width="10" style="60" customWidth="1"/>
    <col min="9262" max="9262" width="10" style="60" bestFit="1" customWidth="1"/>
    <col min="9263" max="9265" width="8.7109375" style="60" bestFit="1" customWidth="1"/>
    <col min="9266" max="9267" width="10" style="60" bestFit="1" customWidth="1"/>
    <col min="9268" max="9270" width="8.7109375" style="60" bestFit="1" customWidth="1"/>
    <col min="9271" max="9271" width="10" style="60" bestFit="1" customWidth="1"/>
    <col min="9272" max="9272" width="12.85546875" style="60" customWidth="1"/>
    <col min="9273" max="9274" width="10.42578125" style="60" customWidth="1"/>
    <col min="9275" max="9275" width="9.7109375" style="60" customWidth="1"/>
    <col min="9276" max="9276" width="12.5703125" style="60" customWidth="1"/>
    <col min="9277" max="9277" width="16.28515625" style="60" bestFit="1" customWidth="1"/>
    <col min="9278" max="9278" width="12.5703125" style="60" customWidth="1"/>
    <col min="9279" max="9279" width="12" style="60" customWidth="1"/>
    <col min="9280" max="9280" width="12.140625" style="60" customWidth="1"/>
    <col min="9281" max="9281" width="12.7109375" style="60" customWidth="1"/>
    <col min="9282" max="9282" width="16.28515625" style="60" bestFit="1" customWidth="1"/>
    <col min="9283" max="9283" width="12.140625" style="60" customWidth="1"/>
    <col min="9284" max="9284" width="12.28515625" style="60" customWidth="1"/>
    <col min="9285" max="9285" width="12.5703125" style="60" customWidth="1"/>
    <col min="9286" max="9286" width="13" style="60" customWidth="1"/>
    <col min="9287" max="9287" width="16.28515625" style="60" bestFit="1" customWidth="1"/>
    <col min="9288" max="9288" width="13.5703125" style="60" customWidth="1"/>
    <col min="9289" max="9289" width="14.140625" style="60" customWidth="1"/>
    <col min="9290" max="9290" width="14.42578125" style="60" customWidth="1"/>
    <col min="9291" max="9291" width="14.7109375" style="60" customWidth="1"/>
    <col min="9292" max="9292" width="16.28515625" style="60" bestFit="1" customWidth="1"/>
    <col min="9293" max="9327" width="0" style="60" hidden="1" customWidth="1"/>
    <col min="9328" max="9472" width="10.28515625" style="60"/>
    <col min="9473" max="9473" width="60" style="60" customWidth="1"/>
    <col min="9474" max="9502" width="0" style="60" hidden="1" customWidth="1"/>
    <col min="9503" max="9503" width="10" style="60" customWidth="1"/>
    <col min="9504" max="9507" width="0" style="60" hidden="1" customWidth="1"/>
    <col min="9508" max="9508" width="10" style="60" customWidth="1"/>
    <col min="9509" max="9511" width="9.5703125" style="60" customWidth="1"/>
    <col min="9512" max="9512" width="10" style="60" customWidth="1"/>
    <col min="9513" max="9513" width="10" style="60" bestFit="1" customWidth="1"/>
    <col min="9514" max="9516" width="9.5703125" style="60" customWidth="1"/>
    <col min="9517" max="9517" width="10" style="60" customWidth="1"/>
    <col min="9518" max="9518" width="10" style="60" bestFit="1" customWidth="1"/>
    <col min="9519" max="9521" width="8.7109375" style="60" bestFit="1" customWidth="1"/>
    <col min="9522" max="9523" width="10" style="60" bestFit="1" customWidth="1"/>
    <col min="9524" max="9526" width="8.7109375" style="60" bestFit="1" customWidth="1"/>
    <col min="9527" max="9527" width="10" style="60" bestFit="1" customWidth="1"/>
    <col min="9528" max="9528" width="12.85546875" style="60" customWidth="1"/>
    <col min="9529" max="9530" width="10.42578125" style="60" customWidth="1"/>
    <col min="9531" max="9531" width="9.7109375" style="60" customWidth="1"/>
    <col min="9532" max="9532" width="12.5703125" style="60" customWidth="1"/>
    <col min="9533" max="9533" width="16.28515625" style="60" bestFit="1" customWidth="1"/>
    <col min="9534" max="9534" width="12.5703125" style="60" customWidth="1"/>
    <col min="9535" max="9535" width="12" style="60" customWidth="1"/>
    <col min="9536" max="9536" width="12.140625" style="60" customWidth="1"/>
    <col min="9537" max="9537" width="12.7109375" style="60" customWidth="1"/>
    <col min="9538" max="9538" width="16.28515625" style="60" bestFit="1" customWidth="1"/>
    <col min="9539" max="9539" width="12.140625" style="60" customWidth="1"/>
    <col min="9540" max="9540" width="12.28515625" style="60" customWidth="1"/>
    <col min="9541" max="9541" width="12.5703125" style="60" customWidth="1"/>
    <col min="9542" max="9542" width="13" style="60" customWidth="1"/>
    <col min="9543" max="9543" width="16.28515625" style="60" bestFit="1" customWidth="1"/>
    <col min="9544" max="9544" width="13.5703125" style="60" customWidth="1"/>
    <col min="9545" max="9545" width="14.140625" style="60" customWidth="1"/>
    <col min="9546" max="9546" width="14.42578125" style="60" customWidth="1"/>
    <col min="9547" max="9547" width="14.7109375" style="60" customWidth="1"/>
    <col min="9548" max="9548" width="16.28515625" style="60" bestFit="1" customWidth="1"/>
    <col min="9549" max="9583" width="0" style="60" hidden="1" customWidth="1"/>
    <col min="9584" max="9728" width="10.28515625" style="60"/>
    <col min="9729" max="9729" width="60" style="60" customWidth="1"/>
    <col min="9730" max="9758" width="0" style="60" hidden="1" customWidth="1"/>
    <col min="9759" max="9759" width="10" style="60" customWidth="1"/>
    <col min="9760" max="9763" width="0" style="60" hidden="1" customWidth="1"/>
    <col min="9764" max="9764" width="10" style="60" customWidth="1"/>
    <col min="9765" max="9767" width="9.5703125" style="60" customWidth="1"/>
    <col min="9768" max="9768" width="10" style="60" customWidth="1"/>
    <col min="9769" max="9769" width="10" style="60" bestFit="1" customWidth="1"/>
    <col min="9770" max="9772" width="9.5703125" style="60" customWidth="1"/>
    <col min="9773" max="9773" width="10" style="60" customWidth="1"/>
    <col min="9774" max="9774" width="10" style="60" bestFit="1" customWidth="1"/>
    <col min="9775" max="9777" width="8.7109375" style="60" bestFit="1" customWidth="1"/>
    <col min="9778" max="9779" width="10" style="60" bestFit="1" customWidth="1"/>
    <col min="9780" max="9782" width="8.7109375" style="60" bestFit="1" customWidth="1"/>
    <col min="9783" max="9783" width="10" style="60" bestFit="1" customWidth="1"/>
    <col min="9784" max="9784" width="12.85546875" style="60" customWidth="1"/>
    <col min="9785" max="9786" width="10.42578125" style="60" customWidth="1"/>
    <col min="9787" max="9787" width="9.7109375" style="60" customWidth="1"/>
    <col min="9788" max="9788" width="12.5703125" style="60" customWidth="1"/>
    <col min="9789" max="9789" width="16.28515625" style="60" bestFit="1" customWidth="1"/>
    <col min="9790" max="9790" width="12.5703125" style="60" customWidth="1"/>
    <col min="9791" max="9791" width="12" style="60" customWidth="1"/>
    <col min="9792" max="9792" width="12.140625" style="60" customWidth="1"/>
    <col min="9793" max="9793" width="12.7109375" style="60" customWidth="1"/>
    <col min="9794" max="9794" width="16.28515625" style="60" bestFit="1" customWidth="1"/>
    <col min="9795" max="9795" width="12.140625" style="60" customWidth="1"/>
    <col min="9796" max="9796" width="12.28515625" style="60" customWidth="1"/>
    <col min="9797" max="9797" width="12.5703125" style="60" customWidth="1"/>
    <col min="9798" max="9798" width="13" style="60" customWidth="1"/>
    <col min="9799" max="9799" width="16.28515625" style="60" bestFit="1" customWidth="1"/>
    <col min="9800" max="9800" width="13.5703125" style="60" customWidth="1"/>
    <col min="9801" max="9801" width="14.140625" style="60" customWidth="1"/>
    <col min="9802" max="9802" width="14.42578125" style="60" customWidth="1"/>
    <col min="9803" max="9803" width="14.7109375" style="60" customWidth="1"/>
    <col min="9804" max="9804" width="16.28515625" style="60" bestFit="1" customWidth="1"/>
    <col min="9805" max="9839" width="0" style="60" hidden="1" customWidth="1"/>
    <col min="9840" max="9984" width="10.28515625" style="60"/>
    <col min="9985" max="9985" width="60" style="60" customWidth="1"/>
    <col min="9986" max="10014" width="0" style="60" hidden="1" customWidth="1"/>
    <col min="10015" max="10015" width="10" style="60" customWidth="1"/>
    <col min="10016" max="10019" width="0" style="60" hidden="1" customWidth="1"/>
    <col min="10020" max="10020" width="10" style="60" customWidth="1"/>
    <col min="10021" max="10023" width="9.5703125" style="60" customWidth="1"/>
    <col min="10024" max="10024" width="10" style="60" customWidth="1"/>
    <col min="10025" max="10025" width="10" style="60" bestFit="1" customWidth="1"/>
    <col min="10026" max="10028" width="9.5703125" style="60" customWidth="1"/>
    <col min="10029" max="10029" width="10" style="60" customWidth="1"/>
    <col min="10030" max="10030" width="10" style="60" bestFit="1" customWidth="1"/>
    <col min="10031" max="10033" width="8.7109375" style="60" bestFit="1" customWidth="1"/>
    <col min="10034" max="10035" width="10" style="60" bestFit="1" customWidth="1"/>
    <col min="10036" max="10038" width="8.7109375" style="60" bestFit="1" customWidth="1"/>
    <col min="10039" max="10039" width="10" style="60" bestFit="1" customWidth="1"/>
    <col min="10040" max="10040" width="12.85546875" style="60" customWidth="1"/>
    <col min="10041" max="10042" width="10.42578125" style="60" customWidth="1"/>
    <col min="10043" max="10043" width="9.7109375" style="60" customWidth="1"/>
    <col min="10044" max="10044" width="12.5703125" style="60" customWidth="1"/>
    <col min="10045" max="10045" width="16.28515625" style="60" bestFit="1" customWidth="1"/>
    <col min="10046" max="10046" width="12.5703125" style="60" customWidth="1"/>
    <col min="10047" max="10047" width="12" style="60" customWidth="1"/>
    <col min="10048" max="10048" width="12.140625" style="60" customWidth="1"/>
    <col min="10049" max="10049" width="12.7109375" style="60" customWidth="1"/>
    <col min="10050" max="10050" width="16.28515625" style="60" bestFit="1" customWidth="1"/>
    <col min="10051" max="10051" width="12.140625" style="60" customWidth="1"/>
    <col min="10052" max="10052" width="12.28515625" style="60" customWidth="1"/>
    <col min="10053" max="10053" width="12.5703125" style="60" customWidth="1"/>
    <col min="10054" max="10054" width="13" style="60" customWidth="1"/>
    <col min="10055" max="10055" width="16.28515625" style="60" bestFit="1" customWidth="1"/>
    <col min="10056" max="10056" width="13.5703125" style="60" customWidth="1"/>
    <col min="10057" max="10057" width="14.140625" style="60" customWidth="1"/>
    <col min="10058" max="10058" width="14.42578125" style="60" customWidth="1"/>
    <col min="10059" max="10059" width="14.7109375" style="60" customWidth="1"/>
    <col min="10060" max="10060" width="16.28515625" style="60" bestFit="1" customWidth="1"/>
    <col min="10061" max="10095" width="0" style="60" hidden="1" customWidth="1"/>
    <col min="10096" max="10240" width="10.28515625" style="60"/>
    <col min="10241" max="10241" width="60" style="60" customWidth="1"/>
    <col min="10242" max="10270" width="0" style="60" hidden="1" customWidth="1"/>
    <col min="10271" max="10271" width="10" style="60" customWidth="1"/>
    <col min="10272" max="10275" width="0" style="60" hidden="1" customWidth="1"/>
    <col min="10276" max="10276" width="10" style="60" customWidth="1"/>
    <col min="10277" max="10279" width="9.5703125" style="60" customWidth="1"/>
    <col min="10280" max="10280" width="10" style="60" customWidth="1"/>
    <col min="10281" max="10281" width="10" style="60" bestFit="1" customWidth="1"/>
    <col min="10282" max="10284" width="9.5703125" style="60" customWidth="1"/>
    <col min="10285" max="10285" width="10" style="60" customWidth="1"/>
    <col min="10286" max="10286" width="10" style="60" bestFit="1" customWidth="1"/>
    <col min="10287" max="10289" width="8.7109375" style="60" bestFit="1" customWidth="1"/>
    <col min="10290" max="10291" width="10" style="60" bestFit="1" customWidth="1"/>
    <col min="10292" max="10294" width="8.7109375" style="60" bestFit="1" customWidth="1"/>
    <col min="10295" max="10295" width="10" style="60" bestFit="1" customWidth="1"/>
    <col min="10296" max="10296" width="12.85546875" style="60" customWidth="1"/>
    <col min="10297" max="10298" width="10.42578125" style="60" customWidth="1"/>
    <col min="10299" max="10299" width="9.7109375" style="60" customWidth="1"/>
    <col min="10300" max="10300" width="12.5703125" style="60" customWidth="1"/>
    <col min="10301" max="10301" width="16.28515625" style="60" bestFit="1" customWidth="1"/>
    <col min="10302" max="10302" width="12.5703125" style="60" customWidth="1"/>
    <col min="10303" max="10303" width="12" style="60" customWidth="1"/>
    <col min="10304" max="10304" width="12.140625" style="60" customWidth="1"/>
    <col min="10305" max="10305" width="12.7109375" style="60" customWidth="1"/>
    <col min="10306" max="10306" width="16.28515625" style="60" bestFit="1" customWidth="1"/>
    <col min="10307" max="10307" width="12.140625" style="60" customWidth="1"/>
    <col min="10308" max="10308" width="12.28515625" style="60" customWidth="1"/>
    <col min="10309" max="10309" width="12.5703125" style="60" customWidth="1"/>
    <col min="10310" max="10310" width="13" style="60" customWidth="1"/>
    <col min="10311" max="10311" width="16.28515625" style="60" bestFit="1" customWidth="1"/>
    <col min="10312" max="10312" width="13.5703125" style="60" customWidth="1"/>
    <col min="10313" max="10313" width="14.140625" style="60" customWidth="1"/>
    <col min="10314" max="10314" width="14.42578125" style="60" customWidth="1"/>
    <col min="10315" max="10315" width="14.7109375" style="60" customWidth="1"/>
    <col min="10316" max="10316" width="16.28515625" style="60" bestFit="1" customWidth="1"/>
    <col min="10317" max="10351" width="0" style="60" hidden="1" customWidth="1"/>
    <col min="10352" max="10496" width="10.28515625" style="60"/>
    <col min="10497" max="10497" width="60" style="60" customWidth="1"/>
    <col min="10498" max="10526" width="0" style="60" hidden="1" customWidth="1"/>
    <col min="10527" max="10527" width="10" style="60" customWidth="1"/>
    <col min="10528" max="10531" width="0" style="60" hidden="1" customWidth="1"/>
    <col min="10532" max="10532" width="10" style="60" customWidth="1"/>
    <col min="10533" max="10535" width="9.5703125" style="60" customWidth="1"/>
    <col min="10536" max="10536" width="10" style="60" customWidth="1"/>
    <col min="10537" max="10537" width="10" style="60" bestFit="1" customWidth="1"/>
    <col min="10538" max="10540" width="9.5703125" style="60" customWidth="1"/>
    <col min="10541" max="10541" width="10" style="60" customWidth="1"/>
    <col min="10542" max="10542" width="10" style="60" bestFit="1" customWidth="1"/>
    <col min="10543" max="10545" width="8.7109375" style="60" bestFit="1" customWidth="1"/>
    <col min="10546" max="10547" width="10" style="60" bestFit="1" customWidth="1"/>
    <col min="10548" max="10550" width="8.7109375" style="60" bestFit="1" customWidth="1"/>
    <col min="10551" max="10551" width="10" style="60" bestFit="1" customWidth="1"/>
    <col min="10552" max="10552" width="12.85546875" style="60" customWidth="1"/>
    <col min="10553" max="10554" width="10.42578125" style="60" customWidth="1"/>
    <col min="10555" max="10555" width="9.7109375" style="60" customWidth="1"/>
    <col min="10556" max="10556" width="12.5703125" style="60" customWidth="1"/>
    <col min="10557" max="10557" width="16.28515625" style="60" bestFit="1" customWidth="1"/>
    <col min="10558" max="10558" width="12.5703125" style="60" customWidth="1"/>
    <col min="10559" max="10559" width="12" style="60" customWidth="1"/>
    <col min="10560" max="10560" width="12.140625" style="60" customWidth="1"/>
    <col min="10561" max="10561" width="12.7109375" style="60" customWidth="1"/>
    <col min="10562" max="10562" width="16.28515625" style="60" bestFit="1" customWidth="1"/>
    <col min="10563" max="10563" width="12.140625" style="60" customWidth="1"/>
    <col min="10564" max="10564" width="12.28515625" style="60" customWidth="1"/>
    <col min="10565" max="10565" width="12.5703125" style="60" customWidth="1"/>
    <col min="10566" max="10566" width="13" style="60" customWidth="1"/>
    <col min="10567" max="10567" width="16.28515625" style="60" bestFit="1" customWidth="1"/>
    <col min="10568" max="10568" width="13.5703125" style="60" customWidth="1"/>
    <col min="10569" max="10569" width="14.140625" style="60" customWidth="1"/>
    <col min="10570" max="10570" width="14.42578125" style="60" customWidth="1"/>
    <col min="10571" max="10571" width="14.7109375" style="60" customWidth="1"/>
    <col min="10572" max="10572" width="16.28515625" style="60" bestFit="1" customWidth="1"/>
    <col min="10573" max="10607" width="0" style="60" hidden="1" customWidth="1"/>
    <col min="10608" max="10752" width="10.28515625" style="60"/>
    <col min="10753" max="10753" width="60" style="60" customWidth="1"/>
    <col min="10754" max="10782" width="0" style="60" hidden="1" customWidth="1"/>
    <col min="10783" max="10783" width="10" style="60" customWidth="1"/>
    <col min="10784" max="10787" width="0" style="60" hidden="1" customWidth="1"/>
    <col min="10788" max="10788" width="10" style="60" customWidth="1"/>
    <col min="10789" max="10791" width="9.5703125" style="60" customWidth="1"/>
    <col min="10792" max="10792" width="10" style="60" customWidth="1"/>
    <col min="10793" max="10793" width="10" style="60" bestFit="1" customWidth="1"/>
    <col min="10794" max="10796" width="9.5703125" style="60" customWidth="1"/>
    <col min="10797" max="10797" width="10" style="60" customWidth="1"/>
    <col min="10798" max="10798" width="10" style="60" bestFit="1" customWidth="1"/>
    <col min="10799" max="10801" width="8.7109375" style="60" bestFit="1" customWidth="1"/>
    <col min="10802" max="10803" width="10" style="60" bestFit="1" customWidth="1"/>
    <col min="10804" max="10806" width="8.7109375" style="60" bestFit="1" customWidth="1"/>
    <col min="10807" max="10807" width="10" style="60" bestFit="1" customWidth="1"/>
    <col min="10808" max="10808" width="12.85546875" style="60" customWidth="1"/>
    <col min="10809" max="10810" width="10.42578125" style="60" customWidth="1"/>
    <col min="10811" max="10811" width="9.7109375" style="60" customWidth="1"/>
    <col min="10812" max="10812" width="12.5703125" style="60" customWidth="1"/>
    <col min="10813" max="10813" width="16.28515625" style="60" bestFit="1" customWidth="1"/>
    <col min="10814" max="10814" width="12.5703125" style="60" customWidth="1"/>
    <col min="10815" max="10815" width="12" style="60" customWidth="1"/>
    <col min="10816" max="10816" width="12.140625" style="60" customWidth="1"/>
    <col min="10817" max="10817" width="12.7109375" style="60" customWidth="1"/>
    <col min="10818" max="10818" width="16.28515625" style="60" bestFit="1" customWidth="1"/>
    <col min="10819" max="10819" width="12.140625" style="60" customWidth="1"/>
    <col min="10820" max="10820" width="12.28515625" style="60" customWidth="1"/>
    <col min="10821" max="10821" width="12.5703125" style="60" customWidth="1"/>
    <col min="10822" max="10822" width="13" style="60" customWidth="1"/>
    <col min="10823" max="10823" width="16.28515625" style="60" bestFit="1" customWidth="1"/>
    <col min="10824" max="10824" width="13.5703125" style="60" customWidth="1"/>
    <col min="10825" max="10825" width="14.140625" style="60" customWidth="1"/>
    <col min="10826" max="10826" width="14.42578125" style="60" customWidth="1"/>
    <col min="10827" max="10827" width="14.7109375" style="60" customWidth="1"/>
    <col min="10828" max="10828" width="16.28515625" style="60" bestFit="1" customWidth="1"/>
    <col min="10829" max="10863" width="0" style="60" hidden="1" customWidth="1"/>
    <col min="10864" max="11008" width="10.28515625" style="60"/>
    <col min="11009" max="11009" width="60" style="60" customWidth="1"/>
    <col min="11010" max="11038" width="0" style="60" hidden="1" customWidth="1"/>
    <col min="11039" max="11039" width="10" style="60" customWidth="1"/>
    <col min="11040" max="11043" width="0" style="60" hidden="1" customWidth="1"/>
    <col min="11044" max="11044" width="10" style="60" customWidth="1"/>
    <col min="11045" max="11047" width="9.5703125" style="60" customWidth="1"/>
    <col min="11048" max="11048" width="10" style="60" customWidth="1"/>
    <col min="11049" max="11049" width="10" style="60" bestFit="1" customWidth="1"/>
    <col min="11050" max="11052" width="9.5703125" style="60" customWidth="1"/>
    <col min="11053" max="11053" width="10" style="60" customWidth="1"/>
    <col min="11054" max="11054" width="10" style="60" bestFit="1" customWidth="1"/>
    <col min="11055" max="11057" width="8.7109375" style="60" bestFit="1" customWidth="1"/>
    <col min="11058" max="11059" width="10" style="60" bestFit="1" customWidth="1"/>
    <col min="11060" max="11062" width="8.7109375" style="60" bestFit="1" customWidth="1"/>
    <col min="11063" max="11063" width="10" style="60" bestFit="1" customWidth="1"/>
    <col min="11064" max="11064" width="12.85546875" style="60" customWidth="1"/>
    <col min="11065" max="11066" width="10.42578125" style="60" customWidth="1"/>
    <col min="11067" max="11067" width="9.7109375" style="60" customWidth="1"/>
    <col min="11068" max="11068" width="12.5703125" style="60" customWidth="1"/>
    <col min="11069" max="11069" width="16.28515625" style="60" bestFit="1" customWidth="1"/>
    <col min="11070" max="11070" width="12.5703125" style="60" customWidth="1"/>
    <col min="11071" max="11071" width="12" style="60" customWidth="1"/>
    <col min="11072" max="11072" width="12.140625" style="60" customWidth="1"/>
    <col min="11073" max="11073" width="12.7109375" style="60" customWidth="1"/>
    <col min="11074" max="11074" width="16.28515625" style="60" bestFit="1" customWidth="1"/>
    <col min="11075" max="11075" width="12.140625" style="60" customWidth="1"/>
    <col min="11076" max="11076" width="12.28515625" style="60" customWidth="1"/>
    <col min="11077" max="11077" width="12.5703125" style="60" customWidth="1"/>
    <col min="11078" max="11078" width="13" style="60" customWidth="1"/>
    <col min="11079" max="11079" width="16.28515625" style="60" bestFit="1" customWidth="1"/>
    <col min="11080" max="11080" width="13.5703125" style="60" customWidth="1"/>
    <col min="11081" max="11081" width="14.140625" style="60" customWidth="1"/>
    <col min="11082" max="11082" width="14.42578125" style="60" customWidth="1"/>
    <col min="11083" max="11083" width="14.7109375" style="60" customWidth="1"/>
    <col min="11084" max="11084" width="16.28515625" style="60" bestFit="1" customWidth="1"/>
    <col min="11085" max="11119" width="0" style="60" hidden="1" customWidth="1"/>
    <col min="11120" max="11264" width="10.28515625" style="60"/>
    <col min="11265" max="11265" width="60" style="60" customWidth="1"/>
    <col min="11266" max="11294" width="0" style="60" hidden="1" customWidth="1"/>
    <col min="11295" max="11295" width="10" style="60" customWidth="1"/>
    <col min="11296" max="11299" width="0" style="60" hidden="1" customWidth="1"/>
    <col min="11300" max="11300" width="10" style="60" customWidth="1"/>
    <col min="11301" max="11303" width="9.5703125" style="60" customWidth="1"/>
    <col min="11304" max="11304" width="10" style="60" customWidth="1"/>
    <col min="11305" max="11305" width="10" style="60" bestFit="1" customWidth="1"/>
    <col min="11306" max="11308" width="9.5703125" style="60" customWidth="1"/>
    <col min="11309" max="11309" width="10" style="60" customWidth="1"/>
    <col min="11310" max="11310" width="10" style="60" bestFit="1" customWidth="1"/>
    <col min="11311" max="11313" width="8.7109375" style="60" bestFit="1" customWidth="1"/>
    <col min="11314" max="11315" width="10" style="60" bestFit="1" customWidth="1"/>
    <col min="11316" max="11318" width="8.7109375" style="60" bestFit="1" customWidth="1"/>
    <col min="11319" max="11319" width="10" style="60" bestFit="1" customWidth="1"/>
    <col min="11320" max="11320" width="12.85546875" style="60" customWidth="1"/>
    <col min="11321" max="11322" width="10.42578125" style="60" customWidth="1"/>
    <col min="11323" max="11323" width="9.7109375" style="60" customWidth="1"/>
    <col min="11324" max="11324" width="12.5703125" style="60" customWidth="1"/>
    <col min="11325" max="11325" width="16.28515625" style="60" bestFit="1" customWidth="1"/>
    <col min="11326" max="11326" width="12.5703125" style="60" customWidth="1"/>
    <col min="11327" max="11327" width="12" style="60" customWidth="1"/>
    <col min="11328" max="11328" width="12.140625" style="60" customWidth="1"/>
    <col min="11329" max="11329" width="12.7109375" style="60" customWidth="1"/>
    <col min="11330" max="11330" width="16.28515625" style="60" bestFit="1" customWidth="1"/>
    <col min="11331" max="11331" width="12.140625" style="60" customWidth="1"/>
    <col min="11332" max="11332" width="12.28515625" style="60" customWidth="1"/>
    <col min="11333" max="11333" width="12.5703125" style="60" customWidth="1"/>
    <col min="11334" max="11334" width="13" style="60" customWidth="1"/>
    <col min="11335" max="11335" width="16.28515625" style="60" bestFit="1" customWidth="1"/>
    <col min="11336" max="11336" width="13.5703125" style="60" customWidth="1"/>
    <col min="11337" max="11337" width="14.140625" style="60" customWidth="1"/>
    <col min="11338" max="11338" width="14.42578125" style="60" customWidth="1"/>
    <col min="11339" max="11339" width="14.7109375" style="60" customWidth="1"/>
    <col min="11340" max="11340" width="16.28515625" style="60" bestFit="1" customWidth="1"/>
    <col min="11341" max="11375" width="0" style="60" hidden="1" customWidth="1"/>
    <col min="11376" max="11520" width="10.28515625" style="60"/>
    <col min="11521" max="11521" width="60" style="60" customWidth="1"/>
    <col min="11522" max="11550" width="0" style="60" hidden="1" customWidth="1"/>
    <col min="11551" max="11551" width="10" style="60" customWidth="1"/>
    <col min="11552" max="11555" width="0" style="60" hidden="1" customWidth="1"/>
    <col min="11556" max="11556" width="10" style="60" customWidth="1"/>
    <col min="11557" max="11559" width="9.5703125" style="60" customWidth="1"/>
    <col min="11560" max="11560" width="10" style="60" customWidth="1"/>
    <col min="11561" max="11561" width="10" style="60" bestFit="1" customWidth="1"/>
    <col min="11562" max="11564" width="9.5703125" style="60" customWidth="1"/>
    <col min="11565" max="11565" width="10" style="60" customWidth="1"/>
    <col min="11566" max="11566" width="10" style="60" bestFit="1" customWidth="1"/>
    <col min="11567" max="11569" width="8.7109375" style="60" bestFit="1" customWidth="1"/>
    <col min="11570" max="11571" width="10" style="60" bestFit="1" customWidth="1"/>
    <col min="11572" max="11574" width="8.7109375" style="60" bestFit="1" customWidth="1"/>
    <col min="11575" max="11575" width="10" style="60" bestFit="1" customWidth="1"/>
    <col min="11576" max="11576" width="12.85546875" style="60" customWidth="1"/>
    <col min="11577" max="11578" width="10.42578125" style="60" customWidth="1"/>
    <col min="11579" max="11579" width="9.7109375" style="60" customWidth="1"/>
    <col min="11580" max="11580" width="12.5703125" style="60" customWidth="1"/>
    <col min="11581" max="11581" width="16.28515625" style="60" bestFit="1" customWidth="1"/>
    <col min="11582" max="11582" width="12.5703125" style="60" customWidth="1"/>
    <col min="11583" max="11583" width="12" style="60" customWidth="1"/>
    <col min="11584" max="11584" width="12.140625" style="60" customWidth="1"/>
    <col min="11585" max="11585" width="12.7109375" style="60" customWidth="1"/>
    <col min="11586" max="11586" width="16.28515625" style="60" bestFit="1" customWidth="1"/>
    <col min="11587" max="11587" width="12.140625" style="60" customWidth="1"/>
    <col min="11588" max="11588" width="12.28515625" style="60" customWidth="1"/>
    <col min="11589" max="11589" width="12.5703125" style="60" customWidth="1"/>
    <col min="11590" max="11590" width="13" style="60" customWidth="1"/>
    <col min="11591" max="11591" width="16.28515625" style="60" bestFit="1" customWidth="1"/>
    <col min="11592" max="11592" width="13.5703125" style="60" customWidth="1"/>
    <col min="11593" max="11593" width="14.140625" style="60" customWidth="1"/>
    <col min="11594" max="11594" width="14.42578125" style="60" customWidth="1"/>
    <col min="11595" max="11595" width="14.7109375" style="60" customWidth="1"/>
    <col min="11596" max="11596" width="16.28515625" style="60" bestFit="1" customWidth="1"/>
    <col min="11597" max="11631" width="0" style="60" hidden="1" customWidth="1"/>
    <col min="11632" max="11776" width="10.28515625" style="60"/>
    <col min="11777" max="11777" width="60" style="60" customWidth="1"/>
    <col min="11778" max="11806" width="0" style="60" hidden="1" customWidth="1"/>
    <col min="11807" max="11807" width="10" style="60" customWidth="1"/>
    <col min="11808" max="11811" width="0" style="60" hidden="1" customWidth="1"/>
    <col min="11812" max="11812" width="10" style="60" customWidth="1"/>
    <col min="11813" max="11815" width="9.5703125" style="60" customWidth="1"/>
    <col min="11816" max="11816" width="10" style="60" customWidth="1"/>
    <col min="11817" max="11817" width="10" style="60" bestFit="1" customWidth="1"/>
    <col min="11818" max="11820" width="9.5703125" style="60" customWidth="1"/>
    <col min="11821" max="11821" width="10" style="60" customWidth="1"/>
    <col min="11822" max="11822" width="10" style="60" bestFit="1" customWidth="1"/>
    <col min="11823" max="11825" width="8.7109375" style="60" bestFit="1" customWidth="1"/>
    <col min="11826" max="11827" width="10" style="60" bestFit="1" customWidth="1"/>
    <col min="11828" max="11830" width="8.7109375" style="60" bestFit="1" customWidth="1"/>
    <col min="11831" max="11831" width="10" style="60" bestFit="1" customWidth="1"/>
    <col min="11832" max="11832" width="12.85546875" style="60" customWidth="1"/>
    <col min="11833" max="11834" width="10.42578125" style="60" customWidth="1"/>
    <col min="11835" max="11835" width="9.7109375" style="60" customWidth="1"/>
    <col min="11836" max="11836" width="12.5703125" style="60" customWidth="1"/>
    <col min="11837" max="11837" width="16.28515625" style="60" bestFit="1" customWidth="1"/>
    <col min="11838" max="11838" width="12.5703125" style="60" customWidth="1"/>
    <col min="11839" max="11839" width="12" style="60" customWidth="1"/>
    <col min="11840" max="11840" width="12.140625" style="60" customWidth="1"/>
    <col min="11841" max="11841" width="12.7109375" style="60" customWidth="1"/>
    <col min="11842" max="11842" width="16.28515625" style="60" bestFit="1" customWidth="1"/>
    <col min="11843" max="11843" width="12.140625" style="60" customWidth="1"/>
    <col min="11844" max="11844" width="12.28515625" style="60" customWidth="1"/>
    <col min="11845" max="11845" width="12.5703125" style="60" customWidth="1"/>
    <col min="11846" max="11846" width="13" style="60" customWidth="1"/>
    <col min="11847" max="11847" width="16.28515625" style="60" bestFit="1" customWidth="1"/>
    <col min="11848" max="11848" width="13.5703125" style="60" customWidth="1"/>
    <col min="11849" max="11849" width="14.140625" style="60" customWidth="1"/>
    <col min="11850" max="11850" width="14.42578125" style="60" customWidth="1"/>
    <col min="11851" max="11851" width="14.7109375" style="60" customWidth="1"/>
    <col min="11852" max="11852" width="16.28515625" style="60" bestFit="1" customWidth="1"/>
    <col min="11853" max="11887" width="0" style="60" hidden="1" customWidth="1"/>
    <col min="11888" max="12032" width="10.28515625" style="60"/>
    <col min="12033" max="12033" width="60" style="60" customWidth="1"/>
    <col min="12034" max="12062" width="0" style="60" hidden="1" customWidth="1"/>
    <col min="12063" max="12063" width="10" style="60" customWidth="1"/>
    <col min="12064" max="12067" width="0" style="60" hidden="1" customWidth="1"/>
    <col min="12068" max="12068" width="10" style="60" customWidth="1"/>
    <col min="12069" max="12071" width="9.5703125" style="60" customWidth="1"/>
    <col min="12072" max="12072" width="10" style="60" customWidth="1"/>
    <col min="12073" max="12073" width="10" style="60" bestFit="1" customWidth="1"/>
    <col min="12074" max="12076" width="9.5703125" style="60" customWidth="1"/>
    <col min="12077" max="12077" width="10" style="60" customWidth="1"/>
    <col min="12078" max="12078" width="10" style="60" bestFit="1" customWidth="1"/>
    <col min="12079" max="12081" width="8.7109375" style="60" bestFit="1" customWidth="1"/>
    <col min="12082" max="12083" width="10" style="60" bestFit="1" customWidth="1"/>
    <col min="12084" max="12086" width="8.7109375" style="60" bestFit="1" customWidth="1"/>
    <col min="12087" max="12087" width="10" style="60" bestFit="1" customWidth="1"/>
    <col min="12088" max="12088" width="12.85546875" style="60" customWidth="1"/>
    <col min="12089" max="12090" width="10.42578125" style="60" customWidth="1"/>
    <col min="12091" max="12091" width="9.7109375" style="60" customWidth="1"/>
    <col min="12092" max="12092" width="12.5703125" style="60" customWidth="1"/>
    <col min="12093" max="12093" width="16.28515625" style="60" bestFit="1" customWidth="1"/>
    <col min="12094" max="12094" width="12.5703125" style="60" customWidth="1"/>
    <col min="12095" max="12095" width="12" style="60" customWidth="1"/>
    <col min="12096" max="12096" width="12.140625" style="60" customWidth="1"/>
    <col min="12097" max="12097" width="12.7109375" style="60" customWidth="1"/>
    <col min="12098" max="12098" width="16.28515625" style="60" bestFit="1" customWidth="1"/>
    <col min="12099" max="12099" width="12.140625" style="60" customWidth="1"/>
    <col min="12100" max="12100" width="12.28515625" style="60" customWidth="1"/>
    <col min="12101" max="12101" width="12.5703125" style="60" customWidth="1"/>
    <col min="12102" max="12102" width="13" style="60" customWidth="1"/>
    <col min="12103" max="12103" width="16.28515625" style="60" bestFit="1" customWidth="1"/>
    <col min="12104" max="12104" width="13.5703125" style="60" customWidth="1"/>
    <col min="12105" max="12105" width="14.140625" style="60" customWidth="1"/>
    <col min="12106" max="12106" width="14.42578125" style="60" customWidth="1"/>
    <col min="12107" max="12107" width="14.7109375" style="60" customWidth="1"/>
    <col min="12108" max="12108" width="16.28515625" style="60" bestFit="1" customWidth="1"/>
    <col min="12109" max="12143" width="0" style="60" hidden="1" customWidth="1"/>
    <col min="12144" max="12288" width="10.28515625" style="60"/>
    <col min="12289" max="12289" width="60" style="60" customWidth="1"/>
    <col min="12290" max="12318" width="0" style="60" hidden="1" customWidth="1"/>
    <col min="12319" max="12319" width="10" style="60" customWidth="1"/>
    <col min="12320" max="12323" width="0" style="60" hidden="1" customWidth="1"/>
    <col min="12324" max="12324" width="10" style="60" customWidth="1"/>
    <col min="12325" max="12327" width="9.5703125" style="60" customWidth="1"/>
    <col min="12328" max="12328" width="10" style="60" customWidth="1"/>
    <col min="12329" max="12329" width="10" style="60" bestFit="1" customWidth="1"/>
    <col min="12330" max="12332" width="9.5703125" style="60" customWidth="1"/>
    <col min="12333" max="12333" width="10" style="60" customWidth="1"/>
    <col min="12334" max="12334" width="10" style="60" bestFit="1" customWidth="1"/>
    <col min="12335" max="12337" width="8.7109375" style="60" bestFit="1" customWidth="1"/>
    <col min="12338" max="12339" width="10" style="60" bestFit="1" customWidth="1"/>
    <col min="12340" max="12342" width="8.7109375" style="60" bestFit="1" customWidth="1"/>
    <col min="12343" max="12343" width="10" style="60" bestFit="1" customWidth="1"/>
    <col min="12344" max="12344" width="12.85546875" style="60" customWidth="1"/>
    <col min="12345" max="12346" width="10.42578125" style="60" customWidth="1"/>
    <col min="12347" max="12347" width="9.7109375" style="60" customWidth="1"/>
    <col min="12348" max="12348" width="12.5703125" style="60" customWidth="1"/>
    <col min="12349" max="12349" width="16.28515625" style="60" bestFit="1" customWidth="1"/>
    <col min="12350" max="12350" width="12.5703125" style="60" customWidth="1"/>
    <col min="12351" max="12351" width="12" style="60" customWidth="1"/>
    <col min="12352" max="12352" width="12.140625" style="60" customWidth="1"/>
    <col min="12353" max="12353" width="12.7109375" style="60" customWidth="1"/>
    <col min="12354" max="12354" width="16.28515625" style="60" bestFit="1" customWidth="1"/>
    <col min="12355" max="12355" width="12.140625" style="60" customWidth="1"/>
    <col min="12356" max="12356" width="12.28515625" style="60" customWidth="1"/>
    <col min="12357" max="12357" width="12.5703125" style="60" customWidth="1"/>
    <col min="12358" max="12358" width="13" style="60" customWidth="1"/>
    <col min="12359" max="12359" width="16.28515625" style="60" bestFit="1" customWidth="1"/>
    <col min="12360" max="12360" width="13.5703125" style="60" customWidth="1"/>
    <col min="12361" max="12361" width="14.140625" style="60" customWidth="1"/>
    <col min="12362" max="12362" width="14.42578125" style="60" customWidth="1"/>
    <col min="12363" max="12363" width="14.7109375" style="60" customWidth="1"/>
    <col min="12364" max="12364" width="16.28515625" style="60" bestFit="1" customWidth="1"/>
    <col min="12365" max="12399" width="0" style="60" hidden="1" customWidth="1"/>
    <col min="12400" max="12544" width="10.28515625" style="60"/>
    <col min="12545" max="12545" width="60" style="60" customWidth="1"/>
    <col min="12546" max="12574" width="0" style="60" hidden="1" customWidth="1"/>
    <col min="12575" max="12575" width="10" style="60" customWidth="1"/>
    <col min="12576" max="12579" width="0" style="60" hidden="1" customWidth="1"/>
    <col min="12580" max="12580" width="10" style="60" customWidth="1"/>
    <col min="12581" max="12583" width="9.5703125" style="60" customWidth="1"/>
    <col min="12584" max="12584" width="10" style="60" customWidth="1"/>
    <col min="12585" max="12585" width="10" style="60" bestFit="1" customWidth="1"/>
    <col min="12586" max="12588" width="9.5703125" style="60" customWidth="1"/>
    <col min="12589" max="12589" width="10" style="60" customWidth="1"/>
    <col min="12590" max="12590" width="10" style="60" bestFit="1" customWidth="1"/>
    <col min="12591" max="12593" width="8.7109375" style="60" bestFit="1" customWidth="1"/>
    <col min="12594" max="12595" width="10" style="60" bestFit="1" customWidth="1"/>
    <col min="12596" max="12598" width="8.7109375" style="60" bestFit="1" customWidth="1"/>
    <col min="12599" max="12599" width="10" style="60" bestFit="1" customWidth="1"/>
    <col min="12600" max="12600" width="12.85546875" style="60" customWidth="1"/>
    <col min="12601" max="12602" width="10.42578125" style="60" customWidth="1"/>
    <col min="12603" max="12603" width="9.7109375" style="60" customWidth="1"/>
    <col min="12604" max="12604" width="12.5703125" style="60" customWidth="1"/>
    <col min="12605" max="12605" width="16.28515625" style="60" bestFit="1" customWidth="1"/>
    <col min="12606" max="12606" width="12.5703125" style="60" customWidth="1"/>
    <col min="12607" max="12607" width="12" style="60" customWidth="1"/>
    <col min="12608" max="12608" width="12.140625" style="60" customWidth="1"/>
    <col min="12609" max="12609" width="12.7109375" style="60" customWidth="1"/>
    <col min="12610" max="12610" width="16.28515625" style="60" bestFit="1" customWidth="1"/>
    <col min="12611" max="12611" width="12.140625" style="60" customWidth="1"/>
    <col min="12612" max="12612" width="12.28515625" style="60" customWidth="1"/>
    <col min="12613" max="12613" width="12.5703125" style="60" customWidth="1"/>
    <col min="12614" max="12614" width="13" style="60" customWidth="1"/>
    <col min="12615" max="12615" width="16.28515625" style="60" bestFit="1" customWidth="1"/>
    <col min="12616" max="12616" width="13.5703125" style="60" customWidth="1"/>
    <col min="12617" max="12617" width="14.140625" style="60" customWidth="1"/>
    <col min="12618" max="12618" width="14.42578125" style="60" customWidth="1"/>
    <col min="12619" max="12619" width="14.7109375" style="60" customWidth="1"/>
    <col min="12620" max="12620" width="16.28515625" style="60" bestFit="1" customWidth="1"/>
    <col min="12621" max="12655" width="0" style="60" hidden="1" customWidth="1"/>
    <col min="12656" max="12800" width="10.28515625" style="60"/>
    <col min="12801" max="12801" width="60" style="60" customWidth="1"/>
    <col min="12802" max="12830" width="0" style="60" hidden="1" customWidth="1"/>
    <col min="12831" max="12831" width="10" style="60" customWidth="1"/>
    <col min="12832" max="12835" width="0" style="60" hidden="1" customWidth="1"/>
    <col min="12836" max="12836" width="10" style="60" customWidth="1"/>
    <col min="12837" max="12839" width="9.5703125" style="60" customWidth="1"/>
    <col min="12840" max="12840" width="10" style="60" customWidth="1"/>
    <col min="12841" max="12841" width="10" style="60" bestFit="1" customWidth="1"/>
    <col min="12842" max="12844" width="9.5703125" style="60" customWidth="1"/>
    <col min="12845" max="12845" width="10" style="60" customWidth="1"/>
    <col min="12846" max="12846" width="10" style="60" bestFit="1" customWidth="1"/>
    <col min="12847" max="12849" width="8.7109375" style="60" bestFit="1" customWidth="1"/>
    <col min="12850" max="12851" width="10" style="60" bestFit="1" customWidth="1"/>
    <col min="12852" max="12854" width="8.7109375" style="60" bestFit="1" customWidth="1"/>
    <col min="12855" max="12855" width="10" style="60" bestFit="1" customWidth="1"/>
    <col min="12856" max="12856" width="12.85546875" style="60" customWidth="1"/>
    <col min="12857" max="12858" width="10.42578125" style="60" customWidth="1"/>
    <col min="12859" max="12859" width="9.7109375" style="60" customWidth="1"/>
    <col min="12860" max="12860" width="12.5703125" style="60" customWidth="1"/>
    <col min="12861" max="12861" width="16.28515625" style="60" bestFit="1" customWidth="1"/>
    <col min="12862" max="12862" width="12.5703125" style="60" customWidth="1"/>
    <col min="12863" max="12863" width="12" style="60" customWidth="1"/>
    <col min="12864" max="12864" width="12.140625" style="60" customWidth="1"/>
    <col min="12865" max="12865" width="12.7109375" style="60" customWidth="1"/>
    <col min="12866" max="12866" width="16.28515625" style="60" bestFit="1" customWidth="1"/>
    <col min="12867" max="12867" width="12.140625" style="60" customWidth="1"/>
    <col min="12868" max="12868" width="12.28515625" style="60" customWidth="1"/>
    <col min="12869" max="12869" width="12.5703125" style="60" customWidth="1"/>
    <col min="12870" max="12870" width="13" style="60" customWidth="1"/>
    <col min="12871" max="12871" width="16.28515625" style="60" bestFit="1" customWidth="1"/>
    <col min="12872" max="12872" width="13.5703125" style="60" customWidth="1"/>
    <col min="12873" max="12873" width="14.140625" style="60" customWidth="1"/>
    <col min="12874" max="12874" width="14.42578125" style="60" customWidth="1"/>
    <col min="12875" max="12875" width="14.7109375" style="60" customWidth="1"/>
    <col min="12876" max="12876" width="16.28515625" style="60" bestFit="1" customWidth="1"/>
    <col min="12877" max="12911" width="0" style="60" hidden="1" customWidth="1"/>
    <col min="12912" max="13056" width="10.28515625" style="60"/>
    <col min="13057" max="13057" width="60" style="60" customWidth="1"/>
    <col min="13058" max="13086" width="0" style="60" hidden="1" customWidth="1"/>
    <col min="13087" max="13087" width="10" style="60" customWidth="1"/>
    <col min="13088" max="13091" width="0" style="60" hidden="1" customWidth="1"/>
    <col min="13092" max="13092" width="10" style="60" customWidth="1"/>
    <col min="13093" max="13095" width="9.5703125" style="60" customWidth="1"/>
    <col min="13096" max="13096" width="10" style="60" customWidth="1"/>
    <col min="13097" max="13097" width="10" style="60" bestFit="1" customWidth="1"/>
    <col min="13098" max="13100" width="9.5703125" style="60" customWidth="1"/>
    <col min="13101" max="13101" width="10" style="60" customWidth="1"/>
    <col min="13102" max="13102" width="10" style="60" bestFit="1" customWidth="1"/>
    <col min="13103" max="13105" width="8.7109375" style="60" bestFit="1" customWidth="1"/>
    <col min="13106" max="13107" width="10" style="60" bestFit="1" customWidth="1"/>
    <col min="13108" max="13110" width="8.7109375" style="60" bestFit="1" customWidth="1"/>
    <col min="13111" max="13111" width="10" style="60" bestFit="1" customWidth="1"/>
    <col min="13112" max="13112" width="12.85546875" style="60" customWidth="1"/>
    <col min="13113" max="13114" width="10.42578125" style="60" customWidth="1"/>
    <col min="13115" max="13115" width="9.7109375" style="60" customWidth="1"/>
    <col min="13116" max="13116" width="12.5703125" style="60" customWidth="1"/>
    <col min="13117" max="13117" width="16.28515625" style="60" bestFit="1" customWidth="1"/>
    <col min="13118" max="13118" width="12.5703125" style="60" customWidth="1"/>
    <col min="13119" max="13119" width="12" style="60" customWidth="1"/>
    <col min="13120" max="13120" width="12.140625" style="60" customWidth="1"/>
    <col min="13121" max="13121" width="12.7109375" style="60" customWidth="1"/>
    <col min="13122" max="13122" width="16.28515625" style="60" bestFit="1" customWidth="1"/>
    <col min="13123" max="13123" width="12.140625" style="60" customWidth="1"/>
    <col min="13124" max="13124" width="12.28515625" style="60" customWidth="1"/>
    <col min="13125" max="13125" width="12.5703125" style="60" customWidth="1"/>
    <col min="13126" max="13126" width="13" style="60" customWidth="1"/>
    <col min="13127" max="13127" width="16.28515625" style="60" bestFit="1" customWidth="1"/>
    <col min="13128" max="13128" width="13.5703125" style="60" customWidth="1"/>
    <col min="13129" max="13129" width="14.140625" style="60" customWidth="1"/>
    <col min="13130" max="13130" width="14.42578125" style="60" customWidth="1"/>
    <col min="13131" max="13131" width="14.7109375" style="60" customWidth="1"/>
    <col min="13132" max="13132" width="16.28515625" style="60" bestFit="1" customWidth="1"/>
    <col min="13133" max="13167" width="0" style="60" hidden="1" customWidth="1"/>
    <col min="13168" max="13312" width="10.28515625" style="60"/>
    <col min="13313" max="13313" width="60" style="60" customWidth="1"/>
    <col min="13314" max="13342" width="0" style="60" hidden="1" customWidth="1"/>
    <col min="13343" max="13343" width="10" style="60" customWidth="1"/>
    <col min="13344" max="13347" width="0" style="60" hidden="1" customWidth="1"/>
    <col min="13348" max="13348" width="10" style="60" customWidth="1"/>
    <col min="13349" max="13351" width="9.5703125" style="60" customWidth="1"/>
    <col min="13352" max="13352" width="10" style="60" customWidth="1"/>
    <col min="13353" max="13353" width="10" style="60" bestFit="1" customWidth="1"/>
    <col min="13354" max="13356" width="9.5703125" style="60" customWidth="1"/>
    <col min="13357" max="13357" width="10" style="60" customWidth="1"/>
    <col min="13358" max="13358" width="10" style="60" bestFit="1" customWidth="1"/>
    <col min="13359" max="13361" width="8.7109375" style="60" bestFit="1" customWidth="1"/>
    <col min="13362" max="13363" width="10" style="60" bestFit="1" customWidth="1"/>
    <col min="13364" max="13366" width="8.7109375" style="60" bestFit="1" customWidth="1"/>
    <col min="13367" max="13367" width="10" style="60" bestFit="1" customWidth="1"/>
    <col min="13368" max="13368" width="12.85546875" style="60" customWidth="1"/>
    <col min="13369" max="13370" width="10.42578125" style="60" customWidth="1"/>
    <col min="13371" max="13371" width="9.7109375" style="60" customWidth="1"/>
    <col min="13372" max="13372" width="12.5703125" style="60" customWidth="1"/>
    <col min="13373" max="13373" width="16.28515625" style="60" bestFit="1" customWidth="1"/>
    <col min="13374" max="13374" width="12.5703125" style="60" customWidth="1"/>
    <col min="13375" max="13375" width="12" style="60" customWidth="1"/>
    <col min="13376" max="13376" width="12.140625" style="60" customWidth="1"/>
    <col min="13377" max="13377" width="12.7109375" style="60" customWidth="1"/>
    <col min="13378" max="13378" width="16.28515625" style="60" bestFit="1" customWidth="1"/>
    <col min="13379" max="13379" width="12.140625" style="60" customWidth="1"/>
    <col min="13380" max="13380" width="12.28515625" style="60" customWidth="1"/>
    <col min="13381" max="13381" width="12.5703125" style="60" customWidth="1"/>
    <col min="13382" max="13382" width="13" style="60" customWidth="1"/>
    <col min="13383" max="13383" width="16.28515625" style="60" bestFit="1" customWidth="1"/>
    <col min="13384" max="13384" width="13.5703125" style="60" customWidth="1"/>
    <col min="13385" max="13385" width="14.140625" style="60" customWidth="1"/>
    <col min="13386" max="13386" width="14.42578125" style="60" customWidth="1"/>
    <col min="13387" max="13387" width="14.7109375" style="60" customWidth="1"/>
    <col min="13388" max="13388" width="16.28515625" style="60" bestFit="1" customWidth="1"/>
    <col min="13389" max="13423" width="0" style="60" hidden="1" customWidth="1"/>
    <col min="13424" max="13568" width="10.28515625" style="60"/>
    <col min="13569" max="13569" width="60" style="60" customWidth="1"/>
    <col min="13570" max="13598" width="0" style="60" hidden="1" customWidth="1"/>
    <col min="13599" max="13599" width="10" style="60" customWidth="1"/>
    <col min="13600" max="13603" width="0" style="60" hidden="1" customWidth="1"/>
    <col min="13604" max="13604" width="10" style="60" customWidth="1"/>
    <col min="13605" max="13607" width="9.5703125" style="60" customWidth="1"/>
    <col min="13608" max="13608" width="10" style="60" customWidth="1"/>
    <col min="13609" max="13609" width="10" style="60" bestFit="1" customWidth="1"/>
    <col min="13610" max="13612" width="9.5703125" style="60" customWidth="1"/>
    <col min="13613" max="13613" width="10" style="60" customWidth="1"/>
    <col min="13614" max="13614" width="10" style="60" bestFit="1" customWidth="1"/>
    <col min="13615" max="13617" width="8.7109375" style="60" bestFit="1" customWidth="1"/>
    <col min="13618" max="13619" width="10" style="60" bestFit="1" customWidth="1"/>
    <col min="13620" max="13622" width="8.7109375" style="60" bestFit="1" customWidth="1"/>
    <col min="13623" max="13623" width="10" style="60" bestFit="1" customWidth="1"/>
    <col min="13624" max="13624" width="12.85546875" style="60" customWidth="1"/>
    <col min="13625" max="13626" width="10.42578125" style="60" customWidth="1"/>
    <col min="13627" max="13627" width="9.7109375" style="60" customWidth="1"/>
    <col min="13628" max="13628" width="12.5703125" style="60" customWidth="1"/>
    <col min="13629" max="13629" width="16.28515625" style="60" bestFit="1" customWidth="1"/>
    <col min="13630" max="13630" width="12.5703125" style="60" customWidth="1"/>
    <col min="13631" max="13631" width="12" style="60" customWidth="1"/>
    <col min="13632" max="13632" width="12.140625" style="60" customWidth="1"/>
    <col min="13633" max="13633" width="12.7109375" style="60" customWidth="1"/>
    <col min="13634" max="13634" width="16.28515625" style="60" bestFit="1" customWidth="1"/>
    <col min="13635" max="13635" width="12.140625" style="60" customWidth="1"/>
    <col min="13636" max="13636" width="12.28515625" style="60" customWidth="1"/>
    <col min="13637" max="13637" width="12.5703125" style="60" customWidth="1"/>
    <col min="13638" max="13638" width="13" style="60" customWidth="1"/>
    <col min="13639" max="13639" width="16.28515625" style="60" bestFit="1" customWidth="1"/>
    <col min="13640" max="13640" width="13.5703125" style="60" customWidth="1"/>
    <col min="13641" max="13641" width="14.140625" style="60" customWidth="1"/>
    <col min="13642" max="13642" width="14.42578125" style="60" customWidth="1"/>
    <col min="13643" max="13643" width="14.7109375" style="60" customWidth="1"/>
    <col min="13644" max="13644" width="16.28515625" style="60" bestFit="1" customWidth="1"/>
    <col min="13645" max="13679" width="0" style="60" hidden="1" customWidth="1"/>
    <col min="13680" max="13824" width="10.28515625" style="60"/>
    <col min="13825" max="13825" width="60" style="60" customWidth="1"/>
    <col min="13826" max="13854" width="0" style="60" hidden="1" customWidth="1"/>
    <col min="13855" max="13855" width="10" style="60" customWidth="1"/>
    <col min="13856" max="13859" width="0" style="60" hidden="1" customWidth="1"/>
    <col min="13860" max="13860" width="10" style="60" customWidth="1"/>
    <col min="13861" max="13863" width="9.5703125" style="60" customWidth="1"/>
    <col min="13864" max="13864" width="10" style="60" customWidth="1"/>
    <col min="13865" max="13865" width="10" style="60" bestFit="1" customWidth="1"/>
    <col min="13866" max="13868" width="9.5703125" style="60" customWidth="1"/>
    <col min="13869" max="13869" width="10" style="60" customWidth="1"/>
    <col min="13870" max="13870" width="10" style="60" bestFit="1" customWidth="1"/>
    <col min="13871" max="13873" width="8.7109375" style="60" bestFit="1" customWidth="1"/>
    <col min="13874" max="13875" width="10" style="60" bestFit="1" customWidth="1"/>
    <col min="13876" max="13878" width="8.7109375" style="60" bestFit="1" customWidth="1"/>
    <col min="13879" max="13879" width="10" style="60" bestFit="1" customWidth="1"/>
    <col min="13880" max="13880" width="12.85546875" style="60" customWidth="1"/>
    <col min="13881" max="13882" width="10.42578125" style="60" customWidth="1"/>
    <col min="13883" max="13883" width="9.7109375" style="60" customWidth="1"/>
    <col min="13884" max="13884" width="12.5703125" style="60" customWidth="1"/>
    <col min="13885" max="13885" width="16.28515625" style="60" bestFit="1" customWidth="1"/>
    <col min="13886" max="13886" width="12.5703125" style="60" customWidth="1"/>
    <col min="13887" max="13887" width="12" style="60" customWidth="1"/>
    <col min="13888" max="13888" width="12.140625" style="60" customWidth="1"/>
    <col min="13889" max="13889" width="12.7109375" style="60" customWidth="1"/>
    <col min="13890" max="13890" width="16.28515625" style="60" bestFit="1" customWidth="1"/>
    <col min="13891" max="13891" width="12.140625" style="60" customWidth="1"/>
    <col min="13892" max="13892" width="12.28515625" style="60" customWidth="1"/>
    <col min="13893" max="13893" width="12.5703125" style="60" customWidth="1"/>
    <col min="13894" max="13894" width="13" style="60" customWidth="1"/>
    <col min="13895" max="13895" width="16.28515625" style="60" bestFit="1" customWidth="1"/>
    <col min="13896" max="13896" width="13.5703125" style="60" customWidth="1"/>
    <col min="13897" max="13897" width="14.140625" style="60" customWidth="1"/>
    <col min="13898" max="13898" width="14.42578125" style="60" customWidth="1"/>
    <col min="13899" max="13899" width="14.7109375" style="60" customWidth="1"/>
    <col min="13900" max="13900" width="16.28515625" style="60" bestFit="1" customWidth="1"/>
    <col min="13901" max="13935" width="0" style="60" hidden="1" customWidth="1"/>
    <col min="13936" max="14080" width="10.28515625" style="60"/>
    <col min="14081" max="14081" width="60" style="60" customWidth="1"/>
    <col min="14082" max="14110" width="0" style="60" hidden="1" customWidth="1"/>
    <col min="14111" max="14111" width="10" style="60" customWidth="1"/>
    <col min="14112" max="14115" width="0" style="60" hidden="1" customWidth="1"/>
    <col min="14116" max="14116" width="10" style="60" customWidth="1"/>
    <col min="14117" max="14119" width="9.5703125" style="60" customWidth="1"/>
    <col min="14120" max="14120" width="10" style="60" customWidth="1"/>
    <col min="14121" max="14121" width="10" style="60" bestFit="1" customWidth="1"/>
    <col min="14122" max="14124" width="9.5703125" style="60" customWidth="1"/>
    <col min="14125" max="14125" width="10" style="60" customWidth="1"/>
    <col min="14126" max="14126" width="10" style="60" bestFit="1" customWidth="1"/>
    <col min="14127" max="14129" width="8.7109375" style="60" bestFit="1" customWidth="1"/>
    <col min="14130" max="14131" width="10" style="60" bestFit="1" customWidth="1"/>
    <col min="14132" max="14134" width="8.7109375" style="60" bestFit="1" customWidth="1"/>
    <col min="14135" max="14135" width="10" style="60" bestFit="1" customWidth="1"/>
    <col min="14136" max="14136" width="12.85546875" style="60" customWidth="1"/>
    <col min="14137" max="14138" width="10.42578125" style="60" customWidth="1"/>
    <col min="14139" max="14139" width="9.7109375" style="60" customWidth="1"/>
    <col min="14140" max="14140" width="12.5703125" style="60" customWidth="1"/>
    <col min="14141" max="14141" width="16.28515625" style="60" bestFit="1" customWidth="1"/>
    <col min="14142" max="14142" width="12.5703125" style="60" customWidth="1"/>
    <col min="14143" max="14143" width="12" style="60" customWidth="1"/>
    <col min="14144" max="14144" width="12.140625" style="60" customWidth="1"/>
    <col min="14145" max="14145" width="12.7109375" style="60" customWidth="1"/>
    <col min="14146" max="14146" width="16.28515625" style="60" bestFit="1" customWidth="1"/>
    <col min="14147" max="14147" width="12.140625" style="60" customWidth="1"/>
    <col min="14148" max="14148" width="12.28515625" style="60" customWidth="1"/>
    <col min="14149" max="14149" width="12.5703125" style="60" customWidth="1"/>
    <col min="14150" max="14150" width="13" style="60" customWidth="1"/>
    <col min="14151" max="14151" width="16.28515625" style="60" bestFit="1" customWidth="1"/>
    <col min="14152" max="14152" width="13.5703125" style="60" customWidth="1"/>
    <col min="14153" max="14153" width="14.140625" style="60" customWidth="1"/>
    <col min="14154" max="14154" width="14.42578125" style="60" customWidth="1"/>
    <col min="14155" max="14155" width="14.7109375" style="60" customWidth="1"/>
    <col min="14156" max="14156" width="16.28515625" style="60" bestFit="1" customWidth="1"/>
    <col min="14157" max="14191" width="0" style="60" hidden="1" customWidth="1"/>
    <col min="14192" max="14336" width="10.28515625" style="60"/>
    <col min="14337" max="14337" width="60" style="60" customWidth="1"/>
    <col min="14338" max="14366" width="0" style="60" hidden="1" customWidth="1"/>
    <col min="14367" max="14367" width="10" style="60" customWidth="1"/>
    <col min="14368" max="14371" width="0" style="60" hidden="1" customWidth="1"/>
    <col min="14372" max="14372" width="10" style="60" customWidth="1"/>
    <col min="14373" max="14375" width="9.5703125" style="60" customWidth="1"/>
    <col min="14376" max="14376" width="10" style="60" customWidth="1"/>
    <col min="14377" max="14377" width="10" style="60" bestFit="1" customWidth="1"/>
    <col min="14378" max="14380" width="9.5703125" style="60" customWidth="1"/>
    <col min="14381" max="14381" width="10" style="60" customWidth="1"/>
    <col min="14382" max="14382" width="10" style="60" bestFit="1" customWidth="1"/>
    <col min="14383" max="14385" width="8.7109375" style="60" bestFit="1" customWidth="1"/>
    <col min="14386" max="14387" width="10" style="60" bestFit="1" customWidth="1"/>
    <col min="14388" max="14390" width="8.7109375" style="60" bestFit="1" customWidth="1"/>
    <col min="14391" max="14391" width="10" style="60" bestFit="1" customWidth="1"/>
    <col min="14392" max="14392" width="12.85546875" style="60" customWidth="1"/>
    <col min="14393" max="14394" width="10.42578125" style="60" customWidth="1"/>
    <col min="14395" max="14395" width="9.7109375" style="60" customWidth="1"/>
    <col min="14396" max="14396" width="12.5703125" style="60" customWidth="1"/>
    <col min="14397" max="14397" width="16.28515625" style="60" bestFit="1" customWidth="1"/>
    <col min="14398" max="14398" width="12.5703125" style="60" customWidth="1"/>
    <col min="14399" max="14399" width="12" style="60" customWidth="1"/>
    <col min="14400" max="14400" width="12.140625" style="60" customWidth="1"/>
    <col min="14401" max="14401" width="12.7109375" style="60" customWidth="1"/>
    <col min="14402" max="14402" width="16.28515625" style="60" bestFit="1" customWidth="1"/>
    <col min="14403" max="14403" width="12.140625" style="60" customWidth="1"/>
    <col min="14404" max="14404" width="12.28515625" style="60" customWidth="1"/>
    <col min="14405" max="14405" width="12.5703125" style="60" customWidth="1"/>
    <col min="14406" max="14406" width="13" style="60" customWidth="1"/>
    <col min="14407" max="14407" width="16.28515625" style="60" bestFit="1" customWidth="1"/>
    <col min="14408" max="14408" width="13.5703125" style="60" customWidth="1"/>
    <col min="14409" max="14409" width="14.140625" style="60" customWidth="1"/>
    <col min="14410" max="14410" width="14.42578125" style="60" customWidth="1"/>
    <col min="14411" max="14411" width="14.7109375" style="60" customWidth="1"/>
    <col min="14412" max="14412" width="16.28515625" style="60" bestFit="1" customWidth="1"/>
    <col min="14413" max="14447" width="0" style="60" hidden="1" customWidth="1"/>
    <col min="14448" max="14592" width="10.28515625" style="60"/>
    <col min="14593" max="14593" width="60" style="60" customWidth="1"/>
    <col min="14594" max="14622" width="0" style="60" hidden="1" customWidth="1"/>
    <col min="14623" max="14623" width="10" style="60" customWidth="1"/>
    <col min="14624" max="14627" width="0" style="60" hidden="1" customWidth="1"/>
    <col min="14628" max="14628" width="10" style="60" customWidth="1"/>
    <col min="14629" max="14631" width="9.5703125" style="60" customWidth="1"/>
    <col min="14632" max="14632" width="10" style="60" customWidth="1"/>
    <col min="14633" max="14633" width="10" style="60" bestFit="1" customWidth="1"/>
    <col min="14634" max="14636" width="9.5703125" style="60" customWidth="1"/>
    <col min="14637" max="14637" width="10" style="60" customWidth="1"/>
    <col min="14638" max="14638" width="10" style="60" bestFit="1" customWidth="1"/>
    <col min="14639" max="14641" width="8.7109375" style="60" bestFit="1" customWidth="1"/>
    <col min="14642" max="14643" width="10" style="60" bestFit="1" customWidth="1"/>
    <col min="14644" max="14646" width="8.7109375" style="60" bestFit="1" customWidth="1"/>
    <col min="14647" max="14647" width="10" style="60" bestFit="1" customWidth="1"/>
    <col min="14648" max="14648" width="12.85546875" style="60" customWidth="1"/>
    <col min="14649" max="14650" width="10.42578125" style="60" customWidth="1"/>
    <col min="14651" max="14651" width="9.7109375" style="60" customWidth="1"/>
    <col min="14652" max="14652" width="12.5703125" style="60" customWidth="1"/>
    <col min="14653" max="14653" width="16.28515625" style="60" bestFit="1" customWidth="1"/>
    <col min="14654" max="14654" width="12.5703125" style="60" customWidth="1"/>
    <col min="14655" max="14655" width="12" style="60" customWidth="1"/>
    <col min="14656" max="14656" width="12.140625" style="60" customWidth="1"/>
    <col min="14657" max="14657" width="12.7109375" style="60" customWidth="1"/>
    <col min="14658" max="14658" width="16.28515625" style="60" bestFit="1" customWidth="1"/>
    <col min="14659" max="14659" width="12.140625" style="60" customWidth="1"/>
    <col min="14660" max="14660" width="12.28515625" style="60" customWidth="1"/>
    <col min="14661" max="14661" width="12.5703125" style="60" customWidth="1"/>
    <col min="14662" max="14662" width="13" style="60" customWidth="1"/>
    <col min="14663" max="14663" width="16.28515625" style="60" bestFit="1" customWidth="1"/>
    <col min="14664" max="14664" width="13.5703125" style="60" customWidth="1"/>
    <col min="14665" max="14665" width="14.140625" style="60" customWidth="1"/>
    <col min="14666" max="14666" width="14.42578125" style="60" customWidth="1"/>
    <col min="14667" max="14667" width="14.7109375" style="60" customWidth="1"/>
    <col min="14668" max="14668" width="16.28515625" style="60" bestFit="1" customWidth="1"/>
    <col min="14669" max="14703" width="0" style="60" hidden="1" customWidth="1"/>
    <col min="14704" max="14848" width="10.28515625" style="60"/>
    <col min="14849" max="14849" width="60" style="60" customWidth="1"/>
    <col min="14850" max="14878" width="0" style="60" hidden="1" customWidth="1"/>
    <col min="14879" max="14879" width="10" style="60" customWidth="1"/>
    <col min="14880" max="14883" width="0" style="60" hidden="1" customWidth="1"/>
    <col min="14884" max="14884" width="10" style="60" customWidth="1"/>
    <col min="14885" max="14887" width="9.5703125" style="60" customWidth="1"/>
    <col min="14888" max="14888" width="10" style="60" customWidth="1"/>
    <col min="14889" max="14889" width="10" style="60" bestFit="1" customWidth="1"/>
    <col min="14890" max="14892" width="9.5703125" style="60" customWidth="1"/>
    <col min="14893" max="14893" width="10" style="60" customWidth="1"/>
    <col min="14894" max="14894" width="10" style="60" bestFit="1" customWidth="1"/>
    <col min="14895" max="14897" width="8.7109375" style="60" bestFit="1" customWidth="1"/>
    <col min="14898" max="14899" width="10" style="60" bestFit="1" customWidth="1"/>
    <col min="14900" max="14902" width="8.7109375" style="60" bestFit="1" customWidth="1"/>
    <col min="14903" max="14903" width="10" style="60" bestFit="1" customWidth="1"/>
    <col min="14904" max="14904" width="12.85546875" style="60" customWidth="1"/>
    <col min="14905" max="14906" width="10.42578125" style="60" customWidth="1"/>
    <col min="14907" max="14907" width="9.7109375" style="60" customWidth="1"/>
    <col min="14908" max="14908" width="12.5703125" style="60" customWidth="1"/>
    <col min="14909" max="14909" width="16.28515625" style="60" bestFit="1" customWidth="1"/>
    <col min="14910" max="14910" width="12.5703125" style="60" customWidth="1"/>
    <col min="14911" max="14911" width="12" style="60" customWidth="1"/>
    <col min="14912" max="14912" width="12.140625" style="60" customWidth="1"/>
    <col min="14913" max="14913" width="12.7109375" style="60" customWidth="1"/>
    <col min="14914" max="14914" width="16.28515625" style="60" bestFit="1" customWidth="1"/>
    <col min="14915" max="14915" width="12.140625" style="60" customWidth="1"/>
    <col min="14916" max="14916" width="12.28515625" style="60" customWidth="1"/>
    <col min="14917" max="14917" width="12.5703125" style="60" customWidth="1"/>
    <col min="14918" max="14918" width="13" style="60" customWidth="1"/>
    <col min="14919" max="14919" width="16.28515625" style="60" bestFit="1" customWidth="1"/>
    <col min="14920" max="14920" width="13.5703125" style="60" customWidth="1"/>
    <col min="14921" max="14921" width="14.140625" style="60" customWidth="1"/>
    <col min="14922" max="14922" width="14.42578125" style="60" customWidth="1"/>
    <col min="14923" max="14923" width="14.7109375" style="60" customWidth="1"/>
    <col min="14924" max="14924" width="16.28515625" style="60" bestFit="1" customWidth="1"/>
    <col min="14925" max="14959" width="0" style="60" hidden="1" customWidth="1"/>
    <col min="14960" max="15104" width="10.28515625" style="60"/>
    <col min="15105" max="15105" width="60" style="60" customWidth="1"/>
    <col min="15106" max="15134" width="0" style="60" hidden="1" customWidth="1"/>
    <col min="15135" max="15135" width="10" style="60" customWidth="1"/>
    <col min="15136" max="15139" width="0" style="60" hidden="1" customWidth="1"/>
    <col min="15140" max="15140" width="10" style="60" customWidth="1"/>
    <col min="15141" max="15143" width="9.5703125" style="60" customWidth="1"/>
    <col min="15144" max="15144" width="10" style="60" customWidth="1"/>
    <col min="15145" max="15145" width="10" style="60" bestFit="1" customWidth="1"/>
    <col min="15146" max="15148" width="9.5703125" style="60" customWidth="1"/>
    <col min="15149" max="15149" width="10" style="60" customWidth="1"/>
    <col min="15150" max="15150" width="10" style="60" bestFit="1" customWidth="1"/>
    <col min="15151" max="15153" width="8.7109375" style="60" bestFit="1" customWidth="1"/>
    <col min="15154" max="15155" width="10" style="60" bestFit="1" customWidth="1"/>
    <col min="15156" max="15158" width="8.7109375" style="60" bestFit="1" customWidth="1"/>
    <col min="15159" max="15159" width="10" style="60" bestFit="1" customWidth="1"/>
    <col min="15160" max="15160" width="12.85546875" style="60" customWidth="1"/>
    <col min="15161" max="15162" width="10.42578125" style="60" customWidth="1"/>
    <col min="15163" max="15163" width="9.7109375" style="60" customWidth="1"/>
    <col min="15164" max="15164" width="12.5703125" style="60" customWidth="1"/>
    <col min="15165" max="15165" width="16.28515625" style="60" bestFit="1" customWidth="1"/>
    <col min="15166" max="15166" width="12.5703125" style="60" customWidth="1"/>
    <col min="15167" max="15167" width="12" style="60" customWidth="1"/>
    <col min="15168" max="15168" width="12.140625" style="60" customWidth="1"/>
    <col min="15169" max="15169" width="12.7109375" style="60" customWidth="1"/>
    <col min="15170" max="15170" width="16.28515625" style="60" bestFit="1" customWidth="1"/>
    <col min="15171" max="15171" width="12.140625" style="60" customWidth="1"/>
    <col min="15172" max="15172" width="12.28515625" style="60" customWidth="1"/>
    <col min="15173" max="15173" width="12.5703125" style="60" customWidth="1"/>
    <col min="15174" max="15174" width="13" style="60" customWidth="1"/>
    <col min="15175" max="15175" width="16.28515625" style="60" bestFit="1" customWidth="1"/>
    <col min="15176" max="15176" width="13.5703125" style="60" customWidth="1"/>
    <col min="15177" max="15177" width="14.140625" style="60" customWidth="1"/>
    <col min="15178" max="15178" width="14.42578125" style="60" customWidth="1"/>
    <col min="15179" max="15179" width="14.7109375" style="60" customWidth="1"/>
    <col min="15180" max="15180" width="16.28515625" style="60" bestFit="1" customWidth="1"/>
    <col min="15181" max="15215" width="0" style="60" hidden="1" customWidth="1"/>
    <col min="15216" max="15360" width="10.28515625" style="60"/>
    <col min="15361" max="15361" width="60" style="60" customWidth="1"/>
    <col min="15362" max="15390" width="0" style="60" hidden="1" customWidth="1"/>
    <col min="15391" max="15391" width="10" style="60" customWidth="1"/>
    <col min="15392" max="15395" width="0" style="60" hidden="1" customWidth="1"/>
    <col min="15396" max="15396" width="10" style="60" customWidth="1"/>
    <col min="15397" max="15399" width="9.5703125" style="60" customWidth="1"/>
    <col min="15400" max="15400" width="10" style="60" customWidth="1"/>
    <col min="15401" max="15401" width="10" style="60" bestFit="1" customWidth="1"/>
    <col min="15402" max="15404" width="9.5703125" style="60" customWidth="1"/>
    <col min="15405" max="15405" width="10" style="60" customWidth="1"/>
    <col min="15406" max="15406" width="10" style="60" bestFit="1" customWidth="1"/>
    <col min="15407" max="15409" width="8.7109375" style="60" bestFit="1" customWidth="1"/>
    <col min="15410" max="15411" width="10" style="60" bestFit="1" customWidth="1"/>
    <col min="15412" max="15414" width="8.7109375" style="60" bestFit="1" customWidth="1"/>
    <col min="15415" max="15415" width="10" style="60" bestFit="1" customWidth="1"/>
    <col min="15416" max="15416" width="12.85546875" style="60" customWidth="1"/>
    <col min="15417" max="15418" width="10.42578125" style="60" customWidth="1"/>
    <col min="15419" max="15419" width="9.7109375" style="60" customWidth="1"/>
    <col min="15420" max="15420" width="12.5703125" style="60" customWidth="1"/>
    <col min="15421" max="15421" width="16.28515625" style="60" bestFit="1" customWidth="1"/>
    <col min="15422" max="15422" width="12.5703125" style="60" customWidth="1"/>
    <col min="15423" max="15423" width="12" style="60" customWidth="1"/>
    <col min="15424" max="15424" width="12.140625" style="60" customWidth="1"/>
    <col min="15425" max="15425" width="12.7109375" style="60" customWidth="1"/>
    <col min="15426" max="15426" width="16.28515625" style="60" bestFit="1" customWidth="1"/>
    <col min="15427" max="15427" width="12.140625" style="60" customWidth="1"/>
    <col min="15428" max="15428" width="12.28515625" style="60" customWidth="1"/>
    <col min="15429" max="15429" width="12.5703125" style="60" customWidth="1"/>
    <col min="15430" max="15430" width="13" style="60" customWidth="1"/>
    <col min="15431" max="15431" width="16.28515625" style="60" bestFit="1" customWidth="1"/>
    <col min="15432" max="15432" width="13.5703125" style="60" customWidth="1"/>
    <col min="15433" max="15433" width="14.140625" style="60" customWidth="1"/>
    <col min="15434" max="15434" width="14.42578125" style="60" customWidth="1"/>
    <col min="15435" max="15435" width="14.7109375" style="60" customWidth="1"/>
    <col min="15436" max="15436" width="16.28515625" style="60" bestFit="1" customWidth="1"/>
    <col min="15437" max="15471" width="0" style="60" hidden="1" customWidth="1"/>
    <col min="15472" max="15616" width="10.28515625" style="60"/>
    <col min="15617" max="15617" width="60" style="60" customWidth="1"/>
    <col min="15618" max="15646" width="0" style="60" hidden="1" customWidth="1"/>
    <col min="15647" max="15647" width="10" style="60" customWidth="1"/>
    <col min="15648" max="15651" width="0" style="60" hidden="1" customWidth="1"/>
    <col min="15652" max="15652" width="10" style="60" customWidth="1"/>
    <col min="15653" max="15655" width="9.5703125" style="60" customWidth="1"/>
    <col min="15656" max="15656" width="10" style="60" customWidth="1"/>
    <col min="15657" max="15657" width="10" style="60" bestFit="1" customWidth="1"/>
    <col min="15658" max="15660" width="9.5703125" style="60" customWidth="1"/>
    <col min="15661" max="15661" width="10" style="60" customWidth="1"/>
    <col min="15662" max="15662" width="10" style="60" bestFit="1" customWidth="1"/>
    <col min="15663" max="15665" width="8.7109375" style="60" bestFit="1" customWidth="1"/>
    <col min="15666" max="15667" width="10" style="60" bestFit="1" customWidth="1"/>
    <col min="15668" max="15670" width="8.7109375" style="60" bestFit="1" customWidth="1"/>
    <col min="15671" max="15671" width="10" style="60" bestFit="1" customWidth="1"/>
    <col min="15672" max="15672" width="12.85546875" style="60" customWidth="1"/>
    <col min="15673" max="15674" width="10.42578125" style="60" customWidth="1"/>
    <col min="15675" max="15675" width="9.7109375" style="60" customWidth="1"/>
    <col min="15676" max="15676" width="12.5703125" style="60" customWidth="1"/>
    <col min="15677" max="15677" width="16.28515625" style="60" bestFit="1" customWidth="1"/>
    <col min="15678" max="15678" width="12.5703125" style="60" customWidth="1"/>
    <col min="15679" max="15679" width="12" style="60" customWidth="1"/>
    <col min="15680" max="15680" width="12.140625" style="60" customWidth="1"/>
    <col min="15681" max="15681" width="12.7109375" style="60" customWidth="1"/>
    <col min="15682" max="15682" width="16.28515625" style="60" bestFit="1" customWidth="1"/>
    <col min="15683" max="15683" width="12.140625" style="60" customWidth="1"/>
    <col min="15684" max="15684" width="12.28515625" style="60" customWidth="1"/>
    <col min="15685" max="15685" width="12.5703125" style="60" customWidth="1"/>
    <col min="15686" max="15686" width="13" style="60" customWidth="1"/>
    <col min="15687" max="15687" width="16.28515625" style="60" bestFit="1" customWidth="1"/>
    <col min="15688" max="15688" width="13.5703125" style="60" customWidth="1"/>
    <col min="15689" max="15689" width="14.140625" style="60" customWidth="1"/>
    <col min="15690" max="15690" width="14.42578125" style="60" customWidth="1"/>
    <col min="15691" max="15691" width="14.7109375" style="60" customWidth="1"/>
    <col min="15692" max="15692" width="16.28515625" style="60" bestFit="1" customWidth="1"/>
    <col min="15693" max="15727" width="0" style="60" hidden="1" customWidth="1"/>
    <col min="15728" max="15872" width="10.28515625" style="60"/>
    <col min="15873" max="15873" width="60" style="60" customWidth="1"/>
    <col min="15874" max="15902" width="0" style="60" hidden="1" customWidth="1"/>
    <col min="15903" max="15903" width="10" style="60" customWidth="1"/>
    <col min="15904" max="15907" width="0" style="60" hidden="1" customWidth="1"/>
    <col min="15908" max="15908" width="10" style="60" customWidth="1"/>
    <col min="15909" max="15911" width="9.5703125" style="60" customWidth="1"/>
    <col min="15912" max="15912" width="10" style="60" customWidth="1"/>
    <col min="15913" max="15913" width="10" style="60" bestFit="1" customWidth="1"/>
    <col min="15914" max="15916" width="9.5703125" style="60" customWidth="1"/>
    <col min="15917" max="15917" width="10" style="60" customWidth="1"/>
    <col min="15918" max="15918" width="10" style="60" bestFit="1" customWidth="1"/>
    <col min="15919" max="15921" width="8.7109375" style="60" bestFit="1" customWidth="1"/>
    <col min="15922" max="15923" width="10" style="60" bestFit="1" customWidth="1"/>
    <col min="15924" max="15926" width="8.7109375" style="60" bestFit="1" customWidth="1"/>
    <col min="15927" max="15927" width="10" style="60" bestFit="1" customWidth="1"/>
    <col min="15928" max="15928" width="12.85546875" style="60" customWidth="1"/>
    <col min="15929" max="15930" width="10.42578125" style="60" customWidth="1"/>
    <col min="15931" max="15931" width="9.7109375" style="60" customWidth="1"/>
    <col min="15932" max="15932" width="12.5703125" style="60" customWidth="1"/>
    <col min="15933" max="15933" width="16.28515625" style="60" bestFit="1" customWidth="1"/>
    <col min="15934" max="15934" width="12.5703125" style="60" customWidth="1"/>
    <col min="15935" max="15935" width="12" style="60" customWidth="1"/>
    <col min="15936" max="15936" width="12.140625" style="60" customWidth="1"/>
    <col min="15937" max="15937" width="12.7109375" style="60" customWidth="1"/>
    <col min="15938" max="15938" width="16.28515625" style="60" bestFit="1" customWidth="1"/>
    <col min="15939" max="15939" width="12.140625" style="60" customWidth="1"/>
    <col min="15940" max="15940" width="12.28515625" style="60" customWidth="1"/>
    <col min="15941" max="15941" width="12.5703125" style="60" customWidth="1"/>
    <col min="15942" max="15942" width="13" style="60" customWidth="1"/>
    <col min="15943" max="15943" width="16.28515625" style="60" bestFit="1" customWidth="1"/>
    <col min="15944" max="15944" width="13.5703125" style="60" customWidth="1"/>
    <col min="15945" max="15945" width="14.140625" style="60" customWidth="1"/>
    <col min="15946" max="15946" width="14.42578125" style="60" customWidth="1"/>
    <col min="15947" max="15947" width="14.7109375" style="60" customWidth="1"/>
    <col min="15948" max="15948" width="16.28515625" style="60" bestFit="1" customWidth="1"/>
    <col min="15949" max="15983" width="0" style="60" hidden="1" customWidth="1"/>
    <col min="15984" max="16128" width="10.28515625" style="60"/>
    <col min="16129" max="16129" width="60" style="60" customWidth="1"/>
    <col min="16130" max="16158" width="0" style="60" hidden="1" customWidth="1"/>
    <col min="16159" max="16159" width="10" style="60" customWidth="1"/>
    <col min="16160" max="16163" width="0" style="60" hidden="1" customWidth="1"/>
    <col min="16164" max="16164" width="10" style="60" customWidth="1"/>
    <col min="16165" max="16167" width="9.5703125" style="60" customWidth="1"/>
    <col min="16168" max="16168" width="10" style="60" customWidth="1"/>
    <col min="16169" max="16169" width="10" style="60" bestFit="1" customWidth="1"/>
    <col min="16170" max="16172" width="9.5703125" style="60" customWidth="1"/>
    <col min="16173" max="16173" width="10" style="60" customWidth="1"/>
    <col min="16174" max="16174" width="10" style="60" bestFit="1" customWidth="1"/>
    <col min="16175" max="16177" width="8.7109375" style="60" bestFit="1" customWidth="1"/>
    <col min="16178" max="16179" width="10" style="60" bestFit="1" customWidth="1"/>
    <col min="16180" max="16182" width="8.7109375" style="60" bestFit="1" customWidth="1"/>
    <col min="16183" max="16183" width="10" style="60" bestFit="1" customWidth="1"/>
    <col min="16184" max="16184" width="12.85546875" style="60" customWidth="1"/>
    <col min="16185" max="16186" width="10.42578125" style="60" customWidth="1"/>
    <col min="16187" max="16187" width="9.7109375" style="60" customWidth="1"/>
    <col min="16188" max="16188" width="12.5703125" style="60" customWidth="1"/>
    <col min="16189" max="16189" width="16.28515625" style="60" bestFit="1" customWidth="1"/>
    <col min="16190" max="16190" width="12.5703125" style="60" customWidth="1"/>
    <col min="16191" max="16191" width="12" style="60" customWidth="1"/>
    <col min="16192" max="16192" width="12.140625" style="60" customWidth="1"/>
    <col min="16193" max="16193" width="12.7109375" style="60" customWidth="1"/>
    <col min="16194" max="16194" width="16.28515625" style="60" bestFit="1" customWidth="1"/>
    <col min="16195" max="16195" width="12.140625" style="60" customWidth="1"/>
    <col min="16196" max="16196" width="12.28515625" style="60" customWidth="1"/>
    <col min="16197" max="16197" width="12.5703125" style="60" customWidth="1"/>
    <col min="16198" max="16198" width="13" style="60" customWidth="1"/>
    <col min="16199" max="16199" width="16.28515625" style="60" bestFit="1" customWidth="1"/>
    <col min="16200" max="16200" width="13.5703125" style="60" customWidth="1"/>
    <col min="16201" max="16201" width="14.140625" style="60" customWidth="1"/>
    <col min="16202" max="16202" width="14.42578125" style="60" customWidth="1"/>
    <col min="16203" max="16203" width="14.7109375" style="60" customWidth="1"/>
    <col min="16204" max="16204" width="16.28515625" style="60" bestFit="1" customWidth="1"/>
    <col min="16205" max="16239" width="0" style="60" hidden="1" customWidth="1"/>
    <col min="16240" max="16384" width="10.28515625" style="60"/>
  </cols>
  <sheetData>
    <row r="1" spans="1:112" s="7" customFormat="1" ht="48" thickBot="1">
      <c r="A1" s="1" t="s">
        <v>660</v>
      </c>
      <c r="B1" s="2" t="s">
        <v>165</v>
      </c>
      <c r="C1" s="2" t="s">
        <v>166</v>
      </c>
      <c r="D1" s="2" t="s">
        <v>167</v>
      </c>
      <c r="E1" s="2" t="s">
        <v>168</v>
      </c>
      <c r="F1" s="2" t="s">
        <v>169</v>
      </c>
      <c r="G1" s="3" t="s">
        <v>170</v>
      </c>
      <c r="H1" s="3" t="s">
        <v>171</v>
      </c>
      <c r="I1" s="3" t="s">
        <v>172</v>
      </c>
      <c r="J1" s="3" t="s">
        <v>173</v>
      </c>
      <c r="K1" s="2" t="s">
        <v>174</v>
      </c>
      <c r="L1" s="3" t="s">
        <v>175</v>
      </c>
      <c r="M1" s="3" t="s">
        <v>176</v>
      </c>
      <c r="N1" s="3" t="s">
        <v>177</v>
      </c>
      <c r="O1" s="3" t="s">
        <v>178</v>
      </c>
      <c r="P1" s="2" t="s">
        <v>179</v>
      </c>
      <c r="Q1" s="3" t="s">
        <v>180</v>
      </c>
      <c r="R1" s="3" t="s">
        <v>181</v>
      </c>
      <c r="S1" s="3" t="s">
        <v>182</v>
      </c>
      <c r="T1" s="3" t="s">
        <v>183</v>
      </c>
      <c r="U1" s="2" t="s">
        <v>184</v>
      </c>
      <c r="V1" s="3" t="s">
        <v>185</v>
      </c>
      <c r="W1" s="3" t="s">
        <v>186</v>
      </c>
      <c r="X1" s="3" t="s">
        <v>187</v>
      </c>
      <c r="Y1" s="3" t="s">
        <v>188</v>
      </c>
      <c r="Z1" s="2" t="s">
        <v>189</v>
      </c>
      <c r="AA1" s="3" t="s">
        <v>190</v>
      </c>
      <c r="AB1" s="3" t="s">
        <v>191</v>
      </c>
      <c r="AC1" s="3" t="s">
        <v>192</v>
      </c>
      <c r="AD1" s="3" t="s">
        <v>193</v>
      </c>
      <c r="AE1" s="2" t="s">
        <v>194</v>
      </c>
      <c r="AF1" s="3" t="s">
        <v>195</v>
      </c>
      <c r="AG1" s="3" t="s">
        <v>196</v>
      </c>
      <c r="AH1" s="3" t="s">
        <v>197</v>
      </c>
      <c r="AI1" s="3" t="s">
        <v>198</v>
      </c>
      <c r="AJ1" s="2" t="s">
        <v>199</v>
      </c>
      <c r="AK1" s="3" t="s">
        <v>200</v>
      </c>
      <c r="AL1" s="3" t="s">
        <v>201</v>
      </c>
      <c r="AM1" s="3" t="s">
        <v>202</v>
      </c>
      <c r="AN1" s="3" t="s">
        <v>203</v>
      </c>
      <c r="AO1" s="2" t="s">
        <v>204</v>
      </c>
      <c r="AP1" s="3" t="s">
        <v>205</v>
      </c>
      <c r="AQ1" s="3" t="s">
        <v>206</v>
      </c>
      <c r="AR1" s="3" t="s">
        <v>207</v>
      </c>
      <c r="AS1" s="3" t="s">
        <v>208</v>
      </c>
      <c r="AT1" s="2" t="s">
        <v>209</v>
      </c>
      <c r="AU1" s="3" t="s">
        <v>810</v>
      </c>
      <c r="AV1" s="3" t="s">
        <v>811</v>
      </c>
      <c r="AW1" s="3" t="s">
        <v>812</v>
      </c>
      <c r="AX1" s="3" t="s">
        <v>813</v>
      </c>
      <c r="AY1" s="5" t="s">
        <v>814</v>
      </c>
      <c r="AZ1" s="4" t="s">
        <v>815</v>
      </c>
      <c r="BA1" s="4" t="s">
        <v>816</v>
      </c>
      <c r="BB1" s="4" t="s">
        <v>817</v>
      </c>
      <c r="BC1" s="4" t="s">
        <v>818</v>
      </c>
      <c r="BD1" s="5" t="s">
        <v>819</v>
      </c>
      <c r="BE1" s="4" t="s">
        <v>820</v>
      </c>
      <c r="BF1" s="4" t="s">
        <v>821</v>
      </c>
      <c r="BG1" s="4" t="s">
        <v>822</v>
      </c>
      <c r="BH1" s="4" t="s">
        <v>823</v>
      </c>
      <c r="BI1" s="5" t="s">
        <v>824</v>
      </c>
      <c r="BJ1" s="4" t="s">
        <v>825</v>
      </c>
      <c r="BK1" s="4" t="s">
        <v>826</v>
      </c>
      <c r="BL1" s="4" t="s">
        <v>827</v>
      </c>
      <c r="BM1" s="4" t="s">
        <v>828</v>
      </c>
      <c r="BN1" s="5" t="s">
        <v>829</v>
      </c>
      <c r="BO1" s="4" t="s">
        <v>830</v>
      </c>
      <c r="BP1" s="4" t="s">
        <v>831</v>
      </c>
      <c r="BQ1" s="4" t="s">
        <v>837</v>
      </c>
      <c r="BR1" s="4" t="s">
        <v>838</v>
      </c>
      <c r="BS1" s="5" t="s">
        <v>839</v>
      </c>
      <c r="BT1" s="4" t="s">
        <v>842</v>
      </c>
      <c r="BU1" s="4" t="s">
        <v>843</v>
      </c>
      <c r="BV1" s="4" t="s">
        <v>846</v>
      </c>
      <c r="BW1" s="4" t="s">
        <v>865</v>
      </c>
      <c r="BX1" s="5" t="s">
        <v>866</v>
      </c>
      <c r="BY1" s="3" t="s">
        <v>867</v>
      </c>
      <c r="BZ1" s="3" t="s">
        <v>874</v>
      </c>
      <c r="CA1" s="3" t="s">
        <v>889</v>
      </c>
      <c r="CB1" s="3" t="s">
        <v>890</v>
      </c>
      <c r="CC1" s="2" t="s">
        <v>891</v>
      </c>
      <c r="CD1" s="3" t="s">
        <v>892</v>
      </c>
      <c r="CE1" s="3" t="s">
        <v>893</v>
      </c>
      <c r="CF1" s="3" t="s">
        <v>894</v>
      </c>
      <c r="CG1" s="3" t="s">
        <v>895</v>
      </c>
      <c r="CH1" s="2" t="s">
        <v>896</v>
      </c>
      <c r="CI1" s="3" t="s">
        <v>897</v>
      </c>
      <c r="CJ1" s="3" t="s">
        <v>898</v>
      </c>
      <c r="CK1" s="3" t="s">
        <v>904</v>
      </c>
      <c r="CL1" s="3" t="s">
        <v>905</v>
      </c>
      <c r="CM1" s="2" t="s">
        <v>906</v>
      </c>
      <c r="CN1" s="3" t="s">
        <v>907</v>
      </c>
      <c r="CO1" s="3" t="s">
        <v>908</v>
      </c>
      <c r="CP1" s="3" t="s">
        <v>909</v>
      </c>
      <c r="CQ1" s="3" t="s">
        <v>210</v>
      </c>
      <c r="CR1" s="2" t="s">
        <v>211</v>
      </c>
      <c r="CS1" s="3" t="s">
        <v>212</v>
      </c>
      <c r="CT1" s="3" t="s">
        <v>213</v>
      </c>
      <c r="CU1" s="3" t="s">
        <v>214</v>
      </c>
      <c r="CV1" s="3" t="s">
        <v>215</v>
      </c>
      <c r="CW1" s="2" t="s">
        <v>216</v>
      </c>
      <c r="CX1" s="3" t="s">
        <v>217</v>
      </c>
      <c r="CY1" s="3" t="s">
        <v>218</v>
      </c>
      <c r="CZ1" s="3" t="s">
        <v>219</v>
      </c>
      <c r="DA1" s="3" t="s">
        <v>220</v>
      </c>
      <c r="DB1" s="2" t="s">
        <v>221</v>
      </c>
      <c r="DC1" s="4" t="s">
        <v>222</v>
      </c>
      <c r="DD1" s="4" t="s">
        <v>223</v>
      </c>
      <c r="DE1" s="4" t="s">
        <v>224</v>
      </c>
      <c r="DF1" s="4" t="s">
        <v>225</v>
      </c>
      <c r="DG1" s="5" t="s">
        <v>226</v>
      </c>
      <c r="DH1" s="6"/>
    </row>
    <row r="2" spans="1:112" s="7" customFormat="1" ht="15.75">
      <c r="A2" s="8" t="s">
        <v>227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10"/>
    </row>
    <row r="3" spans="1:112" s="7" customFormat="1">
      <c r="A3" s="11" t="s">
        <v>228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>
        <f>'Income Statement'!P10/1000</f>
        <v>1116.681</v>
      </c>
      <c r="AP3" s="12">
        <f>'Income Statement'!Q10/1000</f>
        <v>287.49099999999999</v>
      </c>
      <c r="AQ3" s="12">
        <f>'Income Statement'!R10/1000</f>
        <v>371.29599999999999</v>
      </c>
      <c r="AR3" s="12">
        <f>'Income Statement'!S10/1000</f>
        <v>414.82400000000001</v>
      </c>
      <c r="AS3" s="12">
        <f>'Income Statement'!T10/1000</f>
        <v>924.928</v>
      </c>
      <c r="AT3" s="12">
        <f>'Income Statement'!U10/1000</f>
        <v>1998.539</v>
      </c>
      <c r="AU3" s="12">
        <f>'Income Statement'!V10/1000</f>
        <v>550.84500000000003</v>
      </c>
      <c r="AV3" s="12">
        <f>'Income Statement'!W10/1000</f>
        <v>794.88099999999997</v>
      </c>
      <c r="AW3" s="12">
        <f>'Income Statement'!X10/1000</f>
        <v>750.71699999999998</v>
      </c>
      <c r="AX3" s="12">
        <f>'Income Statement'!Y10/1000</f>
        <v>750.99800000000005</v>
      </c>
      <c r="AY3" s="12">
        <f>'Income Statement'!Z10/1000</f>
        <v>2847.4409999999998</v>
      </c>
      <c r="AZ3" s="12">
        <f>'Income Statement'!AA10/1000</f>
        <v>671.45399999999995</v>
      </c>
      <c r="BA3" s="12">
        <f>'Income Statement'!AB10/1000</f>
        <v>875.6</v>
      </c>
      <c r="BB3" s="12">
        <f>'Income Statement'!AC10/1000</f>
        <v>1348.8679999999999</v>
      </c>
      <c r="BC3" s="12">
        <f>'Income Statement'!AD10/1000</f>
        <v>1191.903</v>
      </c>
      <c r="BD3" s="12">
        <f>'Income Statement'!AE10/1000</f>
        <v>4087.8249999999998</v>
      </c>
      <c r="BE3" s="12">
        <f>'Income Statement'!AF10/1000</f>
        <v>1132.4480000000001</v>
      </c>
      <c r="BF3" s="12">
        <f>'Income Statement'!AG10/1000</f>
        <v>1205.835</v>
      </c>
      <c r="BG3" s="12">
        <f>'Income Statement'!AH10/1000</f>
        <v>1162.549</v>
      </c>
      <c r="BH3" s="12">
        <f>'Income Statement'!AI10/1000</f>
        <v>1389.2729999999999</v>
      </c>
      <c r="BI3" s="12">
        <f>'Income Statement'!AJ10/1000</f>
        <v>4890.1049999999996</v>
      </c>
      <c r="BJ3" s="12">
        <f>'Income Statement'!AK10/1000</f>
        <v>1200.742</v>
      </c>
      <c r="BK3" s="12">
        <f>'Income Statement'!AL10/1000</f>
        <v>1382.884</v>
      </c>
      <c r="BL3" s="12">
        <f>'Income Statement'!AM10/1000</f>
        <v>1559.6020000000001</v>
      </c>
      <c r="BM3" s="12">
        <f>'Income Statement'!AN10/1000</f>
        <v>1983.5530000000001</v>
      </c>
      <c r="BN3" s="12">
        <f>'Income Statement'!AO10/1000</f>
        <v>6126.7809999999999</v>
      </c>
      <c r="BO3" s="12">
        <f>'Income Statement'!AP10/1000</f>
        <v>1466.3430000000001</v>
      </c>
      <c r="BP3" s="12">
        <f>'Income Statement'!AQ10/1000</f>
        <v>1385.2629999999999</v>
      </c>
      <c r="BQ3" s="12">
        <f>'Income Statement'!AR10/1000</f>
        <v>1349.952</v>
      </c>
      <c r="BR3" s="12">
        <f>'Income Statement'!AS10/1000</f>
        <v>1431.1210000000001</v>
      </c>
      <c r="BS3" s="12">
        <f>'Income Statement'!AT10/1000</f>
        <v>5632.6790000000001</v>
      </c>
      <c r="BT3" s="12">
        <f>'Income Statement'!AU10/1000</f>
        <v>1215.3699999999999</v>
      </c>
      <c r="BU3" s="12">
        <f>'Income Statement'!AV10/1000</f>
        <v>1372.4190000000001</v>
      </c>
      <c r="BV3" s="12">
        <f>'Income Statement'!AW10/1000</f>
        <v>1394.4480000000001</v>
      </c>
      <c r="BW3" s="12">
        <f>'Income Statement'!AX10/1000</f>
        <v>1389.645</v>
      </c>
      <c r="BX3" s="12">
        <f>'Income Statement'!AY10/1000</f>
        <v>5371.8819999999996</v>
      </c>
      <c r="BY3" s="12">
        <f>'Income Statement'!AZ10/1000</f>
        <v>1315.3620000000001</v>
      </c>
      <c r="BZ3" s="12">
        <f>'Income Statement'!BA10/1000</f>
        <v>1358.3309999999999</v>
      </c>
      <c r="CA3" s="12">
        <f>'Income Statement'!BB10/1000</f>
        <v>1613.6959999999999</v>
      </c>
      <c r="CB3" s="12">
        <f>'Income Statement'!BC10/1000</f>
        <v>1530.538</v>
      </c>
      <c r="CC3" s="12">
        <f>'Income Statement'!BD10/1000</f>
        <v>5817.9269999999997</v>
      </c>
      <c r="CD3" s="12">
        <f>'Income Statement'!BE10/1000</f>
        <v>1035.2139999999999</v>
      </c>
      <c r="CE3" s="12">
        <f>'Income Statement'!BF10/1000</f>
        <v>1137.683</v>
      </c>
      <c r="CF3" s="12">
        <f>'Income Statement'!BG10/1000</f>
        <v>1137.7329999999999</v>
      </c>
      <c r="CG3" s="12">
        <f>'Income Statement'!BH10/1000</f>
        <v>1030.5540000000001</v>
      </c>
      <c r="CI3" s="12">
        <f>'Income Statement'!BJ10/1000</f>
        <v>810.70600000000002</v>
      </c>
      <c r="CJ3" s="12">
        <f>'Income Statement'!BK10/1000</f>
        <v>641.03300000000002</v>
      </c>
      <c r="CK3" s="12">
        <f>'Income Statement'!BL10/1000</f>
        <v>824.80700000000002</v>
      </c>
      <c r="CL3" s="12">
        <f>'Income Statement'!BM10/1000</f>
        <v>918.76400000000001</v>
      </c>
      <c r="CM3" s="12">
        <f>'Income Statement'!BN10/1000</f>
        <v>3195.31</v>
      </c>
      <c r="CN3" s="12">
        <f>'Income Statement'!BO10/1000</f>
        <v>692.38699999999994</v>
      </c>
      <c r="CO3" s="12">
        <f>'Income Statement'!BP10/1000</f>
        <v>574.75599999999997</v>
      </c>
      <c r="CP3" s="12">
        <f>'Income Statement'!BQ10/1000</f>
        <v>597.827</v>
      </c>
      <c r="CQ3" s="12">
        <f>'Income Statement'!BR10/1000</f>
        <v>808.8</v>
      </c>
      <c r="CR3" s="12">
        <f>'Income Statement'!BS10/1000</f>
        <v>2673.77</v>
      </c>
      <c r="CS3" s="12">
        <f>'Income Statement'!BT10/1000</f>
        <v>450.62200000000001</v>
      </c>
      <c r="CT3" s="12">
        <f>'Income Statement'!BU10/1000</f>
        <v>639.53899999999999</v>
      </c>
      <c r="CU3" s="12">
        <f>'Income Statement'!BV10/1000</f>
        <v>724.82500000000005</v>
      </c>
      <c r="CV3" s="12">
        <f>'Income Statement'!BW10/1000</f>
        <v>1077.171</v>
      </c>
      <c r="CW3" s="12">
        <f>'Income Statement'!BX10/1000</f>
        <v>2892.1570000000002</v>
      </c>
      <c r="CX3" s="12">
        <f>'Income Statement'!BY10/1000</f>
        <v>826.23599999999999</v>
      </c>
      <c r="CY3" s="12">
        <f>'Income Statement'!BZ10/1000</f>
        <v>936.62199999999996</v>
      </c>
      <c r="CZ3" s="12">
        <f>'Income Statement'!CA10/1000</f>
        <v>934.75900000000001</v>
      </c>
      <c r="DA3" s="12">
        <f>'Income Statement'!CB10/1000</f>
        <v>1233.2059999999999</v>
      </c>
      <c r="DB3" s="12">
        <f>'Income Statement'!CC10/1000</f>
        <v>3930.8229999999999</v>
      </c>
      <c r="DC3" s="12">
        <f>'Income Statement'!CD10/1000</f>
        <v>764.755</v>
      </c>
      <c r="DD3" s="12">
        <f>'Income Statement'!CE10/1000</f>
        <v>838.80799999999999</v>
      </c>
      <c r="DE3" s="12">
        <f>'Income Statement'!CF10/1000</f>
        <v>1163.5029999999999</v>
      </c>
      <c r="DF3" s="12">
        <f>'Income Statement'!CG10/1000</f>
        <v>1056.6300000000001</v>
      </c>
      <c r="DG3" s="12">
        <f>'Income Statement'!CH10/1000</f>
        <v>3823.6959999999999</v>
      </c>
      <c r="DH3" s="10"/>
    </row>
    <row r="4" spans="1:112" s="7" customFormat="1">
      <c r="A4" s="11" t="s">
        <v>229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>
        <f>'Income Statement'!P11/1000</f>
        <v>-645.17399999999998</v>
      </c>
      <c r="AP4" s="12">
        <f>'Income Statement'!Q11/1000</f>
        <v>-175.29300000000001</v>
      </c>
      <c r="AQ4" s="12">
        <f>'Income Statement'!R11/1000</f>
        <v>-214.92400000000001</v>
      </c>
      <c r="AR4" s="12">
        <f>'Income Statement'!S11/1000</f>
        <v>-234.33699999999999</v>
      </c>
      <c r="AS4" s="12">
        <f>'Income Statement'!T11/1000</f>
        <v>-597.01300000000003</v>
      </c>
      <c r="AT4" s="12">
        <f>'Income Statement'!U11/1000</f>
        <v>-1221.567</v>
      </c>
      <c r="AU4" s="12">
        <f>'Income Statement'!V11/1000</f>
        <v>-331.34100000000001</v>
      </c>
      <c r="AV4" s="12">
        <f>'Income Statement'!W11/1000</f>
        <v>-484.09199999999998</v>
      </c>
      <c r="AW4" s="12">
        <f>'Income Statement'!X11/1000</f>
        <v>-445.04599999999999</v>
      </c>
      <c r="AX4" s="12">
        <f>'Income Statement'!Y11/1000</f>
        <v>-504.38200000000001</v>
      </c>
      <c r="AY4" s="12">
        <f>'Income Statement'!Z11/1000</f>
        <v>-1764.8610000000001</v>
      </c>
      <c r="AZ4" s="12">
        <f>'Income Statement'!AA11/1000</f>
        <v>-419.36900000000003</v>
      </c>
      <c r="BA4" s="12">
        <f>'Income Statement'!AB11/1000</f>
        <v>-575.73199999999997</v>
      </c>
      <c r="BB4" s="12">
        <f>'Income Statement'!AC11/1000</f>
        <v>-890.29600000000005</v>
      </c>
      <c r="BC4" s="12">
        <f>'Income Statement'!AD11/1000</f>
        <v>-793.17399999999998</v>
      </c>
      <c r="BD4" s="12">
        <f>'Income Statement'!AE11/1000</f>
        <v>-2678.5709999999999</v>
      </c>
      <c r="BE4" s="12">
        <f>'Income Statement'!AF11/1000</f>
        <v>-737.83100000000002</v>
      </c>
      <c r="BF4" s="12">
        <f>'Income Statement'!AG11/1000</f>
        <v>-812.79399999999998</v>
      </c>
      <c r="BG4" s="12">
        <f>'Income Statement'!AH11/1000</f>
        <v>-753.58500000000004</v>
      </c>
      <c r="BH4" s="12">
        <f>'Income Statement'!AI11/1000</f>
        <v>-1049.2650000000001</v>
      </c>
      <c r="BI4" s="12">
        <f>'Income Statement'!AJ11/1000</f>
        <v>-3353.4749999999999</v>
      </c>
      <c r="BJ4" s="12">
        <f>'Income Statement'!AK11/1000</f>
        <v>-872.029</v>
      </c>
      <c r="BK4" s="12">
        <f>'Income Statement'!AL11/1000</f>
        <v>-1000.388</v>
      </c>
      <c r="BL4" s="12">
        <f>'Income Statement'!AM11/1000</f>
        <v>-1113.6410000000001</v>
      </c>
      <c r="BM4" s="12">
        <f>'Income Statement'!AN11/1000</f>
        <v>-1407.2329999999999</v>
      </c>
      <c r="BN4" s="12">
        <f>'Income Statement'!AO11/1000</f>
        <v>-4393.2910000000002</v>
      </c>
      <c r="BO4" s="12">
        <f>'Income Statement'!AP11/1000</f>
        <v>-1006.468</v>
      </c>
      <c r="BP4" s="12">
        <f>'Income Statement'!AQ11/1000</f>
        <v>-973.69200000000001</v>
      </c>
      <c r="BQ4" s="12">
        <f>'Income Statement'!AR11/1000</f>
        <v>-921.66600000000005</v>
      </c>
      <c r="BR4" s="12">
        <f>'Income Statement'!AS11/1000</f>
        <v>-912.04100000000005</v>
      </c>
      <c r="BS4" s="12">
        <f>'Income Statement'!AT11/1000</f>
        <v>-3813.8670000000002</v>
      </c>
      <c r="BT4" s="12">
        <f>'Income Statement'!AU11/1000</f>
        <v>-818.35</v>
      </c>
      <c r="BU4" s="12">
        <f>'Income Statement'!AV11/1000</f>
        <v>-924.64499999999998</v>
      </c>
      <c r="BV4" s="12">
        <f>'Income Statement'!AW11/1000</f>
        <v>-937.19799999999998</v>
      </c>
      <c r="BW4" s="12">
        <f>'Income Statement'!AX11/1000</f>
        <v>-932.4</v>
      </c>
      <c r="BX4" s="12">
        <f>'Income Statement'!AY11/1000</f>
        <v>-3612.5929999999998</v>
      </c>
      <c r="BY4" s="12">
        <f>'Income Statement'!AZ11/1000</f>
        <v>-877.70699999999999</v>
      </c>
      <c r="BZ4" s="12">
        <f>'Income Statement'!BA11/1000</f>
        <v>-904.779</v>
      </c>
      <c r="CA4" s="12">
        <f>'Income Statement'!BB11/1000</f>
        <v>-1130.9649999999999</v>
      </c>
      <c r="CB4" s="12">
        <f>'Income Statement'!BC11/1000</f>
        <v>-1035.73</v>
      </c>
      <c r="CC4" s="12">
        <f>'Income Statement'!BD11/1000</f>
        <v>-3949.181</v>
      </c>
      <c r="CD4" s="12">
        <f>'Income Statement'!BE11/1000</f>
        <v>-674.60299999999995</v>
      </c>
      <c r="CE4" s="12">
        <f>'Income Statement'!BF11/1000</f>
        <v>-738.62699999999995</v>
      </c>
      <c r="CF4" s="12">
        <f>'Income Statement'!BG11/1000</f>
        <v>-743.21900000000005</v>
      </c>
      <c r="CG4" s="12">
        <f>'Income Statement'!BH11/1000</f>
        <v>-681.65599999999995</v>
      </c>
      <c r="CI4" s="12">
        <f>'Income Statement'!BJ11/1000</f>
        <v>-528.44500000000005</v>
      </c>
      <c r="CJ4" s="12">
        <f>'Income Statement'!BK11/1000</f>
        <v>-387.10300000000001</v>
      </c>
      <c r="CK4" s="12">
        <f>'Income Statement'!BL11/1000</f>
        <v>-563.38599999999997</v>
      </c>
      <c r="CL4" s="12">
        <f>'Income Statement'!BM11/1000</f>
        <v>-653.85299999999995</v>
      </c>
      <c r="CM4" s="12">
        <f>'Income Statement'!BN11/1000</f>
        <v>-2132.7869999999998</v>
      </c>
      <c r="CN4" s="12">
        <f>'Income Statement'!BO11/1000</f>
        <v>-477.37</v>
      </c>
      <c r="CO4" s="12">
        <f>'Income Statement'!BP11/1000</f>
        <v>-421.16699999999997</v>
      </c>
      <c r="CP4" s="12">
        <f>'Income Statement'!BQ11/1000</f>
        <v>-450.495</v>
      </c>
      <c r="CQ4" s="12">
        <f>'Income Statement'!BR11/1000</f>
        <v>-590.22500000000002</v>
      </c>
      <c r="CR4" s="12">
        <f>'Income Statement'!BS11/1000</f>
        <v>-1939.2570000000001</v>
      </c>
      <c r="CS4" s="12">
        <f>'Income Statement'!BT11/1000</f>
        <v>-325.839</v>
      </c>
      <c r="CT4" s="12">
        <f>'Income Statement'!BU11/1000</f>
        <v>-468.24200000000002</v>
      </c>
      <c r="CU4" s="12">
        <f>'Income Statement'!BV11/1000</f>
        <v>-520.04899999999998</v>
      </c>
      <c r="CV4" s="12">
        <f>'Income Statement'!BW11/1000</f>
        <v>-763.1</v>
      </c>
      <c r="CW4" s="12">
        <f>'Income Statement'!BX11/1000</f>
        <v>-2077.23</v>
      </c>
      <c r="CX4" s="12">
        <f>'Income Statement'!BY11/1000</f>
        <v>-577.34699999999998</v>
      </c>
      <c r="CY4" s="12">
        <f>'Income Statement'!BZ11/1000</f>
        <v>-643.66200000000003</v>
      </c>
      <c r="CZ4" s="12">
        <f>'Income Statement'!CA11/1000</f>
        <v>-645.83199999999999</v>
      </c>
      <c r="DA4" s="12">
        <f>'Income Statement'!CB11/1000</f>
        <v>-848.26800000000003</v>
      </c>
      <c r="DB4" s="12">
        <f>'Income Statement'!CC11/1000</f>
        <v>-2715.1089999999999</v>
      </c>
      <c r="DC4" s="12">
        <f>'Income Statement'!CD11/1000</f>
        <v>-503.9</v>
      </c>
      <c r="DD4" s="12">
        <f>'Income Statement'!CE11/1000</f>
        <v>-563.93700000000001</v>
      </c>
      <c r="DE4" s="12">
        <f>'Income Statement'!CF11/1000</f>
        <v>-784.92200000000003</v>
      </c>
      <c r="DF4" s="12">
        <f>'Income Statement'!CG11/1000</f>
        <v>-720.55399999999997</v>
      </c>
      <c r="DG4" s="12">
        <f>'Income Statement'!CH11/1000</f>
        <v>-2573.3130000000001</v>
      </c>
      <c r="DH4" s="10"/>
    </row>
    <row r="5" spans="1:112" s="7" customFormat="1">
      <c r="A5" s="13" t="s">
        <v>230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0"/>
    </row>
    <row r="6" spans="1:112" s="7" customFormat="1">
      <c r="A6" s="11" t="s">
        <v>231</v>
      </c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>
        <f>'Income Statement'!P17/1000+'Income Statement'!P20/1000+'Income Statement'!P33/1000+'Income Statement'!P43/1000</f>
        <v>-215.64</v>
      </c>
      <c r="AP6" s="12">
        <f>'Income Statement'!Q17/1000+'Income Statement'!Q20/1000+'Income Statement'!Q33/1000+'Income Statement'!Q43/1000</f>
        <v>-60.652000000000008</v>
      </c>
      <c r="AQ6" s="12">
        <f>'Income Statement'!R17/1000+'Income Statement'!R20/1000+'Income Statement'!R33/1000+'Income Statement'!R43/1000</f>
        <v>-73.483000000000004</v>
      </c>
      <c r="AR6" s="12">
        <f>'Income Statement'!S17/1000+'Income Statement'!S20/1000+'Income Statement'!S33/1000+'Income Statement'!S43/1000</f>
        <v>-81.23599999999999</v>
      </c>
      <c r="AS6" s="12">
        <f>'Income Statement'!T17/1000+'Income Statement'!T20/1000+'Income Statement'!T33/1000+'Income Statement'!T43/1000</f>
        <v>-203.649</v>
      </c>
      <c r="AT6" s="12">
        <f>'Income Statement'!U17/1000+'Income Statement'!U20/1000+'Income Statement'!U33/1000+'Income Statement'!U43/1000</f>
        <v>-419.02</v>
      </c>
      <c r="AU6" s="12">
        <f>'Income Statement'!V17/1000+'Income Statement'!V20/1000+'Income Statement'!V33/1000+'Income Statement'!V43/1000</f>
        <v>-117.286</v>
      </c>
      <c r="AV6" s="12">
        <f>'Income Statement'!W17/1000+'Income Statement'!W20/1000+'Income Statement'!W33/1000+'Income Statement'!W43/1000</f>
        <v>-176.10300000000001</v>
      </c>
      <c r="AW6" s="12">
        <f>'Income Statement'!X17/1000+'Income Statement'!X20/1000+'Income Statement'!X33/1000+'Income Statement'!X43/1000</f>
        <v>-160.60499999999999</v>
      </c>
      <c r="AX6" s="12">
        <f>'Income Statement'!Y17/1000+'Income Statement'!Y20/1000+'Income Statement'!Y33/1000+'Income Statement'!Y43/1000</f>
        <v>-160.55700000000002</v>
      </c>
      <c r="AY6" s="12">
        <f>'Income Statement'!Z17/1000+'Income Statement'!Z20/1000+'Income Statement'!Z33/1000+'Income Statement'!Z43/1000</f>
        <v>-614.55099999999993</v>
      </c>
      <c r="AZ6" s="12">
        <f>'Income Statement'!AA17/1000+'Income Statement'!AA20/1000+'Income Statement'!AA33/1000+'Income Statement'!AA43/1000</f>
        <v>-101.36799999999999</v>
      </c>
      <c r="BA6" s="12">
        <f>'Income Statement'!AB17/1000+'Income Statement'!AB20/1000+'Income Statement'!AB33/1000+'Income Statement'!AB43/1000</f>
        <v>-106.904</v>
      </c>
      <c r="BB6" s="12">
        <f>'Income Statement'!AC17/1000+'Income Statement'!AC20/1000+'Income Statement'!AC33/1000+'Income Statement'!AC43/1000</f>
        <v>-172.50300000000001</v>
      </c>
      <c r="BC6" s="12">
        <f>'Income Statement'!AD17/1000+'Income Statement'!AD20/1000+'Income Statement'!AD33/1000+'Income Statement'!AD43/1000</f>
        <v>-166.40300000000002</v>
      </c>
      <c r="BD6" s="12">
        <f>'Income Statement'!AE17/1000+'Income Statement'!AE20/1000+'Income Statement'!AE33/1000+'Income Statement'!AE43/1000</f>
        <v>-547.178</v>
      </c>
      <c r="BE6" s="12">
        <f>'Income Statement'!AF17/1000+'Income Statement'!AF20/1000+'Income Statement'!AF33/1000+'Income Statement'!AF43/1000</f>
        <v>-173.56799999999998</v>
      </c>
      <c r="BF6" s="12">
        <f>'Income Statement'!AG17/1000+'Income Statement'!AG20/1000+'Income Statement'!AG33/1000+'Income Statement'!AG43/1000</f>
        <v>-180.929</v>
      </c>
      <c r="BG6" s="12">
        <f>'Income Statement'!AH17/1000+'Income Statement'!AH20/1000+'Income Statement'!AH33/1000+'Income Statement'!AH43/1000</f>
        <v>-189.65900000000002</v>
      </c>
      <c r="BH6" s="12">
        <f>'Income Statement'!AI17/1000+'Income Statement'!AI20/1000+'Income Statement'!AI33/1000+'Income Statement'!AI43/1000</f>
        <v>-210.089</v>
      </c>
      <c r="BI6" s="12">
        <f>'Income Statement'!AJ17/1000+'Income Statement'!AJ20/1000+'Income Statement'!AJ33/1000+'Income Statement'!AJ43/1000</f>
        <v>-754.245</v>
      </c>
      <c r="BJ6" s="12">
        <f>'Income Statement'!AK17/1000+'Income Statement'!AK20/1000+'Income Statement'!AK33/1000+'Income Statement'!AK43/1000</f>
        <v>-197.84899999999999</v>
      </c>
      <c r="BK6" s="12">
        <f>'Income Statement'!AL17/1000+'Income Statement'!AL20/1000+'Income Statement'!AL33/1000+'Income Statement'!AL43/1000</f>
        <v>-246.44399999999999</v>
      </c>
      <c r="BL6" s="12">
        <f>'Income Statement'!AM17/1000+'Income Statement'!AM20/1000+'Income Statement'!AM33/1000+'Income Statement'!AM43/1000</f>
        <v>-224.21200000000002</v>
      </c>
      <c r="BM6" s="12">
        <f>'Income Statement'!AN17/1000+'Income Statement'!AN20/1000+'Income Statement'!AN33/1000+'Income Statement'!AN43/1000</f>
        <v>-246.77399999999997</v>
      </c>
      <c r="BN6" s="12">
        <f>'Income Statement'!AO17/1000+'Income Statement'!AO20/1000+'Income Statement'!AO33/1000+'Income Statement'!AO43/1000</f>
        <v>-915.279</v>
      </c>
      <c r="BO6" s="12">
        <f>'Income Statement'!AP17/1000+'Income Statement'!AP20/1000+'Income Statement'!AP33/1000+'Income Statement'!AP43/1000</f>
        <v>-219.285</v>
      </c>
      <c r="BP6" s="12">
        <f>'Income Statement'!AQ17/1000+'Income Statement'!AQ20/1000+'Income Statement'!AQ33/1000+'Income Statement'!AQ43/1000</f>
        <v>-214.946</v>
      </c>
      <c r="BQ6" s="12">
        <f>'Income Statement'!AR17/1000+'Income Statement'!AR20/1000+'Income Statement'!AR33/1000+'Income Statement'!AR43/1000</f>
        <v>-202.40100000000001</v>
      </c>
      <c r="BR6" s="12">
        <f>'Income Statement'!AS17/1000+'Income Statement'!AS20/1000+'Income Statement'!AS33/1000+'Income Statement'!AS43/1000</f>
        <v>-217.959</v>
      </c>
      <c r="BS6" s="12">
        <f>'Income Statement'!AT17/1000+'Income Statement'!AT20/1000+'Income Statement'!AT33/1000+'Income Statement'!AT43/1000</f>
        <v>-854.59100000000001</v>
      </c>
      <c r="BT6" s="12">
        <f>'Income Statement'!AU17/1000+'Income Statement'!AU20/1000+'Income Statement'!AU33/1000+'Income Statement'!AU43/1000</f>
        <v>-183.636</v>
      </c>
      <c r="BU6" s="12">
        <f>'Income Statement'!AV17/1000+'Income Statement'!AV20/1000+'Income Statement'!AV33/1000+'Income Statement'!AV43/1000</f>
        <v>-202.23899999999998</v>
      </c>
      <c r="BV6" s="12">
        <f>'Income Statement'!AW17/1000+'Income Statement'!AW20/1000+'Income Statement'!AW33/1000+'Income Statement'!AW43/1000</f>
        <v>-213.79299999999998</v>
      </c>
      <c r="BW6" s="12">
        <f>'Income Statement'!AX17/1000+'Income Statement'!AX20/1000+'Income Statement'!AX33/1000+'Income Statement'!AX43/1000</f>
        <v>-232.78200000000001</v>
      </c>
      <c r="BX6" s="12">
        <f>'Income Statement'!AY17/1000+'Income Statement'!AY20/1000+'Income Statement'!AY33/1000+'Income Statement'!AY43/1000</f>
        <v>-832.44999999999993</v>
      </c>
      <c r="BY6" s="12">
        <f>'Income Statement'!AZ17/1000+'Income Statement'!AZ20/1000+'Income Statement'!AZ33/1000+'Income Statement'!AZ43/1000</f>
        <v>-212.71200000000002</v>
      </c>
      <c r="BZ6" s="12">
        <f>'Income Statement'!BA17/1000+'Income Statement'!BA20/1000+'Income Statement'!BA33/1000+'Income Statement'!BA43/1000</f>
        <v>-227.209</v>
      </c>
      <c r="CA6" s="12">
        <f>'Income Statement'!BB17/1000+'Income Statement'!BB20/1000+'Income Statement'!BB33/1000+'Income Statement'!BB43/1000</f>
        <v>-234.79600000000002</v>
      </c>
      <c r="CB6" s="12">
        <f>'Income Statement'!BC17/1000+'Income Statement'!BC20/1000+'Income Statement'!BC33/1000+'Income Statement'!BC43/1000</f>
        <v>-259.22800000000001</v>
      </c>
      <c r="CC6" s="12">
        <f>'Income Statement'!BD17/1000+'Income Statement'!BD20/1000+'Income Statement'!BD33/1000+'Income Statement'!BD43/1000</f>
        <v>-933.94500000000005</v>
      </c>
      <c r="CD6" s="12">
        <f>'Income Statement'!BE17/1000+'Income Statement'!BE20/1000+'Income Statement'!BE33/1000+'Income Statement'!BE43/1000</f>
        <v>-213.03100000000001</v>
      </c>
      <c r="CE6" s="12">
        <f>'Income Statement'!BF17/1000+'Income Statement'!BF20/1000+'Income Statement'!BF33/1000+'Income Statement'!BF43/1000</f>
        <v>-204.93</v>
      </c>
      <c r="CF6" s="12">
        <f>'Income Statement'!BG17/1000+'Income Statement'!BG20/1000+'Income Statement'!BG33/1000+'Income Statement'!BG43/1000</f>
        <v>-235.50199999999998</v>
      </c>
      <c r="CG6" s="12">
        <f>'Income Statement'!BH17/1000+'Income Statement'!BH20/1000+'Income Statement'!BH33/1000+'Income Statement'!BH43/1000</f>
        <v>-218.48299999999998</v>
      </c>
      <c r="CI6" s="12">
        <f>'Income Statement'!BJ17/1000+'Income Statement'!BJ20/1000+'Income Statement'!BJ33/1000+'Income Statement'!BJ43/1000</f>
        <v>-197.476</v>
      </c>
      <c r="CJ6" s="12">
        <f>'Income Statement'!BK17/1000+'Income Statement'!BK20/1000+'Income Statement'!BK33/1000+'Income Statement'!BK43/1000</f>
        <v>-210.346</v>
      </c>
      <c r="CK6" s="12">
        <f>'Income Statement'!BL17/1000+'Income Statement'!BL20/1000+'Income Statement'!BL33/1000+'Income Statement'!BL43/1000</f>
        <v>-215.36399999999998</v>
      </c>
      <c r="CL6" s="12">
        <f>'Income Statement'!BM17/1000+'Income Statement'!BM20/1000+'Income Statement'!BM33/1000+'Income Statement'!BM43/1000</f>
        <v>-215.994</v>
      </c>
      <c r="CM6" s="12">
        <f>'Income Statement'!BN17/1000+'Income Statement'!BN20/1000+'Income Statement'!BN33/1000+'Income Statement'!BN43/1000</f>
        <v>-839.18000000000006</v>
      </c>
      <c r="CN6" s="12">
        <f>'Income Statement'!BO17/1000+'Income Statement'!BO20/1000+'Income Statement'!BO33/1000+'Income Statement'!BO43/1000</f>
        <v>-186.88600000000002</v>
      </c>
      <c r="CO6" s="12">
        <f>'Income Statement'!BP17/1000+'Income Statement'!BP20/1000+'Income Statement'!BP33/1000+'Income Statement'!BP43/1000</f>
        <v>-192.04300000000001</v>
      </c>
      <c r="CP6" s="12">
        <f>'Income Statement'!BQ17/1000+'Income Statement'!BQ20/1000+'Income Statement'!BQ33/1000+'Income Statement'!BQ43/1000</f>
        <v>-182.83100000000002</v>
      </c>
      <c r="CQ6" s="12">
        <f>'Income Statement'!BR17/1000+'Income Statement'!BR20/1000+'Income Statement'!BR33/1000+'Income Statement'!BR43/1000</f>
        <v>-178.75399999999999</v>
      </c>
      <c r="CR6" s="12">
        <f>'Income Statement'!BS17/1000+'Income Statement'!BS20/1000+'Income Statement'!BS33/1000+'Income Statement'!BS43/1000</f>
        <v>-740.51400000000001</v>
      </c>
      <c r="CS6" s="12">
        <f>'Income Statement'!BT17/1000+'Income Statement'!BT20/1000+'Income Statement'!BT33/1000+'Income Statement'!BT43/1000</f>
        <v>-171.78699999999998</v>
      </c>
      <c r="CT6" s="12">
        <f>'Income Statement'!BU17/1000+'Income Statement'!BU20/1000+'Income Statement'!BU33/1000+'Income Statement'!BU43/1000</f>
        <v>-168.24599999999998</v>
      </c>
      <c r="CU6" s="12">
        <f>'Income Statement'!BV17/1000+'Income Statement'!BV20/1000+'Income Statement'!BV33/1000+'Income Statement'!BV43/1000</f>
        <v>-183.25400000000002</v>
      </c>
      <c r="CV6" s="12">
        <f>'Income Statement'!BW17/1000+'Income Statement'!BW20/1000+'Income Statement'!BW33/1000+'Income Statement'!BW43/1000</f>
        <v>-179.506</v>
      </c>
      <c r="CW6" s="12">
        <f>'Income Statement'!BX17/1000+'Income Statement'!BX20/1000+'Income Statement'!BX33/1000+'Income Statement'!BX43/1000</f>
        <v>-702.79300000000001</v>
      </c>
      <c r="CX6" s="12">
        <f>'Income Statement'!BY17/1000+'Income Statement'!BY20/1000+'Income Statement'!BY33/1000+'Income Statement'!BY43/1000</f>
        <v>-166.946</v>
      </c>
      <c r="CY6" s="12">
        <f>'Income Statement'!BZ17/1000+'Income Statement'!BZ20/1000+'Income Statement'!BZ33/1000+'Income Statement'!BZ43/1000</f>
        <v>-194.21899999999999</v>
      </c>
      <c r="CZ6" s="12">
        <f>'Income Statement'!CA17/1000+'Income Statement'!CA20/1000+'Income Statement'!CA33/1000+'Income Statement'!CA43/1000</f>
        <v>-200.05600000000001</v>
      </c>
      <c r="DA6" s="12">
        <f>'Income Statement'!CB17/1000+'Income Statement'!CB20/1000+'Income Statement'!CB33/1000+'Income Statement'!CB43/1000</f>
        <v>-214.13900000000001</v>
      </c>
      <c r="DB6" s="12">
        <f>'Income Statement'!CC17/1000+'Income Statement'!CC20/1000+'Income Statement'!CC33/1000+'Income Statement'!CC43/1000</f>
        <v>-775.36</v>
      </c>
      <c r="DC6" s="12">
        <f>'Income Statement'!CD17/1000+'Income Statement'!CD20/1000+'Income Statement'!CD33/1000+'Income Statement'!CD43/1000</f>
        <v>-186.55700000000002</v>
      </c>
      <c r="DD6" s="12">
        <f>'Income Statement'!CE17/1000+'Income Statement'!CE20/1000+'Income Statement'!CE33/1000+'Income Statement'!CE43/1000</f>
        <v>-186.51899999999998</v>
      </c>
      <c r="DE6" s="12">
        <f>'Income Statement'!CF17/1000+'Income Statement'!CF20/1000+'Income Statement'!CF33/1000+'Income Statement'!CF43/1000</f>
        <v>-164.54799999999997</v>
      </c>
      <c r="DF6" s="12">
        <f>'Income Statement'!CG17/1000+'Income Statement'!CG20/1000+'Income Statement'!CG33/1000+'Income Statement'!CG43/1000</f>
        <v>-179.37100000000001</v>
      </c>
      <c r="DG6" s="12">
        <f>'Income Statement'!CH17/1000+'Income Statement'!CH20/1000+'Income Statement'!CH33/1000+'Income Statement'!CH43/1000</f>
        <v>-716.995</v>
      </c>
      <c r="DH6" s="10"/>
    </row>
    <row r="7" spans="1:112" s="7" customFormat="1">
      <c r="A7" s="11" t="s">
        <v>232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>
        <f>'Income Statement'!P32/1000</f>
        <v>8.3780000000000001</v>
      </c>
      <c r="AP7" s="12">
        <f>'Income Statement'!Q32/1000</f>
        <v>4.9059999999999997</v>
      </c>
      <c r="AQ7" s="12">
        <f>'Income Statement'!R32/1000</f>
        <v>9.609</v>
      </c>
      <c r="AR7" s="12">
        <f>'Income Statement'!S32/1000</f>
        <v>1.829</v>
      </c>
      <c r="AS7" s="12">
        <f>'Income Statement'!T32/1000</f>
        <v>1.1519999999999999</v>
      </c>
      <c r="AT7" s="12">
        <f>'Income Statement'!U32/1000</f>
        <v>17.495999999999999</v>
      </c>
      <c r="AU7" s="12">
        <f>'Income Statement'!V32/1000</f>
        <v>2.2759999999999998</v>
      </c>
      <c r="AV7" s="12">
        <f>'Income Statement'!W32/1000</f>
        <v>13.988</v>
      </c>
      <c r="AW7" s="12">
        <f>'Income Statement'!X32/1000</f>
        <v>4.9290000000000003</v>
      </c>
      <c r="AX7" s="12">
        <f>'Income Statement'!Y32/1000</f>
        <v>2.2509999999999999</v>
      </c>
      <c r="AY7" s="12">
        <f>'Income Statement'!Z32/1000</f>
        <v>23.443999999999999</v>
      </c>
      <c r="AZ7" s="12">
        <f>'Income Statement'!AA32/1000</f>
        <v>4.9000000000000002E-2</v>
      </c>
      <c r="BA7" s="12">
        <f>'Income Statement'!AB32/1000</f>
        <v>2.1360000000000001</v>
      </c>
      <c r="BB7" s="12">
        <f>'Income Statement'!AC32/1000</f>
        <v>-12.984999999999999</v>
      </c>
      <c r="BC7" s="12">
        <f>'Income Statement'!AD32/1000</f>
        <v>-6.8019999999999996</v>
      </c>
      <c r="BD7" s="12">
        <f>'Income Statement'!AE32/1000</f>
        <v>-17.602</v>
      </c>
      <c r="BE7" s="12">
        <f>'Income Statement'!AF32/1000</f>
        <v>1E-3</v>
      </c>
      <c r="BF7" s="12">
        <f>'Income Statement'!AG32/1000</f>
        <v>6.8000000000000005E-2</v>
      </c>
      <c r="BG7" s="12">
        <f>'Income Statement'!AH32/1000</f>
        <v>0.06</v>
      </c>
      <c r="BH7" s="12">
        <f>'Income Statement'!AI32/1000</f>
        <v>-0.27500000000000002</v>
      </c>
      <c r="BI7" s="12">
        <f>'Income Statement'!AJ32/1000</f>
        <v>-0.14599999999999999</v>
      </c>
      <c r="BJ7" s="12">
        <f>'Income Statement'!AK32/1000</f>
        <v>0.82799999999999996</v>
      </c>
      <c r="BK7" s="12">
        <f>'Income Statement'!AL32/1000</f>
        <v>1.171</v>
      </c>
      <c r="BL7" s="12">
        <f>'Income Statement'!AM32/1000</f>
        <v>0.19800000000000001</v>
      </c>
      <c r="BM7" s="12">
        <f>'Income Statement'!AN32/1000</f>
        <v>0</v>
      </c>
      <c r="BN7" s="12">
        <f>'Income Statement'!AO32/1000</f>
        <v>2.1970000000000001</v>
      </c>
      <c r="BO7" s="12">
        <f>'Income Statement'!AP32/1000</f>
        <v>-5.149</v>
      </c>
      <c r="BP7" s="12">
        <f>'Income Statement'!AQ32/1000</f>
        <v>-7.9779999999999998</v>
      </c>
      <c r="BQ7" s="12">
        <f>'Income Statement'!AR32/1000</f>
        <v>-10.333</v>
      </c>
      <c r="BR7" s="12">
        <f>'Income Statement'!AS32/1000</f>
        <v>4.7210000000000001</v>
      </c>
      <c r="BS7" s="12">
        <f>'Income Statement'!AT32/1000</f>
        <v>-18.739000000000001</v>
      </c>
      <c r="BT7" s="12">
        <f>'Income Statement'!AU32/1000</f>
        <v>-9.4670000000000005</v>
      </c>
      <c r="BU7" s="12">
        <f>'Income Statement'!AV32/1000</f>
        <v>-9.9429999999999996</v>
      </c>
      <c r="BV7" s="12">
        <f>'Income Statement'!AW32/1000</f>
        <v>-8.7850000000000001</v>
      </c>
      <c r="BW7" s="12">
        <f>'Income Statement'!AX32/1000</f>
        <v>-3.262</v>
      </c>
      <c r="BX7" s="12">
        <f>'Income Statement'!AY32/1000</f>
        <v>-31.457000000000001</v>
      </c>
      <c r="BY7" s="12">
        <f>'Income Statement'!AZ32/1000</f>
        <v>-10.095000000000001</v>
      </c>
      <c r="BZ7" s="12">
        <f>'Income Statement'!BA32/1000</f>
        <v>-10.484999999999999</v>
      </c>
      <c r="CA7" s="12">
        <f>'Income Statement'!BB32/1000</f>
        <v>-26.96</v>
      </c>
      <c r="CB7" s="12">
        <f>'Income Statement'!BC32/1000</f>
        <v>-45.655000000000001</v>
      </c>
      <c r="CC7" s="12">
        <f>'Income Statement'!BD32/1000</f>
        <v>-93.194999999999993</v>
      </c>
      <c r="CD7" s="12">
        <f>'Income Statement'!BE32/1000</f>
        <v>-23.928000000000001</v>
      </c>
      <c r="CE7" s="12">
        <f>'Income Statement'!BF32/1000</f>
        <v>8.8729999999999993</v>
      </c>
      <c r="CF7" s="12">
        <f>'Income Statement'!BG32/1000</f>
        <v>3.1829999999999998</v>
      </c>
      <c r="CG7" s="12">
        <f>'Income Statement'!BH32/1000</f>
        <v>-20.105</v>
      </c>
      <c r="CI7" s="12">
        <f>'Income Statement'!BJ32/1000</f>
        <v>-4.8070000000000004</v>
      </c>
      <c r="CJ7" s="12">
        <f>'Income Statement'!BK32/1000</f>
        <v>-10.914</v>
      </c>
      <c r="CK7" s="12">
        <f>'Income Statement'!BL32/1000</f>
        <v>-8.5749999999999993</v>
      </c>
      <c r="CL7" s="12">
        <f>'Income Statement'!BM32/1000</f>
        <v>-19.573</v>
      </c>
      <c r="CM7" s="12">
        <f>'Income Statement'!BN32/1000</f>
        <v>-43.869</v>
      </c>
      <c r="CN7" s="12">
        <f>'Income Statement'!BO32/1000</f>
        <v>6.8470000000000004</v>
      </c>
      <c r="CO7" s="12">
        <f>'Income Statement'!BP32/1000</f>
        <v>-121.08499999999999</v>
      </c>
      <c r="CP7" s="12">
        <f>'Income Statement'!BQ32/1000</f>
        <v>27.192</v>
      </c>
      <c r="CQ7" s="12">
        <f>'Income Statement'!BR32/1000</f>
        <v>-17.5</v>
      </c>
      <c r="CR7" s="12">
        <f>'Income Statement'!BS32/1000</f>
        <v>-104.54600000000001</v>
      </c>
      <c r="CS7" s="12">
        <f>'Income Statement'!BT32/1000</f>
        <v>11.195</v>
      </c>
      <c r="CT7" s="12">
        <f>'Income Statement'!BU32/1000</f>
        <v>-26.486000000000001</v>
      </c>
      <c r="CU7" s="12">
        <f>'Income Statement'!BV32/1000</f>
        <v>-122.127</v>
      </c>
      <c r="CV7" s="12">
        <f>'Income Statement'!BW32/1000</f>
        <v>-49.927999999999997</v>
      </c>
      <c r="CW7" s="12">
        <f>'Income Statement'!BX32/1000</f>
        <v>-187.346</v>
      </c>
      <c r="CX7" s="12">
        <f>'Income Statement'!BY32/1000</f>
        <v>-3.4609999999999999</v>
      </c>
      <c r="CY7" s="12">
        <f>'Income Statement'!BZ32/1000</f>
        <v>-6.609</v>
      </c>
      <c r="CZ7" s="12">
        <f>'Income Statement'!CA32/1000</f>
        <v>9.2240000000000002</v>
      </c>
      <c r="DA7" s="12">
        <f>'Income Statement'!CB32/1000</f>
        <v>46.19</v>
      </c>
      <c r="DB7" s="12">
        <f>'Income Statement'!CC32/1000</f>
        <v>45.344000000000001</v>
      </c>
      <c r="DC7" s="12">
        <f>'Income Statement'!CD32/1000</f>
        <v>-23.155999999999999</v>
      </c>
      <c r="DD7" s="12">
        <f>'Income Statement'!CE32/1000</f>
        <v>-7.0629999999999997</v>
      </c>
      <c r="DE7" s="12">
        <f>'Income Statement'!CF32/1000</f>
        <v>-20.140999999999998</v>
      </c>
      <c r="DF7" s="12">
        <f>'Income Statement'!CG32/1000</f>
        <v>38.137999999999998</v>
      </c>
      <c r="DG7" s="12">
        <f>'Income Statement'!CH32/1000</f>
        <v>-12.222</v>
      </c>
      <c r="DH7" s="10"/>
    </row>
    <row r="8" spans="1:112" s="7" customFormat="1">
      <c r="A8" s="13" t="s">
        <v>233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4"/>
      <c r="BZ8" s="14"/>
      <c r="CA8" s="14"/>
      <c r="CB8" s="14"/>
      <c r="CC8" s="14"/>
      <c r="CD8" s="14"/>
      <c r="CE8" s="14"/>
      <c r="CF8" s="14"/>
      <c r="CG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0"/>
    </row>
    <row r="9" spans="1:112" s="7" customFormat="1">
      <c r="A9" s="11" t="s">
        <v>234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>
        <f>'Income Statement'!P35/1000</f>
        <v>-0.27700000000000002</v>
      </c>
      <c r="AP9" s="12">
        <f>'Income Statement'!Q35/1000</f>
        <v>-4.0460000000000003</v>
      </c>
      <c r="AQ9" s="12">
        <f>'Income Statement'!R35/1000</f>
        <v>0</v>
      </c>
      <c r="AR9" s="12">
        <f>'Income Statement'!S35/1000</f>
        <v>7.6680000000000001</v>
      </c>
      <c r="AS9" s="12">
        <f>'Income Statement'!T35/1000</f>
        <v>-12.593999999999999</v>
      </c>
      <c r="AT9" s="12">
        <f>'Income Statement'!U35/1000</f>
        <v>-8.9719999999999995</v>
      </c>
      <c r="AU9" s="12">
        <f>'Income Statement'!V35/1000</f>
        <v>-11.79</v>
      </c>
      <c r="AV9" s="12">
        <f>'Income Statement'!W35/1000</f>
        <v>-8.6880000000000006</v>
      </c>
      <c r="AW9" s="12">
        <f>'Income Statement'!X35/1000</f>
        <v>-6.9290000000000003</v>
      </c>
      <c r="AX9" s="12">
        <f>'Income Statement'!Y35/1000</f>
        <v>-15.348000000000001</v>
      </c>
      <c r="AY9" s="12">
        <f>'Income Statement'!Z35/1000</f>
        <v>-42.755000000000003</v>
      </c>
      <c r="AZ9" s="12">
        <f>'Income Statement'!AA35/1000</f>
        <v>-2.5070000000000001</v>
      </c>
      <c r="BA9" s="12">
        <f>'Income Statement'!AB35/1000</f>
        <v>11.053000000000001</v>
      </c>
      <c r="BB9" s="12">
        <f>'Income Statement'!AC35/1000</f>
        <v>16.914000000000001</v>
      </c>
      <c r="BC9" s="12">
        <f>'Income Statement'!AD35/1000</f>
        <v>4.992</v>
      </c>
      <c r="BD9" s="12">
        <f>'Income Statement'!AE35/1000</f>
        <v>30.452000000000002</v>
      </c>
      <c r="BE9" s="12">
        <f>'Income Statement'!AF35/1000</f>
        <v>-15.641</v>
      </c>
      <c r="BF9" s="12">
        <f>'Income Statement'!AG35/1000</f>
        <v>0</v>
      </c>
      <c r="BG9" s="12">
        <f>'Income Statement'!AH35/1000</f>
        <v>-10.754</v>
      </c>
      <c r="BH9" s="12">
        <f>'Income Statement'!AI35/1000</f>
        <v>-6.7350000000000003</v>
      </c>
      <c r="BI9" s="12">
        <f>'Income Statement'!AJ35/1000</f>
        <v>-33.130000000000003</v>
      </c>
      <c r="BJ9" s="12">
        <f>'Income Statement'!AK35/1000</f>
        <v>-2.9430000000000001</v>
      </c>
      <c r="BK9" s="12">
        <f>'Income Statement'!AL35/1000</f>
        <v>-2.802</v>
      </c>
      <c r="BL9" s="12">
        <f>'Income Statement'!AM35/1000</f>
        <v>-4.2160000000000002</v>
      </c>
      <c r="BM9" s="12">
        <f>'Income Statement'!AN35/1000</f>
        <v>-43.448</v>
      </c>
      <c r="BN9" s="12">
        <f>'Income Statement'!AO35/1000</f>
        <v>-53.408999999999999</v>
      </c>
      <c r="BO9" s="12">
        <f>'Income Statement'!AP35/1000</f>
        <v>2.1080000000000001</v>
      </c>
      <c r="BP9" s="12">
        <f>'Income Statement'!AQ35/1000</f>
        <v>39.335000000000001</v>
      </c>
      <c r="BQ9" s="12">
        <f>'Income Statement'!AR35/1000</f>
        <v>-4.032</v>
      </c>
      <c r="BR9" s="12">
        <f>'Income Statement'!AS35/1000</f>
        <v>12.885</v>
      </c>
      <c r="BS9" s="12">
        <f>'Income Statement'!AT35/1000</f>
        <v>50.295999999999999</v>
      </c>
      <c r="BT9" s="12">
        <f>'Income Statement'!AU35/1000</f>
        <v>21.718</v>
      </c>
      <c r="BU9" s="12">
        <f>'Income Statement'!AV35/1000</f>
        <v>19.898</v>
      </c>
      <c r="BV9" s="12">
        <f>'Income Statement'!AW35/1000</f>
        <v>20.963999999999999</v>
      </c>
      <c r="BW9" s="12">
        <f>'Income Statement'!AX35/1000</f>
        <v>44.05</v>
      </c>
      <c r="BX9" s="12">
        <f>'Income Statement'!AY35/1000</f>
        <v>106.63</v>
      </c>
      <c r="BY9" s="12">
        <f>'Income Statement'!AZ35/1000</f>
        <v>4.3079999999999998</v>
      </c>
      <c r="BZ9" s="12">
        <f>'Income Statement'!BA35/1000</f>
        <v>31.768000000000001</v>
      </c>
      <c r="CA9" s="12">
        <f>'Income Statement'!BB35/1000</f>
        <v>37.780999999999999</v>
      </c>
      <c r="CB9" s="12">
        <f>'Income Statement'!BC35/1000</f>
        <v>44.8</v>
      </c>
      <c r="CC9" s="12">
        <f>'Income Statement'!BD35/1000</f>
        <v>118.657</v>
      </c>
      <c r="CD9" s="12">
        <f>'Income Statement'!BE35/1000</f>
        <v>11.42</v>
      </c>
      <c r="CE9" s="12">
        <f>'Income Statement'!BF35/1000</f>
        <v>15.981999999999999</v>
      </c>
      <c r="CF9" s="12">
        <f>'Income Statement'!BG35/1000</f>
        <v>31.03</v>
      </c>
      <c r="CG9" s="12">
        <f>'Income Statement'!BH35/1000</f>
        <v>15.218999999999999</v>
      </c>
      <c r="CI9" s="12">
        <f>'Income Statement'!BJ35/1000</f>
        <v>6.8819999999999997</v>
      </c>
      <c r="CJ9" s="12">
        <f>'Income Statement'!BK35/1000</f>
        <v>12.736000000000001</v>
      </c>
      <c r="CK9" s="12">
        <f>'Income Statement'!BL35/1000</f>
        <v>5.7949999999999999</v>
      </c>
      <c r="CL9" s="12">
        <f>'Income Statement'!BM35/1000</f>
        <v>34.313000000000002</v>
      </c>
      <c r="CM9" s="12">
        <f>'Income Statement'!BN35/1000</f>
        <v>59.725999999999999</v>
      </c>
      <c r="CN9" s="12">
        <f>'Income Statement'!BO35/1000</f>
        <v>1.752</v>
      </c>
      <c r="CO9" s="12">
        <f>'Income Statement'!BP35/1000</f>
        <v>34.35</v>
      </c>
      <c r="CP9" s="12">
        <f>'Income Statement'!BQ35/1000</f>
        <v>25.084</v>
      </c>
      <c r="CQ9" s="12">
        <f>'Income Statement'!BR35/1000</f>
        <v>66.179000000000002</v>
      </c>
      <c r="CR9" s="12">
        <f>'Income Statement'!BS35/1000</f>
        <v>127.36499999999999</v>
      </c>
      <c r="CS9" s="12">
        <f>'Income Statement'!BT35/1000</f>
        <v>10.148999999999999</v>
      </c>
      <c r="CT9" s="12">
        <f>'Income Statement'!BU35/1000</f>
        <v>14.023999999999999</v>
      </c>
      <c r="CU9" s="12">
        <f>'Income Statement'!BV35/1000</f>
        <v>22.686</v>
      </c>
      <c r="CV9" s="12">
        <f>'Income Statement'!BW35/1000</f>
        <v>60.795000000000002</v>
      </c>
      <c r="CW9" s="12">
        <f>'Income Statement'!BX35/1000</f>
        <v>107.654</v>
      </c>
      <c r="CX9" s="12">
        <f>'Income Statement'!BY35/1000</f>
        <v>-0.84199999999999997</v>
      </c>
      <c r="CY9" s="12">
        <f>'Income Statement'!BZ35/1000</f>
        <v>51.491</v>
      </c>
      <c r="CZ9" s="12">
        <f>'Income Statement'!CA35/1000</f>
        <v>35.78</v>
      </c>
      <c r="DA9" s="12">
        <f>'Income Statement'!CB35/1000</f>
        <v>17.771000000000001</v>
      </c>
      <c r="DB9" s="12">
        <f>'Income Statement'!CC35/1000</f>
        <v>104.2</v>
      </c>
      <c r="DC9" s="12">
        <f>'Income Statement'!CD35/1000</f>
        <v>10.692</v>
      </c>
      <c r="DD9" s="12">
        <f>'Income Statement'!CE35/1000</f>
        <v>21.466999999999999</v>
      </c>
      <c r="DE9" s="12">
        <f>'Income Statement'!CF35/1000</f>
        <v>64.8</v>
      </c>
      <c r="DF9" s="12">
        <f>'Income Statement'!CG35/1000</f>
        <v>58.753</v>
      </c>
      <c r="DG9" s="12">
        <f>'Income Statement'!CH35/1000</f>
        <v>155.71199999999999</v>
      </c>
      <c r="DH9" s="10"/>
    </row>
    <row r="10" spans="1:112" s="7" customFormat="1">
      <c r="A10" s="11" t="s">
        <v>235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0"/>
    </row>
    <row r="11" spans="1:112" s="7" customFormat="1">
      <c r="A11" s="11" t="s">
        <v>236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0"/>
    </row>
    <row r="12" spans="1:112" s="7" customFormat="1">
      <c r="A12" s="13" t="s">
        <v>237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0"/>
    </row>
    <row r="13" spans="1:112" s="7" customFormat="1">
      <c r="A13" s="11" t="s">
        <v>238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0"/>
    </row>
    <row r="14" spans="1:112" s="7" customFormat="1">
      <c r="A14" s="11" t="s">
        <v>239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>
        <f>'Income Statement'!P34/1000+'Income Statement'!P30/1000</f>
        <v>-20.827000000000002</v>
      </c>
      <c r="AP14" s="12">
        <f>'Income Statement'!Q34/1000+'Income Statement'!Q30/1000</f>
        <v>0</v>
      </c>
      <c r="AQ14" s="12">
        <f>'Income Statement'!R34/1000+'Income Statement'!R30/1000</f>
        <v>112.89400000000001</v>
      </c>
      <c r="AR14" s="12">
        <f>'Income Statement'!S34/1000+'Income Statement'!S30/1000</f>
        <v>0</v>
      </c>
      <c r="AS14" s="12">
        <f>'Income Statement'!T34/1000+'Income Statement'!T30/1000</f>
        <v>0</v>
      </c>
      <c r="AT14" s="12">
        <f>'Income Statement'!U34/1000+'Income Statement'!U30/1000</f>
        <v>112.89400000000001</v>
      </c>
      <c r="AU14" s="12">
        <f>'Income Statement'!V34/1000+'Income Statement'!V30/1000</f>
        <v>0</v>
      </c>
      <c r="AV14" s="12">
        <f>'Income Statement'!W34/1000+'Income Statement'!W30/1000</f>
        <v>0</v>
      </c>
      <c r="AW14" s="12">
        <f>'Income Statement'!X34/1000+'Income Statement'!X30/1000</f>
        <v>0</v>
      </c>
      <c r="AX14" s="12">
        <f>'Income Statement'!Y34/1000+'Income Statement'!Y30/1000</f>
        <v>0</v>
      </c>
      <c r="AY14" s="12">
        <f>'Income Statement'!Z34/1000+'Income Statement'!Z30/1000</f>
        <v>0</v>
      </c>
      <c r="AZ14" s="12">
        <f>'Income Statement'!AA34/1000+'Income Statement'!AA30/1000</f>
        <v>0</v>
      </c>
      <c r="BA14" s="12">
        <f>'Income Statement'!AB34/1000+'Income Statement'!AB30/1000</f>
        <v>0</v>
      </c>
      <c r="BB14" s="12">
        <f>'Income Statement'!AC34/1000+'Income Statement'!AC30/1000</f>
        <v>80.632000000000005</v>
      </c>
      <c r="BC14" s="12">
        <f>'Income Statement'!AD34/1000+'Income Statement'!AD30/1000</f>
        <v>0</v>
      </c>
      <c r="BD14" s="12">
        <f>'Income Statement'!AE34/1000+'Income Statement'!AE30/1000</f>
        <v>80.632000000000005</v>
      </c>
      <c r="BE14" s="12">
        <f>'Income Statement'!AF34/1000+'Income Statement'!AF30/1000</f>
        <v>0</v>
      </c>
      <c r="BF14" s="12">
        <f>'Income Statement'!AG34/1000+'Income Statement'!AG30/1000</f>
        <v>0</v>
      </c>
      <c r="BG14" s="12">
        <f>'Income Statement'!AH34/1000+'Income Statement'!AH30/1000</f>
        <v>0</v>
      </c>
      <c r="BH14" s="12">
        <f>'Income Statement'!AI34/1000+'Income Statement'!AI30/1000</f>
        <v>0</v>
      </c>
      <c r="BI14" s="12">
        <f>'Income Statement'!AJ34/1000+'Income Statement'!AJ30/1000</f>
        <v>0</v>
      </c>
      <c r="BJ14" s="12">
        <f>'Income Statement'!AK34/1000+'Income Statement'!AK30/1000</f>
        <v>0</v>
      </c>
      <c r="BK14" s="12">
        <f>'Income Statement'!AL34/1000+'Income Statement'!AL30/1000</f>
        <v>0</v>
      </c>
      <c r="BL14" s="12">
        <f>'Income Statement'!AM34/1000+'Income Statement'!AM30/1000</f>
        <v>0</v>
      </c>
      <c r="BM14" s="12">
        <f>'Income Statement'!AN34/1000+'Income Statement'!AN30/1000</f>
        <v>-36.22</v>
      </c>
      <c r="BN14" s="12">
        <f>'Income Statement'!AO34/1000+'Income Statement'!AO30/1000</f>
        <v>-36.22</v>
      </c>
      <c r="BO14" s="12">
        <f>'Income Statement'!AP34/1000+'Income Statement'!AP30/1000</f>
        <v>-18</v>
      </c>
      <c r="BP14" s="12">
        <f>'Income Statement'!AQ34/1000+'Income Statement'!AQ30/1000</f>
        <v>0</v>
      </c>
      <c r="BQ14" s="12">
        <f>'Income Statement'!AR34/1000+'Income Statement'!AR30/1000</f>
        <v>0</v>
      </c>
      <c r="BR14" s="12">
        <f>'Income Statement'!AS34/1000+'Income Statement'!AS30/1000</f>
        <v>0</v>
      </c>
      <c r="BS14" s="12">
        <f>'Income Statement'!AT34/1000+'Income Statement'!AT30/1000</f>
        <v>-18</v>
      </c>
      <c r="BT14" s="12">
        <f>'Income Statement'!AU34/1000+'Income Statement'!AU30/1000</f>
        <v>0</v>
      </c>
      <c r="BU14" s="12">
        <f>'Income Statement'!AV34/1000+'Income Statement'!AV30/1000</f>
        <v>-6</v>
      </c>
      <c r="BV14" s="12">
        <f>'Income Statement'!AW34/1000+'Income Statement'!AW30/1000</f>
        <v>0</v>
      </c>
      <c r="BW14" s="12">
        <f>'Income Statement'!AX34/1000+'Income Statement'!AX30/1000</f>
        <v>0</v>
      </c>
      <c r="BX14" s="12">
        <f>'Income Statement'!AY34/1000+'Income Statement'!AY30/1000</f>
        <v>-6</v>
      </c>
      <c r="BY14" s="12">
        <f>'Income Statement'!AZ34/1000+'Income Statement'!AZ30/1000</f>
        <v>0</v>
      </c>
      <c r="BZ14" s="12">
        <f>'Income Statement'!BA34/1000+'Income Statement'!BA30/1000</f>
        <v>0</v>
      </c>
      <c r="CA14" s="12">
        <f>'Income Statement'!BB34/1000+'Income Statement'!BB30/1000</f>
        <v>0</v>
      </c>
      <c r="CB14" s="12">
        <f>'Income Statement'!BC34/1000+'Income Statement'!BC30/1000</f>
        <v>0</v>
      </c>
      <c r="CC14" s="12">
        <f>'Income Statement'!BD34/1000+'Income Statement'!BD30/1000</f>
        <v>0</v>
      </c>
      <c r="CD14" s="12">
        <f>'Income Statement'!BE34/1000+'Income Statement'!BE30/1000</f>
        <v>0</v>
      </c>
      <c r="CE14" s="12">
        <f>'Income Statement'!BF34/1000+'Income Statement'!BF30/1000</f>
        <v>0</v>
      </c>
      <c r="CF14" s="12">
        <f>'Income Statement'!BG34/1000+'Income Statement'!BG30/1000</f>
        <v>0</v>
      </c>
      <c r="CG14" s="12">
        <f>'Income Statement'!BH34/1000+'Income Statement'!BH30/1000</f>
        <v>0</v>
      </c>
      <c r="CI14" s="12">
        <f>'Income Statement'!BJ34/1000+'Income Statement'!BJ30/1000</f>
        <v>0</v>
      </c>
      <c r="CJ14" s="12">
        <f>'Income Statement'!BK34/1000+'Income Statement'!BK30/1000</f>
        <v>0</v>
      </c>
      <c r="CK14" s="12">
        <f>'Income Statement'!BL34/1000+'Income Statement'!BL30/1000</f>
        <v>0</v>
      </c>
      <c r="CL14" s="12">
        <f>'Income Statement'!BM34/1000+'Income Statement'!BM30/1000</f>
        <v>0</v>
      </c>
      <c r="CM14" s="12">
        <f>'Income Statement'!BN34/1000+'Income Statement'!BN30/1000</f>
        <v>0</v>
      </c>
      <c r="CN14" s="12">
        <f>'Income Statement'!BO34/1000+'Income Statement'!BO30/1000</f>
        <v>0</v>
      </c>
      <c r="CO14" s="12">
        <f>'Income Statement'!BP34/1000+'Income Statement'!BP30/1000</f>
        <v>0</v>
      </c>
      <c r="CP14" s="12">
        <f>'Income Statement'!BQ34/1000+'Income Statement'!BQ30/1000</f>
        <v>0</v>
      </c>
      <c r="CQ14" s="12">
        <f>'Income Statement'!BR34/1000+'Income Statement'!BR30/1000</f>
        <v>0</v>
      </c>
      <c r="CR14" s="12">
        <f>'Income Statement'!BS34/1000+'Income Statement'!BS30/1000</f>
        <v>0</v>
      </c>
      <c r="CS14" s="12">
        <f>'Income Statement'!BT34/1000+'Income Statement'!BT30/1000</f>
        <v>0</v>
      </c>
      <c r="CT14" s="12">
        <f>'Income Statement'!BU34/1000+'Income Statement'!BU30/1000</f>
        <v>0</v>
      </c>
      <c r="CU14" s="12">
        <f>'Income Statement'!BV34/1000+'Income Statement'!BV30/1000</f>
        <v>0</v>
      </c>
      <c r="CV14" s="12">
        <f>'Income Statement'!BW34/1000+'Income Statement'!BW30/1000</f>
        <v>20</v>
      </c>
      <c r="CW14" s="12">
        <f>'Income Statement'!BX34/1000+'Income Statement'!BX30/1000</f>
        <v>20</v>
      </c>
      <c r="CX14" s="12">
        <f>'Income Statement'!BY34/1000+'Income Statement'!BY30/1000</f>
        <v>0</v>
      </c>
      <c r="CY14" s="12">
        <f>'Income Statement'!BZ34/1000+'Income Statement'!BZ30/1000</f>
        <v>0</v>
      </c>
      <c r="CZ14" s="12">
        <f>'Income Statement'!CA34/1000+'Income Statement'!CA30/1000</f>
        <v>0</v>
      </c>
      <c r="DA14" s="12">
        <f>'Income Statement'!CB34/1000+'Income Statement'!CB30/1000</f>
        <v>0</v>
      </c>
      <c r="DB14" s="12">
        <f>'Income Statement'!CC34/1000+'Income Statement'!CC30/1000</f>
        <v>0</v>
      </c>
      <c r="DC14" s="12">
        <f>'Income Statement'!CD34/1000+'Income Statement'!CD30/1000</f>
        <v>0</v>
      </c>
      <c r="DD14" s="12">
        <f>'Income Statement'!CE34/1000+'Income Statement'!CE30/1000</f>
        <v>0</v>
      </c>
      <c r="DE14" s="12">
        <f>'Income Statement'!CF34/1000+'Income Statement'!CF30/1000</f>
        <v>1153</v>
      </c>
      <c r="DF14" s="12">
        <f>'Income Statement'!CG34/1000+'Income Statement'!CG30/1000</f>
        <v>0</v>
      </c>
      <c r="DG14" s="12">
        <f>'Income Statement'!CH34/1000+'Income Statement'!CH30/1000</f>
        <v>1153</v>
      </c>
      <c r="DH14" s="10"/>
    </row>
    <row r="15" spans="1:112" s="7" customFormat="1">
      <c r="A15" s="11" t="s">
        <v>240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>
        <f>'Income Statement'!P37/1000</f>
        <v>0</v>
      </c>
      <c r="AP15" s="12">
        <f>'Income Statement'!Q37/1000</f>
        <v>0</v>
      </c>
      <c r="AQ15" s="12">
        <f>'Income Statement'!R37/1000</f>
        <v>0</v>
      </c>
      <c r="AR15" s="12">
        <f>'Income Statement'!S37/1000</f>
        <v>0</v>
      </c>
      <c r="AS15" s="12">
        <f>'Income Statement'!T37/1000</f>
        <v>0</v>
      </c>
      <c r="AT15" s="12">
        <f>'Income Statement'!U37/1000</f>
        <v>0</v>
      </c>
      <c r="AU15" s="12">
        <f>'Income Statement'!V37/1000</f>
        <v>0</v>
      </c>
      <c r="AV15" s="12">
        <f>'Income Statement'!W37/1000</f>
        <v>0</v>
      </c>
      <c r="AW15" s="12">
        <f>'Income Statement'!X37/1000</f>
        <v>0</v>
      </c>
      <c r="AX15" s="12">
        <f>'Income Statement'!Y37/1000</f>
        <v>0</v>
      </c>
      <c r="AY15" s="12">
        <f>'Income Statement'!Z37/1000</f>
        <v>0</v>
      </c>
      <c r="AZ15" s="12">
        <f>'Income Statement'!AA37/1000</f>
        <v>0</v>
      </c>
      <c r="BA15" s="12">
        <f>'Income Statement'!AB37/1000</f>
        <v>0</v>
      </c>
      <c r="BB15" s="12">
        <f>'Income Statement'!AC37/1000</f>
        <v>0</v>
      </c>
      <c r="BC15" s="12">
        <f>'Income Statement'!AD37/1000</f>
        <v>0</v>
      </c>
      <c r="BD15" s="12">
        <f>'Income Statement'!AE37/1000</f>
        <v>0</v>
      </c>
      <c r="BE15" s="12">
        <f>'Income Statement'!AF37/1000</f>
        <v>0</v>
      </c>
      <c r="BF15" s="12">
        <f>'Income Statement'!AG37/1000</f>
        <v>0</v>
      </c>
      <c r="BG15" s="12">
        <f>'Income Statement'!AH37/1000</f>
        <v>0</v>
      </c>
      <c r="BH15" s="12">
        <f>'Income Statement'!AI37/1000</f>
        <v>0</v>
      </c>
      <c r="BI15" s="12">
        <f>'Income Statement'!AJ37/1000</f>
        <v>0</v>
      </c>
      <c r="BJ15" s="12">
        <f>'Income Statement'!AK37/1000</f>
        <v>0</v>
      </c>
      <c r="BK15" s="12">
        <f>'Income Statement'!AL37/1000</f>
        <v>0</v>
      </c>
      <c r="BL15" s="12">
        <f>'Income Statement'!AM37/1000</f>
        <v>0</v>
      </c>
      <c r="BM15" s="12">
        <f>'Income Statement'!AN37/1000</f>
        <v>0</v>
      </c>
      <c r="BN15" s="12">
        <f>'Income Statement'!AO37/1000</f>
        <v>0</v>
      </c>
      <c r="BO15" s="12">
        <f>'Income Statement'!AP37/1000</f>
        <v>0</v>
      </c>
      <c r="BP15" s="12">
        <f>'Income Statement'!AQ37/1000</f>
        <v>0</v>
      </c>
      <c r="BQ15" s="12">
        <f>'Income Statement'!AR37/1000</f>
        <v>0</v>
      </c>
      <c r="BR15" s="12">
        <f>'Income Statement'!AS37/1000</f>
        <v>0</v>
      </c>
      <c r="BS15" s="12">
        <f>'Income Statement'!AT37/1000</f>
        <v>0</v>
      </c>
      <c r="BT15" s="12">
        <f>'Income Statement'!AU37/1000</f>
        <v>0</v>
      </c>
      <c r="BU15" s="12">
        <f>'Income Statement'!AV37/1000</f>
        <v>0</v>
      </c>
      <c r="BV15" s="12">
        <f>'Income Statement'!AW37/1000</f>
        <v>0</v>
      </c>
      <c r="BW15" s="12">
        <f>'Income Statement'!AX37/1000</f>
        <v>0</v>
      </c>
      <c r="BX15" s="12">
        <f>'Income Statement'!AY37/1000</f>
        <v>0</v>
      </c>
      <c r="BY15" s="12">
        <f>'Income Statement'!AZ37/1000</f>
        <v>0</v>
      </c>
      <c r="BZ15" s="12">
        <f>'Income Statement'!BA37/1000</f>
        <v>0</v>
      </c>
      <c r="CA15" s="12">
        <f>'Income Statement'!BB37/1000</f>
        <v>0</v>
      </c>
      <c r="CB15" s="12">
        <f>'Income Statement'!BC37/1000</f>
        <v>0</v>
      </c>
      <c r="CC15" s="12">
        <f>'Income Statement'!BD37/1000</f>
        <v>0</v>
      </c>
      <c r="CD15" s="12">
        <f>'Income Statement'!BE37/1000</f>
        <v>0</v>
      </c>
      <c r="CE15" s="12">
        <f>'Income Statement'!BF37/1000</f>
        <v>0</v>
      </c>
      <c r="CF15" s="12">
        <f>'Income Statement'!BG37/1000</f>
        <v>0</v>
      </c>
      <c r="CG15" s="12">
        <f>'Income Statement'!BH37/1000</f>
        <v>0</v>
      </c>
      <c r="CI15" s="12">
        <f>'Income Statement'!BJ37/1000</f>
        <v>0</v>
      </c>
      <c r="CJ15" s="12">
        <f>'Income Statement'!BK37/1000</f>
        <v>0</v>
      </c>
      <c r="CK15" s="12">
        <f>'Income Statement'!BL37/1000</f>
        <v>0</v>
      </c>
      <c r="CL15" s="12">
        <f>'Income Statement'!BM37/1000</f>
        <v>0</v>
      </c>
      <c r="CM15" s="12">
        <f>'Income Statement'!BN37/1000</f>
        <v>0</v>
      </c>
      <c r="CN15" s="12">
        <f>'Income Statement'!BO37/1000</f>
        <v>0</v>
      </c>
      <c r="CO15" s="12">
        <f>'Income Statement'!BP37/1000</f>
        <v>0</v>
      </c>
      <c r="CP15" s="12">
        <f>'Income Statement'!BQ37/1000</f>
        <v>0</v>
      </c>
      <c r="CQ15" s="12">
        <f>'Income Statement'!BR37/1000</f>
        <v>0</v>
      </c>
      <c r="CR15" s="12">
        <f>'Income Statement'!BS37/1000</f>
        <v>0</v>
      </c>
      <c r="CS15" s="12">
        <f>'Income Statement'!BT37/1000</f>
        <v>0</v>
      </c>
      <c r="CT15" s="12">
        <f>'Income Statement'!BU37/1000</f>
        <v>0</v>
      </c>
      <c r="CU15" s="12">
        <f>'Income Statement'!BV37/1000</f>
        <v>0</v>
      </c>
      <c r="CV15" s="12">
        <f>'Income Statement'!BW37/1000</f>
        <v>0</v>
      </c>
      <c r="CW15" s="12">
        <f>'Income Statement'!BX37/1000</f>
        <v>0</v>
      </c>
      <c r="CX15" s="12">
        <f>'Income Statement'!BY37/1000</f>
        <v>0</v>
      </c>
      <c r="CY15" s="12">
        <f>'Income Statement'!BZ37/1000</f>
        <v>0</v>
      </c>
      <c r="CZ15" s="12">
        <f>'Income Statement'!CA37/1000</f>
        <v>0</v>
      </c>
      <c r="DA15" s="12">
        <f>'Income Statement'!CB37/1000</f>
        <v>0</v>
      </c>
      <c r="DB15" s="12">
        <f>'Income Statement'!CC37/1000</f>
        <v>0</v>
      </c>
      <c r="DC15" s="12">
        <f>'Income Statement'!CD37/1000</f>
        <v>0</v>
      </c>
      <c r="DD15" s="12">
        <f>'Income Statement'!CE37/1000</f>
        <v>0</v>
      </c>
      <c r="DE15" s="12">
        <f>'Income Statement'!CF37/1000</f>
        <v>0</v>
      </c>
      <c r="DF15" s="12">
        <f>'Income Statement'!CG37/1000</f>
        <v>0</v>
      </c>
      <c r="DG15" s="12">
        <f>'Income Statement'!CH37/1000</f>
        <v>0</v>
      </c>
      <c r="DH15" s="10"/>
    </row>
    <row r="16" spans="1:112" s="7" customFormat="1">
      <c r="A16" s="11" t="s">
        <v>241</v>
      </c>
      <c r="B16" s="15"/>
      <c r="C16" s="15"/>
      <c r="D16" s="15"/>
      <c r="E16" s="15"/>
      <c r="F16" s="15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f>'Income Statement'!P22/1000+'Income Statement'!P29/1000</f>
        <v>80.843000000000004</v>
      </c>
      <c r="AP16" s="12">
        <f>'Income Statement'!Q22/1000+'Income Statement'!Q29/1000</f>
        <v>0.4849999999999991</v>
      </c>
      <c r="AQ16" s="12">
        <f>'Income Statement'!R22/1000+'Income Statement'!R29/1000</f>
        <v>16.529000000000011</v>
      </c>
      <c r="AR16" s="12">
        <f>'Income Statement'!S22/1000+'Income Statement'!S29/1000</f>
        <v>11.403000000000004</v>
      </c>
      <c r="AS16" s="12">
        <f>'Income Statement'!T22/1000+'Income Statement'!T29/1000</f>
        <v>26.777000000000001</v>
      </c>
      <c r="AT16" s="12">
        <f>'Income Statement'!U22/1000+'Income Statement'!U29/1000</f>
        <v>55.194000000000017</v>
      </c>
      <c r="AU16" s="12">
        <f>'Income Statement'!V22/1000+'Income Statement'!V29/1000</f>
        <v>2.1999999999999999E-2</v>
      </c>
      <c r="AV16" s="12">
        <f>'Income Statement'!W22/1000+'Income Statement'!W29/1000</f>
        <v>8.2040000000000006</v>
      </c>
      <c r="AW16" s="12">
        <f>'Income Statement'!X22/1000+'Income Statement'!X29/1000</f>
        <v>-28.122</v>
      </c>
      <c r="AX16" s="12">
        <f>'Income Statement'!Y22/1000+'Income Statement'!Y29/1000</f>
        <v>9.1159999999999997</v>
      </c>
      <c r="AY16" s="12">
        <f>'Income Statement'!Z22/1000+'Income Statement'!Z29/1000</f>
        <v>-10.78</v>
      </c>
      <c r="AZ16" s="12">
        <f>'Income Statement'!AA22/1000+'Income Statement'!AA29/1000</f>
        <v>-0.73899999999999999</v>
      </c>
      <c r="BA16" s="12">
        <f>'Income Statement'!AB22/1000+'Income Statement'!AB29/1000</f>
        <v>-5.4870000000000001</v>
      </c>
      <c r="BB16" s="12">
        <f>'Income Statement'!AC22/1000+'Income Statement'!AC29/1000</f>
        <v>-12.602</v>
      </c>
      <c r="BC16" s="12">
        <f>'Income Statement'!AD22/1000+'Income Statement'!AD29/1000</f>
        <v>4.2949999999999999</v>
      </c>
      <c r="BD16" s="12">
        <f>'Income Statement'!AE22/1000+'Income Statement'!AE29/1000</f>
        <v>-14.532999999999999</v>
      </c>
      <c r="BE16" s="12">
        <f>'Income Statement'!AF22/1000+'Income Statement'!AF29/1000</f>
        <v>5.3879999999999999</v>
      </c>
      <c r="BF16" s="12">
        <f>'Income Statement'!AG22/1000+'Income Statement'!AG29/1000</f>
        <v>20.507000000000001</v>
      </c>
      <c r="BG16" s="12">
        <f>'Income Statement'!AH22/1000+'Income Statement'!AH29/1000</f>
        <v>22.097999999999999</v>
      </c>
      <c r="BH16" s="12">
        <f>'Income Statement'!AI22/1000+'Income Statement'!AI29/1000</f>
        <v>17.239000000000001</v>
      </c>
      <c r="BI16" s="12">
        <f>'Income Statement'!AJ22/1000+'Income Statement'!AJ29/1000</f>
        <v>65.231999999999999</v>
      </c>
      <c r="BJ16" s="12">
        <f>'Income Statement'!AK22/1000+'Income Statement'!AK29/1000</f>
        <v>3.21</v>
      </c>
      <c r="BK16" s="12">
        <f>'Income Statement'!AL22/1000+'Income Statement'!AL29/1000</f>
        <v>6.5730000000000004</v>
      </c>
      <c r="BL16" s="12">
        <f>'Income Statement'!AM22/1000+'Income Statement'!AM29/1000</f>
        <v>7.2039999999999997</v>
      </c>
      <c r="BM16" s="12">
        <f>'Income Statement'!AN22/1000+'Income Statement'!AN29/1000</f>
        <v>32.631999999999998</v>
      </c>
      <c r="BN16" s="12">
        <f>'Income Statement'!AO22/1000+'Income Statement'!AO29/1000</f>
        <v>49.619</v>
      </c>
      <c r="BO16" s="12">
        <f>'Income Statement'!AP22/1000+'Income Statement'!AP29/1000</f>
        <v>7.3719999999999999</v>
      </c>
      <c r="BP16" s="12">
        <f>'Income Statement'!AQ22/1000+'Income Statement'!AQ29/1000</f>
        <v>3.4870000000000001</v>
      </c>
      <c r="BQ16" s="12">
        <f>'Income Statement'!AR22/1000+'Income Statement'!AR29/1000</f>
        <v>2.5739999999999998</v>
      </c>
      <c r="BR16" s="12">
        <f>'Income Statement'!AS22/1000+'Income Statement'!AS29/1000</f>
        <v>-2.8420000000000001</v>
      </c>
      <c r="BS16" s="12">
        <f>'Income Statement'!AT22/1000+'Income Statement'!AT29/1000</f>
        <v>10.590999999999999</v>
      </c>
      <c r="BT16" s="12">
        <f>'Income Statement'!AU22/1000+'Income Statement'!AU29/1000</f>
        <v>9.8019999999999996</v>
      </c>
      <c r="BU16" s="12">
        <f>'Income Statement'!AV22/1000+'Income Statement'!AV29/1000</f>
        <v>8.8059999999999992</v>
      </c>
      <c r="BV16" s="12">
        <f>'Income Statement'!AW22/1000+'Income Statement'!AW29/1000</f>
        <v>4.9640000000000004</v>
      </c>
      <c r="BW16" s="12">
        <f>'Income Statement'!AX22/1000+'Income Statement'!AX29/1000</f>
        <v>4.306</v>
      </c>
      <c r="BX16" s="12">
        <f>'Income Statement'!AY22/1000+'Income Statement'!AY29/1000</f>
        <v>27.878</v>
      </c>
      <c r="BY16" s="12">
        <f>'Income Statement'!AZ22/1000+'Income Statement'!AZ29/1000</f>
        <v>9.44</v>
      </c>
      <c r="BZ16" s="12">
        <f>'Income Statement'!BA22/1000+'Income Statement'!BA29/1000</f>
        <v>3.202</v>
      </c>
      <c r="CA16" s="12">
        <f>'Income Statement'!BB22/1000+'Income Statement'!BB29/1000</f>
        <v>1.5840000000000001</v>
      </c>
      <c r="CB16" s="12">
        <f>'Income Statement'!BC22/1000+'Income Statement'!BC29/1000</f>
        <v>1.9179999999999999</v>
      </c>
      <c r="CC16" s="12">
        <f>'Income Statement'!BD22/1000+'Income Statement'!BD29/1000</f>
        <v>16.143999999999998</v>
      </c>
      <c r="CD16" s="12">
        <f>'Income Statement'!BE22/1000+'Income Statement'!BE29/1000</f>
        <v>6.1820000000000004</v>
      </c>
      <c r="CE16" s="12">
        <f>'Income Statement'!BF22/1000+'Income Statement'!BF29/1000</f>
        <v>-10.004</v>
      </c>
      <c r="CF16" s="12">
        <f>'Income Statement'!BG22/1000+'Income Statement'!BG29/1000</f>
        <v>5.1840000000000002</v>
      </c>
      <c r="CG16" s="12">
        <f>'Income Statement'!BH22/1000+'Income Statement'!BH29/1000</f>
        <v>16.234999999999999</v>
      </c>
      <c r="CI16" s="12">
        <f>'Income Statement'!BJ22/1000+'Income Statement'!BJ29/1000</f>
        <v>20.257000000000001</v>
      </c>
      <c r="CJ16" s="12">
        <f>'Income Statement'!BK22/1000+'Income Statement'!BK29/1000</f>
        <v>25.931000000000001</v>
      </c>
      <c r="CK16" s="12">
        <f>'Income Statement'!BL22/1000+'Income Statement'!BL29/1000</f>
        <v>18.196000000000002</v>
      </c>
      <c r="CL16" s="12">
        <f>'Income Statement'!BM22/1000+'Income Statement'!BM29/1000</f>
        <v>14.759</v>
      </c>
      <c r="CM16" s="12">
        <f>'Income Statement'!BN22/1000+'Income Statement'!BN29/1000</f>
        <v>79.143000000000001</v>
      </c>
      <c r="CN16" s="12">
        <f>'Income Statement'!BO22/1000+'Income Statement'!BO29/1000</f>
        <v>12.967000000000001</v>
      </c>
      <c r="CO16" s="12">
        <f>'Income Statement'!BP22/1000+'Income Statement'!BP29/1000</f>
        <v>5.2080000000000002</v>
      </c>
      <c r="CP16" s="12">
        <f>'Income Statement'!BQ22/1000+'Income Statement'!BQ29/1000</f>
        <v>11.673999999999999</v>
      </c>
      <c r="CQ16" s="12">
        <f>'Income Statement'!BR22/1000+'Income Statement'!BR29/1000</f>
        <v>7.9630000000000001</v>
      </c>
      <c r="CR16" s="12">
        <f>'Income Statement'!BS22/1000+'Income Statement'!BS29/1000</f>
        <v>37.811999999999998</v>
      </c>
      <c r="CS16" s="12">
        <f>'Income Statement'!BT22/1000+'Income Statement'!BT29/1000</f>
        <v>2.76</v>
      </c>
      <c r="CT16" s="12">
        <f>'Income Statement'!BU22/1000+'Income Statement'!BU29/1000</f>
        <v>4.4729999999999999</v>
      </c>
      <c r="CU16" s="12">
        <f>'Income Statement'!BV22/1000+'Income Statement'!BV29/1000</f>
        <v>-0.76900000000000002</v>
      </c>
      <c r="CV16" s="12">
        <f>'Income Statement'!BW22/1000+'Income Statement'!BW29/1000</f>
        <v>15.654</v>
      </c>
      <c r="CW16" s="12">
        <f>'Income Statement'!BX22/1000+'Income Statement'!BX29/1000</f>
        <v>22.117999999999999</v>
      </c>
      <c r="CX16" s="12">
        <f>'Income Statement'!BY22/1000+'Income Statement'!BY29/1000</f>
        <v>1.8720000000000001</v>
      </c>
      <c r="CY16" s="12">
        <f>'Income Statement'!BZ22/1000+'Income Statement'!BZ29/1000</f>
        <v>17.872</v>
      </c>
      <c r="CZ16" s="12">
        <f>'Income Statement'!CA22/1000+'Income Statement'!CA29/1000</f>
        <v>9.0549999999999997</v>
      </c>
      <c r="DA16" s="12">
        <f>'Income Statement'!CB22/1000+'Income Statement'!CB29/1000</f>
        <v>1.794</v>
      </c>
      <c r="DB16" s="12">
        <f>'Income Statement'!CC22/1000+'Income Statement'!CC29/1000</f>
        <v>30.593</v>
      </c>
      <c r="DC16" s="12">
        <f>'Income Statement'!CD22/1000+'Income Statement'!CD29/1000</f>
        <v>3.2509999999999999</v>
      </c>
      <c r="DD16" s="12">
        <f>'Income Statement'!CE22/1000+'Income Statement'!CE29/1000</f>
        <v>6.5010000000000003</v>
      </c>
      <c r="DE16" s="12">
        <f>'Income Statement'!CF22/1000+'Income Statement'!CF29/1000</f>
        <v>24.471</v>
      </c>
      <c r="DF16" s="12">
        <f>'Income Statement'!CG22/1000+'Income Statement'!CG29/1000</f>
        <v>50.277999999999999</v>
      </c>
      <c r="DG16" s="12">
        <f>'Income Statement'!CH22/1000+'Income Statement'!CH29/1000</f>
        <v>84.501000000000005</v>
      </c>
      <c r="DH16" s="10"/>
    </row>
    <row r="17" spans="1:112" s="7" customFormat="1">
      <c r="A17" s="13" t="s">
        <v>242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4"/>
      <c r="BZ17" s="14"/>
      <c r="CA17" s="14"/>
      <c r="CB17" s="14"/>
      <c r="CC17" s="14"/>
      <c r="CD17" s="14"/>
      <c r="CE17" s="14"/>
      <c r="CF17" s="14"/>
      <c r="CG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0"/>
    </row>
    <row r="18" spans="1:112" s="7" customFormat="1">
      <c r="A18" s="11" t="s">
        <v>243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>
        <f>'Income Statement'!P39/1000+'Income Statement'!P41/1000</f>
        <v>-58.007999999999996</v>
      </c>
      <c r="AP18" s="12">
        <f>'Income Statement'!Q39/1000+'Income Statement'!Q41/1000</f>
        <v>-1.617</v>
      </c>
      <c r="AQ18" s="12">
        <f>'Income Statement'!R39/1000+'Income Statement'!R41/1000</f>
        <v>-10.815</v>
      </c>
      <c r="AR18" s="12">
        <f>'Income Statement'!S39/1000+'Income Statement'!S41/1000</f>
        <v>-22.994</v>
      </c>
      <c r="AS18" s="12">
        <f>'Income Statement'!T39/1000+'Income Statement'!T41/1000</f>
        <v>-30.100999999999999</v>
      </c>
      <c r="AT18" s="12">
        <f>'Income Statement'!U39/1000+'Income Statement'!U41/1000</f>
        <v>-65.527000000000001</v>
      </c>
      <c r="AU18" s="12">
        <f>'Income Statement'!V39/1000+'Income Statement'!V41/1000</f>
        <v>-13.992000000000001</v>
      </c>
      <c r="AV18" s="12">
        <f>'Income Statement'!W39/1000+'Income Statement'!W41/1000</f>
        <v>-36.096000000000004</v>
      </c>
      <c r="AW18" s="12">
        <f>'Income Statement'!X39/1000+'Income Statement'!X41/1000</f>
        <v>-36.085000000000001</v>
      </c>
      <c r="AX18" s="12">
        <f>'Income Statement'!Y39/1000+'Income Statement'!Y41/1000</f>
        <v>-26.225999999999999</v>
      </c>
      <c r="AY18" s="12">
        <f>'Income Statement'!Z39/1000+'Income Statement'!Z41/1000</f>
        <v>-112.399</v>
      </c>
      <c r="AZ18" s="12">
        <f>'Income Statement'!AA39/1000+'Income Statement'!AA41/1000</f>
        <v>-28.725999999999999</v>
      </c>
      <c r="BA18" s="12">
        <f>'Income Statement'!AB39/1000+'Income Statement'!AB41/1000</f>
        <v>-21.990000000000002</v>
      </c>
      <c r="BB18" s="12">
        <f>'Income Statement'!AC39/1000+'Income Statement'!AC41/1000</f>
        <v>-48.332000000000001</v>
      </c>
      <c r="BC18" s="12">
        <f>'Income Statement'!AD39/1000+'Income Statement'!AD41/1000</f>
        <v>-15.079000000000001</v>
      </c>
      <c r="BD18" s="12">
        <f>'Income Statement'!AE39/1000+'Income Statement'!AE41/1000</f>
        <v>-114.12700000000001</v>
      </c>
      <c r="BE18" s="12">
        <f>'Income Statement'!AF39/1000+'Income Statement'!AF41/1000</f>
        <v>-24.524000000000001</v>
      </c>
      <c r="BF18" s="12">
        <f>'Income Statement'!AG39/1000+'Income Statement'!AG41/1000</f>
        <v>-35.595999999999997</v>
      </c>
      <c r="BG18" s="12">
        <f>'Income Statement'!AH39/1000+'Income Statement'!AH41/1000</f>
        <v>-34.567</v>
      </c>
      <c r="BH18" s="12">
        <f>'Income Statement'!AI39/1000+'Income Statement'!AI41/1000</f>
        <v>-34.243000000000002</v>
      </c>
      <c r="BI18" s="12">
        <f>'Income Statement'!AJ39/1000+'Income Statement'!AJ41/1000</f>
        <v>-128.93</v>
      </c>
      <c r="BJ18" s="12">
        <f>'Income Statement'!AK39/1000+'Income Statement'!AK41/1000</f>
        <v>-41.884</v>
      </c>
      <c r="BK18" s="12">
        <f>'Income Statement'!AL39/1000+'Income Statement'!AL41/1000</f>
        <v>-35.053999999999995</v>
      </c>
      <c r="BL18" s="12">
        <f>'Income Statement'!AM39/1000+'Income Statement'!AM41/1000</f>
        <v>-47.374000000000002</v>
      </c>
      <c r="BM18" s="12">
        <f>'Income Statement'!AN39/1000+'Income Statement'!AN41/1000</f>
        <v>-63.9</v>
      </c>
      <c r="BN18" s="12">
        <f>'Income Statement'!AO39/1000+'Income Statement'!AO41/1000</f>
        <v>-188.21200000000002</v>
      </c>
      <c r="BO18" s="12">
        <f>'Income Statement'!AP39/1000+'Income Statement'!AP41/1000</f>
        <v>-48.695999999999998</v>
      </c>
      <c r="BP18" s="12">
        <f>'Income Statement'!AQ39/1000+'Income Statement'!AQ41/1000</f>
        <v>-61.856999999999999</v>
      </c>
      <c r="BQ18" s="12">
        <f>'Income Statement'!AR39/1000+'Income Statement'!AR41/1000</f>
        <v>-48.245000000000005</v>
      </c>
      <c r="BR18" s="12">
        <f>'Income Statement'!AS39/1000+'Income Statement'!AS41/1000</f>
        <v>6.1180000000000021</v>
      </c>
      <c r="BS18" s="12">
        <f>'Income Statement'!AT39/1000+'Income Statement'!AT41/1000</f>
        <v>-152.68</v>
      </c>
      <c r="BT18" s="12">
        <f>'Income Statement'!AU39/1000+'Income Statement'!AU41/1000</f>
        <v>-26.98</v>
      </c>
      <c r="BU18" s="12">
        <f>'Income Statement'!AV39/1000+'Income Statement'!AV41/1000</f>
        <v>-33.110999999999997</v>
      </c>
      <c r="BV18" s="12">
        <f>'Income Statement'!AW39/1000+'Income Statement'!AW41/1000</f>
        <v>-32.506</v>
      </c>
      <c r="BW18" s="12">
        <f>'Income Statement'!AX39/1000+'Income Statement'!AX41/1000</f>
        <v>-43.293999999999997</v>
      </c>
      <c r="BX18" s="12">
        <f>'Income Statement'!AY39/1000+'Income Statement'!AY41/1000</f>
        <v>-135.89100000000002</v>
      </c>
      <c r="BY18" s="12">
        <f>'Income Statement'!AZ39/1000+'Income Statement'!AZ41/1000</f>
        <v>-41.251999999999995</v>
      </c>
      <c r="BZ18" s="12">
        <f>'Income Statement'!BA39/1000+'Income Statement'!BA41/1000</f>
        <v>-42.613</v>
      </c>
      <c r="CA18" s="12">
        <f>'Income Statement'!BB39/1000+'Income Statement'!BB41/1000</f>
        <v>-30.546999999999997</v>
      </c>
      <c r="CB18" s="12">
        <f>'Income Statement'!BC39/1000+'Income Statement'!BC41/1000</f>
        <v>-30.608999999999998</v>
      </c>
      <c r="CC18" s="12">
        <f>'Income Statement'!BD39/1000+'Income Statement'!BD41/1000</f>
        <v>-145.02100000000002</v>
      </c>
      <c r="CD18" s="12">
        <f>'Income Statement'!BE39/1000+'Income Statement'!BE41/1000</f>
        <v>-23.321999999999996</v>
      </c>
      <c r="CE18" s="12">
        <f>'Income Statement'!BF39/1000+'Income Statement'!BF41/1000</f>
        <v>-23.917999999999999</v>
      </c>
      <c r="CF18" s="12">
        <f>'Income Statement'!BG39/1000+'Income Statement'!BG41/1000</f>
        <v>-29.382999999999999</v>
      </c>
      <c r="CG18" s="12">
        <f>'Income Statement'!BH39/1000+'Income Statement'!BH41/1000</f>
        <v>-20.628</v>
      </c>
      <c r="CI18" s="12">
        <f>'Income Statement'!BJ39/1000+'Income Statement'!BJ41/1000</f>
        <v>-18.25</v>
      </c>
      <c r="CJ18" s="12">
        <f>'Income Statement'!BK39/1000+'Income Statement'!BK41/1000</f>
        <v>-14.834</v>
      </c>
      <c r="CK18" s="12">
        <f>'Income Statement'!BL39/1000+'Income Statement'!BL41/1000</f>
        <v>-18.498000000000001</v>
      </c>
      <c r="CL18" s="12">
        <f>'Income Statement'!BM39/1000+'Income Statement'!BM41/1000</f>
        <v>-22.140999999999998</v>
      </c>
      <c r="CM18" s="12">
        <f>'Income Statement'!BN39/1000+'Income Statement'!BN41/1000</f>
        <v>-73.722999999999999</v>
      </c>
      <c r="CN18" s="12">
        <f>'Income Statement'!BO39/1000+'Income Statement'!BO41/1000</f>
        <v>-15.451000000000001</v>
      </c>
      <c r="CO18" s="12">
        <f>'Income Statement'!BP39/1000+'Income Statement'!BP41/1000</f>
        <v>-14.339000000000002</v>
      </c>
      <c r="CP18" s="12">
        <f>'Income Statement'!BQ39/1000+'Income Statement'!BQ41/1000</f>
        <v>-14.288</v>
      </c>
      <c r="CQ18" s="12">
        <f>'Income Statement'!BR39/1000+'Income Statement'!BR41/1000</f>
        <v>-21.091000000000001</v>
      </c>
      <c r="CR18" s="12">
        <f>'Income Statement'!BS39/1000+'Income Statement'!BS41/1000</f>
        <v>-65.168999999999997</v>
      </c>
      <c r="CS18" s="12">
        <f>'Income Statement'!BT39/1000+'Income Statement'!BT41/1000</f>
        <v>-11.754999999999999</v>
      </c>
      <c r="CT18" s="12">
        <f>'Income Statement'!BU39/1000+'Income Statement'!BU41/1000</f>
        <v>-14.193000000000001</v>
      </c>
      <c r="CU18" s="12">
        <f>'Income Statement'!BV39/1000+'Income Statement'!BV41/1000</f>
        <v>-15.388999999999999</v>
      </c>
      <c r="CV18" s="12">
        <f>'Income Statement'!BW39/1000+'Income Statement'!BW41/1000</f>
        <v>-27.195</v>
      </c>
      <c r="CW18" s="12">
        <f>'Income Statement'!BX39/1000+'Income Statement'!BX41/1000</f>
        <v>-68.532000000000011</v>
      </c>
      <c r="CX18" s="12">
        <f>'Income Statement'!BY39/1000+'Income Statement'!BY41/1000</f>
        <v>-18.111000000000001</v>
      </c>
      <c r="CY18" s="12">
        <f>'Income Statement'!BZ39/1000+'Income Statement'!BZ41/1000</f>
        <v>-19.204000000000001</v>
      </c>
      <c r="CZ18" s="12">
        <f>'Income Statement'!CA39/1000+'Income Statement'!CA41/1000</f>
        <v>-21.668999999999997</v>
      </c>
      <c r="DA18" s="12">
        <f>'Income Statement'!CB39/1000+'Income Statement'!CB41/1000</f>
        <v>-27.189</v>
      </c>
      <c r="DB18" s="12">
        <f>'Income Statement'!CC39/1000+'Income Statement'!CC41/1000</f>
        <v>-86.173000000000002</v>
      </c>
      <c r="DC18" s="12">
        <f>'Income Statement'!CD39/1000+'Income Statement'!CD41/1000</f>
        <v>-16.849</v>
      </c>
      <c r="DD18" s="12">
        <f>'Income Statement'!CE39/1000+'Income Statement'!CE41/1000</f>
        <v>-16.332000000000001</v>
      </c>
      <c r="DE18" s="12">
        <f>'Income Statement'!CF39/1000+'Income Statement'!CF41/1000</f>
        <v>-21.288</v>
      </c>
      <c r="DF18" s="12">
        <f>'Income Statement'!CG39/1000+'Income Statement'!CG41/1000</f>
        <v>-30.413000000000004</v>
      </c>
      <c r="DG18" s="12">
        <f>'Income Statement'!CH39/1000+'Income Statement'!CH41/1000</f>
        <v>-84.882000000000005</v>
      </c>
      <c r="DH18" s="10"/>
    </row>
    <row r="19" spans="1:112" s="7" customFormat="1">
      <c r="A19" s="13" t="s">
        <v>244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0"/>
    </row>
    <row r="20" spans="1:112" s="7" customFormat="1">
      <c r="A20" s="11" t="s">
        <v>245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>
        <f>'Income Statement'!P45/1000</f>
        <v>-23.97</v>
      </c>
      <c r="AP20" s="12">
        <f>'Income Statement'!Q45/1000</f>
        <v>-7.9610000000000003</v>
      </c>
      <c r="AQ20" s="12">
        <f>'Income Statement'!R45/1000</f>
        <v>-13.648999999999999</v>
      </c>
      <c r="AR20" s="12">
        <f>'Income Statement'!S45/1000</f>
        <v>-7.1440000000000001</v>
      </c>
      <c r="AS20" s="12">
        <f>'Income Statement'!T45/1000</f>
        <v>-25.596</v>
      </c>
      <c r="AT20" s="12">
        <f>'Income Statement'!U45/1000</f>
        <v>-54.35</v>
      </c>
      <c r="AU20" s="12">
        <f>'Income Statement'!V45/1000</f>
        <v>-10.224</v>
      </c>
      <c r="AV20" s="12">
        <f>'Income Statement'!W45/1000</f>
        <v>-18.067</v>
      </c>
      <c r="AW20" s="12">
        <f>'Income Statement'!X45/1000</f>
        <v>-0.96</v>
      </c>
      <c r="AX20" s="12">
        <f>'Income Statement'!Y45/1000</f>
        <v>-18.582000000000001</v>
      </c>
      <c r="AY20" s="12">
        <f>'Income Statement'!Z45/1000</f>
        <v>-47.832999999999998</v>
      </c>
      <c r="AZ20" s="12">
        <f>'Income Statement'!AA45/1000</f>
        <v>-18.337</v>
      </c>
      <c r="BA20" s="12">
        <f>'Income Statement'!AB45/1000</f>
        <v>-21.605</v>
      </c>
      <c r="BB20" s="12">
        <f>'Income Statement'!AC45/1000</f>
        <v>-45.593000000000004</v>
      </c>
      <c r="BC20" s="12">
        <f>'Income Statement'!AD45/1000</f>
        <v>-12.013999999999999</v>
      </c>
      <c r="BD20" s="12">
        <f>'Income Statement'!AE45/1000</f>
        <v>-97.549000000000007</v>
      </c>
      <c r="BE20" s="12">
        <f>'Income Statement'!AF45/1000</f>
        <v>-12.032999999999999</v>
      </c>
      <c r="BF20" s="12">
        <f>'Income Statement'!AG45/1000</f>
        <v>-29.297000000000001</v>
      </c>
      <c r="BG20" s="12">
        <f>'Income Statement'!AH45/1000</f>
        <v>-20.108000000000001</v>
      </c>
      <c r="BH20" s="12">
        <f>'Income Statement'!AI45/1000</f>
        <v>-23.379000000000001</v>
      </c>
      <c r="BI20" s="12">
        <f>'Income Statement'!AJ45/1000</f>
        <v>-84.816999999999993</v>
      </c>
      <c r="BJ20" s="12">
        <f>'Income Statement'!AK45/1000</f>
        <v>-15.894</v>
      </c>
      <c r="BK20" s="12">
        <f>'Income Statement'!AL45/1000</f>
        <v>-10.068</v>
      </c>
      <c r="BL20" s="12">
        <f>'Income Statement'!AM45/1000</f>
        <v>-30.808</v>
      </c>
      <c r="BM20" s="12">
        <f>'Income Statement'!AN45/1000</f>
        <v>-37.244999999999997</v>
      </c>
      <c r="BN20" s="12">
        <f>'Income Statement'!AO45/1000</f>
        <v>-94.015000000000001</v>
      </c>
      <c r="BO20" s="12">
        <f>'Income Statement'!AP45/1000</f>
        <v>-60.319000000000003</v>
      </c>
      <c r="BP20" s="12">
        <f>'Income Statement'!AQ45/1000</f>
        <v>-26.867000000000001</v>
      </c>
      <c r="BQ20" s="12">
        <f>'Income Statement'!AR45/1000</f>
        <v>-15.454000000000001</v>
      </c>
      <c r="BR20" s="12">
        <f>'Income Statement'!AS45/1000</f>
        <v>-72.900999999999996</v>
      </c>
      <c r="BS20" s="12">
        <f>'Income Statement'!AT45/1000</f>
        <v>-175.541</v>
      </c>
      <c r="BT20" s="12">
        <f>'Income Statement'!AU45/1000</f>
        <v>-35.527999999999999</v>
      </c>
      <c r="BU20" s="12">
        <f>'Income Statement'!AV45/1000</f>
        <v>-42.408000000000001</v>
      </c>
      <c r="BV20" s="12">
        <f>'Income Statement'!AW45/1000</f>
        <v>-53.49</v>
      </c>
      <c r="BW20" s="12">
        <f>'Income Statement'!AX45/1000</f>
        <v>-43.741</v>
      </c>
      <c r="BX20" s="12">
        <f>'Income Statement'!AY45/1000</f>
        <v>-175.167</v>
      </c>
      <c r="BY20" s="12">
        <f>'Income Statement'!AZ45/1000</f>
        <v>-23.890999999999998</v>
      </c>
      <c r="BZ20" s="12">
        <f>'Income Statement'!BA45/1000</f>
        <v>-39.320999999999998</v>
      </c>
      <c r="CA20" s="12">
        <f>'Income Statement'!BB45/1000</f>
        <v>-50.664000000000001</v>
      </c>
      <c r="CB20" s="12">
        <f>'Income Statement'!BC45/1000</f>
        <v>-56.011000000000003</v>
      </c>
      <c r="CC20" s="12">
        <f>'Income Statement'!BD45/1000</f>
        <v>-169.887</v>
      </c>
      <c r="CD20" s="12">
        <f>'Income Statement'!BE45/1000</f>
        <v>-17.390999999999998</v>
      </c>
      <c r="CE20" s="12">
        <f>'Income Statement'!BF45/1000</f>
        <v>-67.052999999999997</v>
      </c>
      <c r="CF20" s="12">
        <f>'Income Statement'!BG45/1000</f>
        <v>-37.793999999999997</v>
      </c>
      <c r="CG20" s="12">
        <f>'Income Statement'!BH45/1000</f>
        <v>-23.114999999999998</v>
      </c>
      <c r="CI20" s="12">
        <f>'Income Statement'!BJ45/1000</f>
        <v>-27.594999999999999</v>
      </c>
      <c r="CJ20" s="12">
        <f>'Income Statement'!BK45/1000</f>
        <v>-11.8</v>
      </c>
      <c r="CK20" s="12">
        <f>'Income Statement'!BL45/1000</f>
        <v>-28.530999999999999</v>
      </c>
      <c r="CL20" s="12">
        <f>'Income Statement'!BM45/1000</f>
        <v>-25.341999999999999</v>
      </c>
      <c r="CM20" s="12">
        <f>'Income Statement'!BN45/1000</f>
        <v>-93.268000000000001</v>
      </c>
      <c r="CN20" s="12">
        <f>'Income Statement'!BO45/1000</f>
        <v>-30.221</v>
      </c>
      <c r="CO20" s="12">
        <f>'Income Statement'!BP45/1000</f>
        <v>-6.7080000000000002</v>
      </c>
      <c r="CP20" s="12">
        <f>'Income Statement'!BQ45/1000</f>
        <v>-20.925999999999998</v>
      </c>
      <c r="CQ20" s="12">
        <f>'Income Statement'!BR45/1000</f>
        <v>-26.61</v>
      </c>
      <c r="CR20" s="12">
        <f>'Income Statement'!BS45/1000</f>
        <v>-84.465000000000003</v>
      </c>
      <c r="CS20" s="12">
        <f>'Income Statement'!BT45/1000</f>
        <v>-16.629000000000001</v>
      </c>
      <c r="CT20" s="12">
        <f>'Income Statement'!BU45/1000</f>
        <v>-9.3059999999999992</v>
      </c>
      <c r="CU20" s="12">
        <f>'Income Statement'!BV45/1000</f>
        <v>-26.675999999999998</v>
      </c>
      <c r="CV20" s="12">
        <f>'Income Statement'!BW45/1000</f>
        <v>-37.78</v>
      </c>
      <c r="CW20" s="12">
        <f>'Income Statement'!BX45/1000</f>
        <v>-90.391000000000005</v>
      </c>
      <c r="CX20" s="12">
        <f>'Income Statement'!BY45/1000</f>
        <v>-12.991</v>
      </c>
      <c r="CY20" s="12">
        <f>'Income Statement'!BZ45/1000</f>
        <v>-28.456</v>
      </c>
      <c r="CZ20" s="12">
        <f>'Income Statement'!CA45/1000</f>
        <v>-16.878</v>
      </c>
      <c r="DA20" s="12">
        <f>'Income Statement'!CB45/1000</f>
        <v>-60.15</v>
      </c>
      <c r="DB20" s="12">
        <f>'Income Statement'!CC45/1000</f>
        <v>-118.47499999999999</v>
      </c>
      <c r="DC20" s="12">
        <f>'Income Statement'!CD45/1000</f>
        <v>-20.300999999999998</v>
      </c>
      <c r="DD20" s="12">
        <f>'Income Statement'!CE45/1000</f>
        <v>-25.114000000000001</v>
      </c>
      <c r="DE20" s="12">
        <f>'Income Statement'!CF45/1000</f>
        <v>-11.593999999999999</v>
      </c>
      <c r="DF20" s="12">
        <f>'Income Statement'!CG45/1000</f>
        <v>-12.23</v>
      </c>
      <c r="DG20" s="12">
        <f>'Income Statement'!CH45/1000</f>
        <v>-69.239000000000004</v>
      </c>
      <c r="DH20" s="10"/>
    </row>
    <row r="21" spans="1:112" s="7" customFormat="1">
      <c r="A21" s="11" t="s">
        <v>246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0"/>
    </row>
    <row r="22" spans="1:112" s="7" customFormat="1">
      <c r="A22" s="17" t="s">
        <v>247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0"/>
    </row>
    <row r="23" spans="1:112" s="7" customFormat="1">
      <c r="A23" s="11" t="s">
        <v>248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0"/>
    </row>
    <row r="24" spans="1:112" s="7" customFormat="1" ht="13.5" thickBot="1">
      <c r="A24" s="13" t="s">
        <v>249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8"/>
      <c r="BZ24" s="18"/>
      <c r="CA24" s="18"/>
      <c r="CB24" s="18"/>
      <c r="CC24" s="18"/>
      <c r="CD24" s="18"/>
      <c r="CE24" s="18"/>
      <c r="CF24" s="18"/>
      <c r="CG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0"/>
    </row>
    <row r="25" spans="1:112" s="7" customFormat="1">
      <c r="A25" s="17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10"/>
    </row>
    <row r="26" spans="1:112" s="7" customFormat="1">
      <c r="A26" s="11" t="s">
        <v>250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>
        <f>-'Income Statement'!P49/1000</f>
        <v>-57.033354064000001</v>
      </c>
      <c r="AP26" s="12">
        <f>-'Income Statement'!Q49/1000</f>
        <v>0</v>
      </c>
      <c r="AQ26" s="12">
        <f>-'Income Statement'!R49/1000</f>
        <v>-60</v>
      </c>
      <c r="AR26" s="12">
        <f>-'Income Statement'!S49/1000</f>
        <v>0</v>
      </c>
      <c r="AS26" s="12">
        <f>-'Income Statement'!T49/1000</f>
        <v>-14.574</v>
      </c>
      <c r="AT26" s="12">
        <f>-'Income Statement'!U49/1000</f>
        <v>-74.573999999999998</v>
      </c>
      <c r="AU26" s="12">
        <f>-'Income Statement'!V49/1000</f>
        <v>0</v>
      </c>
      <c r="AV26" s="12">
        <f>-'Income Statement'!W49/1000</f>
        <v>0</v>
      </c>
      <c r="AW26" s="12">
        <f>-'Income Statement'!X49/1000</f>
        <v>0</v>
      </c>
      <c r="AX26" s="12">
        <f>-'Income Statement'!Y49/1000</f>
        <v>-65.954999999999998</v>
      </c>
      <c r="AY26" s="12">
        <f>-'Income Statement'!Z49/1000</f>
        <v>-65.954999999999998</v>
      </c>
      <c r="AZ26" s="12">
        <f>-'Income Statement'!AA49/1000</f>
        <v>0</v>
      </c>
      <c r="BA26" s="12">
        <f>-'Income Statement'!AB49/1000</f>
        <v>0</v>
      </c>
      <c r="BB26" s="12">
        <f>-'Income Statement'!AC49/1000</f>
        <v>0</v>
      </c>
      <c r="BC26" s="12">
        <f>-'Income Statement'!AD49/1000</f>
        <v>-198.64882525980002</v>
      </c>
      <c r="BD26" s="12">
        <f>-'Income Statement'!AE49/1000</f>
        <v>-198.64882525980002</v>
      </c>
      <c r="BE26" s="12">
        <f>-'Income Statement'!AF49/1000</f>
        <v>0</v>
      </c>
      <c r="BF26" s="12">
        <f>-'Income Statement'!AG49/1000</f>
        <v>0</v>
      </c>
      <c r="BG26" s="12">
        <f>-'Income Statement'!AH49/1000</f>
        <v>0</v>
      </c>
      <c r="BH26" s="12">
        <f>-'Income Statement'!AI49/1000</f>
        <v>-142.559</v>
      </c>
      <c r="BI26" s="12">
        <f>-'Income Statement'!AJ49/1000</f>
        <v>-142.559</v>
      </c>
      <c r="BJ26" s="12">
        <f>-'Income Statement'!AK49/1000</f>
        <v>0</v>
      </c>
      <c r="BK26" s="12">
        <f>-'Income Statement'!AL49/1000</f>
        <v>0</v>
      </c>
      <c r="BL26" s="12">
        <f>-'Income Statement'!AM49/1000</f>
        <v>0</v>
      </c>
      <c r="BM26" s="12">
        <f>-'Income Statement'!AN49/1000</f>
        <v>-118.315</v>
      </c>
      <c r="BN26" s="12">
        <f>-'Income Statement'!AO49/1000</f>
        <v>-118.315</v>
      </c>
      <c r="BO26" s="12">
        <f>-'Income Statement'!AP49/1000</f>
        <v>0</v>
      </c>
      <c r="BP26" s="12">
        <f>-'Income Statement'!AQ49/1000</f>
        <v>0</v>
      </c>
      <c r="BQ26" s="12">
        <f>-'Income Statement'!AR49/1000</f>
        <v>0</v>
      </c>
      <c r="BR26" s="12">
        <f>-'Income Statement'!AS49/1000</f>
        <v>-156.81800000000001</v>
      </c>
      <c r="BS26" s="12">
        <f>-'Income Statement'!AT49/1000</f>
        <v>-156.81800000000001</v>
      </c>
      <c r="BT26" s="12">
        <f>-'Income Statement'!AU49/1000</f>
        <v>-50</v>
      </c>
      <c r="BU26" s="12">
        <f>-'Income Statement'!AV49/1000</f>
        <v>0</v>
      </c>
      <c r="BV26" s="12">
        <f>-'Income Statement'!AW49/1000</f>
        <v>0</v>
      </c>
      <c r="BW26" s="12">
        <f>-'Income Statement'!AX49/1000</f>
        <v>-170.82599999999999</v>
      </c>
      <c r="BX26" s="12">
        <f>-'Income Statement'!AY49/1000</f>
        <v>-220.82599999999999</v>
      </c>
      <c r="BY26" s="12">
        <f>-'Income Statement'!AZ49/1000</f>
        <v>0</v>
      </c>
      <c r="BZ26" s="12">
        <f>-'Income Statement'!BA49/1000</f>
        <v>0</v>
      </c>
      <c r="CA26" s="12">
        <f>-'Income Statement'!BB49/1000</f>
        <v>0</v>
      </c>
      <c r="CB26" s="12">
        <f>-'Income Statement'!BC49/1000</f>
        <v>-157.10599999999999</v>
      </c>
      <c r="CC26" s="12">
        <f>-'Income Statement'!BD49/1000</f>
        <v>-157.10599999999999</v>
      </c>
      <c r="CD26" s="12">
        <f>-'Income Statement'!BE49/1000</f>
        <v>0</v>
      </c>
      <c r="CE26" s="12">
        <f>-'Income Statement'!BF49/1000</f>
        <v>0</v>
      </c>
      <c r="CF26" s="12">
        <f>-'Income Statement'!BG49/1000</f>
        <v>0</v>
      </c>
      <c r="CG26" s="12">
        <f>-'Income Statement'!BH49/1000</f>
        <v>-106.35299999999999</v>
      </c>
      <c r="CI26" s="12">
        <f>-'Income Statement'!BJ49/1000</f>
        <v>0</v>
      </c>
      <c r="CJ26" s="12">
        <f>-'Income Statement'!BK49/1000</f>
        <v>0</v>
      </c>
      <c r="CK26" s="12">
        <f>-'Income Statement'!BL49/1000</f>
        <v>0</v>
      </c>
      <c r="CL26" s="12">
        <f>-'Income Statement'!BM49/1000</f>
        <v>-35.946081387</v>
      </c>
      <c r="CM26" s="12">
        <f>-'Income Statement'!BN49/1000</f>
        <v>-35.946081387</v>
      </c>
      <c r="CN26" s="12">
        <f>-'Income Statement'!BO49/1000</f>
        <v>0</v>
      </c>
      <c r="CO26" s="12">
        <f>-'Income Statement'!BP49/1000</f>
        <v>0</v>
      </c>
      <c r="CP26" s="12">
        <f>-'Income Statement'!BQ49/1000</f>
        <v>0</v>
      </c>
      <c r="CQ26" s="12">
        <f>-'Income Statement'!BR49/1000</f>
        <v>0</v>
      </c>
      <c r="CR26" s="12">
        <f>-'Income Statement'!BS49/1000</f>
        <v>0</v>
      </c>
      <c r="CS26" s="12">
        <f>-'Income Statement'!BT49/1000</f>
        <v>0</v>
      </c>
      <c r="CT26" s="12">
        <f>-'Income Statement'!BU49/1000</f>
        <v>-200</v>
      </c>
      <c r="CU26" s="12">
        <f>-'Income Statement'!BV49/1000</f>
        <v>0</v>
      </c>
      <c r="CV26" s="12">
        <f>-'Income Statement'!BW49/1000</f>
        <v>-230</v>
      </c>
      <c r="CW26" s="12">
        <f>-'Income Statement'!BX49/1000</f>
        <v>-430</v>
      </c>
      <c r="CX26" s="12">
        <f>-'Income Statement'!BY49/1000</f>
        <v>0</v>
      </c>
      <c r="CY26" s="12">
        <f>-'Income Statement'!BZ49/1000</f>
        <v>0</v>
      </c>
      <c r="CZ26" s="12">
        <f>-'Income Statement'!CA49/1000</f>
        <v>-300</v>
      </c>
      <c r="DA26" s="12">
        <f>-'Income Statement'!CB49/1000</f>
        <v>-400</v>
      </c>
      <c r="DB26" s="12">
        <f>-'Income Statement'!CC49/1000</f>
        <v>-700</v>
      </c>
      <c r="DC26" s="12">
        <f>-'Income Statement'!CD49/1000</f>
        <v>0</v>
      </c>
      <c r="DD26" s="12">
        <f>-'Income Statement'!CE49/1000</f>
        <v>0</v>
      </c>
      <c r="DE26" s="12">
        <f>-'Income Statement'!CF49/1000</f>
        <v>-98.762316060000003</v>
      </c>
      <c r="DF26" s="12">
        <f>-'Income Statement'!CG49/1000</f>
        <v>-600</v>
      </c>
      <c r="DG26" s="12">
        <f>-'Income Statement'!CH49/1000</f>
        <v>-698.76231605999999</v>
      </c>
      <c r="DH26" s="10"/>
    </row>
    <row r="27" spans="1:112" s="7" customFormat="1">
      <c r="A27" s="11" t="s">
        <v>251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0"/>
    </row>
    <row r="28" spans="1:112" s="7" customFormat="1">
      <c r="A28" s="11" t="s">
        <v>252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0"/>
    </row>
    <row r="29" spans="1:112" s="7" customFormat="1">
      <c r="A29" s="17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10"/>
    </row>
    <row r="30" spans="1:112" s="7" customFormat="1">
      <c r="A30" s="11" t="s">
        <v>11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>
        <f>-'Income Statement'!P68/1000</f>
        <v>-5.0579999999999998</v>
      </c>
      <c r="AP30" s="12">
        <f>-'Income Statement'!Q68/1000</f>
        <v>-5.1660000000000004</v>
      </c>
      <c r="AQ30" s="12">
        <f>-'Income Statement'!R68/1000</f>
        <v>-9.2219999999999995</v>
      </c>
      <c r="AR30" s="12">
        <f>-'Income Statement'!S68/1000</f>
        <v>-1.69</v>
      </c>
      <c r="AS30" s="12">
        <f>-'Income Statement'!T68/1000</f>
        <v>-5.0000000000000001E-3</v>
      </c>
      <c r="AT30" s="12">
        <f>-'Income Statement'!U68/1000</f>
        <v>-16.082999999999998</v>
      </c>
      <c r="AU30" s="12">
        <f>-'Income Statement'!V68/1000</f>
        <v>-1.8220000000000001</v>
      </c>
      <c r="AV30" s="12">
        <f>-'Income Statement'!W68/1000</f>
        <v>-12.87</v>
      </c>
      <c r="AW30" s="12">
        <f>-'Income Statement'!X68/1000</f>
        <v>-3.863</v>
      </c>
      <c r="AX30" s="12">
        <f>-'Income Statement'!Y68/1000</f>
        <v>-3.2149999999999999</v>
      </c>
      <c r="AY30" s="12">
        <f>-'Income Statement'!Z68/1000</f>
        <v>-21.77</v>
      </c>
      <c r="AZ30" s="12">
        <f>-'Income Statement'!AA68/1000</f>
        <v>-2.9870000000000001</v>
      </c>
      <c r="BA30" s="12">
        <f>-'Income Statement'!AB68/1000</f>
        <v>-3.25</v>
      </c>
      <c r="BB30" s="12">
        <f>-'Income Statement'!AC68/1000</f>
        <v>-3.3039999999999998</v>
      </c>
      <c r="BC30" s="12">
        <f>-'Income Statement'!AD68/1000</f>
        <v>-26.852</v>
      </c>
      <c r="BD30" s="12">
        <f>-'Income Statement'!AE68/1000</f>
        <v>-36.393000000000001</v>
      </c>
      <c r="BE30" s="12">
        <f>-'Income Statement'!AF68/1000</f>
        <v>-18.32</v>
      </c>
      <c r="BF30" s="12">
        <f>-'Income Statement'!AG68/1000</f>
        <v>-10.916</v>
      </c>
      <c r="BG30" s="12">
        <f>-'Income Statement'!AH68/1000</f>
        <v>-11.321999999999999</v>
      </c>
      <c r="BH30" s="12">
        <f>-'Income Statement'!AI68/1000</f>
        <v>-18.975000000000001</v>
      </c>
      <c r="BI30" s="12">
        <f>-'Income Statement'!AJ68/1000</f>
        <v>-59.533000000000001</v>
      </c>
      <c r="BJ30" s="12">
        <f>-'Income Statement'!AK68/1000</f>
        <v>-10.409000000000001</v>
      </c>
      <c r="BK30" s="12">
        <f>-'Income Statement'!AL68/1000</f>
        <v>-6.2009999999999996</v>
      </c>
      <c r="BL30" s="12">
        <f>-'Income Statement'!AM68/1000</f>
        <v>-9</v>
      </c>
      <c r="BM30" s="12">
        <f>-'Income Statement'!AN68/1000</f>
        <v>-7.5069999999999997</v>
      </c>
      <c r="BN30" s="12">
        <f>-'Income Statement'!AO68/1000</f>
        <v>-33.116999999999997</v>
      </c>
      <c r="BO30" s="12">
        <f>-'Income Statement'!AP68/1000</f>
        <v>-22.651</v>
      </c>
      <c r="BP30" s="12">
        <f>-'Income Statement'!AQ68/1000</f>
        <v>-32.515000000000001</v>
      </c>
      <c r="BQ30" s="12">
        <f>-'Income Statement'!AR68/1000</f>
        <v>-30.082000000000001</v>
      </c>
      <c r="BR30" s="12">
        <f>-'Income Statement'!AS68/1000</f>
        <v>65.385999999999996</v>
      </c>
      <c r="BS30" s="12">
        <f>-'Income Statement'!AT68/1000</f>
        <v>-19.861999999999998</v>
      </c>
      <c r="BT30" s="12">
        <f>-'Income Statement'!AU68/1000</f>
        <v>-26.262</v>
      </c>
      <c r="BU30" s="12">
        <f>-'Income Statement'!AV68/1000</f>
        <v>-25.204000000000001</v>
      </c>
      <c r="BV30" s="12">
        <f>-'Income Statement'!AW68/1000</f>
        <v>-25.591000000000001</v>
      </c>
      <c r="BW30" s="12">
        <f>-'Income Statement'!AX68/1000</f>
        <v>-18.954999999999998</v>
      </c>
      <c r="BX30" s="12">
        <f>-'Income Statement'!AY68/1000</f>
        <v>-96.012</v>
      </c>
      <c r="BY30" s="12">
        <f>-'Income Statement'!AZ68/1000</f>
        <v>-24.638999999999999</v>
      </c>
      <c r="BZ30" s="12">
        <f>-'Income Statement'!BA68/1000</f>
        <v>-23.135999999999999</v>
      </c>
      <c r="CA30" s="12">
        <f>-'Income Statement'!BB68/1000</f>
        <v>-19.917000000000002</v>
      </c>
      <c r="CB30" s="12">
        <f>-'Income Statement'!BC68/1000</f>
        <v>-12.407999999999999</v>
      </c>
      <c r="CC30" s="12">
        <f>-'Income Statement'!BD68/1000</f>
        <v>-80.099999999999994</v>
      </c>
      <c r="CD30" s="12">
        <f>-'Income Statement'!BE68/1000</f>
        <v>-18.847999999999999</v>
      </c>
      <c r="CE30" s="12">
        <f>-'Income Statement'!BF68/1000</f>
        <v>-17.303000000000001</v>
      </c>
      <c r="CF30" s="12">
        <f>-'Income Statement'!BG68/1000</f>
        <v>-21.106000000000002</v>
      </c>
      <c r="CG30" s="12">
        <f>-'Income Statement'!BH68/1000</f>
        <v>-9.9320000000000004</v>
      </c>
      <c r="CI30" s="12">
        <f>-'Income Statement'!BJ68/1000</f>
        <v>-29.847000000000001</v>
      </c>
      <c r="CJ30" s="12">
        <f>-'Income Statement'!BK68/1000</f>
        <v>-17.59</v>
      </c>
      <c r="CK30" s="12">
        <f>-'Income Statement'!BL68/1000</f>
        <v>-25.606999999999999</v>
      </c>
      <c r="CL30" s="12">
        <f>-'Income Statement'!BM68/1000</f>
        <v>-15.587999999999999</v>
      </c>
      <c r="CM30" s="12">
        <f>-'Income Statement'!BN68/1000</f>
        <v>-88.632000000000005</v>
      </c>
      <c r="CN30" s="12">
        <f>-'Income Statement'!BO68/1000</f>
        <v>-21.341999999999999</v>
      </c>
      <c r="CO30" s="12">
        <f>-'Income Statement'!BP68/1000</f>
        <v>-28.661000000000001</v>
      </c>
      <c r="CP30" s="12">
        <f>-'Income Statement'!BQ68/1000</f>
        <v>-0.76100000000000001</v>
      </c>
      <c r="CQ30" s="12">
        <f>-'Income Statement'!BR68/1000</f>
        <v>6.3079999999999998</v>
      </c>
      <c r="CR30" s="12">
        <f>-'Income Statement'!BS68/1000</f>
        <v>-44.456000000000003</v>
      </c>
      <c r="CS30" s="12">
        <f>-'Income Statement'!BT68/1000</f>
        <v>-15.867000000000001</v>
      </c>
      <c r="CT30" s="12">
        <f>-'Income Statement'!BU68/1000</f>
        <v>-9.5839999999999996</v>
      </c>
      <c r="CU30" s="12">
        <f>-'Income Statement'!BV68/1000</f>
        <v>-22.893999999999998</v>
      </c>
      <c r="CV30" s="12">
        <f>-'Income Statement'!BW68/1000</f>
        <v>-13.023999999999999</v>
      </c>
      <c r="CW30" s="12">
        <f>-'Income Statement'!BX68/1000</f>
        <v>-61.369</v>
      </c>
      <c r="CX30" s="12">
        <f>-'Income Statement'!BY68/1000</f>
        <v>-24.359000000000002</v>
      </c>
      <c r="CY30" s="12">
        <f>-'Income Statement'!BZ68/1000</f>
        <v>7.8810000000000002</v>
      </c>
      <c r="CZ30" s="12">
        <f>-'Income Statement'!CA68/1000</f>
        <v>-31.538</v>
      </c>
      <c r="DA30" s="12">
        <f>-'Income Statement'!CB68/1000</f>
        <v>-26.661999999999999</v>
      </c>
      <c r="DB30" s="12">
        <f>-'Income Statement'!CC68/1000</f>
        <v>-74.677999999999997</v>
      </c>
      <c r="DC30" s="12">
        <f>-'Income Statement'!CD68/1000</f>
        <v>-17.199000000000002</v>
      </c>
      <c r="DD30" s="12">
        <f>-'Income Statement'!CE68/1000</f>
        <v>-13.725</v>
      </c>
      <c r="DE30" s="12">
        <f>-'Income Statement'!CF68/1000</f>
        <v>-8.9629999999999992</v>
      </c>
      <c r="DF30" s="12">
        <f>-'Income Statement'!CG68/1000</f>
        <v>-11.276</v>
      </c>
      <c r="DG30" s="12">
        <f>-'Income Statement'!CH68/1000</f>
        <v>-51.162999999999997</v>
      </c>
      <c r="DH30" s="10"/>
    </row>
    <row r="31" spans="1:112" s="7" customFormat="1">
      <c r="A31" s="11" t="s">
        <v>253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0"/>
    </row>
    <row r="32" spans="1:112" s="7" customFormat="1">
      <c r="A32" s="17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10"/>
    </row>
    <row r="33" spans="1:112" s="7" customFormat="1" ht="15">
      <c r="A33" s="22" t="s">
        <v>254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10"/>
    </row>
    <row r="34" spans="1:112" s="7" customFormat="1">
      <c r="A34" s="17" t="s">
        <v>249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10"/>
    </row>
    <row r="35" spans="1:112" s="7" customFormat="1">
      <c r="A35" s="17" t="s">
        <v>248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10"/>
    </row>
    <row r="36" spans="1:112" s="7" customFormat="1">
      <c r="A36" s="17" t="s">
        <v>239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10"/>
    </row>
    <row r="37" spans="1:112" s="7" customFormat="1">
      <c r="A37" s="11" t="s">
        <v>255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0"/>
    </row>
    <row r="38" spans="1:112" s="7" customFormat="1">
      <c r="A38" s="17" t="s">
        <v>238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10"/>
    </row>
    <row r="39" spans="1:112" s="7" customFormat="1">
      <c r="A39" s="11" t="s">
        <v>256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0"/>
    </row>
    <row r="40" spans="1:112" s="7" customFormat="1">
      <c r="A40" s="17" t="s">
        <v>257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4"/>
      <c r="BZ40" s="14"/>
      <c r="CA40" s="14"/>
      <c r="CB40" s="14"/>
      <c r="CC40" s="14"/>
      <c r="CD40" s="14"/>
      <c r="CE40" s="14"/>
      <c r="CF40" s="14"/>
      <c r="CG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0"/>
    </row>
    <row r="41" spans="1:112" s="7" customFormat="1">
      <c r="A41" s="11" t="s">
        <v>258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0"/>
    </row>
    <row r="42" spans="1:112" s="7" customFormat="1">
      <c r="A42" s="11" t="s">
        <v>259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0"/>
    </row>
    <row r="43" spans="1:112" s="7" customFormat="1">
      <c r="A43" s="17" t="s">
        <v>260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0"/>
    </row>
    <row r="44" spans="1:112" s="7" customFormat="1" ht="15.75">
      <c r="A44" s="25" t="s">
        <v>261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10"/>
    </row>
    <row r="45" spans="1:112" s="7" customFormat="1">
      <c r="A45" s="11" t="s">
        <v>262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0"/>
    </row>
    <row r="46" spans="1:112" s="7" customFormat="1">
      <c r="A46" s="11" t="s">
        <v>263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0"/>
    </row>
    <row r="47" spans="1:112" s="7" customFormat="1">
      <c r="A47" s="11" t="s">
        <v>264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0"/>
    </row>
    <row r="48" spans="1:112" s="7" customFormat="1">
      <c r="A48" s="11" t="s">
        <v>265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0"/>
    </row>
    <row r="49" spans="1:112" s="7" customFormat="1">
      <c r="A49" s="11" t="s">
        <v>266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0"/>
    </row>
    <row r="50" spans="1:112" s="7" customFormat="1">
      <c r="A50" s="11" t="s">
        <v>267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0"/>
    </row>
    <row r="51" spans="1:112" s="7" customFormat="1">
      <c r="A51" s="11" t="s">
        <v>268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0"/>
    </row>
    <row r="52" spans="1:112" s="7" customFormat="1">
      <c r="A52" s="11" t="s">
        <v>269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>
        <f>'Income Statement'!P41/1000</f>
        <v>-17.148</v>
      </c>
      <c r="AP52" s="12">
        <f>'Income Statement'!Q41/1000</f>
        <v>6.4720000000000004</v>
      </c>
      <c r="AQ52" s="12">
        <f>'Income Statement'!R41/1000</f>
        <v>-2.6059999999999999</v>
      </c>
      <c r="AR52" s="12">
        <f>'Income Statement'!S41/1000</f>
        <v>-14.981</v>
      </c>
      <c r="AS52" s="12">
        <f>'Income Statement'!T41/1000</f>
        <v>-9.423</v>
      </c>
      <c r="AT52" s="12">
        <f>'Income Statement'!U41/1000</f>
        <v>-20.538</v>
      </c>
      <c r="AU52" s="12">
        <f>'Income Statement'!V41/1000</f>
        <v>1.921</v>
      </c>
      <c r="AV52" s="12">
        <f>'Income Statement'!W41/1000</f>
        <v>-19.494</v>
      </c>
      <c r="AW52" s="12">
        <f>'Income Statement'!X41/1000</f>
        <v>-11.504</v>
      </c>
      <c r="AX52" s="12">
        <f>'Income Statement'!Y41/1000</f>
        <v>-7.17</v>
      </c>
      <c r="AY52" s="12">
        <f>'Income Statement'!Z41/1000</f>
        <v>-36.247</v>
      </c>
      <c r="AZ52" s="12">
        <f>'Income Statement'!AA41/1000</f>
        <v>-13.785</v>
      </c>
      <c r="BA52" s="12">
        <f>'Income Statement'!AB41/1000</f>
        <v>-3.286</v>
      </c>
      <c r="BB52" s="12">
        <f>'Income Statement'!AC41/1000</f>
        <v>-17.529</v>
      </c>
      <c r="BC52" s="12">
        <f>'Income Statement'!AD41/1000</f>
        <v>-5.633</v>
      </c>
      <c r="BD52" s="12">
        <f>'Income Statement'!AE41/1000</f>
        <v>-40.232999999999997</v>
      </c>
      <c r="BE52" s="12">
        <f>'Income Statement'!AF41/1000</f>
        <v>-0.59299999999999997</v>
      </c>
      <c r="BF52" s="12">
        <f>'Income Statement'!AG41/1000</f>
        <v>-19.908999999999999</v>
      </c>
      <c r="BG52" s="12">
        <f>'Income Statement'!AH41/1000</f>
        <v>-5.4660000000000002</v>
      </c>
      <c r="BH52" s="12">
        <f>'Income Statement'!AI41/1000</f>
        <v>-0.39500000000000002</v>
      </c>
      <c r="BI52" s="12">
        <f>'Income Statement'!AJ41/1000</f>
        <v>-26.363</v>
      </c>
      <c r="BJ52" s="12">
        <f>'Income Statement'!AK41/1000</f>
        <v>-7.319</v>
      </c>
      <c r="BK52" s="12">
        <f>'Income Statement'!AL41/1000</f>
        <v>4.5720000000000001</v>
      </c>
      <c r="BL52" s="12">
        <f>'Income Statement'!AM41/1000</f>
        <v>2.5190000000000001</v>
      </c>
      <c r="BM52" s="12">
        <f>'Income Statement'!AN41/1000</f>
        <v>-9.9109999999999996</v>
      </c>
      <c r="BN52" s="12">
        <f>'Income Statement'!AO41/1000</f>
        <v>-10.138999999999999</v>
      </c>
      <c r="BO52" s="12">
        <f>'Income Statement'!AP41/1000</f>
        <v>-6.08</v>
      </c>
      <c r="BP52" s="12">
        <f>'Income Statement'!AQ41/1000</f>
        <v>-14.023</v>
      </c>
      <c r="BQ52" s="12">
        <f>'Income Statement'!AR41/1000</f>
        <v>-6.91</v>
      </c>
      <c r="BR52" s="12">
        <f>'Income Statement'!AS41/1000</f>
        <v>57.463000000000001</v>
      </c>
      <c r="BS52" s="12">
        <f>'Income Statement'!AT41/1000</f>
        <v>30.45</v>
      </c>
      <c r="BT52" s="12">
        <f>'Income Statement'!AU41/1000</f>
        <v>2.4380000000000002</v>
      </c>
      <c r="BU52" s="12">
        <f>'Income Statement'!AV41/1000</f>
        <v>3.0449999999999999</v>
      </c>
      <c r="BV52" s="12">
        <f>'Income Statement'!AW41/1000</f>
        <v>0.68700000000000006</v>
      </c>
      <c r="BW52" s="12">
        <f>'Income Statement'!AX41/1000</f>
        <v>0.77400000000000002</v>
      </c>
      <c r="BX52" s="12">
        <f>'Income Statement'!AY41/1000</f>
        <v>6.944</v>
      </c>
      <c r="BY52" s="12">
        <f>'Income Statement'!AZ41/1000</f>
        <v>-5.6050000000000004</v>
      </c>
      <c r="BZ52" s="12">
        <f>'Income Statement'!BA41/1000</f>
        <v>-7.63</v>
      </c>
      <c r="CA52" s="12">
        <f>'Income Statement'!BB41/1000</f>
        <v>6.0389999999999997</v>
      </c>
      <c r="CB52" s="12">
        <f>'Income Statement'!BC41/1000</f>
        <v>1.385</v>
      </c>
      <c r="CC52" s="12">
        <f>'Income Statement'!BD41/1000</f>
        <v>-5.8109999999999999</v>
      </c>
      <c r="CD52" s="12">
        <f>'Income Statement'!BE41/1000</f>
        <v>9.5909999999999993</v>
      </c>
      <c r="CE52" s="12">
        <f>'Income Statement'!BF41/1000</f>
        <v>7.1920000000000002</v>
      </c>
      <c r="CF52" s="12">
        <f>'Income Statement'!BG41/1000</f>
        <v>-0.14000000000000001</v>
      </c>
      <c r="CG52" s="12">
        <f>'Income Statement'!BH41/1000</f>
        <v>4.58</v>
      </c>
      <c r="CI52" s="12">
        <f>'Income Statement'!BJ41/1000</f>
        <v>2.5249999999999999</v>
      </c>
      <c r="CJ52" s="12">
        <f>'Income Statement'!BK41/1000</f>
        <v>5.7229999999999999</v>
      </c>
      <c r="CK52" s="12">
        <f>'Income Statement'!BL41/1000</f>
        <v>-0.74099999999999999</v>
      </c>
      <c r="CL52" s="12">
        <f>'Income Statement'!BM41/1000</f>
        <v>1.9339999999999999</v>
      </c>
      <c r="CM52" s="12">
        <f>'Income Statement'!BN41/1000</f>
        <v>9.4410000000000007</v>
      </c>
      <c r="CN52" s="12">
        <f>'Income Statement'!BO41/1000</f>
        <v>6.1589999999999998</v>
      </c>
      <c r="CO52" s="12">
        <f>'Income Statement'!BP41/1000</f>
        <v>4.9989999999999997</v>
      </c>
      <c r="CP52" s="12">
        <f>'Income Statement'!BQ41/1000</f>
        <v>6.1559999999999997</v>
      </c>
      <c r="CQ52" s="12">
        <f>'Income Statement'!BR41/1000</f>
        <v>0.28100000000000003</v>
      </c>
      <c r="CR52" s="12">
        <f>'Income Statement'!BS41/1000</f>
        <v>17.594999999999999</v>
      </c>
      <c r="CS52" s="12">
        <f>'Income Statement'!BT41/1000</f>
        <v>2.4180000000000001</v>
      </c>
      <c r="CT52" s="12">
        <f>'Income Statement'!BU41/1000</f>
        <v>2.2879999999999998</v>
      </c>
      <c r="CU52" s="12">
        <f>'Income Statement'!BV41/1000</f>
        <v>2.6619999999999999</v>
      </c>
      <c r="CV52" s="12">
        <f>'Income Statement'!BW41/1000</f>
        <v>-8.4670000000000005</v>
      </c>
      <c r="CW52" s="12">
        <f>'Income Statement'!BX41/1000</f>
        <v>-1.099</v>
      </c>
      <c r="CX52" s="12">
        <f>'Income Statement'!BY41/1000</f>
        <v>-17.937000000000001</v>
      </c>
      <c r="CY52" s="12">
        <f>'Income Statement'!BZ41/1000</f>
        <v>-19.605</v>
      </c>
      <c r="CZ52" s="12">
        <f>'Income Statement'!CA41/1000</f>
        <v>0.20200000000000001</v>
      </c>
      <c r="DA52" s="12">
        <f>'Income Statement'!CB41/1000</f>
        <v>34.384</v>
      </c>
      <c r="DB52" s="12">
        <f>'Income Statement'!CC41/1000</f>
        <v>-2.956</v>
      </c>
      <c r="DC52" s="12">
        <f>'Income Statement'!CD41/1000</f>
        <v>1.4570000000000001</v>
      </c>
      <c r="DD52" s="12">
        <f>'Income Statement'!CE41/1000</f>
        <v>-2.972</v>
      </c>
      <c r="DE52" s="12">
        <f>'Income Statement'!CF41/1000</f>
        <v>0</v>
      </c>
      <c r="DF52" s="12">
        <f>'Income Statement'!CG41/1000</f>
        <v>5.7169999999999996</v>
      </c>
      <c r="DG52" s="12">
        <f>'Income Statement'!CH41/1000</f>
        <v>4.202</v>
      </c>
      <c r="DH52" s="10"/>
    </row>
    <row r="53" spans="1:112" s="7" customFormat="1">
      <c r="A53" s="11" t="s">
        <v>270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>
        <f>'Income Statement'!P23/1000+'Income Statement'!P29/1000+'Income Statement'!P27/1000</f>
        <v>133.29300000000001</v>
      </c>
      <c r="AP53" s="12">
        <f>'Income Statement'!Q23/1000+'Income Statement'!Q29/1000+'Income Statement'!Q27/1000</f>
        <v>19.762999999999998</v>
      </c>
      <c r="AQ53" s="12">
        <f>'Income Statement'!R23/1000+'Income Statement'!R29/1000+'Income Statement'!R27/1000</f>
        <v>47.993000000000009</v>
      </c>
      <c r="AR53" s="12">
        <f>'Income Statement'!S23/1000+'Income Statement'!S29/1000+'Income Statement'!S27/1000</f>
        <v>44.600999999999999</v>
      </c>
      <c r="AS53" s="12">
        <f>'Income Statement'!T23/1000+'Income Statement'!T29/1000+'Income Statement'!T27/1000</f>
        <v>59.759</v>
      </c>
      <c r="AT53" s="12">
        <f>'Income Statement'!U23/1000+'Income Statement'!U29/1000+'Income Statement'!U27/1000</f>
        <v>172.11599999999999</v>
      </c>
      <c r="AU53" s="12">
        <f>'Income Statement'!V23/1000+'Income Statement'!V29/1000+'Income Statement'!V27/1000</f>
        <v>37.045999999999999</v>
      </c>
      <c r="AV53" s="12">
        <f>'Income Statement'!W23/1000+'Income Statement'!W29/1000+'Income Statement'!W27/1000</f>
        <v>55.234000000000002</v>
      </c>
      <c r="AW53" s="12">
        <f>'Income Statement'!X23/1000+'Income Statement'!X29/1000+'Income Statement'!X27/1000</f>
        <v>20.683</v>
      </c>
      <c r="AX53" s="12">
        <f>'Income Statement'!Y23/1000+'Income Statement'!Y29/1000+'Income Statement'!Y27/1000</f>
        <v>77.777000000000001</v>
      </c>
      <c r="AY53" s="12">
        <f>'Income Statement'!Z23/1000+'Income Statement'!Z29/1000+'Income Statement'!Z27/1000</f>
        <v>190.74</v>
      </c>
      <c r="AZ53" s="12">
        <f>'Income Statement'!AA23/1000+'Income Statement'!AA29/1000+'Income Statement'!AA27/1000</f>
        <v>55.186999999999998</v>
      </c>
      <c r="BA53" s="12">
        <f>'Income Statement'!AB23/1000+'Income Statement'!AB29/1000+'Income Statement'!AB27/1000</f>
        <v>47.545000000000002</v>
      </c>
      <c r="BB53" s="12">
        <f>'Income Statement'!AC23/1000+'Income Statement'!AC29/1000+'Income Statement'!AC27/1000</f>
        <v>41.683</v>
      </c>
      <c r="BC53" s="12">
        <f>'Income Statement'!AD23/1000+'Income Statement'!AD29/1000+'Income Statement'!AD27/1000</f>
        <v>66.387</v>
      </c>
      <c r="BD53" s="12">
        <f>'Income Statement'!AE23/1000+'Income Statement'!AE29/1000+'Income Statement'!AE27/1000</f>
        <v>210.80200000000002</v>
      </c>
      <c r="BE53" s="12">
        <f>'Income Statement'!AF23/1000+'Income Statement'!AF29/1000+'Income Statement'!AF27/1000</f>
        <v>57.268999999999998</v>
      </c>
      <c r="BF53" s="12">
        <f>'Income Statement'!AG23/1000+'Income Statement'!AG29/1000+'Income Statement'!AG27/1000</f>
        <v>79.022999999999996</v>
      </c>
      <c r="BG53" s="12">
        <f>'Income Statement'!AH23/1000+'Income Statement'!AH29/1000+'Income Statement'!AH27/1000</f>
        <v>82.308999999999997</v>
      </c>
      <c r="BH53" s="12">
        <f>'Income Statement'!AI23/1000+'Income Statement'!AI29/1000+'Income Statement'!AI27/1000</f>
        <v>69.010999999999996</v>
      </c>
      <c r="BI53" s="12">
        <f>'Income Statement'!AJ23/1000+'Income Statement'!AJ29/1000+'Income Statement'!AJ27/1000</f>
        <v>287.61199999999997</v>
      </c>
      <c r="BJ53" s="12">
        <f>'Income Statement'!AK23/1000+'Income Statement'!AK29/1000+'Income Statement'!AK27/1000</f>
        <v>59.606000000000002</v>
      </c>
      <c r="BK53" s="12">
        <f>'Income Statement'!AL23/1000+'Income Statement'!AL29/1000+'Income Statement'!AL27/1000</f>
        <v>76.135000000000005</v>
      </c>
      <c r="BL53" s="12">
        <f>'Income Statement'!AM23/1000+'Income Statement'!AM29/1000+'Income Statement'!AM27/1000</f>
        <v>101.37899999999999</v>
      </c>
      <c r="BM53" s="12">
        <f>'Income Statement'!AN23/1000+'Income Statement'!AN29/1000+'Income Statement'!AN27/1000</f>
        <v>126.215</v>
      </c>
      <c r="BN53" s="12">
        <f>'Income Statement'!AO23/1000+'Income Statement'!AO29/1000+'Income Statement'!AO27/1000</f>
        <v>363.33499999999998</v>
      </c>
      <c r="BO53" s="12">
        <f>'Income Statement'!AP23/1000+'Income Statement'!AP29/1000+'Income Statement'!AP27/1000</f>
        <v>78.009</v>
      </c>
      <c r="BP53" s="12">
        <f>'Income Statement'!AQ23/1000+'Income Statement'!AQ29/1000+'Income Statement'!AQ27/1000</f>
        <v>78.34899999999999</v>
      </c>
      <c r="BQ53" s="12">
        <f>'Income Statement'!AR23/1000+'Income Statement'!AR29/1000+'Income Statement'!AR27/1000</f>
        <v>47.58</v>
      </c>
      <c r="BR53" s="12">
        <f>'Income Statement'!AS23/1000+'Income Statement'!AS29/1000+'Income Statement'!AS27/1000</f>
        <v>45.364000000000004</v>
      </c>
      <c r="BS53" s="12">
        <f>'Income Statement'!AT23/1000+'Income Statement'!AT29/1000+'Income Statement'!AT27/1000</f>
        <v>249.30199999999999</v>
      </c>
      <c r="BT53" s="12">
        <f>'Income Statement'!AU23/1000+'Income Statement'!AU29/1000+'Income Statement'!AU27/1000</f>
        <v>50.737000000000002</v>
      </c>
      <c r="BU53" s="12">
        <f>'Income Statement'!AV23/1000+'Income Statement'!AV29/1000+'Income Statement'!AV27/1000</f>
        <v>48.469000000000001</v>
      </c>
      <c r="BV53" s="12">
        <f>'Income Statement'!AW23/1000+'Income Statement'!AW29/1000+'Income Statement'!AW27/1000</f>
        <v>50.34</v>
      </c>
      <c r="BW53" s="12">
        <f>'Income Statement'!AX23/1000+'Income Statement'!AX29/1000+'Income Statement'!AX27/1000</f>
        <v>57.620000000000005</v>
      </c>
      <c r="BX53" s="12">
        <f>'Income Statement'!AY23/1000+'Income Statement'!AY29/1000+'Income Statement'!AY27/1000</f>
        <v>207.166</v>
      </c>
      <c r="BY53" s="12">
        <f>'Income Statement'!AZ23/1000+'Income Statement'!AZ29/1000+'Income Statement'!AZ27/1000</f>
        <v>69.89</v>
      </c>
      <c r="BZ53" s="12">
        <f>'Income Statement'!BA23/1000+'Income Statement'!BA29/1000+'Income Statement'!BA27/1000</f>
        <v>72.02000000000001</v>
      </c>
      <c r="CA53" s="12">
        <f>'Income Statement'!BB23/1000+'Income Statement'!BB29/1000+'Income Statement'!BB27/1000</f>
        <v>68.287000000000006</v>
      </c>
      <c r="CB53" s="12">
        <f>'Income Statement'!BC23/1000+'Income Statement'!BC29/1000+'Income Statement'!BC27/1000</f>
        <v>68.445999999999998</v>
      </c>
      <c r="CC53" s="12">
        <f>'Income Statement'!BD23/1000+'Income Statement'!BD29/1000+'Income Statement'!BD27/1000</f>
        <v>278.64300000000003</v>
      </c>
      <c r="CD53" s="12">
        <f>'Income Statement'!BE23/1000+'Income Statement'!BE29/1000+'Income Statement'!BE27/1000</f>
        <v>70.198999999999998</v>
      </c>
      <c r="CE53" s="12">
        <f>'Income Statement'!BF23/1000+'Income Statement'!BF29/1000+'Income Statement'!BF27/1000</f>
        <v>78.522999999999996</v>
      </c>
      <c r="CF53" s="12">
        <f>'Income Statement'!BG23/1000+'Income Statement'!BG29/1000+'Income Statement'!BG27/1000</f>
        <v>92.358000000000004</v>
      </c>
      <c r="CG53" s="12">
        <f>'Income Statement'!BH23/1000+'Income Statement'!BH29/1000+'Income Statement'!BH27/1000</f>
        <v>89.805000000000007</v>
      </c>
      <c r="CI53" s="12">
        <f>'Income Statement'!BJ23/1000+'Income Statement'!BJ29/1000+'Income Statement'!BJ27/1000</f>
        <v>79.540000000000006</v>
      </c>
      <c r="CJ53" s="12">
        <f>'Income Statement'!BK23/1000+'Income Statement'!BK29/1000+'Income Statement'!BK27/1000</f>
        <v>82.849000000000004</v>
      </c>
      <c r="CK53" s="12">
        <f>'Income Statement'!BL23/1000+'Income Statement'!BL29/1000+'Income Statement'!BL27/1000</f>
        <v>72.403999999999996</v>
      </c>
      <c r="CL53" s="12">
        <f>'Income Statement'!BM23/1000+'Income Statement'!BM29/1000+'Income Statement'!BM27/1000</f>
        <v>70.899999999999991</v>
      </c>
      <c r="CM53" s="12">
        <f>'Income Statement'!BN23/1000+'Income Statement'!BN29/1000+'Income Statement'!BN27/1000</f>
        <v>305.69300000000004</v>
      </c>
      <c r="CN53" s="12">
        <f>'Income Statement'!BO23/1000+'Income Statement'!BO29/1000+'Income Statement'!BO27/1000</f>
        <v>64.966999999999999</v>
      </c>
      <c r="CO53" s="12">
        <f>'Income Statement'!BP23/1000+'Income Statement'!BP29/1000+'Income Statement'!BP27/1000</f>
        <v>49.576999999999998</v>
      </c>
      <c r="CP53" s="12">
        <f>'Income Statement'!BQ23/1000+'Income Statement'!BQ29/1000+'Income Statement'!BQ27/1000</f>
        <v>53.730000000000004</v>
      </c>
      <c r="CQ53" s="12">
        <f>'Income Statement'!BR23/1000+'Income Statement'!BR29/1000+'Income Statement'!BR27/1000</f>
        <v>37.118000000000002</v>
      </c>
      <c r="CR53" s="12">
        <f>'Income Statement'!BS23/1000+'Income Statement'!BS29/1000+'Income Statement'!BS27/1000</f>
        <v>205.392</v>
      </c>
      <c r="CS53" s="12">
        <f>'Income Statement'!BT23/1000+'Income Statement'!BT29/1000+'Income Statement'!BT27/1000</f>
        <v>31.952999999999999</v>
      </c>
      <c r="CT53" s="12">
        <f>'Income Statement'!BU23/1000+'Income Statement'!BU29/1000+'Income Statement'!BU27/1000</f>
        <v>33.07</v>
      </c>
      <c r="CU53" s="12">
        <f>'Income Statement'!BV23/1000+'Income Statement'!BV29/1000+'Income Statement'!BV27/1000</f>
        <v>49.280999999999999</v>
      </c>
      <c r="CV53" s="12">
        <f>'Income Statement'!BW23/1000+'Income Statement'!BW29/1000+'Income Statement'!BW27/1000</f>
        <v>58.702000000000005</v>
      </c>
      <c r="CW53" s="12">
        <f>'Income Statement'!BX23/1000+'Income Statement'!BX29/1000+'Income Statement'!BX27/1000</f>
        <v>173.006</v>
      </c>
      <c r="CX53" s="12">
        <f>'Income Statement'!BY23/1000+'Income Statement'!BY29/1000+'Income Statement'!BY27/1000</f>
        <v>40.108000000000004</v>
      </c>
      <c r="CY53" s="12">
        <f>'Income Statement'!BZ23/1000+'Income Statement'!BZ29/1000+'Income Statement'!BZ27/1000</f>
        <v>49.286000000000001</v>
      </c>
      <c r="CZ53" s="12">
        <f>'Income Statement'!CA23/1000+'Income Statement'!CA29/1000+'Income Statement'!CA27/1000</f>
        <v>47.956000000000003</v>
      </c>
      <c r="DA53" s="12">
        <f>'Income Statement'!CB23/1000+'Income Statement'!CB29/1000+'Income Statement'!CB27/1000</f>
        <v>43.171999999999997</v>
      </c>
      <c r="DB53" s="12">
        <f>'Income Statement'!CC23/1000+'Income Statement'!CC29/1000+'Income Statement'!CC27/1000</f>
        <v>180.52199999999999</v>
      </c>
      <c r="DC53" s="12">
        <f>'Income Statement'!CD23/1000+'Income Statement'!CD29/1000+'Income Statement'!CD27/1000</f>
        <v>31.140999999999998</v>
      </c>
      <c r="DD53" s="12">
        <f>'Income Statement'!CE23/1000+'Income Statement'!CE29/1000+'Income Statement'!CE27/1000</f>
        <v>42.555</v>
      </c>
      <c r="DE53" s="12">
        <f>'Income Statement'!CF23/1000+'Income Statement'!CF29/1000+'Income Statement'!CF27/1000</f>
        <v>55.454000000000001</v>
      </c>
      <c r="DF53" s="12">
        <f>'Income Statement'!CG23/1000+'Income Statement'!CG29/1000+'Income Statement'!CG27/1000</f>
        <v>73.280999999999992</v>
      </c>
      <c r="DG53" s="12">
        <f>'Income Statement'!CH23/1000+'Income Statement'!CH29/1000+'Income Statement'!CH27/1000</f>
        <v>202.43100000000001</v>
      </c>
      <c r="DH53" s="10"/>
    </row>
    <row r="54" spans="1:112" s="7" customFormat="1">
      <c r="A54" s="11" t="s">
        <v>271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>
        <f>'Income Statement'!P25/1000</f>
        <v>-52.45</v>
      </c>
      <c r="AP54" s="12">
        <f>'Income Statement'!Q25/1000</f>
        <v>-19.277999999999999</v>
      </c>
      <c r="AQ54" s="12">
        <f>'Income Statement'!R25/1000</f>
        <v>-31.463999999999999</v>
      </c>
      <c r="AR54" s="12">
        <f>'Income Statement'!S25/1000</f>
        <v>-33.198</v>
      </c>
      <c r="AS54" s="12">
        <f>'Income Statement'!T25/1000</f>
        <v>-32.981999999999999</v>
      </c>
      <c r="AT54" s="12">
        <f>'Income Statement'!U25/1000</f>
        <v>-116.922</v>
      </c>
      <c r="AU54" s="12">
        <f>'Income Statement'!V25/1000</f>
        <v>-37.024000000000001</v>
      </c>
      <c r="AV54" s="12">
        <f>'Income Statement'!W25/1000</f>
        <v>-47.03</v>
      </c>
      <c r="AW54" s="12">
        <f>'Income Statement'!X25/1000</f>
        <v>-48.805</v>
      </c>
      <c r="AX54" s="12">
        <f>'Income Statement'!Y25/1000</f>
        <v>-68.661000000000001</v>
      </c>
      <c r="AY54" s="12">
        <f>'Income Statement'!Z25/1000</f>
        <v>-201.52</v>
      </c>
      <c r="AZ54" s="12">
        <f>'Income Statement'!AA25/1000</f>
        <v>-55.926000000000002</v>
      </c>
      <c r="BA54" s="12">
        <f>'Income Statement'!AB25/1000</f>
        <v>-53.031999999999996</v>
      </c>
      <c r="BB54" s="12">
        <f>'Income Statement'!AC25/1000</f>
        <v>-54.284999999999997</v>
      </c>
      <c r="BC54" s="12">
        <f>'Income Statement'!AD25/1000</f>
        <v>-62.091999999999999</v>
      </c>
      <c r="BD54" s="12">
        <f>'Income Statement'!AE25/1000</f>
        <v>-225.33500000000001</v>
      </c>
      <c r="BE54" s="12">
        <f>'Income Statement'!AF25/1000</f>
        <v>-51.881</v>
      </c>
      <c r="BF54" s="12">
        <f>'Income Statement'!AG25/1000</f>
        <v>-58.515999999999998</v>
      </c>
      <c r="BG54" s="12">
        <f>'Income Statement'!AH25/1000</f>
        <v>-60.210999999999999</v>
      </c>
      <c r="BH54" s="12">
        <f>'Income Statement'!AI25/1000</f>
        <v>-51.771999999999998</v>
      </c>
      <c r="BI54" s="12">
        <f>'Income Statement'!AJ25/1000</f>
        <v>-222.38</v>
      </c>
      <c r="BJ54" s="12">
        <f>'Income Statement'!AK25/1000</f>
        <v>-56.396000000000001</v>
      </c>
      <c r="BK54" s="12">
        <f>'Income Statement'!AL25/1000</f>
        <v>-69.561999999999998</v>
      </c>
      <c r="BL54" s="12">
        <f>'Income Statement'!AM25/1000</f>
        <v>-94.174999999999997</v>
      </c>
      <c r="BM54" s="12">
        <f>'Income Statement'!AN25/1000</f>
        <v>-93.582999999999998</v>
      </c>
      <c r="BN54" s="12">
        <f>'Income Statement'!AO25/1000</f>
        <v>-313.71600000000001</v>
      </c>
      <c r="BO54" s="12">
        <f>'Income Statement'!AP25/1000</f>
        <v>-70.637</v>
      </c>
      <c r="BP54" s="12">
        <f>'Income Statement'!AQ25/1000</f>
        <v>-74.861999999999995</v>
      </c>
      <c r="BQ54" s="12">
        <f>'Income Statement'!AR25/1000</f>
        <v>-45.006</v>
      </c>
      <c r="BR54" s="12">
        <f>'Income Statement'!AS25/1000</f>
        <v>-48.206000000000003</v>
      </c>
      <c r="BS54" s="12">
        <f>'Income Statement'!AT25/1000</f>
        <v>-238.71100000000001</v>
      </c>
      <c r="BT54" s="12">
        <f>'Income Statement'!AU25/1000</f>
        <v>-40.935000000000002</v>
      </c>
      <c r="BU54" s="12">
        <f>'Income Statement'!AV25/1000</f>
        <v>-39.662999999999997</v>
      </c>
      <c r="BV54" s="12">
        <f>'Income Statement'!AW25/1000</f>
        <v>-45.375999999999998</v>
      </c>
      <c r="BW54" s="12">
        <f>'Income Statement'!AX25/1000</f>
        <v>-53.314</v>
      </c>
      <c r="BX54" s="12">
        <f>'Income Statement'!AY25/1000</f>
        <v>-179.28800000000001</v>
      </c>
      <c r="BY54" s="12">
        <f>'Income Statement'!AZ25/1000</f>
        <v>-60.45</v>
      </c>
      <c r="BZ54" s="12">
        <f>'Income Statement'!BA25/1000</f>
        <v>-68.817999999999998</v>
      </c>
      <c r="CA54" s="12">
        <f>'Income Statement'!BB25/1000</f>
        <v>-66.703000000000003</v>
      </c>
      <c r="CB54" s="12">
        <f>'Income Statement'!BC25/1000</f>
        <v>-66.528000000000006</v>
      </c>
      <c r="CC54" s="12">
        <f>'Income Statement'!BD25/1000</f>
        <v>-262.49900000000002</v>
      </c>
      <c r="CD54" s="12">
        <f>'Income Statement'!BE25/1000</f>
        <v>-64.016999999999996</v>
      </c>
      <c r="CE54" s="12">
        <f>'Income Statement'!BF25/1000</f>
        <v>-88.527000000000001</v>
      </c>
      <c r="CF54" s="12">
        <f>'Income Statement'!BG25/1000</f>
        <v>-87.174000000000007</v>
      </c>
      <c r="CG54" s="12">
        <f>'Income Statement'!BH25/1000</f>
        <v>-73.569999999999993</v>
      </c>
      <c r="CI54" s="12">
        <f>'Income Statement'!BJ25/1000</f>
        <v>-59.283000000000001</v>
      </c>
      <c r="CJ54" s="12">
        <f>'Income Statement'!BK25/1000</f>
        <v>-56.917999999999999</v>
      </c>
      <c r="CK54" s="12">
        <f>'Income Statement'!BL25/1000</f>
        <v>-54.207999999999998</v>
      </c>
      <c r="CL54" s="12">
        <f>'Income Statement'!BM25/1000</f>
        <v>-56.140999999999998</v>
      </c>
      <c r="CM54" s="12">
        <f>'Income Statement'!BN25/1000</f>
        <v>-226.55</v>
      </c>
      <c r="CN54" s="12">
        <f>'Income Statement'!BO25/1000</f>
        <v>-52</v>
      </c>
      <c r="CO54" s="12">
        <f>'Income Statement'!BP25/1000</f>
        <v>-44.369</v>
      </c>
      <c r="CP54" s="12">
        <f>'Income Statement'!BQ25/1000</f>
        <v>-42.055999999999997</v>
      </c>
      <c r="CQ54" s="12">
        <f>'Income Statement'!BR25/1000</f>
        <v>-29.155000000000001</v>
      </c>
      <c r="CR54" s="12">
        <f>'Income Statement'!BS25/1000</f>
        <v>-167.58</v>
      </c>
      <c r="CS54" s="12">
        <f>'Income Statement'!BT25/1000</f>
        <v>-29.193000000000001</v>
      </c>
      <c r="CT54" s="12">
        <f>'Income Statement'!BU25/1000</f>
        <v>-28.597000000000001</v>
      </c>
      <c r="CU54" s="12">
        <f>'Income Statement'!BV25/1000</f>
        <v>-50.05</v>
      </c>
      <c r="CV54" s="12">
        <f>'Income Statement'!BW25/1000</f>
        <v>-43.048000000000002</v>
      </c>
      <c r="CW54" s="12">
        <f>'Income Statement'!BX25/1000</f>
        <v>-150.88800000000001</v>
      </c>
      <c r="CX54" s="12">
        <f>'Income Statement'!BY25/1000</f>
        <v>-38.235999999999997</v>
      </c>
      <c r="CY54" s="12">
        <f>'Income Statement'!BZ25/1000</f>
        <v>-31.414000000000001</v>
      </c>
      <c r="CZ54" s="12">
        <f>'Income Statement'!CA25/1000</f>
        <v>-38.901000000000003</v>
      </c>
      <c r="DA54" s="12">
        <f>'Income Statement'!CB25/1000</f>
        <v>-41.378</v>
      </c>
      <c r="DB54" s="12">
        <f>'Income Statement'!CC25/1000</f>
        <v>-149.929</v>
      </c>
      <c r="DC54" s="12">
        <f>'Income Statement'!CD25/1000</f>
        <v>-27.89</v>
      </c>
      <c r="DD54" s="12">
        <f>'Income Statement'!CE25/1000</f>
        <v>-36.054000000000002</v>
      </c>
      <c r="DE54" s="12">
        <f>'Income Statement'!CF25/1000</f>
        <v>-30.983000000000001</v>
      </c>
      <c r="DF54" s="12">
        <f>'Income Statement'!CG25/1000</f>
        <v>-23.003</v>
      </c>
      <c r="DG54" s="12">
        <f>'Income Statement'!CH25/1000</f>
        <v>-117.93</v>
      </c>
      <c r="DH54" s="10"/>
    </row>
    <row r="55" spans="1:112" s="7" customFormat="1">
      <c r="A55" s="17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10"/>
    </row>
    <row r="56" spans="1:112" s="7" customFormat="1">
      <c r="A56" s="11" t="s">
        <v>272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0"/>
    </row>
    <row r="57" spans="1:112" s="7" customFormat="1">
      <c r="A57" s="11" t="s">
        <v>273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0"/>
    </row>
    <row r="58" spans="1:112" s="7" customFormat="1">
      <c r="A58" s="17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10"/>
    </row>
    <row r="59" spans="1:112" s="7" customFormat="1" ht="15">
      <c r="A59" s="22" t="s">
        <v>274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10"/>
    </row>
    <row r="60" spans="1:112" s="7" customFormat="1">
      <c r="A60" s="11" t="s">
        <v>275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0"/>
    </row>
    <row r="61" spans="1:112" s="7" customFormat="1">
      <c r="A61" s="11" t="s">
        <v>276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0"/>
    </row>
    <row r="62" spans="1:112" s="7" customFormat="1">
      <c r="A62" s="11" t="s">
        <v>277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0"/>
    </row>
    <row r="63" spans="1:112" s="7" customFormat="1">
      <c r="A63" s="17" t="s">
        <v>278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10"/>
    </row>
    <row r="64" spans="1:112" s="7" customFormat="1">
      <c r="A64" s="17" t="s">
        <v>279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10"/>
    </row>
    <row r="65" spans="1:112" s="7" customFormat="1">
      <c r="A65" s="17" t="s">
        <v>280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10"/>
    </row>
    <row r="66" spans="1:112" s="7" customFormat="1">
      <c r="A66" s="17" t="s">
        <v>281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10"/>
    </row>
    <row r="67" spans="1:112" s="7" customFormat="1">
      <c r="A67" s="17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10"/>
    </row>
    <row r="68" spans="1:112" s="7" customFormat="1" ht="15.75">
      <c r="A68" s="25" t="s">
        <v>282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10"/>
    </row>
    <row r="69" spans="1:112" s="7" customFormat="1">
      <c r="A69" s="17" t="s">
        <v>283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10"/>
    </row>
    <row r="70" spans="1:112" s="7" customFormat="1">
      <c r="A70" s="17" t="s">
        <v>284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10"/>
    </row>
    <row r="71" spans="1:112" s="7" customFormat="1">
      <c r="A71" s="17" t="s">
        <v>285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4"/>
      <c r="BZ71" s="24"/>
      <c r="CA71" s="24"/>
      <c r="CB71" s="24"/>
      <c r="CC71" s="24"/>
      <c r="CD71" s="24"/>
      <c r="CE71" s="24"/>
      <c r="CF71" s="24"/>
      <c r="CG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10"/>
    </row>
    <row r="72" spans="1:112" s="7" customFormat="1">
      <c r="A72" s="17" t="s">
        <v>286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4"/>
      <c r="BZ72" s="24"/>
      <c r="CA72" s="24"/>
      <c r="CB72" s="24"/>
      <c r="CC72" s="24"/>
      <c r="CD72" s="24"/>
      <c r="CE72" s="24"/>
      <c r="CF72" s="24"/>
      <c r="CG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10"/>
    </row>
    <row r="73" spans="1:112" s="7" customFormat="1">
      <c r="A73" s="17" t="s">
        <v>287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10"/>
    </row>
    <row r="74" spans="1:112" s="7" customFormat="1">
      <c r="A74" s="17" t="s">
        <v>288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10"/>
    </row>
    <row r="75" spans="1:112" s="7" customFormat="1">
      <c r="A75" s="17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10"/>
    </row>
    <row r="76" spans="1:112" s="7" customFormat="1" ht="15.75">
      <c r="A76" s="25" t="s">
        <v>289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10"/>
    </row>
    <row r="77" spans="1:112" s="7" customFormat="1">
      <c r="A77" s="17" t="s">
        <v>290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10"/>
    </row>
    <row r="78" spans="1:112" s="7" customFormat="1">
      <c r="A78" s="17" t="s">
        <v>291</v>
      </c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10"/>
    </row>
    <row r="79" spans="1:112" s="7" customFormat="1">
      <c r="A79" s="17" t="s">
        <v>292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10"/>
    </row>
    <row r="80" spans="1:112" s="7" customFormat="1">
      <c r="A80" s="17" t="s">
        <v>293</v>
      </c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10"/>
    </row>
    <row r="81" spans="1:112" s="7" customFormat="1">
      <c r="A81" s="17" t="s">
        <v>294</v>
      </c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10"/>
    </row>
    <row r="82" spans="1:112" s="7" customFormat="1">
      <c r="A82" s="17" t="s">
        <v>295</v>
      </c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10"/>
    </row>
    <row r="83" spans="1:112" s="7" customFormat="1">
      <c r="A83" s="17" t="s">
        <v>296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10"/>
    </row>
    <row r="84" spans="1:112" s="7" customFormat="1">
      <c r="A84" s="17" t="s">
        <v>297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10"/>
    </row>
    <row r="85" spans="1:112" s="7" customFormat="1">
      <c r="A85" s="17" t="s">
        <v>298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10"/>
    </row>
    <row r="86" spans="1:112" s="7" customFormat="1">
      <c r="A86" s="17" t="s">
        <v>299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10"/>
    </row>
    <row r="87" spans="1:112" s="7" customFormat="1">
      <c r="A87" s="17" t="s">
        <v>300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10"/>
    </row>
    <row r="88" spans="1:112" s="7" customFormat="1">
      <c r="A88" s="17" t="s">
        <v>301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10"/>
    </row>
    <row r="89" spans="1:112" s="7" customFormat="1">
      <c r="A89" s="17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10"/>
    </row>
    <row r="90" spans="1:112" s="7" customFormat="1">
      <c r="A90" s="17" t="s">
        <v>302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10"/>
    </row>
    <row r="91" spans="1:112" s="7" customFormat="1">
      <c r="A91" s="17" t="s">
        <v>303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10"/>
    </row>
    <row r="92" spans="1:112" s="7" customFormat="1">
      <c r="A92" s="17" t="s">
        <v>304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10"/>
    </row>
    <row r="93" spans="1:112" s="7" customFormat="1">
      <c r="A93" s="17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10"/>
    </row>
    <row r="94" spans="1:112" s="7" customFormat="1" ht="15.75">
      <c r="A94" s="25" t="s">
        <v>305</v>
      </c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10"/>
    </row>
    <row r="95" spans="1:112" s="7" customFormat="1">
      <c r="A95" s="17" t="s">
        <v>306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10"/>
    </row>
    <row r="96" spans="1:112" s="7" customFormat="1">
      <c r="A96" s="17" t="s">
        <v>307</v>
      </c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10"/>
    </row>
    <row r="97" spans="1:112" s="7" customFormat="1">
      <c r="A97" s="17" t="s">
        <v>308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10"/>
    </row>
    <row r="98" spans="1:112" s="7" customFormat="1">
      <c r="A98" s="17" t="s">
        <v>309</v>
      </c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10"/>
    </row>
    <row r="99" spans="1:112" s="7" customFormat="1">
      <c r="A99" s="17" t="s">
        <v>310</v>
      </c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10"/>
    </row>
    <row r="100" spans="1:112" s="7" customFormat="1">
      <c r="A100" s="17" t="s">
        <v>311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10"/>
    </row>
    <row r="101" spans="1:112" s="7" customFormat="1">
      <c r="A101" s="17" t="s">
        <v>312</v>
      </c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10"/>
    </row>
    <row r="102" spans="1:112" s="7" customFormat="1">
      <c r="A102" s="17" t="s">
        <v>313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10"/>
    </row>
    <row r="103" spans="1:112" s="7" customFormat="1">
      <c r="A103" s="17" t="s">
        <v>314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10"/>
    </row>
    <row r="104" spans="1:112" s="7" customFormat="1">
      <c r="A104" s="17" t="s">
        <v>315</v>
      </c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10"/>
    </row>
    <row r="105" spans="1:112" s="7" customFormat="1">
      <c r="A105" s="17" t="s">
        <v>316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10"/>
    </row>
    <row r="106" spans="1:112" s="7" customFormat="1" ht="13.5" thickBot="1">
      <c r="A106" s="17" t="s">
        <v>317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10"/>
    </row>
    <row r="107" spans="1:112" s="7" customFormat="1" ht="15.75">
      <c r="A107" s="31" t="s">
        <v>318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2"/>
      <c r="BZ107" s="32"/>
      <c r="CA107" s="32"/>
      <c r="CB107" s="32"/>
      <c r="CC107" s="32"/>
      <c r="CD107" s="32"/>
      <c r="CE107" s="32"/>
      <c r="CF107" s="32"/>
      <c r="CG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10"/>
    </row>
    <row r="108" spans="1:112" s="7" customFormat="1" ht="15.75">
      <c r="A108" s="25" t="s">
        <v>319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10"/>
    </row>
    <row r="109" spans="1:112" s="7" customFormat="1">
      <c r="A109" s="11" t="s">
        <v>320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>
        <f>'Income Statement'!P78/1000</f>
        <v>354.45800000000003</v>
      </c>
      <c r="AP109" s="12">
        <f>'Income Statement'!Q78/1000</f>
        <v>354.458552</v>
      </c>
      <c r="AQ109" s="12">
        <f>'Income Statement'!R78/1000</f>
        <v>355.64100000000002</v>
      </c>
      <c r="AR109" s="12">
        <f>'Income Statement'!S78/1000</f>
        <v>355.64100000000002</v>
      </c>
      <c r="AS109" s="12">
        <f>'Income Statement'!T78/1000</f>
        <v>355.64100000000002</v>
      </c>
      <c r="AT109" s="12">
        <f>'Income Statement'!U78/1000</f>
        <v>355.64100000000002</v>
      </c>
      <c r="AU109" s="12">
        <f>'Income Statement'!V78/1000</f>
        <v>355.64100000000002</v>
      </c>
      <c r="AV109" s="12">
        <f>'Income Statement'!W78/1000</f>
        <v>355.64100000000002</v>
      </c>
      <c r="AW109" s="12">
        <f>'Income Statement'!X78/1000</f>
        <v>355.702</v>
      </c>
      <c r="AX109" s="12">
        <f>'Income Statement'!Y78/1000</f>
        <v>355.75099999999998</v>
      </c>
      <c r="AY109" s="12">
        <f>'Income Statement'!Z78/1000</f>
        <v>355.75099999999998</v>
      </c>
      <c r="AZ109" s="12">
        <f>'Income Statement'!AA78/1000</f>
        <v>355.75099999999998</v>
      </c>
      <c r="BA109" s="12">
        <f>'Income Statement'!AB78/1000</f>
        <v>368.54670400000003</v>
      </c>
      <c r="BB109" s="12">
        <f>'Income Statement'!AC78/1000</f>
        <v>368.60922600000004</v>
      </c>
      <c r="BC109" s="12">
        <f>'Income Statement'!AD78/1000</f>
        <v>422.38746600000002</v>
      </c>
      <c r="BD109" s="12">
        <f>'Income Statement'!AE78/1000</f>
        <v>422.38746600000002</v>
      </c>
      <c r="BE109" s="12">
        <f>'Income Statement'!AF78/1000</f>
        <v>422.40100000000001</v>
      </c>
      <c r="BF109" s="12">
        <f>'Income Statement'!AG78/1000</f>
        <v>422.91135600000001</v>
      </c>
      <c r="BG109" s="12">
        <f>'Income Statement'!AH78/1000</f>
        <v>422.94400000000002</v>
      </c>
      <c r="BH109" s="12">
        <f>'Income Statement'!AI78/1000</f>
        <v>423.00388699999996</v>
      </c>
      <c r="BI109" s="12">
        <f>'Income Statement'!AJ78/1000</f>
        <v>423.00388699999996</v>
      </c>
      <c r="BJ109" s="12">
        <f>'Income Statement'!AK78/1000</f>
        <v>423.00388699999996</v>
      </c>
      <c r="BK109" s="12">
        <f>'Income Statement'!AL78/1000</f>
        <v>423.00388699999996</v>
      </c>
      <c r="BL109" s="12">
        <f>'Income Statement'!AM78/1000</f>
        <v>413.47688699999998</v>
      </c>
      <c r="BM109" s="12">
        <f>'Income Statement'!AN78/1000</f>
        <v>410.66788700000001</v>
      </c>
      <c r="BN109" s="12">
        <f>'Income Statement'!AO78/1000</f>
        <v>410.66788700000001</v>
      </c>
      <c r="BO109" s="12">
        <f>'Income Statement'!AP78/1000</f>
        <v>410.66788700000001</v>
      </c>
      <c r="BP109" s="12">
        <f>'Income Statement'!AQ78/1000</f>
        <v>411.20600000000002</v>
      </c>
      <c r="BQ109" s="12">
        <f>'Income Statement'!AR78/1000</f>
        <v>411.20600000000002</v>
      </c>
      <c r="BR109" s="12">
        <f>'Income Statement'!AS78/1000</f>
        <v>412.10700000000003</v>
      </c>
      <c r="BS109" s="12">
        <f>'Income Statement'!AT78/1000</f>
        <v>412.10700000000003</v>
      </c>
      <c r="BT109" s="12">
        <f>'Income Statement'!AU78/1000</f>
        <v>412.11799999999999</v>
      </c>
      <c r="BU109" s="12">
        <f>'Income Statement'!AV78/1000</f>
        <v>414.416</v>
      </c>
      <c r="BV109" s="12">
        <f>'Income Statement'!AW78/1000</f>
        <v>414.45499999999998</v>
      </c>
      <c r="BW109" s="12">
        <f>'Income Statement'!AX78/1000</f>
        <v>407.26037000000008</v>
      </c>
      <c r="BX109" s="12">
        <f>'Income Statement'!AY78/1000</f>
        <v>407.26037000000008</v>
      </c>
      <c r="BY109" s="12">
        <f>'Income Statement'!AZ78/1000</f>
        <v>403.73200000000003</v>
      </c>
      <c r="BZ109" s="12">
        <f>'Income Statement'!BA78/1000</f>
        <v>394.02100000000002</v>
      </c>
      <c r="CA109" s="12">
        <f>'Income Statement'!BB78/1000</f>
        <v>387.89499999999998</v>
      </c>
      <c r="CB109" s="12">
        <f>'Income Statement'!BC78/1000</f>
        <v>382.93599999999998</v>
      </c>
      <c r="CC109" s="12">
        <f>'Income Statement'!BD78/1000</f>
        <v>382.93599999999998</v>
      </c>
      <c r="CD109" s="12">
        <f>'Income Statement'!BE78/1000</f>
        <v>378.577</v>
      </c>
      <c r="CE109" s="12">
        <f>'Income Statement'!BF78/1000</f>
        <v>378.69400000000002</v>
      </c>
      <c r="CF109" s="12">
        <f>'Income Statement'!BG78/1000</f>
        <v>378.79500000000002</v>
      </c>
      <c r="CG109" s="12">
        <f>'Income Statement'!BH78/1000</f>
        <v>379.08079900000001</v>
      </c>
      <c r="CI109" s="12">
        <f>'Income Statement'!BJ78/1000</f>
        <v>380.95400000000001</v>
      </c>
      <c r="CJ109" s="12">
        <f>'Income Statement'!BK78/1000</f>
        <v>381.178</v>
      </c>
      <c r="CK109" s="12">
        <f>'Income Statement'!BL78/1000</f>
        <v>381.61599999999999</v>
      </c>
      <c r="CL109" s="12">
        <f>'Income Statement'!BM78/1000</f>
        <v>382.149</v>
      </c>
      <c r="CM109" s="12">
        <f>'Income Statement'!BN78/1000</f>
        <v>382.149</v>
      </c>
      <c r="CN109" s="12">
        <f>'Income Statement'!BO78/1000</f>
        <v>382.149</v>
      </c>
      <c r="CO109" s="12">
        <f>'Income Statement'!BP78/1000</f>
        <v>382.56099999999998</v>
      </c>
      <c r="CP109" s="12">
        <f>'Income Statement'!BQ78/1000</f>
        <v>382.65899999999999</v>
      </c>
      <c r="CQ109" s="12">
        <f>'Income Statement'!BR78/1000</f>
        <v>382.70800000000003</v>
      </c>
      <c r="CR109" s="12">
        <f>'Income Statement'!BS78/1000</f>
        <v>382.70800000000003</v>
      </c>
      <c r="CS109" s="12">
        <f>'Income Statement'!BT78/1000</f>
        <v>382.89699999999999</v>
      </c>
      <c r="CT109" s="12">
        <f>'Income Statement'!BU78/1000</f>
        <v>384.15699999999998</v>
      </c>
      <c r="CU109" s="12">
        <f>'Income Statement'!BV78/1000</f>
        <v>384.15699999999998</v>
      </c>
      <c r="CV109" s="12">
        <f>'Income Statement'!BW78/1000</f>
        <v>384.22899999999998</v>
      </c>
      <c r="CW109" s="12">
        <f>'Income Statement'!BX78/1000</f>
        <v>384.22899999999998</v>
      </c>
      <c r="CX109" s="12">
        <f>'Income Statement'!BY78/1000</f>
        <v>384.36</v>
      </c>
      <c r="CY109" s="12">
        <f>'Income Statement'!BZ78/1000</f>
        <v>384.41300000000001</v>
      </c>
      <c r="CZ109" s="12">
        <f>'Income Statement'!CA78/1000</f>
        <v>384.42700000000002</v>
      </c>
      <c r="DA109" s="12">
        <f>'Income Statement'!CB78/1000</f>
        <v>384.42700000000002</v>
      </c>
      <c r="DB109" s="12">
        <f>'Income Statement'!CC78/1000</f>
        <v>384.42700000000002</v>
      </c>
      <c r="DC109" s="12">
        <f>'Income Statement'!CD78/1000</f>
        <v>384.42700000000002</v>
      </c>
      <c r="DD109" s="12">
        <f>'Income Statement'!CE78/1000</f>
        <v>384.42700000000002</v>
      </c>
      <c r="DE109" s="12">
        <f>'Income Statement'!CF78/1000</f>
        <v>384.50400000000002</v>
      </c>
      <c r="DF109" s="12">
        <f>'Income Statement'!CG78/1000</f>
        <v>384.50400000000002</v>
      </c>
      <c r="DG109" s="12">
        <f>'Income Statement'!CH78/1000</f>
        <v>384.50400000000002</v>
      </c>
      <c r="DH109" s="10"/>
    </row>
    <row r="110" spans="1:112" s="7" customFormat="1">
      <c r="A110" s="11" t="s">
        <v>321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>
        <f>AVERAGE('Income Statement'!O78:P78)/1000</f>
        <v>354.45800000000003</v>
      </c>
      <c r="AP110" s="12">
        <f>AVERAGE('Income Statement'!P78:Q78)/1000</f>
        <v>354.45827600000001</v>
      </c>
      <c r="AQ110" s="12">
        <f>AVERAGE('Income Statement'!Q78:R78)/1000</f>
        <v>355.04977600000001</v>
      </c>
      <c r="AR110" s="12">
        <f>AVERAGE('Income Statement'!R78:S78)/1000</f>
        <v>355.64100000000002</v>
      </c>
      <c r="AS110" s="12">
        <f>AVERAGE('Income Statement'!S78:T78)/1000</f>
        <v>355.64100000000002</v>
      </c>
      <c r="AT110" s="12">
        <f>AVERAGE('Income Statement'!T78:U78)/1000</f>
        <v>355.64100000000002</v>
      </c>
      <c r="AU110" s="12">
        <f>AVERAGE('Income Statement'!U78:V78)/1000</f>
        <v>355.64100000000002</v>
      </c>
      <c r="AV110" s="12">
        <f>AVERAGE('Income Statement'!V78:W78)/1000</f>
        <v>355.64100000000002</v>
      </c>
      <c r="AW110" s="12">
        <f>AVERAGE('Income Statement'!W78:X78)/1000</f>
        <v>355.67149999999998</v>
      </c>
      <c r="AX110" s="12">
        <f>AVERAGE('Income Statement'!X78:Y78)/1000</f>
        <v>355.72649999999999</v>
      </c>
      <c r="AY110" s="12">
        <f>AVERAGE('Income Statement'!Y78:Z78)/1000</f>
        <v>355.75099999999998</v>
      </c>
      <c r="AZ110" s="12">
        <f>AVERAGE('Income Statement'!Z78:AA78)/1000</f>
        <v>355.75099999999998</v>
      </c>
      <c r="BA110" s="12">
        <f>AVERAGE('Income Statement'!AA78:AB78)/1000</f>
        <v>362.14885200000003</v>
      </c>
      <c r="BB110" s="12">
        <f>AVERAGE('Income Statement'!AB78:AC78)/1000</f>
        <v>368.57796500000001</v>
      </c>
      <c r="BC110" s="12">
        <f>AVERAGE('Income Statement'!AC78:AD78)/1000</f>
        <v>395.49834600000003</v>
      </c>
      <c r="BD110" s="12">
        <f>AVERAGE('Income Statement'!AD78:AE78)/1000</f>
        <v>422.38746600000002</v>
      </c>
      <c r="BE110" s="12">
        <f>AVERAGE('Income Statement'!AE78:AF78)/1000</f>
        <v>422.39423299999999</v>
      </c>
      <c r="BF110" s="12">
        <f>AVERAGE('Income Statement'!AF78:AG78)/1000</f>
        <v>422.65617800000001</v>
      </c>
      <c r="BG110" s="12">
        <f>AVERAGE('Income Statement'!AG78:AH78)/1000</f>
        <v>422.92767800000001</v>
      </c>
      <c r="BH110" s="12">
        <f>AVERAGE('Income Statement'!AH78:AI78)/1000</f>
        <v>422.97394350000002</v>
      </c>
      <c r="BI110" s="12">
        <f>AVERAGE('Income Statement'!AI78:AJ78)/1000</f>
        <v>423.00388699999996</v>
      </c>
      <c r="BJ110" s="12">
        <f>AVERAGE('Income Statement'!AJ78:AK78)/1000</f>
        <v>423.00388699999996</v>
      </c>
      <c r="BK110" s="12">
        <f>AVERAGE('Income Statement'!AK78:AL78)/1000</f>
        <v>423.00388699999996</v>
      </c>
      <c r="BL110" s="12">
        <f>AVERAGE('Income Statement'!AL78:AM78)/1000</f>
        <v>418.240387</v>
      </c>
      <c r="BM110" s="12">
        <f>AVERAGE('Income Statement'!AM78:AN78)/1000</f>
        <v>412.07238699999999</v>
      </c>
      <c r="BN110" s="12">
        <f>AVERAGE('Income Statement'!AN78:AO78)/1000</f>
        <v>410.66788700000001</v>
      </c>
      <c r="BO110" s="12">
        <f>AVERAGE('Income Statement'!AO78:AP78)/1000</f>
        <v>410.66788700000001</v>
      </c>
      <c r="BP110" s="12">
        <f>AVERAGE('Income Statement'!AP78:AQ78)/1000</f>
        <v>410.93694349999998</v>
      </c>
      <c r="BQ110" s="12">
        <f>AVERAGE('Income Statement'!AQ78:AR78)/1000</f>
        <v>411.20600000000002</v>
      </c>
      <c r="BR110" s="12">
        <f>AVERAGE('Income Statement'!AR78:AS78)/1000</f>
        <v>411.65649999999999</v>
      </c>
      <c r="BS110" s="12">
        <f>AVERAGE('Income Statement'!AS78:AT78)/1000</f>
        <v>412.10700000000003</v>
      </c>
      <c r="BT110" s="12">
        <f>AVERAGE('Income Statement'!AT78:AU78)/1000</f>
        <v>412.11250000000001</v>
      </c>
      <c r="BU110" s="12">
        <f>AVERAGE('Income Statement'!AU78:AV78)/1000</f>
        <v>413.267</v>
      </c>
      <c r="BV110" s="12">
        <f>AVERAGE('Income Statement'!AV78:AW78)/1000</f>
        <v>414.43549999999999</v>
      </c>
      <c r="BW110" s="12">
        <f>AVERAGE('Income Statement'!AW78:AX78)/1000</f>
        <v>410.85768500000006</v>
      </c>
      <c r="BX110" s="12">
        <f>AVERAGE('Income Statement'!AX78:AY78)/1000</f>
        <v>407.26037000000008</v>
      </c>
      <c r="BY110" s="12">
        <f>AVERAGE('Income Statement'!AY78:AZ78)/1000</f>
        <v>405.49618500000008</v>
      </c>
      <c r="BZ110" s="12">
        <f>AVERAGE('Income Statement'!AZ78:BA78)/1000</f>
        <v>398.87650000000002</v>
      </c>
      <c r="CA110" s="12">
        <f>AVERAGE('Income Statement'!BA78:BB78)/1000</f>
        <v>390.95800000000003</v>
      </c>
      <c r="CB110" s="12">
        <f>AVERAGE('Income Statement'!BB78:BC78)/1000</f>
        <v>385.41550000000001</v>
      </c>
      <c r="CC110" s="12">
        <f>AVERAGE('Income Statement'!BC78:BD78)/1000</f>
        <v>382.93599999999998</v>
      </c>
      <c r="CD110" s="12">
        <f>AVERAGE('Income Statement'!BD78:BE78)/1000</f>
        <v>380.75650000000002</v>
      </c>
      <c r="CE110" s="12">
        <f>AVERAGE('Income Statement'!BE78:BF78)/1000</f>
        <v>378.63549999999998</v>
      </c>
      <c r="CF110" s="12">
        <f>AVERAGE('Income Statement'!BF78:BG78)/1000</f>
        <v>378.74450000000002</v>
      </c>
      <c r="CG110" s="12">
        <f>AVERAGE('Income Statement'!BG78:BH78)/1000</f>
        <v>378.93789950000001</v>
      </c>
      <c r="CI110" s="12">
        <f>AVERAGE('Income Statement'!BI78:BJ78)/1000</f>
        <v>380.01739950000001</v>
      </c>
      <c r="CJ110" s="12">
        <f>AVERAGE('Income Statement'!BJ78:BK78)/1000</f>
        <v>381.06599999999997</v>
      </c>
      <c r="CK110" s="12">
        <f>AVERAGE('Income Statement'!BK78:BL78)/1000</f>
        <v>381.39699999999999</v>
      </c>
      <c r="CL110" s="12">
        <f>AVERAGE('Income Statement'!BL78:BM78)/1000</f>
        <v>381.88249999999999</v>
      </c>
      <c r="CM110" s="12">
        <f>AVERAGE('Income Statement'!BM78:BN78)/1000</f>
        <v>382.149</v>
      </c>
      <c r="CN110" s="12">
        <f>AVERAGE('Income Statement'!BN78:BO78)/1000</f>
        <v>382.149</v>
      </c>
      <c r="CO110" s="12">
        <f>AVERAGE('Income Statement'!BO78:BP78)/1000</f>
        <v>382.35500000000002</v>
      </c>
      <c r="CP110" s="12">
        <f>AVERAGE('Income Statement'!BP78:BQ78)/1000</f>
        <v>382.61</v>
      </c>
      <c r="CQ110" s="12">
        <f>AVERAGE('Income Statement'!BQ78:BR78)/1000</f>
        <v>382.68349999999998</v>
      </c>
      <c r="CR110" s="12">
        <f>AVERAGE('Income Statement'!BR78:BS78)/1000</f>
        <v>382.70800000000003</v>
      </c>
      <c r="CS110" s="12">
        <f>AVERAGE('Income Statement'!BS78:BT78)/1000</f>
        <v>382.80250000000001</v>
      </c>
      <c r="CT110" s="12">
        <f>AVERAGE('Income Statement'!BT78:BU78)/1000</f>
        <v>383.52699999999999</v>
      </c>
      <c r="CU110" s="12">
        <f>AVERAGE('Income Statement'!BU78:BV78)/1000</f>
        <v>384.15699999999998</v>
      </c>
      <c r="CV110" s="12">
        <f>AVERAGE('Income Statement'!BV78:BW78)/1000</f>
        <v>384.19299999999998</v>
      </c>
      <c r="CW110" s="12">
        <f>AVERAGE('Income Statement'!BW78:BX78)/1000</f>
        <v>384.22899999999998</v>
      </c>
      <c r="CX110" s="12">
        <f>AVERAGE('Income Statement'!BX78:BY78)/1000</f>
        <v>384.29450000000003</v>
      </c>
      <c r="CY110" s="12">
        <f>AVERAGE('Income Statement'!BY78:BZ78)/1000</f>
        <v>384.38650000000001</v>
      </c>
      <c r="CZ110" s="12">
        <f>AVERAGE('Income Statement'!BZ78:CA78)/1000</f>
        <v>384.42</v>
      </c>
      <c r="DA110" s="12">
        <f>AVERAGE('Income Statement'!CA78:CB78)/1000</f>
        <v>384.42700000000002</v>
      </c>
      <c r="DB110" s="12">
        <f>AVERAGE('Income Statement'!CB78:CC78)/1000</f>
        <v>384.42700000000002</v>
      </c>
      <c r="DC110" s="12">
        <f>AVERAGE('Income Statement'!CC78:CD78)/1000</f>
        <v>384.42700000000002</v>
      </c>
      <c r="DD110" s="12">
        <f>AVERAGE('Income Statement'!CD78:CE78)/1000</f>
        <v>384.42700000000002</v>
      </c>
      <c r="DE110" s="12">
        <f>AVERAGE('Income Statement'!CE78:CF78)/1000</f>
        <v>384.46550000000002</v>
      </c>
      <c r="DF110" s="12">
        <f>AVERAGE('Income Statement'!CF78:CG78)/1000</f>
        <v>384.50400000000002</v>
      </c>
      <c r="DG110" s="12">
        <f>AVERAGE('Income Statement'!CG78:CH78)/1000</f>
        <v>384.50400000000002</v>
      </c>
      <c r="DH110" s="10"/>
    </row>
    <row r="111" spans="1:112" s="7" customFormat="1">
      <c r="A111" s="11" t="s">
        <v>322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>
        <f>AVERAGE('Income Statement'!O78:P78)/1000</f>
        <v>354.45800000000003</v>
      </c>
      <c r="AP111" s="12">
        <f>AVERAGE('Income Statement'!P78:Q78)/1000</f>
        <v>354.45827600000001</v>
      </c>
      <c r="AQ111" s="12">
        <f>AVERAGE('Income Statement'!Q78:R78)/1000</f>
        <v>355.04977600000001</v>
      </c>
      <c r="AR111" s="12">
        <f>AVERAGE('Income Statement'!R78:S78)/1000</f>
        <v>355.64100000000002</v>
      </c>
      <c r="AS111" s="12">
        <f>AVERAGE('Income Statement'!S78:T78)/1000</f>
        <v>355.64100000000002</v>
      </c>
      <c r="AT111" s="12">
        <f>AVERAGE('Income Statement'!T78:U78)/1000</f>
        <v>355.64100000000002</v>
      </c>
      <c r="AU111" s="12">
        <f>AVERAGE('Income Statement'!U78:V78)/1000</f>
        <v>355.64100000000002</v>
      </c>
      <c r="AV111" s="12">
        <f>AVERAGE('Income Statement'!V78:W78)/1000</f>
        <v>355.64100000000002</v>
      </c>
      <c r="AW111" s="12">
        <f>AVERAGE('Income Statement'!W78:X78)/1000</f>
        <v>355.67149999999998</v>
      </c>
      <c r="AX111" s="12">
        <f>AVERAGE('Income Statement'!X78:Y78)/1000</f>
        <v>355.72649999999999</v>
      </c>
      <c r="AY111" s="12">
        <f>AVERAGE('Income Statement'!Y78:Z78)/1000</f>
        <v>355.75099999999998</v>
      </c>
      <c r="AZ111" s="12">
        <f>AVERAGE('Income Statement'!Z78:AA78)/1000</f>
        <v>355.75099999999998</v>
      </c>
      <c r="BA111" s="12">
        <f>AVERAGE('Income Statement'!AA78:AB78)/1000</f>
        <v>362.14885200000003</v>
      </c>
      <c r="BB111" s="12">
        <f>AVERAGE('Income Statement'!AB78:AC78)/1000</f>
        <v>368.57796500000001</v>
      </c>
      <c r="BC111" s="12">
        <f>AVERAGE('Income Statement'!AC78:AD78)/1000</f>
        <v>395.49834600000003</v>
      </c>
      <c r="BD111" s="12">
        <f>AVERAGE('Income Statement'!AD78:AE78)/1000</f>
        <v>422.38746600000002</v>
      </c>
      <c r="BE111" s="12">
        <f>AVERAGE('Income Statement'!AE78:AF78)/1000</f>
        <v>422.39423299999999</v>
      </c>
      <c r="BF111" s="12">
        <f>AVERAGE('Income Statement'!AF78:AG78)/1000</f>
        <v>422.65617800000001</v>
      </c>
      <c r="BG111" s="12">
        <f>AVERAGE('Income Statement'!AG78:AH78)/1000</f>
        <v>422.92767800000001</v>
      </c>
      <c r="BH111" s="12">
        <f>AVERAGE('Income Statement'!AH78:AI78)/1000</f>
        <v>422.97394350000002</v>
      </c>
      <c r="BI111" s="12">
        <f>AVERAGE('Income Statement'!AI78:AJ78)/1000</f>
        <v>423.00388699999996</v>
      </c>
      <c r="BJ111" s="12">
        <f>AVERAGE('Income Statement'!AJ78:AK78)/1000</f>
        <v>423.00388699999996</v>
      </c>
      <c r="BK111" s="12">
        <f>AVERAGE('Income Statement'!AK78:AL78)/1000</f>
        <v>423.00388699999996</v>
      </c>
      <c r="BL111" s="12">
        <f>AVERAGE('Income Statement'!AL78:AM78)/1000</f>
        <v>418.240387</v>
      </c>
      <c r="BM111" s="12">
        <f>AVERAGE('Income Statement'!AM78:AN78)/1000</f>
        <v>412.07238699999999</v>
      </c>
      <c r="BN111" s="12">
        <f>AVERAGE('Income Statement'!AN78:AO78)/1000</f>
        <v>410.66788700000001</v>
      </c>
      <c r="BO111" s="12">
        <f>AVERAGE('Income Statement'!AO78:AP78)/1000</f>
        <v>410.66788700000001</v>
      </c>
      <c r="BP111" s="12">
        <f>AVERAGE('Income Statement'!AP78:AQ78)/1000</f>
        <v>410.93694349999998</v>
      </c>
      <c r="BQ111" s="12">
        <f>AVERAGE('Income Statement'!AQ78:AR78)/1000</f>
        <v>411.20600000000002</v>
      </c>
      <c r="BR111" s="12">
        <f>AVERAGE('Income Statement'!AR78:AS78)/1000</f>
        <v>411.65649999999999</v>
      </c>
      <c r="BS111" s="12">
        <f>AVERAGE('Income Statement'!AS78:AT78)/1000</f>
        <v>412.10700000000003</v>
      </c>
      <c r="BT111" s="12">
        <f>AVERAGE('Income Statement'!AT78:AU78)/1000</f>
        <v>412.11250000000001</v>
      </c>
      <c r="BU111" s="12">
        <f>AVERAGE('Income Statement'!AU78:AV78)/1000</f>
        <v>413.267</v>
      </c>
      <c r="BV111" s="12">
        <f>AVERAGE('Income Statement'!AV78:AW78)/1000</f>
        <v>414.43549999999999</v>
      </c>
      <c r="BW111" s="12">
        <f>AVERAGE('Income Statement'!AW78:AX78)/1000</f>
        <v>410.85768500000006</v>
      </c>
      <c r="BX111" s="12">
        <f>AVERAGE('Income Statement'!AX78:AY78)/1000</f>
        <v>407.26037000000008</v>
      </c>
      <c r="BY111" s="12">
        <f>AVERAGE('Income Statement'!AY78:AZ78)/1000</f>
        <v>405.49618500000008</v>
      </c>
      <c r="BZ111" s="12">
        <f>AVERAGE('Income Statement'!AZ78:BA78)/1000</f>
        <v>398.87650000000002</v>
      </c>
      <c r="CA111" s="12">
        <f>AVERAGE('Income Statement'!BA78:BB78)/1000</f>
        <v>390.95800000000003</v>
      </c>
      <c r="CB111" s="12">
        <f>AVERAGE('Income Statement'!BB78:BC78)/1000</f>
        <v>385.41550000000001</v>
      </c>
      <c r="CC111" s="12">
        <f>AVERAGE('Income Statement'!BC78:BD78)/1000</f>
        <v>382.93599999999998</v>
      </c>
      <c r="CD111" s="12">
        <f>AVERAGE('Income Statement'!BD78:BE78)/1000</f>
        <v>380.75650000000002</v>
      </c>
      <c r="CE111" s="12">
        <f>AVERAGE('Income Statement'!BE78:BF78)/1000</f>
        <v>378.63549999999998</v>
      </c>
      <c r="CF111" s="12">
        <f>AVERAGE('Income Statement'!BF78:BG78)/1000</f>
        <v>378.74450000000002</v>
      </c>
      <c r="CG111" s="12">
        <f>AVERAGE('Income Statement'!BG78:BH78)/1000</f>
        <v>378.93789950000001</v>
      </c>
      <c r="CI111" s="12">
        <f>AVERAGE('Income Statement'!BI78:BJ78)/1000</f>
        <v>380.01739950000001</v>
      </c>
      <c r="CJ111" s="12">
        <f>AVERAGE('Income Statement'!BJ78:BK78)/1000</f>
        <v>381.06599999999997</v>
      </c>
      <c r="CK111" s="12">
        <f>AVERAGE('Income Statement'!BK78:BL78)/1000</f>
        <v>381.39699999999999</v>
      </c>
      <c r="CL111" s="12">
        <f>AVERAGE('Income Statement'!BL78:BM78)/1000</f>
        <v>381.88249999999999</v>
      </c>
      <c r="CM111" s="12">
        <f>AVERAGE('Income Statement'!BM78:BN78)/1000</f>
        <v>382.149</v>
      </c>
      <c r="CN111" s="12">
        <f>AVERAGE('Income Statement'!BN78:BO78)/1000</f>
        <v>382.149</v>
      </c>
      <c r="CO111" s="12">
        <f>AVERAGE('Income Statement'!BO78:BP78)/1000</f>
        <v>382.35500000000002</v>
      </c>
      <c r="CP111" s="12">
        <f>AVERAGE('Income Statement'!BP78:BQ78)/1000</f>
        <v>382.61</v>
      </c>
      <c r="CQ111" s="12">
        <f>AVERAGE('Income Statement'!BQ78:BR78)/1000</f>
        <v>382.68349999999998</v>
      </c>
      <c r="CR111" s="12">
        <f>AVERAGE('Income Statement'!BR78:BS78)/1000</f>
        <v>382.70800000000003</v>
      </c>
      <c r="CS111" s="12">
        <f>AVERAGE('Income Statement'!BS78:BT78)/1000</f>
        <v>382.80250000000001</v>
      </c>
      <c r="CT111" s="12">
        <f>AVERAGE('Income Statement'!BT78:BU78)/1000</f>
        <v>383.52699999999999</v>
      </c>
      <c r="CU111" s="12">
        <f>AVERAGE('Income Statement'!BU78:BV78)/1000</f>
        <v>384.15699999999998</v>
      </c>
      <c r="CV111" s="12">
        <f>AVERAGE('Income Statement'!BV78:BW78)/1000</f>
        <v>384.19299999999998</v>
      </c>
      <c r="CW111" s="12">
        <f>AVERAGE('Income Statement'!BW78:BX78)/1000</f>
        <v>384.22899999999998</v>
      </c>
      <c r="CX111" s="12">
        <f>AVERAGE('Income Statement'!BX78:BY78)/1000</f>
        <v>384.29450000000003</v>
      </c>
      <c r="CY111" s="12">
        <f>AVERAGE('Income Statement'!BY78:BZ78)/1000</f>
        <v>384.38650000000001</v>
      </c>
      <c r="CZ111" s="12">
        <f>AVERAGE('Income Statement'!BZ78:CA78)/1000</f>
        <v>384.42</v>
      </c>
      <c r="DA111" s="12">
        <f>AVERAGE('Income Statement'!CA78:CB78)/1000</f>
        <v>384.42700000000002</v>
      </c>
      <c r="DB111" s="12">
        <f>AVERAGE('Income Statement'!CB78:CC78)/1000</f>
        <v>384.42700000000002</v>
      </c>
      <c r="DC111" s="12">
        <f>AVERAGE('Income Statement'!CC78:CD78)/1000</f>
        <v>384.42700000000002</v>
      </c>
      <c r="DD111" s="12">
        <f>AVERAGE('Income Statement'!CD78:CE78)/1000</f>
        <v>384.42700000000002</v>
      </c>
      <c r="DE111" s="12">
        <f>AVERAGE('Income Statement'!CE78:CF78)/1000</f>
        <v>384.46550000000002</v>
      </c>
      <c r="DF111" s="12">
        <f>AVERAGE('Income Statement'!CF78:CG78)/1000</f>
        <v>384.50400000000002</v>
      </c>
      <c r="DG111" s="12">
        <f>AVERAGE('Income Statement'!CG78:CH78)/1000</f>
        <v>384.50400000000002</v>
      </c>
      <c r="DH111" s="10"/>
    </row>
    <row r="112" spans="1:112" s="7" customFormat="1">
      <c r="A112" s="11" t="s">
        <v>323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>
        <f>'Income Statement'!P81</f>
        <v>0.17498060711601179</v>
      </c>
      <c r="AP112" s="12">
        <f>'Income Statement'!Q81</f>
        <v>0</v>
      </c>
      <c r="AQ112" s="12">
        <f>'Income Statement'!R81</f>
        <v>0.16899038967426358</v>
      </c>
      <c r="AR112" s="12">
        <f>'Income Statement'!S81</f>
        <v>0</v>
      </c>
      <c r="AS112" s="12">
        <f>'Income Statement'!T81</f>
        <v>4.0979527107392007E-2</v>
      </c>
      <c r="AT112" s="12">
        <f>'Income Statement'!U81</f>
        <v>0.20986342448322418</v>
      </c>
      <c r="AU112" s="12">
        <f>'Income Statement'!V81</f>
        <v>0</v>
      </c>
      <c r="AV112" s="12">
        <f>'Income Statement'!W81</f>
        <v>0</v>
      </c>
      <c r="AW112" s="12">
        <f>'Income Statement'!X81</f>
        <v>0</v>
      </c>
      <c r="AX112" s="12">
        <f>'Income Statement'!Y81</f>
        <v>0.18540929618681767</v>
      </c>
      <c r="AY112" s="12">
        <f>'Income Statement'!Z81</f>
        <v>0.185431580723044</v>
      </c>
      <c r="AZ112" s="12">
        <f>'Income Statement'!AA81</f>
        <v>0</v>
      </c>
      <c r="BA112" s="12">
        <f>'Income Statement'!AB81</f>
        <v>0</v>
      </c>
      <c r="BB112" s="12">
        <f>'Income Statement'!AC81</f>
        <v>0</v>
      </c>
      <c r="BC112" s="12">
        <f>'Income Statement'!AD81</f>
        <v>0.50227473077675022</v>
      </c>
      <c r="BD112" s="12">
        <f>'Income Statement'!AE81</f>
        <v>0.52438344861350628</v>
      </c>
      <c r="BE112" s="12">
        <f>'Income Statement'!AF81</f>
        <v>0</v>
      </c>
      <c r="BF112" s="12">
        <f>'Income Statement'!AG81</f>
        <v>0</v>
      </c>
      <c r="BG112" s="12">
        <f>'Income Statement'!AH81</f>
        <v>0</v>
      </c>
      <c r="BH112" s="12">
        <f>'Income Statement'!AI81</f>
        <v>0.33703967393442996</v>
      </c>
      <c r="BI112" s="12">
        <f>'Income Statement'!AJ81</f>
        <v>0.33716632455600148</v>
      </c>
      <c r="BJ112" s="12">
        <f>'Income Statement'!AK81</f>
        <v>0</v>
      </c>
      <c r="BK112" s="12">
        <f>'Income Statement'!AL81</f>
        <v>0</v>
      </c>
      <c r="BL112" s="12">
        <f>'Income Statement'!AM81</f>
        <v>0</v>
      </c>
      <c r="BM112" s="12">
        <f>'Income Statement'!AN81</f>
        <v>0.28712188375776804</v>
      </c>
      <c r="BN112" s="12">
        <f>'Income Statement'!AO81</f>
        <v>0.28336333741892422</v>
      </c>
      <c r="BO112" s="12">
        <f>'Income Statement'!AP81</f>
        <v>0</v>
      </c>
      <c r="BP112" s="12">
        <f>'Income Statement'!AQ81</f>
        <v>0</v>
      </c>
      <c r="BQ112" s="12">
        <f>'Income Statement'!AR81</f>
        <v>0</v>
      </c>
      <c r="BR112" s="12">
        <f>'Income Statement'!AS81</f>
        <v>0.3809438208797869</v>
      </c>
      <c r="BS112" s="12">
        <f>'Income Statement'!AT81</f>
        <v>0.38127704819227626</v>
      </c>
      <c r="BT112" s="12">
        <f>'Income Statement'!AU81</f>
        <v>0.12132609420971216</v>
      </c>
      <c r="BU112" s="12">
        <f>'Income Statement'!AV81</f>
        <v>0</v>
      </c>
      <c r="BV112" s="12">
        <f>'Income Statement'!AW81</f>
        <v>0</v>
      </c>
      <c r="BW112" s="12">
        <f>'Income Statement'!AX81</f>
        <v>0.41577900629995512</v>
      </c>
      <c r="BX112" s="12">
        <f>'Income Statement'!AY81</f>
        <v>0.53590434559061895</v>
      </c>
      <c r="BY112" s="12">
        <f>'Income Statement'!AZ81</f>
        <v>0</v>
      </c>
      <c r="BZ112" s="12">
        <f>'Income Statement'!BA81</f>
        <v>0</v>
      </c>
      <c r="CA112" s="12">
        <f>'Income Statement'!BB81</f>
        <v>0</v>
      </c>
      <c r="CB112" s="12">
        <f>'Income Statement'!BC81</f>
        <v>0.40762761227817773</v>
      </c>
      <c r="CC112" s="12">
        <f>'Income Statement'!BD81</f>
        <v>0.40063139748971044</v>
      </c>
      <c r="CD112" s="12">
        <f>'Income Statement'!BE81</f>
        <v>0</v>
      </c>
      <c r="CE112" s="12">
        <f>'Income Statement'!BF81</f>
        <v>0</v>
      </c>
      <c r="CF112" s="12">
        <f>'Income Statement'!BG81</f>
        <v>0</v>
      </c>
      <c r="CG112" s="12">
        <f>'Income Statement'!BH81</f>
        <v>0.28066076299132492</v>
      </c>
      <c r="CI112" s="12">
        <f>'Income Statement'!BJ81</f>
        <v>0</v>
      </c>
      <c r="CJ112" s="12">
        <f>'Income Statement'!BK81</f>
        <v>0</v>
      </c>
      <c r="CK112" s="12">
        <f>'Income Statement'!BL81</f>
        <v>0</v>
      </c>
      <c r="CL112" s="12">
        <f>'Income Statement'!BM81</f>
        <v>9.4128642676739566E-2</v>
      </c>
      <c r="CM112" s="12">
        <f>'Income Statement'!BN81</f>
        <v>9.4229378226708613E-2</v>
      </c>
      <c r="CN112" s="12">
        <f>'Income Statement'!BO81</f>
        <v>0</v>
      </c>
      <c r="CO112" s="12">
        <f>'Income Statement'!BP81</f>
        <v>0</v>
      </c>
      <c r="CP112" s="12">
        <f>'Income Statement'!BQ81</f>
        <v>0</v>
      </c>
      <c r="CQ112" s="12">
        <f>'Income Statement'!BR81</f>
        <v>0</v>
      </c>
      <c r="CR112" s="12">
        <f>'Income Statement'!BS81</f>
        <v>0</v>
      </c>
      <c r="CS112" s="12">
        <f>'Income Statement'!BT81</f>
        <v>0</v>
      </c>
      <c r="CT112" s="12">
        <f>'Income Statement'!BU81</f>
        <v>0.52147567185621868</v>
      </c>
      <c r="CU112" s="12">
        <f>'Income Statement'!BV81</f>
        <v>0</v>
      </c>
      <c r="CV112" s="12">
        <f>'Income Statement'!BW81</f>
        <v>0.59865744560676537</v>
      </c>
      <c r="CW112" s="12">
        <f>'Income Statement'!BX81</f>
        <v>1.1202000729432606</v>
      </c>
      <c r="CX112" s="12">
        <f>'Income Statement'!BY81</f>
        <v>0</v>
      </c>
      <c r="CY112" s="12">
        <f>'Income Statement'!BZ81</f>
        <v>0</v>
      </c>
      <c r="CZ112" s="12">
        <f>'Income Statement'!CA81</f>
        <v>0.7803964413922273</v>
      </c>
      <c r="DA112" s="12">
        <f>'Income Statement'!CB81</f>
        <v>1.0405096416224666</v>
      </c>
      <c r="DB112" s="12">
        <f>'Income Statement'!CC81</f>
        <v>1.8209877948293052</v>
      </c>
      <c r="DC112" s="12">
        <f>'Income Statement'!CD81</f>
        <v>0</v>
      </c>
      <c r="DD112" s="12">
        <f>'Income Statement'!CE81</f>
        <v>0</v>
      </c>
      <c r="DE112" s="12">
        <f>'Income Statement'!CF81</f>
        <v>0.2568821287215628</v>
      </c>
      <c r="DF112" s="12">
        <f>'Income Statement'!CG81</f>
        <v>1.5604519068722302</v>
      </c>
      <c r="DG112" s="12">
        <f>'Income Statement'!CH81</f>
        <v>1.8174902977250234</v>
      </c>
      <c r="DH112" s="10"/>
    </row>
    <row r="113" spans="1:112" s="7" customFormat="1">
      <c r="A113" s="11" t="s">
        <v>324</v>
      </c>
      <c r="B113" s="34"/>
      <c r="C113" s="34"/>
      <c r="D113" s="34"/>
      <c r="E113" s="34"/>
      <c r="F113" s="34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2">
        <v>0</v>
      </c>
      <c r="DG113" s="12">
        <v>0</v>
      </c>
      <c r="DH113" s="10"/>
    </row>
    <row r="114" spans="1:112" s="7" customFormat="1">
      <c r="A114" s="11" t="s">
        <v>325</v>
      </c>
      <c r="B114" s="35"/>
      <c r="C114" s="35"/>
      <c r="D114" s="35"/>
      <c r="E114" s="35"/>
      <c r="F114" s="35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0"/>
    </row>
    <row r="115" spans="1:112" s="7" customFormat="1">
      <c r="A115" s="17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10"/>
    </row>
    <row r="116" spans="1:112" s="7" customFormat="1" ht="15.75">
      <c r="A116" s="25" t="s">
        <v>326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10"/>
    </row>
    <row r="117" spans="1:112" s="7" customFormat="1">
      <c r="A117" s="11" t="s">
        <v>327</v>
      </c>
      <c r="B117" s="36"/>
      <c r="C117" s="36"/>
      <c r="D117" s="36"/>
      <c r="E117" s="36"/>
      <c r="F117" s="36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>
        <v>1</v>
      </c>
      <c r="AP117" s="37">
        <v>1</v>
      </c>
      <c r="AQ117" s="37">
        <v>1</v>
      </c>
      <c r="AR117" s="37">
        <v>1</v>
      </c>
      <c r="AS117" s="37">
        <v>1</v>
      </c>
      <c r="AT117" s="37">
        <v>1</v>
      </c>
      <c r="AU117" s="37">
        <v>1</v>
      </c>
      <c r="AV117" s="37">
        <v>1</v>
      </c>
      <c r="AW117" s="37">
        <v>1</v>
      </c>
      <c r="AX117" s="37">
        <v>1</v>
      </c>
      <c r="AY117" s="37">
        <v>1</v>
      </c>
      <c r="AZ117" s="37">
        <v>1</v>
      </c>
      <c r="BA117" s="37">
        <v>1</v>
      </c>
      <c r="BB117" s="37">
        <v>1</v>
      </c>
      <c r="BC117" s="37">
        <v>1</v>
      </c>
      <c r="BD117" s="37">
        <v>1</v>
      </c>
      <c r="BE117" s="37">
        <v>1</v>
      </c>
      <c r="BF117" s="37">
        <v>1</v>
      </c>
      <c r="BG117" s="37">
        <v>1</v>
      </c>
      <c r="BH117" s="37">
        <v>1</v>
      </c>
      <c r="BI117" s="37">
        <v>1</v>
      </c>
      <c r="BJ117" s="37">
        <v>1</v>
      </c>
      <c r="BK117" s="37">
        <v>1</v>
      </c>
      <c r="BL117" s="37">
        <v>1</v>
      </c>
      <c r="BM117" s="37">
        <v>1</v>
      </c>
      <c r="BN117" s="37">
        <v>1</v>
      </c>
      <c r="BO117" s="37">
        <v>1</v>
      </c>
      <c r="BP117" s="37">
        <v>1</v>
      </c>
      <c r="BQ117" s="37">
        <v>1</v>
      </c>
      <c r="BR117" s="37">
        <v>1</v>
      </c>
      <c r="BS117" s="37">
        <v>1</v>
      </c>
      <c r="BT117" s="37">
        <v>1</v>
      </c>
      <c r="BU117" s="37">
        <v>1</v>
      </c>
      <c r="BV117" s="37">
        <v>1</v>
      </c>
      <c r="BW117" s="37">
        <v>1</v>
      </c>
      <c r="BX117" s="37">
        <v>1</v>
      </c>
      <c r="BY117" s="37">
        <v>1</v>
      </c>
      <c r="BZ117" s="37">
        <v>1</v>
      </c>
      <c r="CA117" s="37">
        <v>1</v>
      </c>
      <c r="CB117" s="37">
        <v>1</v>
      </c>
      <c r="CC117" s="37">
        <v>1</v>
      </c>
      <c r="CD117" s="37">
        <v>1</v>
      </c>
      <c r="CE117" s="37">
        <v>1</v>
      </c>
      <c r="CF117" s="37">
        <v>1</v>
      </c>
      <c r="CG117" s="37">
        <v>1</v>
      </c>
      <c r="CI117" s="37">
        <v>1</v>
      </c>
      <c r="CJ117" s="37">
        <v>1</v>
      </c>
      <c r="CK117" s="37">
        <v>1</v>
      </c>
      <c r="CL117" s="37">
        <v>1</v>
      </c>
      <c r="CM117" s="37">
        <v>1</v>
      </c>
      <c r="CN117" s="37">
        <v>1</v>
      </c>
      <c r="CO117" s="37">
        <v>1</v>
      </c>
      <c r="CP117" s="37">
        <v>1</v>
      </c>
      <c r="CQ117" s="37">
        <v>1</v>
      </c>
      <c r="CR117" s="37">
        <v>1</v>
      </c>
      <c r="CS117" s="37">
        <v>1</v>
      </c>
      <c r="CT117" s="37">
        <v>1</v>
      </c>
      <c r="CU117" s="37">
        <v>1</v>
      </c>
      <c r="CV117" s="37">
        <v>1</v>
      </c>
      <c r="CW117" s="37">
        <v>1</v>
      </c>
      <c r="CX117" s="37">
        <v>1</v>
      </c>
      <c r="CY117" s="37">
        <v>1</v>
      </c>
      <c r="CZ117" s="37">
        <v>1</v>
      </c>
      <c r="DA117" s="37">
        <v>1</v>
      </c>
      <c r="DB117" s="37">
        <v>1</v>
      </c>
      <c r="DC117" s="37">
        <v>1</v>
      </c>
      <c r="DD117" s="37">
        <v>1</v>
      </c>
      <c r="DE117" s="37">
        <v>1</v>
      </c>
      <c r="DF117" s="37">
        <v>1</v>
      </c>
      <c r="DG117" s="37">
        <v>1</v>
      </c>
      <c r="DH117" s="10"/>
    </row>
    <row r="118" spans="1:112" s="7" customFormat="1">
      <c r="A118" s="17" t="s">
        <v>320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10"/>
    </row>
    <row r="119" spans="1:112" s="7" customFormat="1">
      <c r="A119" s="17" t="s">
        <v>321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10"/>
    </row>
    <row r="120" spans="1:112" s="7" customFormat="1">
      <c r="A120" s="17" t="s">
        <v>322</v>
      </c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10"/>
    </row>
    <row r="121" spans="1:112" s="7" customFormat="1">
      <c r="A121" s="17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10"/>
    </row>
    <row r="122" spans="1:112" s="7" customFormat="1">
      <c r="A122" s="17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10"/>
    </row>
    <row r="123" spans="1:112" s="7" customFormat="1" ht="15.75">
      <c r="A123" s="25" t="s">
        <v>328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10"/>
    </row>
    <row r="124" spans="1:112" s="7" customFormat="1">
      <c r="A124" s="17" t="s">
        <v>329</v>
      </c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10"/>
    </row>
    <row r="125" spans="1:112" s="7" customFormat="1">
      <c r="A125" s="17" t="s">
        <v>330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10"/>
    </row>
    <row r="126" spans="1:112" s="7" customFormat="1">
      <c r="A126" s="17" t="s">
        <v>331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10"/>
    </row>
    <row r="127" spans="1:112" s="7" customFormat="1">
      <c r="A127" s="17" t="s">
        <v>332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10"/>
    </row>
    <row r="128" spans="1:112" s="7" customFormat="1">
      <c r="A128" s="17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10"/>
    </row>
    <row r="129" spans="1:112" s="7" customFormat="1">
      <c r="A129" s="17" t="s">
        <v>333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10"/>
    </row>
    <row r="130" spans="1:112" s="7" customFormat="1">
      <c r="A130" s="17" t="s">
        <v>334</v>
      </c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10"/>
    </row>
    <row r="131" spans="1:112" s="7" customFormat="1">
      <c r="A131" s="17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10"/>
    </row>
    <row r="132" spans="1:112" s="7" customFormat="1" ht="15.75">
      <c r="A132" s="25" t="s">
        <v>335</v>
      </c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10"/>
    </row>
    <row r="133" spans="1:112" s="7" customFormat="1">
      <c r="A133" s="17" t="s">
        <v>336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10"/>
    </row>
    <row r="134" spans="1:112" s="7" customFormat="1">
      <c r="A134" s="17" t="s">
        <v>337</v>
      </c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10"/>
    </row>
    <row r="135" spans="1:112" s="7" customFormat="1">
      <c r="A135" s="17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10"/>
    </row>
    <row r="136" spans="1:112" s="7" customFormat="1">
      <c r="A136" s="17" t="s">
        <v>338</v>
      </c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10"/>
    </row>
    <row r="137" spans="1:112" s="7" customFormat="1">
      <c r="A137" s="17" t="s">
        <v>339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10"/>
    </row>
    <row r="138" spans="1:112" s="7" customFormat="1">
      <c r="A138" s="17" t="s">
        <v>340</v>
      </c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10"/>
    </row>
    <row r="139" spans="1:112" s="7" customFormat="1">
      <c r="A139" s="17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10"/>
    </row>
    <row r="140" spans="1:112" s="7" customFormat="1">
      <c r="A140" s="17" t="s">
        <v>341</v>
      </c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10"/>
    </row>
    <row r="141" spans="1:112" s="7" customFormat="1" ht="13.5" thickBot="1">
      <c r="A141" s="17" t="s">
        <v>342</v>
      </c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10"/>
    </row>
    <row r="142" spans="1:112" s="7" customFormat="1" ht="15.75">
      <c r="A142" s="31" t="s">
        <v>343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2"/>
      <c r="BZ142" s="32"/>
      <c r="CA142" s="32"/>
      <c r="CB142" s="32"/>
      <c r="CC142" s="32"/>
      <c r="CD142" s="32"/>
      <c r="CE142" s="32"/>
      <c r="CF142" s="32"/>
      <c r="CG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10"/>
    </row>
    <row r="143" spans="1:112" s="7" customFormat="1" ht="15.75">
      <c r="A143" s="25" t="s">
        <v>344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10"/>
    </row>
    <row r="144" spans="1:112" s="7" customFormat="1">
      <c r="A144" s="11" t="s">
        <v>345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>
        <f>'Balance Sheet'!P6/1000</f>
        <v>560.63900000000001</v>
      </c>
      <c r="AP144" s="12">
        <f>'Balance Sheet'!Q6/1000</f>
        <v>339.47</v>
      </c>
      <c r="AQ144" s="12">
        <f>'Balance Sheet'!R6/1000</f>
        <v>640.18600000000004</v>
      </c>
      <c r="AR144" s="12">
        <f>'Balance Sheet'!S6/1000</f>
        <v>800.74</v>
      </c>
      <c r="AS144" s="12">
        <f>'Balance Sheet'!T6/1000</f>
        <v>682.85900000000004</v>
      </c>
      <c r="AT144" s="12">
        <f>'Balance Sheet'!U6/1000</f>
        <v>682.85900000000004</v>
      </c>
      <c r="AU144" s="12">
        <f>'Balance Sheet'!V6/1000</f>
        <v>1064.7929999999999</v>
      </c>
      <c r="AV144" s="12">
        <f>'Balance Sheet'!W6/1000</f>
        <v>969.048</v>
      </c>
      <c r="AW144" s="12">
        <f>'Balance Sheet'!X6/1000</f>
        <v>818.20899999999995</v>
      </c>
      <c r="AX144" s="12">
        <f>'Balance Sheet'!Y6/1000</f>
        <v>863.63300000000004</v>
      </c>
      <c r="AY144" s="12">
        <f>'Balance Sheet'!Z6/1000</f>
        <v>863.63300000000004</v>
      </c>
      <c r="AZ144" s="12">
        <f>'Balance Sheet'!AA6/1000</f>
        <v>725.74199999999996</v>
      </c>
      <c r="BA144" s="12">
        <f>'Balance Sheet'!AB6/1000</f>
        <v>498.36099999999999</v>
      </c>
      <c r="BB144" s="12">
        <f>'Balance Sheet'!AC6/1000</f>
        <v>865.09100000000001</v>
      </c>
      <c r="BC144" s="12">
        <f>'Balance Sheet'!AD6/1000</f>
        <v>1665.7560000000001</v>
      </c>
      <c r="BD144" s="12">
        <f>'Balance Sheet'!AE6/1000</f>
        <v>1665.7560000000001</v>
      </c>
      <c r="BE144" s="12">
        <f>'Balance Sheet'!AF6/1000</f>
        <v>1286.115</v>
      </c>
      <c r="BF144" s="12">
        <f>'Balance Sheet'!AG6/1000</f>
        <v>997.11699999999996</v>
      </c>
      <c r="BG144" s="12">
        <f>'Balance Sheet'!AH6/1000</f>
        <v>986.20899999999995</v>
      </c>
      <c r="BH144" s="12">
        <f>'Balance Sheet'!AI6/1000</f>
        <v>1154.595</v>
      </c>
      <c r="BI144" s="12">
        <f>'Balance Sheet'!AJ6/1000</f>
        <v>1154.595</v>
      </c>
      <c r="BJ144" s="12">
        <f>'Balance Sheet'!AK6/1000</f>
        <v>1213.607</v>
      </c>
      <c r="BK144" s="12">
        <f>'Balance Sheet'!AL6/1000</f>
        <v>1568.3420000000001</v>
      </c>
      <c r="BL144" s="12">
        <f>'Balance Sheet'!AM6/1000</f>
        <v>1776.518</v>
      </c>
      <c r="BM144" s="12">
        <f>'Balance Sheet'!AN6/1000</f>
        <v>1827.664</v>
      </c>
      <c r="BN144" s="12">
        <f>'Balance Sheet'!AO6/1000</f>
        <v>1827.664</v>
      </c>
      <c r="BO144" s="12">
        <f>'Balance Sheet'!AP6/1000</f>
        <v>1856.748</v>
      </c>
      <c r="BP144" s="12">
        <f>'Balance Sheet'!AQ6/1000</f>
        <v>1633.5889999999999</v>
      </c>
      <c r="BQ144" s="12">
        <f>'Balance Sheet'!AR6/1000</f>
        <v>1651.5119999999999</v>
      </c>
      <c r="BR144" s="12">
        <f>'Balance Sheet'!AS6/1000</f>
        <v>1712.329</v>
      </c>
      <c r="BS144" s="12">
        <f>'Balance Sheet'!AT6/1000</f>
        <v>1712.329</v>
      </c>
      <c r="BT144" s="12">
        <f>'Balance Sheet'!AU6/1000</f>
        <v>1640.6679999999999</v>
      </c>
      <c r="BU144" s="12">
        <f>'Balance Sheet'!AV6/1000</f>
        <v>1524.0409999999999</v>
      </c>
      <c r="BV144" s="12">
        <f>'Balance Sheet'!AW6/1000</f>
        <v>1581.3810000000001</v>
      </c>
      <c r="BW144" s="12">
        <f>'Balance Sheet'!AX6/1000</f>
        <v>1727.42</v>
      </c>
      <c r="BX144" s="12">
        <f>'Balance Sheet'!AY6/1000</f>
        <v>1727.42</v>
      </c>
      <c r="BY144" s="12">
        <f>'Balance Sheet'!AZ6/1000</f>
        <v>2188.8530000000001</v>
      </c>
      <c r="BZ144" s="12">
        <f>'Balance Sheet'!BA6/1000</f>
        <v>1758.5889999999999</v>
      </c>
      <c r="CA144" s="12">
        <f>'Balance Sheet'!BB6/1000</f>
        <v>1782.93</v>
      </c>
      <c r="CB144" s="12">
        <f>'Balance Sheet'!BC6/1000</f>
        <v>1754.2639999999999</v>
      </c>
      <c r="CC144" s="12">
        <f>'Balance Sheet'!BD6/1000</f>
        <v>1754.2639999999999</v>
      </c>
      <c r="CD144" s="12">
        <f>'Balance Sheet'!BE6/1000</f>
        <v>2021.742</v>
      </c>
      <c r="CE144" s="12">
        <f>'Balance Sheet'!BF6/1000</f>
        <v>2241.1129999999998</v>
      </c>
      <c r="CF144" s="12">
        <f>'Balance Sheet'!BG6/1000</f>
        <v>2524.1559999999999</v>
      </c>
      <c r="CG144" s="12">
        <f>'Balance Sheet'!BH6/1000</f>
        <v>2233.585</v>
      </c>
      <c r="CI144" s="12">
        <f>'Balance Sheet'!BJ6/1000</f>
        <v>2140.837</v>
      </c>
      <c r="CJ144" s="12">
        <f>'Balance Sheet'!BK6/1000</f>
        <v>1880.383</v>
      </c>
      <c r="CK144" s="12">
        <f>'Balance Sheet'!BL6/1000</f>
        <v>1582.0740000000001</v>
      </c>
      <c r="CL144" s="12">
        <f>'Balance Sheet'!BM6/1000</f>
        <v>1698.2909999999999</v>
      </c>
      <c r="CM144" s="12">
        <f>'Balance Sheet'!BN6/1000</f>
        <v>1698.2909999999999</v>
      </c>
      <c r="CN144" s="12">
        <f>'Balance Sheet'!BO6/1000</f>
        <v>1976.9469999999999</v>
      </c>
      <c r="CO144" s="12">
        <f>'Balance Sheet'!BP6/1000</f>
        <v>1631.905</v>
      </c>
      <c r="CP144" s="12">
        <f>'Balance Sheet'!BQ6/1000</f>
        <v>1614.038</v>
      </c>
      <c r="CQ144" s="12">
        <f>'Balance Sheet'!BR6/1000</f>
        <v>1362.761</v>
      </c>
      <c r="CR144" s="12">
        <f>'Balance Sheet'!BS6/1000</f>
        <v>1362.761</v>
      </c>
      <c r="CS144" s="12">
        <f>'Balance Sheet'!BT6/1000</f>
        <v>1115.54</v>
      </c>
      <c r="CT144" s="12">
        <f>'Balance Sheet'!BU6/1000</f>
        <v>1527.124</v>
      </c>
      <c r="CU144" s="12">
        <f>'Balance Sheet'!BV6/1000</f>
        <v>2139.828</v>
      </c>
      <c r="CV144" s="12">
        <f>'Balance Sheet'!BW6/1000</f>
        <v>1548.6569999999999</v>
      </c>
      <c r="CW144" s="12">
        <f>'Balance Sheet'!BX6/1000</f>
        <v>1548.6569999999999</v>
      </c>
      <c r="CX144" s="12">
        <f>'Balance Sheet'!BY6/1000</f>
        <v>1436.1949999999999</v>
      </c>
      <c r="CY144" s="12">
        <f>'Balance Sheet'!BZ6/1000</f>
        <v>1528.116</v>
      </c>
      <c r="CZ144" s="12">
        <f>'Balance Sheet'!CA6/1000</f>
        <v>1761.413</v>
      </c>
      <c r="DA144" s="12">
        <f>'Balance Sheet'!CB6/1000</f>
        <v>1663.1679999999999</v>
      </c>
      <c r="DB144" s="12">
        <f>'Balance Sheet'!CC6/1000</f>
        <v>1663.1679999999999</v>
      </c>
      <c r="DC144" s="12">
        <f>'Balance Sheet'!CD6/1000</f>
        <v>1672.37</v>
      </c>
      <c r="DD144" s="12">
        <f>'Balance Sheet'!CE6/1000</f>
        <v>1993.944</v>
      </c>
      <c r="DE144" s="12">
        <f>'Balance Sheet'!CF6/1000</f>
        <v>2396.1970000000001</v>
      </c>
      <c r="DF144" s="12">
        <f>'Balance Sheet'!CG6/1000</f>
        <v>2401.3380000000002</v>
      </c>
      <c r="DG144" s="12">
        <f>'Balance Sheet'!CH6/1000</f>
        <v>2401.3380000000002</v>
      </c>
      <c r="DH144" s="10"/>
    </row>
    <row r="145" spans="1:112" s="7" customFormat="1">
      <c r="A145" s="11" t="s">
        <v>346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>
        <f>'Balance Sheet'!P8/1000</f>
        <v>865.27300000000002</v>
      </c>
      <c r="AP145" s="12">
        <f>'Balance Sheet'!Q8/1000</f>
        <v>938.25599999999997</v>
      </c>
      <c r="AQ145" s="12">
        <f>'Balance Sheet'!R8/1000</f>
        <v>1016.199</v>
      </c>
      <c r="AR145" s="12">
        <f>'Balance Sheet'!S8/1000</f>
        <v>1166.943</v>
      </c>
      <c r="AS145" s="12">
        <f>'Balance Sheet'!T8/1000</f>
        <v>1466.5920000000001</v>
      </c>
      <c r="AT145" s="12">
        <f>'Balance Sheet'!U8/1000</f>
        <v>1466.5920000000001</v>
      </c>
      <c r="AU145" s="12">
        <f>'Balance Sheet'!V8/1000</f>
        <v>1647.7619999999999</v>
      </c>
      <c r="AV145" s="12">
        <f>'Balance Sheet'!W8/1000</f>
        <v>2010.2819999999999</v>
      </c>
      <c r="AW145" s="12">
        <f>'Balance Sheet'!X8/1000</f>
        <v>2259.078</v>
      </c>
      <c r="AX145" s="12">
        <f>'Balance Sheet'!Y8/1000</f>
        <v>2661.0320000000002</v>
      </c>
      <c r="AY145" s="12">
        <f>'Balance Sheet'!Z8/1000</f>
        <v>2661.0320000000002</v>
      </c>
      <c r="AZ145" s="12">
        <f>'Balance Sheet'!AA8/1000</f>
        <v>2838.6770000000001</v>
      </c>
      <c r="BA145" s="12">
        <f>'Balance Sheet'!AB8/1000</f>
        <v>3241.3870000000002</v>
      </c>
      <c r="BB145" s="12">
        <f>'Balance Sheet'!AC8/1000</f>
        <v>3879.1320000000001</v>
      </c>
      <c r="BC145" s="12">
        <f>'Balance Sheet'!AD8/1000</f>
        <v>4548.9560000000001</v>
      </c>
      <c r="BD145" s="12">
        <f>'Balance Sheet'!AE8/1000</f>
        <v>4548.9560000000001</v>
      </c>
      <c r="BE145" s="12">
        <f>'Balance Sheet'!AF8/1000</f>
        <v>5226.7030000000004</v>
      </c>
      <c r="BF145" s="12">
        <f>'Balance Sheet'!AG8/1000</f>
        <v>5535.2110000000002</v>
      </c>
      <c r="BG145" s="12">
        <f>'Balance Sheet'!AH8/1000</f>
        <v>5835.3490000000002</v>
      </c>
      <c r="BH145" s="12">
        <f>'Balance Sheet'!AI8/1000</f>
        <v>6005.0839999999998</v>
      </c>
      <c r="BI145" s="12">
        <f>'Balance Sheet'!AJ8/1000</f>
        <v>6005.0839999999998</v>
      </c>
      <c r="BJ145" s="12">
        <f>'Balance Sheet'!AK8/1000</f>
        <v>6134.7879999999996</v>
      </c>
      <c r="BK145" s="12">
        <f>'Balance Sheet'!AL8/1000</f>
        <v>6208.4350000000004</v>
      </c>
      <c r="BL145" s="12">
        <f>'Balance Sheet'!AM8/1000</f>
        <v>6235.6390000000001</v>
      </c>
      <c r="BM145" s="12">
        <f>'Balance Sheet'!AN8/1000</f>
        <v>6409.0680000000002</v>
      </c>
      <c r="BN145" s="12">
        <f>'Balance Sheet'!AO8/1000</f>
        <v>6409.0680000000002</v>
      </c>
      <c r="BO145" s="12">
        <f>'Balance Sheet'!AP8/1000</f>
        <v>6566.6170000000002</v>
      </c>
      <c r="BP145" s="12">
        <f>'Balance Sheet'!AQ8/1000</f>
        <v>6502.7340000000004</v>
      </c>
      <c r="BQ145" s="12">
        <f>'Balance Sheet'!AR8/1000</f>
        <v>6433.0640000000003</v>
      </c>
      <c r="BR145" s="12">
        <f>'Balance Sheet'!AS8/1000</f>
        <v>5900.65</v>
      </c>
      <c r="BS145" s="12">
        <f>'Balance Sheet'!AT8/1000</f>
        <v>5900.65</v>
      </c>
      <c r="BT145" s="12">
        <f>'Balance Sheet'!AU8/1000</f>
        <v>5708.7389999999996</v>
      </c>
      <c r="BU145" s="12">
        <f>'Balance Sheet'!AV8/1000</f>
        <v>5746.0129999999999</v>
      </c>
      <c r="BV145" s="12">
        <f>'Balance Sheet'!AW8/1000</f>
        <v>5818.5010000000002</v>
      </c>
      <c r="BW145" s="12">
        <f>'Balance Sheet'!AX8/1000</f>
        <v>5622.3580000000002</v>
      </c>
      <c r="BX145" s="12">
        <f>'Balance Sheet'!AY8/1000</f>
        <v>5622.3580000000002</v>
      </c>
      <c r="BY145" s="12">
        <f>'Balance Sheet'!AZ8/1000</f>
        <v>5382.7150000000001</v>
      </c>
      <c r="BZ145" s="12">
        <f>'Balance Sheet'!BA8/1000</f>
        <v>5352.79</v>
      </c>
      <c r="CA145" s="12">
        <f>'Balance Sheet'!BB8/1000</f>
        <v>5075.277</v>
      </c>
      <c r="CB145" s="12">
        <f>'Balance Sheet'!BC8/1000</f>
        <v>4929.9859999999999</v>
      </c>
      <c r="CC145" s="12">
        <f>'Balance Sheet'!BD8/1000</f>
        <v>4929.9859999999999</v>
      </c>
      <c r="CD145" s="12">
        <f>'Balance Sheet'!BE8/1000</f>
        <v>4496.7259999999997</v>
      </c>
      <c r="CE145" s="12">
        <f>'Balance Sheet'!BF8/1000</f>
        <v>4157.027</v>
      </c>
      <c r="CF145" s="12">
        <f>'Balance Sheet'!BG8/1000</f>
        <v>4025.8820000000001</v>
      </c>
      <c r="CG145" s="12">
        <f>'Balance Sheet'!BH8/1000</f>
        <v>3846.2919999999999</v>
      </c>
      <c r="CI145" s="12">
        <f>'Balance Sheet'!BJ8/1000</f>
        <v>3933.6759999999999</v>
      </c>
      <c r="CJ145" s="12">
        <f>'Balance Sheet'!BK8/1000</f>
        <v>3580.1759999999999</v>
      </c>
      <c r="CK145" s="12">
        <f>'Balance Sheet'!BL8/1000</f>
        <v>3566.502</v>
      </c>
      <c r="CL145" s="12">
        <f>'Balance Sheet'!BM8/1000</f>
        <v>3379.7919999999999</v>
      </c>
      <c r="CM145" s="12">
        <f>'Balance Sheet'!BN8/1000</f>
        <v>3379.7919999999999</v>
      </c>
      <c r="CN145" s="12">
        <f>'Balance Sheet'!BO8/1000</f>
        <v>3261.8310000000001</v>
      </c>
      <c r="CO145" s="12">
        <f>'Balance Sheet'!BP8/1000</f>
        <v>2939.2020000000002</v>
      </c>
      <c r="CP145" s="12">
        <f>'Balance Sheet'!BQ8/1000</f>
        <v>2699.0929999999998</v>
      </c>
      <c r="CQ145" s="12">
        <f>'Balance Sheet'!BR8/1000</f>
        <v>2667.2339999999999</v>
      </c>
      <c r="CR145" s="12">
        <f>'Balance Sheet'!BS8/1000</f>
        <v>2667.2339999999999</v>
      </c>
      <c r="CS145" s="12">
        <f>'Balance Sheet'!BT8/1000</f>
        <v>2270.779</v>
      </c>
      <c r="CT145" s="12">
        <f>'Balance Sheet'!BU8/1000</f>
        <v>2141.5369999999998</v>
      </c>
      <c r="CU145" s="12">
        <f>'Balance Sheet'!BV8/1000</f>
        <v>2125.0990000000002</v>
      </c>
      <c r="CV145" s="12">
        <f>'Balance Sheet'!BW8/1000</f>
        <v>1948.816</v>
      </c>
      <c r="CW145" s="12">
        <f>'Balance Sheet'!BX8/1000</f>
        <v>1948.816</v>
      </c>
      <c r="CX145" s="12">
        <f>'Balance Sheet'!BY8/1000</f>
        <v>1969.463</v>
      </c>
      <c r="CY145" s="12">
        <f>'Balance Sheet'!BZ8/1000</f>
        <v>1951.1869999999999</v>
      </c>
      <c r="CZ145" s="12">
        <f>'Balance Sheet'!CA8/1000</f>
        <v>1949.9670000000001</v>
      </c>
      <c r="DA145" s="12">
        <f>'Balance Sheet'!CB8/1000</f>
        <v>2069.4740000000002</v>
      </c>
      <c r="DB145" s="12">
        <f>'Balance Sheet'!CC8/1000</f>
        <v>2069.4740000000002</v>
      </c>
      <c r="DC145" s="12">
        <f>'Balance Sheet'!CD8/1000</f>
        <v>2064.3440000000001</v>
      </c>
      <c r="DD145" s="12">
        <f>'Balance Sheet'!CE8/1000</f>
        <v>2184.4699999999998</v>
      </c>
      <c r="DE145" s="12">
        <f>'Balance Sheet'!CF8/1000</f>
        <v>2066.837</v>
      </c>
      <c r="DF145" s="12">
        <f>'Balance Sheet'!CG8/1000</f>
        <v>2063.5540000000001</v>
      </c>
      <c r="DG145" s="12">
        <f>'Balance Sheet'!CH8/1000</f>
        <v>2063.5540000000001</v>
      </c>
      <c r="DH145" s="10"/>
    </row>
    <row r="146" spans="1:112" s="7" customFormat="1">
      <c r="A146" s="11" t="s">
        <v>162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>
        <f>'Balance Sheet'!P11/1000</f>
        <v>976.18100000000004</v>
      </c>
      <c r="AP146" s="12">
        <f>'Balance Sheet'!Q11/1000</f>
        <v>1054.9290000000001</v>
      </c>
      <c r="AQ146" s="12">
        <f>'Balance Sheet'!R11/1000</f>
        <v>1107.223</v>
      </c>
      <c r="AR146" s="12">
        <f>'Balance Sheet'!S11/1000</f>
        <v>1315.1679999999999</v>
      </c>
      <c r="AS146" s="12">
        <f>'Balance Sheet'!T11/1000</f>
        <v>1600.296</v>
      </c>
      <c r="AT146" s="12">
        <f>'Balance Sheet'!U11/1000</f>
        <v>1600.296</v>
      </c>
      <c r="AU146" s="12">
        <f>'Balance Sheet'!V11/1000</f>
        <v>1493.4179999999999</v>
      </c>
      <c r="AV146" s="12">
        <f>'Balance Sheet'!W11/1000</f>
        <v>1639.4690000000001</v>
      </c>
      <c r="AW146" s="12">
        <f>'Balance Sheet'!X11/1000</f>
        <v>2078.3690000000001</v>
      </c>
      <c r="AX146" s="12">
        <f>'Balance Sheet'!Y11/1000</f>
        <v>2925.8609999999999</v>
      </c>
      <c r="AY146" s="12">
        <f>'Balance Sheet'!Z11/1000</f>
        <v>2925.8609999999999</v>
      </c>
      <c r="AZ146" s="12">
        <f>'Balance Sheet'!AA11/1000</f>
        <v>3077.0940000000001</v>
      </c>
      <c r="BA146" s="12">
        <f>'Balance Sheet'!AB11/1000</f>
        <v>2993.1289999999999</v>
      </c>
      <c r="BB146" s="12">
        <f>'Balance Sheet'!AC11/1000</f>
        <v>3147.6260000000002</v>
      </c>
      <c r="BC146" s="12">
        <f>'Balance Sheet'!AD11/1000</f>
        <v>3361.7550000000001</v>
      </c>
      <c r="BD146" s="12">
        <f>'Balance Sheet'!AE11/1000</f>
        <v>3361.7550000000001</v>
      </c>
      <c r="BE146" s="12">
        <f>'Balance Sheet'!AF11/1000</f>
        <v>3252.7840000000001</v>
      </c>
      <c r="BF146" s="12">
        <f>'Balance Sheet'!AG11/1000</f>
        <v>3507.1309999999999</v>
      </c>
      <c r="BG146" s="12">
        <f>'Balance Sheet'!AH11/1000</f>
        <v>3605.5619999999999</v>
      </c>
      <c r="BH146" s="12">
        <f>'Balance Sheet'!AI11/1000</f>
        <v>3829.3150000000001</v>
      </c>
      <c r="BI146" s="12">
        <f>'Balance Sheet'!AJ11/1000</f>
        <v>3829.3150000000001</v>
      </c>
      <c r="BJ146" s="12">
        <f>'Balance Sheet'!AK11/1000</f>
        <v>3937.5219999999999</v>
      </c>
      <c r="BK146" s="12">
        <f>'Balance Sheet'!AL11/1000</f>
        <v>4002.1419999999998</v>
      </c>
      <c r="BL146" s="12">
        <f>'Balance Sheet'!AM11/1000</f>
        <v>4321.598</v>
      </c>
      <c r="BM146" s="12">
        <f>'Balance Sheet'!AN11/1000</f>
        <v>3924.0279999999998</v>
      </c>
      <c r="BN146" s="12">
        <f>'Balance Sheet'!AO11/1000</f>
        <v>3924.0279999999998</v>
      </c>
      <c r="BO146" s="12">
        <f>'Balance Sheet'!AP11/1000</f>
        <v>3786.5010000000002</v>
      </c>
      <c r="BP146" s="12">
        <f>'Balance Sheet'!AQ11/1000</f>
        <v>3967.4650000000001</v>
      </c>
      <c r="BQ146" s="12">
        <f>'Balance Sheet'!AR11/1000</f>
        <v>4019.502</v>
      </c>
      <c r="BR146" s="12">
        <f>'Balance Sheet'!AS11/1000</f>
        <v>3784.2440000000001</v>
      </c>
      <c r="BS146" s="12">
        <f>'Balance Sheet'!AT11/1000</f>
        <v>3784.2440000000001</v>
      </c>
      <c r="BT146" s="12">
        <f>'Balance Sheet'!AU11/1000</f>
        <v>3828.9319999999998</v>
      </c>
      <c r="BU146" s="12">
        <f>'Balance Sheet'!AV11/1000</f>
        <v>4020.0929999999998</v>
      </c>
      <c r="BV146" s="12">
        <f>'Balance Sheet'!AW11/1000</f>
        <v>4243.7619999999997</v>
      </c>
      <c r="BW146" s="12">
        <f>'Balance Sheet'!AX11/1000</f>
        <v>4780.6120000000001</v>
      </c>
      <c r="BX146" s="12">
        <f>'Balance Sheet'!AY11/1000</f>
        <v>4780.6120000000001</v>
      </c>
      <c r="BY146" s="12">
        <f>'Balance Sheet'!AZ11/1000</f>
        <v>4687.6580000000004</v>
      </c>
      <c r="BZ146" s="12">
        <f>'Balance Sheet'!BA11/1000</f>
        <v>4692.9660000000003</v>
      </c>
      <c r="CA146" s="12">
        <f>'Balance Sheet'!BB11/1000</f>
        <v>5079.6530000000002</v>
      </c>
      <c r="CB146" s="12">
        <f>'Balance Sheet'!BC11/1000</f>
        <v>5112.9489999999996</v>
      </c>
      <c r="CC146" s="12">
        <f>'Balance Sheet'!BD11/1000</f>
        <v>5112.9489999999996</v>
      </c>
      <c r="CD146" s="12">
        <f>'Balance Sheet'!BE11/1000</f>
        <v>5203.2160000000003</v>
      </c>
      <c r="CE146" s="12">
        <f>'Balance Sheet'!BF11/1000</f>
        <v>5300.5039999999999</v>
      </c>
      <c r="CF146" s="12">
        <f>'Balance Sheet'!BG11/1000</f>
        <v>5272.6540000000005</v>
      </c>
      <c r="CG146" s="12">
        <f>'Balance Sheet'!BH11/1000</f>
        <v>5093.6139999999996</v>
      </c>
      <c r="CI146" s="12">
        <f>'Balance Sheet'!BJ11/1000</f>
        <v>5040.5559999999996</v>
      </c>
      <c r="CJ146" s="12">
        <f>'Balance Sheet'!BK11/1000</f>
        <v>5275.5959999999995</v>
      </c>
      <c r="CK146" s="12">
        <f>'Balance Sheet'!BL11/1000</f>
        <v>5333.674</v>
      </c>
      <c r="CL146" s="12">
        <f>'Balance Sheet'!BM11/1000</f>
        <v>5071.8599999999997</v>
      </c>
      <c r="CM146" s="12">
        <f>'Balance Sheet'!BN11/1000</f>
        <v>5071.8599999999997</v>
      </c>
      <c r="CN146" s="12">
        <f>'Balance Sheet'!BO11/1000</f>
        <v>4996.3109999999997</v>
      </c>
      <c r="CO146" s="12">
        <f>'Balance Sheet'!BP11/1000</f>
        <v>5109.951</v>
      </c>
      <c r="CP146" s="12">
        <f>'Balance Sheet'!BQ11/1000</f>
        <v>5072.7209999999995</v>
      </c>
      <c r="CQ146" s="12">
        <f>'Balance Sheet'!BR11/1000</f>
        <v>4749.7550000000001</v>
      </c>
      <c r="CR146" s="12">
        <f>'Balance Sheet'!BS11/1000</f>
        <v>4749.7550000000001</v>
      </c>
      <c r="CS146" s="12">
        <f>'Balance Sheet'!BT11/1000</f>
        <v>4569.5519999999997</v>
      </c>
      <c r="CT146" s="12">
        <f>'Balance Sheet'!BU11/1000</f>
        <v>4683.7070000000003</v>
      </c>
      <c r="CU146" s="12">
        <f>'Balance Sheet'!BV11/1000</f>
        <v>4685.4080000000004</v>
      </c>
      <c r="CV146" s="12">
        <f>'Balance Sheet'!BW11/1000</f>
        <v>4716.9219999999996</v>
      </c>
      <c r="CW146" s="12">
        <f>'Balance Sheet'!BX11/1000</f>
        <v>4716.9219999999996</v>
      </c>
      <c r="CX146" s="12">
        <f>'Balance Sheet'!BY11/1000</f>
        <v>4788.4470000000001</v>
      </c>
      <c r="CY146" s="12">
        <f>'Balance Sheet'!BZ11/1000</f>
        <v>4768.0320000000002</v>
      </c>
      <c r="CZ146" s="12">
        <f>'Balance Sheet'!CA11/1000</f>
        <v>4649.5540000000001</v>
      </c>
      <c r="DA146" s="12">
        <f>'Balance Sheet'!CB11/1000</f>
        <v>4633.7479999999996</v>
      </c>
      <c r="DB146" s="12">
        <f>'Balance Sheet'!CC11/1000</f>
        <v>4633.7479999999996</v>
      </c>
      <c r="DC146" s="12">
        <f>'Balance Sheet'!CD11/1000</f>
        <v>4869.6440000000002</v>
      </c>
      <c r="DD146" s="12">
        <f>'Balance Sheet'!CE11/1000</f>
        <v>5004.2330000000002</v>
      </c>
      <c r="DE146" s="12">
        <f>'Balance Sheet'!CF11/1000</f>
        <v>3895.8519999999999</v>
      </c>
      <c r="DF146" s="12">
        <f>'Balance Sheet'!CG11/1000</f>
        <v>4041.587</v>
      </c>
      <c r="DG146" s="12">
        <f>'Balance Sheet'!CH11/1000</f>
        <v>4041.587</v>
      </c>
      <c r="DH146" s="10"/>
    </row>
    <row r="147" spans="1:112" s="7" customFormat="1">
      <c r="A147" s="11" t="s">
        <v>347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>
        <f>'Balance Sheet'!P15/1000+'Balance Sheet'!P16/1000+'Balance Sheet'!P17/1000+'Balance Sheet'!P18/1000+'Balance Sheet'!P7/1000</f>
        <v>428.15899999999999</v>
      </c>
      <c r="AP147" s="12">
        <f>'Balance Sheet'!Q15/1000+'Balance Sheet'!Q16/1000+'Balance Sheet'!Q17/1000+'Balance Sheet'!Q18/1000+'Balance Sheet'!Q7/1000</f>
        <v>479.50700000000006</v>
      </c>
      <c r="AQ147" s="12">
        <f>'Balance Sheet'!R15/1000+'Balance Sheet'!R16/1000+'Balance Sheet'!R17/1000+'Balance Sheet'!R18/1000+'Balance Sheet'!R7/1000</f>
        <v>777.84799999999996</v>
      </c>
      <c r="AR147" s="12">
        <f>'Balance Sheet'!S15/1000+'Balance Sheet'!S16/1000+'Balance Sheet'!S17/1000+'Balance Sheet'!S18/1000+'Balance Sheet'!S7/1000</f>
        <v>542.4</v>
      </c>
      <c r="AS147" s="12">
        <f>'Balance Sheet'!T15/1000+'Balance Sheet'!T16/1000+'Balance Sheet'!T17/1000+'Balance Sheet'!T18/1000+'Balance Sheet'!T7/1000</f>
        <v>741.82899999999995</v>
      </c>
      <c r="AT147" s="12">
        <f>'Balance Sheet'!U15/1000+'Balance Sheet'!U16/1000+'Balance Sheet'!U17/1000+'Balance Sheet'!U18/1000+'Balance Sheet'!U7/1000</f>
        <v>741.82899999999995</v>
      </c>
      <c r="AU147" s="12">
        <f>'Balance Sheet'!V15/1000+'Balance Sheet'!V16/1000+'Balance Sheet'!V17/1000+'Balance Sheet'!V18/1000+'Balance Sheet'!V7/1000</f>
        <v>679.29200000000003</v>
      </c>
      <c r="AV147" s="12">
        <f>'Balance Sheet'!W15/1000+'Balance Sheet'!W16/1000+'Balance Sheet'!W17/1000+'Balance Sheet'!W18/1000+'Balance Sheet'!W7/1000</f>
        <v>727.70799999999997</v>
      </c>
      <c r="AW147" s="12">
        <f>'Balance Sheet'!X15/1000+'Balance Sheet'!X16/1000+'Balance Sheet'!X17/1000+'Balance Sheet'!X18/1000+'Balance Sheet'!X7/1000</f>
        <v>721.39400000000001</v>
      </c>
      <c r="AX147" s="12">
        <f>'Balance Sheet'!Y15/1000+'Balance Sheet'!Y16/1000+'Balance Sheet'!Y17/1000+'Balance Sheet'!Y18/1000+'Balance Sheet'!Y7/1000</f>
        <v>701.64300000000003</v>
      </c>
      <c r="AY147" s="12">
        <f>'Balance Sheet'!Z15/1000+'Balance Sheet'!Z16/1000+'Balance Sheet'!Z17/1000+'Balance Sheet'!Z18/1000+'Balance Sheet'!Z7/1000</f>
        <v>701.64300000000003</v>
      </c>
      <c r="AZ147" s="12">
        <f>'Balance Sheet'!AA15/1000+'Balance Sheet'!AA16/1000+'Balance Sheet'!AA17/1000+'Balance Sheet'!AA18/1000+'Balance Sheet'!AA7/1000</f>
        <v>709.97800000000007</v>
      </c>
      <c r="BA147" s="12">
        <f>'Balance Sheet'!AB15/1000+'Balance Sheet'!AB16/1000+'Balance Sheet'!AB17/1000+'Balance Sheet'!AB18/1000+'Balance Sheet'!AB7/1000</f>
        <v>718.44100000000003</v>
      </c>
      <c r="BB147" s="12">
        <f>'Balance Sheet'!AC15/1000+'Balance Sheet'!AC16/1000+'Balance Sheet'!AC17/1000+'Balance Sheet'!AC18/1000+'Balance Sheet'!AC7/1000</f>
        <v>707.73399999999992</v>
      </c>
      <c r="BC147" s="12">
        <f>'Balance Sheet'!AD15/1000+'Balance Sheet'!AD16/1000+'Balance Sheet'!AD17/1000+'Balance Sheet'!AD18/1000+'Balance Sheet'!AD7/1000</f>
        <v>720.69599999999991</v>
      </c>
      <c r="BD147" s="12">
        <f>'Balance Sheet'!AE15/1000+'Balance Sheet'!AE16/1000+'Balance Sheet'!AE17/1000+'Balance Sheet'!AE18/1000+'Balance Sheet'!AE7/1000</f>
        <v>720.69599999999991</v>
      </c>
      <c r="BE147" s="12">
        <f>'Balance Sheet'!AF15/1000+'Balance Sheet'!AF16/1000+'Balance Sheet'!AF17/1000+'Balance Sheet'!AF18/1000+'Balance Sheet'!AF7/1000</f>
        <v>857.66599999999994</v>
      </c>
      <c r="BF147" s="12">
        <f>'Balance Sheet'!AG15/1000+'Balance Sheet'!AG16/1000+'Balance Sheet'!AG17/1000+'Balance Sheet'!AG18/1000+'Balance Sheet'!AG7/1000</f>
        <v>926.7940000000001</v>
      </c>
      <c r="BG147" s="12">
        <f>'Balance Sheet'!AH15/1000+'Balance Sheet'!AH16/1000+'Balance Sheet'!AH17/1000+'Balance Sheet'!AH18/1000+'Balance Sheet'!AH7/1000</f>
        <v>905.08600000000001</v>
      </c>
      <c r="BH147" s="12">
        <f>'Balance Sheet'!AI15/1000+'Balance Sheet'!AI16/1000+'Balance Sheet'!AI17/1000+'Balance Sheet'!AI18/1000+'Balance Sheet'!AI7/1000</f>
        <v>787.97500000000002</v>
      </c>
      <c r="BI147" s="12">
        <f>'Balance Sheet'!AJ15/1000+'Balance Sheet'!AJ16/1000+'Balance Sheet'!AJ17/1000+'Balance Sheet'!AJ18/1000+'Balance Sheet'!AJ7/1000</f>
        <v>787.97500000000002</v>
      </c>
      <c r="BJ147" s="12">
        <f>'Balance Sheet'!AK15/1000+'Balance Sheet'!AK16/1000+'Balance Sheet'!AK17/1000+'Balance Sheet'!AK18/1000+'Balance Sheet'!AK7/1000</f>
        <v>947.90700000000004</v>
      </c>
      <c r="BK147" s="12">
        <f>'Balance Sheet'!AL15/1000+'Balance Sheet'!AL16/1000+'Balance Sheet'!AL17/1000+'Balance Sheet'!AL18/1000+'Balance Sheet'!AL7/1000</f>
        <v>898.84300000000007</v>
      </c>
      <c r="BL147" s="12">
        <f>'Balance Sheet'!AM15/1000+'Balance Sheet'!AM16/1000+'Balance Sheet'!AM17/1000+'Balance Sheet'!AM18/1000+'Balance Sheet'!AM7/1000</f>
        <v>885.572</v>
      </c>
      <c r="BM147" s="12">
        <f>'Balance Sheet'!AN15/1000+'Balance Sheet'!AN16/1000+'Balance Sheet'!AN17/1000+'Balance Sheet'!AN18/1000+'Balance Sheet'!AN7/1000</f>
        <v>1191.288</v>
      </c>
      <c r="BN147" s="12">
        <f>'Balance Sheet'!AO15/1000+'Balance Sheet'!AO16/1000+'Balance Sheet'!AO17/1000+'Balance Sheet'!AO18/1000+'Balance Sheet'!AO7/1000</f>
        <v>1191.288</v>
      </c>
      <c r="BO147" s="12">
        <f>'Balance Sheet'!AP15/1000+'Balance Sheet'!AP16/1000+'Balance Sheet'!AP17/1000+'Balance Sheet'!AP18/1000+'Balance Sheet'!AP7/1000</f>
        <v>1036.6999999999998</v>
      </c>
      <c r="BP147" s="12">
        <f>'Balance Sheet'!AQ15/1000+'Balance Sheet'!AQ16/1000+'Balance Sheet'!AQ17/1000+'Balance Sheet'!AQ18/1000+'Balance Sheet'!AQ7/1000</f>
        <v>1218.8690000000001</v>
      </c>
      <c r="BQ147" s="12">
        <f>'Balance Sheet'!AR15/1000+'Balance Sheet'!AR16/1000+'Balance Sheet'!AR17/1000+'Balance Sheet'!AR18/1000+'Balance Sheet'!AR7/1000</f>
        <v>1244.366</v>
      </c>
      <c r="BR147" s="12">
        <f>'Balance Sheet'!AS15/1000+'Balance Sheet'!AS16/1000+'Balance Sheet'!AS17/1000+'Balance Sheet'!AS18/1000+'Balance Sheet'!AS7/1000</f>
        <v>1293.0529999999999</v>
      </c>
      <c r="BS147" s="12">
        <f>'Balance Sheet'!AT15/1000+'Balance Sheet'!AT16/1000+'Balance Sheet'!AT17/1000+'Balance Sheet'!AT18/1000+'Balance Sheet'!AT7/1000</f>
        <v>1293.0529999999999</v>
      </c>
      <c r="BT147" s="12">
        <f>'Balance Sheet'!AU15/1000+'Balance Sheet'!AU16/1000+'Balance Sheet'!AU17/1000+'Balance Sheet'!AU18/1000+'Balance Sheet'!AU7/1000</f>
        <v>1422.2910000000002</v>
      </c>
      <c r="BU147" s="12">
        <f>'Balance Sheet'!AV15/1000+'Balance Sheet'!AV16/1000+'Balance Sheet'!AV17/1000+'Balance Sheet'!AV18/1000+'Balance Sheet'!AV7/1000</f>
        <v>1414.4429999999998</v>
      </c>
      <c r="BV147" s="12">
        <f>'Balance Sheet'!AW15/1000+'Balance Sheet'!AW16/1000+'Balance Sheet'!AW17/1000+'Balance Sheet'!AW18/1000+'Balance Sheet'!AW7/1000</f>
        <v>1466.962</v>
      </c>
      <c r="BW147" s="12">
        <f>'Balance Sheet'!AX15/1000+'Balance Sheet'!AX16/1000+'Balance Sheet'!AX17/1000+'Balance Sheet'!AX18/1000+'Balance Sheet'!AX7/1000</f>
        <v>1301.4360000000001</v>
      </c>
      <c r="BX147" s="12">
        <f>'Balance Sheet'!AY15/1000+'Balance Sheet'!AY16/1000+'Balance Sheet'!AY17/1000+'Balance Sheet'!AY18/1000+'Balance Sheet'!AY7/1000</f>
        <v>1301.4360000000001</v>
      </c>
      <c r="BY147" s="12">
        <f>'Balance Sheet'!AZ15/1000+'Balance Sheet'!AZ16/1000+'Balance Sheet'!AZ17/1000+'Balance Sheet'!AZ18/1000+'Balance Sheet'!AZ7/1000</f>
        <v>1185.9490000000001</v>
      </c>
      <c r="BZ147" s="12">
        <f>'Balance Sheet'!BA15/1000+'Balance Sheet'!BA16/1000+'Balance Sheet'!BA17/1000+'Balance Sheet'!BA18/1000+'Balance Sheet'!BA7/1000</f>
        <v>1118.8110000000001</v>
      </c>
      <c r="CA147" s="12">
        <f>'Balance Sheet'!BB15/1000+'Balance Sheet'!BB16/1000+'Balance Sheet'!BB17/1000+'Balance Sheet'!BB18/1000+'Balance Sheet'!BB7/1000</f>
        <v>1036.4160000000002</v>
      </c>
      <c r="CB147" s="12">
        <f>'Balance Sheet'!BC15/1000+'Balance Sheet'!BC16/1000+'Balance Sheet'!BC17/1000+'Balance Sheet'!BC18/1000+'Balance Sheet'!BC7/1000</f>
        <v>656.58900000000006</v>
      </c>
      <c r="CC147" s="12">
        <f>'Balance Sheet'!BD15/1000+'Balance Sheet'!BD16/1000+'Balance Sheet'!BD17/1000+'Balance Sheet'!BD18/1000+'Balance Sheet'!BD7/1000</f>
        <v>656.58900000000006</v>
      </c>
      <c r="CD147" s="12">
        <f>'Balance Sheet'!BE15/1000+'Balance Sheet'!BE16/1000+'Balance Sheet'!BE17/1000+'Balance Sheet'!BE18/1000+'Balance Sheet'!BE7/1000</f>
        <v>685.67600000000004</v>
      </c>
      <c r="CE147" s="12">
        <f>'Balance Sheet'!BF15/1000+'Balance Sheet'!BF16/1000+'Balance Sheet'!BF17/1000+'Balance Sheet'!BF18/1000+'Balance Sheet'!BF7/1000</f>
        <v>592.27700000000004</v>
      </c>
      <c r="CF147" s="12">
        <f>'Balance Sheet'!BG15/1000+'Balance Sheet'!BG16/1000+'Balance Sheet'!BG17/1000+'Balance Sheet'!BG18/1000+'Balance Sheet'!BG7/1000</f>
        <v>597.29399999999998</v>
      </c>
      <c r="CG147" s="12">
        <f>'Balance Sheet'!BH15/1000+'Balance Sheet'!BH16/1000+'Balance Sheet'!BH17/1000+'Balance Sheet'!BH18/1000+'Balance Sheet'!BH7/1000</f>
        <v>585.495</v>
      </c>
      <c r="CI147" s="12">
        <f>'Balance Sheet'!BJ15/1000+'Balance Sheet'!BJ16/1000+'Balance Sheet'!BJ17/1000+'Balance Sheet'!BJ18/1000+'Balance Sheet'!BJ7/1000</f>
        <v>641.78399999999999</v>
      </c>
      <c r="CJ147" s="12">
        <f>'Balance Sheet'!BK15/1000+'Balance Sheet'!BK16/1000+'Balance Sheet'!BK17/1000+'Balance Sheet'!BK18/1000+'Balance Sheet'!BK7/1000</f>
        <v>610.60599999999999</v>
      </c>
      <c r="CK147" s="12">
        <f>'Balance Sheet'!BL15/1000+'Balance Sheet'!BL16/1000+'Balance Sheet'!BL17/1000+'Balance Sheet'!BL18/1000+'Balance Sheet'!BL7/1000</f>
        <v>665.44399999999996</v>
      </c>
      <c r="CL147" s="12">
        <f>'Balance Sheet'!BM15/1000+'Balance Sheet'!BM16/1000+'Balance Sheet'!BM17/1000+'Balance Sheet'!BM18/1000+'Balance Sheet'!BM7/1000</f>
        <v>674.65800000000002</v>
      </c>
      <c r="CM147" s="12">
        <f>'Balance Sheet'!BN15/1000+'Balance Sheet'!BN16/1000+'Balance Sheet'!BN17/1000+'Balance Sheet'!BN18/1000+'Balance Sheet'!BN7/1000</f>
        <v>674.65800000000002</v>
      </c>
      <c r="CN147" s="12">
        <f>'Balance Sheet'!BO15/1000+'Balance Sheet'!BO16/1000+'Balance Sheet'!BO17/1000+'Balance Sheet'!BO18/1000+'Balance Sheet'!BO7/1000</f>
        <v>662.76900000000001</v>
      </c>
      <c r="CO147" s="12">
        <f>'Balance Sheet'!BP15/1000+'Balance Sheet'!BP16/1000+'Balance Sheet'!BP17/1000+'Balance Sheet'!BP18/1000+'Balance Sheet'!BP7/1000</f>
        <v>635.01499999999999</v>
      </c>
      <c r="CP147" s="12">
        <f>'Balance Sheet'!BQ15/1000+'Balance Sheet'!BQ16/1000+'Balance Sheet'!BQ17/1000+'Balance Sheet'!BQ18/1000+'Balance Sheet'!BQ7/1000</f>
        <v>626.28199999999993</v>
      </c>
      <c r="CQ147" s="12">
        <f>'Balance Sheet'!BR15/1000+'Balance Sheet'!BR16/1000+'Balance Sheet'!BR17/1000+'Balance Sheet'!BR18/1000+'Balance Sheet'!BR7/1000</f>
        <v>684.00099999999998</v>
      </c>
      <c r="CR147" s="12">
        <f>'Balance Sheet'!BS15/1000+'Balance Sheet'!BS16/1000+'Balance Sheet'!BS17/1000+'Balance Sheet'!BS18/1000+'Balance Sheet'!BS7/1000</f>
        <v>684.00099999999998</v>
      </c>
      <c r="CS147" s="12">
        <f>'Balance Sheet'!BT15/1000+'Balance Sheet'!BT16/1000+'Balance Sheet'!BT17/1000+'Balance Sheet'!BT18/1000+'Balance Sheet'!BT7/1000</f>
        <v>678.05199999999991</v>
      </c>
      <c r="CT147" s="12">
        <f>'Balance Sheet'!BU15/1000+'Balance Sheet'!BU16/1000+'Balance Sheet'!BU17/1000+'Balance Sheet'!BU18/1000+'Balance Sheet'!BU7/1000</f>
        <v>679.38699999999994</v>
      </c>
      <c r="CU147" s="12">
        <f>'Balance Sheet'!BV15/1000+'Balance Sheet'!BV16/1000+'Balance Sheet'!BV17/1000+'Balance Sheet'!BV18/1000+'Balance Sheet'!BV7/1000</f>
        <v>590.16600000000005</v>
      </c>
      <c r="CV147" s="12">
        <f>'Balance Sheet'!BW15/1000+'Balance Sheet'!BW16/1000+'Balance Sheet'!BW17/1000+'Balance Sheet'!BW18/1000+'Balance Sheet'!BW7/1000</f>
        <v>642.50199999999995</v>
      </c>
      <c r="CW147" s="12">
        <f>'Balance Sheet'!BX15/1000+'Balance Sheet'!BX16/1000+'Balance Sheet'!BX17/1000+'Balance Sheet'!BX18/1000+'Balance Sheet'!BX7/1000</f>
        <v>642.50199999999995</v>
      </c>
      <c r="CX147" s="12">
        <f>'Balance Sheet'!BY15/1000+'Balance Sheet'!BY16/1000+'Balance Sheet'!BY17/1000+'Balance Sheet'!BY18/1000+'Balance Sheet'!BY7/1000</f>
        <v>664.39099999999996</v>
      </c>
      <c r="CY147" s="12">
        <f>'Balance Sheet'!BZ15/1000+'Balance Sheet'!BZ16/1000+'Balance Sheet'!BZ17/1000+'Balance Sheet'!BZ18/1000+'Balance Sheet'!BZ7/1000</f>
        <v>640.9670000000001</v>
      </c>
      <c r="CZ147" s="12">
        <f>'Balance Sheet'!CA15/1000+'Balance Sheet'!CA16/1000+'Balance Sheet'!CA17/1000+'Balance Sheet'!CA18/1000+'Balance Sheet'!CA7/1000</f>
        <v>662.99400000000003</v>
      </c>
      <c r="DA147" s="12">
        <f>'Balance Sheet'!CB15/1000+'Balance Sheet'!CB16/1000+'Balance Sheet'!CB17/1000+'Balance Sheet'!CB18/1000+'Balance Sheet'!CB7/1000</f>
        <v>686.28700000000003</v>
      </c>
      <c r="DB147" s="12">
        <f>'Balance Sheet'!CC15/1000+'Balance Sheet'!CC16/1000+'Balance Sheet'!CC17/1000+'Balance Sheet'!CC18/1000+'Balance Sheet'!CC7/1000</f>
        <v>686.28700000000003</v>
      </c>
      <c r="DC147" s="12">
        <f>'Balance Sheet'!CD15/1000+'Balance Sheet'!CD16/1000+'Balance Sheet'!CD17/1000+'Balance Sheet'!CD18/1000+'Balance Sheet'!CD7/1000</f>
        <v>780.78400000000011</v>
      </c>
      <c r="DD147" s="12">
        <f>'Balance Sheet'!CE15/1000+'Balance Sheet'!CE16/1000+'Balance Sheet'!CE17/1000+'Balance Sheet'!CE18/1000+'Balance Sheet'!CE7/1000</f>
        <v>831.84799999999996</v>
      </c>
      <c r="DE147" s="12">
        <f>'Balance Sheet'!CF15/1000+'Balance Sheet'!CF16/1000+'Balance Sheet'!CF17/1000+'Balance Sheet'!CF18/1000+'Balance Sheet'!CF7/1000</f>
        <v>861.64</v>
      </c>
      <c r="DF147" s="12">
        <f>'Balance Sheet'!CG15/1000+'Balance Sheet'!CG16/1000+'Balance Sheet'!CG17/1000+'Balance Sheet'!CG18/1000+'Balance Sheet'!CG7/1000</f>
        <v>767.02499999999998</v>
      </c>
      <c r="DG147" s="12">
        <f>'Balance Sheet'!CH15/1000+'Balance Sheet'!CH16/1000+'Balance Sheet'!CH17/1000+'Balance Sheet'!CH18/1000+'Balance Sheet'!CH7/1000</f>
        <v>767.02499999999998</v>
      </c>
      <c r="DH147" s="10"/>
    </row>
    <row r="148" spans="1:112" s="7" customFormat="1">
      <c r="A148" s="13" t="s">
        <v>348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0"/>
    </row>
    <row r="149" spans="1:112" s="7" customFormat="1">
      <c r="A149" s="11" t="s">
        <v>349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0</v>
      </c>
      <c r="CX149" s="12">
        <v>0</v>
      </c>
      <c r="CY149" s="12">
        <v>0</v>
      </c>
      <c r="CZ149" s="12">
        <v>0</v>
      </c>
      <c r="DA149" s="12">
        <v>0</v>
      </c>
      <c r="DB149" s="12">
        <v>0</v>
      </c>
      <c r="DC149" s="12">
        <v>0</v>
      </c>
      <c r="DD149" s="12">
        <v>0</v>
      </c>
      <c r="DE149" s="12">
        <v>0</v>
      </c>
      <c r="DF149" s="12">
        <v>0</v>
      </c>
      <c r="DG149" s="12">
        <v>0</v>
      </c>
      <c r="DH149" s="10"/>
    </row>
    <row r="150" spans="1:112" s="7" customFormat="1">
      <c r="A150" s="11" t="s">
        <v>350</v>
      </c>
      <c r="B150" s="34"/>
      <c r="C150" s="34"/>
      <c r="D150" s="34"/>
      <c r="E150" s="34"/>
      <c r="F150" s="34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2">
        <v>0</v>
      </c>
      <c r="CX150" s="12">
        <v>0</v>
      </c>
      <c r="CY150" s="12">
        <v>0</v>
      </c>
      <c r="CZ150" s="12">
        <v>0</v>
      </c>
      <c r="DA150" s="12">
        <v>0</v>
      </c>
      <c r="DB150" s="12">
        <v>0</v>
      </c>
      <c r="DC150" s="12">
        <v>0</v>
      </c>
      <c r="DD150" s="12">
        <v>0</v>
      </c>
      <c r="DE150" s="12">
        <v>0</v>
      </c>
      <c r="DF150" s="12">
        <v>0</v>
      </c>
      <c r="DG150" s="12">
        <v>0</v>
      </c>
      <c r="DH150" s="10"/>
    </row>
    <row r="151" spans="1:112" s="7" customFormat="1">
      <c r="A151" s="11" t="s">
        <v>351</v>
      </c>
      <c r="B151" s="38"/>
      <c r="C151" s="38"/>
      <c r="D151" s="38"/>
      <c r="E151" s="38"/>
      <c r="F151" s="38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>
        <f>'Balance Sheet'!P22/1000</f>
        <v>143.84200000000001</v>
      </c>
      <c r="AP151" s="12">
        <f>'Balance Sheet'!Q22/1000</f>
        <v>445.93099999999998</v>
      </c>
      <c r="AQ151" s="12">
        <f>'Balance Sheet'!R22/1000</f>
        <v>7.4710000000000001</v>
      </c>
      <c r="AR151" s="12">
        <f>'Balance Sheet'!S22/1000</f>
        <v>10.259</v>
      </c>
      <c r="AS151" s="12">
        <f>'Balance Sheet'!T22/1000</f>
        <v>10.523</v>
      </c>
      <c r="AT151" s="12">
        <f>'Balance Sheet'!U22/1000</f>
        <v>10.523</v>
      </c>
      <c r="AU151" s="12">
        <f>'Balance Sheet'!V22/1000</f>
        <v>9.9499999999999993</v>
      </c>
      <c r="AV151" s="12">
        <f>'Balance Sheet'!W22/1000</f>
        <v>17.861999999999998</v>
      </c>
      <c r="AW151" s="12">
        <f>'Balance Sheet'!X22/1000</f>
        <v>21.484000000000002</v>
      </c>
      <c r="AX151" s="12">
        <f>'Balance Sheet'!Y22/1000</f>
        <v>99.117000000000004</v>
      </c>
      <c r="AY151" s="12">
        <f>'Balance Sheet'!Z22/1000</f>
        <v>99.117000000000004</v>
      </c>
      <c r="AZ151" s="12">
        <f>'Balance Sheet'!AA22/1000</f>
        <v>101.27500000000001</v>
      </c>
      <c r="BA151" s="12">
        <f>'Balance Sheet'!AB22/1000</f>
        <v>105.83499999999999</v>
      </c>
      <c r="BB151" s="12">
        <f>'Balance Sheet'!AC22/1000</f>
        <v>124.435</v>
      </c>
      <c r="BC151" s="12">
        <f>'Balance Sheet'!AD22/1000</f>
        <v>133.13900000000001</v>
      </c>
      <c r="BD151" s="12">
        <f>'Balance Sheet'!AE22/1000</f>
        <v>133.13900000000001</v>
      </c>
      <c r="BE151" s="12">
        <f>'Balance Sheet'!AF22/1000</f>
        <v>143.88999999999999</v>
      </c>
      <c r="BF151" s="12">
        <f>'Balance Sheet'!AG22/1000</f>
        <v>154.23500000000001</v>
      </c>
      <c r="BG151" s="12">
        <f>'Balance Sheet'!AH22/1000</f>
        <v>159.73599999999999</v>
      </c>
      <c r="BH151" s="12">
        <f>'Balance Sheet'!AI22/1000</f>
        <v>168.72300000000001</v>
      </c>
      <c r="BI151" s="12">
        <f>'Balance Sheet'!AJ22/1000</f>
        <v>168.72300000000001</v>
      </c>
      <c r="BJ151" s="12">
        <f>'Balance Sheet'!AK22/1000</f>
        <v>164.41499999999999</v>
      </c>
      <c r="BK151" s="12">
        <f>'Balance Sheet'!AL22/1000</f>
        <v>163.535</v>
      </c>
      <c r="BL151" s="12">
        <f>'Balance Sheet'!AM22/1000</f>
        <v>181.60499999999999</v>
      </c>
      <c r="BM151" s="12">
        <f>'Balance Sheet'!AN22/1000</f>
        <v>197.31800000000001</v>
      </c>
      <c r="BN151" s="12">
        <f>'Balance Sheet'!AO22/1000</f>
        <v>197.31800000000001</v>
      </c>
      <c r="BO151" s="12">
        <f>'Balance Sheet'!AP22/1000</f>
        <v>191.87100000000001</v>
      </c>
      <c r="BP151" s="12">
        <f>'Balance Sheet'!AQ22/1000</f>
        <v>189.34299999999999</v>
      </c>
      <c r="BQ151" s="12">
        <f>'Balance Sheet'!AR22/1000</f>
        <v>175.952</v>
      </c>
      <c r="BR151" s="12">
        <f>'Balance Sheet'!AS22/1000</f>
        <v>166.41399999999999</v>
      </c>
      <c r="BS151" s="12">
        <f>'Balance Sheet'!AT22/1000</f>
        <v>166.41399999999999</v>
      </c>
      <c r="BT151" s="12">
        <f>'Balance Sheet'!AU22/1000</f>
        <v>167.35499999999999</v>
      </c>
      <c r="BU151" s="12">
        <f>'Balance Sheet'!AV22/1000</f>
        <v>153.072</v>
      </c>
      <c r="BV151" s="12">
        <f>'Balance Sheet'!AW22/1000</f>
        <v>155.03800000000001</v>
      </c>
      <c r="BW151" s="12">
        <f>'Balance Sheet'!AX22/1000</f>
        <v>156.56299999999999</v>
      </c>
      <c r="BX151" s="12">
        <f>'Balance Sheet'!AY22/1000</f>
        <v>156.56299999999999</v>
      </c>
      <c r="BY151" s="12">
        <f>'Balance Sheet'!AZ22/1000</f>
        <v>164.309</v>
      </c>
      <c r="BZ151" s="12">
        <f>'Balance Sheet'!BA22/1000</f>
        <v>167.27600000000001</v>
      </c>
      <c r="CA151" s="12">
        <f>'Balance Sheet'!BB22/1000</f>
        <v>164.76300000000001</v>
      </c>
      <c r="CB151" s="12">
        <f>'Balance Sheet'!BC22/1000</f>
        <v>171.44200000000001</v>
      </c>
      <c r="CC151" s="12">
        <f>'Balance Sheet'!BD22/1000</f>
        <v>171.44200000000001</v>
      </c>
      <c r="CD151" s="12">
        <f>'Balance Sheet'!BE22/1000</f>
        <v>167.30699999999999</v>
      </c>
      <c r="CE151" s="12">
        <f>'Balance Sheet'!BF22/1000</f>
        <v>163.10300000000001</v>
      </c>
      <c r="CF151" s="12">
        <f>'Balance Sheet'!BG22/1000</f>
        <v>151.38399999999999</v>
      </c>
      <c r="CG151" s="12">
        <f>'Balance Sheet'!BH22/1000</f>
        <v>139.67099999999999</v>
      </c>
      <c r="CI151" s="12">
        <f>'Balance Sheet'!BJ22/1000</f>
        <v>114.663</v>
      </c>
      <c r="CJ151" s="12">
        <f>'Balance Sheet'!BK22/1000</f>
        <v>111.042</v>
      </c>
      <c r="CK151" s="12">
        <f>'Balance Sheet'!BL22/1000</f>
        <v>96.531000000000006</v>
      </c>
      <c r="CL151" s="12">
        <f>'Balance Sheet'!BM22/1000</f>
        <v>85.69</v>
      </c>
      <c r="CM151" s="12">
        <f>'Balance Sheet'!BN22/1000</f>
        <v>85.69</v>
      </c>
      <c r="CN151" s="12">
        <f>'Balance Sheet'!BO22/1000</f>
        <v>72.296000000000006</v>
      </c>
      <c r="CO151" s="12">
        <f>'Balance Sheet'!BP22/1000</f>
        <v>64.087000000000003</v>
      </c>
      <c r="CP151" s="12">
        <f>'Balance Sheet'!BQ22/1000</f>
        <v>61.89</v>
      </c>
      <c r="CQ151" s="12">
        <f>'Balance Sheet'!BR22/1000</f>
        <v>61.158999999999999</v>
      </c>
      <c r="CR151" s="12">
        <f>'Balance Sheet'!BS22/1000</f>
        <v>61.158999999999999</v>
      </c>
      <c r="CS151" s="12">
        <f>'Balance Sheet'!BT22/1000</f>
        <v>60.445</v>
      </c>
      <c r="CT151" s="12">
        <f>'Balance Sheet'!BU22/1000</f>
        <v>56.116</v>
      </c>
      <c r="CU151" s="12">
        <f>'Balance Sheet'!BV22/1000</f>
        <v>64.971999999999994</v>
      </c>
      <c r="CV151" s="12">
        <f>'Balance Sheet'!BW22/1000</f>
        <v>68.899000000000001</v>
      </c>
      <c r="CW151" s="12">
        <f>'Balance Sheet'!BX22/1000</f>
        <v>68.899000000000001</v>
      </c>
      <c r="CX151" s="12">
        <f>'Balance Sheet'!BY22/1000</f>
        <v>76.881</v>
      </c>
      <c r="CY151" s="12">
        <f>'Balance Sheet'!BZ22/1000</f>
        <v>76.881</v>
      </c>
      <c r="CZ151" s="12">
        <f>'Balance Sheet'!CA22/1000</f>
        <v>84.558000000000007</v>
      </c>
      <c r="DA151" s="12">
        <f>'Balance Sheet'!CB22/1000</f>
        <v>92.388999999999996</v>
      </c>
      <c r="DB151" s="12">
        <f>'Balance Sheet'!CC22/1000</f>
        <v>92.388999999999996</v>
      </c>
      <c r="DC151" s="12">
        <f>'Balance Sheet'!CD22/1000</f>
        <v>90.844999999999999</v>
      </c>
      <c r="DD151" s="12">
        <f>'Balance Sheet'!CE22/1000</f>
        <v>83.873000000000005</v>
      </c>
      <c r="DE151" s="12">
        <f>'Balance Sheet'!CF22/1000</f>
        <v>70.938000000000002</v>
      </c>
      <c r="DF151" s="12">
        <f>'Balance Sheet'!CG22/1000</f>
        <v>73.436000000000007</v>
      </c>
      <c r="DG151" s="12">
        <f>'Balance Sheet'!CH22/1000</f>
        <v>73.436000000000007</v>
      </c>
      <c r="DH151" s="10"/>
    </row>
    <row r="152" spans="1:112" s="7" customFormat="1">
      <c r="A152" s="11" t="s">
        <v>352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>
        <f>'Balance Sheet'!P21/1000</f>
        <v>0</v>
      </c>
      <c r="AP152" s="12">
        <f>'Balance Sheet'!Q21/1000</f>
        <v>0</v>
      </c>
      <c r="AQ152" s="12">
        <f>'Balance Sheet'!R21/1000</f>
        <v>0</v>
      </c>
      <c r="AR152" s="12">
        <f>'Balance Sheet'!S21/1000</f>
        <v>40.557000000000002</v>
      </c>
      <c r="AS152" s="12">
        <f>'Balance Sheet'!T21/1000</f>
        <v>58.978000000000002</v>
      </c>
      <c r="AT152" s="12">
        <f>'Balance Sheet'!U21/1000</f>
        <v>58.978000000000002</v>
      </c>
      <c r="AU152" s="12">
        <f>'Balance Sheet'!V21/1000</f>
        <v>75.135999999999996</v>
      </c>
      <c r="AV152" s="12">
        <f>'Balance Sheet'!W21/1000</f>
        <v>72.081999999999994</v>
      </c>
      <c r="AW152" s="12">
        <f>'Balance Sheet'!X21/1000</f>
        <v>74.287000000000006</v>
      </c>
      <c r="AX152" s="12">
        <f>'Balance Sheet'!Y21/1000</f>
        <v>66.221000000000004</v>
      </c>
      <c r="AY152" s="12">
        <f>'Balance Sheet'!Z21/1000</f>
        <v>66.221000000000004</v>
      </c>
      <c r="AZ152" s="12">
        <f>'Balance Sheet'!AA21/1000</f>
        <v>76.244</v>
      </c>
      <c r="BA152" s="12">
        <f>'Balance Sheet'!AB21/1000</f>
        <v>89.991</v>
      </c>
      <c r="BB152" s="12">
        <f>'Balance Sheet'!AC21/1000</f>
        <v>0</v>
      </c>
      <c r="BC152" s="12">
        <f>'Balance Sheet'!AD21/1000</f>
        <v>0</v>
      </c>
      <c r="BD152" s="12">
        <f>'Balance Sheet'!AE21/1000</f>
        <v>0</v>
      </c>
      <c r="BE152" s="12">
        <f>'Balance Sheet'!AF21/1000</f>
        <v>0</v>
      </c>
      <c r="BF152" s="12">
        <f>'Balance Sheet'!AG21/1000</f>
        <v>0</v>
      </c>
      <c r="BG152" s="12">
        <f>'Balance Sheet'!AH21/1000</f>
        <v>0</v>
      </c>
      <c r="BH152" s="12">
        <f>'Balance Sheet'!AI21/1000</f>
        <v>0</v>
      </c>
      <c r="BI152" s="12">
        <f>'Balance Sheet'!AJ21/1000</f>
        <v>0</v>
      </c>
      <c r="BJ152" s="12">
        <f>'Balance Sheet'!AK21/1000</f>
        <v>0</v>
      </c>
      <c r="BK152" s="12">
        <f>'Balance Sheet'!AL21/1000</f>
        <v>0</v>
      </c>
      <c r="BL152" s="12">
        <f>'Balance Sheet'!AM21/1000</f>
        <v>0</v>
      </c>
      <c r="BM152" s="12">
        <f>'Balance Sheet'!AN21/1000</f>
        <v>0</v>
      </c>
      <c r="BN152" s="12">
        <f>'Balance Sheet'!AO21/1000</f>
        <v>0</v>
      </c>
      <c r="BO152" s="12">
        <f>'Balance Sheet'!AP21/1000</f>
        <v>0</v>
      </c>
      <c r="BP152" s="12">
        <f>'Balance Sheet'!AQ21/1000</f>
        <v>0</v>
      </c>
      <c r="BQ152" s="12">
        <f>'Balance Sheet'!AR21/1000</f>
        <v>0</v>
      </c>
      <c r="BR152" s="12">
        <f>'Balance Sheet'!AS21/1000</f>
        <v>0</v>
      </c>
      <c r="BS152" s="12">
        <f>'Balance Sheet'!AT21/1000</f>
        <v>0</v>
      </c>
      <c r="BT152" s="12">
        <f>'Balance Sheet'!AU21/1000</f>
        <v>0</v>
      </c>
      <c r="BU152" s="12">
        <f>'Balance Sheet'!AV21/1000</f>
        <v>0</v>
      </c>
      <c r="BV152" s="12">
        <f>'Balance Sheet'!AW21/1000</f>
        <v>0</v>
      </c>
      <c r="BW152" s="12">
        <f>'Balance Sheet'!AX21/1000</f>
        <v>0</v>
      </c>
      <c r="BX152" s="12">
        <f>'Balance Sheet'!AY21/1000</f>
        <v>0</v>
      </c>
      <c r="BY152" s="12">
        <f>'Balance Sheet'!AZ21/1000</f>
        <v>0</v>
      </c>
      <c r="BZ152" s="12">
        <f>'Balance Sheet'!BA21/1000</f>
        <v>0</v>
      </c>
      <c r="CA152" s="12">
        <f>'Balance Sheet'!BB21/1000</f>
        <v>0</v>
      </c>
      <c r="CB152" s="12">
        <f>'Balance Sheet'!BC21/1000</f>
        <v>0</v>
      </c>
      <c r="CC152" s="12">
        <f>'Balance Sheet'!BD21/1000</f>
        <v>0</v>
      </c>
      <c r="CD152" s="12">
        <f>'Balance Sheet'!BE21/1000</f>
        <v>0</v>
      </c>
      <c r="CE152" s="12">
        <f>'Balance Sheet'!BF21/1000</f>
        <v>0</v>
      </c>
      <c r="CF152" s="12">
        <f>'Balance Sheet'!BG21/1000</f>
        <v>0</v>
      </c>
      <c r="CG152" s="12">
        <f>'Balance Sheet'!BH21/1000</f>
        <v>0</v>
      </c>
      <c r="CI152" s="12">
        <f>'Balance Sheet'!BJ21/1000</f>
        <v>0</v>
      </c>
      <c r="CJ152" s="12">
        <f>'Balance Sheet'!BK21/1000</f>
        <v>0</v>
      </c>
      <c r="CK152" s="12">
        <f>'Balance Sheet'!BL21/1000</f>
        <v>0</v>
      </c>
      <c r="CL152" s="12">
        <f>'Balance Sheet'!BM21/1000</f>
        <v>0</v>
      </c>
      <c r="CM152" s="12">
        <f>'Balance Sheet'!BN21/1000</f>
        <v>0</v>
      </c>
      <c r="CN152" s="12">
        <f>'Balance Sheet'!BO21/1000</f>
        <v>0</v>
      </c>
      <c r="CO152" s="12">
        <f>'Balance Sheet'!BP21/1000</f>
        <v>0</v>
      </c>
      <c r="CP152" s="12">
        <f>'Balance Sheet'!BQ21/1000</f>
        <v>0</v>
      </c>
      <c r="CQ152" s="12">
        <f>'Balance Sheet'!BR21/1000</f>
        <v>0</v>
      </c>
      <c r="CR152" s="12">
        <f>'Balance Sheet'!BS21/1000</f>
        <v>0</v>
      </c>
      <c r="CS152" s="12">
        <f>'Balance Sheet'!BT21/1000</f>
        <v>0</v>
      </c>
      <c r="CT152" s="12">
        <f>'Balance Sheet'!BU21/1000</f>
        <v>0</v>
      </c>
      <c r="CU152" s="12">
        <f>'Balance Sheet'!BV21/1000</f>
        <v>0</v>
      </c>
      <c r="CV152" s="12">
        <f>'Balance Sheet'!BW21/1000</f>
        <v>0</v>
      </c>
      <c r="CW152" s="12">
        <f>'Balance Sheet'!BX21/1000</f>
        <v>0</v>
      </c>
      <c r="CX152" s="12">
        <f>'Balance Sheet'!BY21/1000</f>
        <v>0</v>
      </c>
      <c r="CY152" s="12">
        <f>'Balance Sheet'!BZ21/1000</f>
        <v>0</v>
      </c>
      <c r="CZ152" s="12">
        <f>'Balance Sheet'!CA21/1000</f>
        <v>0</v>
      </c>
      <c r="DA152" s="12">
        <f>'Balance Sheet'!CB21/1000</f>
        <v>0</v>
      </c>
      <c r="DB152" s="12">
        <f>'Balance Sheet'!CC21/1000</f>
        <v>0</v>
      </c>
      <c r="DC152" s="12">
        <f>'Balance Sheet'!CD21/1000</f>
        <v>0</v>
      </c>
      <c r="DD152" s="12">
        <f>'Balance Sheet'!CE21/1000</f>
        <v>0</v>
      </c>
      <c r="DE152" s="12">
        <f>'Balance Sheet'!CF21/1000</f>
        <v>0</v>
      </c>
      <c r="DF152" s="12">
        <f>'Balance Sheet'!CG21/1000</f>
        <v>0</v>
      </c>
      <c r="DG152" s="12">
        <f>'Balance Sheet'!CH21/1000</f>
        <v>0</v>
      </c>
      <c r="DH152" s="10"/>
    </row>
    <row r="153" spans="1:112" s="7" customFormat="1">
      <c r="A153" s="11" t="s">
        <v>353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>
        <f>'Balance Sheet'!P23/1000</f>
        <v>0.53200000000000003</v>
      </c>
      <c r="AP153" s="12">
        <f>'Balance Sheet'!Q23/1000</f>
        <v>0.58699999999999997</v>
      </c>
      <c r="AQ153" s="12">
        <f>'Balance Sheet'!R23/1000</f>
        <v>2.4460000000000002</v>
      </c>
      <c r="AR153" s="12">
        <f>'Balance Sheet'!S23/1000</f>
        <v>2.35</v>
      </c>
      <c r="AS153" s="12">
        <f>'Balance Sheet'!T23/1000</f>
        <v>9.907</v>
      </c>
      <c r="AT153" s="12">
        <f>'Balance Sheet'!U23/1000</f>
        <v>9.907</v>
      </c>
      <c r="AU153" s="12">
        <f>'Balance Sheet'!V23/1000</f>
        <v>13.394</v>
      </c>
      <c r="AV153" s="12">
        <f>'Balance Sheet'!W23/1000</f>
        <v>12.597</v>
      </c>
      <c r="AW153" s="12">
        <f>'Balance Sheet'!X23/1000</f>
        <v>15.273</v>
      </c>
      <c r="AX153" s="12">
        <f>'Balance Sheet'!Y23/1000</f>
        <v>17.225999999999999</v>
      </c>
      <c r="AY153" s="12">
        <f>'Balance Sheet'!Z23/1000</f>
        <v>17.225999999999999</v>
      </c>
      <c r="AZ153" s="12">
        <f>'Balance Sheet'!AA23/1000</f>
        <v>16.587</v>
      </c>
      <c r="BA153" s="12">
        <f>'Balance Sheet'!AB23/1000</f>
        <v>23.85</v>
      </c>
      <c r="BB153" s="12">
        <f>'Balance Sheet'!AC23/1000</f>
        <v>128.80199999999999</v>
      </c>
      <c r="BC153" s="12">
        <f>'Balance Sheet'!AD23/1000</f>
        <v>108.178</v>
      </c>
      <c r="BD153" s="12">
        <f>'Balance Sheet'!AE23/1000</f>
        <v>108.178</v>
      </c>
      <c r="BE153" s="12">
        <f>'Balance Sheet'!AF23/1000</f>
        <v>98.599000000000004</v>
      </c>
      <c r="BF153" s="12">
        <f>'Balance Sheet'!AG23/1000</f>
        <v>98.971999999999994</v>
      </c>
      <c r="BG153" s="12">
        <f>'Balance Sheet'!AH23/1000</f>
        <v>95.447000000000003</v>
      </c>
      <c r="BH153" s="12">
        <f>'Balance Sheet'!AI23/1000</f>
        <v>90.69</v>
      </c>
      <c r="BI153" s="12">
        <f>'Balance Sheet'!AJ23/1000</f>
        <v>90.69</v>
      </c>
      <c r="BJ153" s="12">
        <f>'Balance Sheet'!AK23/1000</f>
        <v>84.475999999999999</v>
      </c>
      <c r="BK153" s="12">
        <f>'Balance Sheet'!AL23/1000</f>
        <v>83.844999999999999</v>
      </c>
      <c r="BL153" s="12">
        <f>'Balance Sheet'!AM23/1000</f>
        <v>89.275000000000006</v>
      </c>
      <c r="BM153" s="12">
        <f>'Balance Sheet'!AN23/1000</f>
        <v>88.424999999999997</v>
      </c>
      <c r="BN153" s="12">
        <f>'Balance Sheet'!AO23/1000</f>
        <v>88.424999999999997</v>
      </c>
      <c r="BO153" s="12">
        <f>'Balance Sheet'!AP23/1000</f>
        <v>86.286000000000001</v>
      </c>
      <c r="BP153" s="12">
        <f>'Balance Sheet'!AQ23/1000</f>
        <v>84.218000000000004</v>
      </c>
      <c r="BQ153" s="12">
        <f>'Balance Sheet'!AR23/1000</f>
        <v>84.477999999999994</v>
      </c>
      <c r="BR153" s="12">
        <f>'Balance Sheet'!AS23/1000</f>
        <v>85.884</v>
      </c>
      <c r="BS153" s="12">
        <f>'Balance Sheet'!AT23/1000</f>
        <v>85.884</v>
      </c>
      <c r="BT153" s="12">
        <f>'Balance Sheet'!AU23/1000</f>
        <v>90.552999999999997</v>
      </c>
      <c r="BU153" s="12">
        <f>'Balance Sheet'!AV23/1000</f>
        <v>81.311000000000007</v>
      </c>
      <c r="BV153" s="12">
        <f>'Balance Sheet'!AW23/1000</f>
        <v>90.100999999999999</v>
      </c>
      <c r="BW153" s="12">
        <f>'Balance Sheet'!AX23/1000</f>
        <v>90.623000000000005</v>
      </c>
      <c r="BX153" s="12">
        <f>'Balance Sheet'!AY23/1000</f>
        <v>90.623000000000005</v>
      </c>
      <c r="BY153" s="12">
        <f>'Balance Sheet'!AZ23/1000</f>
        <v>88.730999999999995</v>
      </c>
      <c r="BZ153" s="12">
        <f>'Balance Sheet'!BA23/1000</f>
        <v>86.335999999999999</v>
      </c>
      <c r="CA153" s="12">
        <f>'Balance Sheet'!BB23/1000</f>
        <v>87.141000000000005</v>
      </c>
      <c r="CB153" s="12">
        <f>'Balance Sheet'!BC23/1000</f>
        <v>100.768</v>
      </c>
      <c r="CC153" s="12">
        <f>'Balance Sheet'!BD23/1000</f>
        <v>100.768</v>
      </c>
      <c r="CD153" s="12">
        <f>'Balance Sheet'!BE23/1000</f>
        <v>101.691</v>
      </c>
      <c r="CE153" s="12">
        <f>'Balance Sheet'!BF23/1000</f>
        <v>102.982</v>
      </c>
      <c r="CF153" s="12">
        <f>'Balance Sheet'!BG23/1000</f>
        <v>92.117999999999995</v>
      </c>
      <c r="CG153" s="12">
        <f>'Balance Sheet'!BH23/1000</f>
        <v>85.09</v>
      </c>
      <c r="CI153" s="12">
        <f>'Balance Sheet'!BJ23/1000</f>
        <v>78.644000000000005</v>
      </c>
      <c r="CJ153" s="12">
        <f>'Balance Sheet'!BK23/1000</f>
        <v>74.781000000000006</v>
      </c>
      <c r="CK153" s="12">
        <f>'Balance Sheet'!BL23/1000</f>
        <v>70.843000000000004</v>
      </c>
      <c r="CL153" s="12">
        <f>'Balance Sheet'!BM23/1000</f>
        <v>66.063000000000002</v>
      </c>
      <c r="CM153" s="12">
        <f>'Balance Sheet'!BN23/1000</f>
        <v>66.063000000000002</v>
      </c>
      <c r="CN153" s="12">
        <f>'Balance Sheet'!BO23/1000</f>
        <v>62.853000000000002</v>
      </c>
      <c r="CO153" s="12">
        <f>'Balance Sheet'!BP23/1000</f>
        <v>46.311999999999998</v>
      </c>
      <c r="CP153" s="12">
        <f>'Balance Sheet'!BQ23/1000</f>
        <v>43.853000000000002</v>
      </c>
      <c r="CQ153" s="12">
        <f>'Balance Sheet'!BR23/1000</f>
        <v>39.808999999999997</v>
      </c>
      <c r="CR153" s="12">
        <f>'Balance Sheet'!BS23/1000</f>
        <v>39.808999999999997</v>
      </c>
      <c r="CS153" s="12">
        <f>'Balance Sheet'!BT23/1000</f>
        <v>35.811</v>
      </c>
      <c r="CT153" s="12">
        <f>'Balance Sheet'!BU23/1000</f>
        <v>33.316000000000003</v>
      </c>
      <c r="CU153" s="12">
        <f>'Balance Sheet'!BV23/1000</f>
        <v>30.523</v>
      </c>
      <c r="CV153" s="12">
        <f>'Balance Sheet'!BW23/1000</f>
        <v>27.077000000000002</v>
      </c>
      <c r="CW153" s="12">
        <f>'Balance Sheet'!BX23/1000</f>
        <v>27.077000000000002</v>
      </c>
      <c r="CX153" s="12">
        <f>'Balance Sheet'!BY23/1000</f>
        <v>21.2</v>
      </c>
      <c r="CY153" s="12">
        <f>'Balance Sheet'!BZ23/1000</f>
        <v>21.2</v>
      </c>
      <c r="CZ153" s="12">
        <f>'Balance Sheet'!CA23/1000</f>
        <v>30.353999999999999</v>
      </c>
      <c r="DA153" s="12">
        <f>'Balance Sheet'!CB23/1000</f>
        <v>27.622</v>
      </c>
      <c r="DB153" s="12">
        <f>'Balance Sheet'!CC23/1000</f>
        <v>27.622</v>
      </c>
      <c r="DC153" s="12">
        <f>'Balance Sheet'!CD23/1000</f>
        <v>25.681999999999999</v>
      </c>
      <c r="DD153" s="12">
        <f>'Balance Sheet'!CE23/1000</f>
        <v>24.268000000000001</v>
      </c>
      <c r="DE153" s="12">
        <f>'Balance Sheet'!CF23/1000</f>
        <v>21.925000000000001</v>
      </c>
      <c r="DF153" s="12">
        <f>'Balance Sheet'!CG23/1000</f>
        <v>20.962</v>
      </c>
      <c r="DG153" s="12">
        <f>'Balance Sheet'!CH23/1000</f>
        <v>20.962</v>
      </c>
      <c r="DH153" s="10"/>
    </row>
    <row r="154" spans="1:112" s="7" customFormat="1">
      <c r="A154" s="17" t="s">
        <v>354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0"/>
    </row>
    <row r="155" spans="1:112" s="7" customFormat="1">
      <c r="A155" s="11" t="s">
        <v>355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>
        <f>'Balance Sheet'!P20/1000</f>
        <v>67.858999999999995</v>
      </c>
      <c r="AP155" s="12">
        <f>'Balance Sheet'!Q20/1000</f>
        <v>67.459999999999994</v>
      </c>
      <c r="AQ155" s="12">
        <f>'Balance Sheet'!R20/1000</f>
        <v>186.77500000000001</v>
      </c>
      <c r="AR155" s="12">
        <f>'Balance Sheet'!S20/1000</f>
        <v>153.959</v>
      </c>
      <c r="AS155" s="12">
        <f>'Balance Sheet'!T20/1000</f>
        <v>152.583</v>
      </c>
      <c r="AT155" s="12">
        <f>'Balance Sheet'!U20/1000</f>
        <v>152.583</v>
      </c>
      <c r="AU155" s="12">
        <f>'Balance Sheet'!V20/1000</f>
        <v>152.583</v>
      </c>
      <c r="AV155" s="12">
        <f>'Balance Sheet'!W20/1000</f>
        <v>152.583</v>
      </c>
      <c r="AW155" s="12">
        <f>'Balance Sheet'!X20/1000</f>
        <v>152.583</v>
      </c>
      <c r="AX155" s="12">
        <f>'Balance Sheet'!Y20/1000</f>
        <v>222.77</v>
      </c>
      <c r="AY155" s="12">
        <f>'Balance Sheet'!Z20/1000</f>
        <v>222.77</v>
      </c>
      <c r="AZ155" s="12">
        <f>'Balance Sheet'!AA20/1000</f>
        <v>221.12899999999999</v>
      </c>
      <c r="BA155" s="12">
        <f>'Balance Sheet'!AB20/1000</f>
        <v>225.23</v>
      </c>
      <c r="BB155" s="12">
        <f>'Balance Sheet'!AC20/1000</f>
        <v>11.119</v>
      </c>
      <c r="BC155" s="12">
        <f>'Balance Sheet'!AD20/1000</f>
        <v>12.21</v>
      </c>
      <c r="BD155" s="12">
        <f>'Balance Sheet'!AE20/1000</f>
        <v>12.21</v>
      </c>
      <c r="BE155" s="12">
        <f>'Balance Sheet'!AF20/1000</f>
        <v>13.885</v>
      </c>
      <c r="BF155" s="12">
        <f>'Balance Sheet'!AG20/1000</f>
        <v>12.664999999999999</v>
      </c>
      <c r="BG155" s="12">
        <f>'Balance Sheet'!AH20/1000</f>
        <v>15.202999999999999</v>
      </c>
      <c r="BH155" s="12">
        <f>'Balance Sheet'!AI20/1000</f>
        <v>6.1790000000000003</v>
      </c>
      <c r="BI155" s="12">
        <f>'Balance Sheet'!AJ20/1000</f>
        <v>6.1790000000000003</v>
      </c>
      <c r="BJ155" s="12">
        <f>'Balance Sheet'!AK20/1000</f>
        <v>6.3239999999999998</v>
      </c>
      <c r="BK155" s="12">
        <f>'Balance Sheet'!AL20/1000</f>
        <v>6.8150000000000004</v>
      </c>
      <c r="BL155" s="12">
        <f>'Balance Sheet'!AM20/1000</f>
        <v>6.4610000000000003</v>
      </c>
      <c r="BM155" s="12">
        <f>'Balance Sheet'!AN20/1000</f>
        <v>6.8860000000000001</v>
      </c>
      <c r="BN155" s="12">
        <f>'Balance Sheet'!AO20/1000</f>
        <v>6.8860000000000001</v>
      </c>
      <c r="BO155" s="12">
        <f>'Balance Sheet'!AP20/1000</f>
        <v>6.7370000000000001</v>
      </c>
      <c r="BP155" s="12">
        <f>'Balance Sheet'!AQ20/1000</f>
        <v>7.3360000000000003</v>
      </c>
      <c r="BQ155" s="12">
        <f>'Balance Sheet'!AR20/1000</f>
        <v>7.9989999999999997</v>
      </c>
      <c r="BR155" s="12">
        <f>'Balance Sheet'!AS20/1000</f>
        <v>665.32899999999995</v>
      </c>
      <c r="BS155" s="12">
        <f>'Balance Sheet'!AT20/1000</f>
        <v>665.32899999999995</v>
      </c>
      <c r="BT155" s="12">
        <f>'Balance Sheet'!AU20/1000</f>
        <v>1039.7550000000001</v>
      </c>
      <c r="BU155" s="12">
        <f>'Balance Sheet'!AV20/1000</f>
        <v>681.45100000000002</v>
      </c>
      <c r="BV155" s="12">
        <f>'Balance Sheet'!AW20/1000</f>
        <v>683.72799999999995</v>
      </c>
      <c r="BW155" s="12">
        <f>'Balance Sheet'!AX20/1000</f>
        <v>708.08699999999999</v>
      </c>
      <c r="BX155" s="12">
        <f>'Balance Sheet'!AY20/1000</f>
        <v>708.08699999999999</v>
      </c>
      <c r="BY155" s="12">
        <f>'Balance Sheet'!AZ20/1000</f>
        <v>718.23400000000004</v>
      </c>
      <c r="BZ155" s="12">
        <f>'Balance Sheet'!BA20/1000</f>
        <v>720.16700000000003</v>
      </c>
      <c r="CA155" s="12">
        <f>'Balance Sheet'!BB20/1000</f>
        <v>739.25300000000004</v>
      </c>
      <c r="CB155" s="12">
        <f>'Balance Sheet'!BC20/1000</f>
        <v>694.61400000000003</v>
      </c>
      <c r="CC155" s="12">
        <f>'Balance Sheet'!BD20/1000</f>
        <v>694.61400000000003</v>
      </c>
      <c r="CD155" s="12">
        <f>'Balance Sheet'!BE20/1000</f>
        <v>649.89</v>
      </c>
      <c r="CE155" s="12">
        <f>'Balance Sheet'!BF20/1000</f>
        <v>757.36699999999996</v>
      </c>
      <c r="CF155" s="12">
        <f>'Balance Sheet'!BG20/1000</f>
        <v>753.20500000000004</v>
      </c>
      <c r="CG155" s="12">
        <f>'Balance Sheet'!BH20/1000</f>
        <v>745.84100000000001</v>
      </c>
      <c r="CI155" s="12">
        <f>'Balance Sheet'!BJ20/1000</f>
        <v>716.68399999999997</v>
      </c>
      <c r="CJ155" s="12">
        <f>'Balance Sheet'!BK20/1000</f>
        <v>710.95</v>
      </c>
      <c r="CK155" s="12">
        <f>'Balance Sheet'!BL20/1000</f>
        <v>764.35</v>
      </c>
      <c r="CL155" s="12">
        <f>'Balance Sheet'!BM20/1000</f>
        <v>903.34500000000003</v>
      </c>
      <c r="CM155" s="12">
        <f>'Balance Sheet'!BN20/1000</f>
        <v>903.34500000000003</v>
      </c>
      <c r="CN155" s="12">
        <f>'Balance Sheet'!BO20/1000</f>
        <v>907.923</v>
      </c>
      <c r="CO155" s="12">
        <f>'Balance Sheet'!BP20/1000</f>
        <v>913.70100000000002</v>
      </c>
      <c r="CP155" s="12">
        <f>'Balance Sheet'!BQ20/1000</f>
        <v>813.50900000000001</v>
      </c>
      <c r="CQ155" s="12">
        <f>'Balance Sheet'!BR20/1000</f>
        <v>836.822</v>
      </c>
      <c r="CR155" s="12">
        <f>'Balance Sheet'!BS20/1000</f>
        <v>836.822</v>
      </c>
      <c r="CS155" s="12">
        <f>'Balance Sheet'!BT20/1000</f>
        <v>922.09</v>
      </c>
      <c r="CT155" s="12">
        <f>'Balance Sheet'!BU20/1000</f>
        <v>888.88400000000001</v>
      </c>
      <c r="CU155" s="12">
        <f>'Balance Sheet'!BV20/1000</f>
        <v>863.60400000000004</v>
      </c>
      <c r="CV155" s="12">
        <f>'Balance Sheet'!BW20/1000</f>
        <v>876.39499999999998</v>
      </c>
      <c r="CW155" s="12">
        <f>'Balance Sheet'!BX20/1000</f>
        <v>876.39499999999998</v>
      </c>
      <c r="CX155" s="12">
        <f>'Balance Sheet'!BY20/1000</f>
        <v>785.95</v>
      </c>
      <c r="CY155" s="12">
        <f>'Balance Sheet'!BZ20/1000</f>
        <v>785.95</v>
      </c>
      <c r="CZ155" s="12">
        <f>'Balance Sheet'!CA20/1000</f>
        <v>832.53200000000004</v>
      </c>
      <c r="DA155" s="12">
        <f>'Balance Sheet'!CB20/1000</f>
        <v>815.09</v>
      </c>
      <c r="DB155" s="12">
        <f>'Balance Sheet'!CC20/1000</f>
        <v>815.09</v>
      </c>
      <c r="DC155" s="12">
        <f>'Balance Sheet'!CD20/1000</f>
        <v>787.15499999999997</v>
      </c>
      <c r="DD155" s="12">
        <f>'Balance Sheet'!CE20/1000</f>
        <v>786.09</v>
      </c>
      <c r="DE155" s="12">
        <f>'Balance Sheet'!CF20/1000</f>
        <v>2078.3939999999998</v>
      </c>
      <c r="DF155" s="12">
        <f>'Balance Sheet'!CG20/1000</f>
        <v>2066.0239999999999</v>
      </c>
      <c r="DG155" s="12">
        <f>'Balance Sheet'!CH20/1000</f>
        <v>2066.0239999999999</v>
      </c>
      <c r="DH155" s="10"/>
    </row>
    <row r="156" spans="1:112" s="7" customFormat="1">
      <c r="A156" s="11" t="s">
        <v>356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0</v>
      </c>
      <c r="DF156" s="12">
        <v>0</v>
      </c>
      <c r="DG156" s="12">
        <v>0</v>
      </c>
      <c r="DH156" s="10"/>
    </row>
    <row r="157" spans="1:112" s="7" customFormat="1">
      <c r="A157" s="11" t="s">
        <v>357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0"/>
    </row>
    <row r="158" spans="1:112" s="7" customFormat="1">
      <c r="A158" s="11" t="s">
        <v>358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s="12">
        <v>0</v>
      </c>
      <c r="DG158" s="12">
        <v>0</v>
      </c>
      <c r="DH158" s="10"/>
    </row>
    <row r="159" spans="1:112" s="7" customFormat="1">
      <c r="A159" s="17" t="s">
        <v>359</v>
      </c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10"/>
    </row>
    <row r="160" spans="1:112" s="7" customFormat="1" ht="13.5" thickBot="1">
      <c r="A160" s="13" t="s">
        <v>360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0"/>
    </row>
    <row r="161" spans="1:112" s="7" customFormat="1">
      <c r="A161" s="17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10"/>
    </row>
    <row r="162" spans="1:112" s="7" customFormat="1">
      <c r="A162" s="11" t="s">
        <v>361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>
        <f>'Balance Sheet'!P32/1000+'Balance Sheet'!P33/1000+'Balance Sheet'!P34/1000+'Balance Sheet'!P35/1000</f>
        <v>502.66999999999996</v>
      </c>
      <c r="AP162" s="12">
        <f>'Balance Sheet'!Q32/1000+'Balance Sheet'!Q33/1000+'Balance Sheet'!Q34/1000+'Balance Sheet'!Q35/1000</f>
        <v>633.49099999999999</v>
      </c>
      <c r="AQ162" s="12">
        <f>'Balance Sheet'!R32/1000+'Balance Sheet'!R33/1000+'Balance Sheet'!R34/1000+'Balance Sheet'!R35/1000</f>
        <v>690.09400000000005</v>
      </c>
      <c r="AR162" s="12">
        <f>'Balance Sheet'!S32/1000+'Balance Sheet'!S33/1000+'Balance Sheet'!S34/1000+'Balance Sheet'!S35/1000</f>
        <v>849.62200000000007</v>
      </c>
      <c r="AS162" s="12">
        <f>'Balance Sheet'!T32/1000+'Balance Sheet'!T33/1000+'Balance Sheet'!T34/1000+'Balance Sheet'!T35/1000</f>
        <v>1150.403</v>
      </c>
      <c r="AT162" s="12">
        <f>'Balance Sheet'!U32/1000+'Balance Sheet'!U33/1000+'Balance Sheet'!U34/1000+'Balance Sheet'!U35/1000</f>
        <v>1150.403</v>
      </c>
      <c r="AU162" s="12">
        <f>'Balance Sheet'!V32/1000+'Balance Sheet'!V33/1000+'Balance Sheet'!V34/1000+'Balance Sheet'!V35/1000</f>
        <v>880.88499999999999</v>
      </c>
      <c r="AV162" s="12">
        <f>'Balance Sheet'!W32/1000+'Balance Sheet'!W33/1000+'Balance Sheet'!W34/1000+'Balance Sheet'!W35/1000</f>
        <v>1001.162</v>
      </c>
      <c r="AW162" s="12">
        <f>'Balance Sheet'!X32/1000+'Balance Sheet'!X33/1000+'Balance Sheet'!X34/1000+'Balance Sheet'!X35/1000</f>
        <v>1315.742</v>
      </c>
      <c r="AX162" s="12">
        <f>'Balance Sheet'!Y32/1000+'Balance Sheet'!Y33/1000+'Balance Sheet'!Y34/1000+'Balance Sheet'!Y35/1000</f>
        <v>2225.6489999999999</v>
      </c>
      <c r="AY162" s="12">
        <f>'Balance Sheet'!Z32/1000+'Balance Sheet'!Z33/1000+'Balance Sheet'!Z34/1000+'Balance Sheet'!Z35/1000</f>
        <v>2225.6489999999999</v>
      </c>
      <c r="AZ162" s="12">
        <f>'Balance Sheet'!AA32/1000+'Balance Sheet'!AA33/1000+'Balance Sheet'!AA34/1000+'Balance Sheet'!AA35/1000</f>
        <v>2549.797</v>
      </c>
      <c r="BA162" s="12">
        <f>'Balance Sheet'!AB32/1000+'Balance Sheet'!AB33/1000+'Balance Sheet'!AB34/1000+'Balance Sheet'!AB35/1000</f>
        <v>2374.5810000000001</v>
      </c>
      <c r="BB162" s="12">
        <f>'Balance Sheet'!AC32/1000+'Balance Sheet'!AC33/1000+'Balance Sheet'!AC34/1000+'Balance Sheet'!AC35/1000</f>
        <v>2462.509</v>
      </c>
      <c r="BC162" s="12">
        <f>'Balance Sheet'!AD32/1000+'Balance Sheet'!AD33/1000+'Balance Sheet'!AD34/1000+'Balance Sheet'!AD35/1000</f>
        <v>2904.3240000000001</v>
      </c>
      <c r="BD162" s="12">
        <f>'Balance Sheet'!AE32/1000+'Balance Sheet'!AE33/1000+'Balance Sheet'!AE34/1000+'Balance Sheet'!AE35/1000</f>
        <v>2904.3240000000001</v>
      </c>
      <c r="BE162" s="12">
        <f>'Balance Sheet'!AF32/1000+'Balance Sheet'!AF33/1000+'Balance Sheet'!AF34/1000+'Balance Sheet'!AF35/1000</f>
        <v>2946.8109999999997</v>
      </c>
      <c r="BF162" s="12">
        <f>'Balance Sheet'!AG32/1000+'Balance Sheet'!AG33/1000+'Balance Sheet'!AG34/1000+'Balance Sheet'!AG35/1000</f>
        <v>3101.7839999999997</v>
      </c>
      <c r="BG162" s="12">
        <f>'Balance Sheet'!AH32/1000+'Balance Sheet'!AH33/1000+'Balance Sheet'!AH34/1000+'Balance Sheet'!AH35/1000</f>
        <v>3034.375</v>
      </c>
      <c r="BH162" s="12">
        <f>'Balance Sheet'!AI32/1000+'Balance Sheet'!AI33/1000+'Balance Sheet'!AI34/1000+'Balance Sheet'!AI35/1000</f>
        <v>3026.058</v>
      </c>
      <c r="BI162" s="12">
        <f>'Balance Sheet'!AJ32/1000+'Balance Sheet'!AJ33/1000+'Balance Sheet'!AJ34/1000+'Balance Sheet'!AJ35/1000</f>
        <v>3026.058</v>
      </c>
      <c r="BJ162" s="12">
        <f>'Balance Sheet'!AK32/1000+'Balance Sheet'!AK33/1000+'Balance Sheet'!AK34/1000+'Balance Sheet'!AK35/1000</f>
        <v>2829.2910000000002</v>
      </c>
      <c r="BK162" s="12">
        <f>'Balance Sheet'!AL32/1000+'Balance Sheet'!AL33/1000+'Balance Sheet'!AL34/1000+'Balance Sheet'!AL35/1000</f>
        <v>3096.4110000000001</v>
      </c>
      <c r="BL162" s="12">
        <f>'Balance Sheet'!AM32/1000+'Balance Sheet'!AM33/1000+'Balance Sheet'!AM34/1000+'Balance Sheet'!AM35/1000</f>
        <v>2981.8100000000004</v>
      </c>
      <c r="BM162" s="12">
        <f>'Balance Sheet'!AN32/1000+'Balance Sheet'!AN33/1000+'Balance Sheet'!AN34/1000+'Balance Sheet'!AN35/1000</f>
        <v>2835.2730000000001</v>
      </c>
      <c r="BN162" s="12">
        <f>'Balance Sheet'!AO32/1000+'Balance Sheet'!AO33/1000+'Balance Sheet'!AO34/1000+'Balance Sheet'!AO35/1000</f>
        <v>2835.2730000000001</v>
      </c>
      <c r="BO162" s="12">
        <f>'Balance Sheet'!AP32/1000+'Balance Sheet'!AP33/1000+'Balance Sheet'!AP34/1000+'Balance Sheet'!AP35/1000</f>
        <v>2733.1369999999997</v>
      </c>
      <c r="BP162" s="12">
        <f>'Balance Sheet'!AQ32/1000+'Balance Sheet'!AQ33/1000+'Balance Sheet'!AQ34/1000+'Balance Sheet'!AQ35/1000</f>
        <v>2764.9259999999999</v>
      </c>
      <c r="BQ162" s="12">
        <f>'Balance Sheet'!AR32/1000+'Balance Sheet'!AR33/1000+'Balance Sheet'!AR34/1000+'Balance Sheet'!AR35/1000</f>
        <v>2744.7670000000003</v>
      </c>
      <c r="BR162" s="12">
        <f>'Balance Sheet'!AS32/1000+'Balance Sheet'!AS33/1000+'Balance Sheet'!AS34/1000+'Balance Sheet'!AS35/1000</f>
        <v>2210.7429999999999</v>
      </c>
      <c r="BS162" s="12">
        <f>'Balance Sheet'!AT32/1000+'Balance Sheet'!AT33/1000+'Balance Sheet'!AT34/1000+'Balance Sheet'!AT35/1000</f>
        <v>2210.7429999999999</v>
      </c>
      <c r="BT162" s="12">
        <f>'Balance Sheet'!AU32/1000+'Balance Sheet'!AU33/1000+'Balance Sheet'!AU34/1000+'Balance Sheet'!AU35/1000</f>
        <v>2342.9520000000002</v>
      </c>
      <c r="BU162" s="12">
        <f>'Balance Sheet'!AV32/1000+'Balance Sheet'!AV33/1000+'Balance Sheet'!AV34/1000+'Balance Sheet'!AV35/1000</f>
        <v>2265.7619999999997</v>
      </c>
      <c r="BV162" s="12">
        <f>'Balance Sheet'!AW32/1000+'Balance Sheet'!AW33/1000+'Balance Sheet'!AW34/1000+'Balance Sheet'!AW35/1000</f>
        <v>2351.634</v>
      </c>
      <c r="BW162" s="12">
        <f>'Balance Sheet'!AX32/1000+'Balance Sheet'!AX33/1000+'Balance Sheet'!AX34/1000+'Balance Sheet'!AX35/1000</f>
        <v>2429.598</v>
      </c>
      <c r="BX162" s="12">
        <f>'Balance Sheet'!AY32/1000+'Balance Sheet'!AY33/1000+'Balance Sheet'!AY34/1000+'Balance Sheet'!AY35/1000</f>
        <v>2429.598</v>
      </c>
      <c r="BY162" s="12">
        <f>'Balance Sheet'!AZ32/1000+'Balance Sheet'!AZ33/1000+'Balance Sheet'!AZ34/1000+'Balance Sheet'!AZ35/1000</f>
        <v>2136.4749999999999</v>
      </c>
      <c r="BZ162" s="12">
        <f>'Balance Sheet'!BA32/1000+'Balance Sheet'!BA33/1000+'Balance Sheet'!BA34/1000+'Balance Sheet'!BA35/1000</f>
        <v>1981.799</v>
      </c>
      <c r="CA162" s="12">
        <f>'Balance Sheet'!BB32/1000+'Balance Sheet'!BB33/1000+'Balance Sheet'!BB34/1000+'Balance Sheet'!BB35/1000</f>
        <v>2067.9790000000003</v>
      </c>
      <c r="CB162" s="12">
        <f>'Balance Sheet'!BC32/1000+'Balance Sheet'!BC33/1000+'Balance Sheet'!BC34/1000+'Balance Sheet'!BC35/1000</f>
        <v>2012.1210000000001</v>
      </c>
      <c r="CC162" s="12">
        <f>'Balance Sheet'!BD32/1000+'Balance Sheet'!BD33/1000+'Balance Sheet'!BD34/1000+'Balance Sheet'!BD35/1000</f>
        <v>2012.1210000000001</v>
      </c>
      <c r="CD162" s="12">
        <f>'Balance Sheet'!BE32/1000+'Balance Sheet'!BE33/1000+'Balance Sheet'!BE34/1000+'Balance Sheet'!BE35/1000</f>
        <v>1930.7410000000002</v>
      </c>
      <c r="CE162" s="12">
        <f>'Balance Sheet'!BF32/1000+'Balance Sheet'!BF33/1000+'Balance Sheet'!BF34/1000+'Balance Sheet'!BF35/1000</f>
        <v>1881.895</v>
      </c>
      <c r="CF162" s="12">
        <f>'Balance Sheet'!BG32/1000+'Balance Sheet'!BG33/1000+'Balance Sheet'!BG34/1000+'Balance Sheet'!BG35/1000</f>
        <v>1738.5039999999999</v>
      </c>
      <c r="CG162" s="12">
        <f>'Balance Sheet'!BH32/1000+'Balance Sheet'!BH33/1000+'Balance Sheet'!BH34/1000+'Balance Sheet'!BH35/1000</f>
        <v>1358.172</v>
      </c>
      <c r="CI162" s="12">
        <f>'Balance Sheet'!BJ32/1000+'Balance Sheet'!BJ33/1000+'Balance Sheet'!BJ34/1000+'Balance Sheet'!BJ35/1000</f>
        <v>1303.837</v>
      </c>
      <c r="CJ162" s="12">
        <f>'Balance Sheet'!BK32/1000+'Balance Sheet'!BK33/1000+'Balance Sheet'!BK34/1000+'Balance Sheet'!BK35/1000</f>
        <v>1151.2439999999999</v>
      </c>
      <c r="CK162" s="12">
        <f>'Balance Sheet'!BL32/1000+'Balance Sheet'!BL33/1000+'Balance Sheet'!BL34/1000+'Balance Sheet'!BL35/1000</f>
        <v>1034.482</v>
      </c>
      <c r="CL162" s="12">
        <f>'Balance Sheet'!BM32/1000+'Balance Sheet'!BM33/1000+'Balance Sheet'!BM34/1000+'Balance Sheet'!BM35/1000</f>
        <v>908.90599999999995</v>
      </c>
      <c r="CM162" s="12">
        <f>'Balance Sheet'!BN32/1000+'Balance Sheet'!BN33/1000+'Balance Sheet'!BN34/1000+'Balance Sheet'!BN35/1000</f>
        <v>908.90599999999995</v>
      </c>
      <c r="CN162" s="12">
        <f>'Balance Sheet'!BO32/1000+'Balance Sheet'!BO33/1000+'Balance Sheet'!BO34/1000+'Balance Sheet'!BO35/1000</f>
        <v>859.654</v>
      </c>
      <c r="CO162" s="12">
        <f>'Balance Sheet'!BP32/1000+'Balance Sheet'!BP33/1000+'Balance Sheet'!BP34/1000+'Balance Sheet'!BP35/1000</f>
        <v>1016.145</v>
      </c>
      <c r="CP162" s="12">
        <f>'Balance Sheet'!BQ32/1000+'Balance Sheet'!BQ33/1000+'Balance Sheet'!BQ34/1000+'Balance Sheet'!BQ35/1000</f>
        <v>967.798</v>
      </c>
      <c r="CQ162" s="12">
        <f>'Balance Sheet'!BR32/1000+'Balance Sheet'!BR33/1000+'Balance Sheet'!BR34/1000+'Balance Sheet'!BR35/1000</f>
        <v>864.56600000000003</v>
      </c>
      <c r="CR162" s="12">
        <f>'Balance Sheet'!BS32/1000+'Balance Sheet'!BS33/1000+'Balance Sheet'!BS34/1000+'Balance Sheet'!BS35/1000</f>
        <v>864.56600000000003</v>
      </c>
      <c r="CS162" s="12">
        <f>'Balance Sheet'!BT32/1000+'Balance Sheet'!BT33/1000+'Balance Sheet'!BT34/1000+'Balance Sheet'!BT35/1000</f>
        <v>957.55200000000002</v>
      </c>
      <c r="CT162" s="12">
        <f>'Balance Sheet'!BU32/1000+'Balance Sheet'!BU33/1000+'Balance Sheet'!BU34/1000+'Balance Sheet'!BU35/1000</f>
        <v>1134.3620000000001</v>
      </c>
      <c r="CU162" s="12">
        <f>'Balance Sheet'!BV32/1000+'Balance Sheet'!BV33/1000+'Balance Sheet'!BV34/1000+'Balance Sheet'!BV35/1000</f>
        <v>1299.3510000000001</v>
      </c>
      <c r="CV162" s="12">
        <f>'Balance Sheet'!BW32/1000+'Balance Sheet'!BW33/1000+'Balance Sheet'!BW34/1000+'Balance Sheet'!BW35/1000</f>
        <v>1245.7639999999999</v>
      </c>
      <c r="CW162" s="12">
        <f>'Balance Sheet'!BX32/1000+'Balance Sheet'!BX33/1000+'Balance Sheet'!BX34/1000+'Balance Sheet'!BX35/1000</f>
        <v>1245.7639999999999</v>
      </c>
      <c r="CX162" s="12">
        <f>'Balance Sheet'!BY32/1000+'Balance Sheet'!BY33/1000+'Balance Sheet'!BY34/1000+'Balance Sheet'!BY35/1000</f>
        <v>1391.7939999999999</v>
      </c>
      <c r="CY162" s="12">
        <f>'Balance Sheet'!BZ32/1000+'Balance Sheet'!BZ33/1000+'Balance Sheet'!BZ34/1000+'Balance Sheet'!BZ35/1000</f>
        <v>1404.2450000000001</v>
      </c>
      <c r="CZ162" s="12">
        <f>'Balance Sheet'!CA32/1000+'Balance Sheet'!CA33/1000+'Balance Sheet'!CA34/1000+'Balance Sheet'!CA35/1000</f>
        <v>1417.2630000000001</v>
      </c>
      <c r="DA162" s="12">
        <f>'Balance Sheet'!CB32/1000+'Balance Sheet'!CB33/1000+'Balance Sheet'!CB34/1000+'Balance Sheet'!CB35/1000</f>
        <v>1591.6120000000001</v>
      </c>
      <c r="DB162" s="12">
        <f>'Balance Sheet'!CC32/1000+'Balance Sheet'!CC33/1000+'Balance Sheet'!CC34/1000+'Balance Sheet'!CC35/1000</f>
        <v>1591.6120000000001</v>
      </c>
      <c r="DC162" s="12">
        <f>'Balance Sheet'!CD32/1000+'Balance Sheet'!CD33/1000+'Balance Sheet'!CD34/1000+'Balance Sheet'!CD35/1000</f>
        <v>1862.0720000000001</v>
      </c>
      <c r="DD162" s="12">
        <f>'Balance Sheet'!CE32/1000+'Balance Sheet'!CE33/1000+'Balance Sheet'!CE34/1000+'Balance Sheet'!CE35/1000</f>
        <v>1983.7670000000001</v>
      </c>
      <c r="DE162" s="12">
        <f>'Balance Sheet'!CF32/1000+'Balance Sheet'!CF33/1000+'Balance Sheet'!CF34/1000+'Balance Sheet'!CF35/1000</f>
        <v>1358.2730000000001</v>
      </c>
      <c r="DF162" s="12">
        <f>'Balance Sheet'!CG32/1000+'Balance Sheet'!CG33/1000+'Balance Sheet'!CG34/1000+'Balance Sheet'!CG35/1000</f>
        <v>1671.7339999999999</v>
      </c>
      <c r="DG162" s="12">
        <f>'Balance Sheet'!CH32/1000+'Balance Sheet'!CH33/1000+'Balance Sheet'!CH34/1000+'Balance Sheet'!CH35/1000</f>
        <v>1671.7339999999999</v>
      </c>
      <c r="DH162" s="10"/>
    </row>
    <row r="163" spans="1:112" s="7" customFormat="1">
      <c r="A163" s="11" t="s">
        <v>362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>
        <f>'Balance Sheet'!P36/1000+'Balance Sheet'!P37/1000+'Balance Sheet'!P39/1000+'Balance Sheet'!P40/1000</f>
        <v>312.63599999999997</v>
      </c>
      <c r="AP163" s="12">
        <f>'Balance Sheet'!Q36/1000+'Balance Sheet'!Q37/1000+'Balance Sheet'!Q39/1000+'Balance Sheet'!Q40/1000</f>
        <v>246.67700000000002</v>
      </c>
      <c r="AQ163" s="12">
        <f>'Balance Sheet'!R36/1000+'Balance Sheet'!R37/1000+'Balance Sheet'!R39/1000+'Balance Sheet'!R40/1000</f>
        <v>264.90800000000002</v>
      </c>
      <c r="AR163" s="12">
        <f>'Balance Sheet'!S36/1000+'Balance Sheet'!S37/1000+'Balance Sheet'!S39/1000+'Balance Sheet'!S40/1000</f>
        <v>295.541</v>
      </c>
      <c r="AS163" s="12">
        <f>'Balance Sheet'!T36/1000+'Balance Sheet'!T37/1000+'Balance Sheet'!T39/1000+'Balance Sheet'!T40/1000</f>
        <v>389.26400000000001</v>
      </c>
      <c r="AT163" s="12">
        <f>'Balance Sheet'!U36/1000+'Balance Sheet'!U37/1000+'Balance Sheet'!U39/1000+'Balance Sheet'!U40/1000</f>
        <v>389.26400000000001</v>
      </c>
      <c r="AU163" s="12">
        <f>'Balance Sheet'!V36/1000+'Balance Sheet'!V37/1000+'Balance Sheet'!V39/1000+'Balance Sheet'!V40/1000</f>
        <v>372.99900000000002</v>
      </c>
      <c r="AV163" s="12">
        <f>'Balance Sheet'!W36/1000+'Balance Sheet'!W37/1000+'Balance Sheet'!W39/1000+'Balance Sheet'!W40/1000</f>
        <v>377.45399999999995</v>
      </c>
      <c r="AW163" s="12">
        <f>'Balance Sheet'!X36/1000+'Balance Sheet'!X37/1000+'Balance Sheet'!X39/1000+'Balance Sheet'!X40/1000</f>
        <v>403.303</v>
      </c>
      <c r="AX163" s="12">
        <f>'Balance Sheet'!Y36/1000+'Balance Sheet'!Y37/1000+'Balance Sheet'!Y39/1000+'Balance Sheet'!Y40/1000</f>
        <v>649.07300000000009</v>
      </c>
      <c r="AY163" s="12">
        <f>'Balance Sheet'!Z36/1000+'Balance Sheet'!Z37/1000+'Balance Sheet'!Z39/1000+'Balance Sheet'!Z40/1000</f>
        <v>649.07300000000009</v>
      </c>
      <c r="AZ163" s="12">
        <f>'Balance Sheet'!AA36/1000+'Balance Sheet'!AA37/1000+'Balance Sheet'!AA39/1000+'Balance Sheet'!AA40/1000</f>
        <v>436.28</v>
      </c>
      <c r="BA163" s="12">
        <f>'Balance Sheet'!AB36/1000+'Balance Sheet'!AB37/1000+'Balance Sheet'!AB39/1000+'Balance Sheet'!AB40/1000</f>
        <v>403.983</v>
      </c>
      <c r="BB163" s="12">
        <f>'Balance Sheet'!AC36/1000+'Balance Sheet'!AC37/1000+'Balance Sheet'!AC39/1000+'Balance Sheet'!AC40/1000</f>
        <v>480.86099999999999</v>
      </c>
      <c r="BC163" s="12">
        <f>'Balance Sheet'!AD36/1000+'Balance Sheet'!AD37/1000+'Balance Sheet'!AD39/1000+'Balance Sheet'!AD40/1000</f>
        <v>594.47399999999993</v>
      </c>
      <c r="BD163" s="12">
        <f>'Balance Sheet'!AE36/1000+'Balance Sheet'!AE37/1000+'Balance Sheet'!AE39/1000+'Balance Sheet'!AE40/1000</f>
        <v>594.47399999999993</v>
      </c>
      <c r="BE163" s="12">
        <f>'Balance Sheet'!AF36/1000+'Balance Sheet'!AF37/1000+'Balance Sheet'!AF39/1000+'Balance Sheet'!AF40/1000</f>
        <v>704.66</v>
      </c>
      <c r="BF163" s="12">
        <f>'Balance Sheet'!AG36/1000+'Balance Sheet'!AG37/1000+'Balance Sheet'!AG39/1000+'Balance Sheet'!AG40/1000</f>
        <v>736.45800000000008</v>
      </c>
      <c r="BG163" s="12">
        <f>'Balance Sheet'!AH36/1000+'Balance Sheet'!AH37/1000+'Balance Sheet'!AH39/1000+'Balance Sheet'!AH40/1000</f>
        <v>757.07400000000007</v>
      </c>
      <c r="BH163" s="12">
        <f>'Balance Sheet'!AI36/1000+'Balance Sheet'!AI37/1000+'Balance Sheet'!AI39/1000+'Balance Sheet'!AI40/1000</f>
        <v>628.899</v>
      </c>
      <c r="BI163" s="12">
        <f>'Balance Sheet'!AJ36/1000+'Balance Sheet'!AJ37/1000+'Balance Sheet'!AJ39/1000+'Balance Sheet'!AJ40/1000</f>
        <v>628.899</v>
      </c>
      <c r="BJ163" s="12">
        <f>'Balance Sheet'!AK36/1000+'Balance Sheet'!AK37/1000+'Balance Sheet'!AK39/1000+'Balance Sheet'!AK40/1000</f>
        <v>940.36599999999999</v>
      </c>
      <c r="BK163" s="12">
        <f>'Balance Sheet'!AL36/1000+'Balance Sheet'!AL37/1000+'Balance Sheet'!AL39/1000+'Balance Sheet'!AL40/1000</f>
        <v>662.93500000000006</v>
      </c>
      <c r="BL163" s="12">
        <f>'Balance Sheet'!AM36/1000+'Balance Sheet'!AM37/1000+'Balance Sheet'!AM39/1000+'Balance Sheet'!AM40/1000</f>
        <v>873.78800000000001</v>
      </c>
      <c r="BM163" s="12">
        <f>'Balance Sheet'!AN36/1000+'Balance Sheet'!AN37/1000+'Balance Sheet'!AN39/1000+'Balance Sheet'!AN40/1000</f>
        <v>999.92399999999998</v>
      </c>
      <c r="BN163" s="12">
        <f>'Balance Sheet'!AO36/1000+'Balance Sheet'!AO37/1000+'Balance Sheet'!AO39/1000+'Balance Sheet'!AO40/1000</f>
        <v>999.92399999999998</v>
      </c>
      <c r="BO163" s="12">
        <f>'Balance Sheet'!AP36/1000+'Balance Sheet'!AP37/1000+'Balance Sheet'!AP39/1000+'Balance Sheet'!AP40/1000</f>
        <v>948.92000000000007</v>
      </c>
      <c r="BP163" s="12">
        <f>'Balance Sheet'!AQ36/1000+'Balance Sheet'!AQ37/1000+'Balance Sheet'!AQ39/1000+'Balance Sheet'!AQ40/1000</f>
        <v>1015.6609999999999</v>
      </c>
      <c r="BQ163" s="12">
        <f>'Balance Sheet'!AR36/1000+'Balance Sheet'!AR37/1000+'Balance Sheet'!AR39/1000+'Balance Sheet'!AR40/1000</f>
        <v>985.66599999999994</v>
      </c>
      <c r="BR163" s="12">
        <f>'Balance Sheet'!AS36/1000+'Balance Sheet'!AS37/1000+'Balance Sheet'!AS39/1000+'Balance Sheet'!AS40/1000</f>
        <v>1276.8920000000001</v>
      </c>
      <c r="BS163" s="12">
        <f>'Balance Sheet'!AT36/1000+'Balance Sheet'!AT37/1000+'Balance Sheet'!AT39/1000+'Balance Sheet'!AT40/1000</f>
        <v>1276.8920000000001</v>
      </c>
      <c r="BT163" s="12">
        <f>'Balance Sheet'!AU36/1000+'Balance Sheet'!AU37/1000+'Balance Sheet'!AU39/1000+'Balance Sheet'!AU40/1000</f>
        <v>1079.9480000000001</v>
      </c>
      <c r="BU163" s="12">
        <f>'Balance Sheet'!AV36/1000+'Balance Sheet'!AV37/1000+'Balance Sheet'!AV39/1000+'Balance Sheet'!AV40/1000</f>
        <v>1218.2350000000001</v>
      </c>
      <c r="BV163" s="12">
        <f>'Balance Sheet'!AW36/1000+'Balance Sheet'!AW37/1000+'Balance Sheet'!AW39/1000+'Balance Sheet'!AW40/1000</f>
        <v>1221.672</v>
      </c>
      <c r="BW163" s="12">
        <f>'Balance Sheet'!AX36/1000+'Balance Sheet'!AX37/1000+'Balance Sheet'!AX39/1000+'Balance Sheet'!AX40/1000</f>
        <v>1209.558</v>
      </c>
      <c r="BX163" s="12">
        <f>'Balance Sheet'!AY36/1000+'Balance Sheet'!AY37/1000+'Balance Sheet'!AY39/1000+'Balance Sheet'!AY40/1000</f>
        <v>1209.558</v>
      </c>
      <c r="BY163" s="12">
        <f>'Balance Sheet'!AZ36/1000+'Balance Sheet'!AZ37/1000+'Balance Sheet'!AZ39/1000+'Balance Sheet'!AZ40/1000</f>
        <v>1143.018</v>
      </c>
      <c r="BZ163" s="12">
        <f>'Balance Sheet'!BA36/1000+'Balance Sheet'!BA37/1000+'Balance Sheet'!BA39/1000+'Balance Sheet'!BA40/1000</f>
        <v>1163.327</v>
      </c>
      <c r="CA163" s="12">
        <f>'Balance Sheet'!BB36/1000+'Balance Sheet'!BB37/1000+'Balance Sheet'!BB39/1000+'Balance Sheet'!BB40/1000</f>
        <v>1074.1599999999999</v>
      </c>
      <c r="CB163" s="12">
        <f>'Balance Sheet'!BC36/1000+'Balance Sheet'!BC37/1000+'Balance Sheet'!BC39/1000+'Balance Sheet'!BC40/1000</f>
        <v>859.65999999999985</v>
      </c>
      <c r="CC163" s="12">
        <f>'Balance Sheet'!BD36/1000+'Balance Sheet'!BD37/1000+'Balance Sheet'!BD39/1000+'Balance Sheet'!BD40/1000</f>
        <v>859.65999999999985</v>
      </c>
      <c r="CD163" s="12">
        <f>'Balance Sheet'!BE36/1000+'Balance Sheet'!BE37/1000+'Balance Sheet'!BE39/1000+'Balance Sheet'!BE40/1000</f>
        <v>868.59000000000015</v>
      </c>
      <c r="CE163" s="12">
        <f>'Balance Sheet'!BF36/1000+'Balance Sheet'!BF37/1000+'Balance Sheet'!BF39/1000+'Balance Sheet'!BF40/1000</f>
        <v>941.46100000000001</v>
      </c>
      <c r="CF163" s="12">
        <f>'Balance Sheet'!BG36/1000+'Balance Sheet'!BG37/1000+'Balance Sheet'!BG39/1000+'Balance Sheet'!BG40/1000</f>
        <v>723.245</v>
      </c>
      <c r="CG163" s="12">
        <f>'Balance Sheet'!BH36/1000+'Balance Sheet'!BH37/1000+'Balance Sheet'!BH39/1000+'Balance Sheet'!BH40/1000</f>
        <v>711.44900000000007</v>
      </c>
      <c r="CI163" s="12">
        <f>'Balance Sheet'!BJ36/1000+'Balance Sheet'!BJ37/1000+'Balance Sheet'!BJ39/1000+'Balance Sheet'!BJ40/1000</f>
        <v>699.18</v>
      </c>
      <c r="CJ163" s="12">
        <f>'Balance Sheet'!BK36/1000+'Balance Sheet'!BK37/1000+'Balance Sheet'!BK39/1000+'Balance Sheet'!BK40/1000</f>
        <v>689.19200000000001</v>
      </c>
      <c r="CK163" s="12">
        <f>'Balance Sheet'!BL36/1000+'Balance Sheet'!BL37/1000+'Balance Sheet'!BL39/1000+'Balance Sheet'!BL40/1000</f>
        <v>695.56600000000003</v>
      </c>
      <c r="CL163" s="12">
        <f>'Balance Sheet'!BM36/1000+'Balance Sheet'!BM37/1000+'Balance Sheet'!BM39/1000+'Balance Sheet'!BM40/1000</f>
        <v>679.62900000000002</v>
      </c>
      <c r="CM163" s="12">
        <f>'Balance Sheet'!BN36/1000+'Balance Sheet'!BN37/1000+'Balance Sheet'!BN39/1000+'Balance Sheet'!BN40/1000</f>
        <v>679.62900000000002</v>
      </c>
      <c r="CN163" s="12">
        <f>'Balance Sheet'!BO36/1000+'Balance Sheet'!BO37/1000+'Balance Sheet'!BO39/1000+'Balance Sheet'!BO40/1000</f>
        <v>636.07900000000006</v>
      </c>
      <c r="CO163" s="12">
        <f>'Balance Sheet'!BP36/1000+'Balance Sheet'!BP37/1000+'Balance Sheet'!BP39/1000+'Balance Sheet'!BP40/1000</f>
        <v>560.50400000000002</v>
      </c>
      <c r="CP163" s="12">
        <f>'Balance Sheet'!BQ36/1000+'Balance Sheet'!BQ37/1000+'Balance Sheet'!BQ39/1000+'Balance Sheet'!BQ40/1000</f>
        <v>505.19999999999993</v>
      </c>
      <c r="CQ163" s="12">
        <f>'Balance Sheet'!BR36/1000+'Balance Sheet'!BR37/1000+'Balance Sheet'!BR39/1000+'Balance Sheet'!BR40/1000</f>
        <v>547.25500000000011</v>
      </c>
      <c r="CR163" s="12">
        <f>'Balance Sheet'!BS36/1000+'Balance Sheet'!BS37/1000+'Balance Sheet'!BS39/1000+'Balance Sheet'!BS40/1000</f>
        <v>547.25500000000011</v>
      </c>
      <c r="CS163" s="12">
        <f>'Balance Sheet'!BT36/1000+'Balance Sheet'!BT37/1000+'Balance Sheet'!BT39/1000+'Balance Sheet'!BT40/1000</f>
        <v>489.40899999999999</v>
      </c>
      <c r="CT163" s="12">
        <f>'Balance Sheet'!BU36/1000+'Balance Sheet'!BU37/1000+'Balance Sheet'!BU39/1000+'Balance Sheet'!BU40/1000</f>
        <v>500.46999999999997</v>
      </c>
      <c r="CU163" s="12">
        <f>'Balance Sheet'!BV36/1000+'Balance Sheet'!BV37/1000+'Balance Sheet'!BV39/1000+'Balance Sheet'!BV40/1000</f>
        <v>612.09500000000003</v>
      </c>
      <c r="CV163" s="12">
        <f>'Balance Sheet'!BW36/1000+'Balance Sheet'!BW37/1000+'Balance Sheet'!BW39/1000+'Balance Sheet'!BW40/1000</f>
        <v>644.822</v>
      </c>
      <c r="CW163" s="12">
        <f>'Balance Sheet'!BX36/1000+'Balance Sheet'!BX37/1000+'Balance Sheet'!BX39/1000+'Balance Sheet'!BX40/1000</f>
        <v>644.822</v>
      </c>
      <c r="CX163" s="12">
        <f>'Balance Sheet'!BY36/1000+'Balance Sheet'!BY37/1000+'Balance Sheet'!BY39/1000+'Balance Sheet'!BY40/1000</f>
        <v>613.149</v>
      </c>
      <c r="CY163" s="12">
        <f>'Balance Sheet'!BZ36/1000+'Balance Sheet'!BZ37/1000+'Balance Sheet'!BZ39/1000+'Balance Sheet'!BZ40/1000</f>
        <v>780.73900000000003</v>
      </c>
      <c r="CZ163" s="12">
        <f>'Balance Sheet'!CA36/1000+'Balance Sheet'!CA37/1000+'Balance Sheet'!CA39/1000+'Balance Sheet'!CA40/1000</f>
        <v>574.59</v>
      </c>
      <c r="DA163" s="12">
        <f>'Balance Sheet'!CB36/1000+'Balance Sheet'!CB37/1000+'Balance Sheet'!CB39/1000+'Balance Sheet'!CB40/1000</f>
        <v>605.80099999999993</v>
      </c>
      <c r="DB163" s="12">
        <f>'Balance Sheet'!CC36/1000+'Balance Sheet'!CC37/1000+'Balance Sheet'!CC39/1000+'Balance Sheet'!CC40/1000</f>
        <v>605.80099999999993</v>
      </c>
      <c r="DC163" s="12">
        <f>'Balance Sheet'!CD36/1000+'Balance Sheet'!CD37/1000+'Balance Sheet'!CD39/1000+'Balance Sheet'!CD40/1000</f>
        <v>621.125</v>
      </c>
      <c r="DD163" s="12">
        <f>'Balance Sheet'!CE36/1000+'Balance Sheet'!CE37/1000+'Balance Sheet'!CE39/1000+'Balance Sheet'!CE40/1000</f>
        <v>620.72</v>
      </c>
      <c r="DE163" s="12">
        <f>'Balance Sheet'!CF36/1000+'Balance Sheet'!CF37/1000+'Balance Sheet'!CF39/1000+'Balance Sheet'!CF40/1000</f>
        <v>965.23599999999999</v>
      </c>
      <c r="DF163" s="12">
        <f>'Balance Sheet'!CG36/1000+'Balance Sheet'!CG37/1000+'Balance Sheet'!CG39/1000+'Balance Sheet'!CG40/1000</f>
        <v>754.70400000000006</v>
      </c>
      <c r="DG163" s="12">
        <f>'Balance Sheet'!CH36/1000+'Balance Sheet'!CH37/1000+'Balance Sheet'!CH39/1000+'Balance Sheet'!CH40/1000</f>
        <v>754.70400000000006</v>
      </c>
      <c r="DH163" s="10"/>
    </row>
    <row r="164" spans="1:112" s="7" customFormat="1">
      <c r="A164" s="11" t="s">
        <v>363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>
        <f>'Balance Sheet'!P29/1000</f>
        <v>124.729</v>
      </c>
      <c r="AP164" s="12">
        <f>'Balance Sheet'!Q29/1000</f>
        <v>249.16300000000001</v>
      </c>
      <c r="AQ164" s="12">
        <f>'Balance Sheet'!R29/1000</f>
        <v>681.22299999999996</v>
      </c>
      <c r="AR164" s="12">
        <f>'Balance Sheet'!S29/1000</f>
        <v>719.47</v>
      </c>
      <c r="AS164" s="12">
        <f>'Balance Sheet'!T29/1000</f>
        <v>818.79899999999998</v>
      </c>
      <c r="AT164" s="12">
        <f>'Balance Sheet'!U29/1000</f>
        <v>818.79899999999998</v>
      </c>
      <c r="AU164" s="12">
        <f>'Balance Sheet'!V29/1000</f>
        <v>378.4</v>
      </c>
      <c r="AV164" s="12">
        <f>'Balance Sheet'!W29/1000</f>
        <v>565.24900000000002</v>
      </c>
      <c r="AW164" s="12">
        <f>'Balance Sheet'!X29/1000</f>
        <v>713.15099999999995</v>
      </c>
      <c r="AX164" s="12">
        <f>'Balance Sheet'!Y29/1000</f>
        <v>730.7</v>
      </c>
      <c r="AY164" s="12">
        <f>'Balance Sheet'!Z29/1000</f>
        <v>730.7</v>
      </c>
      <c r="AZ164" s="12">
        <f>'Balance Sheet'!AA29/1000</f>
        <v>798.5</v>
      </c>
      <c r="BA164" s="12">
        <f>'Balance Sheet'!AB29/1000</f>
        <v>948.63800000000003</v>
      </c>
      <c r="BB164" s="12">
        <f>'Balance Sheet'!AC29/1000</f>
        <v>1117.597</v>
      </c>
      <c r="BC164" s="12">
        <f>'Balance Sheet'!AD29/1000</f>
        <v>1190.338</v>
      </c>
      <c r="BD164" s="12">
        <f>'Balance Sheet'!AE29/1000</f>
        <v>1190.338</v>
      </c>
      <c r="BE164" s="12">
        <f>'Balance Sheet'!AF29/1000</f>
        <v>1379.6890000000001</v>
      </c>
      <c r="BF164" s="12">
        <f>'Balance Sheet'!AG29/1000</f>
        <v>1578.221</v>
      </c>
      <c r="BG164" s="12">
        <f>'Balance Sheet'!AH29/1000</f>
        <v>1784.9680000000001</v>
      </c>
      <c r="BH164" s="12">
        <f>'Balance Sheet'!AI29/1000</f>
        <v>2208.7080000000001</v>
      </c>
      <c r="BI164" s="12">
        <f>'Balance Sheet'!AJ29/1000</f>
        <v>2208.7080000000001</v>
      </c>
      <c r="BJ164" s="12">
        <f>'Balance Sheet'!AK29/1000</f>
        <v>2424.2449999999999</v>
      </c>
      <c r="BK164" s="12">
        <f>'Balance Sheet'!AL29/1000</f>
        <v>2714.694</v>
      </c>
      <c r="BL164" s="12">
        <f>'Balance Sheet'!AM29/1000</f>
        <v>2799.558</v>
      </c>
      <c r="BM164" s="12">
        <f>'Balance Sheet'!AN29/1000</f>
        <v>2908.62</v>
      </c>
      <c r="BN164" s="12">
        <f>'Balance Sheet'!AO29/1000</f>
        <v>2908.62</v>
      </c>
      <c r="BO164" s="12">
        <f>'Balance Sheet'!AP29/1000</f>
        <v>2945.431</v>
      </c>
      <c r="BP164" s="12">
        <f>'Balance Sheet'!AQ29/1000</f>
        <v>2836.7489999999998</v>
      </c>
      <c r="BQ164" s="12">
        <f>'Balance Sheet'!AR29/1000</f>
        <v>2423.3629999999998</v>
      </c>
      <c r="BR164" s="12">
        <f>'Balance Sheet'!AS29/1000</f>
        <v>2133.0059999999999</v>
      </c>
      <c r="BS164" s="12">
        <f>'Balance Sheet'!AT29/1000</f>
        <v>2133.0059999999999</v>
      </c>
      <c r="BT164" s="12">
        <f>'Balance Sheet'!AU29/1000</f>
        <v>1852.4949999999999</v>
      </c>
      <c r="BU164" s="12">
        <f>'Balance Sheet'!AV29/1000</f>
        <v>1999.6089999999999</v>
      </c>
      <c r="BV164" s="12">
        <f>'Balance Sheet'!AW29/1000</f>
        <v>2180.2469999999998</v>
      </c>
      <c r="BW164" s="12">
        <f>'Balance Sheet'!AX29/1000</f>
        <v>2795.855</v>
      </c>
      <c r="BX164" s="12">
        <f>'Balance Sheet'!AY29/1000</f>
        <v>2795.855</v>
      </c>
      <c r="BY164" s="12">
        <f>'Balance Sheet'!AZ29/1000</f>
        <v>3160.0430000000001</v>
      </c>
      <c r="BZ164" s="12">
        <f>'Balance Sheet'!BA29/1000</f>
        <v>3411.1379999999999</v>
      </c>
      <c r="CA164" s="12">
        <f>'Balance Sheet'!BB29/1000</f>
        <v>3430.3409999999999</v>
      </c>
      <c r="CB164" s="12">
        <f>'Balance Sheet'!BC29/1000</f>
        <v>3093.5749999999998</v>
      </c>
      <c r="CC164" s="12">
        <f>'Balance Sheet'!BD29/1000</f>
        <v>3093.5749999999998</v>
      </c>
      <c r="CD164" s="12">
        <f>'Balance Sheet'!BE29/1000</f>
        <v>3146.87</v>
      </c>
      <c r="CE164" s="12">
        <f>'Balance Sheet'!BF29/1000</f>
        <v>3319.0189999999998</v>
      </c>
      <c r="CF164" s="12">
        <f>'Balance Sheet'!BG29/1000</f>
        <v>3390.0709999999999</v>
      </c>
      <c r="CG164" s="12">
        <f>'Balance Sheet'!BH29/1000</f>
        <v>3229.7510000000002</v>
      </c>
      <c r="CI164" s="12">
        <f>'Balance Sheet'!BJ29/1000</f>
        <v>3151.529</v>
      </c>
      <c r="CJ164" s="12">
        <f>'Balance Sheet'!BK29/1000</f>
        <v>3191.25</v>
      </c>
      <c r="CK164" s="12">
        <f>'Balance Sheet'!BL29/1000</f>
        <v>3124.422</v>
      </c>
      <c r="CL164" s="12">
        <f>'Balance Sheet'!BM29/1000</f>
        <v>2870.8209999999999</v>
      </c>
      <c r="CM164" s="12">
        <f>'Balance Sheet'!BN29/1000</f>
        <v>2870.8209999999999</v>
      </c>
      <c r="CN164" s="12">
        <f>'Balance Sheet'!BO29/1000</f>
        <v>2925.0459999999998</v>
      </c>
      <c r="CO164" s="12">
        <f>'Balance Sheet'!BP29/1000</f>
        <v>2908.1570000000002</v>
      </c>
      <c r="CP164" s="12">
        <f>'Balance Sheet'!BQ29/1000</f>
        <v>2507.2959999999998</v>
      </c>
      <c r="CQ164" s="12">
        <f>'Balance Sheet'!BR29/1000</f>
        <v>2113.444</v>
      </c>
      <c r="CR164" s="12">
        <f>'Balance Sheet'!BS29/1000</f>
        <v>2113.444</v>
      </c>
      <c r="CS164" s="12">
        <f>'Balance Sheet'!BT29/1000</f>
        <v>1751.9359999999999</v>
      </c>
      <c r="CT164" s="12">
        <f>'Balance Sheet'!BU29/1000</f>
        <v>1831.4010000000001</v>
      </c>
      <c r="CU164" s="12">
        <f>'Balance Sheet'!BV29/1000</f>
        <v>1897.0170000000001</v>
      </c>
      <c r="CV164" s="12">
        <f>'Balance Sheet'!BW29/1000</f>
        <v>1615.836</v>
      </c>
      <c r="CW164" s="12">
        <f>'Balance Sheet'!BX29/1000</f>
        <v>1615.836</v>
      </c>
      <c r="CX164" s="12">
        <f>'Balance Sheet'!BY29/1000</f>
        <v>1355.037</v>
      </c>
      <c r="CY164" s="12">
        <f>'Balance Sheet'!BZ29/1000</f>
        <v>1156.171</v>
      </c>
      <c r="CZ164" s="12">
        <f>'Balance Sheet'!CA29/1000</f>
        <v>1003.75</v>
      </c>
      <c r="DA164" s="12">
        <f>'Balance Sheet'!CB29/1000</f>
        <v>936.68600000000004</v>
      </c>
      <c r="DB164" s="12">
        <f>'Balance Sheet'!CC29/1000</f>
        <v>936.68600000000004</v>
      </c>
      <c r="DC164" s="12">
        <f>'Balance Sheet'!CD29/1000</f>
        <v>974.51300000000003</v>
      </c>
      <c r="DD164" s="12">
        <f>'Balance Sheet'!CE29/1000</f>
        <v>1518.0519999999999</v>
      </c>
      <c r="DE164" s="12">
        <f>'Balance Sheet'!CF29/1000</f>
        <v>1104.136</v>
      </c>
      <c r="DF164" s="12">
        <f>'Balance Sheet'!CG29/1000</f>
        <v>1208.6210000000001</v>
      </c>
      <c r="DG164" s="12">
        <f>'Balance Sheet'!CH29/1000</f>
        <v>1208.6210000000001</v>
      </c>
      <c r="DH164" s="10"/>
    </row>
    <row r="165" spans="1:112" s="7" customFormat="1">
      <c r="A165" s="13" t="s">
        <v>364</v>
      </c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0"/>
    </row>
    <row r="166" spans="1:112" s="7" customFormat="1">
      <c r="A166" s="11" t="s">
        <v>365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>
        <f>'Balance Sheet'!P30/1000+'Balance Sheet'!P31/1000</f>
        <v>23.416</v>
      </c>
      <c r="AP166" s="12">
        <f>'Balance Sheet'!Q30/1000+'Balance Sheet'!Q31/1000</f>
        <v>23.942</v>
      </c>
      <c r="AQ166" s="12">
        <f>'Balance Sheet'!R30/1000+'Balance Sheet'!R31/1000</f>
        <v>20.661000000000001</v>
      </c>
      <c r="AR166" s="12">
        <f>'Balance Sheet'!S30/1000+'Balance Sheet'!S31/1000</f>
        <v>25.425999999999998</v>
      </c>
      <c r="AS166" s="12">
        <f>'Balance Sheet'!T30/1000+'Balance Sheet'!T31/1000</f>
        <v>81.004000000000005</v>
      </c>
      <c r="AT166" s="12">
        <f>'Balance Sheet'!U30/1000+'Balance Sheet'!U31/1000</f>
        <v>81.004000000000005</v>
      </c>
      <c r="AU166" s="12">
        <f>'Balance Sheet'!V30/1000+'Balance Sheet'!V31/1000</f>
        <v>1113.2049999999999</v>
      </c>
      <c r="AV166" s="12">
        <f>'Balance Sheet'!W30/1000+'Balance Sheet'!W31/1000</f>
        <v>1129.9460000000001</v>
      </c>
      <c r="AW166" s="12">
        <f>'Balance Sheet'!X30/1000+'Balance Sheet'!X31/1000</f>
        <v>1097.318</v>
      </c>
      <c r="AX166" s="12">
        <f>'Balance Sheet'!Y30/1000+'Balance Sheet'!Y31/1000</f>
        <v>1476.4469999999999</v>
      </c>
      <c r="AY166" s="12">
        <f>'Balance Sheet'!Z30/1000+'Balance Sheet'!Z31/1000</f>
        <v>1476.4469999999999</v>
      </c>
      <c r="AZ166" s="12">
        <f>'Balance Sheet'!AA30/1000+'Balance Sheet'!AA31/1000</f>
        <v>1539.8050000000001</v>
      </c>
      <c r="BA166" s="12">
        <f>'Balance Sheet'!AB30/1000+'Balance Sheet'!AB31/1000</f>
        <v>1569.664</v>
      </c>
      <c r="BB166" s="12">
        <f>'Balance Sheet'!AC30/1000+'Balance Sheet'!AC31/1000</f>
        <v>1912.8290000000002</v>
      </c>
      <c r="BC166" s="12">
        <f>'Balance Sheet'!AD30/1000+'Balance Sheet'!AD31/1000</f>
        <v>1557.2640000000001</v>
      </c>
      <c r="BD166" s="12">
        <f>'Balance Sheet'!AE30/1000+'Balance Sheet'!AE31/1000</f>
        <v>1557.2640000000001</v>
      </c>
      <c r="BE166" s="12">
        <f>'Balance Sheet'!AF30/1000+'Balance Sheet'!AF31/1000</f>
        <v>1355.2559999999999</v>
      </c>
      <c r="BF166" s="12">
        <f>'Balance Sheet'!AG30/1000+'Balance Sheet'!AG31/1000</f>
        <v>1338.104</v>
      </c>
      <c r="BG166" s="12">
        <f>'Balance Sheet'!AH30/1000+'Balance Sheet'!AH31/1000</f>
        <v>1324.847</v>
      </c>
      <c r="BH166" s="12">
        <f>'Balance Sheet'!AI30/1000+'Balance Sheet'!AI31/1000</f>
        <v>1354.3999999999999</v>
      </c>
      <c r="BI166" s="12">
        <f>'Balance Sheet'!AJ30/1000+'Balance Sheet'!AJ31/1000</f>
        <v>1354.3999999999999</v>
      </c>
      <c r="BJ166" s="12">
        <f>'Balance Sheet'!AK30/1000+'Balance Sheet'!AK31/1000</f>
        <v>1378.768</v>
      </c>
      <c r="BK166" s="12">
        <f>'Balance Sheet'!AL30/1000+'Balance Sheet'!AL31/1000</f>
        <v>1612.9459999999999</v>
      </c>
      <c r="BL166" s="12">
        <f>'Balance Sheet'!AM30/1000+'Balance Sheet'!AM31/1000</f>
        <v>1981.163</v>
      </c>
      <c r="BM166" s="12">
        <f>'Balance Sheet'!AN30/1000+'Balance Sheet'!AN31/1000</f>
        <v>1859.779</v>
      </c>
      <c r="BN166" s="12">
        <f>'Balance Sheet'!AO30/1000+'Balance Sheet'!AO31/1000</f>
        <v>1859.779</v>
      </c>
      <c r="BO166" s="12">
        <f>'Balance Sheet'!AP30/1000+'Balance Sheet'!AP31/1000</f>
        <v>1879.7259999999999</v>
      </c>
      <c r="BP166" s="12">
        <f>'Balance Sheet'!AQ30/1000+'Balance Sheet'!AQ31/1000</f>
        <v>1815.962</v>
      </c>
      <c r="BQ166" s="12">
        <f>'Balance Sheet'!AR30/1000+'Balance Sheet'!AR31/1000</f>
        <v>2104.2339999999999</v>
      </c>
      <c r="BR166" s="12">
        <f>'Balance Sheet'!AS30/1000+'Balance Sheet'!AS31/1000</f>
        <v>2201.6819999999998</v>
      </c>
      <c r="BS166" s="12">
        <f>'Balance Sheet'!AT30/1000+'Balance Sheet'!AT31/1000</f>
        <v>2201.6819999999998</v>
      </c>
      <c r="BT166" s="12">
        <f>'Balance Sheet'!AU30/1000+'Balance Sheet'!AU31/1000</f>
        <v>2269.317</v>
      </c>
      <c r="BU166" s="12">
        <f>'Balance Sheet'!AV30/1000+'Balance Sheet'!AV31/1000</f>
        <v>2023.123</v>
      </c>
      <c r="BV166" s="12">
        <f>'Balance Sheet'!AW30/1000+'Balance Sheet'!AW31/1000</f>
        <v>1963.5079999999998</v>
      </c>
      <c r="BW166" s="12">
        <f>'Balance Sheet'!AX30/1000+'Balance Sheet'!AX31/1000</f>
        <v>1587.2139999999999</v>
      </c>
      <c r="BX166" s="12">
        <f>'Balance Sheet'!AY30/1000+'Balance Sheet'!AY31/1000</f>
        <v>1587.2139999999999</v>
      </c>
      <c r="BY166" s="12">
        <f>'Balance Sheet'!AZ30/1000+'Balance Sheet'!AZ31/1000</f>
        <v>1593.9299999999998</v>
      </c>
      <c r="BZ166" s="12">
        <f>'Balance Sheet'!BA30/1000+'Balance Sheet'!BA31/1000</f>
        <v>1020.194</v>
      </c>
      <c r="CA166" s="12">
        <f>'Balance Sheet'!BB30/1000+'Balance Sheet'!BB31/1000</f>
        <v>948.904</v>
      </c>
      <c r="CB166" s="12">
        <f>'Balance Sheet'!BC30/1000+'Balance Sheet'!BC31/1000</f>
        <v>930.12699999999995</v>
      </c>
      <c r="CC166" s="12">
        <f>'Balance Sheet'!BD30/1000+'Balance Sheet'!BD31/1000</f>
        <v>930.12699999999995</v>
      </c>
      <c r="CD166" s="12">
        <f>'Balance Sheet'!BE30/1000+'Balance Sheet'!BE31/1000</f>
        <v>806.15899999999999</v>
      </c>
      <c r="CE166" s="12">
        <f>'Balance Sheet'!BF30/1000+'Balance Sheet'!BF31/1000</f>
        <v>755.69299999999998</v>
      </c>
      <c r="CF166" s="12">
        <f>'Balance Sheet'!BG30/1000+'Balance Sheet'!BG31/1000</f>
        <v>762.10599999999999</v>
      </c>
      <c r="CG166" s="12">
        <f>'Balance Sheet'!BH30/1000+'Balance Sheet'!BH31/1000</f>
        <v>644.67200000000003</v>
      </c>
      <c r="CI166" s="12">
        <f>'Balance Sheet'!BJ30/1000+'Balance Sheet'!BJ31/1000</f>
        <v>671.53600000000006</v>
      </c>
      <c r="CJ166" s="12">
        <f>'Balance Sheet'!BK30/1000+'Balance Sheet'!BK31/1000</f>
        <v>452.15100000000001</v>
      </c>
      <c r="CK166" s="12">
        <f>'Balance Sheet'!BL30/1000+'Balance Sheet'!BL31/1000</f>
        <v>468.41700000000003</v>
      </c>
      <c r="CL166" s="12">
        <f>'Balance Sheet'!BM30/1000+'Balance Sheet'!BM31/1000</f>
        <v>617.65499999999997</v>
      </c>
      <c r="CM166" s="12">
        <f>'Balance Sheet'!BN30/1000+'Balance Sheet'!BN31/1000</f>
        <v>617.65499999999997</v>
      </c>
      <c r="CN166" s="12">
        <f>'Balance Sheet'!BO30/1000+'Balance Sheet'!BO31/1000</f>
        <v>704.56999999999994</v>
      </c>
      <c r="CO166" s="12">
        <f>'Balance Sheet'!BP30/1000+'Balance Sheet'!BP31/1000</f>
        <v>540.46600000000001</v>
      </c>
      <c r="CP166" s="12">
        <f>'Balance Sheet'!BQ30/1000+'Balance Sheet'!BQ31/1000</f>
        <v>631.3130000000001</v>
      </c>
      <c r="CQ166" s="12">
        <f>'Balance Sheet'!BR30/1000+'Balance Sheet'!BR31/1000</f>
        <v>510.77800000000002</v>
      </c>
      <c r="CR166" s="12">
        <f>'Balance Sheet'!BS30/1000+'Balance Sheet'!BS31/1000</f>
        <v>510.77800000000002</v>
      </c>
      <c r="CS166" s="12">
        <f>'Balance Sheet'!BT30/1000+'Balance Sheet'!BT31/1000</f>
        <v>418.22900000000004</v>
      </c>
      <c r="CT166" s="12">
        <f>'Balance Sheet'!BU30/1000+'Balance Sheet'!BU31/1000</f>
        <v>562.23700000000008</v>
      </c>
      <c r="CU166" s="12">
        <f>'Balance Sheet'!BV30/1000+'Balance Sheet'!BV31/1000</f>
        <v>1042.492</v>
      </c>
      <c r="CV166" s="12">
        <f>'Balance Sheet'!BW30/1000+'Balance Sheet'!BW31/1000</f>
        <v>785.03499999999997</v>
      </c>
      <c r="CW166" s="12">
        <f>'Balance Sheet'!BX30/1000+'Balance Sheet'!BX31/1000</f>
        <v>785.03499999999997</v>
      </c>
      <c r="CX166" s="12">
        <f>'Balance Sheet'!BY30/1000+'Balance Sheet'!BY31/1000</f>
        <v>814.55799999999999</v>
      </c>
      <c r="CY166" s="12">
        <f>'Balance Sheet'!BZ30/1000+'Balance Sheet'!BZ31/1000</f>
        <v>912.82799999999997</v>
      </c>
      <c r="CZ166" s="12">
        <f>'Balance Sheet'!CA30/1000+'Balance Sheet'!CA31/1000</f>
        <v>1495.229</v>
      </c>
      <c r="DA166" s="12">
        <f>'Balance Sheet'!CB30/1000+'Balance Sheet'!CB31/1000</f>
        <v>1678.2359999999999</v>
      </c>
      <c r="DB166" s="12">
        <f>'Balance Sheet'!CC30/1000+'Balance Sheet'!CC31/1000</f>
        <v>1678.2359999999999</v>
      </c>
      <c r="DC166" s="12">
        <f>'Balance Sheet'!CD30/1000+'Balance Sheet'!CD31/1000</f>
        <v>1622.414</v>
      </c>
      <c r="DD166" s="12">
        <f>'Balance Sheet'!CE30/1000+'Balance Sheet'!CE31/1000</f>
        <v>1484.4109999999998</v>
      </c>
      <c r="DE166" s="12">
        <f>'Balance Sheet'!CF30/1000+'Balance Sheet'!CF31/1000</f>
        <v>1417.481</v>
      </c>
      <c r="DF166" s="12">
        <f>'Balance Sheet'!CG30/1000+'Balance Sheet'!CG31/1000</f>
        <v>1584.1769999999999</v>
      </c>
      <c r="DG166" s="12">
        <f>'Balance Sheet'!CH30/1000+'Balance Sheet'!CH31/1000</f>
        <v>1584.1769999999999</v>
      </c>
      <c r="DH166" s="10"/>
    </row>
    <row r="167" spans="1:112" s="7" customFormat="1">
      <c r="A167" s="11" t="s">
        <v>366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>
        <f>'Balance Sheet'!P38/1000</f>
        <v>30.183</v>
      </c>
      <c r="AP167" s="12">
        <f>'Balance Sheet'!Q38/1000</f>
        <v>30.183</v>
      </c>
      <c r="AQ167" s="12">
        <f>'Balance Sheet'!R38/1000</f>
        <v>0</v>
      </c>
      <c r="AR167" s="12">
        <f>'Balance Sheet'!S38/1000</f>
        <v>0</v>
      </c>
      <c r="AS167" s="12">
        <f>'Balance Sheet'!T38/1000</f>
        <v>14.574</v>
      </c>
      <c r="AT167" s="12">
        <f>'Balance Sheet'!U38/1000</f>
        <v>14.574</v>
      </c>
      <c r="AU167" s="12">
        <f>'Balance Sheet'!V38/1000</f>
        <v>14.574</v>
      </c>
      <c r="AV167" s="12">
        <f>'Balance Sheet'!W38/1000</f>
        <v>0</v>
      </c>
      <c r="AW167" s="12">
        <f>'Balance Sheet'!X38/1000</f>
        <v>0</v>
      </c>
      <c r="AX167" s="12">
        <f>'Balance Sheet'!Y38/1000</f>
        <v>65.956000000000003</v>
      </c>
      <c r="AY167" s="12">
        <f>'Balance Sheet'!Z38/1000</f>
        <v>65.956000000000003</v>
      </c>
      <c r="AZ167" s="12">
        <f>'Balance Sheet'!AA38/1000</f>
        <v>65.956000000000003</v>
      </c>
      <c r="BA167" s="12">
        <f>'Balance Sheet'!AB38/1000</f>
        <v>0</v>
      </c>
      <c r="BB167" s="12">
        <f>'Balance Sheet'!AC38/1000</f>
        <v>0</v>
      </c>
      <c r="BC167" s="12">
        <f>'Balance Sheet'!AD38/1000</f>
        <v>198.90700000000001</v>
      </c>
      <c r="BD167" s="12">
        <f>'Balance Sheet'!AE38/1000</f>
        <v>198.90700000000001</v>
      </c>
      <c r="BE167" s="12">
        <f>'Balance Sheet'!AF38/1000</f>
        <v>198.90700000000001</v>
      </c>
      <c r="BF167" s="12">
        <f>'Balance Sheet'!AG38/1000</f>
        <v>0</v>
      </c>
      <c r="BG167" s="12">
        <f>'Balance Sheet'!AH38/1000</f>
        <v>0</v>
      </c>
      <c r="BH167" s="12">
        <f>'Balance Sheet'!AI38/1000</f>
        <v>142.559</v>
      </c>
      <c r="BI167" s="12">
        <f>'Balance Sheet'!AJ38/1000</f>
        <v>142.559</v>
      </c>
      <c r="BJ167" s="12">
        <f>'Balance Sheet'!AK38/1000</f>
        <v>142.559</v>
      </c>
      <c r="BK167" s="12">
        <f>'Balance Sheet'!AL38/1000</f>
        <v>0</v>
      </c>
      <c r="BL167" s="12">
        <f>'Balance Sheet'!AM38/1000</f>
        <v>0</v>
      </c>
      <c r="BM167" s="12">
        <f>'Balance Sheet'!AN38/1000</f>
        <v>118.315</v>
      </c>
      <c r="BN167" s="12">
        <f>'Balance Sheet'!AO38/1000</f>
        <v>118.315</v>
      </c>
      <c r="BO167" s="12">
        <f>'Balance Sheet'!AP38/1000</f>
        <v>0</v>
      </c>
      <c r="BP167" s="12">
        <f>'Balance Sheet'!AQ38/1000</f>
        <v>0</v>
      </c>
      <c r="BQ167" s="12">
        <f>'Balance Sheet'!AR38/1000</f>
        <v>3.2000000000000001E-2</v>
      </c>
      <c r="BR167" s="12">
        <f>'Balance Sheet'!AS38/1000</f>
        <v>156.81800000000001</v>
      </c>
      <c r="BS167" s="12">
        <f>'Balance Sheet'!AT38/1000</f>
        <v>156.81800000000001</v>
      </c>
      <c r="BT167" s="12">
        <f>'Balance Sheet'!AU38/1000</f>
        <v>156.81800000000001</v>
      </c>
      <c r="BU167" s="12">
        <f>'Balance Sheet'!AV38/1000</f>
        <v>0.53900000000000003</v>
      </c>
      <c r="BV167" s="12">
        <f>'Balance Sheet'!AW38/1000</f>
        <v>0.108</v>
      </c>
      <c r="BW167" s="12">
        <f>'Balance Sheet'!AX38/1000</f>
        <v>170.82599999999999</v>
      </c>
      <c r="BX167" s="12">
        <f>'Balance Sheet'!AY38/1000</f>
        <v>170.82599999999999</v>
      </c>
      <c r="BY167" s="12">
        <f>'Balance Sheet'!AZ38/1000</f>
        <v>170.82599999999999</v>
      </c>
      <c r="BZ167" s="12">
        <f>'Balance Sheet'!BA38/1000</f>
        <v>0.156</v>
      </c>
      <c r="CA167" s="12">
        <f>'Balance Sheet'!BB38/1000</f>
        <v>0</v>
      </c>
      <c r="CB167" s="12">
        <f>'Balance Sheet'!BC38/1000</f>
        <v>157.28399999999999</v>
      </c>
      <c r="CC167" s="12">
        <f>'Balance Sheet'!BD38/1000</f>
        <v>157.28399999999999</v>
      </c>
      <c r="CD167" s="12">
        <f>'Balance Sheet'!BE38/1000</f>
        <v>157.28399999999999</v>
      </c>
      <c r="CE167" s="12">
        <f>'Balance Sheet'!BF38/1000</f>
        <v>0</v>
      </c>
      <c r="CF167" s="12">
        <f>'Balance Sheet'!BG38/1000</f>
        <v>0</v>
      </c>
      <c r="CG167" s="12">
        <f>'Balance Sheet'!BH38/1000</f>
        <v>106.657</v>
      </c>
      <c r="CI167" s="12">
        <f>'Balance Sheet'!BJ38/1000</f>
        <v>107.679</v>
      </c>
      <c r="CJ167" s="12">
        <f>'Balance Sheet'!BK38/1000</f>
        <v>0</v>
      </c>
      <c r="CK167" s="12">
        <f>'Balance Sheet'!BL38/1000</f>
        <v>0</v>
      </c>
      <c r="CL167" s="12">
        <f>'Balance Sheet'!BM38/1000</f>
        <v>35.945999999999998</v>
      </c>
      <c r="CM167" s="12">
        <f>'Balance Sheet'!BN38/1000</f>
        <v>35.945999999999998</v>
      </c>
      <c r="CN167" s="12">
        <f>'Balance Sheet'!BO38/1000</f>
        <v>35.945999999999998</v>
      </c>
      <c r="CO167" s="12">
        <f>'Balance Sheet'!BP38/1000</f>
        <v>0</v>
      </c>
      <c r="CP167" s="12">
        <f>'Balance Sheet'!BQ38/1000</f>
        <v>0</v>
      </c>
      <c r="CQ167" s="12">
        <f>'Balance Sheet'!BR38/1000</f>
        <v>0</v>
      </c>
      <c r="CR167" s="12">
        <f>'Balance Sheet'!BS38/1000</f>
        <v>0</v>
      </c>
      <c r="CS167" s="12">
        <f>'Balance Sheet'!BT38/1000</f>
        <v>0</v>
      </c>
      <c r="CT167" s="12">
        <f>'Balance Sheet'!BU38/1000</f>
        <v>200</v>
      </c>
      <c r="CU167" s="12">
        <f>'Balance Sheet'!BV38/1000</f>
        <v>0</v>
      </c>
      <c r="CV167" s="12">
        <f>'Balance Sheet'!BW38/1000</f>
        <v>0</v>
      </c>
      <c r="CW167" s="12">
        <f>'Balance Sheet'!BX38/1000</f>
        <v>0</v>
      </c>
      <c r="CX167" s="12">
        <f>'Balance Sheet'!BY38/1000</f>
        <v>0</v>
      </c>
      <c r="CY167" s="12">
        <f>'Balance Sheet'!BZ38/1000</f>
        <v>0</v>
      </c>
      <c r="CZ167" s="12">
        <f>'Balance Sheet'!CA38/1000</f>
        <v>0</v>
      </c>
      <c r="DA167" s="12">
        <f>'Balance Sheet'!CB38/1000</f>
        <v>0</v>
      </c>
      <c r="DB167" s="12">
        <f>'Balance Sheet'!CC38/1000</f>
        <v>0</v>
      </c>
      <c r="DC167" s="12">
        <f>'Balance Sheet'!CD38/1000</f>
        <v>0</v>
      </c>
      <c r="DD167" s="12">
        <f>'Balance Sheet'!CE38/1000</f>
        <v>0</v>
      </c>
      <c r="DE167" s="12">
        <f>'Balance Sheet'!CF38/1000</f>
        <v>0</v>
      </c>
      <c r="DF167" s="12">
        <f>'Balance Sheet'!CG38/1000</f>
        <v>418.06200000000001</v>
      </c>
      <c r="DG167" s="12">
        <f>'Balance Sheet'!CH38/1000</f>
        <v>418.06200000000001</v>
      </c>
      <c r="DH167" s="10"/>
    </row>
    <row r="168" spans="1:112" s="7" customFormat="1">
      <c r="A168" s="11" t="s">
        <v>367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0"/>
    </row>
    <row r="169" spans="1:112" s="7" customFormat="1">
      <c r="A169" s="13" t="s">
        <v>368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0"/>
    </row>
    <row r="170" spans="1:112" s="7" customFormat="1">
      <c r="A170" s="11" t="s">
        <v>369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</v>
      </c>
      <c r="CO170" s="12">
        <v>0</v>
      </c>
      <c r="CP170" s="12">
        <v>0</v>
      </c>
      <c r="CQ170" s="12">
        <v>0</v>
      </c>
      <c r="CR170" s="12">
        <v>0</v>
      </c>
      <c r="CS170" s="12">
        <v>0</v>
      </c>
      <c r="CT170" s="12">
        <v>0</v>
      </c>
      <c r="CU170" s="12">
        <v>0</v>
      </c>
      <c r="CV170" s="12">
        <v>0</v>
      </c>
      <c r="CW170" s="12">
        <v>0</v>
      </c>
      <c r="CX170" s="12">
        <v>0</v>
      </c>
      <c r="CY170" s="12">
        <v>0</v>
      </c>
      <c r="CZ170" s="12">
        <v>0</v>
      </c>
      <c r="DA170" s="12">
        <v>0</v>
      </c>
      <c r="DB170" s="12">
        <v>0</v>
      </c>
      <c r="DC170" s="12">
        <v>0</v>
      </c>
      <c r="DD170" s="12">
        <v>0</v>
      </c>
      <c r="DE170" s="12">
        <v>0</v>
      </c>
      <c r="DF170" s="12">
        <v>0</v>
      </c>
      <c r="DG170" s="12">
        <v>0</v>
      </c>
      <c r="DH170" s="10"/>
    </row>
    <row r="171" spans="1:112" s="7" customFormat="1">
      <c r="A171" s="11" t="s">
        <v>245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>
        <f>'Balance Sheet'!P42/1000</f>
        <v>100.30200000000001</v>
      </c>
      <c r="AP171" s="12">
        <f>'Balance Sheet'!Q42/1000</f>
        <v>137.27600000000001</v>
      </c>
      <c r="AQ171" s="12">
        <f>'Balance Sheet'!R42/1000</f>
        <v>117.38500000000001</v>
      </c>
      <c r="AR171" s="12">
        <f>'Balance Sheet'!S42/1000</f>
        <v>148.458</v>
      </c>
      <c r="AS171" s="12">
        <f>'Balance Sheet'!T42/1000</f>
        <v>198.76900000000001</v>
      </c>
      <c r="AT171" s="12">
        <f>'Balance Sheet'!U42/1000</f>
        <v>198.76900000000001</v>
      </c>
      <c r="AU171" s="12">
        <f>'Balance Sheet'!V42/1000</f>
        <v>220.66300000000001</v>
      </c>
      <c r="AV171" s="12">
        <f>'Balance Sheet'!W42/1000</f>
        <v>251.13800000000001</v>
      </c>
      <c r="AW171" s="12">
        <f>'Balance Sheet'!X42/1000</f>
        <v>262.09500000000003</v>
      </c>
      <c r="AX171" s="12">
        <f>'Balance Sheet'!Y42/1000</f>
        <v>288.72800000000001</v>
      </c>
      <c r="AY171" s="12">
        <f>'Balance Sheet'!Z42/1000</f>
        <v>288.72800000000001</v>
      </c>
      <c r="AZ171" s="12">
        <f>'Balance Sheet'!AA42/1000</f>
        <v>152.37100000000001</v>
      </c>
      <c r="BA171" s="12">
        <f>'Balance Sheet'!AB42/1000</f>
        <v>174.042</v>
      </c>
      <c r="BB171" s="12">
        <f>'Balance Sheet'!AC42/1000</f>
        <v>195.50700000000001</v>
      </c>
      <c r="BC171" s="12">
        <f>'Balance Sheet'!AD42/1000</f>
        <v>252.57900000000001</v>
      </c>
      <c r="BD171" s="12">
        <f>'Balance Sheet'!AE42/1000</f>
        <v>252.57900000000001</v>
      </c>
      <c r="BE171" s="12">
        <f>'Balance Sheet'!AF42/1000</f>
        <v>263.37299999999999</v>
      </c>
      <c r="BF171" s="12">
        <f>'Balance Sheet'!AG42/1000</f>
        <v>275.82299999999998</v>
      </c>
      <c r="BG171" s="12">
        <f>'Balance Sheet'!AH42/1000</f>
        <v>320.59699999999998</v>
      </c>
      <c r="BH171" s="12">
        <f>'Balance Sheet'!AI42/1000</f>
        <v>355.45699999999999</v>
      </c>
      <c r="BI171" s="12">
        <f>'Balance Sheet'!AJ42/1000</f>
        <v>355.45699999999999</v>
      </c>
      <c r="BJ171" s="12">
        <f>'Balance Sheet'!AK42/1000</f>
        <v>378.78399999999999</v>
      </c>
      <c r="BK171" s="12">
        <f>'Balance Sheet'!AL42/1000</f>
        <v>362.14</v>
      </c>
      <c r="BL171" s="12">
        <f>'Balance Sheet'!AM42/1000</f>
        <v>356.18099999999998</v>
      </c>
      <c r="BM171" s="12">
        <f>'Balance Sheet'!AN42/1000</f>
        <v>378.04700000000003</v>
      </c>
      <c r="BN171" s="12">
        <f>'Balance Sheet'!AO42/1000</f>
        <v>378.04700000000003</v>
      </c>
      <c r="BO171" s="12">
        <f>'Balance Sheet'!AP42/1000</f>
        <v>354.76799999999997</v>
      </c>
      <c r="BP171" s="12">
        <f>'Balance Sheet'!AQ42/1000</f>
        <v>343.69900000000001</v>
      </c>
      <c r="BQ171" s="12">
        <f>'Balance Sheet'!AR42/1000</f>
        <v>375.66699999999997</v>
      </c>
      <c r="BR171" s="12">
        <f>'Balance Sheet'!AS42/1000</f>
        <v>566.51300000000003</v>
      </c>
      <c r="BS171" s="12">
        <f>'Balance Sheet'!AT42/1000</f>
        <v>566.51300000000003</v>
      </c>
      <c r="BT171" s="12">
        <f>'Balance Sheet'!AU42/1000</f>
        <v>950.28800000000001</v>
      </c>
      <c r="BU171" s="12">
        <f>'Balance Sheet'!AV42/1000</f>
        <v>736.48599999999999</v>
      </c>
      <c r="BV171" s="12">
        <f>'Balance Sheet'!AW42/1000</f>
        <v>767.74300000000005</v>
      </c>
      <c r="BW171" s="12">
        <f>'Balance Sheet'!AX42/1000</f>
        <v>732.42600000000004</v>
      </c>
      <c r="BX171" s="12">
        <f>'Balance Sheet'!AY42/1000</f>
        <v>732.42600000000004</v>
      </c>
      <c r="BY171" s="12">
        <f>'Balance Sheet'!AZ42/1000</f>
        <v>631.77200000000005</v>
      </c>
      <c r="BZ171" s="12">
        <f>'Balance Sheet'!BA42/1000</f>
        <v>668.62699999999995</v>
      </c>
      <c r="CA171" s="12">
        <f>'Balance Sheet'!BB42/1000</f>
        <v>690.58100000000002</v>
      </c>
      <c r="CB171" s="12">
        <f>'Balance Sheet'!BC42/1000</f>
        <v>708.75400000000002</v>
      </c>
      <c r="CC171" s="12">
        <f>'Balance Sheet'!BD42/1000</f>
        <v>708.75400000000002</v>
      </c>
      <c r="CD171" s="12">
        <f>'Balance Sheet'!BE42/1000</f>
        <v>717.72699999999998</v>
      </c>
      <c r="CE171" s="12">
        <f>'Balance Sheet'!BF42/1000</f>
        <v>839.92700000000002</v>
      </c>
      <c r="CF171" s="12">
        <f>'Balance Sheet'!BG42/1000</f>
        <v>875.05100000000004</v>
      </c>
      <c r="CG171" s="12">
        <f>'Balance Sheet'!BH42/1000</f>
        <v>791.84400000000005</v>
      </c>
      <c r="CI171" s="12">
        <f>'Balance Sheet'!BJ42/1000</f>
        <v>780.58399999999995</v>
      </c>
      <c r="CJ171" s="12">
        <f>'Balance Sheet'!BK42/1000</f>
        <v>758.80499999999995</v>
      </c>
      <c r="CK171" s="12">
        <f>'Balance Sheet'!BL42/1000</f>
        <v>739.85400000000004</v>
      </c>
      <c r="CL171" s="12">
        <f>'Balance Sheet'!BM42/1000</f>
        <v>753.18600000000004</v>
      </c>
      <c r="CM171" s="12">
        <f>'Balance Sheet'!BN42/1000</f>
        <v>753.18600000000004</v>
      </c>
      <c r="CN171" s="12">
        <f>'Balance Sheet'!BO42/1000</f>
        <v>760.34500000000003</v>
      </c>
      <c r="CO171" s="12">
        <f>'Balance Sheet'!BP42/1000</f>
        <v>435.03199999999998</v>
      </c>
      <c r="CP171" s="12">
        <f>'Balance Sheet'!BQ42/1000</f>
        <v>445.39600000000002</v>
      </c>
      <c r="CQ171" s="12">
        <f>'Balance Sheet'!BR42/1000</f>
        <v>440.90699999999998</v>
      </c>
      <c r="CR171" s="12">
        <f>'Balance Sheet'!BS42/1000</f>
        <v>440.90699999999998</v>
      </c>
      <c r="CS171" s="12">
        <f>'Balance Sheet'!BT42/1000</f>
        <v>356.654</v>
      </c>
      <c r="CT171" s="12">
        <f>'Balance Sheet'!BU42/1000</f>
        <v>338.322</v>
      </c>
      <c r="CU171" s="12">
        <f>'Balance Sheet'!BV42/1000</f>
        <v>326.72399999999999</v>
      </c>
      <c r="CV171" s="12">
        <f>'Balance Sheet'!BW42/1000</f>
        <v>389.26299999999998</v>
      </c>
      <c r="CW171" s="12">
        <f>'Balance Sheet'!BX42/1000</f>
        <v>389.26299999999998</v>
      </c>
      <c r="CX171" s="12">
        <f>'Balance Sheet'!BY42/1000</f>
        <v>373.45299999999997</v>
      </c>
      <c r="CY171" s="12">
        <f>'Balance Sheet'!BZ42/1000</f>
        <v>372.81700000000001</v>
      </c>
      <c r="CZ171" s="12">
        <f>'Balance Sheet'!CA42/1000</f>
        <v>368.35500000000002</v>
      </c>
      <c r="DA171" s="12">
        <f>'Balance Sheet'!CB42/1000</f>
        <v>413.06700000000001</v>
      </c>
      <c r="DB171" s="12">
        <f>'Balance Sheet'!CC42/1000</f>
        <v>413.06700000000001</v>
      </c>
      <c r="DC171" s="12">
        <f>'Balance Sheet'!CD42/1000</f>
        <v>420.303</v>
      </c>
      <c r="DD171" s="12">
        <f>'Balance Sheet'!CE42/1000</f>
        <v>444.101</v>
      </c>
      <c r="DE171" s="12">
        <f>'Balance Sheet'!CF42/1000</f>
        <v>285.46100000000001</v>
      </c>
      <c r="DF171" s="12">
        <f>'Balance Sheet'!CG42/1000</f>
        <v>291.89499999999998</v>
      </c>
      <c r="DG171" s="12">
        <f>'Balance Sheet'!CH42/1000</f>
        <v>291.89499999999998</v>
      </c>
      <c r="DH171" s="10"/>
    </row>
    <row r="172" spans="1:112" s="7" customFormat="1">
      <c r="A172" s="17" t="s">
        <v>370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0"/>
    </row>
    <row r="173" spans="1:112" s="7" customFormat="1">
      <c r="A173" s="11" t="s">
        <v>371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>
        <f>'Balance Sheet'!P43/1000</f>
        <v>1948.549</v>
      </c>
      <c r="AP173" s="12">
        <f>'Balance Sheet'!Q43/1000</f>
        <v>2005.4079999999999</v>
      </c>
      <c r="AQ173" s="12">
        <f>'Balance Sheet'!R43/1000</f>
        <v>1963.877</v>
      </c>
      <c r="AR173" s="12">
        <f>'Balance Sheet'!S43/1000</f>
        <v>1993.9590000000001</v>
      </c>
      <c r="AS173" s="12">
        <f>'Balance Sheet'!T43/1000</f>
        <v>2070.7539999999999</v>
      </c>
      <c r="AT173" s="12">
        <f>'Balance Sheet'!U43/1000</f>
        <v>2070.7539999999999</v>
      </c>
      <c r="AU173" s="12">
        <f>'Balance Sheet'!V43/1000</f>
        <v>2156.6019999999999</v>
      </c>
      <c r="AV173" s="12">
        <f>'Balance Sheet'!W43/1000</f>
        <v>2276.6819999999998</v>
      </c>
      <c r="AW173" s="12">
        <f>'Balance Sheet'!X43/1000</f>
        <v>2349.0680000000002</v>
      </c>
      <c r="AX173" s="12">
        <f>'Balance Sheet'!Y43/1000</f>
        <v>2120.9499999999998</v>
      </c>
      <c r="AY173" s="12">
        <f>'Balance Sheet'!Z43/1000</f>
        <v>2120.9499999999998</v>
      </c>
      <c r="AZ173" s="12">
        <f>'Balance Sheet'!AA43/1000</f>
        <v>2224.0169999999998</v>
      </c>
      <c r="BA173" s="12">
        <f>'Balance Sheet'!AB43/1000</f>
        <v>2425.3159999999998</v>
      </c>
      <c r="BB173" s="12">
        <f>'Balance Sheet'!AC43/1000</f>
        <v>2694.636</v>
      </c>
      <c r="BC173" s="12">
        <f>'Balance Sheet'!AD43/1000</f>
        <v>3852.8040000000001</v>
      </c>
      <c r="BD173" s="12">
        <f>'Balance Sheet'!AE43/1000</f>
        <v>3852.8040000000001</v>
      </c>
      <c r="BE173" s="12">
        <f>'Balance Sheet'!AF43/1000</f>
        <v>4030.9459999999999</v>
      </c>
      <c r="BF173" s="12">
        <f>'Balance Sheet'!AG43/1000</f>
        <v>4201.7349999999997</v>
      </c>
      <c r="BG173" s="12">
        <f>'Balance Sheet'!AH43/1000</f>
        <v>4380.7309999999998</v>
      </c>
      <c r="BH173" s="12">
        <f>'Balance Sheet'!AI43/1000</f>
        <v>4326.4799999999996</v>
      </c>
      <c r="BI173" s="12">
        <f>'Balance Sheet'!AJ43/1000</f>
        <v>4326.4799999999996</v>
      </c>
      <c r="BJ173" s="12">
        <f>'Balance Sheet'!AK43/1000</f>
        <v>4395.0259999999998</v>
      </c>
      <c r="BK173" s="12">
        <f>'Balance Sheet'!AL43/1000</f>
        <v>4482.8310000000001</v>
      </c>
      <c r="BL173" s="12">
        <f>'Balance Sheet'!AM43/1000</f>
        <v>4504.1679999999997</v>
      </c>
      <c r="BM173" s="12">
        <f>'Balance Sheet'!AN43/1000</f>
        <v>4544.7190000000001</v>
      </c>
      <c r="BN173" s="12">
        <f>'Balance Sheet'!AO43/1000</f>
        <v>4544.7190000000001</v>
      </c>
      <c r="BO173" s="12">
        <f>'Balance Sheet'!AP43/1000</f>
        <v>4669.4780000000001</v>
      </c>
      <c r="BP173" s="12">
        <f>'Balance Sheet'!AQ43/1000</f>
        <v>4826.5569999999998</v>
      </c>
      <c r="BQ173" s="12">
        <f>'Balance Sheet'!AR43/1000</f>
        <v>4983.1440000000002</v>
      </c>
      <c r="BR173" s="12">
        <f>'Balance Sheet'!AS43/1000</f>
        <v>5062.2489999999998</v>
      </c>
      <c r="BS173" s="12">
        <f>'Balance Sheet'!AT43/1000</f>
        <v>5062.2489999999998</v>
      </c>
      <c r="BT173" s="12">
        <f>'Balance Sheet'!AU43/1000</f>
        <v>5246.4750000000004</v>
      </c>
      <c r="BU173" s="12">
        <f>'Balance Sheet'!AV43/1000</f>
        <v>5376.67</v>
      </c>
      <c r="BV173" s="12">
        <f>'Balance Sheet'!AW43/1000</f>
        <v>5554.5609999999997</v>
      </c>
      <c r="BW173" s="12">
        <f>'Balance Sheet'!AX43/1000</f>
        <v>5461.6220000000003</v>
      </c>
      <c r="BX173" s="12">
        <f>'Balance Sheet'!AY43/1000</f>
        <v>5461.6220000000003</v>
      </c>
      <c r="BY173" s="12">
        <f>'Balance Sheet'!AZ43/1000</f>
        <v>5580.3850000000002</v>
      </c>
      <c r="BZ173" s="12">
        <f>'Balance Sheet'!BA43/1000</f>
        <v>5651.6940000000004</v>
      </c>
      <c r="CA173" s="12">
        <f>'Balance Sheet'!BB43/1000</f>
        <v>5753.4679999999998</v>
      </c>
      <c r="CB173" s="12">
        <f>'Balance Sheet'!BC43/1000</f>
        <v>5659.0910000000003</v>
      </c>
      <c r="CC173" s="12">
        <f>'Balance Sheet'!BD43/1000</f>
        <v>5659.0910000000003</v>
      </c>
      <c r="CD173" s="12">
        <f>'Balance Sheet'!BE43/1000</f>
        <v>5698.8770000000004</v>
      </c>
      <c r="CE173" s="12">
        <f>'Balance Sheet'!BF43/1000</f>
        <v>5576.3779999999997</v>
      </c>
      <c r="CF173" s="12">
        <f>'Balance Sheet'!BG43/1000</f>
        <v>5927.7160000000003</v>
      </c>
      <c r="CG173" s="12">
        <f>'Balance Sheet'!BH43/1000</f>
        <v>5887.0429999999997</v>
      </c>
      <c r="CI173" s="12">
        <f>'Balance Sheet'!BJ43/1000</f>
        <v>5952.4989999999998</v>
      </c>
      <c r="CJ173" s="12">
        <f>'Balance Sheet'!BK43/1000</f>
        <v>6000.8919999999998</v>
      </c>
      <c r="CK173" s="12">
        <f>'Balance Sheet'!BL43/1000</f>
        <v>6016.6769999999997</v>
      </c>
      <c r="CL173" s="12">
        <f>'Balance Sheet'!BM43/1000</f>
        <v>6013.5559999999996</v>
      </c>
      <c r="CM173" s="12">
        <f>'Balance Sheet'!BN43/1000</f>
        <v>6013.5559999999996</v>
      </c>
      <c r="CN173" s="12">
        <f>'Balance Sheet'!BO43/1000</f>
        <v>6019.29</v>
      </c>
      <c r="CO173" s="12">
        <f>'Balance Sheet'!BP43/1000</f>
        <v>5879.8689999999997</v>
      </c>
      <c r="CP173" s="12">
        <f>'Balance Sheet'!BQ43/1000</f>
        <v>5874.3829999999998</v>
      </c>
      <c r="CQ173" s="12">
        <f>'Balance Sheet'!BR43/1000</f>
        <v>5924.5910000000003</v>
      </c>
      <c r="CR173" s="12">
        <f>'Balance Sheet'!BS43/1000</f>
        <v>5924.5910000000003</v>
      </c>
      <c r="CS173" s="12">
        <f>'Balance Sheet'!BT43/1000</f>
        <v>5678.4889999999996</v>
      </c>
      <c r="CT173" s="12">
        <f>'Balance Sheet'!BU43/1000</f>
        <v>5443.2790000000005</v>
      </c>
      <c r="CU173" s="12">
        <f>'Balance Sheet'!BV43/1000</f>
        <v>5321.9210000000003</v>
      </c>
      <c r="CV173" s="12">
        <f>'Balance Sheet'!BW43/1000</f>
        <v>5148.5479999999998</v>
      </c>
      <c r="CW173" s="12">
        <f>'Balance Sheet'!BX43/1000</f>
        <v>5148.5479999999998</v>
      </c>
      <c r="CX173" s="12">
        <f>'Balance Sheet'!BY43/1000</f>
        <v>5194.5360000000001</v>
      </c>
      <c r="CY173" s="12">
        <f>'Balance Sheet'!BZ43/1000</f>
        <v>5145.5330000000004</v>
      </c>
      <c r="CZ173" s="12">
        <f>'Balance Sheet'!CA43/1000</f>
        <v>5112.1850000000004</v>
      </c>
      <c r="DA173" s="12">
        <f>'Balance Sheet'!CB43/1000</f>
        <v>4762.3760000000002</v>
      </c>
      <c r="DB173" s="12">
        <f>'Balance Sheet'!CC43/1000</f>
        <v>4762.3760000000002</v>
      </c>
      <c r="DC173" s="12">
        <f>'Balance Sheet'!CD43/1000</f>
        <v>4790.3969999999999</v>
      </c>
      <c r="DD173" s="12">
        <f>'Balance Sheet'!CE43/1000</f>
        <v>4857.6750000000002</v>
      </c>
      <c r="DE173" s="12">
        <f>'Balance Sheet'!CF43/1000</f>
        <v>6261.1959999999999</v>
      </c>
      <c r="DF173" s="12">
        <f>'Balance Sheet'!CG43/1000</f>
        <v>5504.7330000000002</v>
      </c>
      <c r="DG173" s="12">
        <f>'Balance Sheet'!CH43/1000</f>
        <v>5504.7330000000002</v>
      </c>
      <c r="DH173" s="10"/>
    </row>
    <row r="174" spans="1:112" s="7" customFormat="1" ht="13.5" thickBot="1">
      <c r="A174" s="13" t="s">
        <v>372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0"/>
    </row>
    <row r="175" spans="1:112" s="7" customFormat="1">
      <c r="A175" s="17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10"/>
    </row>
    <row r="176" spans="1:112" s="7" customFormat="1" ht="15">
      <c r="A176" s="22" t="s">
        <v>373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10"/>
    </row>
    <row r="177" spans="1:112" s="7" customFormat="1">
      <c r="A177" s="11" t="s">
        <v>374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0</v>
      </c>
      <c r="CF177" s="12">
        <v>0</v>
      </c>
      <c r="CG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2">
        <v>0</v>
      </c>
      <c r="CO177" s="12">
        <v>0</v>
      </c>
      <c r="CP177" s="12">
        <v>0</v>
      </c>
      <c r="CQ177" s="12">
        <v>0</v>
      </c>
      <c r="CR177" s="12">
        <v>0</v>
      </c>
      <c r="CS177" s="12">
        <v>0</v>
      </c>
      <c r="CT177" s="12">
        <v>0</v>
      </c>
      <c r="CU177" s="12">
        <v>0</v>
      </c>
      <c r="CV177" s="12">
        <v>0</v>
      </c>
      <c r="CW177" s="12">
        <v>0</v>
      </c>
      <c r="CX177" s="12">
        <v>0</v>
      </c>
      <c r="CY177" s="12">
        <v>0</v>
      </c>
      <c r="CZ177" s="12">
        <v>0</v>
      </c>
      <c r="DA177" s="12">
        <v>0</v>
      </c>
      <c r="DB177" s="12">
        <v>0</v>
      </c>
      <c r="DC177" s="12">
        <v>0</v>
      </c>
      <c r="DD177" s="12">
        <v>0</v>
      </c>
      <c r="DE177" s="12">
        <v>0</v>
      </c>
      <c r="DF177" s="12">
        <v>0</v>
      </c>
      <c r="DG177" s="12">
        <v>0</v>
      </c>
      <c r="DH177" s="10"/>
    </row>
    <row r="178" spans="1:112" s="7" customFormat="1">
      <c r="A178" s="17" t="s">
        <v>375</v>
      </c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10"/>
    </row>
    <row r="179" spans="1:112" s="7" customFormat="1" ht="13.5" thickBot="1">
      <c r="A179" s="17" t="s">
        <v>376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0"/>
    </row>
    <row r="180" spans="1:112" s="7" customFormat="1">
      <c r="A180" s="17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10"/>
    </row>
    <row r="181" spans="1:112" s="7" customFormat="1" ht="15">
      <c r="A181" s="22" t="s">
        <v>377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10"/>
    </row>
    <row r="182" spans="1:112" s="7" customFormat="1">
      <c r="A182" s="17" t="s">
        <v>378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10"/>
    </row>
    <row r="183" spans="1:112" s="7" customFormat="1">
      <c r="A183" s="17" t="s">
        <v>363</v>
      </c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10"/>
    </row>
    <row r="184" spans="1:112" s="7" customFormat="1">
      <c r="A184" s="17" t="s">
        <v>365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10"/>
    </row>
    <row r="185" spans="1:112" s="7" customFormat="1">
      <c r="A185" s="17" t="s">
        <v>369</v>
      </c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10"/>
    </row>
    <row r="186" spans="1:112" s="7" customFormat="1" ht="13.5" thickBot="1">
      <c r="A186" s="17" t="s">
        <v>377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0"/>
    </row>
    <row r="187" spans="1:112" s="7" customFormat="1">
      <c r="A187" s="17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10"/>
    </row>
    <row r="188" spans="1:112" s="7" customFormat="1" ht="15">
      <c r="A188" s="22" t="s">
        <v>379</v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10"/>
    </row>
    <row r="189" spans="1:112" s="7" customFormat="1">
      <c r="A189" s="17" t="s">
        <v>374</v>
      </c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10"/>
    </row>
    <row r="190" spans="1:112" s="7" customFormat="1">
      <c r="A190" s="17" t="s">
        <v>346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10"/>
    </row>
    <row r="191" spans="1:112" s="7" customFormat="1">
      <c r="A191" s="17" t="s">
        <v>162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10"/>
    </row>
    <row r="192" spans="1:112" s="7" customFormat="1">
      <c r="A192" s="17" t="s">
        <v>347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10"/>
    </row>
    <row r="193" spans="1:112" s="7" customFormat="1">
      <c r="A193" s="17" t="s">
        <v>361</v>
      </c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10"/>
    </row>
    <row r="194" spans="1:112" s="7" customFormat="1">
      <c r="A194" s="17" t="s">
        <v>362</v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10"/>
    </row>
    <row r="195" spans="1:112" s="7" customFormat="1" ht="13.5" thickBot="1">
      <c r="A195" s="17" t="s">
        <v>379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0"/>
    </row>
    <row r="196" spans="1:112" s="7" customFormat="1">
      <c r="A196" s="17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10"/>
    </row>
    <row r="197" spans="1:112" s="7" customFormat="1" ht="15.75">
      <c r="A197" s="25" t="s">
        <v>380</v>
      </c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10"/>
    </row>
    <row r="198" spans="1:112" s="7" customFormat="1">
      <c r="A198" s="17" t="s">
        <v>349</v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10"/>
    </row>
    <row r="199" spans="1:112" s="7" customFormat="1">
      <c r="A199" s="17" t="s">
        <v>350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10"/>
    </row>
    <row r="200" spans="1:112" s="7" customFormat="1">
      <c r="A200" s="17" t="s">
        <v>351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0"/>
    </row>
    <row r="201" spans="1:112" s="7" customFormat="1">
      <c r="A201" s="17" t="s">
        <v>352</v>
      </c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10"/>
    </row>
    <row r="202" spans="1:112" s="7" customFormat="1">
      <c r="A202" s="17" t="s">
        <v>353</v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10"/>
    </row>
    <row r="203" spans="1:112" s="7" customFormat="1">
      <c r="A203" s="17" t="s">
        <v>354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0"/>
    </row>
    <row r="204" spans="1:112" s="7" customFormat="1">
      <c r="A204" s="17" t="s">
        <v>381</v>
      </c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10"/>
    </row>
    <row r="205" spans="1:112" s="7" customFormat="1">
      <c r="A205" s="17" t="s">
        <v>356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10"/>
    </row>
    <row r="206" spans="1:112" s="7" customFormat="1">
      <c r="A206" s="17" t="s">
        <v>357</v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10"/>
    </row>
    <row r="207" spans="1:112" s="7" customFormat="1">
      <c r="A207" s="17" t="s">
        <v>358</v>
      </c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10"/>
    </row>
    <row r="208" spans="1:112" s="7" customFormat="1">
      <c r="A208" s="17" t="s">
        <v>359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0"/>
    </row>
    <row r="209" spans="1:112" s="7" customFormat="1">
      <c r="A209" s="17" t="s">
        <v>382</v>
      </c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10"/>
    </row>
    <row r="210" spans="1:112" s="7" customFormat="1">
      <c r="A210" s="17" t="s">
        <v>346</v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10"/>
    </row>
    <row r="211" spans="1:112" s="7" customFormat="1">
      <c r="A211" s="17" t="s">
        <v>162</v>
      </c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10"/>
    </row>
    <row r="212" spans="1:112" s="7" customFormat="1">
      <c r="A212" s="17" t="s">
        <v>347</v>
      </c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10"/>
    </row>
    <row r="213" spans="1:112" s="7" customFormat="1">
      <c r="A213" s="17" t="s">
        <v>361</v>
      </c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10"/>
    </row>
    <row r="214" spans="1:112" s="7" customFormat="1">
      <c r="A214" s="17" t="s">
        <v>362</v>
      </c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10"/>
    </row>
    <row r="215" spans="1:112" s="7" customFormat="1">
      <c r="A215" s="17" t="s">
        <v>379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0"/>
    </row>
    <row r="216" spans="1:112" s="7" customFormat="1">
      <c r="A216" s="17" t="s">
        <v>369</v>
      </c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10"/>
    </row>
    <row r="217" spans="1:112" s="7" customFormat="1">
      <c r="A217" s="17" t="s">
        <v>365</v>
      </c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10"/>
    </row>
    <row r="218" spans="1:112" s="7" customFormat="1">
      <c r="A218" s="17" t="s">
        <v>363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10"/>
    </row>
    <row r="219" spans="1:112" s="7" customFormat="1">
      <c r="A219" s="17" t="s">
        <v>383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10"/>
    </row>
    <row r="220" spans="1:112" s="7" customFormat="1">
      <c r="A220" s="17" t="s">
        <v>384</v>
      </c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0"/>
    </row>
    <row r="221" spans="1:112" s="7" customFormat="1">
      <c r="A221" s="17" t="s">
        <v>385</v>
      </c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10"/>
    </row>
    <row r="222" spans="1:112" s="7" customFormat="1">
      <c r="A222" s="17" t="s">
        <v>386</v>
      </c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10"/>
    </row>
    <row r="223" spans="1:112" s="7" customFormat="1">
      <c r="A223" s="17" t="s">
        <v>245</v>
      </c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10"/>
    </row>
    <row r="224" spans="1:112" s="7" customFormat="1">
      <c r="A224" s="17" t="s">
        <v>371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10"/>
    </row>
    <row r="225" spans="1:112" s="7" customFormat="1">
      <c r="A225" s="17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  <c r="DD225" s="40"/>
      <c r="DE225" s="40"/>
      <c r="DF225" s="40"/>
      <c r="DG225" s="40"/>
      <c r="DH225" s="10"/>
    </row>
    <row r="226" spans="1:112" s="7" customFormat="1" ht="15.75">
      <c r="A226" s="25" t="s">
        <v>387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10"/>
    </row>
    <row r="227" spans="1:112" s="7" customFormat="1">
      <c r="A227" s="11" t="s">
        <v>388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</v>
      </c>
      <c r="CD227" s="12">
        <v>0</v>
      </c>
      <c r="CE227" s="12">
        <v>0</v>
      </c>
      <c r="CF227" s="12">
        <v>0</v>
      </c>
      <c r="CG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0</v>
      </c>
      <c r="CO227" s="12">
        <v>0</v>
      </c>
      <c r="CP227" s="12">
        <v>0</v>
      </c>
      <c r="CQ227" s="12">
        <v>0</v>
      </c>
      <c r="CR227" s="12">
        <v>0</v>
      </c>
      <c r="CS227" s="12">
        <v>0</v>
      </c>
      <c r="CT227" s="12">
        <v>0</v>
      </c>
      <c r="CU227" s="12">
        <v>0</v>
      </c>
      <c r="CV227" s="12">
        <v>0</v>
      </c>
      <c r="CW227" s="12">
        <v>0</v>
      </c>
      <c r="CX227" s="12">
        <v>0</v>
      </c>
      <c r="CY227" s="12">
        <v>0</v>
      </c>
      <c r="CZ227" s="12">
        <v>0</v>
      </c>
      <c r="DA227" s="12">
        <v>0</v>
      </c>
      <c r="DB227" s="12">
        <v>0</v>
      </c>
      <c r="DC227" s="12">
        <v>0</v>
      </c>
      <c r="DD227" s="12">
        <v>0</v>
      </c>
      <c r="DE227" s="12">
        <v>0</v>
      </c>
      <c r="DF227" s="12">
        <v>0</v>
      </c>
      <c r="DG227" s="12">
        <v>0</v>
      </c>
      <c r="DH227" s="10"/>
    </row>
    <row r="228" spans="1:112" s="7" customFormat="1">
      <c r="A228" s="11" t="s">
        <v>389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2">
        <v>0</v>
      </c>
      <c r="CP228" s="12">
        <v>0</v>
      </c>
      <c r="CQ228" s="12">
        <v>0</v>
      </c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0</v>
      </c>
      <c r="CZ228" s="12">
        <v>0</v>
      </c>
      <c r="DA228" s="12">
        <v>0</v>
      </c>
      <c r="DB228" s="12">
        <v>0</v>
      </c>
      <c r="DC228" s="12">
        <v>0</v>
      </c>
      <c r="DD228" s="12">
        <v>0</v>
      </c>
      <c r="DE228" s="12">
        <v>0</v>
      </c>
      <c r="DF228" s="12">
        <v>0</v>
      </c>
      <c r="DG228" s="12">
        <v>0</v>
      </c>
      <c r="DH228" s="10"/>
    </row>
    <row r="229" spans="1:112" s="7" customFormat="1">
      <c r="A229" s="17" t="s">
        <v>390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0"/>
    </row>
    <row r="230" spans="1:112" s="7" customFormat="1">
      <c r="A230" s="11" t="s">
        <v>391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</v>
      </c>
      <c r="CF230" s="12">
        <v>0</v>
      </c>
      <c r="CG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0</v>
      </c>
      <c r="CO230" s="12">
        <v>0</v>
      </c>
      <c r="CP230" s="12">
        <v>0</v>
      </c>
      <c r="CQ230" s="12">
        <v>0</v>
      </c>
      <c r="CR230" s="12">
        <v>0</v>
      </c>
      <c r="CS230" s="12">
        <v>0</v>
      </c>
      <c r="CT230" s="12">
        <v>0</v>
      </c>
      <c r="CU230" s="12">
        <v>0</v>
      </c>
      <c r="CV230" s="12">
        <v>0</v>
      </c>
      <c r="CW230" s="12">
        <v>0</v>
      </c>
      <c r="CX230" s="12">
        <v>0</v>
      </c>
      <c r="CY230" s="12">
        <v>0</v>
      </c>
      <c r="CZ230" s="12">
        <v>0</v>
      </c>
      <c r="DA230" s="12">
        <v>0</v>
      </c>
      <c r="DB230" s="12">
        <v>0</v>
      </c>
      <c r="DC230" s="12">
        <v>0</v>
      </c>
      <c r="DD230" s="12">
        <v>0</v>
      </c>
      <c r="DE230" s="12">
        <v>0</v>
      </c>
      <c r="DF230" s="12">
        <v>0</v>
      </c>
      <c r="DG230" s="12">
        <v>0</v>
      </c>
      <c r="DH230" s="10"/>
    </row>
    <row r="231" spans="1:112" s="7" customFormat="1">
      <c r="A231" s="11" t="s">
        <v>392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0</v>
      </c>
      <c r="CS231" s="12">
        <v>0</v>
      </c>
      <c r="CT231" s="12">
        <v>0</v>
      </c>
      <c r="CU231" s="12">
        <v>0</v>
      </c>
      <c r="CV231" s="12">
        <v>0</v>
      </c>
      <c r="CW231" s="12">
        <v>0</v>
      </c>
      <c r="CX231" s="12">
        <v>0</v>
      </c>
      <c r="CY231" s="12">
        <v>0</v>
      </c>
      <c r="CZ231" s="12">
        <v>0</v>
      </c>
      <c r="DA231" s="12">
        <v>0</v>
      </c>
      <c r="DB231" s="12">
        <v>0</v>
      </c>
      <c r="DC231" s="12">
        <v>0</v>
      </c>
      <c r="DD231" s="12">
        <v>0</v>
      </c>
      <c r="DE231" s="12">
        <v>0</v>
      </c>
      <c r="DF231" s="12">
        <v>0</v>
      </c>
      <c r="DG231" s="12">
        <v>0</v>
      </c>
      <c r="DH231" s="10"/>
    </row>
    <row r="232" spans="1:112" s="7" customFormat="1" ht="13.5" thickBot="1">
      <c r="A232" s="17" t="s">
        <v>393</v>
      </c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0"/>
    </row>
    <row r="233" spans="1:112" s="7" customFormat="1">
      <c r="A233" s="17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10"/>
    </row>
    <row r="234" spans="1:112" s="7" customFormat="1">
      <c r="A234" s="11" t="s">
        <v>394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</v>
      </c>
      <c r="CY234" s="12">
        <v>0</v>
      </c>
      <c r="CZ234" s="12">
        <v>0</v>
      </c>
      <c r="DA234" s="12">
        <v>0</v>
      </c>
      <c r="DB234" s="12">
        <v>0</v>
      </c>
      <c r="DC234" s="12">
        <v>0</v>
      </c>
      <c r="DD234" s="12">
        <v>0</v>
      </c>
      <c r="DE234" s="12">
        <v>0</v>
      </c>
      <c r="DF234" s="12">
        <v>0</v>
      </c>
      <c r="DG234" s="12">
        <v>0</v>
      </c>
      <c r="DH234" s="10"/>
    </row>
    <row r="235" spans="1:112" s="7" customFormat="1" ht="13.5" thickBot="1">
      <c r="A235" s="11" t="s">
        <v>395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</v>
      </c>
      <c r="CO235" s="12">
        <v>0</v>
      </c>
      <c r="CP235" s="12">
        <v>0</v>
      </c>
      <c r="CQ235" s="12">
        <v>0</v>
      </c>
      <c r="CR235" s="12">
        <v>0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0</v>
      </c>
      <c r="CZ235" s="12">
        <v>0</v>
      </c>
      <c r="DA235" s="12">
        <v>0</v>
      </c>
      <c r="DB235" s="12">
        <v>0</v>
      </c>
      <c r="DC235" s="12">
        <v>0</v>
      </c>
      <c r="DD235" s="12">
        <v>0</v>
      </c>
      <c r="DE235" s="12">
        <v>0</v>
      </c>
      <c r="DF235" s="12">
        <v>0</v>
      </c>
      <c r="DG235" s="12">
        <v>0</v>
      </c>
      <c r="DH235" s="10"/>
    </row>
    <row r="236" spans="1:112" s="7" customFormat="1">
      <c r="A236" s="17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10"/>
    </row>
    <row r="237" spans="1:112" s="7" customFormat="1" ht="15.75">
      <c r="A237" s="25" t="s">
        <v>396</v>
      </c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10"/>
    </row>
    <row r="238" spans="1:112" s="7" customFormat="1">
      <c r="A238" s="17" t="s">
        <v>351</v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10"/>
    </row>
    <row r="239" spans="1:112" s="7" customFormat="1">
      <c r="A239" s="17" t="s">
        <v>352</v>
      </c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10"/>
    </row>
    <row r="240" spans="1:112" s="7" customFormat="1">
      <c r="A240" s="17" t="s">
        <v>353</v>
      </c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10"/>
    </row>
    <row r="241" spans="1:112" s="7" customFormat="1">
      <c r="A241" s="17" t="s">
        <v>357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10"/>
    </row>
    <row r="242" spans="1:112" s="7" customFormat="1">
      <c r="A242" s="17" t="s">
        <v>379</v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10"/>
    </row>
    <row r="243" spans="1:112" s="7" customFormat="1">
      <c r="A243" s="17" t="s">
        <v>397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10"/>
    </row>
    <row r="244" spans="1:112" s="7" customFormat="1">
      <c r="A244" s="13" t="s">
        <v>398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0"/>
    </row>
    <row r="245" spans="1:112" s="7" customFormat="1">
      <c r="A245" s="17" t="s">
        <v>399</v>
      </c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10"/>
    </row>
    <row r="246" spans="1:112" s="7" customFormat="1">
      <c r="A246" s="17" t="s">
        <v>356</v>
      </c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10"/>
    </row>
    <row r="247" spans="1:112" s="7" customFormat="1" ht="13.5" thickBot="1">
      <c r="A247" s="13" t="s">
        <v>400</v>
      </c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0"/>
    </row>
    <row r="248" spans="1:112" s="7" customFormat="1">
      <c r="A248" s="17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10"/>
    </row>
    <row r="249" spans="1:112" s="7" customFormat="1" ht="15">
      <c r="A249" s="22" t="s">
        <v>401</v>
      </c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10"/>
    </row>
    <row r="250" spans="1:112" s="7" customFormat="1">
      <c r="A250" s="17" t="s">
        <v>371</v>
      </c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10"/>
    </row>
    <row r="251" spans="1:112" s="7" customFormat="1">
      <c r="A251" s="17" t="s">
        <v>245</v>
      </c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10"/>
    </row>
    <row r="252" spans="1:112" s="7" customFormat="1">
      <c r="A252" s="17" t="s">
        <v>402</v>
      </c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10"/>
    </row>
    <row r="253" spans="1:112" s="7" customFormat="1">
      <c r="A253" s="17" t="s">
        <v>366</v>
      </c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10"/>
    </row>
    <row r="254" spans="1:112" s="7" customFormat="1">
      <c r="A254" s="17" t="s">
        <v>358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10"/>
    </row>
    <row r="255" spans="1:112" s="7" customFormat="1" ht="13.5" thickBot="1">
      <c r="A255" s="13" t="s">
        <v>400</v>
      </c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0"/>
    </row>
    <row r="256" spans="1:112" s="7" customFormat="1">
      <c r="A256" s="17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10"/>
    </row>
    <row r="257" spans="1:112" s="7" customFormat="1">
      <c r="A257" s="17" t="s">
        <v>398</v>
      </c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10"/>
    </row>
    <row r="258" spans="1:112" s="7" customFormat="1">
      <c r="A258" s="17" t="s">
        <v>403</v>
      </c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10"/>
    </row>
    <row r="259" spans="1:112" s="7" customFormat="1" ht="13.5" thickBot="1">
      <c r="A259" s="17" t="s">
        <v>404</v>
      </c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0"/>
    </row>
    <row r="260" spans="1:112" s="7" customFormat="1">
      <c r="A260" s="17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10"/>
    </row>
    <row r="261" spans="1:112" s="7" customFormat="1" ht="15.75">
      <c r="A261" s="25" t="s">
        <v>405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10"/>
    </row>
    <row r="262" spans="1:112" s="7" customFormat="1">
      <c r="A262" s="17" t="s">
        <v>406</v>
      </c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10"/>
    </row>
    <row r="263" spans="1:112" s="7" customFormat="1">
      <c r="A263" s="17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10"/>
    </row>
    <row r="264" spans="1:112" s="7" customFormat="1">
      <c r="A264" s="17" t="s">
        <v>407</v>
      </c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10"/>
    </row>
    <row r="265" spans="1:112" s="7" customFormat="1">
      <c r="A265" s="17" t="s">
        <v>408</v>
      </c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10"/>
    </row>
    <row r="266" spans="1:112" s="7" customFormat="1">
      <c r="A266" s="17" t="s">
        <v>409</v>
      </c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10"/>
    </row>
    <row r="267" spans="1:112" s="7" customFormat="1">
      <c r="A267" s="17" t="s">
        <v>410</v>
      </c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10"/>
    </row>
    <row r="268" spans="1:112" s="7" customFormat="1">
      <c r="A268" s="17" t="s">
        <v>411</v>
      </c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10"/>
    </row>
    <row r="269" spans="1:112" s="7" customFormat="1">
      <c r="A269" s="17" t="s">
        <v>412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10"/>
    </row>
    <row r="270" spans="1:112" s="7" customFormat="1">
      <c r="A270" s="17" t="s">
        <v>413</v>
      </c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10"/>
    </row>
    <row r="271" spans="1:112" s="7" customFormat="1">
      <c r="A271" s="17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10"/>
    </row>
    <row r="272" spans="1:112" s="7" customFormat="1" ht="15.75">
      <c r="A272" s="25" t="s">
        <v>414</v>
      </c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10"/>
    </row>
    <row r="273" spans="1:112" s="7" customFormat="1">
      <c r="A273" s="17" t="s">
        <v>415</v>
      </c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10"/>
    </row>
    <row r="274" spans="1:112" s="7" customFormat="1">
      <c r="A274" s="17" t="s">
        <v>416</v>
      </c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10"/>
    </row>
    <row r="275" spans="1:112" s="7" customFormat="1">
      <c r="A275" s="17" t="s">
        <v>417</v>
      </c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10"/>
    </row>
    <row r="276" spans="1:112" s="7" customFormat="1">
      <c r="A276" s="17" t="s">
        <v>418</v>
      </c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10"/>
    </row>
    <row r="277" spans="1:112" s="7" customFormat="1">
      <c r="A277" s="17" t="s">
        <v>419</v>
      </c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10"/>
    </row>
    <row r="278" spans="1:112" s="7" customFormat="1">
      <c r="A278" s="17" t="s">
        <v>420</v>
      </c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10"/>
    </row>
    <row r="279" spans="1:112" s="7" customFormat="1">
      <c r="A279" s="17" t="s">
        <v>421</v>
      </c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10"/>
    </row>
    <row r="280" spans="1:112" s="7" customFormat="1">
      <c r="A280" s="17" t="s">
        <v>422</v>
      </c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10"/>
    </row>
    <row r="281" spans="1:112" s="7" customFormat="1">
      <c r="A281" s="17" t="s">
        <v>423</v>
      </c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10"/>
    </row>
    <row r="282" spans="1:112" s="7" customFormat="1">
      <c r="A282" s="17" t="s">
        <v>424</v>
      </c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10"/>
    </row>
    <row r="283" spans="1:112" s="7" customFormat="1">
      <c r="A283" s="17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10"/>
    </row>
    <row r="284" spans="1:112" s="7" customFormat="1" ht="15.75">
      <c r="A284" s="25" t="s">
        <v>305</v>
      </c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10"/>
    </row>
    <row r="285" spans="1:112" s="7" customFormat="1">
      <c r="A285" s="17" t="s">
        <v>425</v>
      </c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10"/>
    </row>
    <row r="286" spans="1:112" s="7" customFormat="1">
      <c r="A286" s="17" t="s">
        <v>426</v>
      </c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10"/>
    </row>
    <row r="287" spans="1:112" s="7" customFormat="1">
      <c r="A287" s="17" t="s">
        <v>427</v>
      </c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10"/>
    </row>
    <row r="288" spans="1:112" s="7" customFormat="1">
      <c r="A288" s="17" t="s">
        <v>428</v>
      </c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10"/>
    </row>
    <row r="289" spans="1:112" s="7" customFormat="1">
      <c r="A289" s="17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10"/>
    </row>
    <row r="290" spans="1:112" s="7" customFormat="1" ht="15.75">
      <c r="A290" s="25" t="s">
        <v>429</v>
      </c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10"/>
    </row>
    <row r="291" spans="1:112" s="7" customFormat="1">
      <c r="A291" s="17" t="s">
        <v>430</v>
      </c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10"/>
    </row>
    <row r="292" spans="1:112" s="7" customFormat="1">
      <c r="A292" s="17" t="s">
        <v>431</v>
      </c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10"/>
    </row>
    <row r="293" spans="1:112" s="7" customFormat="1">
      <c r="A293" s="17" t="s">
        <v>432</v>
      </c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10"/>
    </row>
    <row r="294" spans="1:112" s="7" customFormat="1">
      <c r="A294" s="17" t="s">
        <v>433</v>
      </c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10"/>
    </row>
    <row r="295" spans="1:112" s="7" customFormat="1">
      <c r="A295" s="17" t="s">
        <v>434</v>
      </c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  <c r="DA295" s="41"/>
      <c r="DB295" s="41"/>
      <c r="DC295" s="41"/>
      <c r="DD295" s="41"/>
      <c r="DE295" s="41"/>
      <c r="DF295" s="41"/>
      <c r="DG295" s="41"/>
      <c r="DH295" s="10"/>
    </row>
    <row r="296" spans="1:112" s="7" customFormat="1">
      <c r="A296" s="17" t="s">
        <v>435</v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10"/>
    </row>
    <row r="297" spans="1:112" s="7" customFormat="1">
      <c r="A297" s="17" t="s">
        <v>436</v>
      </c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10"/>
    </row>
    <row r="298" spans="1:112" s="7" customFormat="1">
      <c r="A298" s="17" t="s">
        <v>437</v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10"/>
    </row>
    <row r="299" spans="1:112" s="7" customFormat="1">
      <c r="A299" s="17" t="s">
        <v>438</v>
      </c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  <c r="BW299" s="42"/>
      <c r="BX299" s="42"/>
      <c r="BY299" s="42"/>
      <c r="BZ299" s="42"/>
      <c r="CA299" s="42"/>
      <c r="CB299" s="42"/>
      <c r="CC299" s="42"/>
      <c r="CD299" s="42"/>
      <c r="CE299" s="42"/>
      <c r="CF299" s="42"/>
      <c r="CG299" s="42"/>
      <c r="CI299" s="42"/>
      <c r="CJ299" s="42"/>
      <c r="CK299" s="42"/>
      <c r="CL299" s="42"/>
      <c r="CM299" s="42"/>
      <c r="CN299" s="42"/>
      <c r="CO299" s="42"/>
      <c r="CP299" s="42"/>
      <c r="CQ299" s="42"/>
      <c r="CR299" s="42"/>
      <c r="CS299" s="42"/>
      <c r="CT299" s="42"/>
      <c r="CU299" s="42"/>
      <c r="CV299" s="42"/>
      <c r="CW299" s="42"/>
      <c r="CX299" s="42"/>
      <c r="CY299" s="42"/>
      <c r="CZ299" s="42"/>
      <c r="DA299" s="42"/>
      <c r="DB299" s="42"/>
      <c r="DC299" s="42"/>
      <c r="DD299" s="42"/>
      <c r="DE299" s="42"/>
      <c r="DF299" s="42"/>
      <c r="DG299" s="42"/>
      <c r="DH299" s="10"/>
    </row>
    <row r="300" spans="1:112" s="7" customFormat="1">
      <c r="A300" s="17" t="s">
        <v>439</v>
      </c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0"/>
    </row>
    <row r="301" spans="1:112" s="7" customFormat="1">
      <c r="A301" s="17" t="s">
        <v>440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10"/>
    </row>
    <row r="302" spans="1:112" s="7" customFormat="1">
      <c r="A302" s="17" t="s">
        <v>441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0"/>
    </row>
    <row r="303" spans="1:112" s="7" customFormat="1">
      <c r="A303" s="17" t="s">
        <v>442</v>
      </c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10"/>
    </row>
    <row r="304" spans="1:112" s="7" customFormat="1" ht="13.5" thickBot="1">
      <c r="A304" s="17" t="s">
        <v>443</v>
      </c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10"/>
    </row>
    <row r="305" spans="1:112" s="7" customFormat="1" ht="15.75">
      <c r="A305" s="31" t="s">
        <v>444</v>
      </c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2"/>
      <c r="BZ305" s="32"/>
      <c r="CA305" s="32"/>
      <c r="CB305" s="32"/>
      <c r="CC305" s="32"/>
      <c r="CD305" s="32"/>
      <c r="CE305" s="32"/>
      <c r="CF305" s="32"/>
      <c r="CG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  <c r="CU305" s="32"/>
      <c r="CV305" s="32"/>
      <c r="CW305" s="32"/>
      <c r="CX305" s="32"/>
      <c r="CY305" s="32"/>
      <c r="CZ305" s="32"/>
      <c r="DA305" s="32"/>
      <c r="DB305" s="32"/>
      <c r="DC305" s="32"/>
      <c r="DD305" s="32"/>
      <c r="DE305" s="32"/>
      <c r="DF305" s="32"/>
      <c r="DG305" s="32"/>
      <c r="DH305" s="10"/>
    </row>
    <row r="306" spans="1:112" s="7" customFormat="1" ht="15.75">
      <c r="A306" s="25" t="s">
        <v>445</v>
      </c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10"/>
    </row>
    <row r="307" spans="1:112" s="7" customFormat="1">
      <c r="A307" s="17" t="s">
        <v>446</v>
      </c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10"/>
    </row>
    <row r="308" spans="1:112" s="7" customFormat="1">
      <c r="A308" s="17" t="s">
        <v>447</v>
      </c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10"/>
    </row>
    <row r="309" spans="1:112" s="7" customFormat="1">
      <c r="A309" s="17" t="s">
        <v>238</v>
      </c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10"/>
    </row>
    <row r="310" spans="1:112" s="7" customFormat="1">
      <c r="A310" s="11" t="s">
        <v>448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>
        <f>'Cash Flow'!P6/1000</f>
        <v>-649.03099999999995</v>
      </c>
      <c r="AP310" s="12">
        <f>'Cash Flow'!Q6/1000</f>
        <v>-100.386</v>
      </c>
      <c r="AQ310" s="12">
        <f>'Cash Flow'!R6/1000</f>
        <v>-130.43700000000001</v>
      </c>
      <c r="AR310" s="12">
        <f>'Cash Flow'!S6/1000</f>
        <v>-142.517</v>
      </c>
      <c r="AS310" s="12">
        <f>'Cash Flow'!T6/1000</f>
        <v>-283.63200000000001</v>
      </c>
      <c r="AT310" s="12">
        <f>'Cash Flow'!U6/1000</f>
        <v>-656.97199999999998</v>
      </c>
      <c r="AU310" s="12">
        <f>'Cash Flow'!V6/1000</f>
        <v>-366.48099999999999</v>
      </c>
      <c r="AV310" s="12">
        <f>'Cash Flow'!W6/1000</f>
        <v>-374.33300000000003</v>
      </c>
      <c r="AW310" s="12">
        <f>'Cash Flow'!X6/1000</f>
        <v>-379.892</v>
      </c>
      <c r="AX310" s="12">
        <f>'Cash Flow'!Y6/1000</f>
        <v>13.087999999999999</v>
      </c>
      <c r="AY310" s="12">
        <f>'Cash Flow'!Z6/1000</f>
        <v>-1107.6179999999999</v>
      </c>
      <c r="AZ310" s="12">
        <f>'Cash Flow'!AA6/1000</f>
        <v>-174.41200000000001</v>
      </c>
      <c r="BA310" s="12">
        <f>'Cash Flow'!AB6/1000</f>
        <v>-509.23</v>
      </c>
      <c r="BB310" s="12">
        <f>'Cash Flow'!AC6/1000</f>
        <v>-533.98900000000003</v>
      </c>
      <c r="BC310" s="12">
        <f>'Cash Flow'!AD6/1000</f>
        <v>-451.16</v>
      </c>
      <c r="BD310" s="12">
        <f>'Cash Flow'!AE6/1000</f>
        <v>-1668.7909999999999</v>
      </c>
      <c r="BE310" s="12">
        <f>'Cash Flow'!AF6/1000</f>
        <v>-504.08</v>
      </c>
      <c r="BF310" s="12">
        <f>'Cash Flow'!AG6/1000</f>
        <v>-404.25900000000001</v>
      </c>
      <c r="BG310" s="12">
        <f>'Cash Flow'!AH6/1000</f>
        <v>-439.072</v>
      </c>
      <c r="BH310" s="12">
        <f>'Cash Flow'!AI6/1000</f>
        <v>-483.30200000000002</v>
      </c>
      <c r="BI310" s="12">
        <f>'Cash Flow'!AJ6/1000</f>
        <v>-1830.713</v>
      </c>
      <c r="BJ310" s="12">
        <f>'Cash Flow'!AK6/1000</f>
        <v>-226.13900000000001</v>
      </c>
      <c r="BK310" s="12">
        <f>'Cash Flow'!AL6/1000</f>
        <v>-120.002</v>
      </c>
      <c r="BL310" s="12">
        <f>'Cash Flow'!AM6/1000</f>
        <v>-260.89400000000001</v>
      </c>
      <c r="BM310" s="12">
        <f>'Cash Flow'!AN6/1000</f>
        <v>0.33600000000000002</v>
      </c>
      <c r="BN310" s="12">
        <f>'Cash Flow'!AO6/1000</f>
        <v>-606.69899999999996</v>
      </c>
      <c r="BO310" s="12">
        <f>'Cash Flow'!AP6/1000</f>
        <v>-60.429000000000002</v>
      </c>
      <c r="BP310" s="12">
        <f>'Cash Flow'!AQ6/1000</f>
        <v>-122.396</v>
      </c>
      <c r="BQ310" s="12">
        <f>'Cash Flow'!AR6/1000</f>
        <v>-62.639000000000003</v>
      </c>
      <c r="BR310" s="12">
        <f>'Cash Flow'!AS6/1000</f>
        <v>312.37299999999999</v>
      </c>
      <c r="BS310" s="12">
        <f>'Cash Flow'!AT6/1000</f>
        <v>66.909000000000006</v>
      </c>
      <c r="BT310" s="12">
        <f>'Cash Flow'!AU6/1000</f>
        <v>48.069000000000003</v>
      </c>
      <c r="BU310" s="12">
        <f>'Cash Flow'!AV6/1000</f>
        <v>-236.34700000000001</v>
      </c>
      <c r="BV310" s="12">
        <f>'Cash Flow'!AW6/1000</f>
        <v>-259.36700000000002</v>
      </c>
      <c r="BW310" s="12">
        <f>'Cash Flow'!AX6/1000</f>
        <v>-250.08600000000001</v>
      </c>
      <c r="BX310" s="12">
        <f>'Cash Flow'!AY6/1000</f>
        <v>-697.73099999999999</v>
      </c>
      <c r="BY310" s="12">
        <f>'Cash Flow'!AZ6/1000</f>
        <v>59.837000000000003</v>
      </c>
      <c r="BZ310" s="12">
        <f>'Cash Flow'!BA6/1000</f>
        <v>-61.962000000000003</v>
      </c>
      <c r="CA310" s="12">
        <f>'Cash Flow'!BB6/1000</f>
        <v>-45.558999999999997</v>
      </c>
      <c r="CB310" s="12">
        <f>'Cash Flow'!BC6/1000</f>
        <v>248.458</v>
      </c>
      <c r="CC310" s="12">
        <f>'Cash Flow'!BD6/1000</f>
        <v>200.774</v>
      </c>
      <c r="CD310" s="12">
        <f>'Cash Flow'!BE6/1000</f>
        <v>252.70599999999999</v>
      </c>
      <c r="CE310" s="12">
        <f>'Cash Flow'!BF6/1000</f>
        <v>367.18</v>
      </c>
      <c r="CF310" s="12">
        <f>'Cash Flow'!BG6/1000</f>
        <v>-215.553</v>
      </c>
      <c r="CG310" s="12">
        <f>'Cash Flow'!BH6/1000</f>
        <v>-5.9180000000000001</v>
      </c>
      <c r="CI310" s="12">
        <f>'Cash Flow'!BJ6/1000</f>
        <v>-77.861000000000004</v>
      </c>
      <c r="CJ310" s="12">
        <f>'Cash Flow'!BK6/1000</f>
        <v>-17.370999999999999</v>
      </c>
      <c r="CK310" s="12">
        <f>'Cash Flow'!BL6/1000</f>
        <v>-193.72200000000001</v>
      </c>
      <c r="CL310" s="12">
        <f>'Cash Flow'!BM6/1000</f>
        <v>331.03899999999999</v>
      </c>
      <c r="CM310" s="12">
        <f>'Cash Flow'!BN6/1000</f>
        <v>42.085000000000001</v>
      </c>
      <c r="CN310" s="12">
        <f>'Cash Flow'!BO6/1000</f>
        <v>94.49</v>
      </c>
      <c r="CO310" s="12">
        <f>'Cash Flow'!BP6/1000</f>
        <v>295.92399999999998</v>
      </c>
      <c r="CP310" s="12">
        <f>'Cash Flow'!BQ6/1000</f>
        <v>166.39599999999999</v>
      </c>
      <c r="CQ310" s="12">
        <f>'Cash Flow'!BR6/1000</f>
        <v>300.73700000000002</v>
      </c>
      <c r="CR310" s="12">
        <f>'Cash Flow'!BS6/1000</f>
        <v>857.54700000000003</v>
      </c>
      <c r="CS310" s="12">
        <f>'Cash Flow'!BT6/1000</f>
        <v>633.10500000000002</v>
      </c>
      <c r="CT310" s="12">
        <f>'Cash Flow'!BU6/1000</f>
        <v>175.179</v>
      </c>
      <c r="CU310" s="12">
        <f>'Cash Flow'!BV6/1000</f>
        <v>289.57</v>
      </c>
      <c r="CV310" s="12">
        <f>'Cash Flow'!BW6/1000</f>
        <v>112.747</v>
      </c>
      <c r="CW310" s="12">
        <f>'Cash Flow'!BX6/1000</f>
        <v>1210.6010000000001</v>
      </c>
      <c r="CX310" s="12">
        <f>'Cash Flow'!BY6/1000</f>
        <v>44.177</v>
      </c>
      <c r="CY310" s="12">
        <f>'Cash Flow'!BZ6/1000</f>
        <v>242.61799999999999</v>
      </c>
      <c r="CZ310" s="12">
        <f>'Cash Flow'!CA6/1000</f>
        <v>-81.799000000000007</v>
      </c>
      <c r="DA310" s="12">
        <f>'Cash Flow'!CB6/1000</f>
        <v>100.557</v>
      </c>
      <c r="DB310" s="12">
        <f>'Cash Flow'!CC6/1000</f>
        <v>305.553</v>
      </c>
      <c r="DC310" s="12">
        <f>'Cash Flow'!CD6/1000</f>
        <v>12.475</v>
      </c>
      <c r="DD310" s="12">
        <f>'Cash Flow'!CE6/1000</f>
        <v>-139.67699999999999</v>
      </c>
      <c r="DE310" s="12">
        <f>'Cash Flow'!CF6/1000</f>
        <v>943.95</v>
      </c>
      <c r="DF310" s="12">
        <f>'Cash Flow'!CG6/1000</f>
        <v>-55.543999999999997</v>
      </c>
      <c r="DG310" s="12">
        <f>'Cash Flow'!CH6/1000</f>
        <v>761.20399999999995</v>
      </c>
      <c r="DH310" s="10"/>
    </row>
    <row r="311" spans="1:112" s="7" customFormat="1">
      <c r="A311" s="11" t="s">
        <v>449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2">
        <v>0</v>
      </c>
      <c r="BG311" s="12">
        <v>0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0</v>
      </c>
      <c r="BO311" s="12">
        <v>0</v>
      </c>
      <c r="BP311" s="12">
        <v>0</v>
      </c>
      <c r="BQ311" s="12">
        <v>0</v>
      </c>
      <c r="BR311" s="12">
        <v>0</v>
      </c>
      <c r="BS311" s="12">
        <v>0</v>
      </c>
      <c r="BT311" s="12">
        <v>0</v>
      </c>
      <c r="BU311" s="12">
        <v>0</v>
      </c>
      <c r="BV311" s="12">
        <v>0</v>
      </c>
      <c r="BW311" s="12">
        <v>0</v>
      </c>
      <c r="BX311" s="12">
        <v>0</v>
      </c>
      <c r="BY311" s="12">
        <v>0</v>
      </c>
      <c r="BZ311" s="12">
        <v>0</v>
      </c>
      <c r="CA311" s="12">
        <v>0</v>
      </c>
      <c r="CB311" s="12">
        <v>0</v>
      </c>
      <c r="CC311" s="12">
        <v>0</v>
      </c>
      <c r="CD311" s="12">
        <v>0</v>
      </c>
      <c r="CE311" s="12">
        <v>0</v>
      </c>
      <c r="CF311" s="12">
        <v>0</v>
      </c>
      <c r="CG311" s="12">
        <v>0</v>
      </c>
      <c r="CI311" s="12">
        <v>0</v>
      </c>
      <c r="CJ311" s="12">
        <v>0</v>
      </c>
      <c r="CK311" s="12">
        <v>0</v>
      </c>
      <c r="CL311" s="12">
        <v>0</v>
      </c>
      <c r="CM311" s="12">
        <v>0</v>
      </c>
      <c r="CN311" s="12">
        <v>0</v>
      </c>
      <c r="CO311" s="12">
        <v>0</v>
      </c>
      <c r="CP311" s="12">
        <v>0</v>
      </c>
      <c r="CQ311" s="12">
        <v>0</v>
      </c>
      <c r="CR311" s="12">
        <v>0</v>
      </c>
      <c r="CS311" s="12">
        <v>0</v>
      </c>
      <c r="CT311" s="12">
        <v>0</v>
      </c>
      <c r="CU311" s="12">
        <v>0</v>
      </c>
      <c r="CV311" s="12">
        <v>0</v>
      </c>
      <c r="CW311" s="12">
        <v>0</v>
      </c>
      <c r="CX311" s="12">
        <v>0</v>
      </c>
      <c r="CY311" s="12">
        <v>0</v>
      </c>
      <c r="CZ311" s="12">
        <v>0</v>
      </c>
      <c r="DA311" s="12">
        <v>0</v>
      </c>
      <c r="DB311" s="12">
        <v>0</v>
      </c>
      <c r="DC311" s="12">
        <v>0</v>
      </c>
      <c r="DD311" s="12">
        <v>0</v>
      </c>
      <c r="DE311" s="12">
        <v>0</v>
      </c>
      <c r="DF311" s="12">
        <v>0</v>
      </c>
      <c r="DG311" s="12">
        <v>0</v>
      </c>
      <c r="DH311" s="10"/>
    </row>
    <row r="312" spans="1:112" s="7" customFormat="1" ht="13.5" thickBot="1">
      <c r="A312" s="13" t="s">
        <v>450</v>
      </c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0"/>
    </row>
    <row r="313" spans="1:112" s="7" customFormat="1">
      <c r="A313" s="11" t="s">
        <v>451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>
        <f>('Income Statement'!P41+'Income Statement'!P43+'Income Statement'!P7+('Balance Sheet'!P37+'Balance Sheet'!P36-'Balance Sheet'!K36-'Balance Sheet'!K37)-('Balance Sheet'!P16+'Balance Sheet'!P17-'Balance Sheet'!K16-'Balance Sheet'!K17))/1000</f>
        <v>-38.798999999999999</v>
      </c>
      <c r="AP313" s="12">
        <f>('Income Statement'!Q41+'Income Statement'!Q43+'Income Statement'!Q7+('Balance Sheet'!Q37+'Balance Sheet'!Q36-'Balance Sheet'!P36-'Balance Sheet'!P37)-('Balance Sheet'!Q16+'Balance Sheet'!Q17-'Balance Sheet'!P16-'Balance Sheet'!P17))/1000</f>
        <v>-15.496</v>
      </c>
      <c r="AQ313" s="12">
        <f>('Income Statement'!R41+'Income Statement'!R43+'Income Statement'!R7+('Balance Sheet'!R37+'Balance Sheet'!R36-'Balance Sheet'!Q36-'Balance Sheet'!Q37)-('Balance Sheet'!R16+'Balance Sheet'!R17-'Balance Sheet'!Q16-'Balance Sheet'!Q17))/1000</f>
        <v>-19.545999999999999</v>
      </c>
      <c r="AR313" s="12">
        <f>('Income Statement'!S41+'Income Statement'!S43+'Income Statement'!S7+('Balance Sheet'!S37+'Balance Sheet'!S36-'Balance Sheet'!R36-'Balance Sheet'!R37)-('Balance Sheet'!S16+'Balance Sheet'!S17-'Balance Sheet'!R16-'Balance Sheet'!R17))/1000</f>
        <v>-28.827999999999999</v>
      </c>
      <c r="AS313" s="12">
        <f>('Income Statement'!T41+'Income Statement'!T43+'Income Statement'!T7+('Balance Sheet'!T37+'Balance Sheet'!T36-'Balance Sheet'!S36-'Balance Sheet'!S37)-('Balance Sheet'!T16+'Balance Sheet'!T17-'Balance Sheet'!S16-'Balance Sheet'!S17))/1000</f>
        <v>6.3289999999999997</v>
      </c>
      <c r="AT313" s="12">
        <f>('Income Statement'!U41+'Income Statement'!U43+'Income Statement'!U7+('Balance Sheet'!U37+'Balance Sheet'!U36-'Balance Sheet'!P36-'Balance Sheet'!P37)-('Balance Sheet'!U16+'Balance Sheet'!U17-'Balance Sheet'!P16-'Balance Sheet'!P17))/1000</f>
        <v>-57.540999999999997</v>
      </c>
      <c r="AU313" s="12">
        <f>('Income Statement'!V41+'Income Statement'!V43+'Income Statement'!V7+('Balance Sheet'!V37+'Balance Sheet'!V36-'Balance Sheet'!U36-'Balance Sheet'!U37)-('Balance Sheet'!V16+'Balance Sheet'!V17-'Balance Sheet'!U16-'Balance Sheet'!U17))/1000</f>
        <v>-18.925999999999998</v>
      </c>
      <c r="AV313" s="12">
        <f>('Income Statement'!W41+'Income Statement'!W43+'Income Statement'!W7+('Balance Sheet'!W37+'Balance Sheet'!W36-'Balance Sheet'!V36-'Balance Sheet'!V37)-('Balance Sheet'!W16+'Balance Sheet'!W17-'Balance Sheet'!V16-'Balance Sheet'!V17))/1000</f>
        <v>-33.576000000000001</v>
      </c>
      <c r="AW313" s="12">
        <f>('Income Statement'!X41+'Income Statement'!X43+'Income Statement'!X7+('Balance Sheet'!X37+'Balance Sheet'!X36-'Balance Sheet'!W36-'Balance Sheet'!W37)-('Balance Sheet'!X16+'Balance Sheet'!X17-'Balance Sheet'!W16-'Balance Sheet'!W17))/1000</f>
        <v>-12.083</v>
      </c>
      <c r="AX313" s="12">
        <f>('Income Statement'!Y41+'Income Statement'!Y43+'Income Statement'!Y7+('Balance Sheet'!Y37+'Balance Sheet'!Y36-'Balance Sheet'!X36-'Balance Sheet'!X37)-('Balance Sheet'!Y16+'Balance Sheet'!Y17-'Balance Sheet'!X16-'Balance Sheet'!X17))/1000</f>
        <v>-17.864000000000001</v>
      </c>
      <c r="AY313" s="12">
        <f>('Income Statement'!Z41+'Income Statement'!Z43+'Income Statement'!Z7+('Balance Sheet'!Z37+'Balance Sheet'!Z36-'Balance Sheet'!U36-'Balance Sheet'!U37)-('Balance Sheet'!Z16+'Balance Sheet'!Z17-'Balance Sheet'!U16-'Balance Sheet'!U17))/1000</f>
        <v>-82.448999999999998</v>
      </c>
      <c r="AZ313" s="12">
        <f>('Income Statement'!AA41+'Income Statement'!AA43+'Income Statement'!AA7+('Balance Sheet'!AA37+'Balance Sheet'!AA36-'Balance Sheet'!Z36-'Balance Sheet'!Z37)-('Balance Sheet'!AA16+'Balance Sheet'!AA17-'Balance Sheet'!Z16-'Balance Sheet'!Z17))/1000</f>
        <v>-27.309000000000001</v>
      </c>
      <c r="BA313" s="12">
        <f>('Income Statement'!AB41+'Income Statement'!AB43+'Income Statement'!AB7+('Balance Sheet'!AB37+'Balance Sheet'!AB36-'Balance Sheet'!AA36-'Balance Sheet'!AA37)-('Balance Sheet'!AB16+'Balance Sheet'!AB17-'Balance Sheet'!AA16-'Balance Sheet'!AA17))/1000</f>
        <v>-36.901000000000003</v>
      </c>
      <c r="BB313" s="12">
        <f>('Income Statement'!AC41+'Income Statement'!AC43+'Income Statement'!AC7+('Balance Sheet'!AC37+'Balance Sheet'!AC36-'Balance Sheet'!AB36-'Balance Sheet'!AB37)-('Balance Sheet'!AC16+'Balance Sheet'!AC17-'Balance Sheet'!AB16-'Balance Sheet'!AB17))/1000</f>
        <v>-29.332999999999998</v>
      </c>
      <c r="BC313" s="12">
        <f>('Income Statement'!AD41+'Income Statement'!AD43+'Income Statement'!AD7+('Balance Sheet'!AD37+'Balance Sheet'!AD36-'Balance Sheet'!AC36-'Balance Sheet'!AC37)-('Balance Sheet'!AD16+'Balance Sheet'!AD17-'Balance Sheet'!AC16-'Balance Sheet'!AC17))/1000</f>
        <v>6.0890000000000004</v>
      </c>
      <c r="BD313" s="12">
        <f>('Income Statement'!AE41+'Income Statement'!AE43+'Income Statement'!AE7+('Balance Sheet'!AE37+'Balance Sheet'!AE36-'Balance Sheet'!Z36-'Balance Sheet'!Z37)-('Balance Sheet'!AE16+'Balance Sheet'!AE17-'Balance Sheet'!Z16-'Balance Sheet'!Z17))/1000</f>
        <v>-87.453999999999994</v>
      </c>
      <c r="BE313" s="12">
        <f>('Income Statement'!AF41+'Income Statement'!AF43+'Income Statement'!AF7+('Balance Sheet'!AF37+'Balance Sheet'!AF36-'Balance Sheet'!AE36-'Balance Sheet'!AE37)-('Balance Sheet'!AF16+'Balance Sheet'!AF17-'Balance Sheet'!AE16-'Balance Sheet'!AE17))/1000</f>
        <v>-28.103000000000002</v>
      </c>
      <c r="BF313" s="12">
        <f>('Income Statement'!AG41+'Income Statement'!AG43+'Income Statement'!AG7+('Balance Sheet'!AG37+'Balance Sheet'!AG36-'Balance Sheet'!AF36-'Balance Sheet'!AF37)-('Balance Sheet'!AG16+'Balance Sheet'!AG17-'Balance Sheet'!AF16-'Balance Sheet'!AF17))/1000</f>
        <v>-39.683999999999997</v>
      </c>
      <c r="BG313" s="12">
        <f>('Income Statement'!AH41+'Income Statement'!AH43+'Income Statement'!AH7+('Balance Sheet'!AH37+'Balance Sheet'!AH36-'Balance Sheet'!AG36-'Balance Sheet'!AG37)-('Balance Sheet'!AH16+'Balance Sheet'!AH17-'Balance Sheet'!AG16-'Balance Sheet'!AG17))/1000</f>
        <v>-54.801000000000002</v>
      </c>
      <c r="BH313" s="12">
        <f>('Income Statement'!AI41+'Income Statement'!AI43+'Income Statement'!AI7+('Balance Sheet'!AI37+'Balance Sheet'!AI36-'Balance Sheet'!AH36-'Balance Sheet'!AH37)-('Balance Sheet'!AI16+'Balance Sheet'!AI17-'Balance Sheet'!AH16-'Balance Sheet'!AH17))/1000</f>
        <v>-29.827999999999999</v>
      </c>
      <c r="BI313" s="12">
        <f>('Income Statement'!AJ41+'Income Statement'!AJ43+'Income Statement'!AJ7+('Balance Sheet'!AJ37+'Balance Sheet'!AJ36-'Balance Sheet'!AE36-'Balance Sheet'!AE37)-('Balance Sheet'!AJ16+'Balance Sheet'!AJ17-'Balance Sheet'!AE16-'Balance Sheet'!AE17))/1000</f>
        <v>-152.416</v>
      </c>
      <c r="BJ313" s="12">
        <f>('Income Statement'!AK41+'Income Statement'!AK43+'Income Statement'!AK7+('Balance Sheet'!AK37+'Balance Sheet'!AK36-'Balance Sheet'!AJ36-'Balance Sheet'!AJ37)-('Balance Sheet'!AK16+'Balance Sheet'!AK17-'Balance Sheet'!AJ16-'Balance Sheet'!AJ17))/1000</f>
        <v>-52.46</v>
      </c>
      <c r="BK313" s="12">
        <f>('Income Statement'!AL41+'Income Statement'!AL43+'Income Statement'!AL7+('Balance Sheet'!AL37+'Balance Sheet'!AL36-'Balance Sheet'!AK36-'Balance Sheet'!AK37)-('Balance Sheet'!AL16+'Balance Sheet'!AL17-'Balance Sheet'!AK16-'Balance Sheet'!AK17))/1000</f>
        <v>-46.868000000000002</v>
      </c>
      <c r="BL313" s="12">
        <f>('Income Statement'!AM41+'Income Statement'!AM43+'Income Statement'!AM7+('Balance Sheet'!AM37+'Balance Sheet'!AM36-'Balance Sheet'!AL36-'Balance Sheet'!AL37)-('Balance Sheet'!AM16+'Balance Sheet'!AM17-'Balance Sheet'!AL16-'Balance Sheet'!AL17))/1000</f>
        <v>-56.725000000000001</v>
      </c>
      <c r="BM313" s="12">
        <f>('Income Statement'!AN41+'Income Statement'!AN43+'Income Statement'!AN7+('Balance Sheet'!AN37+'Balance Sheet'!AN36-'Balance Sheet'!AM36-'Balance Sheet'!AM37)-('Balance Sheet'!AN16+'Balance Sheet'!AN17-'Balance Sheet'!AM16-'Balance Sheet'!AM17))/1000</f>
        <v>-60.735999999999997</v>
      </c>
      <c r="BN313" s="12">
        <f>('Income Statement'!AO41+'Income Statement'!AO43+'Income Statement'!AO7+('Balance Sheet'!AO37+'Balance Sheet'!AO36-'Balance Sheet'!AJ36-'Balance Sheet'!AJ37)-('Balance Sheet'!AO16+'Balance Sheet'!AO17-'Balance Sheet'!AJ16-'Balance Sheet'!AJ17))/1000</f>
        <v>-216.78899999999999</v>
      </c>
      <c r="BO313" s="12">
        <f>('Income Statement'!AP41+'Income Statement'!AP43+'Income Statement'!AP7+('Balance Sheet'!AP37+'Balance Sheet'!AP36-'Balance Sheet'!AO36-'Balance Sheet'!AO37)-('Balance Sheet'!AP16+'Balance Sheet'!AP17-'Balance Sheet'!AO16-'Balance Sheet'!AO17))/1000</f>
        <v>-81.037999999999997</v>
      </c>
      <c r="BP313" s="12">
        <f>('Income Statement'!AQ41+'Income Statement'!AQ43+'Income Statement'!AQ7+('Balance Sheet'!AQ37+'Balance Sheet'!AQ36-'Balance Sheet'!AP36-'Balance Sheet'!AP37)-('Balance Sheet'!AQ16+'Balance Sheet'!AQ17-'Balance Sheet'!AP16-'Balance Sheet'!AP17))/1000</f>
        <v>-61.238999999999997</v>
      </c>
      <c r="BQ313" s="12">
        <f>('Income Statement'!AR41+'Income Statement'!AR43+'Income Statement'!AR7+('Balance Sheet'!AR37+'Balance Sheet'!AR36-'Balance Sheet'!AQ36-'Balance Sheet'!AQ37)-('Balance Sheet'!AR16+'Balance Sheet'!AR17-'Balance Sheet'!AQ16-'Balance Sheet'!AQ17))/1000</f>
        <v>-56.387</v>
      </c>
      <c r="BR313" s="12">
        <f>('Income Statement'!AS41+'Income Statement'!AS43+'Income Statement'!AS7+('Balance Sheet'!AS37+'Balance Sheet'!AS36-'Balance Sheet'!AR36-'Balance Sheet'!AR37)-('Balance Sheet'!AS16+'Balance Sheet'!AS17-'Balance Sheet'!AR16-'Balance Sheet'!AR17))/1000</f>
        <v>-70.748000000000005</v>
      </c>
      <c r="BS313" s="12">
        <f>('Income Statement'!AT41+'Income Statement'!AT43+'Income Statement'!AT7+('Balance Sheet'!AT37+'Balance Sheet'!AT36-'Balance Sheet'!AO36-'Balance Sheet'!AO37)-('Balance Sheet'!AT16+'Balance Sheet'!AT17-'Balance Sheet'!AO16-'Balance Sheet'!AO17))/1000</f>
        <v>-269.41199999999998</v>
      </c>
      <c r="BT313" s="12">
        <f>('Income Statement'!AU41+'Income Statement'!AU43+'Income Statement'!AU7+('Balance Sheet'!AU37+'Balance Sheet'!AU36-'Balance Sheet'!AT36-'Balance Sheet'!AT37)-('Balance Sheet'!AU16+'Balance Sheet'!AU17-'Balance Sheet'!AT16-'Balance Sheet'!AT17))/1000</f>
        <v>-35.756</v>
      </c>
      <c r="BU313" s="12">
        <f>('Income Statement'!AV41+'Income Statement'!AV43+'Income Statement'!AV7+('Balance Sheet'!AV37+'Balance Sheet'!AV36-'Balance Sheet'!AU36-'Balance Sheet'!AU37)-('Balance Sheet'!AV16+'Balance Sheet'!AV17-'Balance Sheet'!AU16-'Balance Sheet'!AU17))/1000</f>
        <v>-68.742000000000004</v>
      </c>
      <c r="BV313" s="12">
        <f>('Income Statement'!AW41+'Income Statement'!AW43+'Income Statement'!AW7+('Balance Sheet'!AW37+'Balance Sheet'!AW36-'Balance Sheet'!AV36-'Balance Sheet'!AV37)-('Balance Sheet'!AW16+'Balance Sheet'!AW17-'Balance Sheet'!AV16-'Balance Sheet'!AV17))/1000</f>
        <v>-50.554000000000002</v>
      </c>
      <c r="BW313" s="12">
        <f>('Income Statement'!AX41+'Income Statement'!AX43+'Income Statement'!AX7+('Balance Sheet'!AX37+'Balance Sheet'!AX36-'Balance Sheet'!AW36-'Balance Sheet'!AW37)-('Balance Sheet'!AX16+'Balance Sheet'!AX17-'Balance Sheet'!AW16-'Balance Sheet'!AW17))/1000</f>
        <v>-22.55</v>
      </c>
      <c r="BX313" s="12">
        <f>('Income Statement'!AY41+'Income Statement'!AY43+'Income Statement'!AY7+('Balance Sheet'!AY37+'Balance Sheet'!AY36-'Balance Sheet'!AT36-'Balance Sheet'!AT37)-('Balance Sheet'!AY16+'Balance Sheet'!AY17-'Balance Sheet'!AT16-'Balance Sheet'!AT17))/1000</f>
        <v>-177.602</v>
      </c>
      <c r="BY313" s="12">
        <f>('Income Statement'!AZ41+'Income Statement'!AZ43+'Income Statement'!AZ7+('Balance Sheet'!AZ37+'Balance Sheet'!AZ36-'Balance Sheet'!AY36-'Balance Sheet'!AY37)-('Balance Sheet'!AZ16+'Balance Sheet'!AZ17-'Balance Sheet'!AY16-'Balance Sheet'!AY17))/1000</f>
        <v>-51.966000000000001</v>
      </c>
      <c r="BZ313" s="12">
        <f>('Income Statement'!BA41+'Income Statement'!BA43+'Income Statement'!BA7+('Balance Sheet'!BA37+'Balance Sheet'!BA36-'Balance Sheet'!AZ36-'Balance Sheet'!AZ37)-('Balance Sheet'!BA16+'Balance Sheet'!BA17-'Balance Sheet'!AZ16-'Balance Sheet'!AZ17))/1000</f>
        <v>-69.643000000000001</v>
      </c>
      <c r="CA313" s="12">
        <f>('Income Statement'!BB41+'Income Statement'!BB43+'Income Statement'!BB7+('Balance Sheet'!BB37+'Balance Sheet'!BB36-'Balance Sheet'!BA36-'Balance Sheet'!BA37)-('Balance Sheet'!BB16+'Balance Sheet'!BB17-'Balance Sheet'!BA16-'Balance Sheet'!BA17))/1000</f>
        <v>-21.521999999999998</v>
      </c>
      <c r="CB313" s="12">
        <f>('Income Statement'!BC41+'Income Statement'!BC43+'Income Statement'!BC7+('Balance Sheet'!BC37+'Balance Sheet'!BC36-'Balance Sheet'!BB36-'Balance Sheet'!BB37)-('Balance Sheet'!BC16+'Balance Sheet'!BC17-'Balance Sheet'!BB16-'Balance Sheet'!BB17))/1000</f>
        <v>-47.295000000000002</v>
      </c>
      <c r="CC313" s="12">
        <f>('Income Statement'!BD41+'Income Statement'!BD43+'Income Statement'!BD7+('Balance Sheet'!BD37+'Balance Sheet'!BD36-'Balance Sheet'!AY36-'Balance Sheet'!AY37)-('Balance Sheet'!BD16+'Balance Sheet'!BD17-'Balance Sheet'!AY16-'Balance Sheet'!AY17))/1000</f>
        <v>-190.42599999999999</v>
      </c>
      <c r="CD313" s="12">
        <f>('Income Statement'!BE41+'Income Statement'!BE43+'Income Statement'!BE7+('Balance Sheet'!BE37+'Balance Sheet'!BE36-'Balance Sheet'!BD36-'Balance Sheet'!BD37)-('Balance Sheet'!BE16+'Balance Sheet'!BE17-'Balance Sheet'!BD16-'Balance Sheet'!BD17))/1000</f>
        <v>-29.311</v>
      </c>
      <c r="CE313" s="12">
        <f>('Income Statement'!BF41+'Income Statement'!BF43+'Income Statement'!BF7+('Balance Sheet'!BF37+'Balance Sheet'!BF36-'Balance Sheet'!BE36-'Balance Sheet'!BE37)-('Balance Sheet'!BF16+'Balance Sheet'!BF17-'Balance Sheet'!BE16-'Balance Sheet'!BE17))/1000</f>
        <v>-72.066999999999993</v>
      </c>
      <c r="CF313" s="12">
        <f>('Income Statement'!BG41+'Income Statement'!BG43+'Income Statement'!BG7+('Balance Sheet'!BG37+'Balance Sheet'!BG36-'Balance Sheet'!BF36-'Balance Sheet'!BF37)-('Balance Sheet'!BG16+'Balance Sheet'!BG17-'Balance Sheet'!BF16-'Balance Sheet'!BF17))/1000</f>
        <v>-32.838999999999999</v>
      </c>
      <c r="CG313" s="12">
        <f>('Income Statement'!BH41+'Income Statement'!BH43+'Income Statement'!BH7+('Balance Sheet'!BH37+'Balance Sheet'!BH36-'Balance Sheet'!BG36-'Balance Sheet'!BG37)-('Balance Sheet'!BH16+'Balance Sheet'!BH17-'Balance Sheet'!BG16-'Balance Sheet'!BG17))/1000</f>
        <v>-7.0460000000000003</v>
      </c>
      <c r="CI313" s="12">
        <f>('Income Statement'!BJ41+'Income Statement'!BJ43+'Income Statement'!BJ7+('Balance Sheet'!BJ37+'Balance Sheet'!BJ36-'Balance Sheet'!BI36-'Balance Sheet'!BI37)-('Balance Sheet'!BJ16+'Balance Sheet'!BJ17-'Balance Sheet'!BI16-'Balance Sheet'!BI17))/1000</f>
        <v>-23.521999999999998</v>
      </c>
      <c r="CJ313" s="12">
        <f>('Income Statement'!BK41+'Income Statement'!BK43+'Income Statement'!BK7+('Balance Sheet'!BK37+'Balance Sheet'!BK36-'Balance Sheet'!BJ36-'Balance Sheet'!BJ37)-('Balance Sheet'!BK16+'Balance Sheet'!BK17-'Balance Sheet'!BJ16-'Balance Sheet'!BJ17))/1000</f>
        <v>-35.515000000000001</v>
      </c>
      <c r="CK313" s="12">
        <f>('Income Statement'!BL41+'Income Statement'!BL43+'Income Statement'!BL7+('Balance Sheet'!BL37+'Balance Sheet'!BL36-'Balance Sheet'!BK36-'Balance Sheet'!BK37)-('Balance Sheet'!BL16+'Balance Sheet'!BL17-'Balance Sheet'!BK16-'Balance Sheet'!BK17))/1000</f>
        <v>-22.003</v>
      </c>
      <c r="CL313" s="12">
        <f>('Income Statement'!BM41+'Income Statement'!BM43+'Income Statement'!BM7+('Balance Sheet'!BM37+'Balance Sheet'!BM36-'Balance Sheet'!BL36-'Balance Sheet'!BL37)-('Balance Sheet'!BM16+'Balance Sheet'!BM17-'Balance Sheet'!BL16-'Balance Sheet'!BL17))/1000</f>
        <v>-41.628</v>
      </c>
      <c r="CM313" s="12">
        <f>('Income Statement'!BN41+'Income Statement'!BN43+'Income Statement'!BN7+('Balance Sheet'!BN37+'Balance Sheet'!BN36-'Balance Sheet'!BI36-'Balance Sheet'!BI37)-('Balance Sheet'!BN16+'Balance Sheet'!BN17-'Balance Sheet'!BI16-'Balance Sheet'!BI17))/1000</f>
        <v>-122.66800000000001</v>
      </c>
      <c r="CN313" s="12">
        <f>('Income Statement'!BO41+'Income Statement'!BO43+'Income Statement'!BO7+('Balance Sheet'!BO37+'Balance Sheet'!BO36-'Balance Sheet'!BN36-'Balance Sheet'!BN37)-('Balance Sheet'!BO16+'Balance Sheet'!BO17-'Balance Sheet'!BN16-'Balance Sheet'!BN17))/1000</f>
        <v>-7.641</v>
      </c>
      <c r="CO313" s="12">
        <f>('Income Statement'!BP41+'Income Statement'!BP43+'Income Statement'!BP7+('Balance Sheet'!BP37+'Balance Sheet'!BP36-'Balance Sheet'!BO36-'Balance Sheet'!BO37)-('Balance Sheet'!BP16+'Balance Sheet'!BP17-'Balance Sheet'!BO16-'Balance Sheet'!BO17))/1000</f>
        <v>-62.762999999999998</v>
      </c>
      <c r="CP313" s="12">
        <f>('Income Statement'!BQ41+'Income Statement'!BQ43+'Income Statement'!BQ7+('Balance Sheet'!BQ37+'Balance Sheet'!BQ36-'Balance Sheet'!BP36-'Balance Sheet'!BP37)-('Balance Sheet'!BQ16+'Balance Sheet'!BQ17-'Balance Sheet'!BP16-'Balance Sheet'!BP17))/1000</f>
        <v>-33.686</v>
      </c>
      <c r="CQ313" s="12">
        <f>('Income Statement'!BR41+'Income Statement'!BR43+'Income Statement'!BR7+('Balance Sheet'!BR37+'Balance Sheet'!BR36-'Balance Sheet'!BQ36-'Balance Sheet'!BQ37)-('Balance Sheet'!BR16+'Balance Sheet'!BR17-'Balance Sheet'!BQ16-'Balance Sheet'!BQ17))/1000</f>
        <v>-40.642000000000003</v>
      </c>
      <c r="CR313" s="12">
        <f>('Income Statement'!BS41+'Income Statement'!BS43+'Income Statement'!BS7+('Balance Sheet'!BS37+'Balance Sheet'!BS36-'Balance Sheet'!BN36-'Balance Sheet'!BN37)-('Balance Sheet'!BS16+'Balance Sheet'!BS17-'Balance Sheet'!BN16-'Balance Sheet'!BN17))/1000</f>
        <v>-144.732</v>
      </c>
      <c r="CS313" s="12">
        <f>('Income Statement'!BT41+'Income Statement'!BT43+'Income Statement'!BT7+('Balance Sheet'!BT37+'Balance Sheet'!BT36-'Balance Sheet'!BS36-'Balance Sheet'!BS37)-('Balance Sheet'!BT16+'Balance Sheet'!BT17-'Balance Sheet'!BS16-'Balance Sheet'!BS17))/1000</f>
        <v>-39.604999999999997</v>
      </c>
      <c r="CT313" s="12">
        <f>('Income Statement'!BU41+'Income Statement'!BU43+'Income Statement'!BU7+('Balance Sheet'!BU37+'Balance Sheet'!BU36-'Balance Sheet'!BT36-'Balance Sheet'!BT37)-('Balance Sheet'!BU16+'Balance Sheet'!BU17-'Balance Sheet'!BT16-'Balance Sheet'!BT17))/1000</f>
        <v>-15.885</v>
      </c>
      <c r="CU313" s="12">
        <f>('Income Statement'!BV41+'Income Statement'!BV43+'Income Statement'!BV7+('Balance Sheet'!BV37+'Balance Sheet'!BV36-'Balance Sheet'!BU36-'Balance Sheet'!BU37)-('Balance Sheet'!BV16+'Balance Sheet'!BV17-'Balance Sheet'!BU16-'Balance Sheet'!BU17))/1000</f>
        <v>-16.434999999999999</v>
      </c>
      <c r="CV313" s="12">
        <f>('Income Statement'!BW41+'Income Statement'!BW43+'Income Statement'!BW7+('Balance Sheet'!BW37+'Balance Sheet'!BW36-'Balance Sheet'!BV36-'Balance Sheet'!BV37)-('Balance Sheet'!BW16+'Balance Sheet'!BW17-'Balance Sheet'!BV16-'Balance Sheet'!BV17))/1000</f>
        <v>-59.405999999999999</v>
      </c>
      <c r="CW313" s="12">
        <f>('Income Statement'!BX41+'Income Statement'!BX43+'Income Statement'!BX7+('Balance Sheet'!BX37+'Balance Sheet'!BX36-'Balance Sheet'!BS36-'Balance Sheet'!BS37)-('Balance Sheet'!BX16+'Balance Sheet'!BX17-'Balance Sheet'!BS16-'Balance Sheet'!BS17))/1000</f>
        <v>-131.33099999999999</v>
      </c>
      <c r="CX313" s="12">
        <f>('Income Statement'!BY41+'Income Statement'!BY43+'Income Statement'!BY7+('Balance Sheet'!BY37+'Balance Sheet'!BY36-'Balance Sheet'!BX36-'Balance Sheet'!BX37)-('Balance Sheet'!BY16+'Balance Sheet'!BY17-'Balance Sheet'!BX16-'Balance Sheet'!BX17))/1000</f>
        <v>-36.146000000000001</v>
      </c>
      <c r="CY313" s="12">
        <f>('Income Statement'!BZ41+'Income Statement'!BZ43+'Income Statement'!BZ7+('Balance Sheet'!BZ37+'Balance Sheet'!BZ36-'Balance Sheet'!BY36-'Balance Sheet'!BY37)-('Balance Sheet'!BZ16+'Balance Sheet'!BZ17-'Balance Sheet'!BY16-'Balance Sheet'!BY17))/1000</f>
        <v>-49.438000000000002</v>
      </c>
      <c r="CZ313" s="12">
        <f>('Income Statement'!CA41+'Income Statement'!CA43+'Income Statement'!CA7+('Balance Sheet'!CA37+'Balance Sheet'!CA36-'Balance Sheet'!BZ36-'Balance Sheet'!BZ37)-('Balance Sheet'!CA16+'Balance Sheet'!CA17-'Balance Sheet'!BZ16-'Balance Sheet'!BZ17))/1000</f>
        <v>-31.571000000000002</v>
      </c>
      <c r="DA313" s="12">
        <f>('Income Statement'!CB41+'Income Statement'!CB43+'Income Statement'!CB7+('Balance Sheet'!CB37+'Balance Sheet'!CB36-'Balance Sheet'!CA36-'Balance Sheet'!CA37)-('Balance Sheet'!CB16+'Balance Sheet'!CB17-'Balance Sheet'!CA16-'Balance Sheet'!CA17))/1000</f>
        <v>25.468</v>
      </c>
      <c r="DB313" s="12">
        <f>('Income Statement'!CC41+'Income Statement'!CC43+'Income Statement'!CC7+('Balance Sheet'!CC37+'Balance Sheet'!CC36-'Balance Sheet'!BX36-'Balance Sheet'!BX37)-('Balance Sheet'!CC16+'Balance Sheet'!CC17-'Balance Sheet'!BX16-'Balance Sheet'!BX17))/1000</f>
        <v>-91.686999999999998</v>
      </c>
      <c r="DC313" s="12">
        <f>('Income Statement'!CD41+'Income Statement'!CD43+'Income Statement'!CD7+('Balance Sheet'!CD37+'Balance Sheet'!CD36-'Balance Sheet'!BY36-'Balance Sheet'!BY37)-('Balance Sheet'!CD16+'Balance Sheet'!CD17-'Balance Sheet'!BY16-'Balance Sheet'!BY17))/1000</f>
        <v>9.2230000000000008</v>
      </c>
      <c r="DD313" s="12">
        <f>('Income Statement'!CE41+'Income Statement'!CE43+'Income Statement'!CE7+('Balance Sheet'!CE37+'Balance Sheet'!CE36-'Balance Sheet'!BZ36-'Balance Sheet'!BZ37)-('Balance Sheet'!CE16+'Balance Sheet'!CE17-'Balance Sheet'!BZ16-'Balance Sheet'!BZ17))/1000</f>
        <v>14.361000000000001</v>
      </c>
      <c r="DE313" s="12">
        <f>('Income Statement'!CF41+'Income Statement'!CF43+'Income Statement'!CF7+('Balance Sheet'!CF37+'Balance Sheet'!CF36-'Balance Sheet'!CA36-'Balance Sheet'!CA37)-('Balance Sheet'!CF16+'Balance Sheet'!CF17-'Balance Sheet'!CA16-'Balance Sheet'!CA17))/1000</f>
        <v>391.68700000000001</v>
      </c>
      <c r="DF313" s="12">
        <f>('Income Statement'!CG41+'Income Statement'!CG43+'Income Statement'!CG7+('Balance Sheet'!CG37+'Balance Sheet'!CG36-'Balance Sheet'!CB36-'Balance Sheet'!CB37)-('Balance Sheet'!CG16+'Balance Sheet'!CG17-'Balance Sheet'!CB16-'Balance Sheet'!CB17))/1000</f>
        <v>269.74099999999999</v>
      </c>
      <c r="DG313" s="12">
        <f>('Income Statement'!CH41+'Income Statement'!CH43+'Income Statement'!CH7+('Balance Sheet'!CH37+'Balance Sheet'!CH36-'Balance Sheet'!CC36-'Balance Sheet'!CC37)-('Balance Sheet'!CH16+'Balance Sheet'!CH17-'Balance Sheet'!CC16-'Balance Sheet'!CC17))/1000</f>
        <v>196.9</v>
      </c>
      <c r="DH313" s="10"/>
    </row>
    <row r="314" spans="1:112" s="7" customFormat="1">
      <c r="A314" s="17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10"/>
    </row>
    <row r="315" spans="1:112" s="7" customFormat="1" ht="15.75">
      <c r="A315" s="25" t="s">
        <v>452</v>
      </c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10"/>
    </row>
    <row r="316" spans="1:112" s="7" customFormat="1">
      <c r="A316" s="17" t="s">
        <v>233</v>
      </c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10"/>
    </row>
    <row r="317" spans="1:112" s="7" customFormat="1">
      <c r="A317" s="17" t="s">
        <v>447</v>
      </c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10"/>
    </row>
    <row r="318" spans="1:112" s="7" customFormat="1">
      <c r="A318" s="17" t="s">
        <v>448</v>
      </c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10"/>
    </row>
    <row r="319" spans="1:112" s="7" customFormat="1">
      <c r="A319" s="17" t="s">
        <v>449</v>
      </c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10"/>
    </row>
    <row r="320" spans="1:112" s="7" customFormat="1">
      <c r="A320" s="17" t="s">
        <v>453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0"/>
    </row>
    <row r="321" spans="1:112" s="7" customFormat="1">
      <c r="A321" s="17" t="s">
        <v>454</v>
      </c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10"/>
    </row>
    <row r="322" spans="1:112" s="7" customFormat="1">
      <c r="A322" s="17" t="s">
        <v>455</v>
      </c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10"/>
    </row>
    <row r="323" spans="1:112" s="7" customFormat="1">
      <c r="A323" s="17" t="s">
        <v>456</v>
      </c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10"/>
    </row>
    <row r="324" spans="1:112" s="7" customFormat="1" ht="13.5" thickBot="1">
      <c r="A324" s="13" t="s">
        <v>450</v>
      </c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  <c r="DG324" s="18"/>
      <c r="DH324" s="10"/>
    </row>
    <row r="325" spans="1:112" s="7" customFormat="1">
      <c r="A325" s="17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10"/>
    </row>
    <row r="326" spans="1:112" s="7" customFormat="1" ht="15.75">
      <c r="A326" s="25" t="s">
        <v>457</v>
      </c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10"/>
    </row>
    <row r="327" spans="1:112" s="7" customFormat="1">
      <c r="A327" s="11" t="s">
        <v>458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>
        <f>'Cash Flow'!P9/1000</f>
        <v>-105.35899999999999</v>
      </c>
      <c r="AP327" s="12">
        <f>'Cash Flow'!Q9/1000</f>
        <v>-306.911</v>
      </c>
      <c r="AQ327" s="12">
        <f>'Cash Flow'!R9/1000</f>
        <v>308.06400000000002</v>
      </c>
      <c r="AR327" s="12">
        <f>'Cash Flow'!S9/1000</f>
        <v>-12.122999999999999</v>
      </c>
      <c r="AS327" s="12">
        <f>'Cash Flow'!T9/1000</f>
        <v>-24.870999999999999</v>
      </c>
      <c r="AT327" s="12">
        <f>'Cash Flow'!U9/1000</f>
        <v>-35.841000000000001</v>
      </c>
      <c r="AU327" s="12">
        <f>'Cash Flow'!V9/1000</f>
        <v>-20.893999999999998</v>
      </c>
      <c r="AV327" s="12">
        <f>'Cash Flow'!W9/1000</f>
        <v>-16.931000000000001</v>
      </c>
      <c r="AW327" s="12">
        <f>'Cash Flow'!X9/1000</f>
        <v>-12.366</v>
      </c>
      <c r="AX327" s="12">
        <f>'Cash Flow'!Y9/1000</f>
        <v>-144.922</v>
      </c>
      <c r="AY327" s="12">
        <f>'Cash Flow'!Z9/1000</f>
        <v>-195.113</v>
      </c>
      <c r="AZ327" s="12">
        <f>'Cash Flow'!AA9/1000</f>
        <v>-12.888</v>
      </c>
      <c r="BA327" s="12">
        <f>'Cash Flow'!AB9/1000</f>
        <v>-32.920999999999999</v>
      </c>
      <c r="BB327" s="12">
        <f>'Cash Flow'!AC9/1000</f>
        <v>177.24600000000001</v>
      </c>
      <c r="BC327" s="12">
        <f>'Cash Flow'!AD9/1000</f>
        <v>-16.023</v>
      </c>
      <c r="BD327" s="12">
        <f>'Cash Flow'!AE9/1000</f>
        <v>115.414</v>
      </c>
      <c r="BE327" s="12">
        <f>'Cash Flow'!AF9/1000</f>
        <v>-21.167000000000002</v>
      </c>
      <c r="BF327" s="12">
        <f>'Cash Flow'!AG9/1000</f>
        <v>-20.414000000000001</v>
      </c>
      <c r="BG327" s="12">
        <f>'Cash Flow'!AH9/1000</f>
        <v>-15.836</v>
      </c>
      <c r="BH327" s="12">
        <f>'Cash Flow'!AI9/1000</f>
        <v>-14.180999999999999</v>
      </c>
      <c r="BI327" s="12">
        <f>'Cash Flow'!AJ9/1000</f>
        <v>-71.597999999999999</v>
      </c>
      <c r="BJ327" s="12">
        <f>'Cash Flow'!AK9/1000</f>
        <v>-3.2000000000000001E-2</v>
      </c>
      <c r="BK327" s="12">
        <f>'Cash Flow'!AL9/1000</f>
        <v>-5.181</v>
      </c>
      <c r="BL327" s="12">
        <f>'Cash Flow'!AM9/1000</f>
        <v>-32.146000000000001</v>
      </c>
      <c r="BM327" s="12">
        <f>'Cash Flow'!AN9/1000</f>
        <v>-22.795000000000002</v>
      </c>
      <c r="BN327" s="12">
        <f>'Cash Flow'!AO9/1000</f>
        <v>-60.154000000000003</v>
      </c>
      <c r="BO327" s="12">
        <f>'Cash Flow'!AP9/1000</f>
        <v>-14.916</v>
      </c>
      <c r="BP327" s="12">
        <f>'Cash Flow'!AQ9/1000</f>
        <v>-28.518000000000001</v>
      </c>
      <c r="BQ327" s="12">
        <f>'Cash Flow'!AR9/1000</f>
        <v>-17.614000000000001</v>
      </c>
      <c r="BR327" s="12">
        <f>'Cash Flow'!AS9/1000</f>
        <v>-583.81200000000001</v>
      </c>
      <c r="BS327" s="12">
        <f>'Cash Flow'!AT9/1000</f>
        <v>-644.86</v>
      </c>
      <c r="BT327" s="12">
        <f>'Cash Flow'!AU9/1000</f>
        <v>-406.298</v>
      </c>
      <c r="BU327" s="12">
        <f>'Cash Flow'!AV9/1000</f>
        <v>356.625</v>
      </c>
      <c r="BV327" s="12">
        <f>'Cash Flow'!AW9/1000</f>
        <v>-38.624000000000002</v>
      </c>
      <c r="BW327" s="12">
        <f>'Cash Flow'!AX9/1000</f>
        <v>-45.360999999999997</v>
      </c>
      <c r="BX327" s="12">
        <f>'Cash Flow'!AY9/1000</f>
        <v>-133.65799999999999</v>
      </c>
      <c r="BY327" s="12">
        <f>'Cash Flow'!AZ9/1000</f>
        <v>-40.64</v>
      </c>
      <c r="BZ327" s="12">
        <f>'Cash Flow'!BA9/1000</f>
        <v>-25.640999999999998</v>
      </c>
      <c r="CA327" s="12">
        <f>'Cash Flow'!BB9/1000</f>
        <v>-37.295000000000002</v>
      </c>
      <c r="CB327" s="12">
        <f>'Cash Flow'!BC9/1000</f>
        <v>11.925000000000001</v>
      </c>
      <c r="CC327" s="12">
        <f>'Cash Flow'!BD9/1000</f>
        <v>-91.650999999999996</v>
      </c>
      <c r="CD327" s="12">
        <f>'Cash Flow'!BE9/1000</f>
        <v>29.088000000000001</v>
      </c>
      <c r="CE327" s="12">
        <f>'Cash Flow'!BF9/1000</f>
        <v>-121.867</v>
      </c>
      <c r="CF327" s="12">
        <f>'Cash Flow'!BG9/1000</f>
        <v>5.6390000000000002</v>
      </c>
      <c r="CG327" s="12">
        <f>'Cash Flow'!BH9/1000</f>
        <v>16.172999999999998</v>
      </c>
      <c r="CI327" s="12">
        <f>'Cash Flow'!BJ9/1000</f>
        <v>30.763999999999999</v>
      </c>
      <c r="CJ327" s="12">
        <f>'Cash Flow'!BK9/1000</f>
        <v>-4.3719999999999999</v>
      </c>
      <c r="CK327" s="12">
        <f>'Cash Flow'!BL9/1000</f>
        <v>-60.558</v>
      </c>
      <c r="CL327" s="12">
        <f>'Cash Flow'!BM9/1000</f>
        <v>-138.96199999999999</v>
      </c>
      <c r="CM327" s="12">
        <f>'Cash Flow'!BN9/1000</f>
        <v>-173.12799999999999</v>
      </c>
      <c r="CN327" s="12">
        <f>'Cash Flow'!BO9/1000</f>
        <v>-9.3160000000000007</v>
      </c>
      <c r="CO327" s="12">
        <f>'Cash Flow'!BP9/1000</f>
        <v>-9.6890000000000001</v>
      </c>
      <c r="CP327" s="12">
        <f>'Cash Flow'!BQ9/1000</f>
        <v>104.087</v>
      </c>
      <c r="CQ327" s="12">
        <f>'Cash Flow'!BR9/1000</f>
        <v>-12.23</v>
      </c>
      <c r="CR327" s="12">
        <f>'Cash Flow'!BS9/1000</f>
        <v>72.852000000000004</v>
      </c>
      <c r="CS327" s="12">
        <f>'Cash Flow'!BT9/1000</f>
        <v>-96.423000000000002</v>
      </c>
      <c r="CT327" s="12">
        <f>'Cash Flow'!BU9/1000</f>
        <v>30.446000000000002</v>
      </c>
      <c r="CU327" s="12">
        <f>'Cash Flow'!BV9/1000</f>
        <v>-3.677</v>
      </c>
      <c r="CV327" s="12">
        <f>'Cash Flow'!BW9/1000</f>
        <v>-26.295999999999999</v>
      </c>
      <c r="CW327" s="12">
        <f>'Cash Flow'!BX9/1000</f>
        <v>-95.95</v>
      </c>
      <c r="CX327" s="12">
        <f>'Cash Flow'!BY9/1000</f>
        <v>63.981000000000002</v>
      </c>
      <c r="CY327" s="12">
        <f>'Cash Flow'!BZ9/1000</f>
        <v>7.8810000000000002</v>
      </c>
      <c r="CZ327" s="12">
        <f>'Cash Flow'!CA9/1000</f>
        <v>-94.950999999999993</v>
      </c>
      <c r="DA327" s="12">
        <f>'Cash Flow'!CB9/1000</f>
        <v>-14.319000000000001</v>
      </c>
      <c r="DB327" s="12">
        <f>'Cash Flow'!CC9/1000</f>
        <v>-37.408000000000001</v>
      </c>
      <c r="DC327" s="12">
        <f>'Cash Flow'!CD9/1000</f>
        <v>14.22</v>
      </c>
      <c r="DD327" s="12">
        <f>'Cash Flow'!CE9/1000</f>
        <v>-4.274</v>
      </c>
      <c r="DE327" s="12">
        <f>'Cash Flow'!CF9/1000</f>
        <v>-1285.989</v>
      </c>
      <c r="DF327" s="12">
        <f>'Cash Flow'!CG9/1000</f>
        <v>-0.441</v>
      </c>
      <c r="DG327" s="12">
        <f>'Cash Flow'!CH9/1000</f>
        <v>-1276.4839999999999</v>
      </c>
      <c r="DH327" s="10"/>
    </row>
    <row r="328" spans="1:112" s="7" customFormat="1">
      <c r="A328" s="11" t="s">
        <v>459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0</v>
      </c>
      <c r="BO328" s="12">
        <v>0</v>
      </c>
      <c r="BP328" s="12">
        <v>0</v>
      </c>
      <c r="BQ328" s="12">
        <v>0</v>
      </c>
      <c r="BR328" s="12">
        <v>0</v>
      </c>
      <c r="BS328" s="12">
        <v>0</v>
      </c>
      <c r="BT328" s="12">
        <v>0</v>
      </c>
      <c r="BU328" s="12">
        <v>0</v>
      </c>
      <c r="BV328" s="12">
        <v>0</v>
      </c>
      <c r="BW328" s="12">
        <v>0</v>
      </c>
      <c r="BX328" s="12">
        <v>0</v>
      </c>
      <c r="BY328" s="12">
        <v>0</v>
      </c>
      <c r="BZ328" s="12">
        <v>0</v>
      </c>
      <c r="CA328" s="12">
        <v>0</v>
      </c>
      <c r="CB328" s="12">
        <v>0</v>
      </c>
      <c r="CC328" s="12">
        <v>0</v>
      </c>
      <c r="CD328" s="12">
        <v>0</v>
      </c>
      <c r="CE328" s="12">
        <v>0</v>
      </c>
      <c r="CF328" s="12">
        <v>0</v>
      </c>
      <c r="CG328" s="12">
        <v>0</v>
      </c>
      <c r="CI328" s="12">
        <v>0</v>
      </c>
      <c r="CJ328" s="12">
        <v>0</v>
      </c>
      <c r="CK328" s="12">
        <v>0</v>
      </c>
      <c r="CL328" s="12">
        <v>0</v>
      </c>
      <c r="CM328" s="12">
        <v>0</v>
      </c>
      <c r="CN328" s="12">
        <v>0</v>
      </c>
      <c r="CO328" s="12">
        <v>0</v>
      </c>
      <c r="CP328" s="12">
        <v>0</v>
      </c>
      <c r="CQ328" s="12">
        <v>0</v>
      </c>
      <c r="CR328" s="12">
        <v>0</v>
      </c>
      <c r="CS328" s="12">
        <v>0</v>
      </c>
      <c r="CT328" s="12">
        <v>0</v>
      </c>
      <c r="CU328" s="12">
        <v>0</v>
      </c>
      <c r="CV328" s="12">
        <v>0</v>
      </c>
      <c r="CW328" s="12">
        <v>0</v>
      </c>
      <c r="CX328" s="12">
        <v>0</v>
      </c>
      <c r="CY328" s="12">
        <v>0</v>
      </c>
      <c r="CZ328" s="12">
        <v>0</v>
      </c>
      <c r="DA328" s="12">
        <v>0</v>
      </c>
      <c r="DB328" s="12">
        <v>0</v>
      </c>
      <c r="DC328" s="12">
        <v>0</v>
      </c>
      <c r="DD328" s="12">
        <v>0</v>
      </c>
      <c r="DE328" s="12">
        <v>0</v>
      </c>
      <c r="DF328" s="12">
        <v>0</v>
      </c>
      <c r="DG328" s="12">
        <v>0</v>
      </c>
      <c r="DH328" s="10"/>
    </row>
    <row r="329" spans="1:112" s="7" customFormat="1">
      <c r="A329" s="11" t="s">
        <v>399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0</v>
      </c>
      <c r="BE329" s="12">
        <v>0</v>
      </c>
      <c r="BF329" s="12">
        <v>0</v>
      </c>
      <c r="BG329" s="12">
        <v>0</v>
      </c>
      <c r="BH329" s="12">
        <v>0</v>
      </c>
      <c r="BI329" s="12">
        <v>0</v>
      </c>
      <c r="BJ329" s="12">
        <v>0</v>
      </c>
      <c r="BK329" s="12">
        <v>0</v>
      </c>
      <c r="BL329" s="12">
        <v>0</v>
      </c>
      <c r="BM329" s="12">
        <v>0</v>
      </c>
      <c r="BN329" s="12">
        <v>0</v>
      </c>
      <c r="BO329" s="12">
        <v>0</v>
      </c>
      <c r="BP329" s="12">
        <v>0</v>
      </c>
      <c r="BQ329" s="12">
        <v>0</v>
      </c>
      <c r="BR329" s="12">
        <v>0</v>
      </c>
      <c r="BS329" s="12">
        <v>0</v>
      </c>
      <c r="BT329" s="12">
        <v>0</v>
      </c>
      <c r="BU329" s="12">
        <v>0</v>
      </c>
      <c r="BV329" s="12">
        <v>0</v>
      </c>
      <c r="BW329" s="12">
        <v>0</v>
      </c>
      <c r="BX329" s="12">
        <v>0</v>
      </c>
      <c r="BY329" s="12">
        <v>0</v>
      </c>
      <c r="BZ329" s="12">
        <v>0</v>
      </c>
      <c r="CA329" s="12">
        <v>0</v>
      </c>
      <c r="CB329" s="12">
        <v>0</v>
      </c>
      <c r="CC329" s="12">
        <v>0</v>
      </c>
      <c r="CD329" s="12">
        <v>0</v>
      </c>
      <c r="CE329" s="12">
        <v>0</v>
      </c>
      <c r="CF329" s="12">
        <v>0</v>
      </c>
      <c r="CG329" s="12">
        <v>0</v>
      </c>
      <c r="CI329" s="12">
        <v>0</v>
      </c>
      <c r="CJ329" s="12">
        <v>0</v>
      </c>
      <c r="CK329" s="12">
        <v>0</v>
      </c>
      <c r="CL329" s="12">
        <v>0</v>
      </c>
      <c r="CM329" s="12">
        <v>0</v>
      </c>
      <c r="CN329" s="12">
        <v>0</v>
      </c>
      <c r="CO329" s="12">
        <v>0</v>
      </c>
      <c r="CP329" s="12">
        <v>0</v>
      </c>
      <c r="CQ329" s="12">
        <v>0</v>
      </c>
      <c r="CR329" s="12">
        <v>0</v>
      </c>
      <c r="CS329" s="12">
        <v>0</v>
      </c>
      <c r="CT329" s="12">
        <v>0</v>
      </c>
      <c r="CU329" s="12">
        <v>0</v>
      </c>
      <c r="CV329" s="12">
        <v>0</v>
      </c>
      <c r="CW329" s="12">
        <v>0</v>
      </c>
      <c r="CX329" s="12">
        <v>0</v>
      </c>
      <c r="CY329" s="12">
        <v>0</v>
      </c>
      <c r="CZ329" s="12">
        <v>0</v>
      </c>
      <c r="DA329" s="12">
        <v>0</v>
      </c>
      <c r="DB329" s="12">
        <v>0</v>
      </c>
      <c r="DC329" s="12">
        <v>0</v>
      </c>
      <c r="DD329" s="12">
        <v>0</v>
      </c>
      <c r="DE329" s="12">
        <v>0</v>
      </c>
      <c r="DF329" s="12">
        <v>0</v>
      </c>
      <c r="DG329" s="12">
        <v>0</v>
      </c>
      <c r="DH329" s="10"/>
    </row>
    <row r="330" spans="1:112" s="7" customFormat="1">
      <c r="A330" s="11" t="s">
        <v>460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2">
        <v>0</v>
      </c>
      <c r="BI330" s="12">
        <v>0</v>
      </c>
      <c r="BJ330" s="12">
        <v>0</v>
      </c>
      <c r="BK330" s="12">
        <v>0</v>
      </c>
      <c r="BL330" s="12">
        <v>0</v>
      </c>
      <c r="BM330" s="12">
        <v>0</v>
      </c>
      <c r="BN330" s="12">
        <v>0</v>
      </c>
      <c r="BO330" s="12">
        <v>0</v>
      </c>
      <c r="BP330" s="12">
        <v>0</v>
      </c>
      <c r="BQ330" s="12">
        <v>0</v>
      </c>
      <c r="BR330" s="12">
        <v>0</v>
      </c>
      <c r="BS330" s="12">
        <v>0</v>
      </c>
      <c r="BT330" s="12">
        <v>0</v>
      </c>
      <c r="BU330" s="12">
        <v>0</v>
      </c>
      <c r="BV330" s="12">
        <v>0</v>
      </c>
      <c r="BW330" s="12">
        <v>0</v>
      </c>
      <c r="BX330" s="12">
        <v>0</v>
      </c>
      <c r="BY330" s="12">
        <v>0</v>
      </c>
      <c r="BZ330" s="12">
        <v>0</v>
      </c>
      <c r="CA330" s="12">
        <v>0</v>
      </c>
      <c r="CB330" s="12">
        <v>0</v>
      </c>
      <c r="CC330" s="12">
        <v>0</v>
      </c>
      <c r="CD330" s="12">
        <v>0</v>
      </c>
      <c r="CE330" s="12">
        <v>0</v>
      </c>
      <c r="CF330" s="12">
        <v>0</v>
      </c>
      <c r="CG330" s="12">
        <v>0</v>
      </c>
      <c r="CI330" s="12">
        <v>0</v>
      </c>
      <c r="CJ330" s="12">
        <v>0</v>
      </c>
      <c r="CK330" s="12">
        <v>0</v>
      </c>
      <c r="CL330" s="12">
        <v>0</v>
      </c>
      <c r="CM330" s="12">
        <v>0</v>
      </c>
      <c r="CN330" s="12">
        <v>0</v>
      </c>
      <c r="CO330" s="12">
        <v>0</v>
      </c>
      <c r="CP330" s="12">
        <v>0</v>
      </c>
      <c r="CQ330" s="12">
        <v>0</v>
      </c>
      <c r="CR330" s="12">
        <v>0</v>
      </c>
      <c r="CS330" s="12">
        <v>0</v>
      </c>
      <c r="CT330" s="12">
        <v>0</v>
      </c>
      <c r="CU330" s="12">
        <v>0</v>
      </c>
      <c r="CV330" s="12">
        <v>0</v>
      </c>
      <c r="CW330" s="12">
        <v>0</v>
      </c>
      <c r="CX330" s="12">
        <v>0</v>
      </c>
      <c r="CY330" s="12">
        <v>0</v>
      </c>
      <c r="CZ330" s="12">
        <v>0</v>
      </c>
      <c r="DA330" s="12">
        <v>0</v>
      </c>
      <c r="DB330" s="12">
        <v>0</v>
      </c>
      <c r="DC330" s="12">
        <v>0</v>
      </c>
      <c r="DD330" s="12">
        <v>0</v>
      </c>
      <c r="DE330" s="12">
        <v>0</v>
      </c>
      <c r="DF330" s="12">
        <v>0</v>
      </c>
      <c r="DG330" s="12">
        <v>0</v>
      </c>
      <c r="DH330" s="10"/>
    </row>
    <row r="331" spans="1:112" s="7" customFormat="1">
      <c r="A331" s="11" t="s">
        <v>461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2">
        <v>0</v>
      </c>
      <c r="BG331" s="12">
        <v>0</v>
      </c>
      <c r="BH331" s="12">
        <v>0</v>
      </c>
      <c r="BI331" s="12">
        <v>0</v>
      </c>
      <c r="BJ331" s="12">
        <v>0</v>
      </c>
      <c r="BK331" s="12">
        <v>0</v>
      </c>
      <c r="BL331" s="12">
        <v>0</v>
      </c>
      <c r="BM331" s="12">
        <v>0</v>
      </c>
      <c r="BN331" s="12">
        <v>0</v>
      </c>
      <c r="BO331" s="12">
        <v>0</v>
      </c>
      <c r="BP331" s="12">
        <v>0</v>
      </c>
      <c r="BQ331" s="12">
        <v>0</v>
      </c>
      <c r="BR331" s="12">
        <v>0</v>
      </c>
      <c r="BS331" s="12">
        <v>0</v>
      </c>
      <c r="BT331" s="12">
        <v>0</v>
      </c>
      <c r="BU331" s="12">
        <v>0</v>
      </c>
      <c r="BV331" s="12">
        <v>0</v>
      </c>
      <c r="BW331" s="12">
        <v>0</v>
      </c>
      <c r="BX331" s="12">
        <v>0</v>
      </c>
      <c r="BY331" s="12">
        <v>0</v>
      </c>
      <c r="BZ331" s="12">
        <v>0</v>
      </c>
      <c r="CA331" s="12">
        <v>0</v>
      </c>
      <c r="CB331" s="12">
        <v>0</v>
      </c>
      <c r="CC331" s="12">
        <v>0</v>
      </c>
      <c r="CD331" s="12">
        <v>0</v>
      </c>
      <c r="CE331" s="12">
        <v>0</v>
      </c>
      <c r="CF331" s="12">
        <v>0</v>
      </c>
      <c r="CG331" s="12">
        <v>0</v>
      </c>
      <c r="CI331" s="12">
        <v>0</v>
      </c>
      <c r="CJ331" s="12">
        <v>0</v>
      </c>
      <c r="CK331" s="12">
        <v>0</v>
      </c>
      <c r="CL331" s="12">
        <v>0</v>
      </c>
      <c r="CM331" s="12">
        <v>0</v>
      </c>
      <c r="CN331" s="12">
        <v>0</v>
      </c>
      <c r="CO331" s="12">
        <v>0</v>
      </c>
      <c r="CP331" s="12">
        <v>0</v>
      </c>
      <c r="CQ331" s="12">
        <v>0</v>
      </c>
      <c r="CR331" s="12">
        <v>0</v>
      </c>
      <c r="CS331" s="12">
        <v>0</v>
      </c>
      <c r="CT331" s="12">
        <v>0</v>
      </c>
      <c r="CU331" s="12">
        <v>0</v>
      </c>
      <c r="CV331" s="12">
        <v>0</v>
      </c>
      <c r="CW331" s="12">
        <v>0</v>
      </c>
      <c r="CX331" s="12">
        <v>0</v>
      </c>
      <c r="CY331" s="12">
        <v>0</v>
      </c>
      <c r="CZ331" s="12">
        <v>0</v>
      </c>
      <c r="DA331" s="12">
        <v>0</v>
      </c>
      <c r="DB331" s="12">
        <v>0</v>
      </c>
      <c r="DC331" s="12">
        <v>0</v>
      </c>
      <c r="DD331" s="12">
        <v>0</v>
      </c>
      <c r="DE331" s="12">
        <v>0</v>
      </c>
      <c r="DF331" s="12">
        <v>0</v>
      </c>
      <c r="DG331" s="12">
        <v>0</v>
      </c>
      <c r="DH331" s="10"/>
    </row>
    <row r="332" spans="1:112" s="7" customFormat="1" ht="13.5" thickBot="1">
      <c r="A332" s="13" t="s">
        <v>462</v>
      </c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0"/>
    </row>
    <row r="333" spans="1:112" s="7" customFormat="1">
      <c r="A333" s="17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10"/>
    </row>
    <row r="334" spans="1:112" s="7" customFormat="1" ht="15.75">
      <c r="A334" s="25" t="s">
        <v>463</v>
      </c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10"/>
    </row>
    <row r="335" spans="1:112" s="7" customFormat="1">
      <c r="A335" s="11" t="s">
        <v>464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>
        <f>'Cash Flow'!P10/1000</f>
        <v>-164.595</v>
      </c>
      <c r="AP335" s="12">
        <f>'Cash Flow'!Q10/1000</f>
        <v>87.129000000000005</v>
      </c>
      <c r="AQ335" s="12">
        <f>'Cash Flow'!R10/1000</f>
        <v>205.47200000000001</v>
      </c>
      <c r="AR335" s="12">
        <f>'Cash Flow'!S10/1000</f>
        <v>252.44900000000001</v>
      </c>
      <c r="AS335" s="12">
        <f>'Cash Flow'!T10/1000</f>
        <v>48.837000000000003</v>
      </c>
      <c r="AT335" s="12">
        <f>'Cash Flow'!U10/1000</f>
        <v>593.88699999999994</v>
      </c>
      <c r="AU335" s="12">
        <f>'Cash Flow'!V10/1000</f>
        <v>660.745</v>
      </c>
      <c r="AV335" s="12">
        <f>'Cash Flow'!W10/1000</f>
        <v>145.66800000000001</v>
      </c>
      <c r="AW335" s="12">
        <f>'Cash Flow'!X10/1000</f>
        <v>154.21299999999999</v>
      </c>
      <c r="AX335" s="12">
        <f>'Cash Flow'!Y10/1000</f>
        <v>309.572</v>
      </c>
      <c r="AY335" s="12">
        <f>'Cash Flow'!Z10/1000</f>
        <v>1270.1980000000001</v>
      </c>
      <c r="AZ335" s="12">
        <f>'Cash Flow'!AA10/1000</f>
        <v>79.712000000000003</v>
      </c>
      <c r="BA335" s="12">
        <f>'Cash Flow'!AB10/1000</f>
        <v>154.506</v>
      </c>
      <c r="BB335" s="12">
        <f>'Cash Flow'!AC10/1000</f>
        <v>429.38400000000001</v>
      </c>
      <c r="BC335" s="12">
        <f>'Cash Flow'!AD10/1000</f>
        <v>-173.15100000000001</v>
      </c>
      <c r="BD335" s="12">
        <f>'Cash Flow'!AE10/1000</f>
        <v>490.45100000000002</v>
      </c>
      <c r="BE335" s="12">
        <f>'Cash Flow'!AF10/1000</f>
        <v>-61.65</v>
      </c>
      <c r="BF335" s="12">
        <f>'Cash Flow'!AG10/1000</f>
        <v>140.42699999999999</v>
      </c>
      <c r="BG335" s="12">
        <f>'Cash Flow'!AH10/1000</f>
        <v>208.90799999999999</v>
      </c>
      <c r="BH335" s="12">
        <f>'Cash Flow'!AI10/1000</f>
        <v>523.726</v>
      </c>
      <c r="BI335" s="12">
        <f>'Cash Flow'!AJ10/1000</f>
        <v>811.41099999999994</v>
      </c>
      <c r="BJ335" s="12">
        <f>'Cash Flow'!AK10/1000</f>
        <v>182.90100000000001</v>
      </c>
      <c r="BK335" s="12">
        <f>'Cash Flow'!AL10/1000</f>
        <v>545.11500000000001</v>
      </c>
      <c r="BL335" s="12">
        <f>'Cash Flow'!AM10/1000</f>
        <v>476.83800000000002</v>
      </c>
      <c r="BM335" s="12">
        <f>'Cash Flow'!AN10/1000</f>
        <v>-114.634</v>
      </c>
      <c r="BN335" s="12">
        <f>'Cash Flow'!AO10/1000</f>
        <v>1090.22</v>
      </c>
      <c r="BO335" s="12">
        <f>'Cash Flow'!AP10/1000</f>
        <v>98.613</v>
      </c>
      <c r="BP335" s="12">
        <f>'Cash Flow'!AQ10/1000</f>
        <v>-250.77</v>
      </c>
      <c r="BQ335" s="12">
        <f>'Cash Flow'!AR10/1000</f>
        <v>-120.49299999999999</v>
      </c>
      <c r="BR335" s="12">
        <f>'Cash Flow'!AS10/1000</f>
        <v>-29.094999999999999</v>
      </c>
      <c r="BS335" s="12">
        <f>'Cash Flow'!AT10/1000</f>
        <v>-301.745</v>
      </c>
      <c r="BT335" s="12">
        <f>'Cash Flow'!AU10/1000</f>
        <v>-307.69499999999999</v>
      </c>
      <c r="BU335" s="12">
        <f>'Cash Flow'!AV10/1000</f>
        <v>-22.222999999999999</v>
      </c>
      <c r="BV335" s="12">
        <f>'Cash Flow'!AW10/1000</f>
        <v>121.023</v>
      </c>
      <c r="BW335" s="12">
        <f>'Cash Flow'!AX10/1000</f>
        <v>380.06900000000002</v>
      </c>
      <c r="BX335" s="12">
        <f>'Cash Flow'!AY10/1000</f>
        <v>171.17400000000001</v>
      </c>
      <c r="BY335" s="12">
        <f>'Cash Flow'!AZ10/1000</f>
        <v>399.488</v>
      </c>
      <c r="BZ335" s="12">
        <f>'Cash Flow'!BA10/1000</f>
        <v>-303.291</v>
      </c>
      <c r="CA335" s="12">
        <f>'Cash Flow'!BB10/1000</f>
        <v>-36.293999999999997</v>
      </c>
      <c r="CB335" s="12">
        <f>'Cash Flow'!BC10/1000</f>
        <v>-382.53699999999998</v>
      </c>
      <c r="CC335" s="12">
        <f>'Cash Flow'!BD10/1000</f>
        <v>-322.63400000000001</v>
      </c>
      <c r="CD335" s="12">
        <f>'Cash Flow'!BE10/1000</f>
        <v>-81.923000000000002</v>
      </c>
      <c r="CE335" s="12">
        <f>'Cash Flow'!BF10/1000</f>
        <v>114.33799999999999</v>
      </c>
      <c r="CF335" s="12">
        <f>'Cash Flow'!BG10/1000</f>
        <v>85.388999999999996</v>
      </c>
      <c r="CG335" s="12">
        <f>'Cash Flow'!BH10/1000</f>
        <v>-293.53500000000003</v>
      </c>
      <c r="CI335" s="12">
        <f>'Cash Flow'!BJ10/1000</f>
        <v>-130.71600000000001</v>
      </c>
      <c r="CJ335" s="12">
        <f>'Cash Flow'!BK10/1000</f>
        <v>-175.23599999999999</v>
      </c>
      <c r="CK335" s="12">
        <f>'Cash Flow'!BL10/1000</f>
        <v>-66.47</v>
      </c>
      <c r="CL335" s="12">
        <f>'Cash Flow'!BM10/1000</f>
        <v>-137.60499999999999</v>
      </c>
      <c r="CM335" s="12">
        <f>'Cash Flow'!BN10/1000</f>
        <v>-510.02699999999999</v>
      </c>
      <c r="CN335" s="12">
        <f>'Cash Flow'!BO10/1000</f>
        <v>159.24700000000001</v>
      </c>
      <c r="CO335" s="12">
        <f>'Cash Flow'!BP10/1000</f>
        <v>-159.25800000000001</v>
      </c>
      <c r="CP335" s="12">
        <f>'Cash Flow'!BQ10/1000</f>
        <v>-293.98899999999998</v>
      </c>
      <c r="CQ335" s="12">
        <f>'Cash Flow'!BR10/1000</f>
        <v>-579.19500000000005</v>
      </c>
      <c r="CR335" s="12">
        <f>'Cash Flow'!BS10/1000</f>
        <v>-873.19500000000005</v>
      </c>
      <c r="CS335" s="12">
        <f>'Cash Flow'!BT10/1000</f>
        <v>-469.41500000000002</v>
      </c>
      <c r="CT335" s="12">
        <f>'Cash Flow'!BU10/1000</f>
        <v>249.917</v>
      </c>
      <c r="CU335" s="12">
        <f>'Cash Flow'!BV10/1000</f>
        <v>636.87300000000005</v>
      </c>
      <c r="CV335" s="12">
        <f>'Cash Flow'!BW10/1000</f>
        <v>-579.81200000000001</v>
      </c>
      <c r="CW335" s="12">
        <f>'Cash Flow'!BX10/1000</f>
        <v>-162.43700000000001</v>
      </c>
      <c r="CX335" s="12">
        <f>'Cash Flow'!BY10/1000</f>
        <v>-275.15699999999998</v>
      </c>
      <c r="CY335" s="12">
        <f>'Cash Flow'!BZ10/1000</f>
        <v>-101.05800000000001</v>
      </c>
      <c r="CZ335" s="12">
        <f>'Cash Flow'!CA10/1000</f>
        <v>416.31900000000002</v>
      </c>
      <c r="DA335" s="12">
        <f>'Cash Flow'!CB10/1000</f>
        <v>93.951999999999998</v>
      </c>
      <c r="DB335" s="12">
        <f>'Cash Flow'!CC10/1000</f>
        <v>134.05600000000001</v>
      </c>
      <c r="DC335" s="12">
        <f>'Cash Flow'!CD10/1000</f>
        <v>-69.948999999999998</v>
      </c>
      <c r="DD335" s="12">
        <f>'Cash Flow'!CE10/1000</f>
        <v>360.72399999999999</v>
      </c>
      <c r="DE335" s="12">
        <f>'Cash Flow'!CF10/1000</f>
        <v>-509.55200000000002</v>
      </c>
      <c r="DF335" s="12">
        <f>'Cash Flow'!CG10/1000</f>
        <v>381.81700000000001</v>
      </c>
      <c r="DG335" s="12">
        <f>'Cash Flow'!CH10/1000</f>
        <v>163.04</v>
      </c>
      <c r="DH335" s="10"/>
    </row>
    <row r="336" spans="1:112" s="7" customFormat="1">
      <c r="A336" s="11" t="s">
        <v>465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2">
        <v>0</v>
      </c>
      <c r="BJ336" s="12">
        <v>0</v>
      </c>
      <c r="BK336" s="12">
        <v>0</v>
      </c>
      <c r="BL336" s="12">
        <v>0</v>
      </c>
      <c r="BM336" s="12">
        <v>0</v>
      </c>
      <c r="BN336" s="12">
        <v>0</v>
      </c>
      <c r="BO336" s="12">
        <v>0</v>
      </c>
      <c r="BP336" s="12">
        <v>0</v>
      </c>
      <c r="BQ336" s="12">
        <v>0</v>
      </c>
      <c r="BR336" s="12">
        <v>0</v>
      </c>
      <c r="BS336" s="12">
        <v>0</v>
      </c>
      <c r="BT336" s="12">
        <v>0</v>
      </c>
      <c r="BU336" s="12">
        <v>0</v>
      </c>
      <c r="BV336" s="12">
        <v>0</v>
      </c>
      <c r="BW336" s="12">
        <v>0</v>
      </c>
      <c r="BX336" s="12">
        <v>0</v>
      </c>
      <c r="BY336" s="12">
        <v>0</v>
      </c>
      <c r="BZ336" s="12">
        <v>0</v>
      </c>
      <c r="CA336" s="12">
        <v>0</v>
      </c>
      <c r="CB336" s="12">
        <v>0</v>
      </c>
      <c r="CC336" s="12">
        <v>0</v>
      </c>
      <c r="CD336" s="12">
        <v>0</v>
      </c>
      <c r="CE336" s="12">
        <v>0</v>
      </c>
      <c r="CF336" s="12">
        <v>0</v>
      </c>
      <c r="CG336" s="12">
        <v>0</v>
      </c>
      <c r="CI336" s="12">
        <v>0</v>
      </c>
      <c r="CJ336" s="12">
        <v>0</v>
      </c>
      <c r="CK336" s="12">
        <v>0</v>
      </c>
      <c r="CL336" s="12">
        <v>0</v>
      </c>
      <c r="CM336" s="12">
        <v>0</v>
      </c>
      <c r="CN336" s="12">
        <v>0</v>
      </c>
      <c r="CO336" s="12">
        <v>0</v>
      </c>
      <c r="CP336" s="12">
        <v>0</v>
      </c>
      <c r="CQ336" s="12">
        <v>0</v>
      </c>
      <c r="CR336" s="12">
        <v>0</v>
      </c>
      <c r="CS336" s="12">
        <v>0</v>
      </c>
      <c r="CT336" s="12">
        <v>0</v>
      </c>
      <c r="CU336" s="12">
        <v>0</v>
      </c>
      <c r="CV336" s="12">
        <v>0</v>
      </c>
      <c r="CW336" s="12">
        <v>0</v>
      </c>
      <c r="CX336" s="12">
        <v>0</v>
      </c>
      <c r="CY336" s="12">
        <v>0</v>
      </c>
      <c r="CZ336" s="12">
        <v>0</v>
      </c>
      <c r="DA336" s="12">
        <v>0</v>
      </c>
      <c r="DB336" s="12">
        <v>0</v>
      </c>
      <c r="DC336" s="12">
        <v>0</v>
      </c>
      <c r="DD336" s="12">
        <v>0</v>
      </c>
      <c r="DE336" s="12">
        <v>0</v>
      </c>
      <c r="DF336" s="12">
        <v>0</v>
      </c>
      <c r="DG336" s="12">
        <v>0</v>
      </c>
      <c r="DH336" s="10"/>
    </row>
    <row r="337" spans="1:112" s="7" customFormat="1">
      <c r="A337" s="11" t="s">
        <v>466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0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0</v>
      </c>
      <c r="BH337" s="12">
        <v>0</v>
      </c>
      <c r="BI337" s="12">
        <v>0</v>
      </c>
      <c r="BJ337" s="12">
        <v>0</v>
      </c>
      <c r="BK337" s="12">
        <v>0</v>
      </c>
      <c r="BL337" s="12">
        <v>0</v>
      </c>
      <c r="BM337" s="12">
        <v>0</v>
      </c>
      <c r="BN337" s="12">
        <v>0</v>
      </c>
      <c r="BO337" s="12">
        <v>0</v>
      </c>
      <c r="BP337" s="12">
        <v>0</v>
      </c>
      <c r="BQ337" s="12">
        <v>0</v>
      </c>
      <c r="BR337" s="12">
        <v>0</v>
      </c>
      <c r="BS337" s="12">
        <v>0</v>
      </c>
      <c r="BT337" s="12">
        <v>0</v>
      </c>
      <c r="BU337" s="12">
        <v>0</v>
      </c>
      <c r="BV337" s="12">
        <v>0</v>
      </c>
      <c r="BW337" s="12">
        <v>0</v>
      </c>
      <c r="BX337" s="12">
        <v>0</v>
      </c>
      <c r="BY337" s="12">
        <v>0</v>
      </c>
      <c r="BZ337" s="12">
        <v>0</v>
      </c>
      <c r="CA337" s="12">
        <v>0</v>
      </c>
      <c r="CB337" s="12">
        <v>0</v>
      </c>
      <c r="CC337" s="12">
        <v>0</v>
      </c>
      <c r="CD337" s="12">
        <v>0</v>
      </c>
      <c r="CE337" s="12">
        <v>0</v>
      </c>
      <c r="CF337" s="12">
        <v>0</v>
      </c>
      <c r="CG337" s="12">
        <v>0</v>
      </c>
      <c r="CI337" s="12">
        <v>0</v>
      </c>
      <c r="CJ337" s="12">
        <v>0</v>
      </c>
      <c r="CK337" s="12">
        <v>0</v>
      </c>
      <c r="CL337" s="12">
        <v>0</v>
      </c>
      <c r="CM337" s="12">
        <v>0</v>
      </c>
      <c r="CN337" s="12">
        <v>0</v>
      </c>
      <c r="CO337" s="12">
        <v>0</v>
      </c>
      <c r="CP337" s="12">
        <v>0</v>
      </c>
      <c r="CQ337" s="12">
        <v>0</v>
      </c>
      <c r="CR337" s="12">
        <v>0</v>
      </c>
      <c r="CS337" s="12">
        <v>0</v>
      </c>
      <c r="CT337" s="12">
        <v>0</v>
      </c>
      <c r="CU337" s="12">
        <v>0</v>
      </c>
      <c r="CV337" s="12">
        <v>0</v>
      </c>
      <c r="CW337" s="12">
        <v>0</v>
      </c>
      <c r="CX337" s="12">
        <v>0</v>
      </c>
      <c r="CY337" s="12">
        <v>0</v>
      </c>
      <c r="CZ337" s="12">
        <v>0</v>
      </c>
      <c r="DA337" s="12">
        <v>0</v>
      </c>
      <c r="DB337" s="12">
        <v>0</v>
      </c>
      <c r="DC337" s="12">
        <v>0</v>
      </c>
      <c r="DD337" s="12">
        <v>0</v>
      </c>
      <c r="DE337" s="12">
        <v>0</v>
      </c>
      <c r="DF337" s="12">
        <v>0</v>
      </c>
      <c r="DG337" s="12">
        <v>0</v>
      </c>
      <c r="DH337" s="10"/>
    </row>
    <row r="338" spans="1:112" s="7" customFormat="1">
      <c r="A338" s="11" t="s">
        <v>467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>
        <f>('Balance Sheet'!P42+'Balance Sheet'!P44+'Balance Sheet'!P45+'Balance Sheet'!P46-'Balance Sheet'!K42-'Balance Sheet'!K44-'Balance Sheet'!K45-'Balance Sheet'!K46)/1000</f>
        <v>784.25</v>
      </c>
      <c r="AP338" s="12">
        <f>('Balance Sheet'!Q42+'Balance Sheet'!Q44+'Balance Sheet'!Q45+'Balance Sheet'!Q46-'Balance Sheet'!P42-'Balance Sheet'!P44-'Balance Sheet'!P45-'Balance Sheet'!P46)/1000</f>
        <v>36.973999999999997</v>
      </c>
      <c r="AQ338" s="12">
        <f>('Balance Sheet'!R42+'Balance Sheet'!R44+'Balance Sheet'!R45+'Balance Sheet'!R46-'Balance Sheet'!Q42-'Balance Sheet'!Q44-'Balance Sheet'!Q45-'Balance Sheet'!Q46)/1000</f>
        <v>-245.334</v>
      </c>
      <c r="AR338" s="12">
        <f>('Balance Sheet'!S42+'Balance Sheet'!S44+'Balance Sheet'!S45+'Balance Sheet'!S46-'Balance Sheet'!R42-'Balance Sheet'!R44-'Balance Sheet'!R45-'Balance Sheet'!R46)/1000</f>
        <v>31.145</v>
      </c>
      <c r="AS338" s="12">
        <f>('Balance Sheet'!T42+'Balance Sheet'!T44+'Balance Sheet'!T45+'Balance Sheet'!T46-'Balance Sheet'!S42-'Balance Sheet'!S44-'Balance Sheet'!S45-'Balance Sheet'!S46)/1000</f>
        <v>50.311</v>
      </c>
      <c r="AT338" s="12">
        <f>('Balance Sheet'!U42+'Balance Sheet'!U44+'Balance Sheet'!U45+'Balance Sheet'!U46-'Balance Sheet'!P42-'Balance Sheet'!P44-'Balance Sheet'!P45-'Balance Sheet'!P46)/1000</f>
        <v>-126.904</v>
      </c>
      <c r="AU338" s="12">
        <f>('Balance Sheet'!V42+'Balance Sheet'!V44+'Balance Sheet'!V45+'Balance Sheet'!V46-'Balance Sheet'!U42-'Balance Sheet'!U44-'Balance Sheet'!U45-'Balance Sheet'!U46)/1000</f>
        <v>21.893999999999998</v>
      </c>
      <c r="AV338" s="12">
        <f>('Balance Sheet'!W42+'Balance Sheet'!W44+'Balance Sheet'!W45+'Balance Sheet'!W46-'Balance Sheet'!V42-'Balance Sheet'!V44-'Balance Sheet'!V45-'Balance Sheet'!V46)/1000</f>
        <v>31.352</v>
      </c>
      <c r="AW338" s="12">
        <f>('Balance Sheet'!X42+'Balance Sheet'!X44+'Balance Sheet'!X45+'Balance Sheet'!X46-'Balance Sheet'!W42-'Balance Sheet'!W44-'Balance Sheet'!W45-'Balance Sheet'!W46)/1000</f>
        <v>10.957000000000001</v>
      </c>
      <c r="AX338" s="12">
        <f>('Balance Sheet'!Y42+'Balance Sheet'!Y44+'Balance Sheet'!Y45+'Balance Sheet'!Y46-'Balance Sheet'!X42-'Balance Sheet'!X44-'Balance Sheet'!X45-'Balance Sheet'!X46)/1000</f>
        <v>50.476999999999997</v>
      </c>
      <c r="AY338" s="12">
        <f>('Balance Sheet'!Z42+'Balance Sheet'!Z44+'Balance Sheet'!Z45+'Balance Sheet'!Z46-'Balance Sheet'!U42-'Balance Sheet'!U44-'Balance Sheet'!U45-'Balance Sheet'!U46)/1000</f>
        <v>114.68</v>
      </c>
      <c r="AZ338" s="12">
        <f>('Balance Sheet'!AA42+'Balance Sheet'!AA44+'Balance Sheet'!AA45+'Balance Sheet'!AA46-'Balance Sheet'!Z42-'Balance Sheet'!Z44-'Balance Sheet'!Z45-'Balance Sheet'!Z46)/1000</f>
        <v>-132.28700000000001</v>
      </c>
      <c r="BA338" s="12">
        <f>('Balance Sheet'!AB42+'Balance Sheet'!AB44+'Balance Sheet'!AB45+'Balance Sheet'!AB46-'Balance Sheet'!AA42-'Balance Sheet'!AA44-'Balance Sheet'!AA45-'Balance Sheet'!AA46)/1000</f>
        <v>67.253</v>
      </c>
      <c r="BB338" s="12">
        <f>('Balance Sheet'!AC42+'Balance Sheet'!AC44+'Balance Sheet'!AC45+'Balance Sheet'!AC46-'Balance Sheet'!AB42-'Balance Sheet'!AB44-'Balance Sheet'!AB45-'Balance Sheet'!AB46)/1000</f>
        <v>26.581</v>
      </c>
      <c r="BC338" s="12">
        <f>('Balance Sheet'!AD42+'Balance Sheet'!AD44+'Balance Sheet'!AD45+'Balance Sheet'!AD46-'Balance Sheet'!AC42-'Balance Sheet'!AC44-'Balance Sheet'!AC45-'Balance Sheet'!AC46)/1000</f>
        <v>1210.9280000000001</v>
      </c>
      <c r="BD338" s="12">
        <f>('Balance Sheet'!AE42+'Balance Sheet'!AE44+'Balance Sheet'!AE45+'Balance Sheet'!AE46-'Balance Sheet'!Z42-'Balance Sheet'!Z44-'Balance Sheet'!Z45-'Balance Sheet'!Z46)/1000</f>
        <v>1172.4749999999999</v>
      </c>
      <c r="BE338" s="12">
        <f>('Balance Sheet'!AF42+'Balance Sheet'!AF44+'Balance Sheet'!AF45+'Balance Sheet'!AF46-'Balance Sheet'!AE42-'Balance Sheet'!AE44-'Balance Sheet'!AE45-'Balance Sheet'!AE46)/1000</f>
        <v>14.571</v>
      </c>
      <c r="BF338" s="12">
        <f>('Balance Sheet'!AG42+'Balance Sheet'!AG44+'Balance Sheet'!AG45+'Balance Sheet'!AG46-'Balance Sheet'!AF42-'Balance Sheet'!AF44-'Balance Sheet'!AF45-'Balance Sheet'!AF46)/1000</f>
        <v>17.161999999999999</v>
      </c>
      <c r="BG338" s="12">
        <f>('Balance Sheet'!AH42+'Balance Sheet'!AH44+'Balance Sheet'!AH45+'Balance Sheet'!AH46-'Balance Sheet'!AG42-'Balance Sheet'!AG44-'Balance Sheet'!AG45-'Balance Sheet'!AG46)/1000</f>
        <v>49.606999999999999</v>
      </c>
      <c r="BH338" s="12">
        <f>('Balance Sheet'!AI42+'Balance Sheet'!AI44+'Balance Sheet'!AI45+'Balance Sheet'!AI46-'Balance Sheet'!AH42-'Balance Sheet'!AH44-'Balance Sheet'!AH45-'Balance Sheet'!AH46)/1000</f>
        <v>40.981999999999999</v>
      </c>
      <c r="BI338" s="12">
        <f>('Balance Sheet'!AJ42+'Balance Sheet'!AJ44+'Balance Sheet'!AJ45+'Balance Sheet'!AJ46-'Balance Sheet'!AE42-'Balance Sheet'!AE44-'Balance Sheet'!AE45-'Balance Sheet'!AE46)/1000</f>
        <v>122.322</v>
      </c>
      <c r="BJ338" s="12">
        <f>('Balance Sheet'!AK42+'Balance Sheet'!AK44+'Balance Sheet'!AK45+'Balance Sheet'!AK46-'Balance Sheet'!AJ42-'Balance Sheet'!AJ44-'Balance Sheet'!AJ45-'Balance Sheet'!AJ46)/1000</f>
        <v>27.225000000000001</v>
      </c>
      <c r="BK338" s="12">
        <f>('Balance Sheet'!AL42+'Balance Sheet'!AL44+'Balance Sheet'!AL45+'Balance Sheet'!AL46-'Balance Sheet'!AK42-'Balance Sheet'!AK44-'Balance Sheet'!AK45-'Balance Sheet'!AK46)/1000</f>
        <v>-14.108000000000001</v>
      </c>
      <c r="BL338" s="12">
        <f>('Balance Sheet'!AM42+'Balance Sheet'!AM44+'Balance Sheet'!AM45+'Balance Sheet'!AM46-'Balance Sheet'!AL42-'Balance Sheet'!AL44-'Balance Sheet'!AL45-'Balance Sheet'!AL46)/1000</f>
        <v>-131.64500000000001</v>
      </c>
      <c r="BM338" s="12">
        <f>('Balance Sheet'!AN42+'Balance Sheet'!AN44+'Balance Sheet'!AN45+'Balance Sheet'!AN46-'Balance Sheet'!AM42-'Balance Sheet'!AM44-'Balance Sheet'!AM45-'Balance Sheet'!AM46)/1000</f>
        <v>2.407</v>
      </c>
      <c r="BN338" s="12">
        <f>('Balance Sheet'!AO42+'Balance Sheet'!AO44+'Balance Sheet'!AO45+'Balance Sheet'!AO46-'Balance Sheet'!AJ42-'Balance Sheet'!AJ44-'Balance Sheet'!AJ45-'Balance Sheet'!AJ46)/1000</f>
        <v>-116.121</v>
      </c>
      <c r="BO338" s="12">
        <f>('Balance Sheet'!AP42+'Balance Sheet'!AP44+'Balance Sheet'!AP45+'Balance Sheet'!AP46-'Balance Sheet'!AO42-'Balance Sheet'!AO44-'Balance Sheet'!AO45-'Balance Sheet'!AO46)/1000</f>
        <v>-15.287000000000001</v>
      </c>
      <c r="BP338" s="12">
        <f>('Balance Sheet'!AQ42+'Balance Sheet'!AQ44+'Balance Sheet'!AQ45+'Balance Sheet'!AQ46-'Balance Sheet'!AP42-'Balance Sheet'!AP44-'Balance Sheet'!AP45-'Balance Sheet'!AP46)/1000</f>
        <v>-2.992</v>
      </c>
      <c r="BQ338" s="12">
        <f>('Balance Sheet'!AR42+'Balance Sheet'!AR44+'Balance Sheet'!AR45+'Balance Sheet'!AR46-'Balance Sheet'!AQ42-'Balance Sheet'!AQ44-'Balance Sheet'!AQ45-'Balance Sheet'!AQ46)/1000</f>
        <v>38.298000000000002</v>
      </c>
      <c r="BR338" s="12">
        <f>('Balance Sheet'!AS42+'Balance Sheet'!AS44+'Balance Sheet'!AS45+'Balance Sheet'!AS46-'Balance Sheet'!AR42-'Balance Sheet'!AR44-'Balance Sheet'!AR45-'Balance Sheet'!AR46)/1000</f>
        <v>184.40600000000001</v>
      </c>
      <c r="BS338" s="12">
        <f>('Balance Sheet'!AT42+'Balance Sheet'!AT44+'Balance Sheet'!AT45+'Balance Sheet'!AT46-'Balance Sheet'!AO42-'Balance Sheet'!AO44-'Balance Sheet'!AO45-'Balance Sheet'!AO46)/1000</f>
        <v>204.42500000000001</v>
      </c>
      <c r="BT338" s="12">
        <f>('Balance Sheet'!AU42+'Balance Sheet'!AU44+'Balance Sheet'!AU45+'Balance Sheet'!AU46-'Balance Sheet'!AT42-'Balance Sheet'!AT44-'Balance Sheet'!AT45-'Balance Sheet'!AT46)/1000</f>
        <v>388.98200000000003</v>
      </c>
      <c r="BU338" s="12">
        <f>('Balance Sheet'!AV42+'Balance Sheet'!AV44+'Balance Sheet'!AV45+'Balance Sheet'!AV46-'Balance Sheet'!AU42-'Balance Sheet'!AU44-'Balance Sheet'!AU45-'Balance Sheet'!AU46)/1000</f>
        <v>-209.654</v>
      </c>
      <c r="BV338" s="12">
        <f>('Balance Sheet'!AW42+'Balance Sheet'!AW44+'Balance Sheet'!AW45+'Balance Sheet'!AW46-'Balance Sheet'!AV42-'Balance Sheet'!AV44-'Balance Sheet'!AV45-'Balance Sheet'!AV46)/1000</f>
        <v>34.957999999999998</v>
      </c>
      <c r="BW338" s="12">
        <f>('Balance Sheet'!AX42+'Balance Sheet'!AX44+'Balance Sheet'!AX45+'Balance Sheet'!AX46-'Balance Sheet'!AW42-'Balance Sheet'!AW44-'Balance Sheet'!AW45-'Balance Sheet'!AW46)/1000</f>
        <v>-138.57599999999999</v>
      </c>
      <c r="BX338" s="12">
        <f>('Balance Sheet'!AY42+'Balance Sheet'!AY44+'Balance Sheet'!AY45+'Balance Sheet'!AY46-'Balance Sheet'!AT42-'Balance Sheet'!AT44-'Balance Sheet'!AT45-'Balance Sheet'!AT46)/1000</f>
        <v>75.709999999999994</v>
      </c>
      <c r="BY338" s="12">
        <f>('Balance Sheet'!AZ42+'Balance Sheet'!AZ44+'Balance Sheet'!AZ45+'Balance Sheet'!AZ46-'Balance Sheet'!AY42-'Balance Sheet'!AY44-'Balance Sheet'!AY45-'Balance Sheet'!AY46)/1000</f>
        <v>-148.77799999999999</v>
      </c>
      <c r="BZ338" s="12">
        <f>('Balance Sheet'!BA42+'Balance Sheet'!BA44+'Balance Sheet'!BA45+'Balance Sheet'!BA46-'Balance Sheet'!AZ42-'Balance Sheet'!AZ44-'Balance Sheet'!AZ45-'Balance Sheet'!AZ46)/1000</f>
        <v>773.34</v>
      </c>
      <c r="CA338" s="12">
        <f>('Balance Sheet'!BB42+'Balance Sheet'!BB44+'Balance Sheet'!BB45+'Balance Sheet'!BB46-'Balance Sheet'!BA42-'Balance Sheet'!BA44-'Balance Sheet'!BA45-'Balance Sheet'!BA46)/1000</f>
        <v>-58.9</v>
      </c>
      <c r="CB338" s="12">
        <f>('Balance Sheet'!BC42+'Balance Sheet'!BC44+'Balance Sheet'!BC45+'Balance Sheet'!BC46-'Balance Sheet'!BB42-'Balance Sheet'!BB44-'Balance Sheet'!BB45-'Balance Sheet'!BB46)/1000</f>
        <v>-40.040999999999997</v>
      </c>
      <c r="CC338" s="12">
        <f>('Balance Sheet'!BD42+'Balance Sheet'!BD44+'Balance Sheet'!BD45+'Balance Sheet'!BD46-'Balance Sheet'!AY42-'Balance Sheet'!AY44-'Balance Sheet'!AY45-'Balance Sheet'!AY46)/1000</f>
        <v>525.62099999999998</v>
      </c>
      <c r="CD338" s="12">
        <f>('Balance Sheet'!BE42+'Balance Sheet'!BE44+'Balance Sheet'!BE45+'Balance Sheet'!BE46-'Balance Sheet'!BD42-'Balance Sheet'!BD44-'Balance Sheet'!BD45-'Balance Sheet'!BD46)/1000</f>
        <v>-36.743000000000002</v>
      </c>
      <c r="CE338" s="12">
        <f>('Balance Sheet'!BF42+'Balance Sheet'!BF44+'Balance Sheet'!BF45+'Balance Sheet'!BF46-'Balance Sheet'!BE42-'Balance Sheet'!BE44-'Balance Sheet'!BE45-'Balance Sheet'!BE46)/1000</f>
        <v>77.040000000000006</v>
      </c>
      <c r="CF338" s="12">
        <f>('Balance Sheet'!BG42+'Balance Sheet'!BG44+'Balance Sheet'!BG45+'Balance Sheet'!BG46-'Balance Sheet'!BF42-'Balance Sheet'!BF44-'Balance Sheet'!BF45-'Balance Sheet'!BF46)/1000</f>
        <v>36.265000000000001</v>
      </c>
      <c r="CG338" s="12">
        <f>('Balance Sheet'!BH42+'Balance Sheet'!BH44+'Balance Sheet'!BH45+'Balance Sheet'!BH46-'Balance Sheet'!BG42-'Balance Sheet'!BG44-'Balance Sheet'!BG45-'Balance Sheet'!BG46)/1000</f>
        <v>-115.54900000000001</v>
      </c>
      <c r="CI338" s="12">
        <f>('Balance Sheet'!BJ42+'Balance Sheet'!BJ44+'Balance Sheet'!BJ45+'Balance Sheet'!BJ46-'Balance Sheet'!BI42-'Balance Sheet'!BI44-'Balance Sheet'!BI45-'Balance Sheet'!BI46)/1000</f>
        <v>-7.0750000000000002</v>
      </c>
      <c r="CJ338" s="12">
        <f>('Balance Sheet'!BK42+'Balance Sheet'!BK44+'Balance Sheet'!BK45+'Balance Sheet'!BK46-'Balance Sheet'!BJ42-'Balance Sheet'!BJ44-'Balance Sheet'!BJ45-'Balance Sheet'!BJ46)/1000</f>
        <v>278.935</v>
      </c>
      <c r="CK338" s="12">
        <f>('Balance Sheet'!BL42+'Balance Sheet'!BL44+'Balance Sheet'!BL45+'Balance Sheet'!BL46-'Balance Sheet'!BK42-'Balance Sheet'!BK44-'Balance Sheet'!BK45-'Balance Sheet'!BK46)/1000</f>
        <v>-17.298999999999999</v>
      </c>
      <c r="CL338" s="12">
        <f>('Balance Sheet'!BM42+'Balance Sheet'!BM44+'Balance Sheet'!BM45+'Balance Sheet'!BM46-'Balance Sheet'!BL42-'Balance Sheet'!BL44-'Balance Sheet'!BL45-'Balance Sheet'!BL46)/1000</f>
        <v>15.225</v>
      </c>
      <c r="CM338" s="12">
        <f>('Balance Sheet'!BN42+'Balance Sheet'!BN44+'Balance Sheet'!BN45+'Balance Sheet'!BN46-'Balance Sheet'!BI42-'Balance Sheet'!BI44-'Balance Sheet'!BI45-'Balance Sheet'!BI46)/1000</f>
        <v>269.786</v>
      </c>
      <c r="CN338" s="12">
        <f>('Balance Sheet'!BO42+'Balance Sheet'!BO44+'Balance Sheet'!BO45+'Balance Sheet'!BO46-'Balance Sheet'!BN42-'Balance Sheet'!BN44-'Balance Sheet'!BN45-'Balance Sheet'!BN46)/1000</f>
        <v>8.8680000000000003</v>
      </c>
      <c r="CO338" s="12">
        <f>('Balance Sheet'!BP42+'Balance Sheet'!BP44+'Balance Sheet'!BP45+'Balance Sheet'!BP46-'Balance Sheet'!BO42-'Balance Sheet'!BO44-'Balance Sheet'!BO45-'Balance Sheet'!BO46)/1000</f>
        <v>-323.55500000000001</v>
      </c>
      <c r="CP338" s="12">
        <f>('Balance Sheet'!BQ42+'Balance Sheet'!BQ44+'Balance Sheet'!BQ45+'Balance Sheet'!BQ46-'Balance Sheet'!BP42-'Balance Sheet'!BP44-'Balance Sheet'!BP45-'Balance Sheet'!BP46)/1000</f>
        <v>11.693</v>
      </c>
      <c r="CQ338" s="12">
        <f>('Balance Sheet'!BR42+'Balance Sheet'!BR44+'Balance Sheet'!BR45+'Balance Sheet'!BR46-'Balance Sheet'!BQ42-'Balance Sheet'!BQ44-'Balance Sheet'!BQ45-'Balance Sheet'!BQ46)/1000</f>
        <v>-2.8180000000000001</v>
      </c>
      <c r="CR338" s="12">
        <f>('Balance Sheet'!BS42+'Balance Sheet'!BS44+'Balance Sheet'!BS45+'Balance Sheet'!BS46-'Balance Sheet'!BN42-'Balance Sheet'!BN44-'Balance Sheet'!BN45-'Balance Sheet'!BN46)/1000</f>
        <v>-305.81200000000001</v>
      </c>
      <c r="CS338" s="12">
        <f>('Balance Sheet'!BT42+'Balance Sheet'!BT44+'Balance Sheet'!BT45+'Balance Sheet'!BT46-'Balance Sheet'!BS42-'Balance Sheet'!BS44-'Balance Sheet'!BS45-'Balance Sheet'!BS46)/1000</f>
        <v>-82.96</v>
      </c>
      <c r="CT338" s="12">
        <f>('Balance Sheet'!BU42+'Balance Sheet'!BU44+'Balance Sheet'!BU45+'Balance Sheet'!BU46-'Balance Sheet'!BT42-'Balance Sheet'!BT44-'Balance Sheet'!BT45-'Balance Sheet'!BT46)/1000</f>
        <v>-24.553999999999998</v>
      </c>
      <c r="CU338" s="12">
        <f>('Balance Sheet'!BV42+'Balance Sheet'!BV44+'Balance Sheet'!BV45+'Balance Sheet'!BV46-'Balance Sheet'!BU42-'Balance Sheet'!BU44-'Balance Sheet'!BU45-'Balance Sheet'!BU46)/1000</f>
        <v>-11.276999999999999</v>
      </c>
      <c r="CV338" s="12">
        <f>('Balance Sheet'!BW42+'Balance Sheet'!BW44+'Balance Sheet'!BW45+'Balance Sheet'!BW46-'Balance Sheet'!BV42-'Balance Sheet'!BV44-'Balance Sheet'!BV45-'Balance Sheet'!BV46)/1000</f>
        <v>62.811999999999998</v>
      </c>
      <c r="CW338" s="12">
        <f>('Balance Sheet'!BX42+'Balance Sheet'!BX44+'Balance Sheet'!BX45+'Balance Sheet'!BX46-'Balance Sheet'!BS42-'Balance Sheet'!BS44-'Balance Sheet'!BS45-'Balance Sheet'!BS46)/1000</f>
        <v>-55.978999999999999</v>
      </c>
      <c r="CX338" s="12">
        <f>('Balance Sheet'!BY42+'Balance Sheet'!BY44+'Balance Sheet'!BY45+'Balance Sheet'!BY46-'Balance Sheet'!BX42-'Balance Sheet'!BX44-'Balance Sheet'!BX45-'Balance Sheet'!BX46)/1000</f>
        <v>-18.231000000000002</v>
      </c>
      <c r="CY338" s="12">
        <f>('Balance Sheet'!BZ42+'Balance Sheet'!BZ44+'Balance Sheet'!BZ45+'Balance Sheet'!BZ46-'Balance Sheet'!BY42-'Balance Sheet'!BY44-'Balance Sheet'!BY45-'Balance Sheet'!BY46)/1000</f>
        <v>-1.3320000000000001</v>
      </c>
      <c r="CZ338" s="12">
        <f>('Balance Sheet'!CA42+'Balance Sheet'!CA44+'Balance Sheet'!CA45+'Balance Sheet'!CA46-'Balance Sheet'!BZ42-'Balance Sheet'!BZ44-'Balance Sheet'!BZ45-'Balance Sheet'!BZ46)/1000</f>
        <v>-4.4359999999999999</v>
      </c>
      <c r="DA338" s="12">
        <f>('Balance Sheet'!CB42+'Balance Sheet'!CB44+'Balance Sheet'!CB45+'Balance Sheet'!CB46-'Balance Sheet'!CA42-'Balance Sheet'!CA44-'Balance Sheet'!CA45-'Balance Sheet'!CA46)/1000</f>
        <v>44.737000000000002</v>
      </c>
      <c r="DB338" s="12">
        <f>('Balance Sheet'!CC42+'Balance Sheet'!CC44+'Balance Sheet'!CC45+'Balance Sheet'!CC46-'Balance Sheet'!BX42-'Balance Sheet'!BX44-'Balance Sheet'!BX45-'Balance Sheet'!BX46)/1000</f>
        <v>20.738</v>
      </c>
      <c r="DC338" s="12">
        <f>('Balance Sheet'!CD42+'Balance Sheet'!CD44+'Balance Sheet'!CD45+'Balance Sheet'!CD46-'Balance Sheet'!BY42-'Balance Sheet'!BY44-'Balance Sheet'!BY45-'Balance Sheet'!BY46)/1000</f>
        <v>46.231000000000002</v>
      </c>
      <c r="DD338" s="12">
        <f>('Balance Sheet'!CE42+'Balance Sheet'!CE44+'Balance Sheet'!CE45+'Balance Sheet'!CE46-'Balance Sheet'!BZ42-'Balance Sheet'!BZ44-'Balance Sheet'!BZ45-'Balance Sheet'!BZ46)/1000</f>
        <v>71.385999999999996</v>
      </c>
      <c r="DE338" s="12">
        <f>('Balance Sheet'!CF42+'Balance Sheet'!CF44+'Balance Sheet'!CF45+'Balance Sheet'!CF46-'Balance Sheet'!CA42-'Balance Sheet'!CA44-'Balance Sheet'!CA45-'Balance Sheet'!CA46)/1000</f>
        <v>-82.808999999999997</v>
      </c>
      <c r="DF338" s="12">
        <f>('Balance Sheet'!CG42+'Balance Sheet'!CG44+'Balance Sheet'!CG45+'Balance Sheet'!CG46-'Balance Sheet'!CB42-'Balance Sheet'!CB44-'Balance Sheet'!CB45-'Balance Sheet'!CB46)/1000</f>
        <v>-121.11199999999999</v>
      </c>
      <c r="DG338" s="12">
        <f>('Balance Sheet'!CH42+'Balance Sheet'!CH44+'Balance Sheet'!CH45+'Balance Sheet'!CH46-'Balance Sheet'!CC42-'Balance Sheet'!CC44-'Balance Sheet'!CC45-'Balance Sheet'!CC46)/1000</f>
        <v>-121.11199999999999</v>
      </c>
      <c r="DH338" s="10"/>
    </row>
    <row r="339" spans="1:112" s="7" customFormat="1">
      <c r="A339" s="11" t="s">
        <v>246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>
        <v>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  <c r="BJ339" s="12">
        <v>0</v>
      </c>
      <c r="BK339" s="12">
        <v>0</v>
      </c>
      <c r="BL339" s="12">
        <v>0</v>
      </c>
      <c r="BM339" s="12">
        <v>0</v>
      </c>
      <c r="BN339" s="12">
        <v>0</v>
      </c>
      <c r="BO339" s="12">
        <v>0</v>
      </c>
      <c r="BP339" s="12">
        <v>0</v>
      </c>
      <c r="BQ339" s="12">
        <v>0</v>
      </c>
      <c r="BR339" s="12">
        <v>0</v>
      </c>
      <c r="BS339" s="12">
        <v>0</v>
      </c>
      <c r="BT339" s="12">
        <v>0</v>
      </c>
      <c r="BU339" s="12">
        <v>0</v>
      </c>
      <c r="BV339" s="12">
        <v>0</v>
      </c>
      <c r="BW339" s="12">
        <v>0</v>
      </c>
      <c r="BX339" s="12">
        <v>0</v>
      </c>
      <c r="BY339" s="12">
        <v>0</v>
      </c>
      <c r="BZ339" s="12">
        <v>0</v>
      </c>
      <c r="CA339" s="12">
        <v>0</v>
      </c>
      <c r="CB339" s="12">
        <v>0</v>
      </c>
      <c r="CC339" s="12">
        <v>0</v>
      </c>
      <c r="CD339" s="12">
        <v>0</v>
      </c>
      <c r="CE339" s="12">
        <v>0</v>
      </c>
      <c r="CF339" s="12">
        <v>0</v>
      </c>
      <c r="CG339" s="12">
        <v>0</v>
      </c>
      <c r="CI339" s="12">
        <v>0</v>
      </c>
      <c r="CJ339" s="12">
        <v>0</v>
      </c>
      <c r="CK339" s="12">
        <v>0</v>
      </c>
      <c r="CL339" s="12">
        <v>0</v>
      </c>
      <c r="CM339" s="12">
        <v>0</v>
      </c>
      <c r="CN339" s="12">
        <v>0</v>
      </c>
      <c r="CO339" s="12">
        <v>0</v>
      </c>
      <c r="CP339" s="12">
        <v>0</v>
      </c>
      <c r="CQ339" s="12">
        <v>0</v>
      </c>
      <c r="CR339" s="12">
        <v>0</v>
      </c>
      <c r="CS339" s="12">
        <v>0</v>
      </c>
      <c r="CT339" s="12">
        <v>0</v>
      </c>
      <c r="CU339" s="12">
        <v>0</v>
      </c>
      <c r="CV339" s="12">
        <v>0</v>
      </c>
      <c r="CW339" s="12">
        <v>0</v>
      </c>
      <c r="CX339" s="12">
        <v>0</v>
      </c>
      <c r="CY339" s="12">
        <v>0</v>
      </c>
      <c r="CZ339" s="12">
        <v>0</v>
      </c>
      <c r="DA339" s="12">
        <v>0</v>
      </c>
      <c r="DB339" s="12">
        <v>0</v>
      </c>
      <c r="DC339" s="12">
        <v>0</v>
      </c>
      <c r="DD339" s="12">
        <v>0</v>
      </c>
      <c r="DE339" s="12">
        <v>0</v>
      </c>
      <c r="DF339" s="12">
        <v>0</v>
      </c>
      <c r="DG339" s="12">
        <v>0</v>
      </c>
      <c r="DH339" s="10"/>
    </row>
    <row r="340" spans="1:112" s="7" customFormat="1">
      <c r="A340" s="11" t="s">
        <v>468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>
        <f>-('Income Statement'!P47-('Balance Sheet'!P47-'Balance Sheet'!K47))/1000+('Balance Sheet'!P38-'Balance Sheet'!K38)/1000</f>
        <v>-71.733999999999995</v>
      </c>
      <c r="AP340" s="12">
        <f>-('Income Statement'!Q47-('Balance Sheet'!Q47-'Balance Sheet'!P47))/1000+('Balance Sheet'!Q38-'Balance Sheet'!P38)/1000</f>
        <v>13.545999999999999</v>
      </c>
      <c r="AQ340" s="12">
        <f>-('Income Statement'!R47-('Balance Sheet'!R47-'Balance Sheet'!Q47))/1000+('Balance Sheet'!R38-'Balance Sheet'!Q38)/1000</f>
        <v>-43.728000000000002</v>
      </c>
      <c r="AR340" s="12">
        <f>-('Income Statement'!S47-('Balance Sheet'!S47-'Balance Sheet'!R47))/1000+('Balance Sheet'!S38-'Balance Sheet'!R38)/1000</f>
        <v>-60.003</v>
      </c>
      <c r="AS340" s="12">
        <f>-('Income Statement'!T47-('Balance Sheet'!T47-'Balance Sheet'!S47))/1000+('Balance Sheet'!T38-'Balance Sheet'!S38)/1000</f>
        <v>7.4649999999999999</v>
      </c>
      <c r="AT340" s="12">
        <f>-('Income Statement'!U47-('Balance Sheet'!U47-'Balance Sheet'!P47))/1000+('Balance Sheet'!U38-'Balance Sheet'!P38)/1000</f>
        <v>-82.72</v>
      </c>
      <c r="AU340" s="12">
        <f>-('Income Statement'!V47-('Balance Sheet'!V47-'Balance Sheet'!U47))/1000+('Balance Sheet'!V38-'Balance Sheet'!U38)/1000</f>
        <v>17.338000000000001</v>
      </c>
      <c r="AV340" s="12">
        <f>-('Income Statement'!W47-('Balance Sheet'!W47-'Balance Sheet'!V47))/1000+('Balance Sheet'!W38-'Balance Sheet'!V38)/1000</f>
        <v>10.601999999999999</v>
      </c>
      <c r="AW340" s="12">
        <f>-('Income Statement'!X47-('Balance Sheet'!X47-'Balance Sheet'!W47))/1000+('Balance Sheet'!X38-'Balance Sheet'!W38)/1000</f>
        <v>-5.5129999999999999</v>
      </c>
      <c r="AX340" s="12">
        <f>-('Income Statement'!Y47-('Balance Sheet'!Y47-'Balance Sheet'!X47))/1000+('Balance Sheet'!Y38-'Balance Sheet'!X38)/1000</f>
        <v>-223.27600000000001</v>
      </c>
      <c r="AY340" s="12">
        <f>-('Income Statement'!Z47-('Balance Sheet'!Z47-'Balance Sheet'!U47))/1000+('Balance Sheet'!Z38-'Balance Sheet'!U38)/1000</f>
        <v>-200.84899999999999</v>
      </c>
      <c r="AZ340" s="12">
        <f>-('Income Statement'!AA47-('Balance Sheet'!AA47-'Balance Sheet'!Z47))/1000+('Balance Sheet'!AA38-'Balance Sheet'!Z38)/1000</f>
        <v>-1.46</v>
      </c>
      <c r="BA340" s="12">
        <f>-('Income Statement'!AB47-('Balance Sheet'!AB47-'Balance Sheet'!AA47))/1000+('Balance Sheet'!AB38-'Balance Sheet'!AA38)/1000</f>
        <v>-67.31</v>
      </c>
      <c r="BB340" s="12">
        <f>-('Income Statement'!AC47-('Balance Sheet'!AC47-'Balance Sheet'!AB47))/1000+('Balance Sheet'!AC38-'Balance Sheet'!AB38)/1000</f>
        <v>0.10100000000000001</v>
      </c>
      <c r="BC340" s="12">
        <f>-('Income Statement'!AD47-('Balance Sheet'!AD47-'Balance Sheet'!AC47))/1000+('Balance Sheet'!AD38-'Balance Sheet'!AC38)/1000</f>
        <v>-4.4989999999999952</v>
      </c>
      <c r="BD340" s="12">
        <f>-('Income Statement'!AE47-('Balance Sheet'!AE47-'Balance Sheet'!Z47))/1000+('Balance Sheet'!AE38-'Balance Sheet'!Z38)/1000</f>
        <v>-73.168000000000006</v>
      </c>
      <c r="BE340" s="12">
        <f>-('Income Statement'!AF47-('Balance Sheet'!AF47-'Balance Sheet'!AE47))/1000+('Balance Sheet'!AF38-'Balance Sheet'!AE38)/1000</f>
        <v>0.125</v>
      </c>
      <c r="BF340" s="12">
        <f>-('Income Statement'!AG47-('Balance Sheet'!AG47-'Balance Sheet'!AF47))/1000+('Balance Sheet'!AG38-'Balance Sheet'!AF38)/1000</f>
        <v>-200.62400000000002</v>
      </c>
      <c r="BG340" s="12">
        <f>-('Income Statement'!AH47-('Balance Sheet'!AH47-'Balance Sheet'!AG47))/1000+('Balance Sheet'!AH38-'Balance Sheet'!AG38)/1000</f>
        <v>-1.871</v>
      </c>
      <c r="BH340" s="12">
        <f>-('Income Statement'!AI47-('Balance Sheet'!AI47-'Balance Sheet'!AH47))/1000+('Balance Sheet'!AI38-'Balance Sheet'!AH38)/1000</f>
        <v>-0.34000000000000341</v>
      </c>
      <c r="BI340" s="12">
        <f>-('Income Statement'!AJ47-('Balance Sheet'!AJ47-'Balance Sheet'!AE47))/1000+('Balance Sheet'!AJ38-'Balance Sheet'!AE38)/1000</f>
        <v>-202.70999999999998</v>
      </c>
      <c r="BJ340" s="12">
        <f>-('Income Statement'!AK47-('Balance Sheet'!AK47-'Balance Sheet'!AJ47))/1000+('Balance Sheet'!AK38-'Balance Sheet'!AJ38)/1000</f>
        <v>-9.5329999999999995</v>
      </c>
      <c r="BK340" s="12">
        <f>-('Income Statement'!AL47-('Balance Sheet'!AL47-'Balance Sheet'!AK47))/1000+('Balance Sheet'!AL38-'Balance Sheet'!AK38)/1000</f>
        <v>-153.16200000000001</v>
      </c>
      <c r="BL340" s="12">
        <f>-('Income Statement'!AM47-('Balance Sheet'!AM47-'Balance Sheet'!AL47))/1000+('Balance Sheet'!AM38-'Balance Sheet'!AL38)/1000</f>
        <v>0.27</v>
      </c>
      <c r="BM340" s="12">
        <f>-('Income Statement'!AN47-('Balance Sheet'!AN47-'Balance Sheet'!AM47))/1000+('Balance Sheet'!AN38-'Balance Sheet'!AM38)/1000</f>
        <v>-3.0400000000000063</v>
      </c>
      <c r="BN340" s="12">
        <f>-('Income Statement'!AO47-('Balance Sheet'!AO47-'Balance Sheet'!AJ47))/1000+('Balance Sheet'!AO38-'Balance Sheet'!AJ38)/1000</f>
        <v>-165.465</v>
      </c>
      <c r="BO340" s="12">
        <f>-('Income Statement'!AP47-('Balance Sheet'!AP47-'Balance Sheet'!AO47))/1000+('Balance Sheet'!AP38-'Balance Sheet'!AO38)/1000</f>
        <v>-119.45399999999999</v>
      </c>
      <c r="BP340" s="12">
        <f>-('Income Statement'!AQ47-('Balance Sheet'!AQ47-'Balance Sheet'!AP47))/1000+('Balance Sheet'!AQ38-'Balance Sheet'!AP38)/1000</f>
        <v>6.2569999999999997</v>
      </c>
      <c r="BQ340" s="12">
        <f>-('Income Statement'!AR47-('Balance Sheet'!AR47-'Balance Sheet'!AQ47))/1000+('Balance Sheet'!AR38-'Balance Sheet'!AQ38)/1000</f>
        <v>-0.10600000000000001</v>
      </c>
      <c r="BR340" s="12">
        <f>-('Income Statement'!AS47-('Balance Sheet'!AS47-'Balance Sheet'!AR47))/1000+('Balance Sheet'!AS38-'Balance Sheet'!AR38)/1000</f>
        <v>-6.7709999999999866</v>
      </c>
      <c r="BS340" s="12">
        <f>-('Income Statement'!AT47-('Balance Sheet'!AT47-'Balance Sheet'!AO47))/1000+('Balance Sheet'!AT38-'Balance Sheet'!AO38)/1000</f>
        <v>-120.074</v>
      </c>
      <c r="BT340" s="12">
        <f>-('Income Statement'!AU47-('Balance Sheet'!AU47-'Balance Sheet'!AT47))/1000+('Balance Sheet'!AU38-'Balance Sheet'!AT38)/1000</f>
        <v>6.09</v>
      </c>
      <c r="BU340" s="12">
        <f>-('Income Statement'!AV47-('Balance Sheet'!AV47-'Balance Sheet'!AU47))/1000+('Balance Sheet'!AV38-'Balance Sheet'!AU38)/1000</f>
        <v>-213.00899999999999</v>
      </c>
      <c r="BV340" s="12">
        <f>-('Income Statement'!AW47-('Balance Sheet'!AW47-'Balance Sheet'!AV47))/1000+('Balance Sheet'!AW38-'Balance Sheet'!AV38)/1000</f>
        <v>-0.84499999999999997</v>
      </c>
      <c r="BW340" s="12">
        <f>-('Income Statement'!AX47-('Balance Sheet'!AX47-'Balance Sheet'!AW47))/1000+('Balance Sheet'!AX38-'Balance Sheet'!AW38)/1000</f>
        <v>-1.4840000000000089</v>
      </c>
      <c r="BX340" s="12">
        <f>-('Income Statement'!AY47-('Balance Sheet'!AY47-'Balance Sheet'!AT47))/1000+('Balance Sheet'!AY38-'Balance Sheet'!AT38)/1000</f>
        <v>-209.24799999999999</v>
      </c>
      <c r="BY340" s="12">
        <f>-('Income Statement'!AZ47-('Balance Sheet'!AZ47-'Balance Sheet'!AY47))/1000+('Balance Sheet'!AZ38-'Balance Sheet'!AY38)/1000</f>
        <v>3.4340000000000002</v>
      </c>
      <c r="BZ340" s="12">
        <f>-('Income Statement'!BA47-('Balance Sheet'!BA47-'Balance Sheet'!AZ47))/1000+('Balance Sheet'!BA38-'Balance Sheet'!AZ38)/1000</f>
        <v>-1004.74</v>
      </c>
      <c r="CA340" s="12">
        <f>-('Income Statement'!BB47-('Balance Sheet'!BB47-'Balance Sheet'!BA47))/1000+('Balance Sheet'!BB38-'Balance Sheet'!BA38)/1000</f>
        <v>3.343</v>
      </c>
      <c r="CB340" s="12">
        <f>-('Income Statement'!BC47-('Balance Sheet'!BC47-'Balance Sheet'!BB47))/1000+('Balance Sheet'!BC38-'Balance Sheet'!BB38)/1000</f>
        <v>-28.902000000000015</v>
      </c>
      <c r="CC340" s="12">
        <f>-('Income Statement'!BD47-('Balance Sheet'!BD47-'Balance Sheet'!AY47))/1000+('Balance Sheet'!BD38-'Balance Sheet'!AY38)/1000</f>
        <v>-1026.865</v>
      </c>
      <c r="CD340" s="12">
        <f>-('Income Statement'!BE47-('Balance Sheet'!BE47-'Balance Sheet'!BD47))/1000+('Balance Sheet'!BE38-'Balance Sheet'!BD38)/1000</f>
        <v>-15.039</v>
      </c>
      <c r="CE340" s="12">
        <f>-('Income Statement'!BF47-('Balance Sheet'!BF47-'Balance Sheet'!BE47))/1000+('Balance Sheet'!BF38-'Balance Sheet'!BE38)/1000</f>
        <v>-352.62900000000002</v>
      </c>
      <c r="CF340" s="12">
        <f>-('Income Statement'!BG47-('Balance Sheet'!BG47-'Balance Sheet'!BF47))/1000+('Balance Sheet'!BG38-'Balance Sheet'!BF38)/1000</f>
        <v>218.965</v>
      </c>
      <c r="CG340" s="12">
        <f>-('Income Statement'!BH47-('Balance Sheet'!BH47-'Balance Sheet'!BG47))/1000+('Balance Sheet'!BH38-'Balance Sheet'!BG38)/1000</f>
        <v>0.30499999999999261</v>
      </c>
      <c r="CI340" s="12">
        <f>-('Income Statement'!BJ47-('Balance Sheet'!BJ47-'Balance Sheet'!BI47))/1000+('Balance Sheet'!BJ38-'Balance Sheet'!BI38)/1000</f>
        <v>1.0210000000000001</v>
      </c>
      <c r="CJ340" s="12">
        <f>-('Income Statement'!BK47-('Balance Sheet'!BK47-'Balance Sheet'!BJ47))/1000+('Balance Sheet'!BK38-'Balance Sheet'!BJ38)/1000</f>
        <v>-404.70299999999997</v>
      </c>
      <c r="CK340" s="12">
        <f>-('Income Statement'!BL47-('Balance Sheet'!BL47-'Balance Sheet'!BK47))/1000+('Balance Sheet'!BL38-'Balance Sheet'!BK38)/1000</f>
        <v>-0.311</v>
      </c>
      <c r="CL340" s="12">
        <f>-('Income Statement'!BM47-('Balance Sheet'!BM47-'Balance Sheet'!BL47))/1000+('Balance Sheet'!BM38-'Balance Sheet'!BL38)/1000</f>
        <v>-1.0000000000047748E-3</v>
      </c>
      <c r="CM340" s="12">
        <f>-('Income Statement'!BN47-('Balance Sheet'!BN47-'Balance Sheet'!BI47))/1000+('Balance Sheet'!BN38-'Balance Sheet'!BI38)/1000</f>
        <v>-403.99400000000003</v>
      </c>
      <c r="CN340" s="12">
        <f>-('Income Statement'!BO47-('Balance Sheet'!BO47-'Balance Sheet'!BN47))/1000+('Balance Sheet'!BO38-'Balance Sheet'!BN38)/1000</f>
        <v>0</v>
      </c>
      <c r="CO340" s="12">
        <f>-('Income Statement'!BP47-('Balance Sheet'!BP47-'Balance Sheet'!BO47))/1000+('Balance Sheet'!BP38-'Balance Sheet'!BO38)/1000</f>
        <v>-36.097000000000001</v>
      </c>
      <c r="CP340" s="12">
        <f>-('Income Statement'!BQ47-('Balance Sheet'!BQ47-'Balance Sheet'!BP47))/1000+('Balance Sheet'!BQ38-'Balance Sheet'!BP38)/1000</f>
        <v>-5.1999999999999998E-2</v>
      </c>
      <c r="CQ340" s="12">
        <f>-('Income Statement'!BR47-('Balance Sheet'!BR47-'Balance Sheet'!BQ47))/1000+('Balance Sheet'!BR38-'Balance Sheet'!BQ38)/1000</f>
        <v>-0.22500000000000001</v>
      </c>
      <c r="CR340" s="12">
        <f>-('Income Statement'!BS47-('Balance Sheet'!BS47-'Balance Sheet'!BN47))/1000+('Balance Sheet'!BS38-'Balance Sheet'!BN38)/1000</f>
        <v>-36.373999999999995</v>
      </c>
      <c r="CS340" s="12">
        <f>-('Income Statement'!BT47-('Balance Sheet'!BT47-'Balance Sheet'!BS47))/1000+('Balance Sheet'!BT38-'Balance Sheet'!BS38)/1000</f>
        <v>-196.11099999999999</v>
      </c>
      <c r="CT340" s="12">
        <f>-('Income Statement'!BU47-('Balance Sheet'!BU47-'Balance Sheet'!BT47))/1000+('Balance Sheet'!BU38-'Balance Sheet'!BT38)/1000</f>
        <v>-0.55099999999998772</v>
      </c>
      <c r="CU340" s="12">
        <f>-('Income Statement'!BV47-('Balance Sheet'!BV47-'Balance Sheet'!BU47))/1000+('Balance Sheet'!BV38-'Balance Sheet'!BU38)/1000</f>
        <v>-200.92599999999999</v>
      </c>
      <c r="CV340" s="12">
        <f>-('Income Statement'!BW47-('Balance Sheet'!BW47-'Balance Sheet'!BV47))/1000+('Balance Sheet'!BW38-'Balance Sheet'!BV38)/1000</f>
        <v>-289.75700000000001</v>
      </c>
      <c r="CW340" s="12">
        <f>-('Income Statement'!BX47-('Balance Sheet'!BX47-'Balance Sheet'!BS47))/1000+('Balance Sheet'!BX38-'Balance Sheet'!BS38)/1000</f>
        <v>-687.34500000000003</v>
      </c>
      <c r="CX340" s="12">
        <f>-('Income Statement'!BY47-('Balance Sheet'!BY47-'Balance Sheet'!BX47))/1000+('Balance Sheet'!BY38-'Balance Sheet'!BX38)/1000</f>
        <v>-1E-3</v>
      </c>
      <c r="CY340" s="12">
        <f>-('Income Statement'!BZ47-('Balance Sheet'!BZ47-'Balance Sheet'!BY47))/1000+('Balance Sheet'!BZ38-'Balance Sheet'!BY38)/1000</f>
        <v>-162.142</v>
      </c>
      <c r="CZ340" s="12">
        <f>-('Income Statement'!CA47-('Balance Sheet'!CA47-'Balance Sheet'!BZ47))/1000+('Balance Sheet'!CA38-'Balance Sheet'!BZ38)/1000</f>
        <v>-137.75700000000001</v>
      </c>
      <c r="DA340" s="12">
        <f>-('Income Statement'!CB47-('Balance Sheet'!CB47-'Balance Sheet'!CA47))/1000+('Balance Sheet'!CB38-'Balance Sheet'!CA38)/1000</f>
        <v>-499.04899999999998</v>
      </c>
      <c r="DB340" s="12">
        <f>-('Income Statement'!CC47-('Balance Sheet'!CC47-'Balance Sheet'!BX47))/1000+('Balance Sheet'!CC38-'Balance Sheet'!BX38)/1000</f>
        <v>-798.94899999999996</v>
      </c>
      <c r="DC340" s="12">
        <f>-('Income Statement'!CD47-('Balance Sheet'!CD47-'Balance Sheet'!BY47))/1000+('Balance Sheet'!CD38-'Balance Sheet'!BY38)/1000</f>
        <v>-431.45499999999998</v>
      </c>
      <c r="DD340" s="12">
        <f>-('Income Statement'!CE47-('Balance Sheet'!CE47-'Balance Sheet'!BZ47))/1000+('Balance Sheet'!CE38-'Balance Sheet'!BZ38)/1000</f>
        <v>-355.77100000000002</v>
      </c>
      <c r="DE340" s="12">
        <f>-('Income Statement'!CF47-('Balance Sheet'!CF47-'Balance Sheet'!CA47))/1000+('Balance Sheet'!CF38-'Balance Sheet'!CA38)/1000</f>
        <v>-254.35499999999999</v>
      </c>
      <c r="DF340" s="12">
        <f>-('Income Statement'!CG47-('Balance Sheet'!CG47-'Balance Sheet'!CB47))/1000+('Balance Sheet'!CG38-'Balance Sheet'!CB38)/1000</f>
        <v>899.12799999999993</v>
      </c>
      <c r="DG340" s="12">
        <f>-('Income Statement'!CH47-('Balance Sheet'!CH47-'Balance Sheet'!CC47))/1000+('Balance Sheet'!CH38-'Balance Sheet'!CC38)/1000</f>
        <v>-599.899</v>
      </c>
      <c r="DH340" s="10"/>
    </row>
    <row r="341" spans="1:112" s="7" customFormat="1">
      <c r="A341" s="11" t="s">
        <v>469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2">
        <v>0</v>
      </c>
      <c r="BJ341" s="12">
        <v>0</v>
      </c>
      <c r="BK341" s="12">
        <v>0</v>
      </c>
      <c r="BL341" s="12">
        <v>0</v>
      </c>
      <c r="BM341" s="12">
        <v>0</v>
      </c>
      <c r="BN341" s="12">
        <v>0</v>
      </c>
      <c r="BO341" s="12">
        <v>0</v>
      </c>
      <c r="BP341" s="12">
        <v>0</v>
      </c>
      <c r="BQ341" s="12">
        <v>0</v>
      </c>
      <c r="BR341" s="12">
        <v>0</v>
      </c>
      <c r="BS341" s="12">
        <v>0</v>
      </c>
      <c r="BT341" s="12">
        <v>0</v>
      </c>
      <c r="BU341" s="12">
        <v>0</v>
      </c>
      <c r="BV341" s="12">
        <v>0</v>
      </c>
      <c r="BW341" s="12">
        <v>0</v>
      </c>
      <c r="BX341" s="12">
        <v>0</v>
      </c>
      <c r="BY341" s="12">
        <v>0</v>
      </c>
      <c r="BZ341" s="12">
        <v>0</v>
      </c>
      <c r="CA341" s="12">
        <v>0</v>
      </c>
      <c r="CB341" s="12">
        <v>0</v>
      </c>
      <c r="CC341" s="12">
        <v>0</v>
      </c>
      <c r="CD341" s="12">
        <v>0</v>
      </c>
      <c r="CE341" s="12">
        <v>0</v>
      </c>
      <c r="CF341" s="12">
        <v>0</v>
      </c>
      <c r="CG341" s="12">
        <v>0</v>
      </c>
      <c r="CI341" s="12">
        <v>0</v>
      </c>
      <c r="CJ341" s="12">
        <v>0</v>
      </c>
      <c r="CK341" s="12">
        <v>0</v>
      </c>
      <c r="CL341" s="12">
        <v>0</v>
      </c>
      <c r="CM341" s="12">
        <v>0</v>
      </c>
      <c r="CN341" s="12">
        <v>0</v>
      </c>
      <c r="CO341" s="12">
        <v>0</v>
      </c>
      <c r="CP341" s="12">
        <v>0</v>
      </c>
      <c r="CQ341" s="12">
        <v>0</v>
      </c>
      <c r="CR341" s="12">
        <v>0</v>
      </c>
      <c r="CS341" s="12">
        <v>0</v>
      </c>
      <c r="CT341" s="12">
        <v>0</v>
      </c>
      <c r="CU341" s="12">
        <v>0</v>
      </c>
      <c r="CV341" s="12">
        <v>0</v>
      </c>
      <c r="CW341" s="12">
        <v>0</v>
      </c>
      <c r="CX341" s="12">
        <v>0</v>
      </c>
      <c r="CY341" s="12">
        <v>0</v>
      </c>
      <c r="CZ341" s="12">
        <v>0</v>
      </c>
      <c r="DA341" s="12">
        <v>0</v>
      </c>
      <c r="DB341" s="12">
        <v>0</v>
      </c>
      <c r="DC341" s="12">
        <v>0</v>
      </c>
      <c r="DD341" s="12">
        <v>0</v>
      </c>
      <c r="DE341" s="12">
        <v>0</v>
      </c>
      <c r="DF341" s="12">
        <v>0</v>
      </c>
      <c r="DG341" s="12">
        <v>0</v>
      </c>
      <c r="DH341" s="10"/>
    </row>
    <row r="342" spans="1:112" s="7" customFormat="1" ht="13.5" thickBot="1">
      <c r="A342" s="13" t="s">
        <v>470</v>
      </c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  <c r="DG342" s="18"/>
      <c r="DH342" s="10"/>
    </row>
    <row r="343" spans="1:112" s="7" customFormat="1">
      <c r="A343" s="17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10"/>
    </row>
    <row r="344" spans="1:112" s="7" customFormat="1" ht="15.75">
      <c r="A344" s="25" t="s">
        <v>471</v>
      </c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10"/>
    </row>
    <row r="345" spans="1:112" s="7" customFormat="1">
      <c r="A345" s="17" t="s">
        <v>472</v>
      </c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10"/>
    </row>
    <row r="346" spans="1:112" s="7" customFormat="1">
      <c r="A346" s="17" t="s">
        <v>473</v>
      </c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10"/>
    </row>
    <row r="347" spans="1:112" s="7" customFormat="1">
      <c r="A347" s="17" t="s">
        <v>474</v>
      </c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10"/>
    </row>
    <row r="348" spans="1:112" s="7" customFormat="1">
      <c r="A348" s="17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I348" s="40"/>
      <c r="CJ348" s="40"/>
      <c r="CK348" s="40"/>
      <c r="CL348" s="40"/>
      <c r="CM348" s="40"/>
      <c r="CN348" s="40"/>
      <c r="CO348" s="40"/>
      <c r="CP348" s="40"/>
      <c r="CQ348" s="40"/>
      <c r="CR348" s="40"/>
      <c r="CS348" s="40"/>
      <c r="CT348" s="40"/>
      <c r="CU348" s="40"/>
      <c r="CV348" s="40"/>
      <c r="CW348" s="40"/>
      <c r="CX348" s="40"/>
      <c r="CY348" s="40"/>
      <c r="CZ348" s="40"/>
      <c r="DA348" s="40"/>
      <c r="DB348" s="40"/>
      <c r="DC348" s="40"/>
      <c r="DD348" s="40"/>
      <c r="DE348" s="40"/>
      <c r="DF348" s="40"/>
      <c r="DG348" s="40"/>
      <c r="DH348" s="10"/>
    </row>
    <row r="349" spans="1:112" s="7" customFormat="1" ht="15.75">
      <c r="A349" s="25" t="s">
        <v>475</v>
      </c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10"/>
    </row>
    <row r="350" spans="1:112" s="7" customFormat="1">
      <c r="A350" s="17" t="s">
        <v>467</v>
      </c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10"/>
    </row>
    <row r="351" spans="1:112" s="7" customFormat="1">
      <c r="A351" s="17" t="s">
        <v>246</v>
      </c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10"/>
    </row>
    <row r="352" spans="1:112" s="7" customFormat="1">
      <c r="A352" s="17" t="s">
        <v>468</v>
      </c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10"/>
    </row>
    <row r="353" spans="1:112" s="7" customFormat="1">
      <c r="A353" s="17" t="s">
        <v>469</v>
      </c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10"/>
    </row>
    <row r="354" spans="1:112" s="7" customFormat="1" ht="13.5" thickBot="1">
      <c r="A354" s="13" t="s">
        <v>476</v>
      </c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  <c r="DG354" s="18"/>
      <c r="DH354" s="10"/>
    </row>
    <row r="355" spans="1:112" s="7" customFormat="1">
      <c r="A355" s="17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10"/>
    </row>
    <row r="356" spans="1:112" s="7" customFormat="1" ht="15.75">
      <c r="A356" s="25" t="s">
        <v>477</v>
      </c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10"/>
    </row>
    <row r="357" spans="1:112" s="7" customFormat="1">
      <c r="A357" s="17" t="s">
        <v>478</v>
      </c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10"/>
    </row>
    <row r="358" spans="1:112" s="7" customFormat="1">
      <c r="A358" s="17" t="s">
        <v>479</v>
      </c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10"/>
    </row>
    <row r="359" spans="1:112" s="7" customFormat="1">
      <c r="A359" s="17" t="s">
        <v>480</v>
      </c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10"/>
    </row>
    <row r="360" spans="1:112" s="7" customFormat="1">
      <c r="A360" s="17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  <c r="CW360" s="40"/>
      <c r="CX360" s="40"/>
      <c r="CY360" s="40"/>
      <c r="CZ360" s="40"/>
      <c r="DA360" s="40"/>
      <c r="DB360" s="40"/>
      <c r="DC360" s="40"/>
      <c r="DD360" s="40"/>
      <c r="DE360" s="40"/>
      <c r="DF360" s="40"/>
      <c r="DG360" s="40"/>
      <c r="DH360" s="10"/>
    </row>
    <row r="361" spans="1:112" s="7" customFormat="1" ht="15.75">
      <c r="A361" s="25" t="s">
        <v>481</v>
      </c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10"/>
    </row>
    <row r="362" spans="1:112" s="7" customFormat="1">
      <c r="A362" s="11" t="s">
        <v>482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2">
        <v>0</v>
      </c>
      <c r="BJ362" s="12">
        <v>0</v>
      </c>
      <c r="BK362" s="12">
        <v>0</v>
      </c>
      <c r="BL362" s="12">
        <v>0</v>
      </c>
      <c r="BM362" s="12">
        <v>0</v>
      </c>
      <c r="BN362" s="12">
        <v>0</v>
      </c>
      <c r="BO362" s="12">
        <v>0</v>
      </c>
      <c r="BP362" s="12">
        <v>0</v>
      </c>
      <c r="BQ362" s="12">
        <v>0</v>
      </c>
      <c r="BR362" s="12">
        <v>0</v>
      </c>
      <c r="BS362" s="12">
        <v>0</v>
      </c>
      <c r="BT362" s="12">
        <v>0</v>
      </c>
      <c r="BU362" s="12">
        <v>0</v>
      </c>
      <c r="BV362" s="12">
        <v>0</v>
      </c>
      <c r="BW362" s="12">
        <v>0</v>
      </c>
      <c r="BX362" s="12">
        <v>0</v>
      </c>
      <c r="BY362" s="12">
        <v>0</v>
      </c>
      <c r="BZ362" s="12">
        <v>0</v>
      </c>
      <c r="CA362" s="12">
        <v>0</v>
      </c>
      <c r="CB362" s="12">
        <v>0</v>
      </c>
      <c r="CC362" s="12">
        <v>0</v>
      </c>
      <c r="CD362" s="12">
        <v>0</v>
      </c>
      <c r="CE362" s="12">
        <v>0</v>
      </c>
      <c r="CF362" s="12">
        <v>0</v>
      </c>
      <c r="CG362" s="12">
        <v>0</v>
      </c>
      <c r="CI362" s="12">
        <v>0</v>
      </c>
      <c r="CJ362" s="12">
        <v>0</v>
      </c>
      <c r="CK362" s="12">
        <v>0</v>
      </c>
      <c r="CL362" s="12">
        <v>0</v>
      </c>
      <c r="CM362" s="12">
        <v>0</v>
      </c>
      <c r="CN362" s="12">
        <v>0</v>
      </c>
      <c r="CO362" s="12">
        <v>0</v>
      </c>
      <c r="CP362" s="12">
        <v>0</v>
      </c>
      <c r="CQ362" s="12">
        <v>0</v>
      </c>
      <c r="CR362" s="12">
        <v>0</v>
      </c>
      <c r="CS362" s="12">
        <v>0</v>
      </c>
      <c r="CT362" s="12">
        <v>0</v>
      </c>
      <c r="CU362" s="12">
        <v>0</v>
      </c>
      <c r="CV362" s="12">
        <v>0</v>
      </c>
      <c r="CW362" s="12">
        <v>0</v>
      </c>
      <c r="CX362" s="12">
        <v>0</v>
      </c>
      <c r="CY362" s="12">
        <v>0</v>
      </c>
      <c r="CZ362" s="12">
        <v>0</v>
      </c>
      <c r="DA362" s="12">
        <v>0</v>
      </c>
      <c r="DB362" s="12">
        <v>0</v>
      </c>
      <c r="DC362" s="12">
        <v>0</v>
      </c>
      <c r="DD362" s="12">
        <v>0</v>
      </c>
      <c r="DE362" s="12">
        <v>0</v>
      </c>
      <c r="DF362" s="12">
        <v>0</v>
      </c>
      <c r="DG362" s="12">
        <v>0</v>
      </c>
      <c r="DH362" s="10"/>
    </row>
    <row r="363" spans="1:112" s="7" customFormat="1">
      <c r="A363" s="11" t="s">
        <v>483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0</v>
      </c>
      <c r="BO363" s="12">
        <v>0</v>
      </c>
      <c r="BP363" s="12">
        <v>0</v>
      </c>
      <c r="BQ363" s="12">
        <v>0</v>
      </c>
      <c r="BR363" s="12">
        <v>0</v>
      </c>
      <c r="BS363" s="12">
        <v>0</v>
      </c>
      <c r="BT363" s="12">
        <v>0</v>
      </c>
      <c r="BU363" s="12">
        <v>0</v>
      </c>
      <c r="BV363" s="12">
        <v>0</v>
      </c>
      <c r="BW363" s="12">
        <v>0</v>
      </c>
      <c r="BX363" s="12">
        <v>0</v>
      </c>
      <c r="BY363" s="12">
        <v>0</v>
      </c>
      <c r="BZ363" s="12">
        <v>0</v>
      </c>
      <c r="CA363" s="12">
        <v>0</v>
      </c>
      <c r="CB363" s="12">
        <v>0</v>
      </c>
      <c r="CC363" s="12">
        <v>0</v>
      </c>
      <c r="CD363" s="12">
        <v>0</v>
      </c>
      <c r="CE363" s="12">
        <v>0</v>
      </c>
      <c r="CF363" s="12">
        <v>0</v>
      </c>
      <c r="CG363" s="12">
        <v>0</v>
      </c>
      <c r="CI363" s="12">
        <v>0</v>
      </c>
      <c r="CJ363" s="12">
        <v>0</v>
      </c>
      <c r="CK363" s="12">
        <v>0</v>
      </c>
      <c r="CL363" s="12">
        <v>0</v>
      </c>
      <c r="CM363" s="12">
        <v>0</v>
      </c>
      <c r="CN363" s="12">
        <v>0</v>
      </c>
      <c r="CO363" s="12">
        <v>0</v>
      </c>
      <c r="CP363" s="12">
        <v>0</v>
      </c>
      <c r="CQ363" s="12">
        <v>0</v>
      </c>
      <c r="CR363" s="12">
        <v>0</v>
      </c>
      <c r="CS363" s="12">
        <v>0</v>
      </c>
      <c r="CT363" s="12">
        <v>0</v>
      </c>
      <c r="CU363" s="12">
        <v>0</v>
      </c>
      <c r="CV363" s="12">
        <v>0</v>
      </c>
      <c r="CW363" s="12">
        <v>0</v>
      </c>
      <c r="CX363" s="12">
        <v>0</v>
      </c>
      <c r="CY363" s="12">
        <v>0</v>
      </c>
      <c r="CZ363" s="12">
        <v>0</v>
      </c>
      <c r="DA363" s="12">
        <v>0</v>
      </c>
      <c r="DB363" s="12">
        <v>0</v>
      </c>
      <c r="DC363" s="12">
        <v>0</v>
      </c>
      <c r="DD363" s="12">
        <v>0</v>
      </c>
      <c r="DE363" s="12">
        <v>0</v>
      </c>
      <c r="DF363" s="12">
        <v>0</v>
      </c>
      <c r="DG363" s="12">
        <v>0</v>
      </c>
      <c r="DH363" s="10"/>
    </row>
    <row r="364" spans="1:112" s="7" customFormat="1">
      <c r="A364" s="17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10"/>
    </row>
    <row r="365" spans="1:112" s="7" customFormat="1" ht="15.75">
      <c r="A365" s="25" t="s">
        <v>484</v>
      </c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10"/>
    </row>
    <row r="366" spans="1:112" s="7" customFormat="1">
      <c r="A366" s="17" t="s">
        <v>485</v>
      </c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10"/>
    </row>
    <row r="367" spans="1:112" s="7" customFormat="1">
      <c r="A367" s="11" t="s">
        <v>486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>
        <f>'Cash Flow'!P9/1000</f>
        <v>-105.35899999999999</v>
      </c>
      <c r="AP367" s="12">
        <f>'Cash Flow'!Q9/1000</f>
        <v>-306.911</v>
      </c>
      <c r="AQ367" s="12">
        <f>'Cash Flow'!R9/1000</f>
        <v>308.06400000000002</v>
      </c>
      <c r="AR367" s="12">
        <f>'Cash Flow'!S9/1000</f>
        <v>-12.122999999999999</v>
      </c>
      <c r="AS367" s="12">
        <f>'Cash Flow'!T9/1000</f>
        <v>-24.870999999999999</v>
      </c>
      <c r="AT367" s="12">
        <f>'Cash Flow'!U9/1000</f>
        <v>-35.841000000000001</v>
      </c>
      <c r="AU367" s="12">
        <f>'Cash Flow'!V9/1000</f>
        <v>-20.893999999999998</v>
      </c>
      <c r="AV367" s="12">
        <f>'Cash Flow'!W9/1000</f>
        <v>-16.931000000000001</v>
      </c>
      <c r="AW367" s="12">
        <f>'Cash Flow'!X9/1000</f>
        <v>-12.366</v>
      </c>
      <c r="AX367" s="12">
        <f>'Cash Flow'!Y9/1000</f>
        <v>-144.922</v>
      </c>
      <c r="AY367" s="12">
        <f>'Cash Flow'!Z9/1000</f>
        <v>-195.113</v>
      </c>
      <c r="AZ367" s="12">
        <f>'Cash Flow'!AA9/1000</f>
        <v>-12.888</v>
      </c>
      <c r="BA367" s="12">
        <f>'Cash Flow'!AB9/1000</f>
        <v>-32.920999999999999</v>
      </c>
      <c r="BB367" s="12">
        <f>'Cash Flow'!AC9/1000</f>
        <v>177.24600000000001</v>
      </c>
      <c r="BC367" s="12">
        <f>'Cash Flow'!AD9/1000</f>
        <v>-16.023</v>
      </c>
      <c r="BD367" s="12">
        <f>'Cash Flow'!AE9/1000</f>
        <v>115.414</v>
      </c>
      <c r="BE367" s="12">
        <f>'Cash Flow'!AF9/1000</f>
        <v>-21.167000000000002</v>
      </c>
      <c r="BF367" s="12">
        <f>'Cash Flow'!AG9/1000</f>
        <v>-20.414000000000001</v>
      </c>
      <c r="BG367" s="12">
        <f>'Cash Flow'!AH9/1000</f>
        <v>-15.836</v>
      </c>
      <c r="BH367" s="12">
        <f>'Cash Flow'!AI9/1000</f>
        <v>-14.180999999999999</v>
      </c>
      <c r="BI367" s="12">
        <f>'Cash Flow'!AJ9/1000</f>
        <v>-71.597999999999999</v>
      </c>
      <c r="BJ367" s="12">
        <f>'Cash Flow'!AK9/1000</f>
        <v>-3.2000000000000001E-2</v>
      </c>
      <c r="BK367" s="12">
        <f>'Cash Flow'!AL9/1000</f>
        <v>-5.181</v>
      </c>
      <c r="BL367" s="12">
        <f>'Cash Flow'!AM9/1000</f>
        <v>-32.146000000000001</v>
      </c>
      <c r="BM367" s="12">
        <f>'Cash Flow'!AN9/1000</f>
        <v>-22.795000000000002</v>
      </c>
      <c r="BN367" s="12">
        <f>'Cash Flow'!AO9/1000</f>
        <v>-60.154000000000003</v>
      </c>
      <c r="BO367" s="12">
        <f>'Cash Flow'!AP9/1000</f>
        <v>-14.916</v>
      </c>
      <c r="BP367" s="12">
        <f>'Cash Flow'!AQ9/1000</f>
        <v>-28.518000000000001</v>
      </c>
      <c r="BQ367" s="12">
        <f>'Cash Flow'!AR9/1000</f>
        <v>-17.614000000000001</v>
      </c>
      <c r="BR367" s="12">
        <f>'Cash Flow'!AS9/1000</f>
        <v>-583.81200000000001</v>
      </c>
      <c r="BS367" s="12">
        <f>'Cash Flow'!AT9/1000</f>
        <v>-644.86</v>
      </c>
      <c r="BT367" s="12">
        <f>'Cash Flow'!AU9/1000</f>
        <v>-406.298</v>
      </c>
      <c r="BU367" s="12">
        <f>'Cash Flow'!AV9/1000</f>
        <v>356.625</v>
      </c>
      <c r="BV367" s="12">
        <f>'Cash Flow'!AW9/1000</f>
        <v>-38.624000000000002</v>
      </c>
      <c r="BW367" s="12">
        <f>'Cash Flow'!AX9/1000</f>
        <v>-45.360999999999997</v>
      </c>
      <c r="BX367" s="12">
        <f>'Cash Flow'!AY9/1000</f>
        <v>-133.65799999999999</v>
      </c>
      <c r="BY367" s="12">
        <f>'Cash Flow'!AZ9/1000</f>
        <v>-40.64</v>
      </c>
      <c r="BZ367" s="12">
        <f>'Cash Flow'!BA9/1000</f>
        <v>-25.640999999999998</v>
      </c>
      <c r="CA367" s="12">
        <f>'Cash Flow'!BB9/1000</f>
        <v>-37.295000000000002</v>
      </c>
      <c r="CB367" s="12">
        <f>'Cash Flow'!BC9/1000</f>
        <v>11.925000000000001</v>
      </c>
      <c r="CC367" s="12">
        <f>'Cash Flow'!BD9/1000</f>
        <v>-91.650999999999996</v>
      </c>
      <c r="CD367" s="12">
        <f>'Cash Flow'!BE9/1000</f>
        <v>29.088000000000001</v>
      </c>
      <c r="CE367" s="12">
        <f>'Cash Flow'!BF9/1000</f>
        <v>-121.867</v>
      </c>
      <c r="CF367" s="12">
        <f>'Cash Flow'!BG9/1000</f>
        <v>5.6390000000000002</v>
      </c>
      <c r="CG367" s="12">
        <f>'Cash Flow'!BH9/1000</f>
        <v>16.172999999999998</v>
      </c>
      <c r="CI367" s="12">
        <f>'Cash Flow'!BJ9/1000</f>
        <v>30.763999999999999</v>
      </c>
      <c r="CJ367" s="12">
        <f>'Cash Flow'!BK9/1000</f>
        <v>-4.3719999999999999</v>
      </c>
      <c r="CK367" s="12">
        <f>'Cash Flow'!BL9/1000</f>
        <v>-60.558</v>
      </c>
      <c r="CL367" s="12">
        <f>'Cash Flow'!BM9/1000</f>
        <v>-138.96199999999999</v>
      </c>
      <c r="CM367" s="12">
        <f>'Cash Flow'!BN9/1000</f>
        <v>-173.12799999999999</v>
      </c>
      <c r="CN367" s="12">
        <f>'Cash Flow'!BO9/1000</f>
        <v>-9.3160000000000007</v>
      </c>
      <c r="CO367" s="12">
        <f>'Cash Flow'!BP9/1000</f>
        <v>-9.6890000000000001</v>
      </c>
      <c r="CP367" s="12">
        <f>'Cash Flow'!BQ9/1000</f>
        <v>104.087</v>
      </c>
      <c r="CQ367" s="12">
        <f>'Cash Flow'!BR9/1000</f>
        <v>-12.23</v>
      </c>
      <c r="CR367" s="12">
        <f>'Cash Flow'!BS9/1000</f>
        <v>72.852000000000004</v>
      </c>
      <c r="CS367" s="12">
        <f>'Cash Flow'!BT9/1000</f>
        <v>-96.423000000000002</v>
      </c>
      <c r="CT367" s="12">
        <f>'Cash Flow'!BU9/1000</f>
        <v>30.446000000000002</v>
      </c>
      <c r="CU367" s="12">
        <f>'Cash Flow'!BV9/1000</f>
        <v>-3.677</v>
      </c>
      <c r="CV367" s="12">
        <f>'Cash Flow'!BW9/1000</f>
        <v>-26.295999999999999</v>
      </c>
      <c r="CW367" s="12">
        <f>'Cash Flow'!BX9/1000</f>
        <v>-95.95</v>
      </c>
      <c r="CX367" s="12">
        <f>'Cash Flow'!BY9/1000</f>
        <v>63.981000000000002</v>
      </c>
      <c r="CY367" s="12">
        <f>'Cash Flow'!BZ9/1000</f>
        <v>7.8810000000000002</v>
      </c>
      <c r="CZ367" s="12">
        <f>'Cash Flow'!CA9/1000</f>
        <v>-94.950999999999993</v>
      </c>
      <c r="DA367" s="12">
        <f>'Cash Flow'!CB9/1000</f>
        <v>-14.319000000000001</v>
      </c>
      <c r="DB367" s="12">
        <f>'Cash Flow'!CC9/1000</f>
        <v>-37.408000000000001</v>
      </c>
      <c r="DC367" s="12">
        <f>'Cash Flow'!CD9/1000</f>
        <v>14.22</v>
      </c>
      <c r="DD367" s="12">
        <f>'Cash Flow'!CE9/1000</f>
        <v>-4.274</v>
      </c>
      <c r="DE367" s="12">
        <f>'Cash Flow'!CF9/1000</f>
        <v>-1285.989</v>
      </c>
      <c r="DF367" s="12">
        <f>'Cash Flow'!CG9/1000</f>
        <v>-0.441</v>
      </c>
      <c r="DG367" s="12">
        <f>'Cash Flow'!CH9/1000</f>
        <v>-1276.4839999999999</v>
      </c>
      <c r="DH367" s="10"/>
    </row>
    <row r="368" spans="1:112" s="7" customFormat="1">
      <c r="A368" s="11" t="s">
        <v>487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>
        <f>'Cash Flow'!P6/1000</f>
        <v>-649.03099999999995</v>
      </c>
      <c r="AP368" s="12">
        <f>'Cash Flow'!Q6/1000</f>
        <v>-100.386</v>
      </c>
      <c r="AQ368" s="12">
        <f>'Cash Flow'!R6/1000</f>
        <v>-130.43700000000001</v>
      </c>
      <c r="AR368" s="12">
        <f>'Cash Flow'!S6/1000</f>
        <v>-142.517</v>
      </c>
      <c r="AS368" s="12">
        <f>'Cash Flow'!T6/1000</f>
        <v>-283.63200000000001</v>
      </c>
      <c r="AT368" s="12">
        <f>'Cash Flow'!U6/1000</f>
        <v>-656.97199999999998</v>
      </c>
      <c r="AU368" s="12">
        <f>'Cash Flow'!V6/1000</f>
        <v>-366.48099999999999</v>
      </c>
      <c r="AV368" s="12">
        <f>'Cash Flow'!W6/1000</f>
        <v>-374.33300000000003</v>
      </c>
      <c r="AW368" s="12">
        <f>'Cash Flow'!X6/1000</f>
        <v>-379.892</v>
      </c>
      <c r="AX368" s="12">
        <f>'Cash Flow'!Y6/1000</f>
        <v>13.087999999999999</v>
      </c>
      <c r="AY368" s="12">
        <f>'Cash Flow'!Z6/1000</f>
        <v>-1107.6179999999999</v>
      </c>
      <c r="AZ368" s="12">
        <f>'Cash Flow'!AA6/1000</f>
        <v>-174.41200000000001</v>
      </c>
      <c r="BA368" s="12">
        <f>'Cash Flow'!AB6/1000</f>
        <v>-509.23</v>
      </c>
      <c r="BB368" s="12">
        <f>'Cash Flow'!AC6/1000</f>
        <v>-533.98900000000003</v>
      </c>
      <c r="BC368" s="12">
        <f>'Cash Flow'!AD6/1000</f>
        <v>-451.16</v>
      </c>
      <c r="BD368" s="12">
        <f>'Cash Flow'!AE6/1000</f>
        <v>-1668.7909999999999</v>
      </c>
      <c r="BE368" s="12">
        <f>'Cash Flow'!AF6/1000</f>
        <v>-504.08</v>
      </c>
      <c r="BF368" s="12">
        <f>'Cash Flow'!AG6/1000</f>
        <v>-404.25900000000001</v>
      </c>
      <c r="BG368" s="12">
        <f>'Cash Flow'!AH6/1000</f>
        <v>-439.072</v>
      </c>
      <c r="BH368" s="12">
        <f>'Cash Flow'!AI6/1000</f>
        <v>-483.30200000000002</v>
      </c>
      <c r="BI368" s="12">
        <f>'Cash Flow'!AJ6/1000</f>
        <v>-1830.713</v>
      </c>
      <c r="BJ368" s="12">
        <f>'Cash Flow'!AK6/1000</f>
        <v>-226.13900000000001</v>
      </c>
      <c r="BK368" s="12">
        <f>'Cash Flow'!AL6/1000</f>
        <v>-120.002</v>
      </c>
      <c r="BL368" s="12">
        <f>'Cash Flow'!AM6/1000</f>
        <v>-260.89400000000001</v>
      </c>
      <c r="BM368" s="12">
        <f>'Cash Flow'!AN6/1000</f>
        <v>0.33600000000000002</v>
      </c>
      <c r="BN368" s="12">
        <f>'Cash Flow'!AO6/1000</f>
        <v>-606.69899999999996</v>
      </c>
      <c r="BO368" s="12">
        <f>'Cash Flow'!AP6/1000</f>
        <v>-60.429000000000002</v>
      </c>
      <c r="BP368" s="12">
        <f>'Cash Flow'!AQ6/1000</f>
        <v>-122.396</v>
      </c>
      <c r="BQ368" s="12">
        <f>'Cash Flow'!AR6/1000</f>
        <v>-62.639000000000003</v>
      </c>
      <c r="BR368" s="12">
        <f>'Cash Flow'!AS6/1000</f>
        <v>312.37299999999999</v>
      </c>
      <c r="BS368" s="12">
        <f>'Cash Flow'!AT6/1000</f>
        <v>66.909000000000006</v>
      </c>
      <c r="BT368" s="12">
        <f>'Cash Flow'!AU6/1000</f>
        <v>48.069000000000003</v>
      </c>
      <c r="BU368" s="12">
        <f>'Cash Flow'!AV6/1000</f>
        <v>-236.34700000000001</v>
      </c>
      <c r="BV368" s="12">
        <f>'Cash Flow'!AW6/1000</f>
        <v>-259.36700000000002</v>
      </c>
      <c r="BW368" s="12">
        <f>'Cash Flow'!AX6/1000</f>
        <v>-250.08600000000001</v>
      </c>
      <c r="BX368" s="12">
        <f>'Cash Flow'!AY6/1000</f>
        <v>-697.73099999999999</v>
      </c>
      <c r="BY368" s="12">
        <f>'Cash Flow'!AZ6/1000</f>
        <v>59.837000000000003</v>
      </c>
      <c r="BZ368" s="12">
        <f>'Cash Flow'!BA6/1000</f>
        <v>-61.962000000000003</v>
      </c>
      <c r="CA368" s="12">
        <f>'Cash Flow'!BB6/1000</f>
        <v>-45.558999999999997</v>
      </c>
      <c r="CB368" s="12">
        <f>'Cash Flow'!BC6/1000</f>
        <v>248.458</v>
      </c>
      <c r="CC368" s="12">
        <f>'Cash Flow'!BD6/1000</f>
        <v>200.774</v>
      </c>
      <c r="CD368" s="12">
        <f>'Cash Flow'!BE6/1000</f>
        <v>252.70599999999999</v>
      </c>
      <c r="CE368" s="12">
        <f>'Cash Flow'!BF6/1000</f>
        <v>367.18</v>
      </c>
      <c r="CF368" s="12">
        <f>'Cash Flow'!BG6/1000</f>
        <v>-215.553</v>
      </c>
      <c r="CG368" s="12">
        <f>'Cash Flow'!BH6/1000</f>
        <v>-5.9180000000000001</v>
      </c>
      <c r="CI368" s="12">
        <f>'Cash Flow'!BJ6/1000</f>
        <v>-77.861000000000004</v>
      </c>
      <c r="CJ368" s="12">
        <f>'Cash Flow'!BK6/1000</f>
        <v>-17.370999999999999</v>
      </c>
      <c r="CK368" s="12">
        <f>'Cash Flow'!BL6/1000</f>
        <v>-193.72200000000001</v>
      </c>
      <c r="CL368" s="12">
        <f>'Cash Flow'!BM6/1000</f>
        <v>331.03899999999999</v>
      </c>
      <c r="CM368" s="12">
        <f>'Cash Flow'!BN6/1000</f>
        <v>42.085000000000001</v>
      </c>
      <c r="CN368" s="12">
        <f>'Cash Flow'!BO6/1000</f>
        <v>94.49</v>
      </c>
      <c r="CO368" s="12">
        <f>'Cash Flow'!BP6/1000</f>
        <v>295.92399999999998</v>
      </c>
      <c r="CP368" s="12">
        <f>'Cash Flow'!BQ6/1000</f>
        <v>166.39599999999999</v>
      </c>
      <c r="CQ368" s="12">
        <f>'Cash Flow'!BR6/1000</f>
        <v>300.73700000000002</v>
      </c>
      <c r="CR368" s="12">
        <f>'Cash Flow'!BS6/1000</f>
        <v>857.54700000000003</v>
      </c>
      <c r="CS368" s="12">
        <f>'Cash Flow'!BT6/1000</f>
        <v>633.10500000000002</v>
      </c>
      <c r="CT368" s="12">
        <f>'Cash Flow'!BU6/1000</f>
        <v>175.179</v>
      </c>
      <c r="CU368" s="12">
        <f>'Cash Flow'!BV6/1000</f>
        <v>289.57</v>
      </c>
      <c r="CV368" s="12">
        <f>'Cash Flow'!BW6/1000</f>
        <v>112.747</v>
      </c>
      <c r="CW368" s="12">
        <f>'Cash Flow'!BX6/1000</f>
        <v>1210.6010000000001</v>
      </c>
      <c r="CX368" s="12">
        <f>'Cash Flow'!BY6/1000</f>
        <v>44.177</v>
      </c>
      <c r="CY368" s="12">
        <f>'Cash Flow'!BZ6/1000</f>
        <v>242.61799999999999</v>
      </c>
      <c r="CZ368" s="12">
        <f>'Cash Flow'!CA6/1000</f>
        <v>-81.799000000000007</v>
      </c>
      <c r="DA368" s="12">
        <f>'Cash Flow'!CB6/1000</f>
        <v>100.557</v>
      </c>
      <c r="DB368" s="12">
        <f>'Cash Flow'!CC6/1000</f>
        <v>305.553</v>
      </c>
      <c r="DC368" s="12">
        <f>'Cash Flow'!CD6/1000</f>
        <v>12.475</v>
      </c>
      <c r="DD368" s="12">
        <f>'Cash Flow'!CE6/1000</f>
        <v>-139.67699999999999</v>
      </c>
      <c r="DE368" s="12">
        <f>'Cash Flow'!CF6/1000</f>
        <v>943.95</v>
      </c>
      <c r="DF368" s="12">
        <f>'Cash Flow'!CG6/1000</f>
        <v>-55.543999999999997</v>
      </c>
      <c r="DG368" s="12">
        <f>'Cash Flow'!CH6/1000</f>
        <v>761.20399999999995</v>
      </c>
      <c r="DH368" s="10"/>
    </row>
    <row r="369" spans="1:112" s="7" customFormat="1">
      <c r="A369" s="17" t="s">
        <v>488</v>
      </c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0"/>
    </row>
    <row r="370" spans="1:112" s="7" customFormat="1">
      <c r="A370" s="17" t="s">
        <v>489</v>
      </c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10"/>
    </row>
    <row r="371" spans="1:112" s="7" customFormat="1" ht="13.5" thickBot="1">
      <c r="A371" s="17" t="s">
        <v>490</v>
      </c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  <c r="DG371" s="18"/>
      <c r="DH371" s="10"/>
    </row>
    <row r="372" spans="1:112" s="7" customFormat="1">
      <c r="A372" s="17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10"/>
    </row>
    <row r="373" spans="1:112" s="7" customFormat="1" ht="15.75">
      <c r="A373" s="25" t="s">
        <v>491</v>
      </c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10"/>
    </row>
    <row r="374" spans="1:112" s="7" customFormat="1">
      <c r="A374" s="17" t="s">
        <v>281</v>
      </c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10"/>
    </row>
    <row r="375" spans="1:112" s="7" customFormat="1">
      <c r="A375" s="17" t="s">
        <v>492</v>
      </c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10"/>
    </row>
    <row r="376" spans="1:112" s="7" customFormat="1">
      <c r="A376" s="17" t="s">
        <v>493</v>
      </c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0"/>
    </row>
    <row r="377" spans="1:112" s="7" customFormat="1">
      <c r="A377" s="17" t="s">
        <v>494</v>
      </c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10"/>
    </row>
    <row r="378" spans="1:112" s="7" customFormat="1">
      <c r="A378" s="17" t="s">
        <v>495</v>
      </c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10"/>
    </row>
    <row r="379" spans="1:112" s="7" customFormat="1">
      <c r="A379" s="17" t="s">
        <v>496</v>
      </c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0"/>
    </row>
    <row r="380" spans="1:112" s="7" customFormat="1">
      <c r="A380" s="11" t="s">
        <v>497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>
        <v>0</v>
      </c>
      <c r="AP380" s="12">
        <v>0</v>
      </c>
      <c r="AQ380" s="12">
        <v>0</v>
      </c>
      <c r="AR380" s="12">
        <v>0</v>
      </c>
      <c r="AS380" s="12">
        <v>0</v>
      </c>
      <c r="AT380" s="12">
        <v>0</v>
      </c>
      <c r="AU380" s="12">
        <v>0</v>
      </c>
      <c r="AV380" s="12">
        <v>0</v>
      </c>
      <c r="AW380" s="12">
        <v>0</v>
      </c>
      <c r="AX380" s="12">
        <v>0</v>
      </c>
      <c r="AY380" s="12">
        <v>0</v>
      </c>
      <c r="AZ380" s="12">
        <v>0</v>
      </c>
      <c r="BA380" s="12">
        <v>0</v>
      </c>
      <c r="BB380" s="12">
        <v>0</v>
      </c>
      <c r="BC380" s="12">
        <v>0</v>
      </c>
      <c r="BD380" s="12">
        <v>0</v>
      </c>
      <c r="BE380" s="12">
        <v>0</v>
      </c>
      <c r="BF380" s="12">
        <v>0</v>
      </c>
      <c r="BG380" s="12">
        <v>0</v>
      </c>
      <c r="BH380" s="12">
        <v>0</v>
      </c>
      <c r="BI380" s="12">
        <v>0</v>
      </c>
      <c r="BJ380" s="12">
        <v>0</v>
      </c>
      <c r="BK380" s="12">
        <v>0</v>
      </c>
      <c r="BL380" s="12">
        <v>0</v>
      </c>
      <c r="BM380" s="12">
        <v>0</v>
      </c>
      <c r="BN380" s="12">
        <v>0</v>
      </c>
      <c r="BO380" s="12">
        <v>0</v>
      </c>
      <c r="BP380" s="12">
        <v>0</v>
      </c>
      <c r="BQ380" s="12">
        <v>0</v>
      </c>
      <c r="BR380" s="12">
        <v>0</v>
      </c>
      <c r="BS380" s="12">
        <v>0</v>
      </c>
      <c r="BT380" s="12">
        <v>0</v>
      </c>
      <c r="BU380" s="12">
        <v>0</v>
      </c>
      <c r="BV380" s="12">
        <v>0</v>
      </c>
      <c r="BW380" s="12">
        <v>0</v>
      </c>
      <c r="BX380" s="12">
        <v>0</v>
      </c>
      <c r="BY380" s="12">
        <v>0</v>
      </c>
      <c r="BZ380" s="12">
        <v>0</v>
      </c>
      <c r="CA380" s="12">
        <v>0</v>
      </c>
      <c r="CB380" s="12">
        <v>0</v>
      </c>
      <c r="CC380" s="12">
        <v>0</v>
      </c>
      <c r="CD380" s="12">
        <v>0</v>
      </c>
      <c r="CE380" s="12">
        <v>0</v>
      </c>
      <c r="CF380" s="12">
        <v>0</v>
      </c>
      <c r="CG380" s="12">
        <v>0</v>
      </c>
      <c r="CI380" s="12">
        <v>0</v>
      </c>
      <c r="CJ380" s="12">
        <v>0</v>
      </c>
      <c r="CK380" s="12">
        <v>0</v>
      </c>
      <c r="CL380" s="12">
        <v>0</v>
      </c>
      <c r="CM380" s="12">
        <v>0</v>
      </c>
      <c r="CN380" s="12">
        <v>0</v>
      </c>
      <c r="CO380" s="12">
        <v>0</v>
      </c>
      <c r="CP380" s="12">
        <v>0</v>
      </c>
      <c r="CQ380" s="12">
        <v>0</v>
      </c>
      <c r="CR380" s="12">
        <v>0</v>
      </c>
      <c r="CS380" s="12">
        <v>0</v>
      </c>
      <c r="CT380" s="12">
        <v>0</v>
      </c>
      <c r="CU380" s="12">
        <v>0</v>
      </c>
      <c r="CV380" s="12">
        <v>0</v>
      </c>
      <c r="CW380" s="12">
        <v>0</v>
      </c>
      <c r="CX380" s="12">
        <v>0</v>
      </c>
      <c r="CY380" s="12">
        <v>0</v>
      </c>
      <c r="CZ380" s="12">
        <v>0</v>
      </c>
      <c r="DA380" s="12">
        <v>0</v>
      </c>
      <c r="DB380" s="12">
        <v>0</v>
      </c>
      <c r="DC380" s="12">
        <v>0</v>
      </c>
      <c r="DD380" s="12">
        <v>0</v>
      </c>
      <c r="DE380" s="12">
        <v>0</v>
      </c>
      <c r="DF380" s="12">
        <v>0</v>
      </c>
      <c r="DG380" s="12">
        <v>0</v>
      </c>
      <c r="DH380" s="10"/>
    </row>
    <row r="381" spans="1:112" s="7" customFormat="1" ht="13.5" thickBot="1">
      <c r="A381" s="17" t="s">
        <v>498</v>
      </c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  <c r="DG381" s="18"/>
      <c r="DH381" s="10"/>
    </row>
    <row r="382" spans="1:112" s="7" customFormat="1">
      <c r="A382" s="17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10"/>
    </row>
    <row r="383" spans="1:112" s="7" customFormat="1" ht="15.75">
      <c r="A383" s="25" t="s">
        <v>499</v>
      </c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10"/>
    </row>
    <row r="384" spans="1:112" s="7" customFormat="1">
      <c r="A384" s="17" t="s">
        <v>500</v>
      </c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  <c r="DH384" s="10"/>
    </row>
    <row r="385" spans="1:112" s="7" customFormat="1">
      <c r="A385" s="17" t="s">
        <v>492</v>
      </c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  <c r="DH385" s="10"/>
    </row>
    <row r="386" spans="1:112" s="7" customFormat="1">
      <c r="A386" s="17" t="s">
        <v>501</v>
      </c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0"/>
    </row>
    <row r="387" spans="1:112" s="7" customFormat="1">
      <c r="A387" s="17" t="s">
        <v>494</v>
      </c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  <c r="DH387" s="10"/>
    </row>
    <row r="388" spans="1:112" s="7" customFormat="1">
      <c r="A388" s="17" t="s">
        <v>495</v>
      </c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10"/>
    </row>
    <row r="389" spans="1:112" s="7" customFormat="1">
      <c r="A389" s="17" t="s">
        <v>502</v>
      </c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0"/>
    </row>
    <row r="390" spans="1:112" s="7" customFormat="1">
      <c r="A390" s="11" t="s">
        <v>503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0</v>
      </c>
      <c r="AY390" s="12">
        <v>0</v>
      </c>
      <c r="AZ390" s="12">
        <v>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F390" s="12">
        <v>0</v>
      </c>
      <c r="BG390" s="12">
        <v>0</v>
      </c>
      <c r="BH390" s="12">
        <v>0</v>
      </c>
      <c r="BI390" s="12">
        <v>0</v>
      </c>
      <c r="BJ390" s="12">
        <v>0</v>
      </c>
      <c r="BK390" s="12">
        <v>0</v>
      </c>
      <c r="BL390" s="12">
        <v>0</v>
      </c>
      <c r="BM390" s="12">
        <v>0</v>
      </c>
      <c r="BN390" s="12">
        <v>0</v>
      </c>
      <c r="BO390" s="12">
        <v>0</v>
      </c>
      <c r="BP390" s="12">
        <v>0</v>
      </c>
      <c r="BQ390" s="12">
        <v>0</v>
      </c>
      <c r="BR390" s="12">
        <v>0</v>
      </c>
      <c r="BS390" s="12">
        <v>0</v>
      </c>
      <c r="BT390" s="12">
        <v>0</v>
      </c>
      <c r="BU390" s="12">
        <v>0</v>
      </c>
      <c r="BV390" s="12">
        <v>0</v>
      </c>
      <c r="BW390" s="12">
        <v>0</v>
      </c>
      <c r="BX390" s="12">
        <v>0</v>
      </c>
      <c r="BY390" s="12">
        <v>0</v>
      </c>
      <c r="BZ390" s="12">
        <v>0</v>
      </c>
      <c r="CA390" s="12">
        <v>0</v>
      </c>
      <c r="CB390" s="12">
        <v>0</v>
      </c>
      <c r="CC390" s="12">
        <v>0</v>
      </c>
      <c r="CD390" s="12">
        <v>0</v>
      </c>
      <c r="CE390" s="12">
        <v>0</v>
      </c>
      <c r="CF390" s="12">
        <v>0</v>
      </c>
      <c r="CG390" s="12">
        <v>0</v>
      </c>
      <c r="CI390" s="12">
        <v>0</v>
      </c>
      <c r="CJ390" s="12">
        <v>0</v>
      </c>
      <c r="CK390" s="12">
        <v>0</v>
      </c>
      <c r="CL390" s="12">
        <v>0</v>
      </c>
      <c r="CM390" s="12">
        <v>0</v>
      </c>
      <c r="CN390" s="12">
        <v>0</v>
      </c>
      <c r="CO390" s="12">
        <v>0</v>
      </c>
      <c r="CP390" s="12">
        <v>0</v>
      </c>
      <c r="CQ390" s="12">
        <v>0</v>
      </c>
      <c r="CR390" s="12">
        <v>0</v>
      </c>
      <c r="CS390" s="12">
        <v>0</v>
      </c>
      <c r="CT390" s="12">
        <v>0</v>
      </c>
      <c r="CU390" s="12">
        <v>0</v>
      </c>
      <c r="CV390" s="12">
        <v>0</v>
      </c>
      <c r="CW390" s="12">
        <v>0</v>
      </c>
      <c r="CX390" s="12">
        <v>0</v>
      </c>
      <c r="CY390" s="12">
        <v>0</v>
      </c>
      <c r="CZ390" s="12">
        <v>0</v>
      </c>
      <c r="DA390" s="12">
        <v>0</v>
      </c>
      <c r="DB390" s="12">
        <v>0</v>
      </c>
      <c r="DC390" s="12">
        <v>0</v>
      </c>
      <c r="DD390" s="12">
        <v>0</v>
      </c>
      <c r="DE390" s="12">
        <v>0</v>
      </c>
      <c r="DF390" s="12">
        <v>0</v>
      </c>
      <c r="DG390" s="12">
        <v>0</v>
      </c>
      <c r="DH390" s="10"/>
    </row>
    <row r="391" spans="1:112" s="7" customFormat="1" ht="13.5" thickBot="1">
      <c r="A391" s="17" t="s">
        <v>504</v>
      </c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  <c r="DG391" s="18"/>
      <c r="DH391" s="10"/>
    </row>
    <row r="392" spans="1:112" s="7" customFormat="1">
      <c r="A392" s="17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10"/>
    </row>
    <row r="393" spans="1:112" s="7" customFormat="1" ht="15.75">
      <c r="A393" s="25" t="s">
        <v>505</v>
      </c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10"/>
    </row>
    <row r="394" spans="1:112" s="7" customFormat="1">
      <c r="A394" s="17" t="s">
        <v>506</v>
      </c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10"/>
    </row>
    <row r="395" spans="1:112" s="7" customFormat="1">
      <c r="A395" s="17" t="s">
        <v>507</v>
      </c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10"/>
    </row>
    <row r="396" spans="1:112" s="7" customFormat="1" ht="13.5" thickBot="1">
      <c r="A396" s="17" t="s">
        <v>508</v>
      </c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10"/>
    </row>
    <row r="397" spans="1:112" s="7" customFormat="1" ht="15.75">
      <c r="A397" s="31" t="s">
        <v>509</v>
      </c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2"/>
      <c r="BZ397" s="32"/>
      <c r="CA397" s="32"/>
      <c r="CB397" s="32"/>
      <c r="CC397" s="32"/>
      <c r="CD397" s="32"/>
      <c r="CE397" s="32"/>
      <c r="CF397" s="32"/>
      <c r="CG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  <c r="CU397" s="32"/>
      <c r="CV397" s="32"/>
      <c r="CW397" s="32"/>
      <c r="CX397" s="32"/>
      <c r="CY397" s="32"/>
      <c r="CZ397" s="32"/>
      <c r="DA397" s="32"/>
      <c r="DB397" s="32"/>
      <c r="DC397" s="32"/>
      <c r="DD397" s="32"/>
      <c r="DE397" s="32"/>
      <c r="DF397" s="32"/>
      <c r="DG397" s="32"/>
      <c r="DH397" s="10"/>
    </row>
    <row r="398" spans="1:112" s="7" customFormat="1" ht="15.75">
      <c r="A398" s="25" t="s">
        <v>510</v>
      </c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10"/>
    </row>
    <row r="399" spans="1:112" s="7" customFormat="1">
      <c r="A399" s="17" t="s">
        <v>511</v>
      </c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  <c r="CS399" s="43"/>
      <c r="CT399" s="43"/>
      <c r="CU399" s="43"/>
      <c r="CV399" s="43"/>
      <c r="CW399" s="43"/>
      <c r="CX399" s="43"/>
      <c r="CY399" s="43"/>
      <c r="CZ399" s="43"/>
      <c r="DA399" s="43"/>
      <c r="DB399" s="43"/>
      <c r="DC399" s="43"/>
      <c r="DD399" s="43"/>
      <c r="DE399" s="43"/>
      <c r="DF399" s="43"/>
      <c r="DG399" s="43"/>
      <c r="DH399" s="10"/>
    </row>
    <row r="400" spans="1:112" s="7" customFormat="1">
      <c r="A400" s="17" t="s">
        <v>512</v>
      </c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  <c r="CS400" s="43"/>
      <c r="CT400" s="43"/>
      <c r="CU400" s="43"/>
      <c r="CV400" s="43"/>
      <c r="CW400" s="43"/>
      <c r="CX400" s="43"/>
      <c r="CY400" s="43"/>
      <c r="CZ400" s="43"/>
      <c r="DA400" s="43"/>
      <c r="DB400" s="43"/>
      <c r="DC400" s="43"/>
      <c r="DD400" s="43"/>
      <c r="DE400" s="43"/>
      <c r="DF400" s="43"/>
      <c r="DG400" s="43"/>
      <c r="DH400" s="10"/>
    </row>
    <row r="401" spans="1:112" s="7" customFormat="1">
      <c r="A401" s="17" t="s">
        <v>513</v>
      </c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  <c r="CS401" s="43"/>
      <c r="CT401" s="43"/>
      <c r="CU401" s="43"/>
      <c r="CV401" s="43"/>
      <c r="CW401" s="43"/>
      <c r="CX401" s="43"/>
      <c r="CY401" s="43"/>
      <c r="CZ401" s="43"/>
      <c r="DA401" s="43"/>
      <c r="DB401" s="43"/>
      <c r="DC401" s="43"/>
      <c r="DD401" s="43"/>
      <c r="DE401" s="43"/>
      <c r="DF401" s="43"/>
      <c r="DG401" s="43"/>
      <c r="DH401" s="10"/>
    </row>
    <row r="402" spans="1:112" s="7" customFormat="1">
      <c r="A402" s="17" t="s">
        <v>514</v>
      </c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  <c r="CS402" s="43"/>
      <c r="CT402" s="43"/>
      <c r="CU402" s="43"/>
      <c r="CV402" s="43"/>
      <c r="CW402" s="43"/>
      <c r="CX402" s="43"/>
      <c r="CY402" s="43"/>
      <c r="CZ402" s="43"/>
      <c r="DA402" s="43"/>
      <c r="DB402" s="43"/>
      <c r="DC402" s="43"/>
      <c r="DD402" s="43"/>
      <c r="DE402" s="43"/>
      <c r="DF402" s="43"/>
      <c r="DG402" s="43"/>
      <c r="DH402" s="10"/>
    </row>
    <row r="403" spans="1:112" s="7" customFormat="1">
      <c r="A403" s="17" t="s">
        <v>515</v>
      </c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  <c r="CS403" s="43"/>
      <c r="CT403" s="43"/>
      <c r="CU403" s="43"/>
      <c r="CV403" s="43"/>
      <c r="CW403" s="43"/>
      <c r="CX403" s="43"/>
      <c r="CY403" s="43"/>
      <c r="CZ403" s="43"/>
      <c r="DA403" s="43"/>
      <c r="DB403" s="43"/>
      <c r="DC403" s="43"/>
      <c r="DD403" s="43"/>
      <c r="DE403" s="43"/>
      <c r="DF403" s="43"/>
      <c r="DG403" s="43"/>
      <c r="DH403" s="10"/>
    </row>
    <row r="404" spans="1:112" s="7" customFormat="1">
      <c r="A404" s="17" t="s">
        <v>516</v>
      </c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43"/>
      <c r="CZ404" s="43"/>
      <c r="DA404" s="43"/>
      <c r="DB404" s="43"/>
      <c r="DC404" s="43"/>
      <c r="DD404" s="43"/>
      <c r="DE404" s="43"/>
      <c r="DF404" s="43"/>
      <c r="DG404" s="43"/>
      <c r="DH404" s="10"/>
    </row>
    <row r="405" spans="1:112" s="7" customFormat="1">
      <c r="A405" s="17" t="s">
        <v>517</v>
      </c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  <c r="CS405" s="43"/>
      <c r="CT405" s="43"/>
      <c r="CU405" s="43"/>
      <c r="CV405" s="43"/>
      <c r="CW405" s="43"/>
      <c r="CX405" s="43"/>
      <c r="CY405" s="43"/>
      <c r="CZ405" s="43"/>
      <c r="DA405" s="43"/>
      <c r="DB405" s="43"/>
      <c r="DC405" s="43"/>
      <c r="DD405" s="43"/>
      <c r="DE405" s="43"/>
      <c r="DF405" s="43"/>
      <c r="DG405" s="43"/>
      <c r="DH405" s="10"/>
    </row>
    <row r="406" spans="1:112" s="7" customFormat="1">
      <c r="A406" s="17" t="s">
        <v>518</v>
      </c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  <c r="CS406" s="43"/>
      <c r="CT406" s="43"/>
      <c r="CU406" s="43"/>
      <c r="CV406" s="43"/>
      <c r="CW406" s="43"/>
      <c r="CX406" s="43"/>
      <c r="CY406" s="43"/>
      <c r="CZ406" s="43"/>
      <c r="DA406" s="43"/>
      <c r="DB406" s="43"/>
      <c r="DC406" s="43"/>
      <c r="DD406" s="43"/>
      <c r="DE406" s="43"/>
      <c r="DF406" s="43"/>
      <c r="DG406" s="43"/>
      <c r="DH406" s="10"/>
    </row>
    <row r="407" spans="1:112" s="7" customFormat="1">
      <c r="A407" s="17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10"/>
    </row>
    <row r="408" spans="1:112" s="7" customFormat="1" ht="15.75">
      <c r="A408" s="25" t="s">
        <v>519</v>
      </c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10"/>
    </row>
    <row r="409" spans="1:112" s="7" customFormat="1">
      <c r="A409" s="11" t="s">
        <v>520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2">
        <v>0</v>
      </c>
      <c r="BN409" s="12">
        <v>0</v>
      </c>
      <c r="BO409" s="12">
        <v>0</v>
      </c>
      <c r="BP409" s="12">
        <v>0</v>
      </c>
      <c r="BQ409" s="12">
        <v>0</v>
      </c>
      <c r="BR409" s="12">
        <v>0</v>
      </c>
      <c r="BS409" s="12">
        <v>0</v>
      </c>
      <c r="BT409" s="12">
        <v>0</v>
      </c>
      <c r="BU409" s="12">
        <v>0</v>
      </c>
      <c r="BV409" s="12">
        <v>0</v>
      </c>
      <c r="BW409" s="12">
        <v>0</v>
      </c>
      <c r="BX409" s="12">
        <v>0</v>
      </c>
      <c r="BY409" s="12">
        <v>0</v>
      </c>
      <c r="BZ409" s="12">
        <v>0</v>
      </c>
      <c r="CA409" s="12">
        <v>0</v>
      </c>
      <c r="CB409" s="12">
        <v>0</v>
      </c>
      <c r="CC409" s="12">
        <v>0</v>
      </c>
      <c r="CD409" s="12">
        <v>0</v>
      </c>
      <c r="CE409" s="12">
        <v>0</v>
      </c>
      <c r="CF409" s="12">
        <v>0</v>
      </c>
      <c r="CG409" s="12">
        <v>0</v>
      </c>
      <c r="CI409" s="12">
        <v>0</v>
      </c>
      <c r="CJ409" s="12">
        <v>0</v>
      </c>
      <c r="CK409" s="12">
        <v>0</v>
      </c>
      <c r="CL409" s="12">
        <v>0</v>
      </c>
      <c r="CM409" s="12">
        <v>0</v>
      </c>
      <c r="CN409" s="12">
        <v>0</v>
      </c>
      <c r="CO409" s="12">
        <v>0</v>
      </c>
      <c r="CP409" s="12">
        <v>0</v>
      </c>
      <c r="CQ409" s="12">
        <v>0</v>
      </c>
      <c r="CR409" s="12">
        <v>0</v>
      </c>
      <c r="CS409" s="12">
        <v>0</v>
      </c>
      <c r="CT409" s="12">
        <v>0</v>
      </c>
      <c r="CU409" s="12">
        <v>0</v>
      </c>
      <c r="CV409" s="12">
        <v>0</v>
      </c>
      <c r="CW409" s="12">
        <v>0</v>
      </c>
      <c r="CX409" s="12">
        <v>0</v>
      </c>
      <c r="CY409" s="12">
        <v>0</v>
      </c>
      <c r="CZ409" s="12">
        <v>0</v>
      </c>
      <c r="DA409" s="12">
        <v>0</v>
      </c>
      <c r="DB409" s="12">
        <v>0</v>
      </c>
      <c r="DC409" s="12">
        <v>0</v>
      </c>
      <c r="DD409" s="12">
        <v>0</v>
      </c>
      <c r="DE409" s="12">
        <v>0</v>
      </c>
      <c r="DF409" s="12">
        <v>0</v>
      </c>
      <c r="DG409" s="12">
        <v>0</v>
      </c>
      <c r="DH409" s="10"/>
    </row>
    <row r="410" spans="1:112" s="7" customFormat="1">
      <c r="A410" s="11" t="s">
        <v>521</v>
      </c>
      <c r="B410" s="15"/>
      <c r="C410" s="15"/>
      <c r="D410" s="15"/>
      <c r="E410" s="15"/>
      <c r="F410" s="15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>
        <f>-'Balance Sheet'!P53/1000</f>
        <v>412.49400000000003</v>
      </c>
      <c r="AP410" s="12">
        <f>-'Balance Sheet'!Q53/1000</f>
        <v>66.364999999999995</v>
      </c>
      <c r="AQ410" s="12">
        <f>-'Balance Sheet'!R53/1000</f>
        <v>-61.698</v>
      </c>
      <c r="AR410" s="12">
        <f>-'Balance Sheet'!S53/1000</f>
        <v>55.844000000000001</v>
      </c>
      <c r="AS410" s="12">
        <f>-'Balance Sheet'!T53/1000</f>
        <v>-216.94399999999999</v>
      </c>
      <c r="AT410" s="12">
        <f>-'Balance Sheet'!U53/1000</f>
        <v>-216.94399999999999</v>
      </c>
      <c r="AU410" s="12">
        <f>-'Balance Sheet'!V53/1000</f>
        <v>-426.81200000000001</v>
      </c>
      <c r="AV410" s="12">
        <f>-'Balance Sheet'!W53/1000</f>
        <v>-726.14700000000005</v>
      </c>
      <c r="AW410" s="12">
        <f>-'Balance Sheet'!X53/1000</f>
        <v>-992.26</v>
      </c>
      <c r="AX410" s="12">
        <f>-'Balance Sheet'!Y53/1000</f>
        <v>-1343.5139999999999</v>
      </c>
      <c r="AY410" s="12">
        <f>-'Balance Sheet'!Z53/1000</f>
        <v>-1343.5139999999999</v>
      </c>
      <c r="AZ410" s="12">
        <f>-'Balance Sheet'!AA53/1000</f>
        <v>-1612.5630000000001</v>
      </c>
      <c r="BA410" s="12">
        <f>-'Balance Sheet'!AB53/1000</f>
        <v>-2019.941</v>
      </c>
      <c r="BB410" s="12">
        <f>-'Balance Sheet'!AC53/1000</f>
        <v>-2165.335</v>
      </c>
      <c r="BC410" s="12">
        <f>-'Balance Sheet'!AD53/1000</f>
        <v>-1081.846</v>
      </c>
      <c r="BD410" s="12">
        <f>-'Balance Sheet'!AE53/1000</f>
        <v>-1081.846</v>
      </c>
      <c r="BE410" s="12">
        <f>-'Balance Sheet'!AF53/1000</f>
        <v>-1448.83</v>
      </c>
      <c r="BF410" s="12">
        <f>-'Balance Sheet'!AG53/1000</f>
        <v>-1919.2080000000001</v>
      </c>
      <c r="BG410" s="12">
        <f>-'Balance Sheet'!AH53/1000</f>
        <v>-2123.6060000000002</v>
      </c>
      <c r="BH410" s="12">
        <f>-'Balance Sheet'!AI53/1000</f>
        <v>-2408.5129999999999</v>
      </c>
      <c r="BI410" s="12">
        <f>-'Balance Sheet'!AJ53/1000</f>
        <v>-2408.5129999999999</v>
      </c>
      <c r="BJ410" s="12">
        <f>-'Balance Sheet'!AK53/1000</f>
        <v>-2589.4059999999999</v>
      </c>
      <c r="BK410" s="12">
        <f>-'Balance Sheet'!AL53/1000</f>
        <v>-2759.2979999999998</v>
      </c>
      <c r="BL410" s="12">
        <f>-'Balance Sheet'!AM53/1000</f>
        <v>-3004.203</v>
      </c>
      <c r="BM410" s="12">
        <f>-'Balance Sheet'!AN53/1000</f>
        <v>-2940.7350000000001</v>
      </c>
      <c r="BN410" s="12">
        <f>-'Balance Sheet'!AO53/1000</f>
        <v>-2940.7350000000001</v>
      </c>
      <c r="BO410" s="12">
        <f>-'Balance Sheet'!AP53/1000</f>
        <v>-2968.4090000000001</v>
      </c>
      <c r="BP410" s="12">
        <f>-'Balance Sheet'!AQ53/1000</f>
        <v>-3019.1219999999998</v>
      </c>
      <c r="BQ410" s="12">
        <f>-'Balance Sheet'!AR53/1000</f>
        <v>-2876.085</v>
      </c>
      <c r="BR410" s="12">
        <f>-'Balance Sheet'!AS53/1000</f>
        <v>-2622.3589999999999</v>
      </c>
      <c r="BS410" s="12">
        <f>-'Balance Sheet'!AT53/1000</f>
        <v>-2622.3589999999999</v>
      </c>
      <c r="BT410" s="12">
        <f>-'Balance Sheet'!AU53/1000</f>
        <v>-2481.1439999999998</v>
      </c>
      <c r="BU410" s="12">
        <f>-'Balance Sheet'!AV53/1000</f>
        <v>-2498.6909999999998</v>
      </c>
      <c r="BV410" s="12">
        <f>-'Balance Sheet'!AW53/1000</f>
        <v>-2562.3739999999998</v>
      </c>
      <c r="BW410" s="12">
        <f>-'Balance Sheet'!AX53/1000</f>
        <v>-2655.6489999999999</v>
      </c>
      <c r="BX410" s="12">
        <f>-'Balance Sheet'!AY53/1000</f>
        <v>-2655.6489999999999</v>
      </c>
      <c r="BY410" s="12">
        <f>-'Balance Sheet'!AZ53/1000</f>
        <v>-2565.12</v>
      </c>
      <c r="BZ410" s="12">
        <f>-'Balance Sheet'!BA53/1000</f>
        <v>-2672.7429999999999</v>
      </c>
      <c r="CA410" s="12">
        <f>-'Balance Sheet'!BB53/1000</f>
        <v>-2596.3150000000001</v>
      </c>
      <c r="CB410" s="12">
        <f>-'Balance Sheet'!BC53/1000</f>
        <v>-2269.4380000000001</v>
      </c>
      <c r="CC410" s="12">
        <f>-'Balance Sheet'!BD53/1000</f>
        <v>-2269.4380000000001</v>
      </c>
      <c r="CD410" s="12">
        <f>-'Balance Sheet'!BE53/1000</f>
        <v>-1931.287</v>
      </c>
      <c r="CE410" s="12">
        <f>-'Balance Sheet'!BF53/1000</f>
        <v>-1833.5989999999999</v>
      </c>
      <c r="CF410" s="12">
        <f>-'Balance Sheet'!BG53/1000</f>
        <v>-1628.021</v>
      </c>
      <c r="CG410" s="12">
        <f>-'Balance Sheet'!BH53/1000</f>
        <v>-1640.838</v>
      </c>
      <c r="CI410" s="12">
        <f>-'Balance Sheet'!BJ53/1000</f>
        <v>-1682.2280000000001</v>
      </c>
      <c r="CJ410" s="12">
        <f>-'Balance Sheet'!BK53/1000</f>
        <v>-1763.018</v>
      </c>
      <c r="CK410" s="12">
        <f>-'Balance Sheet'!BL53/1000</f>
        <v>-2010.7650000000001</v>
      </c>
      <c r="CL410" s="12">
        <f>-'Balance Sheet'!BM53/1000</f>
        <v>-1790.1849999999999</v>
      </c>
      <c r="CM410" s="12">
        <f>-'Balance Sheet'!BN53/1000</f>
        <v>-1790.1849999999999</v>
      </c>
      <c r="CN410" s="12">
        <f>-'Balance Sheet'!BO53/1000</f>
        <v>-1652.6690000000001</v>
      </c>
      <c r="CO410" s="12">
        <f>-'Balance Sheet'!BP53/1000</f>
        <v>-1816.7180000000001</v>
      </c>
      <c r="CP410" s="12">
        <f>-'Balance Sheet'!BQ53/1000</f>
        <v>-1524.5709999999999</v>
      </c>
      <c r="CQ410" s="12">
        <f>-'Balance Sheet'!BR53/1000</f>
        <v>-1261.461</v>
      </c>
      <c r="CR410" s="12">
        <f>-'Balance Sheet'!BS53/1000</f>
        <v>-1261.461</v>
      </c>
      <c r="CS410" s="12">
        <f>-'Balance Sheet'!BT53/1000</f>
        <v>-1054.625</v>
      </c>
      <c r="CT410" s="12">
        <f>-'Balance Sheet'!BU53/1000</f>
        <v>-866.51400000000001</v>
      </c>
      <c r="CU410" s="12">
        <f>-'Balance Sheet'!BV53/1000</f>
        <v>-799.68100000000004</v>
      </c>
      <c r="CV410" s="12">
        <f>-'Balance Sheet'!BW53/1000</f>
        <v>-852.21400000000006</v>
      </c>
      <c r="CW410" s="12">
        <f>-'Balance Sheet'!BX53/1000</f>
        <v>-852.21400000000006</v>
      </c>
      <c r="CX410" s="12">
        <f>-'Balance Sheet'!BY53/1000</f>
        <v>-733.4</v>
      </c>
      <c r="CY410" s="12">
        <f>-'Balance Sheet'!BZ53/1000</f>
        <v>-540.88300000000004</v>
      </c>
      <c r="CZ410" s="12">
        <f>-'Balance Sheet'!CA53/1000</f>
        <v>-737.56600000000003</v>
      </c>
      <c r="DA410" s="12">
        <f>-'Balance Sheet'!CB53/1000</f>
        <v>-951.75400000000002</v>
      </c>
      <c r="DB410" s="12">
        <f>-'Balance Sheet'!CC53/1000</f>
        <v>-951.75400000000002</v>
      </c>
      <c r="DC410" s="12">
        <f>-'Balance Sheet'!CD53/1000</f>
        <v>-924.55700000000002</v>
      </c>
      <c r="DD410" s="12">
        <f>-'Balance Sheet'!CE53/1000</f>
        <v>-1008.519</v>
      </c>
      <c r="DE410" s="12">
        <f>-'Balance Sheet'!CF53/1000</f>
        <v>-125.42</v>
      </c>
      <c r="DF410" s="12">
        <f>-'Balance Sheet'!CG53/1000</f>
        <v>-391.46</v>
      </c>
      <c r="DG410" s="12">
        <f>-'Balance Sheet'!CH53/1000</f>
        <v>-391.46</v>
      </c>
      <c r="DH410" s="10"/>
    </row>
    <row r="411" spans="1:112" s="7" customFormat="1">
      <c r="A411" s="11" t="s">
        <v>522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>
        <f>-'Balance Sheet'!P42/1000</f>
        <v>-100.30200000000001</v>
      </c>
      <c r="AP411" s="12">
        <f>-'Balance Sheet'!Q42/1000</f>
        <v>-137.27600000000001</v>
      </c>
      <c r="AQ411" s="12">
        <f>-'Balance Sheet'!R42/1000</f>
        <v>-117.38500000000001</v>
      </c>
      <c r="AR411" s="12">
        <f>-'Balance Sheet'!S42/1000</f>
        <v>-148.458</v>
      </c>
      <c r="AS411" s="12">
        <f>-'Balance Sheet'!T42/1000</f>
        <v>-198.76900000000001</v>
      </c>
      <c r="AT411" s="12">
        <f>-'Balance Sheet'!U42/1000</f>
        <v>-198.76900000000001</v>
      </c>
      <c r="AU411" s="12">
        <f>-'Balance Sheet'!V42/1000</f>
        <v>-220.66300000000001</v>
      </c>
      <c r="AV411" s="12">
        <f>-'Balance Sheet'!W42/1000</f>
        <v>-251.13800000000001</v>
      </c>
      <c r="AW411" s="12">
        <f>-'Balance Sheet'!X42/1000</f>
        <v>-262.09500000000003</v>
      </c>
      <c r="AX411" s="12">
        <f>-'Balance Sheet'!Y42/1000</f>
        <v>-288.72800000000001</v>
      </c>
      <c r="AY411" s="12">
        <f>-'Balance Sheet'!Z42/1000</f>
        <v>-288.72800000000001</v>
      </c>
      <c r="AZ411" s="12">
        <f>-'Balance Sheet'!AA42/1000</f>
        <v>-152.37100000000001</v>
      </c>
      <c r="BA411" s="12">
        <f>-'Balance Sheet'!AB42/1000</f>
        <v>-174.042</v>
      </c>
      <c r="BB411" s="12">
        <f>-'Balance Sheet'!AC42/1000</f>
        <v>-195.50700000000001</v>
      </c>
      <c r="BC411" s="12">
        <f>-'Balance Sheet'!AD42/1000</f>
        <v>-252.57900000000001</v>
      </c>
      <c r="BD411" s="12">
        <f>-'Balance Sheet'!AE42/1000</f>
        <v>-252.57900000000001</v>
      </c>
      <c r="BE411" s="12">
        <f>-'Balance Sheet'!AF42/1000</f>
        <v>-263.37299999999999</v>
      </c>
      <c r="BF411" s="12">
        <f>-'Balance Sheet'!AG42/1000</f>
        <v>-275.82299999999998</v>
      </c>
      <c r="BG411" s="12">
        <f>-'Balance Sheet'!AH42/1000</f>
        <v>-320.59699999999998</v>
      </c>
      <c r="BH411" s="12">
        <f>-'Balance Sheet'!AI42/1000</f>
        <v>-355.45699999999999</v>
      </c>
      <c r="BI411" s="12">
        <f>-'Balance Sheet'!AJ42/1000</f>
        <v>-355.45699999999999</v>
      </c>
      <c r="BJ411" s="12">
        <f>-'Balance Sheet'!AK42/1000</f>
        <v>-378.78399999999999</v>
      </c>
      <c r="BK411" s="12">
        <f>-'Balance Sheet'!AL42/1000</f>
        <v>-362.14</v>
      </c>
      <c r="BL411" s="12">
        <f>-'Balance Sheet'!AM42/1000</f>
        <v>-356.18099999999998</v>
      </c>
      <c r="BM411" s="12">
        <f>-'Balance Sheet'!AN42/1000</f>
        <v>-378.04700000000003</v>
      </c>
      <c r="BN411" s="12">
        <f>-'Balance Sheet'!AO42/1000</f>
        <v>-378.04700000000003</v>
      </c>
      <c r="BO411" s="12">
        <f>-'Balance Sheet'!AP42/1000</f>
        <v>-354.76799999999997</v>
      </c>
      <c r="BP411" s="12">
        <f>-'Balance Sheet'!AQ42/1000</f>
        <v>-343.69900000000001</v>
      </c>
      <c r="BQ411" s="12">
        <f>-'Balance Sheet'!AR42/1000</f>
        <v>-375.66699999999997</v>
      </c>
      <c r="BR411" s="12">
        <f>-'Balance Sheet'!AS42/1000</f>
        <v>-566.51300000000003</v>
      </c>
      <c r="BS411" s="12">
        <f>-'Balance Sheet'!AT42/1000</f>
        <v>-566.51300000000003</v>
      </c>
      <c r="BT411" s="12">
        <f>-'Balance Sheet'!AU42/1000</f>
        <v>-950.28800000000001</v>
      </c>
      <c r="BU411" s="12">
        <f>-'Balance Sheet'!AV42/1000</f>
        <v>-736.48599999999999</v>
      </c>
      <c r="BV411" s="12">
        <f>-'Balance Sheet'!AW42/1000</f>
        <v>-767.74300000000005</v>
      </c>
      <c r="BW411" s="12">
        <f>-'Balance Sheet'!AX42/1000</f>
        <v>-732.42600000000004</v>
      </c>
      <c r="BX411" s="12">
        <f>-'Balance Sheet'!AY42/1000</f>
        <v>-732.42600000000004</v>
      </c>
      <c r="BY411" s="12">
        <f>-'Balance Sheet'!AZ42/1000</f>
        <v>-631.77200000000005</v>
      </c>
      <c r="BZ411" s="12">
        <f>-'Balance Sheet'!BA42/1000</f>
        <v>-668.62699999999995</v>
      </c>
      <c r="CA411" s="12">
        <f>-'Balance Sheet'!BB42/1000</f>
        <v>-690.58100000000002</v>
      </c>
      <c r="CB411" s="12">
        <f>-'Balance Sheet'!BC42/1000</f>
        <v>-708.75400000000002</v>
      </c>
      <c r="CC411" s="12">
        <f>-'Balance Sheet'!BD42/1000</f>
        <v>-708.75400000000002</v>
      </c>
      <c r="CD411" s="12">
        <f>-'Balance Sheet'!BE42/1000</f>
        <v>-717.72699999999998</v>
      </c>
      <c r="CE411" s="12">
        <f>-'Balance Sheet'!BF42/1000</f>
        <v>-839.92700000000002</v>
      </c>
      <c r="CF411" s="12">
        <f>-'Balance Sheet'!BG42/1000</f>
        <v>-875.05100000000004</v>
      </c>
      <c r="CG411" s="12">
        <f>-'Balance Sheet'!BH42/1000</f>
        <v>-791.84400000000005</v>
      </c>
      <c r="CI411" s="12">
        <f>-'Balance Sheet'!BJ42/1000</f>
        <v>-780.58399999999995</v>
      </c>
      <c r="CJ411" s="12">
        <f>-'Balance Sheet'!BK42/1000</f>
        <v>-758.80499999999995</v>
      </c>
      <c r="CK411" s="12">
        <f>-'Balance Sheet'!BL42/1000</f>
        <v>-739.85400000000004</v>
      </c>
      <c r="CL411" s="12">
        <f>-'Balance Sheet'!BM42/1000</f>
        <v>-753.18600000000004</v>
      </c>
      <c r="CM411" s="12">
        <f>-'Balance Sheet'!BN42/1000</f>
        <v>-753.18600000000004</v>
      </c>
      <c r="CN411" s="12">
        <f>-'Balance Sheet'!BO42/1000</f>
        <v>-760.34500000000003</v>
      </c>
      <c r="CO411" s="12">
        <f>-'Balance Sheet'!BP42/1000</f>
        <v>-435.03199999999998</v>
      </c>
      <c r="CP411" s="12">
        <f>-'Balance Sheet'!BQ42/1000</f>
        <v>-445.39600000000002</v>
      </c>
      <c r="CQ411" s="12">
        <f>-'Balance Sheet'!BR42/1000</f>
        <v>-440.90699999999998</v>
      </c>
      <c r="CR411" s="12">
        <f>-'Balance Sheet'!BS42/1000</f>
        <v>-440.90699999999998</v>
      </c>
      <c r="CS411" s="12">
        <f>-'Balance Sheet'!BT42/1000</f>
        <v>-356.654</v>
      </c>
      <c r="CT411" s="12">
        <f>-'Balance Sheet'!BU42/1000</f>
        <v>-338.322</v>
      </c>
      <c r="CU411" s="12">
        <f>-'Balance Sheet'!BV42/1000</f>
        <v>-326.72399999999999</v>
      </c>
      <c r="CV411" s="12">
        <f>-'Balance Sheet'!BW42/1000</f>
        <v>-389.26299999999998</v>
      </c>
      <c r="CW411" s="12">
        <f>-'Balance Sheet'!BX42/1000</f>
        <v>-389.26299999999998</v>
      </c>
      <c r="CX411" s="12">
        <f>-'Balance Sheet'!BY42/1000</f>
        <v>-373.45299999999997</v>
      </c>
      <c r="CY411" s="12">
        <f>-'Balance Sheet'!BZ42/1000</f>
        <v>-372.81700000000001</v>
      </c>
      <c r="CZ411" s="12">
        <f>-'Balance Sheet'!CA42/1000</f>
        <v>-368.35500000000002</v>
      </c>
      <c r="DA411" s="12">
        <f>-'Balance Sheet'!CB42/1000</f>
        <v>-413.06700000000001</v>
      </c>
      <c r="DB411" s="12">
        <f>-'Balance Sheet'!CC42/1000</f>
        <v>-413.06700000000001</v>
      </c>
      <c r="DC411" s="12">
        <f>-'Balance Sheet'!CD42/1000</f>
        <v>-420.303</v>
      </c>
      <c r="DD411" s="12">
        <f>-'Balance Sheet'!CE42/1000</f>
        <v>-444.101</v>
      </c>
      <c r="DE411" s="12">
        <f>-'Balance Sheet'!CF42/1000</f>
        <v>-285.46100000000001</v>
      </c>
      <c r="DF411" s="12">
        <f>-'Balance Sheet'!CG42/1000</f>
        <v>-291.89499999999998</v>
      </c>
      <c r="DG411" s="12">
        <f>-'Balance Sheet'!CH42/1000</f>
        <v>-291.89499999999998</v>
      </c>
      <c r="DH411" s="10"/>
    </row>
    <row r="412" spans="1:112" s="7" customFormat="1">
      <c r="A412" s="11" t="s">
        <v>523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2">
        <v>0</v>
      </c>
      <c r="BJ412" s="12">
        <v>0</v>
      </c>
      <c r="BK412" s="12">
        <v>0</v>
      </c>
      <c r="BL412" s="12">
        <v>0</v>
      </c>
      <c r="BM412" s="12">
        <v>0</v>
      </c>
      <c r="BN412" s="12">
        <v>0</v>
      </c>
      <c r="BO412" s="12">
        <v>0</v>
      </c>
      <c r="BP412" s="12">
        <v>0</v>
      </c>
      <c r="BQ412" s="12">
        <v>0</v>
      </c>
      <c r="BR412" s="12">
        <v>0</v>
      </c>
      <c r="BS412" s="12">
        <v>0</v>
      </c>
      <c r="BT412" s="12">
        <v>0</v>
      </c>
      <c r="BU412" s="12">
        <v>0</v>
      </c>
      <c r="BV412" s="12">
        <v>0</v>
      </c>
      <c r="BW412" s="12">
        <v>0</v>
      </c>
      <c r="BX412" s="12">
        <v>0</v>
      </c>
      <c r="BY412" s="12">
        <v>0</v>
      </c>
      <c r="BZ412" s="12">
        <v>0</v>
      </c>
      <c r="CA412" s="12">
        <v>0</v>
      </c>
      <c r="CB412" s="12">
        <v>0</v>
      </c>
      <c r="CC412" s="12">
        <v>0</v>
      </c>
      <c r="CD412" s="12">
        <v>0</v>
      </c>
      <c r="CE412" s="12">
        <v>0</v>
      </c>
      <c r="CF412" s="12">
        <v>0</v>
      </c>
      <c r="CG412" s="12">
        <v>0</v>
      </c>
      <c r="CI412" s="12">
        <v>0</v>
      </c>
      <c r="CJ412" s="12">
        <v>0</v>
      </c>
      <c r="CK412" s="12">
        <v>0</v>
      </c>
      <c r="CL412" s="12">
        <v>0</v>
      </c>
      <c r="CM412" s="12">
        <v>0</v>
      </c>
      <c r="CN412" s="12">
        <v>0</v>
      </c>
      <c r="CO412" s="12">
        <v>0</v>
      </c>
      <c r="CP412" s="12">
        <v>0</v>
      </c>
      <c r="CQ412" s="12">
        <v>0</v>
      </c>
      <c r="CR412" s="12">
        <v>0</v>
      </c>
      <c r="CS412" s="12">
        <v>0</v>
      </c>
      <c r="CT412" s="12">
        <v>0</v>
      </c>
      <c r="CU412" s="12">
        <v>0</v>
      </c>
      <c r="CV412" s="12">
        <v>0</v>
      </c>
      <c r="CW412" s="12">
        <v>0</v>
      </c>
      <c r="CX412" s="12">
        <v>0</v>
      </c>
      <c r="CY412" s="12">
        <v>0</v>
      </c>
      <c r="CZ412" s="12">
        <v>0</v>
      </c>
      <c r="DA412" s="12">
        <v>0</v>
      </c>
      <c r="DB412" s="12">
        <v>0</v>
      </c>
      <c r="DC412" s="12">
        <v>0</v>
      </c>
      <c r="DD412" s="12">
        <v>0</v>
      </c>
      <c r="DE412" s="12">
        <v>0</v>
      </c>
      <c r="DF412" s="12">
        <v>0</v>
      </c>
      <c r="DG412" s="12">
        <v>0</v>
      </c>
      <c r="DH412" s="10"/>
    </row>
    <row r="413" spans="1:112" s="7" customFormat="1">
      <c r="A413" s="11" t="s">
        <v>524</v>
      </c>
      <c r="B413" s="15"/>
      <c r="C413" s="15"/>
      <c r="D413" s="15"/>
      <c r="E413" s="15"/>
      <c r="F413" s="15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2">
        <v>0</v>
      </c>
      <c r="BJ413" s="12">
        <v>0</v>
      </c>
      <c r="BK413" s="12">
        <v>0</v>
      </c>
      <c r="BL413" s="12">
        <v>0</v>
      </c>
      <c r="BM413" s="12">
        <v>0</v>
      </c>
      <c r="BN413" s="12">
        <v>0</v>
      </c>
      <c r="BO413" s="12">
        <v>0</v>
      </c>
      <c r="BP413" s="12">
        <v>0</v>
      </c>
      <c r="BQ413" s="12">
        <v>0</v>
      </c>
      <c r="BR413" s="12">
        <v>0</v>
      </c>
      <c r="BS413" s="12">
        <v>0</v>
      </c>
      <c r="BT413" s="12">
        <v>0</v>
      </c>
      <c r="BU413" s="12">
        <v>0</v>
      </c>
      <c r="BV413" s="12">
        <v>0</v>
      </c>
      <c r="BW413" s="12">
        <v>0</v>
      </c>
      <c r="BX413" s="12">
        <v>0</v>
      </c>
      <c r="BY413" s="12">
        <v>0</v>
      </c>
      <c r="BZ413" s="12">
        <v>0</v>
      </c>
      <c r="CA413" s="12">
        <v>0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>
        <v>0</v>
      </c>
      <c r="CI413" s="12">
        <v>0</v>
      </c>
      <c r="CJ413" s="12">
        <v>0</v>
      </c>
      <c r="CK413" s="12">
        <v>0</v>
      </c>
      <c r="CL413" s="12">
        <v>0</v>
      </c>
      <c r="CM413" s="12">
        <v>0</v>
      </c>
      <c r="CN413" s="12">
        <v>0</v>
      </c>
      <c r="CO413" s="12">
        <v>0</v>
      </c>
      <c r="CP413" s="12">
        <v>0</v>
      </c>
      <c r="CQ413" s="12">
        <v>0</v>
      </c>
      <c r="CR413" s="12">
        <v>0</v>
      </c>
      <c r="CS413" s="12">
        <v>0</v>
      </c>
      <c r="CT413" s="12">
        <v>0</v>
      </c>
      <c r="CU413" s="12">
        <v>0</v>
      </c>
      <c r="CV413" s="12">
        <v>0</v>
      </c>
      <c r="CW413" s="12">
        <v>0</v>
      </c>
      <c r="CX413" s="12">
        <v>0</v>
      </c>
      <c r="CY413" s="12">
        <v>0</v>
      </c>
      <c r="CZ413" s="12">
        <v>0</v>
      </c>
      <c r="DA413" s="12">
        <v>0</v>
      </c>
      <c r="DB413" s="12">
        <v>0</v>
      </c>
      <c r="DC413" s="12">
        <v>0</v>
      </c>
      <c r="DD413" s="12">
        <v>0</v>
      </c>
      <c r="DE413" s="12">
        <v>0</v>
      </c>
      <c r="DF413" s="12">
        <v>0</v>
      </c>
      <c r="DG413" s="12">
        <v>0</v>
      </c>
      <c r="DH413" s="10"/>
    </row>
    <row r="414" spans="1:112" s="7" customFormat="1">
      <c r="A414" s="17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10"/>
    </row>
    <row r="415" spans="1:112" s="7" customFormat="1" ht="15">
      <c r="A415" s="22" t="s">
        <v>525</v>
      </c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10"/>
    </row>
    <row r="416" spans="1:112" s="7" customFormat="1">
      <c r="A416" s="17" t="s">
        <v>526</v>
      </c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  <c r="DH416" s="10"/>
    </row>
    <row r="417" spans="1:112" s="7" customFormat="1">
      <c r="A417" s="17" t="s">
        <v>520</v>
      </c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  <c r="DH417" s="10"/>
    </row>
    <row r="418" spans="1:112" s="7" customFormat="1">
      <c r="A418" s="17" t="s">
        <v>527</v>
      </c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10"/>
    </row>
    <row r="419" spans="1:112" s="7" customFormat="1">
      <c r="A419" s="17" t="s">
        <v>522</v>
      </c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  <c r="DH419" s="10"/>
    </row>
    <row r="420" spans="1:112" s="7" customFormat="1">
      <c r="A420" s="17" t="s">
        <v>528</v>
      </c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  <c r="DH420" s="10"/>
    </row>
    <row r="421" spans="1:112" s="7" customFormat="1">
      <c r="A421" s="17" t="s">
        <v>529</v>
      </c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0"/>
    </row>
    <row r="422" spans="1:112" s="7" customFormat="1">
      <c r="A422" s="17" t="s">
        <v>524</v>
      </c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  <c r="DH422" s="10"/>
    </row>
    <row r="423" spans="1:112" s="7" customFormat="1" ht="13.5" thickBot="1">
      <c r="A423" s="17" t="s">
        <v>530</v>
      </c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0"/>
    </row>
    <row r="424" spans="1:112" s="7" customFormat="1">
      <c r="A424" s="17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10"/>
    </row>
    <row r="425" spans="1:112" s="7" customFormat="1" ht="15.75">
      <c r="A425" s="25" t="s">
        <v>531</v>
      </c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10"/>
    </row>
    <row r="426" spans="1:112" s="7" customFormat="1">
      <c r="A426" s="17" t="s">
        <v>532</v>
      </c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10"/>
    </row>
    <row r="427" spans="1:112" s="7" customFormat="1">
      <c r="A427" s="17" t="s">
        <v>533</v>
      </c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10"/>
    </row>
    <row r="428" spans="1:112" s="7" customFormat="1">
      <c r="A428" s="17" t="s">
        <v>534</v>
      </c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10"/>
    </row>
    <row r="429" spans="1:112" s="7" customFormat="1">
      <c r="A429" s="17" t="s">
        <v>535</v>
      </c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10"/>
    </row>
    <row r="430" spans="1:112" s="7" customFormat="1">
      <c r="A430" s="17" t="s">
        <v>61</v>
      </c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10"/>
    </row>
    <row r="431" spans="1:112" s="7" customFormat="1">
      <c r="A431" s="17" t="s">
        <v>536</v>
      </c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10"/>
    </row>
    <row r="432" spans="1:112" s="7" customFormat="1">
      <c r="A432" s="17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10"/>
    </row>
    <row r="433" spans="1:112" s="7" customFormat="1" ht="15.75">
      <c r="A433" s="25" t="s">
        <v>537</v>
      </c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10"/>
    </row>
    <row r="434" spans="1:112" s="7" customFormat="1">
      <c r="A434" s="17" t="s">
        <v>538</v>
      </c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10"/>
    </row>
    <row r="435" spans="1:112" s="7" customFormat="1">
      <c r="A435" s="17" t="s">
        <v>539</v>
      </c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10"/>
    </row>
    <row r="436" spans="1:112" s="7" customFormat="1">
      <c r="A436" s="17" t="s">
        <v>540</v>
      </c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10"/>
    </row>
    <row r="437" spans="1:112" s="7" customFormat="1">
      <c r="A437" s="17" t="s">
        <v>541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10"/>
    </row>
    <row r="438" spans="1:112" s="7" customFormat="1">
      <c r="A438" s="17" t="s">
        <v>542</v>
      </c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10"/>
    </row>
    <row r="439" spans="1:112" s="7" customFormat="1">
      <c r="A439" s="17" t="s">
        <v>543</v>
      </c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10"/>
    </row>
    <row r="440" spans="1:112" s="7" customFormat="1">
      <c r="A440" s="17" t="s">
        <v>544</v>
      </c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10"/>
    </row>
    <row r="441" spans="1:112" s="7" customFormat="1" ht="13.5" thickBot="1">
      <c r="A441" s="17" t="s">
        <v>545</v>
      </c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10"/>
    </row>
    <row r="442" spans="1:112" s="7" customFormat="1" ht="15.75">
      <c r="A442" s="44" t="s">
        <v>546</v>
      </c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6"/>
      <c r="BR442" s="46"/>
      <c r="BS442" s="46"/>
      <c r="BT442" s="46"/>
      <c r="BU442" s="46"/>
      <c r="BV442" s="46"/>
      <c r="BW442" s="46"/>
      <c r="BX442" s="46"/>
      <c r="BY442" s="45"/>
      <c r="BZ442" s="45"/>
      <c r="CA442" s="45"/>
      <c r="CB442" s="45"/>
      <c r="CC442" s="45"/>
      <c r="CD442" s="45"/>
      <c r="CE442" s="45"/>
      <c r="CF442" s="45"/>
      <c r="CG442" s="45"/>
      <c r="CI442" s="45"/>
      <c r="CJ442" s="45"/>
      <c r="CK442" s="45"/>
      <c r="CL442" s="45"/>
      <c r="CM442" s="45"/>
      <c r="CN442" s="45"/>
      <c r="CO442" s="45"/>
      <c r="CP442" s="45"/>
      <c r="CQ442" s="45"/>
      <c r="CR442" s="45"/>
      <c r="CS442" s="45"/>
      <c r="CT442" s="45"/>
      <c r="CU442" s="45"/>
      <c r="CV442" s="45"/>
      <c r="CW442" s="45"/>
      <c r="CX442" s="45"/>
      <c r="CY442" s="45"/>
      <c r="CZ442" s="45"/>
      <c r="DA442" s="45"/>
      <c r="DB442" s="45"/>
      <c r="DC442" s="45"/>
      <c r="DD442" s="45"/>
      <c r="DE442" s="45"/>
      <c r="DF442" s="45"/>
      <c r="DG442" s="45"/>
      <c r="DH442" s="10"/>
    </row>
    <row r="443" spans="1:112" s="7" customFormat="1" ht="15.75">
      <c r="A443" s="47" t="s">
        <v>547</v>
      </c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  <c r="CE443" s="48"/>
      <c r="CF443" s="48"/>
      <c r="CG443" s="48"/>
      <c r="CI443" s="48"/>
      <c r="CJ443" s="48"/>
      <c r="CK443" s="48"/>
      <c r="CL443" s="48"/>
      <c r="CM443" s="48"/>
      <c r="CN443" s="48"/>
      <c r="CO443" s="48"/>
      <c r="CP443" s="48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  <c r="DD443" s="48"/>
      <c r="DE443" s="48"/>
      <c r="DF443" s="48"/>
      <c r="DG443" s="48"/>
      <c r="DH443" s="10"/>
    </row>
    <row r="444" spans="1:112" s="7" customFormat="1" ht="15">
      <c r="A444" s="49" t="s">
        <v>548</v>
      </c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10"/>
    </row>
    <row r="445" spans="1:112" s="7" customFormat="1">
      <c r="A445" s="50" t="s">
        <v>549</v>
      </c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1"/>
      <c r="CA445" s="51"/>
      <c r="CB445" s="51"/>
      <c r="CC445" s="51"/>
      <c r="CD445" s="51"/>
      <c r="CE445" s="51"/>
      <c r="CF445" s="51"/>
      <c r="CG445" s="51"/>
      <c r="CI445" s="51"/>
      <c r="CJ445" s="51"/>
      <c r="CK445" s="51"/>
      <c r="CL445" s="51"/>
      <c r="CM445" s="51"/>
      <c r="CN445" s="51"/>
      <c r="CO445" s="51"/>
      <c r="CP445" s="51"/>
      <c r="CQ445" s="51"/>
      <c r="CR445" s="51"/>
      <c r="CS445" s="51"/>
      <c r="CT445" s="51"/>
      <c r="CU445" s="51"/>
      <c r="CV445" s="51"/>
      <c r="CW445" s="51"/>
      <c r="CX445" s="51"/>
      <c r="CY445" s="51"/>
      <c r="CZ445" s="51"/>
      <c r="DA445" s="51"/>
      <c r="DB445" s="51"/>
      <c r="DC445" s="51"/>
      <c r="DD445" s="51"/>
      <c r="DE445" s="51"/>
      <c r="DF445" s="51"/>
      <c r="DG445" s="51"/>
      <c r="DH445" s="10"/>
    </row>
    <row r="446" spans="1:112" s="7" customFormat="1">
      <c r="A446" s="50" t="s">
        <v>550</v>
      </c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  <c r="CC446" s="51"/>
      <c r="CD446" s="51"/>
      <c r="CE446" s="51"/>
      <c r="CF446" s="51"/>
      <c r="CG446" s="51"/>
      <c r="CI446" s="51"/>
      <c r="CJ446" s="51"/>
      <c r="CK446" s="51"/>
      <c r="CL446" s="51"/>
      <c r="CM446" s="51"/>
      <c r="CN446" s="51"/>
      <c r="CO446" s="51"/>
      <c r="CP446" s="51"/>
      <c r="CQ446" s="51"/>
      <c r="CR446" s="51"/>
      <c r="CS446" s="51"/>
      <c r="CT446" s="51"/>
      <c r="CU446" s="51"/>
      <c r="CV446" s="51"/>
      <c r="CW446" s="51"/>
      <c r="CX446" s="51"/>
      <c r="CY446" s="51"/>
      <c r="CZ446" s="51"/>
      <c r="DA446" s="51"/>
      <c r="DB446" s="51"/>
      <c r="DC446" s="51"/>
      <c r="DD446" s="51"/>
      <c r="DE446" s="51"/>
      <c r="DF446" s="51"/>
      <c r="DG446" s="51"/>
      <c r="DH446" s="10"/>
    </row>
    <row r="447" spans="1:112" s="7" customFormat="1">
      <c r="A447" s="50" t="s">
        <v>551</v>
      </c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1"/>
      <c r="CA447" s="51"/>
      <c r="CB447" s="51"/>
      <c r="CC447" s="51"/>
      <c r="CD447" s="51"/>
      <c r="CE447" s="51"/>
      <c r="CF447" s="51"/>
      <c r="CG447" s="51"/>
      <c r="CI447" s="51"/>
      <c r="CJ447" s="51"/>
      <c r="CK447" s="51"/>
      <c r="CL447" s="51"/>
      <c r="CM447" s="51"/>
      <c r="CN447" s="51"/>
      <c r="CO447" s="51"/>
      <c r="CP447" s="51"/>
      <c r="CQ447" s="51"/>
      <c r="CR447" s="51"/>
      <c r="CS447" s="51"/>
      <c r="CT447" s="51"/>
      <c r="CU447" s="51"/>
      <c r="CV447" s="51"/>
      <c r="CW447" s="51"/>
      <c r="CX447" s="51"/>
      <c r="CY447" s="51"/>
      <c r="CZ447" s="51"/>
      <c r="DA447" s="51"/>
      <c r="DB447" s="51"/>
      <c r="DC447" s="51"/>
      <c r="DD447" s="51"/>
      <c r="DE447" s="51"/>
      <c r="DF447" s="51"/>
      <c r="DG447" s="51"/>
      <c r="DH447" s="10"/>
    </row>
    <row r="448" spans="1:112" s="7" customFormat="1">
      <c r="A448" s="50" t="s">
        <v>552</v>
      </c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1"/>
      <c r="CA448" s="51"/>
      <c r="CB448" s="51"/>
      <c r="CC448" s="51"/>
      <c r="CD448" s="51"/>
      <c r="CE448" s="51"/>
      <c r="CF448" s="51"/>
      <c r="CG448" s="51"/>
      <c r="CI448" s="51"/>
      <c r="CJ448" s="51"/>
      <c r="CK448" s="51"/>
      <c r="CL448" s="51"/>
      <c r="CM448" s="51"/>
      <c r="CN448" s="51"/>
      <c r="CO448" s="51"/>
      <c r="CP448" s="51"/>
      <c r="CQ448" s="51"/>
      <c r="CR448" s="51"/>
      <c r="CS448" s="51"/>
      <c r="CT448" s="51"/>
      <c r="CU448" s="51"/>
      <c r="CV448" s="51"/>
      <c r="CW448" s="51"/>
      <c r="CX448" s="51"/>
      <c r="CY448" s="51"/>
      <c r="CZ448" s="51"/>
      <c r="DA448" s="51"/>
      <c r="DB448" s="51"/>
      <c r="DC448" s="51"/>
      <c r="DD448" s="51"/>
      <c r="DE448" s="51"/>
      <c r="DF448" s="51"/>
      <c r="DG448" s="51"/>
      <c r="DH448" s="10"/>
    </row>
    <row r="449" spans="1:112" s="7" customFormat="1">
      <c r="A449" s="50" t="s">
        <v>553</v>
      </c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1"/>
      <c r="CA449" s="51"/>
      <c r="CB449" s="51"/>
      <c r="CC449" s="51"/>
      <c r="CD449" s="51"/>
      <c r="CE449" s="51"/>
      <c r="CF449" s="51"/>
      <c r="CG449" s="51"/>
      <c r="CI449" s="51"/>
      <c r="CJ449" s="51"/>
      <c r="CK449" s="51"/>
      <c r="CL449" s="51"/>
      <c r="CM449" s="51"/>
      <c r="CN449" s="51"/>
      <c r="CO449" s="51"/>
      <c r="CP449" s="51"/>
      <c r="CQ449" s="51"/>
      <c r="CR449" s="51"/>
      <c r="CS449" s="51"/>
      <c r="CT449" s="51"/>
      <c r="CU449" s="51"/>
      <c r="CV449" s="51"/>
      <c r="CW449" s="51"/>
      <c r="CX449" s="51"/>
      <c r="CY449" s="51"/>
      <c r="CZ449" s="51"/>
      <c r="DA449" s="51"/>
      <c r="DB449" s="51"/>
      <c r="DC449" s="51"/>
      <c r="DD449" s="51"/>
      <c r="DE449" s="51"/>
      <c r="DF449" s="51"/>
      <c r="DG449" s="51"/>
      <c r="DH449" s="10"/>
    </row>
    <row r="450" spans="1:112" s="7" customFormat="1">
      <c r="A450" s="50" t="s">
        <v>554</v>
      </c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1"/>
      <c r="CA450" s="51"/>
      <c r="CB450" s="51"/>
      <c r="CC450" s="51"/>
      <c r="CD450" s="51"/>
      <c r="CE450" s="51"/>
      <c r="CF450" s="51"/>
      <c r="CG450" s="51"/>
      <c r="CI450" s="51"/>
      <c r="CJ450" s="51"/>
      <c r="CK450" s="51"/>
      <c r="CL450" s="51"/>
      <c r="CM450" s="51"/>
      <c r="CN450" s="51"/>
      <c r="CO450" s="51"/>
      <c r="CP450" s="51"/>
      <c r="CQ450" s="51"/>
      <c r="CR450" s="51"/>
      <c r="CS450" s="51"/>
      <c r="CT450" s="51"/>
      <c r="CU450" s="51"/>
      <c r="CV450" s="51"/>
      <c r="CW450" s="51"/>
      <c r="CX450" s="51"/>
      <c r="CY450" s="51"/>
      <c r="CZ450" s="51"/>
      <c r="DA450" s="51"/>
      <c r="DB450" s="51"/>
      <c r="DC450" s="51"/>
      <c r="DD450" s="51"/>
      <c r="DE450" s="51"/>
      <c r="DF450" s="51"/>
      <c r="DG450" s="51"/>
      <c r="DH450" s="10"/>
    </row>
    <row r="451" spans="1:112" s="7" customFormat="1">
      <c r="A451" s="50" t="s">
        <v>555</v>
      </c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1"/>
      <c r="CA451" s="51"/>
      <c r="CB451" s="51"/>
      <c r="CC451" s="51"/>
      <c r="CD451" s="51"/>
      <c r="CE451" s="51"/>
      <c r="CF451" s="51"/>
      <c r="CG451" s="51"/>
      <c r="CI451" s="51"/>
      <c r="CJ451" s="51"/>
      <c r="CK451" s="51"/>
      <c r="CL451" s="51"/>
      <c r="CM451" s="51"/>
      <c r="CN451" s="51"/>
      <c r="CO451" s="51"/>
      <c r="CP451" s="51"/>
      <c r="CQ451" s="51"/>
      <c r="CR451" s="51"/>
      <c r="CS451" s="51"/>
      <c r="CT451" s="51"/>
      <c r="CU451" s="51"/>
      <c r="CV451" s="51"/>
      <c r="CW451" s="51"/>
      <c r="CX451" s="51"/>
      <c r="CY451" s="51"/>
      <c r="CZ451" s="51"/>
      <c r="DA451" s="51"/>
      <c r="DB451" s="51"/>
      <c r="DC451" s="51"/>
      <c r="DD451" s="51"/>
      <c r="DE451" s="51"/>
      <c r="DF451" s="51"/>
      <c r="DG451" s="51"/>
      <c r="DH451" s="10"/>
    </row>
    <row r="452" spans="1:112" s="7" customFormat="1">
      <c r="A452" s="50" t="s">
        <v>556</v>
      </c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1"/>
      <c r="CA452" s="51"/>
      <c r="CB452" s="51"/>
      <c r="CC452" s="51"/>
      <c r="CD452" s="51"/>
      <c r="CE452" s="51"/>
      <c r="CF452" s="51"/>
      <c r="CG452" s="51"/>
      <c r="CI452" s="51"/>
      <c r="CJ452" s="51"/>
      <c r="CK452" s="51"/>
      <c r="CL452" s="51"/>
      <c r="CM452" s="51"/>
      <c r="CN452" s="51"/>
      <c r="CO452" s="51"/>
      <c r="CP452" s="51"/>
      <c r="CQ452" s="51"/>
      <c r="CR452" s="51"/>
      <c r="CS452" s="51"/>
      <c r="CT452" s="51"/>
      <c r="CU452" s="51"/>
      <c r="CV452" s="51"/>
      <c r="CW452" s="51"/>
      <c r="CX452" s="51"/>
      <c r="CY452" s="51"/>
      <c r="CZ452" s="51"/>
      <c r="DA452" s="51"/>
      <c r="DB452" s="51"/>
      <c r="DC452" s="51"/>
      <c r="DD452" s="51"/>
      <c r="DE452" s="51"/>
      <c r="DF452" s="51"/>
      <c r="DG452" s="51"/>
      <c r="DH452" s="10"/>
    </row>
    <row r="453" spans="1:112" s="7" customFormat="1">
      <c r="A453" s="50" t="s">
        <v>557</v>
      </c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1"/>
      <c r="CA453" s="51"/>
      <c r="CB453" s="51"/>
      <c r="CC453" s="51"/>
      <c r="CD453" s="51"/>
      <c r="CE453" s="51"/>
      <c r="CF453" s="51"/>
      <c r="CG453" s="51"/>
      <c r="CI453" s="51"/>
      <c r="CJ453" s="51"/>
      <c r="CK453" s="51"/>
      <c r="CL453" s="51"/>
      <c r="CM453" s="51"/>
      <c r="CN453" s="51"/>
      <c r="CO453" s="51"/>
      <c r="CP453" s="51"/>
      <c r="CQ453" s="51"/>
      <c r="CR453" s="51"/>
      <c r="CS453" s="51"/>
      <c r="CT453" s="51"/>
      <c r="CU453" s="51"/>
      <c r="CV453" s="51"/>
      <c r="CW453" s="51"/>
      <c r="CX453" s="51"/>
      <c r="CY453" s="51"/>
      <c r="CZ453" s="51"/>
      <c r="DA453" s="51"/>
      <c r="DB453" s="51"/>
      <c r="DC453" s="51"/>
      <c r="DD453" s="51"/>
      <c r="DE453" s="51"/>
      <c r="DF453" s="51"/>
      <c r="DG453" s="51"/>
      <c r="DH453" s="10"/>
    </row>
    <row r="454" spans="1:112" s="7" customFormat="1">
      <c r="A454" s="50" t="s">
        <v>558</v>
      </c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1"/>
      <c r="CA454" s="51"/>
      <c r="CB454" s="51"/>
      <c r="CC454" s="51"/>
      <c r="CD454" s="51"/>
      <c r="CE454" s="51"/>
      <c r="CF454" s="51"/>
      <c r="CG454" s="51"/>
      <c r="CI454" s="51"/>
      <c r="CJ454" s="51"/>
      <c r="CK454" s="51"/>
      <c r="CL454" s="51"/>
      <c r="CM454" s="51"/>
      <c r="CN454" s="51"/>
      <c r="CO454" s="51"/>
      <c r="CP454" s="51"/>
      <c r="CQ454" s="51"/>
      <c r="CR454" s="51"/>
      <c r="CS454" s="51"/>
      <c r="CT454" s="51"/>
      <c r="CU454" s="51"/>
      <c r="CV454" s="51"/>
      <c r="CW454" s="51"/>
      <c r="CX454" s="51"/>
      <c r="CY454" s="51"/>
      <c r="CZ454" s="51"/>
      <c r="DA454" s="51"/>
      <c r="DB454" s="51"/>
      <c r="DC454" s="51"/>
      <c r="DD454" s="51"/>
      <c r="DE454" s="51"/>
      <c r="DF454" s="51"/>
      <c r="DG454" s="51"/>
      <c r="DH454" s="10"/>
    </row>
    <row r="455" spans="1:112" s="7" customFormat="1">
      <c r="A455" s="52" t="s">
        <v>559</v>
      </c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  <c r="CD455" s="53"/>
      <c r="CE455" s="53"/>
      <c r="CF455" s="53"/>
      <c r="CG455" s="53"/>
      <c r="CI455" s="53"/>
      <c r="CJ455" s="53"/>
      <c r="CK455" s="53"/>
      <c r="CL455" s="53"/>
      <c r="CM455" s="53"/>
      <c r="CN455" s="53"/>
      <c r="CO455" s="53"/>
      <c r="CP455" s="53"/>
      <c r="CQ455" s="53"/>
      <c r="CR455" s="53"/>
      <c r="CS455" s="53"/>
      <c r="CT455" s="53"/>
      <c r="CU455" s="53"/>
      <c r="CV455" s="53"/>
      <c r="CW455" s="53"/>
      <c r="CX455" s="53"/>
      <c r="CY455" s="53"/>
      <c r="CZ455" s="53"/>
      <c r="DA455" s="53"/>
      <c r="DB455" s="53"/>
      <c r="DC455" s="53"/>
      <c r="DD455" s="53"/>
      <c r="DE455" s="53"/>
      <c r="DF455" s="53"/>
      <c r="DG455" s="53"/>
      <c r="DH455" s="10"/>
    </row>
    <row r="456" spans="1:112" s="7" customFormat="1">
      <c r="A456" s="52" t="s">
        <v>560</v>
      </c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I456" s="54"/>
      <c r="CJ456" s="54"/>
      <c r="CK456" s="54"/>
      <c r="CL456" s="54"/>
      <c r="CM456" s="54"/>
      <c r="CN456" s="54"/>
      <c r="CO456" s="54"/>
      <c r="CP456" s="54"/>
      <c r="CQ456" s="54"/>
      <c r="CR456" s="54"/>
      <c r="CS456" s="54"/>
      <c r="CT456" s="54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10"/>
    </row>
    <row r="457" spans="1:112" s="7" customFormat="1">
      <c r="A457" s="52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10"/>
    </row>
    <row r="458" spans="1:112" s="7" customFormat="1" ht="15">
      <c r="A458" s="49" t="s">
        <v>561</v>
      </c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10"/>
    </row>
    <row r="459" spans="1:112" s="7" customFormat="1">
      <c r="A459" s="50" t="s">
        <v>549</v>
      </c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1"/>
      <c r="CA459" s="51"/>
      <c r="CB459" s="51"/>
      <c r="CC459" s="51"/>
      <c r="CD459" s="51"/>
      <c r="CE459" s="51"/>
      <c r="CF459" s="51"/>
      <c r="CG459" s="51"/>
      <c r="CI459" s="51"/>
      <c r="CJ459" s="51"/>
      <c r="CK459" s="51"/>
      <c r="CL459" s="51"/>
      <c r="CM459" s="51"/>
      <c r="CN459" s="51"/>
      <c r="CO459" s="51"/>
      <c r="CP459" s="51"/>
      <c r="CQ459" s="51"/>
      <c r="CR459" s="51"/>
      <c r="CS459" s="51"/>
      <c r="CT459" s="51"/>
      <c r="CU459" s="51"/>
      <c r="CV459" s="51"/>
      <c r="CW459" s="51"/>
      <c r="CX459" s="51"/>
      <c r="CY459" s="51"/>
      <c r="CZ459" s="51"/>
      <c r="DA459" s="51"/>
      <c r="DB459" s="51"/>
      <c r="DC459" s="51"/>
      <c r="DD459" s="51"/>
      <c r="DE459" s="51"/>
      <c r="DF459" s="51"/>
      <c r="DG459" s="51"/>
      <c r="DH459" s="10"/>
    </row>
    <row r="460" spans="1:112" s="7" customFormat="1">
      <c r="A460" s="50" t="s">
        <v>550</v>
      </c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1"/>
      <c r="CA460" s="51"/>
      <c r="CB460" s="51"/>
      <c r="CC460" s="51"/>
      <c r="CD460" s="51"/>
      <c r="CE460" s="51"/>
      <c r="CF460" s="51"/>
      <c r="CG460" s="51"/>
      <c r="CI460" s="51"/>
      <c r="CJ460" s="51"/>
      <c r="CK460" s="51"/>
      <c r="CL460" s="51"/>
      <c r="CM460" s="51"/>
      <c r="CN460" s="51"/>
      <c r="CO460" s="51"/>
      <c r="CP460" s="51"/>
      <c r="CQ460" s="51"/>
      <c r="CR460" s="51"/>
      <c r="CS460" s="51"/>
      <c r="CT460" s="51"/>
      <c r="CU460" s="51"/>
      <c r="CV460" s="51"/>
      <c r="CW460" s="51"/>
      <c r="CX460" s="51"/>
      <c r="CY460" s="51"/>
      <c r="CZ460" s="51"/>
      <c r="DA460" s="51"/>
      <c r="DB460" s="51"/>
      <c r="DC460" s="51"/>
      <c r="DD460" s="51"/>
      <c r="DE460" s="51"/>
      <c r="DF460" s="51"/>
      <c r="DG460" s="51"/>
      <c r="DH460" s="10"/>
    </row>
    <row r="461" spans="1:112" s="7" customFormat="1">
      <c r="A461" s="50" t="s">
        <v>551</v>
      </c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1"/>
      <c r="CA461" s="51"/>
      <c r="CB461" s="51"/>
      <c r="CC461" s="51"/>
      <c r="CD461" s="51"/>
      <c r="CE461" s="51"/>
      <c r="CF461" s="51"/>
      <c r="CG461" s="51"/>
      <c r="CI461" s="51"/>
      <c r="CJ461" s="51"/>
      <c r="CK461" s="51"/>
      <c r="CL461" s="51"/>
      <c r="CM461" s="51"/>
      <c r="CN461" s="51"/>
      <c r="CO461" s="51"/>
      <c r="CP461" s="51"/>
      <c r="CQ461" s="51"/>
      <c r="CR461" s="51"/>
      <c r="CS461" s="51"/>
      <c r="CT461" s="51"/>
      <c r="CU461" s="51"/>
      <c r="CV461" s="51"/>
      <c r="CW461" s="51"/>
      <c r="CX461" s="51"/>
      <c r="CY461" s="51"/>
      <c r="CZ461" s="51"/>
      <c r="DA461" s="51"/>
      <c r="DB461" s="51"/>
      <c r="DC461" s="51"/>
      <c r="DD461" s="51"/>
      <c r="DE461" s="51"/>
      <c r="DF461" s="51"/>
      <c r="DG461" s="51"/>
      <c r="DH461" s="10"/>
    </row>
    <row r="462" spans="1:112" s="7" customFormat="1">
      <c r="A462" s="50" t="s">
        <v>552</v>
      </c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1"/>
      <c r="CA462" s="51"/>
      <c r="CB462" s="51"/>
      <c r="CC462" s="51"/>
      <c r="CD462" s="51"/>
      <c r="CE462" s="51"/>
      <c r="CF462" s="51"/>
      <c r="CG462" s="51"/>
      <c r="CI462" s="51"/>
      <c r="CJ462" s="51"/>
      <c r="CK462" s="51"/>
      <c r="CL462" s="51"/>
      <c r="CM462" s="51"/>
      <c r="CN462" s="51"/>
      <c r="CO462" s="51"/>
      <c r="CP462" s="51"/>
      <c r="CQ462" s="51"/>
      <c r="CR462" s="51"/>
      <c r="CS462" s="51"/>
      <c r="CT462" s="51"/>
      <c r="CU462" s="51"/>
      <c r="CV462" s="51"/>
      <c r="CW462" s="51"/>
      <c r="CX462" s="51"/>
      <c r="CY462" s="51"/>
      <c r="CZ462" s="51"/>
      <c r="DA462" s="51"/>
      <c r="DB462" s="51"/>
      <c r="DC462" s="51"/>
      <c r="DD462" s="51"/>
      <c r="DE462" s="51"/>
      <c r="DF462" s="51"/>
      <c r="DG462" s="51"/>
      <c r="DH462" s="10"/>
    </row>
    <row r="463" spans="1:112" s="7" customFormat="1">
      <c r="A463" s="50" t="s">
        <v>553</v>
      </c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1"/>
      <c r="CA463" s="51"/>
      <c r="CB463" s="51"/>
      <c r="CC463" s="51"/>
      <c r="CD463" s="51"/>
      <c r="CE463" s="51"/>
      <c r="CF463" s="51"/>
      <c r="CG463" s="51"/>
      <c r="CI463" s="51"/>
      <c r="CJ463" s="51"/>
      <c r="CK463" s="51"/>
      <c r="CL463" s="51"/>
      <c r="CM463" s="51"/>
      <c r="CN463" s="51"/>
      <c r="CO463" s="51"/>
      <c r="CP463" s="51"/>
      <c r="CQ463" s="51"/>
      <c r="CR463" s="51"/>
      <c r="CS463" s="51"/>
      <c r="CT463" s="51"/>
      <c r="CU463" s="51"/>
      <c r="CV463" s="51"/>
      <c r="CW463" s="51"/>
      <c r="CX463" s="51"/>
      <c r="CY463" s="51"/>
      <c r="CZ463" s="51"/>
      <c r="DA463" s="51"/>
      <c r="DB463" s="51"/>
      <c r="DC463" s="51"/>
      <c r="DD463" s="51"/>
      <c r="DE463" s="51"/>
      <c r="DF463" s="51"/>
      <c r="DG463" s="51"/>
      <c r="DH463" s="10"/>
    </row>
    <row r="464" spans="1:112" s="7" customFormat="1">
      <c r="A464" s="50" t="s">
        <v>554</v>
      </c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1"/>
      <c r="CA464" s="51"/>
      <c r="CB464" s="51"/>
      <c r="CC464" s="51"/>
      <c r="CD464" s="51"/>
      <c r="CE464" s="51"/>
      <c r="CF464" s="51"/>
      <c r="CG464" s="51"/>
      <c r="CI464" s="51"/>
      <c r="CJ464" s="51"/>
      <c r="CK464" s="51"/>
      <c r="CL464" s="51"/>
      <c r="CM464" s="51"/>
      <c r="CN464" s="51"/>
      <c r="CO464" s="51"/>
      <c r="CP464" s="51"/>
      <c r="CQ464" s="51"/>
      <c r="CR464" s="51"/>
      <c r="CS464" s="51"/>
      <c r="CT464" s="51"/>
      <c r="CU464" s="51"/>
      <c r="CV464" s="51"/>
      <c r="CW464" s="51"/>
      <c r="CX464" s="51"/>
      <c r="CY464" s="51"/>
      <c r="CZ464" s="51"/>
      <c r="DA464" s="51"/>
      <c r="DB464" s="51"/>
      <c r="DC464" s="51"/>
      <c r="DD464" s="51"/>
      <c r="DE464" s="51"/>
      <c r="DF464" s="51"/>
      <c r="DG464" s="51"/>
      <c r="DH464" s="10"/>
    </row>
    <row r="465" spans="1:112" s="7" customFormat="1">
      <c r="A465" s="50" t="s">
        <v>555</v>
      </c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  <c r="CC465" s="51"/>
      <c r="CD465" s="51"/>
      <c r="CE465" s="51"/>
      <c r="CF465" s="51"/>
      <c r="CG465" s="51"/>
      <c r="CI465" s="51"/>
      <c r="CJ465" s="51"/>
      <c r="CK465" s="51"/>
      <c r="CL465" s="51"/>
      <c r="CM465" s="51"/>
      <c r="CN465" s="51"/>
      <c r="CO465" s="51"/>
      <c r="CP465" s="51"/>
      <c r="CQ465" s="51"/>
      <c r="CR465" s="51"/>
      <c r="CS465" s="51"/>
      <c r="CT465" s="51"/>
      <c r="CU465" s="51"/>
      <c r="CV465" s="51"/>
      <c r="CW465" s="51"/>
      <c r="CX465" s="51"/>
      <c r="CY465" s="51"/>
      <c r="CZ465" s="51"/>
      <c r="DA465" s="51"/>
      <c r="DB465" s="51"/>
      <c r="DC465" s="51"/>
      <c r="DD465" s="51"/>
      <c r="DE465" s="51"/>
      <c r="DF465" s="51"/>
      <c r="DG465" s="51"/>
      <c r="DH465" s="10"/>
    </row>
    <row r="466" spans="1:112" s="7" customFormat="1">
      <c r="A466" s="50" t="s">
        <v>556</v>
      </c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1"/>
      <c r="CA466" s="51"/>
      <c r="CB466" s="51"/>
      <c r="CC466" s="51"/>
      <c r="CD466" s="51"/>
      <c r="CE466" s="51"/>
      <c r="CF466" s="51"/>
      <c r="CG466" s="51"/>
      <c r="CI466" s="51"/>
      <c r="CJ466" s="51"/>
      <c r="CK466" s="51"/>
      <c r="CL466" s="51"/>
      <c r="CM466" s="51"/>
      <c r="CN466" s="51"/>
      <c r="CO466" s="51"/>
      <c r="CP466" s="51"/>
      <c r="CQ466" s="51"/>
      <c r="CR466" s="51"/>
      <c r="CS466" s="51"/>
      <c r="CT466" s="51"/>
      <c r="CU466" s="51"/>
      <c r="CV466" s="51"/>
      <c r="CW466" s="51"/>
      <c r="CX466" s="51"/>
      <c r="CY466" s="51"/>
      <c r="CZ466" s="51"/>
      <c r="DA466" s="51"/>
      <c r="DB466" s="51"/>
      <c r="DC466" s="51"/>
      <c r="DD466" s="51"/>
      <c r="DE466" s="51"/>
      <c r="DF466" s="51"/>
      <c r="DG466" s="51"/>
      <c r="DH466" s="10"/>
    </row>
    <row r="467" spans="1:112" s="7" customFormat="1">
      <c r="A467" s="50" t="s">
        <v>557</v>
      </c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1"/>
      <c r="CA467" s="51"/>
      <c r="CB467" s="51"/>
      <c r="CC467" s="51"/>
      <c r="CD467" s="51"/>
      <c r="CE467" s="51"/>
      <c r="CF467" s="51"/>
      <c r="CG467" s="51"/>
      <c r="CI467" s="51"/>
      <c r="CJ467" s="51"/>
      <c r="CK467" s="51"/>
      <c r="CL467" s="51"/>
      <c r="CM467" s="51"/>
      <c r="CN467" s="51"/>
      <c r="CO467" s="51"/>
      <c r="CP467" s="51"/>
      <c r="CQ467" s="51"/>
      <c r="CR467" s="51"/>
      <c r="CS467" s="51"/>
      <c r="CT467" s="51"/>
      <c r="CU467" s="51"/>
      <c r="CV467" s="51"/>
      <c r="CW467" s="51"/>
      <c r="CX467" s="51"/>
      <c r="CY467" s="51"/>
      <c r="CZ467" s="51"/>
      <c r="DA467" s="51"/>
      <c r="DB467" s="51"/>
      <c r="DC467" s="51"/>
      <c r="DD467" s="51"/>
      <c r="DE467" s="51"/>
      <c r="DF467" s="51"/>
      <c r="DG467" s="51"/>
      <c r="DH467" s="10"/>
    </row>
    <row r="468" spans="1:112" s="7" customFormat="1">
      <c r="A468" s="50" t="s">
        <v>558</v>
      </c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  <c r="CC468" s="51"/>
      <c r="CD468" s="51"/>
      <c r="CE468" s="51"/>
      <c r="CF468" s="51"/>
      <c r="CG468" s="51"/>
      <c r="CI468" s="51"/>
      <c r="CJ468" s="51"/>
      <c r="CK468" s="51"/>
      <c r="CL468" s="51"/>
      <c r="CM468" s="51"/>
      <c r="CN468" s="51"/>
      <c r="CO468" s="51"/>
      <c r="CP468" s="51"/>
      <c r="CQ468" s="51"/>
      <c r="CR468" s="51"/>
      <c r="CS468" s="51"/>
      <c r="CT468" s="51"/>
      <c r="CU468" s="51"/>
      <c r="CV468" s="51"/>
      <c r="CW468" s="51"/>
      <c r="CX468" s="51"/>
      <c r="CY468" s="51"/>
      <c r="CZ468" s="51"/>
      <c r="DA468" s="51"/>
      <c r="DB468" s="51"/>
      <c r="DC468" s="51"/>
      <c r="DD468" s="51"/>
      <c r="DE468" s="51"/>
      <c r="DF468" s="51"/>
      <c r="DG468" s="51"/>
      <c r="DH468" s="10"/>
    </row>
    <row r="469" spans="1:112" s="7" customFormat="1">
      <c r="A469" s="52" t="s">
        <v>559</v>
      </c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  <c r="CG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3"/>
      <c r="CS469" s="53"/>
      <c r="CT469" s="53"/>
      <c r="CU469" s="53"/>
      <c r="CV469" s="53"/>
      <c r="CW469" s="53"/>
      <c r="CX469" s="53"/>
      <c r="CY469" s="53"/>
      <c r="CZ469" s="53"/>
      <c r="DA469" s="53"/>
      <c r="DB469" s="53"/>
      <c r="DC469" s="53"/>
      <c r="DD469" s="53"/>
      <c r="DE469" s="53"/>
      <c r="DF469" s="53"/>
      <c r="DG469" s="53"/>
      <c r="DH469" s="10"/>
    </row>
    <row r="470" spans="1:112" s="7" customFormat="1">
      <c r="A470" s="52" t="s">
        <v>17</v>
      </c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54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10"/>
    </row>
    <row r="471" spans="1:112" s="7" customFormat="1">
      <c r="A471" s="52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10"/>
    </row>
    <row r="472" spans="1:112" s="7" customFormat="1" ht="15.75">
      <c r="A472" s="47" t="s">
        <v>562</v>
      </c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I472" s="48"/>
      <c r="CJ472" s="48"/>
      <c r="CK472" s="48"/>
      <c r="CL472" s="48"/>
      <c r="CM472" s="48"/>
      <c r="CN472" s="48"/>
      <c r="CO472" s="48"/>
      <c r="CP472" s="48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  <c r="DE472" s="48"/>
      <c r="DF472" s="48"/>
      <c r="DG472" s="48"/>
      <c r="DH472" s="10"/>
    </row>
    <row r="473" spans="1:112" s="7" customFormat="1" ht="15">
      <c r="A473" s="49" t="s">
        <v>563</v>
      </c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10"/>
    </row>
    <row r="474" spans="1:112" s="7" customFormat="1">
      <c r="A474" s="55" t="s">
        <v>564</v>
      </c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10"/>
    </row>
    <row r="475" spans="1:112" s="7" customFormat="1">
      <c r="A475" s="50" t="s">
        <v>565</v>
      </c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1"/>
      <c r="CA475" s="51"/>
      <c r="CB475" s="51"/>
      <c r="CC475" s="51"/>
      <c r="CD475" s="51"/>
      <c r="CE475" s="51"/>
      <c r="CF475" s="51"/>
      <c r="CG475" s="51"/>
      <c r="CI475" s="51"/>
      <c r="CJ475" s="51"/>
      <c r="CK475" s="51"/>
      <c r="CL475" s="51"/>
      <c r="CM475" s="51"/>
      <c r="CN475" s="51"/>
      <c r="CO475" s="51"/>
      <c r="CP475" s="51"/>
      <c r="CQ475" s="51"/>
      <c r="CR475" s="51"/>
      <c r="CS475" s="51"/>
      <c r="CT475" s="51"/>
      <c r="CU475" s="51"/>
      <c r="CV475" s="51"/>
      <c r="CW475" s="51"/>
      <c r="CX475" s="51"/>
      <c r="CY475" s="51"/>
      <c r="CZ475" s="51"/>
      <c r="DA475" s="51"/>
      <c r="DB475" s="51"/>
      <c r="DC475" s="51"/>
      <c r="DD475" s="51"/>
      <c r="DE475" s="51"/>
      <c r="DF475" s="51"/>
      <c r="DG475" s="51"/>
      <c r="DH475" s="10"/>
    </row>
    <row r="476" spans="1:112" s="7" customFormat="1">
      <c r="A476" s="50" t="s">
        <v>566</v>
      </c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  <c r="CC476" s="51"/>
      <c r="CD476" s="51"/>
      <c r="CE476" s="51"/>
      <c r="CF476" s="51"/>
      <c r="CG476" s="51"/>
      <c r="CI476" s="51"/>
      <c r="CJ476" s="51"/>
      <c r="CK476" s="51"/>
      <c r="CL476" s="51"/>
      <c r="CM476" s="51"/>
      <c r="CN476" s="51"/>
      <c r="CO476" s="51"/>
      <c r="CP476" s="51"/>
      <c r="CQ476" s="51"/>
      <c r="CR476" s="51"/>
      <c r="CS476" s="51"/>
      <c r="CT476" s="51"/>
      <c r="CU476" s="51"/>
      <c r="CV476" s="51"/>
      <c r="CW476" s="51"/>
      <c r="CX476" s="51"/>
      <c r="CY476" s="51"/>
      <c r="CZ476" s="51"/>
      <c r="DA476" s="51"/>
      <c r="DB476" s="51"/>
      <c r="DC476" s="51"/>
      <c r="DD476" s="51"/>
      <c r="DE476" s="51"/>
      <c r="DF476" s="51"/>
      <c r="DG476" s="51"/>
      <c r="DH476" s="10"/>
    </row>
    <row r="477" spans="1:112" s="7" customFormat="1">
      <c r="A477" s="50" t="s">
        <v>567</v>
      </c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1"/>
      <c r="CA477" s="51"/>
      <c r="CB477" s="51"/>
      <c r="CC477" s="51"/>
      <c r="CD477" s="51"/>
      <c r="CE477" s="51"/>
      <c r="CF477" s="51"/>
      <c r="CG477" s="51"/>
      <c r="CI477" s="51"/>
      <c r="CJ477" s="51"/>
      <c r="CK477" s="51"/>
      <c r="CL477" s="51"/>
      <c r="CM477" s="51"/>
      <c r="CN477" s="51"/>
      <c r="CO477" s="51"/>
      <c r="CP477" s="51"/>
      <c r="CQ477" s="51"/>
      <c r="CR477" s="51"/>
      <c r="CS477" s="51"/>
      <c r="CT477" s="51"/>
      <c r="CU477" s="51"/>
      <c r="CV477" s="51"/>
      <c r="CW477" s="51"/>
      <c r="CX477" s="51"/>
      <c r="CY477" s="51"/>
      <c r="CZ477" s="51"/>
      <c r="DA477" s="51"/>
      <c r="DB477" s="51"/>
      <c r="DC477" s="51"/>
      <c r="DD477" s="51"/>
      <c r="DE477" s="51"/>
      <c r="DF477" s="51"/>
      <c r="DG477" s="51"/>
      <c r="DH477" s="10"/>
    </row>
    <row r="478" spans="1:112" s="7" customFormat="1">
      <c r="A478" s="50" t="s">
        <v>568</v>
      </c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1"/>
      <c r="CA478" s="51"/>
      <c r="CB478" s="51"/>
      <c r="CC478" s="51"/>
      <c r="CD478" s="51"/>
      <c r="CE478" s="51"/>
      <c r="CF478" s="51"/>
      <c r="CG478" s="51"/>
      <c r="CI478" s="51"/>
      <c r="CJ478" s="51"/>
      <c r="CK478" s="51"/>
      <c r="CL478" s="51"/>
      <c r="CM478" s="51"/>
      <c r="CN478" s="51"/>
      <c r="CO478" s="51"/>
      <c r="CP478" s="51"/>
      <c r="CQ478" s="51"/>
      <c r="CR478" s="51"/>
      <c r="CS478" s="51"/>
      <c r="CT478" s="51"/>
      <c r="CU478" s="51"/>
      <c r="CV478" s="51"/>
      <c r="CW478" s="51"/>
      <c r="CX478" s="51"/>
      <c r="CY478" s="51"/>
      <c r="CZ478" s="51"/>
      <c r="DA478" s="51"/>
      <c r="DB478" s="51"/>
      <c r="DC478" s="51"/>
      <c r="DD478" s="51"/>
      <c r="DE478" s="51"/>
      <c r="DF478" s="51"/>
      <c r="DG478" s="51"/>
      <c r="DH478" s="10"/>
    </row>
    <row r="479" spans="1:112" s="7" customFormat="1">
      <c r="A479" s="52" t="s">
        <v>569</v>
      </c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/>
      <c r="BY479" s="54"/>
      <c r="BZ479" s="54"/>
      <c r="CA479" s="54"/>
      <c r="CB479" s="54"/>
      <c r="CC479" s="54"/>
      <c r="CD479" s="54"/>
      <c r="CE479" s="54"/>
      <c r="CF479" s="54"/>
      <c r="CG479" s="54"/>
      <c r="CI479" s="54"/>
      <c r="CJ479" s="54"/>
      <c r="CK479" s="54"/>
      <c r="CL479" s="54"/>
      <c r="CM479" s="54"/>
      <c r="CN479" s="54"/>
      <c r="CO479" s="54"/>
      <c r="CP479" s="54"/>
      <c r="CQ479" s="54"/>
      <c r="CR479" s="54"/>
      <c r="CS479" s="54"/>
      <c r="CT479" s="54"/>
      <c r="CU479" s="54"/>
      <c r="CV479" s="54"/>
      <c r="CW479" s="54"/>
      <c r="CX479" s="54"/>
      <c r="CY479" s="54"/>
      <c r="CZ479" s="54"/>
      <c r="DA479" s="54"/>
      <c r="DB479" s="54"/>
      <c r="DC479" s="54"/>
      <c r="DD479" s="54"/>
      <c r="DE479" s="54"/>
      <c r="DF479" s="54"/>
      <c r="DG479" s="54"/>
      <c r="DH479" s="10"/>
    </row>
    <row r="480" spans="1:112" s="7" customFormat="1">
      <c r="A480" s="55" t="s">
        <v>570</v>
      </c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10"/>
    </row>
    <row r="481" spans="1:112" s="7" customFormat="1">
      <c r="A481" s="50" t="s">
        <v>571</v>
      </c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  <c r="CC481" s="51"/>
      <c r="CD481" s="51"/>
      <c r="CE481" s="51"/>
      <c r="CF481" s="51"/>
      <c r="CG481" s="51"/>
      <c r="CI481" s="51"/>
      <c r="CJ481" s="51"/>
      <c r="CK481" s="51"/>
      <c r="CL481" s="51"/>
      <c r="CM481" s="51"/>
      <c r="CN481" s="51"/>
      <c r="CO481" s="51"/>
      <c r="CP481" s="51"/>
      <c r="CQ481" s="51"/>
      <c r="CR481" s="51"/>
      <c r="CS481" s="51"/>
      <c r="CT481" s="51"/>
      <c r="CU481" s="51"/>
      <c r="CV481" s="51"/>
      <c r="CW481" s="51"/>
      <c r="CX481" s="51"/>
      <c r="CY481" s="51"/>
      <c r="CZ481" s="51"/>
      <c r="DA481" s="51"/>
      <c r="DB481" s="51"/>
      <c r="DC481" s="51"/>
      <c r="DD481" s="51"/>
      <c r="DE481" s="51"/>
      <c r="DF481" s="51"/>
      <c r="DG481" s="51"/>
      <c r="DH481" s="10"/>
    </row>
    <row r="482" spans="1:112" s="7" customFormat="1">
      <c r="A482" s="50" t="s">
        <v>572</v>
      </c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  <c r="CC482" s="51"/>
      <c r="CD482" s="51"/>
      <c r="CE482" s="51"/>
      <c r="CF482" s="51"/>
      <c r="CG482" s="51"/>
      <c r="CI482" s="51"/>
      <c r="CJ482" s="51"/>
      <c r="CK482" s="51"/>
      <c r="CL482" s="51"/>
      <c r="CM482" s="51"/>
      <c r="CN482" s="51"/>
      <c r="CO482" s="51"/>
      <c r="CP482" s="51"/>
      <c r="CQ482" s="51"/>
      <c r="CR482" s="51"/>
      <c r="CS482" s="51"/>
      <c r="CT482" s="51"/>
      <c r="CU482" s="51"/>
      <c r="CV482" s="51"/>
      <c r="CW482" s="51"/>
      <c r="CX482" s="51"/>
      <c r="CY482" s="51"/>
      <c r="CZ482" s="51"/>
      <c r="DA482" s="51"/>
      <c r="DB482" s="51"/>
      <c r="DC482" s="51"/>
      <c r="DD482" s="51"/>
      <c r="DE482" s="51"/>
      <c r="DF482" s="51"/>
      <c r="DG482" s="51"/>
      <c r="DH482" s="10"/>
    </row>
    <row r="483" spans="1:112" s="7" customFormat="1">
      <c r="A483" s="50" t="s">
        <v>573</v>
      </c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1"/>
      <c r="CA483" s="51"/>
      <c r="CB483" s="51"/>
      <c r="CC483" s="51"/>
      <c r="CD483" s="51"/>
      <c r="CE483" s="51"/>
      <c r="CF483" s="51"/>
      <c r="CG483" s="51"/>
      <c r="CI483" s="51"/>
      <c r="CJ483" s="51"/>
      <c r="CK483" s="51"/>
      <c r="CL483" s="51"/>
      <c r="CM483" s="51"/>
      <c r="CN483" s="51"/>
      <c r="CO483" s="51"/>
      <c r="CP483" s="51"/>
      <c r="CQ483" s="51"/>
      <c r="CR483" s="51"/>
      <c r="CS483" s="51"/>
      <c r="CT483" s="51"/>
      <c r="CU483" s="51"/>
      <c r="CV483" s="51"/>
      <c r="CW483" s="51"/>
      <c r="CX483" s="51"/>
      <c r="CY483" s="51"/>
      <c r="CZ483" s="51"/>
      <c r="DA483" s="51"/>
      <c r="DB483" s="51"/>
      <c r="DC483" s="51"/>
      <c r="DD483" s="51"/>
      <c r="DE483" s="51"/>
      <c r="DF483" s="51"/>
      <c r="DG483" s="51"/>
      <c r="DH483" s="10"/>
    </row>
    <row r="484" spans="1:112" s="7" customFormat="1">
      <c r="A484" s="50" t="s">
        <v>574</v>
      </c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1"/>
      <c r="CA484" s="51"/>
      <c r="CB484" s="51"/>
      <c r="CC484" s="51"/>
      <c r="CD484" s="51"/>
      <c r="CE484" s="51"/>
      <c r="CF484" s="51"/>
      <c r="CG484" s="51"/>
      <c r="CI484" s="51"/>
      <c r="CJ484" s="51"/>
      <c r="CK484" s="51"/>
      <c r="CL484" s="51"/>
      <c r="CM484" s="51"/>
      <c r="CN484" s="51"/>
      <c r="CO484" s="51"/>
      <c r="CP484" s="51"/>
      <c r="CQ484" s="51"/>
      <c r="CR484" s="51"/>
      <c r="CS484" s="51"/>
      <c r="CT484" s="51"/>
      <c r="CU484" s="51"/>
      <c r="CV484" s="51"/>
      <c r="CW484" s="51"/>
      <c r="CX484" s="51"/>
      <c r="CY484" s="51"/>
      <c r="CZ484" s="51"/>
      <c r="DA484" s="51"/>
      <c r="DB484" s="51"/>
      <c r="DC484" s="51"/>
      <c r="DD484" s="51"/>
      <c r="DE484" s="51"/>
      <c r="DF484" s="51"/>
      <c r="DG484" s="51"/>
      <c r="DH484" s="10"/>
    </row>
    <row r="485" spans="1:112" s="7" customFormat="1">
      <c r="A485" s="52" t="s">
        <v>575</v>
      </c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/>
      <c r="BY485" s="54"/>
      <c r="BZ485" s="54"/>
      <c r="CA485" s="54"/>
      <c r="CB485" s="54"/>
      <c r="CC485" s="54"/>
      <c r="CD485" s="54"/>
      <c r="CE485" s="54"/>
      <c r="CF485" s="54"/>
      <c r="CG485" s="54"/>
      <c r="CI485" s="54"/>
      <c r="CJ485" s="54"/>
      <c r="CK485" s="54"/>
      <c r="CL485" s="54"/>
      <c r="CM485" s="54"/>
      <c r="CN485" s="54"/>
      <c r="CO485" s="54"/>
      <c r="CP485" s="54"/>
      <c r="CQ485" s="54"/>
      <c r="CR485" s="54"/>
      <c r="CS485" s="54"/>
      <c r="CT485" s="54"/>
      <c r="CU485" s="54"/>
      <c r="CV485" s="54"/>
      <c r="CW485" s="54"/>
      <c r="CX485" s="54"/>
      <c r="CY485" s="54"/>
      <c r="CZ485" s="54"/>
      <c r="DA485" s="54"/>
      <c r="DB485" s="54"/>
      <c r="DC485" s="54"/>
      <c r="DD485" s="54"/>
      <c r="DE485" s="54"/>
      <c r="DF485" s="54"/>
      <c r="DG485" s="54"/>
      <c r="DH485" s="10"/>
    </row>
    <row r="486" spans="1:112" s="7" customFormat="1">
      <c r="A486" s="55" t="s">
        <v>576</v>
      </c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10"/>
    </row>
    <row r="487" spans="1:112" s="7" customFormat="1">
      <c r="A487" s="50" t="s">
        <v>577</v>
      </c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  <c r="CC487" s="51"/>
      <c r="CD487" s="51"/>
      <c r="CE487" s="51"/>
      <c r="CF487" s="51"/>
      <c r="CG487" s="51"/>
      <c r="CI487" s="51"/>
      <c r="CJ487" s="51"/>
      <c r="CK487" s="51"/>
      <c r="CL487" s="51"/>
      <c r="CM487" s="51"/>
      <c r="CN487" s="51"/>
      <c r="CO487" s="51"/>
      <c r="CP487" s="51"/>
      <c r="CQ487" s="51"/>
      <c r="CR487" s="51"/>
      <c r="CS487" s="51"/>
      <c r="CT487" s="51"/>
      <c r="CU487" s="51"/>
      <c r="CV487" s="51"/>
      <c r="CW487" s="51"/>
      <c r="CX487" s="51"/>
      <c r="CY487" s="51"/>
      <c r="CZ487" s="51"/>
      <c r="DA487" s="51"/>
      <c r="DB487" s="51"/>
      <c r="DC487" s="51"/>
      <c r="DD487" s="51"/>
      <c r="DE487" s="51"/>
      <c r="DF487" s="51"/>
      <c r="DG487" s="51"/>
      <c r="DH487" s="10"/>
    </row>
    <row r="488" spans="1:112" s="7" customFormat="1">
      <c r="A488" s="50" t="s">
        <v>578</v>
      </c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  <c r="CC488" s="51"/>
      <c r="CD488" s="51"/>
      <c r="CE488" s="51"/>
      <c r="CF488" s="51"/>
      <c r="CG488" s="51"/>
      <c r="CI488" s="51"/>
      <c r="CJ488" s="51"/>
      <c r="CK488" s="51"/>
      <c r="CL488" s="51"/>
      <c r="CM488" s="51"/>
      <c r="CN488" s="51"/>
      <c r="CO488" s="51"/>
      <c r="CP488" s="51"/>
      <c r="CQ488" s="51"/>
      <c r="CR488" s="51"/>
      <c r="CS488" s="51"/>
      <c r="CT488" s="51"/>
      <c r="CU488" s="51"/>
      <c r="CV488" s="51"/>
      <c r="CW488" s="51"/>
      <c r="CX488" s="51"/>
      <c r="CY488" s="51"/>
      <c r="CZ488" s="51"/>
      <c r="DA488" s="51"/>
      <c r="DB488" s="51"/>
      <c r="DC488" s="51"/>
      <c r="DD488" s="51"/>
      <c r="DE488" s="51"/>
      <c r="DF488" s="51"/>
      <c r="DG488" s="51"/>
      <c r="DH488" s="10"/>
    </row>
    <row r="489" spans="1:112" s="7" customFormat="1">
      <c r="A489" s="50" t="s">
        <v>579</v>
      </c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  <c r="CC489" s="51"/>
      <c r="CD489" s="51"/>
      <c r="CE489" s="51"/>
      <c r="CF489" s="51"/>
      <c r="CG489" s="51"/>
      <c r="CI489" s="51"/>
      <c r="CJ489" s="51"/>
      <c r="CK489" s="51"/>
      <c r="CL489" s="51"/>
      <c r="CM489" s="51"/>
      <c r="CN489" s="51"/>
      <c r="CO489" s="51"/>
      <c r="CP489" s="51"/>
      <c r="CQ489" s="51"/>
      <c r="CR489" s="51"/>
      <c r="CS489" s="51"/>
      <c r="CT489" s="51"/>
      <c r="CU489" s="51"/>
      <c r="CV489" s="51"/>
      <c r="CW489" s="51"/>
      <c r="CX489" s="51"/>
      <c r="CY489" s="51"/>
      <c r="CZ489" s="51"/>
      <c r="DA489" s="51"/>
      <c r="DB489" s="51"/>
      <c r="DC489" s="51"/>
      <c r="DD489" s="51"/>
      <c r="DE489" s="51"/>
      <c r="DF489" s="51"/>
      <c r="DG489" s="51"/>
      <c r="DH489" s="10"/>
    </row>
    <row r="490" spans="1:112" s="7" customFormat="1">
      <c r="A490" s="50" t="s">
        <v>580</v>
      </c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  <c r="CC490" s="51"/>
      <c r="CD490" s="51"/>
      <c r="CE490" s="51"/>
      <c r="CF490" s="51"/>
      <c r="CG490" s="51"/>
      <c r="CI490" s="51"/>
      <c r="CJ490" s="51"/>
      <c r="CK490" s="51"/>
      <c r="CL490" s="51"/>
      <c r="CM490" s="51"/>
      <c r="CN490" s="51"/>
      <c r="CO490" s="51"/>
      <c r="CP490" s="51"/>
      <c r="CQ490" s="51"/>
      <c r="CR490" s="51"/>
      <c r="CS490" s="51"/>
      <c r="CT490" s="51"/>
      <c r="CU490" s="51"/>
      <c r="CV490" s="51"/>
      <c r="CW490" s="51"/>
      <c r="CX490" s="51"/>
      <c r="CY490" s="51"/>
      <c r="CZ490" s="51"/>
      <c r="DA490" s="51"/>
      <c r="DB490" s="51"/>
      <c r="DC490" s="51"/>
      <c r="DD490" s="51"/>
      <c r="DE490" s="51"/>
      <c r="DF490" s="51"/>
      <c r="DG490" s="51"/>
      <c r="DH490" s="10"/>
    </row>
    <row r="491" spans="1:112" s="7" customFormat="1">
      <c r="A491" s="52" t="s">
        <v>581</v>
      </c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  <c r="CG491" s="54"/>
      <c r="CI491" s="54"/>
      <c r="CJ491" s="54"/>
      <c r="CK491" s="54"/>
      <c r="CL491" s="54"/>
      <c r="CM491" s="54"/>
      <c r="CN491" s="54"/>
      <c r="CO491" s="54"/>
      <c r="CP491" s="54"/>
      <c r="CQ491" s="54"/>
      <c r="CR491" s="54"/>
      <c r="CS491" s="54"/>
      <c r="CT491" s="54"/>
      <c r="CU491" s="54"/>
      <c r="CV491" s="54"/>
      <c r="CW491" s="54"/>
      <c r="CX491" s="54"/>
      <c r="CY491" s="54"/>
      <c r="CZ491" s="54"/>
      <c r="DA491" s="54"/>
      <c r="DB491" s="54"/>
      <c r="DC491" s="54"/>
      <c r="DD491" s="54"/>
      <c r="DE491" s="54"/>
      <c r="DF491" s="54"/>
      <c r="DG491" s="54"/>
      <c r="DH491" s="10"/>
    </row>
    <row r="492" spans="1:112" s="7" customFormat="1">
      <c r="A492" s="55" t="s">
        <v>582</v>
      </c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10"/>
    </row>
    <row r="493" spans="1:112" s="7" customFormat="1">
      <c r="A493" s="50" t="s">
        <v>583</v>
      </c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  <c r="CC493" s="51"/>
      <c r="CD493" s="51"/>
      <c r="CE493" s="51"/>
      <c r="CF493" s="51"/>
      <c r="CG493" s="51"/>
      <c r="CI493" s="51"/>
      <c r="CJ493" s="51"/>
      <c r="CK493" s="51"/>
      <c r="CL493" s="51"/>
      <c r="CM493" s="51"/>
      <c r="CN493" s="51"/>
      <c r="CO493" s="51"/>
      <c r="CP493" s="51"/>
      <c r="CQ493" s="51"/>
      <c r="CR493" s="51"/>
      <c r="CS493" s="51"/>
      <c r="CT493" s="51"/>
      <c r="CU493" s="51"/>
      <c r="CV493" s="51"/>
      <c r="CW493" s="51"/>
      <c r="CX493" s="51"/>
      <c r="CY493" s="51"/>
      <c r="CZ493" s="51"/>
      <c r="DA493" s="51"/>
      <c r="DB493" s="51"/>
      <c r="DC493" s="51"/>
      <c r="DD493" s="51"/>
      <c r="DE493" s="51"/>
      <c r="DF493" s="51"/>
      <c r="DG493" s="51"/>
      <c r="DH493" s="10"/>
    </row>
    <row r="494" spans="1:112" s="7" customFormat="1">
      <c r="A494" s="50" t="s">
        <v>584</v>
      </c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  <c r="CC494" s="51"/>
      <c r="CD494" s="51"/>
      <c r="CE494" s="51"/>
      <c r="CF494" s="51"/>
      <c r="CG494" s="51"/>
      <c r="CI494" s="51"/>
      <c r="CJ494" s="51"/>
      <c r="CK494" s="51"/>
      <c r="CL494" s="51"/>
      <c r="CM494" s="51"/>
      <c r="CN494" s="51"/>
      <c r="CO494" s="51"/>
      <c r="CP494" s="51"/>
      <c r="CQ494" s="51"/>
      <c r="CR494" s="51"/>
      <c r="CS494" s="51"/>
      <c r="CT494" s="51"/>
      <c r="CU494" s="51"/>
      <c r="CV494" s="51"/>
      <c r="CW494" s="51"/>
      <c r="CX494" s="51"/>
      <c r="CY494" s="51"/>
      <c r="CZ494" s="51"/>
      <c r="DA494" s="51"/>
      <c r="DB494" s="51"/>
      <c r="DC494" s="51"/>
      <c r="DD494" s="51"/>
      <c r="DE494" s="51"/>
      <c r="DF494" s="51"/>
      <c r="DG494" s="51"/>
      <c r="DH494" s="10"/>
    </row>
    <row r="495" spans="1:112" s="7" customFormat="1">
      <c r="A495" s="50" t="s">
        <v>585</v>
      </c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  <c r="CC495" s="51"/>
      <c r="CD495" s="51"/>
      <c r="CE495" s="51"/>
      <c r="CF495" s="51"/>
      <c r="CG495" s="51"/>
      <c r="CI495" s="51"/>
      <c r="CJ495" s="51"/>
      <c r="CK495" s="51"/>
      <c r="CL495" s="51"/>
      <c r="CM495" s="51"/>
      <c r="CN495" s="51"/>
      <c r="CO495" s="51"/>
      <c r="CP495" s="51"/>
      <c r="CQ495" s="51"/>
      <c r="CR495" s="51"/>
      <c r="CS495" s="51"/>
      <c r="CT495" s="51"/>
      <c r="CU495" s="51"/>
      <c r="CV495" s="51"/>
      <c r="CW495" s="51"/>
      <c r="CX495" s="51"/>
      <c r="CY495" s="51"/>
      <c r="CZ495" s="51"/>
      <c r="DA495" s="51"/>
      <c r="DB495" s="51"/>
      <c r="DC495" s="51"/>
      <c r="DD495" s="51"/>
      <c r="DE495" s="51"/>
      <c r="DF495" s="51"/>
      <c r="DG495" s="51"/>
      <c r="DH495" s="10"/>
    </row>
    <row r="496" spans="1:112" s="7" customFormat="1">
      <c r="A496" s="50" t="s">
        <v>586</v>
      </c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  <c r="CC496" s="51"/>
      <c r="CD496" s="51"/>
      <c r="CE496" s="51"/>
      <c r="CF496" s="51"/>
      <c r="CG496" s="51"/>
      <c r="CI496" s="51"/>
      <c r="CJ496" s="51"/>
      <c r="CK496" s="51"/>
      <c r="CL496" s="51"/>
      <c r="CM496" s="51"/>
      <c r="CN496" s="51"/>
      <c r="CO496" s="51"/>
      <c r="CP496" s="51"/>
      <c r="CQ496" s="51"/>
      <c r="CR496" s="51"/>
      <c r="CS496" s="51"/>
      <c r="CT496" s="51"/>
      <c r="CU496" s="51"/>
      <c r="CV496" s="51"/>
      <c r="CW496" s="51"/>
      <c r="CX496" s="51"/>
      <c r="CY496" s="51"/>
      <c r="CZ496" s="51"/>
      <c r="DA496" s="51"/>
      <c r="DB496" s="51"/>
      <c r="DC496" s="51"/>
      <c r="DD496" s="51"/>
      <c r="DE496" s="51"/>
      <c r="DF496" s="51"/>
      <c r="DG496" s="51"/>
      <c r="DH496" s="10"/>
    </row>
    <row r="497" spans="1:112" s="7" customFormat="1">
      <c r="A497" s="52" t="s">
        <v>587</v>
      </c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I497" s="54"/>
      <c r="CJ497" s="54"/>
      <c r="CK497" s="54"/>
      <c r="CL497" s="54"/>
      <c r="CM497" s="54"/>
      <c r="CN497" s="54"/>
      <c r="CO497" s="54"/>
      <c r="CP497" s="54"/>
      <c r="CQ497" s="54"/>
      <c r="CR497" s="54"/>
      <c r="CS497" s="54"/>
      <c r="CT497" s="54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4"/>
      <c r="DH497" s="10"/>
    </row>
    <row r="498" spans="1:112" s="7" customFormat="1">
      <c r="A498" s="52" t="s">
        <v>559</v>
      </c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  <c r="CD498" s="53"/>
      <c r="CE498" s="53"/>
      <c r="CF498" s="53"/>
      <c r="CG498" s="53"/>
      <c r="CI498" s="53"/>
      <c r="CJ498" s="53"/>
      <c r="CK498" s="53"/>
      <c r="CL498" s="53"/>
      <c r="CM498" s="53"/>
      <c r="CN498" s="53"/>
      <c r="CO498" s="53"/>
      <c r="CP498" s="53"/>
      <c r="CQ498" s="53"/>
      <c r="CR498" s="53"/>
      <c r="CS498" s="53"/>
      <c r="CT498" s="53"/>
      <c r="CU498" s="53"/>
      <c r="CV498" s="53"/>
      <c r="CW498" s="53"/>
      <c r="CX498" s="53"/>
      <c r="CY498" s="53"/>
      <c r="CZ498" s="53"/>
      <c r="DA498" s="53"/>
      <c r="DB498" s="53"/>
      <c r="DC498" s="53"/>
      <c r="DD498" s="53"/>
      <c r="DE498" s="53"/>
      <c r="DF498" s="53"/>
      <c r="DG498" s="53"/>
      <c r="DH498" s="10"/>
    </row>
    <row r="499" spans="1:112" s="7" customFormat="1">
      <c r="A499" s="52" t="s">
        <v>17</v>
      </c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I499" s="54"/>
      <c r="CJ499" s="54"/>
      <c r="CK499" s="54"/>
      <c r="CL499" s="54"/>
      <c r="CM499" s="54"/>
      <c r="CN499" s="54"/>
      <c r="CO499" s="54"/>
      <c r="CP499" s="54"/>
      <c r="CQ499" s="54"/>
      <c r="CR499" s="54"/>
      <c r="CS499" s="54"/>
      <c r="CT499" s="54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10"/>
    </row>
    <row r="500" spans="1:112" s="7" customFormat="1">
      <c r="A500" s="50" t="s">
        <v>588</v>
      </c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56"/>
      <c r="BT500" s="56"/>
      <c r="BU500" s="56"/>
      <c r="BV500" s="56"/>
      <c r="BW500" s="56"/>
      <c r="BX500" s="56"/>
      <c r="BY500" s="56"/>
      <c r="BZ500" s="56"/>
      <c r="CA500" s="56"/>
      <c r="CB500" s="56"/>
      <c r="CC500" s="56"/>
      <c r="CD500" s="56"/>
      <c r="CE500" s="56"/>
      <c r="CF500" s="56"/>
      <c r="CG500" s="56"/>
      <c r="CI500" s="56"/>
      <c r="CJ500" s="56"/>
      <c r="CK500" s="56"/>
      <c r="CL500" s="56"/>
      <c r="CM500" s="56"/>
      <c r="CN500" s="56"/>
      <c r="CO500" s="56"/>
      <c r="CP500" s="56"/>
      <c r="CQ500" s="56"/>
      <c r="CR500" s="56"/>
      <c r="CS500" s="56"/>
      <c r="CT500" s="56"/>
      <c r="CU500" s="56"/>
      <c r="CV500" s="56"/>
      <c r="CW500" s="56"/>
      <c r="CX500" s="56"/>
      <c r="CY500" s="56"/>
      <c r="CZ500" s="56"/>
      <c r="DA500" s="56"/>
      <c r="DB500" s="56"/>
      <c r="DC500" s="56"/>
      <c r="DD500" s="56"/>
      <c r="DE500" s="56"/>
      <c r="DF500" s="56"/>
      <c r="DG500" s="56"/>
      <c r="DH500" s="10"/>
    </row>
    <row r="501" spans="1:112" s="7" customFormat="1">
      <c r="A501" s="52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10"/>
    </row>
    <row r="502" spans="1:112" s="7" customFormat="1" ht="15">
      <c r="A502" s="49" t="s">
        <v>589</v>
      </c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10"/>
    </row>
    <row r="503" spans="1:112" s="7" customFormat="1">
      <c r="A503" s="55" t="s">
        <v>564</v>
      </c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10"/>
    </row>
    <row r="504" spans="1:112" s="7" customFormat="1">
      <c r="A504" s="50" t="s">
        <v>565</v>
      </c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  <c r="CC504" s="51"/>
      <c r="CD504" s="51"/>
      <c r="CE504" s="51"/>
      <c r="CF504" s="51"/>
      <c r="CG504" s="51"/>
      <c r="CI504" s="51"/>
      <c r="CJ504" s="51"/>
      <c r="CK504" s="51"/>
      <c r="CL504" s="51"/>
      <c r="CM504" s="51"/>
      <c r="CN504" s="51"/>
      <c r="CO504" s="51"/>
      <c r="CP504" s="51"/>
      <c r="CQ504" s="51"/>
      <c r="CR504" s="51"/>
      <c r="CS504" s="51"/>
      <c r="CT504" s="51"/>
      <c r="CU504" s="51"/>
      <c r="CV504" s="51"/>
      <c r="CW504" s="51"/>
      <c r="CX504" s="51"/>
      <c r="CY504" s="51"/>
      <c r="CZ504" s="51"/>
      <c r="DA504" s="51"/>
      <c r="DB504" s="51"/>
      <c r="DC504" s="51"/>
      <c r="DD504" s="51"/>
      <c r="DE504" s="51"/>
      <c r="DF504" s="51"/>
      <c r="DG504" s="51"/>
      <c r="DH504" s="10"/>
    </row>
    <row r="505" spans="1:112" s="7" customFormat="1">
      <c r="A505" s="50" t="s">
        <v>566</v>
      </c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  <c r="CC505" s="51"/>
      <c r="CD505" s="51"/>
      <c r="CE505" s="51"/>
      <c r="CF505" s="51"/>
      <c r="CG505" s="51"/>
      <c r="CI505" s="51"/>
      <c r="CJ505" s="51"/>
      <c r="CK505" s="51"/>
      <c r="CL505" s="51"/>
      <c r="CM505" s="51"/>
      <c r="CN505" s="51"/>
      <c r="CO505" s="51"/>
      <c r="CP505" s="51"/>
      <c r="CQ505" s="51"/>
      <c r="CR505" s="51"/>
      <c r="CS505" s="51"/>
      <c r="CT505" s="51"/>
      <c r="CU505" s="51"/>
      <c r="CV505" s="51"/>
      <c r="CW505" s="51"/>
      <c r="CX505" s="51"/>
      <c r="CY505" s="51"/>
      <c r="CZ505" s="51"/>
      <c r="DA505" s="51"/>
      <c r="DB505" s="51"/>
      <c r="DC505" s="51"/>
      <c r="DD505" s="51"/>
      <c r="DE505" s="51"/>
      <c r="DF505" s="51"/>
      <c r="DG505" s="51"/>
      <c r="DH505" s="10"/>
    </row>
    <row r="506" spans="1:112" s="7" customFormat="1">
      <c r="A506" s="50" t="s">
        <v>567</v>
      </c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  <c r="CC506" s="51"/>
      <c r="CD506" s="51"/>
      <c r="CE506" s="51"/>
      <c r="CF506" s="51"/>
      <c r="CG506" s="51"/>
      <c r="CI506" s="51"/>
      <c r="CJ506" s="51"/>
      <c r="CK506" s="51"/>
      <c r="CL506" s="51"/>
      <c r="CM506" s="51"/>
      <c r="CN506" s="51"/>
      <c r="CO506" s="51"/>
      <c r="CP506" s="51"/>
      <c r="CQ506" s="51"/>
      <c r="CR506" s="51"/>
      <c r="CS506" s="51"/>
      <c r="CT506" s="51"/>
      <c r="CU506" s="51"/>
      <c r="CV506" s="51"/>
      <c r="CW506" s="51"/>
      <c r="CX506" s="51"/>
      <c r="CY506" s="51"/>
      <c r="CZ506" s="51"/>
      <c r="DA506" s="51"/>
      <c r="DB506" s="51"/>
      <c r="DC506" s="51"/>
      <c r="DD506" s="51"/>
      <c r="DE506" s="51"/>
      <c r="DF506" s="51"/>
      <c r="DG506" s="51"/>
      <c r="DH506" s="10"/>
    </row>
    <row r="507" spans="1:112" s="7" customFormat="1">
      <c r="A507" s="50" t="s">
        <v>568</v>
      </c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  <c r="CC507" s="51"/>
      <c r="CD507" s="51"/>
      <c r="CE507" s="51"/>
      <c r="CF507" s="51"/>
      <c r="CG507" s="51"/>
      <c r="CI507" s="51"/>
      <c r="CJ507" s="51"/>
      <c r="CK507" s="51"/>
      <c r="CL507" s="51"/>
      <c r="CM507" s="51"/>
      <c r="CN507" s="51"/>
      <c r="CO507" s="51"/>
      <c r="CP507" s="51"/>
      <c r="CQ507" s="51"/>
      <c r="CR507" s="51"/>
      <c r="CS507" s="51"/>
      <c r="CT507" s="51"/>
      <c r="CU507" s="51"/>
      <c r="CV507" s="51"/>
      <c r="CW507" s="51"/>
      <c r="CX507" s="51"/>
      <c r="CY507" s="51"/>
      <c r="CZ507" s="51"/>
      <c r="DA507" s="51"/>
      <c r="DB507" s="51"/>
      <c r="DC507" s="51"/>
      <c r="DD507" s="51"/>
      <c r="DE507" s="51"/>
      <c r="DF507" s="51"/>
      <c r="DG507" s="51"/>
      <c r="DH507" s="10"/>
    </row>
    <row r="508" spans="1:112" s="7" customFormat="1">
      <c r="A508" s="52" t="s">
        <v>569</v>
      </c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54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10"/>
    </row>
    <row r="509" spans="1:112" s="7" customFormat="1">
      <c r="A509" s="55" t="s">
        <v>570</v>
      </c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10"/>
    </row>
    <row r="510" spans="1:112" s="7" customFormat="1">
      <c r="A510" s="50" t="s">
        <v>571</v>
      </c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  <c r="CC510" s="51"/>
      <c r="CD510" s="51"/>
      <c r="CE510" s="51"/>
      <c r="CF510" s="51"/>
      <c r="CG510" s="51"/>
      <c r="CI510" s="51"/>
      <c r="CJ510" s="51"/>
      <c r="CK510" s="51"/>
      <c r="CL510" s="51"/>
      <c r="CM510" s="51"/>
      <c r="CN510" s="51"/>
      <c r="CO510" s="51"/>
      <c r="CP510" s="51"/>
      <c r="CQ510" s="51"/>
      <c r="CR510" s="51"/>
      <c r="CS510" s="51"/>
      <c r="CT510" s="51"/>
      <c r="CU510" s="51"/>
      <c r="CV510" s="51"/>
      <c r="CW510" s="51"/>
      <c r="CX510" s="51"/>
      <c r="CY510" s="51"/>
      <c r="CZ510" s="51"/>
      <c r="DA510" s="51"/>
      <c r="DB510" s="51"/>
      <c r="DC510" s="51"/>
      <c r="DD510" s="51"/>
      <c r="DE510" s="51"/>
      <c r="DF510" s="51"/>
      <c r="DG510" s="51"/>
      <c r="DH510" s="10"/>
    </row>
    <row r="511" spans="1:112" s="7" customFormat="1">
      <c r="A511" s="50" t="s">
        <v>572</v>
      </c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  <c r="CC511" s="51"/>
      <c r="CD511" s="51"/>
      <c r="CE511" s="51"/>
      <c r="CF511" s="51"/>
      <c r="CG511" s="51"/>
      <c r="CI511" s="51"/>
      <c r="CJ511" s="51"/>
      <c r="CK511" s="51"/>
      <c r="CL511" s="51"/>
      <c r="CM511" s="51"/>
      <c r="CN511" s="51"/>
      <c r="CO511" s="51"/>
      <c r="CP511" s="51"/>
      <c r="CQ511" s="51"/>
      <c r="CR511" s="51"/>
      <c r="CS511" s="51"/>
      <c r="CT511" s="51"/>
      <c r="CU511" s="51"/>
      <c r="CV511" s="51"/>
      <c r="CW511" s="51"/>
      <c r="CX511" s="51"/>
      <c r="CY511" s="51"/>
      <c r="CZ511" s="51"/>
      <c r="DA511" s="51"/>
      <c r="DB511" s="51"/>
      <c r="DC511" s="51"/>
      <c r="DD511" s="51"/>
      <c r="DE511" s="51"/>
      <c r="DF511" s="51"/>
      <c r="DG511" s="51"/>
      <c r="DH511" s="10"/>
    </row>
    <row r="512" spans="1:112" s="7" customFormat="1">
      <c r="A512" s="50" t="s">
        <v>573</v>
      </c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  <c r="CE512" s="51"/>
      <c r="CF512" s="51"/>
      <c r="CG512" s="51"/>
      <c r="CI512" s="51"/>
      <c r="CJ512" s="51"/>
      <c r="CK512" s="51"/>
      <c r="CL512" s="51"/>
      <c r="CM512" s="51"/>
      <c r="CN512" s="51"/>
      <c r="CO512" s="51"/>
      <c r="CP512" s="51"/>
      <c r="CQ512" s="51"/>
      <c r="CR512" s="51"/>
      <c r="CS512" s="51"/>
      <c r="CT512" s="51"/>
      <c r="CU512" s="51"/>
      <c r="CV512" s="51"/>
      <c r="CW512" s="51"/>
      <c r="CX512" s="51"/>
      <c r="CY512" s="51"/>
      <c r="CZ512" s="51"/>
      <c r="DA512" s="51"/>
      <c r="DB512" s="51"/>
      <c r="DC512" s="51"/>
      <c r="DD512" s="51"/>
      <c r="DE512" s="51"/>
      <c r="DF512" s="51"/>
      <c r="DG512" s="51"/>
      <c r="DH512" s="10"/>
    </row>
    <row r="513" spans="1:112" s="7" customFormat="1">
      <c r="A513" s="50" t="s">
        <v>574</v>
      </c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1"/>
      <c r="CA513" s="51"/>
      <c r="CB513" s="51"/>
      <c r="CC513" s="51"/>
      <c r="CD513" s="51"/>
      <c r="CE513" s="51"/>
      <c r="CF513" s="51"/>
      <c r="CG513" s="51"/>
      <c r="CI513" s="51"/>
      <c r="CJ513" s="51"/>
      <c r="CK513" s="51"/>
      <c r="CL513" s="51"/>
      <c r="CM513" s="51"/>
      <c r="CN513" s="51"/>
      <c r="CO513" s="51"/>
      <c r="CP513" s="51"/>
      <c r="CQ513" s="51"/>
      <c r="CR513" s="51"/>
      <c r="CS513" s="51"/>
      <c r="CT513" s="51"/>
      <c r="CU513" s="51"/>
      <c r="CV513" s="51"/>
      <c r="CW513" s="51"/>
      <c r="CX513" s="51"/>
      <c r="CY513" s="51"/>
      <c r="CZ513" s="51"/>
      <c r="DA513" s="51"/>
      <c r="DB513" s="51"/>
      <c r="DC513" s="51"/>
      <c r="DD513" s="51"/>
      <c r="DE513" s="51"/>
      <c r="DF513" s="51"/>
      <c r="DG513" s="51"/>
      <c r="DH513" s="10"/>
    </row>
    <row r="514" spans="1:112" s="7" customFormat="1">
      <c r="A514" s="52" t="s">
        <v>575</v>
      </c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54"/>
      <c r="BS514" s="54"/>
      <c r="BT514" s="54"/>
      <c r="BU514" s="54"/>
      <c r="BV514" s="54"/>
      <c r="BW514" s="54"/>
      <c r="BX514" s="54"/>
      <c r="BY514" s="54"/>
      <c r="BZ514" s="54"/>
      <c r="CA514" s="54"/>
      <c r="CB514" s="54"/>
      <c r="CC514" s="54"/>
      <c r="CD514" s="54"/>
      <c r="CE514" s="54"/>
      <c r="CF514" s="54"/>
      <c r="CG514" s="54"/>
      <c r="CI514" s="54"/>
      <c r="CJ514" s="54"/>
      <c r="CK514" s="54"/>
      <c r="CL514" s="54"/>
      <c r="CM514" s="54"/>
      <c r="CN514" s="54"/>
      <c r="CO514" s="54"/>
      <c r="CP514" s="54"/>
      <c r="CQ514" s="54"/>
      <c r="CR514" s="54"/>
      <c r="CS514" s="54"/>
      <c r="CT514" s="54"/>
      <c r="CU514" s="54"/>
      <c r="CV514" s="54"/>
      <c r="CW514" s="54"/>
      <c r="CX514" s="54"/>
      <c r="CY514" s="54"/>
      <c r="CZ514" s="54"/>
      <c r="DA514" s="54"/>
      <c r="DB514" s="54"/>
      <c r="DC514" s="54"/>
      <c r="DD514" s="54"/>
      <c r="DE514" s="54"/>
      <c r="DF514" s="54"/>
      <c r="DG514" s="54"/>
      <c r="DH514" s="10"/>
    </row>
    <row r="515" spans="1:112" s="7" customFormat="1">
      <c r="A515" s="55" t="s">
        <v>576</v>
      </c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10"/>
    </row>
    <row r="516" spans="1:112" s="7" customFormat="1">
      <c r="A516" s="50" t="s">
        <v>577</v>
      </c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  <c r="CC516" s="51"/>
      <c r="CD516" s="51"/>
      <c r="CE516" s="51"/>
      <c r="CF516" s="51"/>
      <c r="CG516" s="51"/>
      <c r="CI516" s="51"/>
      <c r="CJ516" s="51"/>
      <c r="CK516" s="51"/>
      <c r="CL516" s="51"/>
      <c r="CM516" s="51"/>
      <c r="CN516" s="51"/>
      <c r="CO516" s="51"/>
      <c r="CP516" s="51"/>
      <c r="CQ516" s="51"/>
      <c r="CR516" s="51"/>
      <c r="CS516" s="51"/>
      <c r="CT516" s="51"/>
      <c r="CU516" s="51"/>
      <c r="CV516" s="51"/>
      <c r="CW516" s="51"/>
      <c r="CX516" s="51"/>
      <c r="CY516" s="51"/>
      <c r="CZ516" s="51"/>
      <c r="DA516" s="51"/>
      <c r="DB516" s="51"/>
      <c r="DC516" s="51"/>
      <c r="DD516" s="51"/>
      <c r="DE516" s="51"/>
      <c r="DF516" s="51"/>
      <c r="DG516" s="51"/>
      <c r="DH516" s="10"/>
    </row>
    <row r="517" spans="1:112" s="7" customFormat="1">
      <c r="A517" s="50" t="s">
        <v>578</v>
      </c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  <c r="CC517" s="51"/>
      <c r="CD517" s="51"/>
      <c r="CE517" s="51"/>
      <c r="CF517" s="51"/>
      <c r="CG517" s="51"/>
      <c r="CI517" s="51"/>
      <c r="CJ517" s="51"/>
      <c r="CK517" s="51"/>
      <c r="CL517" s="51"/>
      <c r="CM517" s="51"/>
      <c r="CN517" s="51"/>
      <c r="CO517" s="51"/>
      <c r="CP517" s="51"/>
      <c r="CQ517" s="51"/>
      <c r="CR517" s="51"/>
      <c r="CS517" s="51"/>
      <c r="CT517" s="51"/>
      <c r="CU517" s="51"/>
      <c r="CV517" s="51"/>
      <c r="CW517" s="51"/>
      <c r="CX517" s="51"/>
      <c r="CY517" s="51"/>
      <c r="CZ517" s="51"/>
      <c r="DA517" s="51"/>
      <c r="DB517" s="51"/>
      <c r="DC517" s="51"/>
      <c r="DD517" s="51"/>
      <c r="DE517" s="51"/>
      <c r="DF517" s="51"/>
      <c r="DG517" s="51"/>
      <c r="DH517" s="10"/>
    </row>
    <row r="518" spans="1:112" s="7" customFormat="1">
      <c r="A518" s="50" t="s">
        <v>579</v>
      </c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1"/>
      <c r="CA518" s="51"/>
      <c r="CB518" s="51"/>
      <c r="CC518" s="51"/>
      <c r="CD518" s="51"/>
      <c r="CE518" s="51"/>
      <c r="CF518" s="51"/>
      <c r="CG518" s="51"/>
      <c r="CI518" s="51"/>
      <c r="CJ518" s="51"/>
      <c r="CK518" s="51"/>
      <c r="CL518" s="51"/>
      <c r="CM518" s="51"/>
      <c r="CN518" s="51"/>
      <c r="CO518" s="51"/>
      <c r="CP518" s="51"/>
      <c r="CQ518" s="51"/>
      <c r="CR518" s="51"/>
      <c r="CS518" s="51"/>
      <c r="CT518" s="51"/>
      <c r="CU518" s="51"/>
      <c r="CV518" s="51"/>
      <c r="CW518" s="51"/>
      <c r="CX518" s="51"/>
      <c r="CY518" s="51"/>
      <c r="CZ518" s="51"/>
      <c r="DA518" s="51"/>
      <c r="DB518" s="51"/>
      <c r="DC518" s="51"/>
      <c r="DD518" s="51"/>
      <c r="DE518" s="51"/>
      <c r="DF518" s="51"/>
      <c r="DG518" s="51"/>
      <c r="DH518" s="10"/>
    </row>
    <row r="519" spans="1:112" s="7" customFormat="1">
      <c r="A519" s="50" t="s">
        <v>580</v>
      </c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51"/>
      <c r="BX519" s="51"/>
      <c r="BY519" s="51"/>
      <c r="BZ519" s="51"/>
      <c r="CA519" s="51"/>
      <c r="CB519" s="51"/>
      <c r="CC519" s="51"/>
      <c r="CD519" s="51"/>
      <c r="CE519" s="51"/>
      <c r="CF519" s="51"/>
      <c r="CG519" s="51"/>
      <c r="CI519" s="51"/>
      <c r="CJ519" s="51"/>
      <c r="CK519" s="51"/>
      <c r="CL519" s="51"/>
      <c r="CM519" s="51"/>
      <c r="CN519" s="51"/>
      <c r="CO519" s="51"/>
      <c r="CP519" s="51"/>
      <c r="CQ519" s="51"/>
      <c r="CR519" s="51"/>
      <c r="CS519" s="51"/>
      <c r="CT519" s="51"/>
      <c r="CU519" s="51"/>
      <c r="CV519" s="51"/>
      <c r="CW519" s="51"/>
      <c r="CX519" s="51"/>
      <c r="CY519" s="51"/>
      <c r="CZ519" s="51"/>
      <c r="DA519" s="51"/>
      <c r="DB519" s="51"/>
      <c r="DC519" s="51"/>
      <c r="DD519" s="51"/>
      <c r="DE519" s="51"/>
      <c r="DF519" s="51"/>
      <c r="DG519" s="51"/>
      <c r="DH519" s="10"/>
    </row>
    <row r="520" spans="1:112" s="7" customFormat="1">
      <c r="A520" s="52" t="s">
        <v>581</v>
      </c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54"/>
      <c r="BS520" s="54"/>
      <c r="BT520" s="54"/>
      <c r="BU520" s="54"/>
      <c r="BV520" s="54"/>
      <c r="BW520" s="54"/>
      <c r="BX520" s="54"/>
      <c r="BY520" s="54"/>
      <c r="BZ520" s="54"/>
      <c r="CA520" s="54"/>
      <c r="CB520" s="54"/>
      <c r="CC520" s="54"/>
      <c r="CD520" s="54"/>
      <c r="CE520" s="54"/>
      <c r="CF520" s="54"/>
      <c r="CG520" s="54"/>
      <c r="CI520" s="54"/>
      <c r="CJ520" s="54"/>
      <c r="CK520" s="54"/>
      <c r="CL520" s="54"/>
      <c r="CM520" s="54"/>
      <c r="CN520" s="54"/>
      <c r="CO520" s="54"/>
      <c r="CP520" s="54"/>
      <c r="CQ520" s="54"/>
      <c r="CR520" s="54"/>
      <c r="CS520" s="54"/>
      <c r="CT520" s="54"/>
      <c r="CU520" s="54"/>
      <c r="CV520" s="54"/>
      <c r="CW520" s="54"/>
      <c r="CX520" s="54"/>
      <c r="CY520" s="54"/>
      <c r="CZ520" s="54"/>
      <c r="DA520" s="54"/>
      <c r="DB520" s="54"/>
      <c r="DC520" s="54"/>
      <c r="DD520" s="54"/>
      <c r="DE520" s="54"/>
      <c r="DF520" s="54"/>
      <c r="DG520" s="54"/>
      <c r="DH520" s="10"/>
    </row>
    <row r="521" spans="1:112" s="7" customFormat="1">
      <c r="A521" s="55" t="s">
        <v>582</v>
      </c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10"/>
    </row>
    <row r="522" spans="1:112" s="7" customFormat="1">
      <c r="A522" s="50" t="s">
        <v>583</v>
      </c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1"/>
      <c r="CA522" s="51"/>
      <c r="CB522" s="51"/>
      <c r="CC522" s="51"/>
      <c r="CD522" s="51"/>
      <c r="CE522" s="51"/>
      <c r="CF522" s="51"/>
      <c r="CG522" s="51"/>
      <c r="CI522" s="51"/>
      <c r="CJ522" s="51"/>
      <c r="CK522" s="51"/>
      <c r="CL522" s="51"/>
      <c r="CM522" s="51"/>
      <c r="CN522" s="51"/>
      <c r="CO522" s="51"/>
      <c r="CP522" s="51"/>
      <c r="CQ522" s="51"/>
      <c r="CR522" s="51"/>
      <c r="CS522" s="51"/>
      <c r="CT522" s="51"/>
      <c r="CU522" s="51"/>
      <c r="CV522" s="51"/>
      <c r="CW522" s="51"/>
      <c r="CX522" s="51"/>
      <c r="CY522" s="51"/>
      <c r="CZ522" s="51"/>
      <c r="DA522" s="51"/>
      <c r="DB522" s="51"/>
      <c r="DC522" s="51"/>
      <c r="DD522" s="51"/>
      <c r="DE522" s="51"/>
      <c r="DF522" s="51"/>
      <c r="DG522" s="51"/>
      <c r="DH522" s="10"/>
    </row>
    <row r="523" spans="1:112" s="7" customFormat="1">
      <c r="A523" s="50" t="s">
        <v>584</v>
      </c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  <c r="CC523" s="51"/>
      <c r="CD523" s="51"/>
      <c r="CE523" s="51"/>
      <c r="CF523" s="51"/>
      <c r="CG523" s="51"/>
      <c r="CI523" s="51"/>
      <c r="CJ523" s="51"/>
      <c r="CK523" s="51"/>
      <c r="CL523" s="51"/>
      <c r="CM523" s="51"/>
      <c r="CN523" s="51"/>
      <c r="CO523" s="51"/>
      <c r="CP523" s="51"/>
      <c r="CQ523" s="51"/>
      <c r="CR523" s="51"/>
      <c r="CS523" s="51"/>
      <c r="CT523" s="51"/>
      <c r="CU523" s="51"/>
      <c r="CV523" s="51"/>
      <c r="CW523" s="51"/>
      <c r="CX523" s="51"/>
      <c r="CY523" s="51"/>
      <c r="CZ523" s="51"/>
      <c r="DA523" s="51"/>
      <c r="DB523" s="51"/>
      <c r="DC523" s="51"/>
      <c r="DD523" s="51"/>
      <c r="DE523" s="51"/>
      <c r="DF523" s="51"/>
      <c r="DG523" s="51"/>
      <c r="DH523" s="10"/>
    </row>
    <row r="524" spans="1:112" s="7" customFormat="1">
      <c r="A524" s="50" t="s">
        <v>585</v>
      </c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1"/>
      <c r="CA524" s="51"/>
      <c r="CB524" s="51"/>
      <c r="CC524" s="51"/>
      <c r="CD524" s="51"/>
      <c r="CE524" s="51"/>
      <c r="CF524" s="51"/>
      <c r="CG524" s="51"/>
      <c r="CI524" s="51"/>
      <c r="CJ524" s="51"/>
      <c r="CK524" s="51"/>
      <c r="CL524" s="51"/>
      <c r="CM524" s="51"/>
      <c r="CN524" s="51"/>
      <c r="CO524" s="51"/>
      <c r="CP524" s="51"/>
      <c r="CQ524" s="51"/>
      <c r="CR524" s="51"/>
      <c r="CS524" s="51"/>
      <c r="CT524" s="51"/>
      <c r="CU524" s="51"/>
      <c r="CV524" s="51"/>
      <c r="CW524" s="51"/>
      <c r="CX524" s="51"/>
      <c r="CY524" s="51"/>
      <c r="CZ524" s="51"/>
      <c r="DA524" s="51"/>
      <c r="DB524" s="51"/>
      <c r="DC524" s="51"/>
      <c r="DD524" s="51"/>
      <c r="DE524" s="51"/>
      <c r="DF524" s="51"/>
      <c r="DG524" s="51"/>
      <c r="DH524" s="10"/>
    </row>
    <row r="525" spans="1:112" s="7" customFormat="1">
      <c r="A525" s="50" t="s">
        <v>586</v>
      </c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  <c r="CC525" s="51"/>
      <c r="CD525" s="51"/>
      <c r="CE525" s="51"/>
      <c r="CF525" s="51"/>
      <c r="CG525" s="51"/>
      <c r="CI525" s="51"/>
      <c r="CJ525" s="51"/>
      <c r="CK525" s="51"/>
      <c r="CL525" s="51"/>
      <c r="CM525" s="51"/>
      <c r="CN525" s="51"/>
      <c r="CO525" s="51"/>
      <c r="CP525" s="51"/>
      <c r="CQ525" s="51"/>
      <c r="CR525" s="51"/>
      <c r="CS525" s="51"/>
      <c r="CT525" s="51"/>
      <c r="CU525" s="51"/>
      <c r="CV525" s="51"/>
      <c r="CW525" s="51"/>
      <c r="CX525" s="51"/>
      <c r="CY525" s="51"/>
      <c r="CZ525" s="51"/>
      <c r="DA525" s="51"/>
      <c r="DB525" s="51"/>
      <c r="DC525" s="51"/>
      <c r="DD525" s="51"/>
      <c r="DE525" s="51"/>
      <c r="DF525" s="51"/>
      <c r="DG525" s="51"/>
      <c r="DH525" s="10"/>
    </row>
    <row r="526" spans="1:112" s="7" customFormat="1">
      <c r="A526" s="52" t="s">
        <v>587</v>
      </c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54"/>
      <c r="BR526" s="54"/>
      <c r="BS526" s="54"/>
      <c r="BT526" s="54"/>
      <c r="BU526" s="54"/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I526" s="54"/>
      <c r="CJ526" s="54"/>
      <c r="CK526" s="54"/>
      <c r="CL526" s="54"/>
      <c r="CM526" s="54"/>
      <c r="CN526" s="54"/>
      <c r="CO526" s="54"/>
      <c r="CP526" s="54"/>
      <c r="CQ526" s="54"/>
      <c r="CR526" s="54"/>
      <c r="CS526" s="54"/>
      <c r="CT526" s="54"/>
      <c r="CU526" s="54"/>
      <c r="CV526" s="54"/>
      <c r="CW526" s="54"/>
      <c r="CX526" s="54"/>
      <c r="CY526" s="54"/>
      <c r="CZ526" s="54"/>
      <c r="DA526" s="54"/>
      <c r="DB526" s="54"/>
      <c r="DC526" s="54"/>
      <c r="DD526" s="54"/>
      <c r="DE526" s="54"/>
      <c r="DF526" s="54"/>
      <c r="DG526" s="54"/>
      <c r="DH526" s="10"/>
    </row>
    <row r="527" spans="1:112" s="7" customFormat="1">
      <c r="A527" s="52" t="s">
        <v>559</v>
      </c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  <c r="CD527" s="53"/>
      <c r="CE527" s="53"/>
      <c r="CF527" s="53"/>
      <c r="CG527" s="53"/>
      <c r="CI527" s="53"/>
      <c r="CJ527" s="53"/>
      <c r="CK527" s="53"/>
      <c r="CL527" s="53"/>
      <c r="CM527" s="53"/>
      <c r="CN527" s="53"/>
      <c r="CO527" s="53"/>
      <c r="CP527" s="53"/>
      <c r="CQ527" s="53"/>
      <c r="CR527" s="53"/>
      <c r="CS527" s="53"/>
      <c r="CT527" s="53"/>
      <c r="CU527" s="53"/>
      <c r="CV527" s="53"/>
      <c r="CW527" s="53"/>
      <c r="CX527" s="53"/>
      <c r="CY527" s="53"/>
      <c r="CZ527" s="53"/>
      <c r="DA527" s="53"/>
      <c r="DB527" s="53"/>
      <c r="DC527" s="53"/>
      <c r="DD527" s="53"/>
      <c r="DE527" s="53"/>
      <c r="DF527" s="53"/>
      <c r="DG527" s="53"/>
      <c r="DH527" s="10"/>
    </row>
    <row r="528" spans="1:112" s="7" customFormat="1">
      <c r="A528" s="52" t="s">
        <v>17</v>
      </c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  <c r="BR528" s="54"/>
      <c r="BS528" s="54"/>
      <c r="BT528" s="54"/>
      <c r="BU528" s="54"/>
      <c r="BV528" s="54"/>
      <c r="BW528" s="54"/>
      <c r="BX528" s="54"/>
      <c r="BY528" s="54"/>
      <c r="BZ528" s="54"/>
      <c r="CA528" s="54"/>
      <c r="CB528" s="54"/>
      <c r="CC528" s="54"/>
      <c r="CD528" s="54"/>
      <c r="CE528" s="54"/>
      <c r="CF528" s="54"/>
      <c r="CG528" s="54"/>
      <c r="CI528" s="54"/>
      <c r="CJ528" s="54"/>
      <c r="CK528" s="54"/>
      <c r="CL528" s="54"/>
      <c r="CM528" s="54"/>
      <c r="CN528" s="54"/>
      <c r="CO528" s="54"/>
      <c r="CP528" s="54"/>
      <c r="CQ528" s="54"/>
      <c r="CR528" s="54"/>
      <c r="CS528" s="54"/>
      <c r="CT528" s="54"/>
      <c r="CU528" s="54"/>
      <c r="CV528" s="54"/>
      <c r="CW528" s="54"/>
      <c r="CX528" s="54"/>
      <c r="CY528" s="54"/>
      <c r="CZ528" s="54"/>
      <c r="DA528" s="54"/>
      <c r="DB528" s="54"/>
      <c r="DC528" s="54"/>
      <c r="DD528" s="54"/>
      <c r="DE528" s="54"/>
      <c r="DF528" s="54"/>
      <c r="DG528" s="54"/>
      <c r="DH528" s="10"/>
    </row>
    <row r="529" spans="1:112" s="7" customFormat="1" ht="13.5" thickBot="1">
      <c r="A529" s="50" t="s">
        <v>590</v>
      </c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  <c r="BV529" s="56"/>
      <c r="BW529" s="56"/>
      <c r="BX529" s="56"/>
      <c r="BY529" s="56"/>
      <c r="BZ529" s="56"/>
      <c r="CA529" s="56"/>
      <c r="CB529" s="56"/>
      <c r="CC529" s="56"/>
      <c r="CD529" s="56"/>
      <c r="CE529" s="56"/>
      <c r="CF529" s="56"/>
      <c r="CG529" s="56"/>
      <c r="CI529" s="56"/>
      <c r="CJ529" s="56"/>
      <c r="CK529" s="56"/>
      <c r="CL529" s="56"/>
      <c r="CM529" s="56"/>
      <c r="CN529" s="56"/>
      <c r="CO529" s="56"/>
      <c r="CP529" s="56"/>
      <c r="CQ529" s="56"/>
      <c r="CR529" s="56"/>
      <c r="CS529" s="56"/>
      <c r="CT529" s="56"/>
      <c r="CU529" s="56"/>
      <c r="CV529" s="56"/>
      <c r="CW529" s="56"/>
      <c r="CX529" s="56"/>
      <c r="CY529" s="56"/>
      <c r="CZ529" s="56"/>
      <c r="DA529" s="56"/>
      <c r="DB529" s="56"/>
      <c r="DC529" s="56"/>
      <c r="DD529" s="56"/>
      <c r="DE529" s="56"/>
      <c r="DF529" s="56"/>
      <c r="DG529" s="56"/>
      <c r="DH529" s="10"/>
    </row>
    <row r="530" spans="1:112" s="7" customFormat="1" ht="15.75">
      <c r="A530" s="44" t="s">
        <v>591</v>
      </c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6"/>
      <c r="BR530" s="46"/>
      <c r="BS530" s="46"/>
      <c r="BT530" s="46"/>
      <c r="BU530" s="46"/>
      <c r="BV530" s="46"/>
      <c r="BW530" s="46"/>
      <c r="BX530" s="46"/>
      <c r="BY530" s="45"/>
      <c r="BZ530" s="45"/>
      <c r="CA530" s="45"/>
      <c r="CB530" s="45"/>
      <c r="CC530" s="45"/>
      <c r="CD530" s="45"/>
      <c r="CE530" s="45"/>
      <c r="CF530" s="45"/>
      <c r="CG530" s="45"/>
      <c r="CI530" s="45"/>
      <c r="CJ530" s="45"/>
      <c r="CK530" s="45"/>
      <c r="CL530" s="45"/>
      <c r="CM530" s="45"/>
      <c r="CN530" s="45"/>
      <c r="CO530" s="45"/>
      <c r="CP530" s="45"/>
      <c r="CQ530" s="45"/>
      <c r="CR530" s="45"/>
      <c r="CS530" s="45"/>
      <c r="CT530" s="45"/>
      <c r="CU530" s="45"/>
      <c r="CV530" s="45"/>
      <c r="CW530" s="45"/>
      <c r="CX530" s="45"/>
      <c r="CY530" s="45"/>
      <c r="CZ530" s="45"/>
      <c r="DA530" s="45"/>
      <c r="DB530" s="45"/>
      <c r="DC530" s="45"/>
      <c r="DD530" s="45"/>
      <c r="DE530" s="45"/>
      <c r="DF530" s="45"/>
      <c r="DG530" s="45"/>
      <c r="DH530" s="10"/>
    </row>
    <row r="531" spans="1:112" s="7" customFormat="1" ht="15.75">
      <c r="A531" s="47" t="s">
        <v>592</v>
      </c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  <c r="CE531" s="48"/>
      <c r="CF531" s="48"/>
      <c r="CG531" s="48"/>
      <c r="CI531" s="48"/>
      <c r="CJ531" s="48"/>
      <c r="CK531" s="48"/>
      <c r="CL531" s="48"/>
      <c r="CM531" s="48"/>
      <c r="CN531" s="48"/>
      <c r="CO531" s="48"/>
      <c r="CP531" s="48"/>
      <c r="CQ531" s="48"/>
      <c r="CR531" s="48"/>
      <c r="CS531" s="48"/>
      <c r="CT531" s="48"/>
      <c r="CU531" s="48"/>
      <c r="CV531" s="48"/>
      <c r="CW531" s="48"/>
      <c r="CX531" s="48"/>
      <c r="CY531" s="48"/>
      <c r="CZ531" s="48"/>
      <c r="DA531" s="48"/>
      <c r="DB531" s="48"/>
      <c r="DC531" s="48"/>
      <c r="DD531" s="48"/>
      <c r="DE531" s="48"/>
      <c r="DF531" s="48"/>
      <c r="DG531" s="48"/>
      <c r="DH531" s="10"/>
    </row>
    <row r="532" spans="1:112" s="7" customFormat="1">
      <c r="A532" s="52" t="s">
        <v>593</v>
      </c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  <c r="CD532" s="53"/>
      <c r="CE532" s="53"/>
      <c r="CF532" s="53"/>
      <c r="CG532" s="53"/>
      <c r="CI532" s="53"/>
      <c r="CJ532" s="53"/>
      <c r="CK532" s="53"/>
      <c r="CL532" s="53"/>
      <c r="CM532" s="53"/>
      <c r="CN532" s="53"/>
      <c r="CO532" s="53"/>
      <c r="CP532" s="53"/>
      <c r="CQ532" s="53"/>
      <c r="CR532" s="53"/>
      <c r="CS532" s="53"/>
      <c r="CT532" s="53"/>
      <c r="CU532" s="53"/>
      <c r="CV532" s="53"/>
      <c r="CW532" s="53"/>
      <c r="CX532" s="53"/>
      <c r="CY532" s="53"/>
      <c r="CZ532" s="53"/>
      <c r="DA532" s="53"/>
      <c r="DB532" s="53"/>
      <c r="DC532" s="53"/>
      <c r="DD532" s="53"/>
      <c r="DE532" s="53"/>
      <c r="DF532" s="53"/>
      <c r="DG532" s="53"/>
      <c r="DH532" s="10"/>
    </row>
    <row r="533" spans="1:112" s="7" customFormat="1">
      <c r="A533" s="52" t="s">
        <v>594</v>
      </c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  <c r="CD533" s="53"/>
      <c r="CE533" s="53"/>
      <c r="CF533" s="53"/>
      <c r="CG533" s="53"/>
      <c r="CI533" s="53"/>
      <c r="CJ533" s="53"/>
      <c r="CK533" s="53"/>
      <c r="CL533" s="53"/>
      <c r="CM533" s="53"/>
      <c r="CN533" s="53"/>
      <c r="CO533" s="53"/>
      <c r="CP533" s="53"/>
      <c r="CQ533" s="53"/>
      <c r="CR533" s="53"/>
      <c r="CS533" s="53"/>
      <c r="CT533" s="53"/>
      <c r="CU533" s="53"/>
      <c r="CV533" s="53"/>
      <c r="CW533" s="53"/>
      <c r="CX533" s="53"/>
      <c r="CY533" s="53"/>
      <c r="CZ533" s="53"/>
      <c r="DA533" s="53"/>
      <c r="DB533" s="53"/>
      <c r="DC533" s="53"/>
      <c r="DD533" s="53"/>
      <c r="DE533" s="53"/>
      <c r="DF533" s="53"/>
      <c r="DG533" s="53"/>
      <c r="DH533" s="10"/>
    </row>
    <row r="534" spans="1:112" s="7" customFormat="1">
      <c r="A534" s="52" t="s">
        <v>595</v>
      </c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  <c r="CD534" s="53"/>
      <c r="CE534" s="53"/>
      <c r="CF534" s="53"/>
      <c r="CG534" s="53"/>
      <c r="CI534" s="53"/>
      <c r="CJ534" s="53"/>
      <c r="CK534" s="53"/>
      <c r="CL534" s="53"/>
      <c r="CM534" s="53"/>
      <c r="CN534" s="53"/>
      <c r="CO534" s="53"/>
      <c r="CP534" s="53"/>
      <c r="CQ534" s="53"/>
      <c r="CR534" s="53"/>
      <c r="CS534" s="53"/>
      <c r="CT534" s="53"/>
      <c r="CU534" s="53"/>
      <c r="CV534" s="53"/>
      <c r="CW534" s="53"/>
      <c r="CX534" s="53"/>
      <c r="CY534" s="53"/>
      <c r="CZ534" s="53"/>
      <c r="DA534" s="53"/>
      <c r="DB534" s="53"/>
      <c r="DC534" s="53"/>
      <c r="DD534" s="53"/>
      <c r="DE534" s="53"/>
      <c r="DF534" s="53"/>
      <c r="DG534" s="53"/>
      <c r="DH534" s="10"/>
    </row>
    <row r="535" spans="1:112" s="7" customFormat="1">
      <c r="A535" s="52" t="s">
        <v>3</v>
      </c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10"/>
    </row>
    <row r="536" spans="1:112" s="7" customFormat="1">
      <c r="A536" s="52" t="s">
        <v>596</v>
      </c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  <c r="CD536" s="53"/>
      <c r="CE536" s="53"/>
      <c r="CF536" s="53"/>
      <c r="CG536" s="53"/>
      <c r="CI536" s="53"/>
      <c r="CJ536" s="53"/>
      <c r="CK536" s="53"/>
      <c r="CL536" s="53"/>
      <c r="CM536" s="53"/>
      <c r="CN536" s="53"/>
      <c r="CO536" s="53"/>
      <c r="CP536" s="53"/>
      <c r="CQ536" s="53"/>
      <c r="CR536" s="53"/>
      <c r="CS536" s="53"/>
      <c r="CT536" s="53"/>
      <c r="CU536" s="53"/>
      <c r="CV536" s="53"/>
      <c r="CW536" s="53"/>
      <c r="CX536" s="53"/>
      <c r="CY536" s="53"/>
      <c r="CZ536" s="53"/>
      <c r="DA536" s="53"/>
      <c r="DB536" s="53"/>
      <c r="DC536" s="53"/>
      <c r="DD536" s="53"/>
      <c r="DE536" s="53"/>
      <c r="DF536" s="53"/>
      <c r="DG536" s="53"/>
      <c r="DH536" s="10"/>
    </row>
    <row r="537" spans="1:112" s="7" customFormat="1">
      <c r="A537" s="52" t="s">
        <v>597</v>
      </c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  <c r="CD537" s="53"/>
      <c r="CE537" s="53"/>
      <c r="CF537" s="53"/>
      <c r="CG537" s="53"/>
      <c r="CI537" s="53"/>
      <c r="CJ537" s="53"/>
      <c r="CK537" s="53"/>
      <c r="CL537" s="53"/>
      <c r="CM537" s="53"/>
      <c r="CN537" s="53"/>
      <c r="CO537" s="53"/>
      <c r="CP537" s="53"/>
      <c r="CQ537" s="53"/>
      <c r="CR537" s="53"/>
      <c r="CS537" s="53"/>
      <c r="CT537" s="53"/>
      <c r="CU537" s="53"/>
      <c r="CV537" s="53"/>
      <c r="CW537" s="53"/>
      <c r="CX537" s="53"/>
      <c r="CY537" s="53"/>
      <c r="CZ537" s="53"/>
      <c r="DA537" s="53"/>
      <c r="DB537" s="53"/>
      <c r="DC537" s="53"/>
      <c r="DD537" s="53"/>
      <c r="DE537" s="53"/>
      <c r="DF537" s="53"/>
      <c r="DG537" s="53"/>
      <c r="DH537" s="10"/>
    </row>
    <row r="538" spans="1:112" s="7" customFormat="1">
      <c r="A538" s="52" t="s">
        <v>598</v>
      </c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10"/>
    </row>
    <row r="539" spans="1:112" s="7" customFormat="1">
      <c r="A539" s="52" t="s">
        <v>599</v>
      </c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  <c r="CD539" s="53"/>
      <c r="CE539" s="53"/>
      <c r="CF539" s="53"/>
      <c r="CG539" s="53"/>
      <c r="CI539" s="53"/>
      <c r="CJ539" s="53"/>
      <c r="CK539" s="53"/>
      <c r="CL539" s="53"/>
      <c r="CM539" s="53"/>
      <c r="CN539" s="53"/>
      <c r="CO539" s="53"/>
      <c r="CP539" s="53"/>
      <c r="CQ539" s="53"/>
      <c r="CR539" s="53"/>
      <c r="CS539" s="53"/>
      <c r="CT539" s="53"/>
      <c r="CU539" s="53"/>
      <c r="CV539" s="53"/>
      <c r="CW539" s="53"/>
      <c r="CX539" s="53"/>
      <c r="CY539" s="53"/>
      <c r="CZ539" s="53"/>
      <c r="DA539" s="53"/>
      <c r="DB539" s="53"/>
      <c r="DC539" s="53"/>
      <c r="DD539" s="53"/>
      <c r="DE539" s="53"/>
      <c r="DF539" s="53"/>
      <c r="DG539" s="53"/>
      <c r="DH539" s="10"/>
    </row>
    <row r="540" spans="1:112" s="7" customFormat="1">
      <c r="A540" s="52" t="s">
        <v>99</v>
      </c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  <c r="CD540" s="53"/>
      <c r="CE540" s="53"/>
      <c r="CF540" s="53"/>
      <c r="CG540" s="53"/>
      <c r="CI540" s="53"/>
      <c r="CJ540" s="53"/>
      <c r="CK540" s="53"/>
      <c r="CL540" s="53"/>
      <c r="CM540" s="53"/>
      <c r="CN540" s="53"/>
      <c r="CO540" s="53"/>
      <c r="CP540" s="53"/>
      <c r="CQ540" s="53"/>
      <c r="CR540" s="53"/>
      <c r="CS540" s="53"/>
      <c r="CT540" s="53"/>
      <c r="CU540" s="53"/>
      <c r="CV540" s="53"/>
      <c r="CW540" s="53"/>
      <c r="CX540" s="53"/>
      <c r="CY540" s="53"/>
      <c r="CZ540" s="53"/>
      <c r="DA540" s="53"/>
      <c r="DB540" s="53"/>
      <c r="DC540" s="53"/>
      <c r="DD540" s="53"/>
      <c r="DE540" s="53"/>
      <c r="DF540" s="53"/>
      <c r="DG540" s="53"/>
      <c r="DH540" s="10"/>
    </row>
    <row r="541" spans="1:112" s="7" customFormat="1">
      <c r="A541" s="52" t="s">
        <v>600</v>
      </c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  <c r="CD541" s="53"/>
      <c r="CE541" s="53"/>
      <c r="CF541" s="53"/>
      <c r="CG541" s="53"/>
      <c r="CI541" s="53"/>
      <c r="CJ541" s="53"/>
      <c r="CK541" s="53"/>
      <c r="CL541" s="53"/>
      <c r="CM541" s="53"/>
      <c r="CN541" s="53"/>
      <c r="CO541" s="53"/>
      <c r="CP541" s="53"/>
      <c r="CQ541" s="53"/>
      <c r="CR541" s="53"/>
      <c r="CS541" s="53"/>
      <c r="CT541" s="53"/>
      <c r="CU541" s="53"/>
      <c r="CV541" s="53"/>
      <c r="CW541" s="53"/>
      <c r="CX541" s="53"/>
      <c r="CY541" s="53"/>
      <c r="CZ541" s="53"/>
      <c r="DA541" s="53"/>
      <c r="DB541" s="53"/>
      <c r="DC541" s="53"/>
      <c r="DD541" s="53"/>
      <c r="DE541" s="53"/>
      <c r="DF541" s="53"/>
      <c r="DG541" s="53"/>
      <c r="DH541" s="10"/>
    </row>
    <row r="542" spans="1:112" s="7" customFormat="1">
      <c r="A542" s="52" t="s">
        <v>601</v>
      </c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  <c r="CD542" s="53"/>
      <c r="CE542" s="53"/>
      <c r="CF542" s="53"/>
      <c r="CG542" s="53"/>
      <c r="CI542" s="53"/>
      <c r="CJ542" s="53"/>
      <c r="CK542" s="53"/>
      <c r="CL542" s="53"/>
      <c r="CM542" s="53"/>
      <c r="CN542" s="53"/>
      <c r="CO542" s="53"/>
      <c r="CP542" s="53"/>
      <c r="CQ542" s="53"/>
      <c r="CR542" s="53"/>
      <c r="CS542" s="53"/>
      <c r="CT542" s="53"/>
      <c r="CU542" s="53"/>
      <c r="CV542" s="53"/>
      <c r="CW542" s="53"/>
      <c r="CX542" s="53"/>
      <c r="CY542" s="53"/>
      <c r="CZ542" s="53"/>
      <c r="DA542" s="53"/>
      <c r="DB542" s="53"/>
      <c r="DC542" s="53"/>
      <c r="DD542" s="53"/>
      <c r="DE542" s="53"/>
      <c r="DF542" s="53"/>
      <c r="DG542" s="53"/>
      <c r="DH542" s="10"/>
    </row>
    <row r="543" spans="1:112" s="7" customFormat="1" ht="13.5" thickBot="1">
      <c r="A543" s="52" t="s">
        <v>602</v>
      </c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/>
      <c r="BR543" s="57"/>
      <c r="BS543" s="57"/>
      <c r="BT543" s="57"/>
      <c r="BU543" s="57"/>
      <c r="BV543" s="57"/>
      <c r="BW543" s="57"/>
      <c r="BX543" s="57"/>
      <c r="BY543" s="57"/>
      <c r="BZ543" s="57"/>
      <c r="CA543" s="57"/>
      <c r="CB543" s="57"/>
      <c r="CC543" s="57"/>
      <c r="CD543" s="57"/>
      <c r="CE543" s="57"/>
      <c r="CF543" s="57"/>
      <c r="CG543" s="57"/>
      <c r="CI543" s="57"/>
      <c r="CJ543" s="57"/>
      <c r="CK543" s="57"/>
      <c r="CL543" s="57"/>
      <c r="CM543" s="57"/>
      <c r="CN543" s="57"/>
      <c r="CO543" s="57"/>
      <c r="CP543" s="57"/>
      <c r="CQ543" s="57"/>
      <c r="CR543" s="57"/>
      <c r="CS543" s="57"/>
      <c r="CT543" s="57"/>
      <c r="CU543" s="57"/>
      <c r="CV543" s="57"/>
      <c r="CW543" s="57"/>
      <c r="CX543" s="57"/>
      <c r="CY543" s="57"/>
      <c r="CZ543" s="57"/>
      <c r="DA543" s="57"/>
      <c r="DB543" s="57"/>
      <c r="DC543" s="57"/>
      <c r="DD543" s="57"/>
      <c r="DE543" s="57"/>
      <c r="DF543" s="57"/>
      <c r="DG543" s="57"/>
      <c r="DH543" s="10"/>
    </row>
    <row r="544" spans="1:112" s="7" customFormat="1">
      <c r="A544" s="52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10"/>
    </row>
    <row r="545" spans="1:112" s="7" customFormat="1" ht="15.75">
      <c r="A545" s="47" t="s">
        <v>603</v>
      </c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  <c r="CE545" s="48"/>
      <c r="CF545" s="48"/>
      <c r="CG545" s="48"/>
      <c r="CI545" s="48"/>
      <c r="CJ545" s="48"/>
      <c r="CK545" s="48"/>
      <c r="CL545" s="48"/>
      <c r="CM545" s="48"/>
      <c r="CN545" s="48"/>
      <c r="CO545" s="48"/>
      <c r="CP545" s="48"/>
      <c r="CQ545" s="48"/>
      <c r="CR545" s="48"/>
      <c r="CS545" s="48"/>
      <c r="CT545" s="48"/>
      <c r="CU545" s="48"/>
      <c r="CV545" s="48"/>
      <c r="CW545" s="48"/>
      <c r="CX545" s="48"/>
      <c r="CY545" s="48"/>
      <c r="CZ545" s="48"/>
      <c r="DA545" s="48"/>
      <c r="DB545" s="48"/>
      <c r="DC545" s="48"/>
      <c r="DD545" s="48"/>
      <c r="DE545" s="48"/>
      <c r="DF545" s="48"/>
      <c r="DG545" s="48"/>
      <c r="DH545" s="10"/>
    </row>
    <row r="546" spans="1:112" s="7" customFormat="1">
      <c r="A546" s="52" t="s">
        <v>3</v>
      </c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  <c r="CD546" s="53"/>
      <c r="CE546" s="53"/>
      <c r="CF546" s="53"/>
      <c r="CG546" s="53"/>
      <c r="CI546" s="53"/>
      <c r="CJ546" s="53"/>
      <c r="CK546" s="53"/>
      <c r="CL546" s="53"/>
      <c r="CM546" s="53"/>
      <c r="CN546" s="53"/>
      <c r="CO546" s="53"/>
      <c r="CP546" s="53"/>
      <c r="CQ546" s="53"/>
      <c r="CR546" s="53"/>
      <c r="CS546" s="53"/>
      <c r="CT546" s="53"/>
      <c r="CU546" s="53"/>
      <c r="CV546" s="53"/>
      <c r="CW546" s="53"/>
      <c r="CX546" s="53"/>
      <c r="CY546" s="53"/>
      <c r="CZ546" s="53"/>
      <c r="DA546" s="53"/>
      <c r="DB546" s="53"/>
      <c r="DC546" s="53"/>
      <c r="DD546" s="53"/>
      <c r="DE546" s="53"/>
      <c r="DF546" s="53"/>
      <c r="DG546" s="53"/>
      <c r="DH546" s="10"/>
    </row>
    <row r="547" spans="1:112" s="7" customFormat="1">
      <c r="A547" s="52" t="s">
        <v>11</v>
      </c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  <c r="CD547" s="53"/>
      <c r="CE547" s="53"/>
      <c r="CF547" s="53"/>
      <c r="CG547" s="53"/>
      <c r="CI547" s="53"/>
      <c r="CJ547" s="53"/>
      <c r="CK547" s="53"/>
      <c r="CL547" s="53"/>
      <c r="CM547" s="53"/>
      <c r="CN547" s="53"/>
      <c r="CO547" s="53"/>
      <c r="CP547" s="53"/>
      <c r="CQ547" s="53"/>
      <c r="CR547" s="53"/>
      <c r="CS547" s="53"/>
      <c r="CT547" s="53"/>
      <c r="CU547" s="53"/>
      <c r="CV547" s="53"/>
      <c r="CW547" s="53"/>
      <c r="CX547" s="53"/>
      <c r="CY547" s="53"/>
      <c r="CZ547" s="53"/>
      <c r="DA547" s="53"/>
      <c r="DB547" s="53"/>
      <c r="DC547" s="53"/>
      <c r="DD547" s="53"/>
      <c r="DE547" s="53"/>
      <c r="DF547" s="53"/>
      <c r="DG547" s="53"/>
      <c r="DH547" s="10"/>
    </row>
    <row r="548" spans="1:112" s="7" customFormat="1">
      <c r="A548" s="52" t="s">
        <v>604</v>
      </c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  <c r="CD548" s="53"/>
      <c r="CE548" s="53"/>
      <c r="CF548" s="53"/>
      <c r="CG548" s="53"/>
      <c r="CI548" s="53"/>
      <c r="CJ548" s="53"/>
      <c r="CK548" s="53"/>
      <c r="CL548" s="53"/>
      <c r="CM548" s="53"/>
      <c r="CN548" s="53"/>
      <c r="CO548" s="53"/>
      <c r="CP548" s="53"/>
      <c r="CQ548" s="53"/>
      <c r="CR548" s="53"/>
      <c r="CS548" s="53"/>
      <c r="CT548" s="53"/>
      <c r="CU548" s="53"/>
      <c r="CV548" s="53"/>
      <c r="CW548" s="53"/>
      <c r="CX548" s="53"/>
      <c r="CY548" s="53"/>
      <c r="CZ548" s="53"/>
      <c r="DA548" s="53"/>
      <c r="DB548" s="53"/>
      <c r="DC548" s="53"/>
      <c r="DD548" s="53"/>
      <c r="DE548" s="53"/>
      <c r="DF548" s="53"/>
      <c r="DG548" s="53"/>
      <c r="DH548" s="10"/>
    </row>
    <row r="549" spans="1:112" s="7" customFormat="1">
      <c r="A549" s="52" t="s">
        <v>605</v>
      </c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  <c r="CD549" s="53"/>
      <c r="CE549" s="53"/>
      <c r="CF549" s="53"/>
      <c r="CG549" s="53"/>
      <c r="CI549" s="53"/>
      <c r="CJ549" s="53"/>
      <c r="CK549" s="53"/>
      <c r="CL549" s="53"/>
      <c r="CM549" s="53"/>
      <c r="CN549" s="53"/>
      <c r="CO549" s="53"/>
      <c r="CP549" s="53"/>
      <c r="CQ549" s="53"/>
      <c r="CR549" s="53"/>
      <c r="CS549" s="53"/>
      <c r="CT549" s="53"/>
      <c r="CU549" s="53"/>
      <c r="CV549" s="53"/>
      <c r="CW549" s="53"/>
      <c r="CX549" s="53"/>
      <c r="CY549" s="53"/>
      <c r="CZ549" s="53"/>
      <c r="DA549" s="53"/>
      <c r="DB549" s="53"/>
      <c r="DC549" s="53"/>
      <c r="DD549" s="53"/>
      <c r="DE549" s="53"/>
      <c r="DF549" s="53"/>
      <c r="DG549" s="53"/>
      <c r="DH549" s="10"/>
    </row>
    <row r="550" spans="1:112" s="7" customFormat="1">
      <c r="A550" s="52" t="s">
        <v>606</v>
      </c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54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10"/>
    </row>
    <row r="551" spans="1:112" s="7" customFormat="1">
      <c r="A551" s="52" t="s">
        <v>607</v>
      </c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  <c r="CD551" s="53"/>
      <c r="CE551" s="53"/>
      <c r="CF551" s="53"/>
      <c r="CG551" s="53"/>
      <c r="CI551" s="53"/>
      <c r="CJ551" s="53"/>
      <c r="CK551" s="53"/>
      <c r="CL551" s="53"/>
      <c r="CM551" s="53"/>
      <c r="CN551" s="53"/>
      <c r="CO551" s="53"/>
      <c r="CP551" s="53"/>
      <c r="CQ551" s="53"/>
      <c r="CR551" s="53"/>
      <c r="CS551" s="53"/>
      <c r="CT551" s="53"/>
      <c r="CU551" s="53"/>
      <c r="CV551" s="53"/>
      <c r="CW551" s="53"/>
      <c r="CX551" s="53"/>
      <c r="CY551" s="53"/>
      <c r="CZ551" s="53"/>
      <c r="DA551" s="53"/>
      <c r="DB551" s="53"/>
      <c r="DC551" s="53"/>
      <c r="DD551" s="53"/>
      <c r="DE551" s="53"/>
      <c r="DF551" s="53"/>
      <c r="DG551" s="53"/>
      <c r="DH551" s="10"/>
    </row>
    <row r="552" spans="1:112" s="7" customFormat="1">
      <c r="A552" s="52" t="s">
        <v>608</v>
      </c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  <c r="CD552" s="53"/>
      <c r="CE552" s="53"/>
      <c r="CF552" s="53"/>
      <c r="CG552" s="53"/>
      <c r="CI552" s="53"/>
      <c r="CJ552" s="53"/>
      <c r="CK552" s="53"/>
      <c r="CL552" s="53"/>
      <c r="CM552" s="53"/>
      <c r="CN552" s="53"/>
      <c r="CO552" s="53"/>
      <c r="CP552" s="53"/>
      <c r="CQ552" s="53"/>
      <c r="CR552" s="53"/>
      <c r="CS552" s="53"/>
      <c r="CT552" s="53"/>
      <c r="CU552" s="53"/>
      <c r="CV552" s="53"/>
      <c r="CW552" s="53"/>
      <c r="CX552" s="53"/>
      <c r="CY552" s="53"/>
      <c r="CZ552" s="53"/>
      <c r="DA552" s="53"/>
      <c r="DB552" s="53"/>
      <c r="DC552" s="53"/>
      <c r="DD552" s="53"/>
      <c r="DE552" s="53"/>
      <c r="DF552" s="53"/>
      <c r="DG552" s="53"/>
      <c r="DH552" s="10"/>
    </row>
    <row r="553" spans="1:112" s="7" customFormat="1">
      <c r="A553" s="52" t="s">
        <v>455</v>
      </c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  <c r="CD553" s="53"/>
      <c r="CE553" s="53"/>
      <c r="CF553" s="53"/>
      <c r="CG553" s="53"/>
      <c r="CI553" s="53"/>
      <c r="CJ553" s="53"/>
      <c r="CK553" s="53"/>
      <c r="CL553" s="53"/>
      <c r="CM553" s="53"/>
      <c r="CN553" s="53"/>
      <c r="CO553" s="53"/>
      <c r="CP553" s="53"/>
      <c r="CQ553" s="53"/>
      <c r="CR553" s="53"/>
      <c r="CS553" s="53"/>
      <c r="CT553" s="53"/>
      <c r="CU553" s="53"/>
      <c r="CV553" s="53"/>
      <c r="CW553" s="53"/>
      <c r="CX553" s="53"/>
      <c r="CY553" s="53"/>
      <c r="CZ553" s="53"/>
      <c r="DA553" s="53"/>
      <c r="DB553" s="53"/>
      <c r="DC553" s="53"/>
      <c r="DD553" s="53"/>
      <c r="DE553" s="53"/>
      <c r="DF553" s="53"/>
      <c r="DG553" s="53"/>
      <c r="DH553" s="10"/>
    </row>
    <row r="554" spans="1:112" s="7" customFormat="1">
      <c r="A554" s="52" t="s">
        <v>609</v>
      </c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  <c r="CD554" s="53"/>
      <c r="CE554" s="53"/>
      <c r="CF554" s="53"/>
      <c r="CG554" s="53"/>
      <c r="CI554" s="53"/>
      <c r="CJ554" s="53"/>
      <c r="CK554" s="53"/>
      <c r="CL554" s="53"/>
      <c r="CM554" s="53"/>
      <c r="CN554" s="53"/>
      <c r="CO554" s="53"/>
      <c r="CP554" s="53"/>
      <c r="CQ554" s="53"/>
      <c r="CR554" s="53"/>
      <c r="CS554" s="53"/>
      <c r="CT554" s="53"/>
      <c r="CU554" s="53"/>
      <c r="CV554" s="53"/>
      <c r="CW554" s="53"/>
      <c r="CX554" s="53"/>
      <c r="CY554" s="53"/>
      <c r="CZ554" s="53"/>
      <c r="DA554" s="53"/>
      <c r="DB554" s="53"/>
      <c r="DC554" s="53"/>
      <c r="DD554" s="53"/>
      <c r="DE554" s="53"/>
      <c r="DF554" s="53"/>
      <c r="DG554" s="53"/>
      <c r="DH554" s="10"/>
    </row>
    <row r="555" spans="1:112" s="7" customFormat="1">
      <c r="A555" s="52" t="s">
        <v>610</v>
      </c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  <c r="CD555" s="53"/>
      <c r="CE555" s="53"/>
      <c r="CF555" s="53"/>
      <c r="CG555" s="53"/>
      <c r="CI555" s="53"/>
      <c r="CJ555" s="53"/>
      <c r="CK555" s="53"/>
      <c r="CL555" s="53"/>
      <c r="CM555" s="53"/>
      <c r="CN555" s="53"/>
      <c r="CO555" s="53"/>
      <c r="CP555" s="53"/>
      <c r="CQ555" s="53"/>
      <c r="CR555" s="53"/>
      <c r="CS555" s="53"/>
      <c r="CT555" s="53"/>
      <c r="CU555" s="53"/>
      <c r="CV555" s="53"/>
      <c r="CW555" s="53"/>
      <c r="CX555" s="53"/>
      <c r="CY555" s="53"/>
      <c r="CZ555" s="53"/>
      <c r="DA555" s="53"/>
      <c r="DB555" s="53"/>
      <c r="DC555" s="53"/>
      <c r="DD555" s="53"/>
      <c r="DE555" s="53"/>
      <c r="DF555" s="53"/>
      <c r="DG555" s="53"/>
      <c r="DH555" s="10"/>
    </row>
    <row r="556" spans="1:112" s="7" customFormat="1">
      <c r="A556" s="52" t="s">
        <v>601</v>
      </c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  <c r="CD556" s="53"/>
      <c r="CE556" s="53"/>
      <c r="CF556" s="53"/>
      <c r="CG556" s="53"/>
      <c r="CI556" s="53"/>
      <c r="CJ556" s="53"/>
      <c r="CK556" s="53"/>
      <c r="CL556" s="53"/>
      <c r="CM556" s="53"/>
      <c r="CN556" s="53"/>
      <c r="CO556" s="53"/>
      <c r="CP556" s="53"/>
      <c r="CQ556" s="53"/>
      <c r="CR556" s="53"/>
      <c r="CS556" s="53"/>
      <c r="CT556" s="53"/>
      <c r="CU556" s="53"/>
      <c r="CV556" s="53"/>
      <c r="CW556" s="53"/>
      <c r="CX556" s="53"/>
      <c r="CY556" s="53"/>
      <c r="CZ556" s="53"/>
      <c r="DA556" s="53"/>
      <c r="DB556" s="53"/>
      <c r="DC556" s="53"/>
      <c r="DD556" s="53"/>
      <c r="DE556" s="53"/>
      <c r="DF556" s="53"/>
      <c r="DG556" s="53"/>
      <c r="DH556" s="10"/>
    </row>
    <row r="557" spans="1:112" s="7" customFormat="1">
      <c r="A557" s="52" t="s">
        <v>611</v>
      </c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  <c r="CD557" s="53"/>
      <c r="CE557" s="53"/>
      <c r="CF557" s="53"/>
      <c r="CG557" s="53"/>
      <c r="CI557" s="53"/>
      <c r="CJ557" s="53"/>
      <c r="CK557" s="53"/>
      <c r="CL557" s="53"/>
      <c r="CM557" s="53"/>
      <c r="CN557" s="53"/>
      <c r="CO557" s="53"/>
      <c r="CP557" s="53"/>
      <c r="CQ557" s="53"/>
      <c r="CR557" s="53"/>
      <c r="CS557" s="53"/>
      <c r="CT557" s="53"/>
      <c r="CU557" s="53"/>
      <c r="CV557" s="53"/>
      <c r="CW557" s="53"/>
      <c r="CX557" s="53"/>
      <c r="CY557" s="53"/>
      <c r="CZ557" s="53"/>
      <c r="DA557" s="53"/>
      <c r="DB557" s="53"/>
      <c r="DC557" s="53"/>
      <c r="DD557" s="53"/>
      <c r="DE557" s="53"/>
      <c r="DF557" s="53"/>
      <c r="DG557" s="53"/>
      <c r="DH557" s="10"/>
    </row>
    <row r="558" spans="1:112" s="7" customFormat="1" ht="13.5" thickBot="1">
      <c r="A558" s="52" t="s">
        <v>612</v>
      </c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/>
      <c r="BR558" s="57"/>
      <c r="BS558" s="57"/>
      <c r="BT558" s="57"/>
      <c r="BU558" s="57"/>
      <c r="BV558" s="57"/>
      <c r="BW558" s="57"/>
      <c r="BX558" s="57"/>
      <c r="BY558" s="57"/>
      <c r="BZ558" s="57"/>
      <c r="CA558" s="57"/>
      <c r="CB558" s="57"/>
      <c r="CC558" s="57"/>
      <c r="CD558" s="57"/>
      <c r="CE558" s="57"/>
      <c r="CF558" s="57"/>
      <c r="CG558" s="57"/>
      <c r="CI558" s="57"/>
      <c r="CJ558" s="57"/>
      <c r="CK558" s="57"/>
      <c r="CL558" s="57"/>
      <c r="CM558" s="57"/>
      <c r="CN558" s="57"/>
      <c r="CO558" s="57"/>
      <c r="CP558" s="57"/>
      <c r="CQ558" s="57"/>
      <c r="CR558" s="57"/>
      <c r="CS558" s="57"/>
      <c r="CT558" s="57"/>
      <c r="CU558" s="57"/>
      <c r="CV558" s="57"/>
      <c r="CW558" s="57"/>
      <c r="CX558" s="57"/>
      <c r="CY558" s="57"/>
      <c r="CZ558" s="57"/>
      <c r="DA558" s="57"/>
      <c r="DB558" s="57"/>
      <c r="DC558" s="57"/>
      <c r="DD558" s="57"/>
      <c r="DE558" s="57"/>
      <c r="DF558" s="57"/>
      <c r="DG558" s="57"/>
      <c r="DH558" s="10"/>
    </row>
    <row r="559" spans="1:112" s="7" customFormat="1">
      <c r="A559" s="52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10"/>
    </row>
    <row r="560" spans="1:112" s="7" customFormat="1" ht="15.75">
      <c r="A560" s="47" t="s">
        <v>613</v>
      </c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  <c r="CD560" s="48"/>
      <c r="CE560" s="48"/>
      <c r="CF560" s="48"/>
      <c r="CG560" s="48"/>
      <c r="CI560" s="48"/>
      <c r="CJ560" s="48"/>
      <c r="CK560" s="48"/>
      <c r="CL560" s="48"/>
      <c r="CM560" s="48"/>
      <c r="CN560" s="48"/>
      <c r="CO560" s="48"/>
      <c r="CP560" s="48"/>
      <c r="CQ560" s="48"/>
      <c r="CR560" s="48"/>
      <c r="CS560" s="48"/>
      <c r="CT560" s="48"/>
      <c r="CU560" s="48"/>
      <c r="CV560" s="48"/>
      <c r="CW560" s="48"/>
      <c r="CX560" s="48"/>
      <c r="CY560" s="48"/>
      <c r="CZ560" s="48"/>
      <c r="DA560" s="48"/>
      <c r="DB560" s="48"/>
      <c r="DC560" s="48"/>
      <c r="DD560" s="48"/>
      <c r="DE560" s="48"/>
      <c r="DF560" s="48"/>
      <c r="DG560" s="48"/>
      <c r="DH560" s="10"/>
    </row>
    <row r="561" spans="1:112" s="7" customFormat="1">
      <c r="A561" s="52" t="s">
        <v>351</v>
      </c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  <c r="CD561" s="53"/>
      <c r="CE561" s="53"/>
      <c r="CF561" s="53"/>
      <c r="CG561" s="53"/>
      <c r="CI561" s="53"/>
      <c r="CJ561" s="53"/>
      <c r="CK561" s="53"/>
      <c r="CL561" s="53"/>
      <c r="CM561" s="53"/>
      <c r="CN561" s="53"/>
      <c r="CO561" s="53"/>
      <c r="CP561" s="53"/>
      <c r="CQ561" s="53"/>
      <c r="CR561" s="53"/>
      <c r="CS561" s="53"/>
      <c r="CT561" s="53"/>
      <c r="CU561" s="53"/>
      <c r="CV561" s="53"/>
      <c r="CW561" s="53"/>
      <c r="CX561" s="53"/>
      <c r="CY561" s="53"/>
      <c r="CZ561" s="53"/>
      <c r="DA561" s="53"/>
      <c r="DB561" s="53"/>
      <c r="DC561" s="53"/>
      <c r="DD561" s="53"/>
      <c r="DE561" s="53"/>
      <c r="DF561" s="53"/>
      <c r="DG561" s="53"/>
      <c r="DH561" s="10"/>
    </row>
    <row r="562" spans="1:112" s="7" customFormat="1">
      <c r="A562" s="52" t="s">
        <v>614</v>
      </c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  <c r="CD562" s="53"/>
      <c r="CE562" s="53"/>
      <c r="CF562" s="53"/>
      <c r="CG562" s="53"/>
      <c r="CI562" s="53"/>
      <c r="CJ562" s="53"/>
      <c r="CK562" s="53"/>
      <c r="CL562" s="53"/>
      <c r="CM562" s="53"/>
      <c r="CN562" s="53"/>
      <c r="CO562" s="53"/>
      <c r="CP562" s="53"/>
      <c r="CQ562" s="53"/>
      <c r="CR562" s="53"/>
      <c r="CS562" s="53"/>
      <c r="CT562" s="53"/>
      <c r="CU562" s="53"/>
      <c r="CV562" s="53"/>
      <c r="CW562" s="53"/>
      <c r="CX562" s="53"/>
      <c r="CY562" s="53"/>
      <c r="CZ562" s="53"/>
      <c r="DA562" s="53"/>
      <c r="DB562" s="53"/>
      <c r="DC562" s="53"/>
      <c r="DD562" s="53"/>
      <c r="DE562" s="53"/>
      <c r="DF562" s="53"/>
      <c r="DG562" s="53"/>
      <c r="DH562" s="10"/>
    </row>
    <row r="563" spans="1:112" s="7" customFormat="1">
      <c r="A563" s="52" t="s">
        <v>615</v>
      </c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  <c r="CD563" s="53"/>
      <c r="CE563" s="53"/>
      <c r="CF563" s="53"/>
      <c r="CG563" s="53"/>
      <c r="CI563" s="53"/>
      <c r="CJ563" s="53"/>
      <c r="CK563" s="53"/>
      <c r="CL563" s="53"/>
      <c r="CM563" s="53"/>
      <c r="CN563" s="53"/>
      <c r="CO563" s="53"/>
      <c r="CP563" s="53"/>
      <c r="CQ563" s="53"/>
      <c r="CR563" s="53"/>
      <c r="CS563" s="53"/>
      <c r="CT563" s="53"/>
      <c r="CU563" s="53"/>
      <c r="CV563" s="53"/>
      <c r="CW563" s="53"/>
      <c r="CX563" s="53"/>
      <c r="CY563" s="53"/>
      <c r="CZ563" s="53"/>
      <c r="DA563" s="53"/>
      <c r="DB563" s="53"/>
      <c r="DC563" s="53"/>
      <c r="DD563" s="53"/>
      <c r="DE563" s="53"/>
      <c r="DF563" s="53"/>
      <c r="DG563" s="53"/>
      <c r="DH563" s="10"/>
    </row>
    <row r="564" spans="1:112" s="7" customFormat="1">
      <c r="A564" s="52" t="s">
        <v>379</v>
      </c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  <c r="CD564" s="53"/>
      <c r="CE564" s="53"/>
      <c r="CF564" s="53"/>
      <c r="CG564" s="53"/>
      <c r="CI564" s="53"/>
      <c r="CJ564" s="53"/>
      <c r="CK564" s="53"/>
      <c r="CL564" s="53"/>
      <c r="CM564" s="53"/>
      <c r="CN564" s="53"/>
      <c r="CO564" s="53"/>
      <c r="CP564" s="53"/>
      <c r="CQ564" s="53"/>
      <c r="CR564" s="53"/>
      <c r="CS564" s="53"/>
      <c r="CT564" s="53"/>
      <c r="CU564" s="53"/>
      <c r="CV564" s="53"/>
      <c r="CW564" s="53"/>
      <c r="CX564" s="53"/>
      <c r="CY564" s="53"/>
      <c r="CZ564" s="53"/>
      <c r="DA564" s="53"/>
      <c r="DB564" s="53"/>
      <c r="DC564" s="53"/>
      <c r="DD564" s="53"/>
      <c r="DE564" s="53"/>
      <c r="DF564" s="53"/>
      <c r="DG564" s="53"/>
      <c r="DH564" s="10"/>
    </row>
    <row r="565" spans="1:112" s="7" customFormat="1">
      <c r="A565" s="52" t="s">
        <v>616</v>
      </c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54"/>
      <c r="BS565" s="54"/>
      <c r="BT565" s="54"/>
      <c r="BU565" s="54"/>
      <c r="BV565" s="54"/>
      <c r="BW565" s="54"/>
      <c r="BX565" s="54"/>
      <c r="BY565" s="54"/>
      <c r="BZ565" s="54"/>
      <c r="CA565" s="54"/>
      <c r="CB565" s="54"/>
      <c r="CC565" s="54"/>
      <c r="CD565" s="54"/>
      <c r="CE565" s="54"/>
      <c r="CF565" s="54"/>
      <c r="CG565" s="54"/>
      <c r="CI565" s="54"/>
      <c r="CJ565" s="54"/>
      <c r="CK565" s="54"/>
      <c r="CL565" s="54"/>
      <c r="CM565" s="54"/>
      <c r="CN565" s="54"/>
      <c r="CO565" s="54"/>
      <c r="CP565" s="54"/>
      <c r="CQ565" s="54"/>
      <c r="CR565" s="54"/>
      <c r="CS565" s="54"/>
      <c r="CT565" s="54"/>
      <c r="CU565" s="54"/>
      <c r="CV565" s="54"/>
      <c r="CW565" s="54"/>
      <c r="CX565" s="54"/>
      <c r="CY565" s="54"/>
      <c r="CZ565" s="54"/>
      <c r="DA565" s="54"/>
      <c r="DB565" s="54"/>
      <c r="DC565" s="54"/>
      <c r="DD565" s="54"/>
      <c r="DE565" s="54"/>
      <c r="DF565" s="54"/>
      <c r="DG565" s="54"/>
      <c r="DH565" s="10"/>
    </row>
    <row r="566" spans="1:112" s="7" customFormat="1">
      <c r="A566" s="52" t="s">
        <v>617</v>
      </c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  <c r="CD566" s="53"/>
      <c r="CE566" s="53"/>
      <c r="CF566" s="53"/>
      <c r="CG566" s="53"/>
      <c r="CI566" s="53"/>
      <c r="CJ566" s="53"/>
      <c r="CK566" s="53"/>
      <c r="CL566" s="53"/>
      <c r="CM566" s="53"/>
      <c r="CN566" s="53"/>
      <c r="CO566" s="53"/>
      <c r="CP566" s="53"/>
      <c r="CQ566" s="53"/>
      <c r="CR566" s="53"/>
      <c r="CS566" s="53"/>
      <c r="CT566" s="53"/>
      <c r="CU566" s="53"/>
      <c r="CV566" s="53"/>
      <c r="CW566" s="53"/>
      <c r="CX566" s="53"/>
      <c r="CY566" s="53"/>
      <c r="CZ566" s="53"/>
      <c r="DA566" s="53"/>
      <c r="DB566" s="53"/>
      <c r="DC566" s="53"/>
      <c r="DD566" s="53"/>
      <c r="DE566" s="53"/>
      <c r="DF566" s="53"/>
      <c r="DG566" s="53"/>
      <c r="DH566" s="10"/>
    </row>
    <row r="567" spans="1:112" s="7" customFormat="1">
      <c r="A567" s="52" t="s">
        <v>618</v>
      </c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  <c r="CD567" s="53"/>
      <c r="CE567" s="53"/>
      <c r="CF567" s="53"/>
      <c r="CG567" s="53"/>
      <c r="CI567" s="53"/>
      <c r="CJ567" s="53"/>
      <c r="CK567" s="53"/>
      <c r="CL567" s="53"/>
      <c r="CM567" s="53"/>
      <c r="CN567" s="53"/>
      <c r="CO567" s="53"/>
      <c r="CP567" s="53"/>
      <c r="CQ567" s="53"/>
      <c r="CR567" s="53"/>
      <c r="CS567" s="53"/>
      <c r="CT567" s="53"/>
      <c r="CU567" s="53"/>
      <c r="CV567" s="53"/>
      <c r="CW567" s="53"/>
      <c r="CX567" s="53"/>
      <c r="CY567" s="53"/>
      <c r="CZ567" s="53"/>
      <c r="DA567" s="53"/>
      <c r="DB567" s="53"/>
      <c r="DC567" s="53"/>
      <c r="DD567" s="53"/>
      <c r="DE567" s="53"/>
      <c r="DF567" s="53"/>
      <c r="DG567" s="53"/>
      <c r="DH567" s="10"/>
    </row>
    <row r="568" spans="1:112" s="7" customFormat="1">
      <c r="A568" s="52" t="s">
        <v>619</v>
      </c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  <c r="CD568" s="53"/>
      <c r="CE568" s="53"/>
      <c r="CF568" s="53"/>
      <c r="CG568" s="53"/>
      <c r="CI568" s="53"/>
      <c r="CJ568" s="53"/>
      <c r="CK568" s="53"/>
      <c r="CL568" s="53"/>
      <c r="CM568" s="53"/>
      <c r="CN568" s="53"/>
      <c r="CO568" s="53"/>
      <c r="CP568" s="53"/>
      <c r="CQ568" s="53"/>
      <c r="CR568" s="53"/>
      <c r="CS568" s="53"/>
      <c r="CT568" s="53"/>
      <c r="CU568" s="53"/>
      <c r="CV568" s="53"/>
      <c r="CW568" s="53"/>
      <c r="CX568" s="53"/>
      <c r="CY568" s="53"/>
      <c r="CZ568" s="53"/>
      <c r="DA568" s="53"/>
      <c r="DB568" s="53"/>
      <c r="DC568" s="53"/>
      <c r="DD568" s="53"/>
      <c r="DE568" s="53"/>
      <c r="DF568" s="53"/>
      <c r="DG568" s="53"/>
      <c r="DH568" s="10"/>
    </row>
    <row r="569" spans="1:112" s="7" customFormat="1">
      <c r="A569" s="52" t="s">
        <v>620</v>
      </c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  <c r="BR569" s="54"/>
      <c r="BS569" s="54"/>
      <c r="BT569" s="54"/>
      <c r="BU569" s="54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I569" s="54"/>
      <c r="CJ569" s="54"/>
      <c r="CK569" s="54"/>
      <c r="CL569" s="54"/>
      <c r="CM569" s="54"/>
      <c r="CN569" s="54"/>
      <c r="CO569" s="54"/>
      <c r="CP569" s="54"/>
      <c r="CQ569" s="54"/>
      <c r="CR569" s="54"/>
      <c r="CS569" s="54"/>
      <c r="CT569" s="54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4"/>
      <c r="DH569" s="10"/>
    </row>
    <row r="570" spans="1:112" s="7" customFormat="1">
      <c r="A570" s="52" t="s">
        <v>245</v>
      </c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  <c r="CD570" s="53"/>
      <c r="CE570" s="53"/>
      <c r="CF570" s="53"/>
      <c r="CG570" s="53"/>
      <c r="CI570" s="53"/>
      <c r="CJ570" s="53"/>
      <c r="CK570" s="53"/>
      <c r="CL570" s="53"/>
      <c r="CM570" s="53"/>
      <c r="CN570" s="53"/>
      <c r="CO570" s="53"/>
      <c r="CP570" s="53"/>
      <c r="CQ570" s="53"/>
      <c r="CR570" s="53"/>
      <c r="CS570" s="53"/>
      <c r="CT570" s="53"/>
      <c r="CU570" s="53"/>
      <c r="CV570" s="53"/>
      <c r="CW570" s="53"/>
      <c r="CX570" s="53"/>
      <c r="CY570" s="53"/>
      <c r="CZ570" s="53"/>
      <c r="DA570" s="53"/>
      <c r="DB570" s="53"/>
      <c r="DC570" s="53"/>
      <c r="DD570" s="53"/>
      <c r="DE570" s="53"/>
      <c r="DF570" s="53"/>
      <c r="DG570" s="53"/>
      <c r="DH570" s="10"/>
    </row>
    <row r="571" spans="1:112" s="7" customFormat="1" ht="13.5" thickBot="1">
      <c r="A571" s="52" t="s">
        <v>621</v>
      </c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I571" s="54"/>
      <c r="CJ571" s="54"/>
      <c r="CK571" s="54"/>
      <c r="CL571" s="54"/>
      <c r="CM571" s="54"/>
      <c r="CN571" s="54"/>
      <c r="CO571" s="54"/>
      <c r="CP571" s="54"/>
      <c r="CQ571" s="54"/>
      <c r="CR571" s="54"/>
      <c r="CS571" s="54"/>
      <c r="CT571" s="54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4"/>
      <c r="DH571" s="10"/>
    </row>
    <row r="572" spans="1:112" s="7" customFormat="1" ht="15.75">
      <c r="A572" s="58" t="s">
        <v>622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10"/>
    </row>
    <row r="573" spans="1:112" s="7" customFormat="1">
      <c r="A573" s="11" t="s">
        <v>623</v>
      </c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2">
        <v>0</v>
      </c>
      <c r="BJ573" s="12">
        <v>0</v>
      </c>
      <c r="BK573" s="12">
        <v>0</v>
      </c>
      <c r="BL573" s="12">
        <v>0</v>
      </c>
      <c r="BM573" s="12">
        <v>0</v>
      </c>
      <c r="BN573" s="12">
        <v>0</v>
      </c>
      <c r="BO573" s="12">
        <v>0</v>
      </c>
      <c r="BP573" s="12">
        <v>0</v>
      </c>
      <c r="BQ573" s="12">
        <v>0</v>
      </c>
      <c r="BR573" s="12">
        <v>0</v>
      </c>
      <c r="BS573" s="12">
        <v>0</v>
      </c>
      <c r="BT573" s="12">
        <v>0</v>
      </c>
      <c r="BU573" s="12">
        <v>0</v>
      </c>
      <c r="BV573" s="12">
        <v>0</v>
      </c>
      <c r="BW573" s="12">
        <v>0</v>
      </c>
      <c r="BX573" s="12">
        <v>0</v>
      </c>
      <c r="BY573" s="12">
        <v>0</v>
      </c>
      <c r="BZ573" s="12">
        <v>0</v>
      </c>
      <c r="CA573" s="12">
        <v>0</v>
      </c>
      <c r="CB573" s="12">
        <v>0</v>
      </c>
      <c r="CC573" s="12">
        <v>0</v>
      </c>
      <c r="CD573" s="12">
        <v>0</v>
      </c>
      <c r="CE573" s="12">
        <v>0</v>
      </c>
      <c r="CF573" s="12">
        <v>0</v>
      </c>
      <c r="CG573" s="12">
        <v>0</v>
      </c>
      <c r="CI573" s="12">
        <v>0</v>
      </c>
      <c r="CJ573" s="12">
        <v>0</v>
      </c>
      <c r="CK573" s="12">
        <v>0</v>
      </c>
      <c r="CL573" s="12">
        <v>0</v>
      </c>
      <c r="CM573" s="12">
        <v>0</v>
      </c>
      <c r="CN573" s="12">
        <v>0</v>
      </c>
      <c r="CO573" s="12">
        <v>0</v>
      </c>
      <c r="CP573" s="12">
        <v>0</v>
      </c>
      <c r="CQ573" s="12">
        <v>0</v>
      </c>
      <c r="CR573" s="12">
        <v>0</v>
      </c>
      <c r="CS573" s="12">
        <v>0</v>
      </c>
      <c r="CT573" s="12">
        <v>0</v>
      </c>
      <c r="CU573" s="12">
        <v>0</v>
      </c>
      <c r="CV573" s="12">
        <v>0</v>
      </c>
      <c r="CW573" s="12">
        <v>0</v>
      </c>
      <c r="CX573" s="12">
        <v>0</v>
      </c>
      <c r="CY573" s="12">
        <v>0</v>
      </c>
      <c r="CZ573" s="12">
        <v>0</v>
      </c>
      <c r="DA573" s="12">
        <v>0</v>
      </c>
      <c r="DB573" s="12">
        <v>0</v>
      </c>
      <c r="DC573" s="12">
        <v>0</v>
      </c>
      <c r="DD573" s="12">
        <v>0</v>
      </c>
      <c r="DE573" s="12">
        <v>0</v>
      </c>
      <c r="DF573" s="12">
        <v>0</v>
      </c>
      <c r="DG573" s="12">
        <v>0</v>
      </c>
      <c r="DH573" s="10"/>
    </row>
    <row r="574" spans="1:112" s="7" customFormat="1">
      <c r="A574" s="302" t="s">
        <v>624</v>
      </c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>
        <f>Forecasts!P5/1000</f>
        <v>1924.3910000000001</v>
      </c>
      <c r="AP574" s="12">
        <f>Forecasts!Q5/1000</f>
        <v>143.428</v>
      </c>
      <c r="AQ574" s="12">
        <f>Forecasts!R5/1000</f>
        <v>448.14499999999998</v>
      </c>
      <c r="AR574" s="12">
        <f>Forecasts!S5/1000</f>
        <v>921.77800000000002</v>
      </c>
      <c r="AS574" s="12">
        <f>Forecasts!T5/1000</f>
        <v>1949.076</v>
      </c>
      <c r="AT574" s="12">
        <f>Forecasts!U5/1000</f>
        <v>3462.4270000000001</v>
      </c>
      <c r="AU574" s="12">
        <f>Forecasts!V5/1000</f>
        <v>524.399</v>
      </c>
      <c r="AV574" s="12">
        <f>Forecasts!W5/1000</f>
        <v>1412.6020000000001</v>
      </c>
      <c r="AW574" s="12">
        <f>Forecasts!X5/1000</f>
        <v>747.56</v>
      </c>
      <c r="AX574" s="12">
        <f>Forecasts!Y5/1000</f>
        <v>639.76800000000003</v>
      </c>
      <c r="AY574" s="12">
        <f>Forecasts!Z5/1000</f>
        <v>3324.3290000000002</v>
      </c>
      <c r="AZ574" s="12">
        <f>Forecasts!AA5/1000</f>
        <v>416.13099999999997</v>
      </c>
      <c r="BA574" s="12">
        <f>Forecasts!AB5/1000</f>
        <v>489.89499999999998</v>
      </c>
      <c r="BB574" s="12">
        <f>Forecasts!AC5/1000</f>
        <v>1490.921</v>
      </c>
      <c r="BC574" s="12">
        <f>Forecasts!AD5/1000</f>
        <v>2079.3319999999999</v>
      </c>
      <c r="BD574" s="12">
        <f>Forecasts!AE5/1000</f>
        <v>4476.2790000000005</v>
      </c>
      <c r="BE574" s="12">
        <f>Forecasts!AF5/1000</f>
        <v>481.57</v>
      </c>
      <c r="BF574" s="12">
        <f>Forecasts!AG5/1000</f>
        <v>794.09299999999996</v>
      </c>
      <c r="BG574" s="12">
        <f>Forecasts!AH5/1000</f>
        <v>1028.0899999999999</v>
      </c>
      <c r="BH574" s="12">
        <f>Forecasts!AI5/1000</f>
        <v>3622.2849999999999</v>
      </c>
      <c r="BI574" s="12">
        <f>Forecasts!AJ5/1000</f>
        <v>5926.0379999999996</v>
      </c>
      <c r="BJ574" s="12">
        <f>Forecasts!AK5/1000</f>
        <v>907</v>
      </c>
      <c r="BK574" s="12">
        <f>Forecasts!AL5/1000</f>
        <v>1309.5999999999999</v>
      </c>
      <c r="BL574" s="12">
        <f>Forecasts!AM5/1000</f>
        <v>1449</v>
      </c>
      <c r="BM574" s="12">
        <f>Forecasts!AN5/1000</f>
        <v>2615</v>
      </c>
      <c r="BN574" s="12">
        <f>Forecasts!AO5/1000</f>
        <v>6280.6</v>
      </c>
      <c r="BO574" s="12">
        <f>Forecasts!AP5/1000</f>
        <v>684</v>
      </c>
      <c r="BP574" s="12">
        <f>Forecasts!AQ5/1000</f>
        <v>911.3</v>
      </c>
      <c r="BQ574" s="12">
        <f>Forecasts!AR5/1000</f>
        <v>913.7</v>
      </c>
      <c r="BR574" s="12">
        <f>Forecasts!AS5/1000</f>
        <v>1374.2</v>
      </c>
      <c r="BS574" s="12">
        <f>Forecasts!AT5/1000</f>
        <v>3883.2</v>
      </c>
      <c r="BT574" s="12">
        <f>Forecasts!AU5/1000</f>
        <v>561.20000000000005</v>
      </c>
      <c r="BU574" s="12">
        <f>Forecasts!AV5/1000</f>
        <v>1250.7</v>
      </c>
      <c r="BV574" s="12">
        <f>Forecasts!AW5/1000</f>
        <v>911.7</v>
      </c>
      <c r="BW574" s="12">
        <f>Forecasts!AX5/1000</f>
        <v>1921.6</v>
      </c>
      <c r="BX574" s="12">
        <f>Forecasts!AY5/1000</f>
        <v>4645.2</v>
      </c>
      <c r="BY574" s="12">
        <f>Forecasts!AZ5/1000</f>
        <v>1719.6</v>
      </c>
      <c r="BZ574" s="12">
        <f>Forecasts!BA5/1000</f>
        <v>812.4</v>
      </c>
      <c r="CA574" s="12">
        <f>Forecasts!BB5/1000</f>
        <v>509</v>
      </c>
      <c r="CB574" s="12">
        <f>Forecasts!BC5/1000</f>
        <v>1813</v>
      </c>
      <c r="CC574" s="12">
        <f>Forecasts!BD5/1000</f>
        <v>4854</v>
      </c>
      <c r="CD574" s="12">
        <f>Forecasts!BE5/1000</f>
        <v>333</v>
      </c>
      <c r="CE574" s="12">
        <f>Forecasts!BF5/1000</f>
        <v>861</v>
      </c>
      <c r="CF574" s="12">
        <f>Forecasts!BG5/1000</f>
        <v>505</v>
      </c>
      <c r="CG574" s="12">
        <f>Forecasts!BH5/1000</f>
        <v>659</v>
      </c>
      <c r="CI574" s="12">
        <f>Forecasts!BJ5/1000</f>
        <v>410</v>
      </c>
      <c r="CJ574" s="12">
        <f>Forecasts!BK5/1000</f>
        <v>494</v>
      </c>
      <c r="CK574" s="12">
        <f>Forecasts!BL5/1000</f>
        <v>259</v>
      </c>
      <c r="CL574" s="12">
        <f>Forecasts!BM5/1000</f>
        <v>1038</v>
      </c>
      <c r="CM574" s="12">
        <f>Forecasts!BN5/1000</f>
        <v>2201</v>
      </c>
      <c r="CN574" s="12">
        <f>Forecasts!BO5/1000</f>
        <v>537</v>
      </c>
      <c r="CO574" s="12">
        <f>Forecasts!BP5/1000</f>
        <v>448</v>
      </c>
      <c r="CP574" s="12">
        <f>Forecasts!BQ5/1000</f>
        <v>379.61700000000002</v>
      </c>
      <c r="CQ574" s="12">
        <f>Forecasts!BR5/1000</f>
        <v>785.76</v>
      </c>
      <c r="CR574" s="12">
        <f>Forecasts!BS5/1000</f>
        <v>2150.377</v>
      </c>
      <c r="CS574" s="12">
        <f>Forecasts!BT5/1000</f>
        <v>258.75700000000001</v>
      </c>
      <c r="CT574" s="12">
        <f>Forecasts!BU5/1000</f>
        <v>641.31799999999998</v>
      </c>
      <c r="CU574" s="12">
        <f>Forecasts!BV5/1000</f>
        <v>711</v>
      </c>
      <c r="CV574" s="12">
        <f>Forecasts!BW5/1000</f>
        <v>1823.3882607979899</v>
      </c>
      <c r="CW574" s="12">
        <f>Forecasts!BX5/1000</f>
        <v>3434.4632607979902</v>
      </c>
      <c r="CX574" s="12">
        <f>Forecasts!BY5/1000</f>
        <v>371.94462601480706</v>
      </c>
      <c r="CY574" s="12">
        <f>Forecasts!BZ5/1000</f>
        <v>1387.4639782219886</v>
      </c>
      <c r="CZ574" s="12">
        <f>Forecasts!CA5/1000</f>
        <v>870.29356623387503</v>
      </c>
      <c r="DA574" s="12">
        <f>Forecasts!CB5/1000</f>
        <v>1192.1206505395812</v>
      </c>
      <c r="DB574" s="12">
        <f>Forecasts!CC5/1000</f>
        <v>3821.822821010252</v>
      </c>
      <c r="DC574" s="12">
        <f>Forecasts!CD5/1000</f>
        <v>839.094325425835</v>
      </c>
      <c r="DD574" s="12">
        <f>Forecasts!CE5/1000</f>
        <v>217.97105838881799</v>
      </c>
      <c r="DE574" s="12">
        <f>Forecasts!CF5/1000</f>
        <v>1531.5476030607153</v>
      </c>
      <c r="DF574" s="12">
        <f>Forecasts!CG5/1000</f>
        <v>2580.5810500145603</v>
      </c>
      <c r="DG574" s="12">
        <f>Forecasts!CH5/1000</f>
        <v>5169.1940368899286</v>
      </c>
      <c r="DH574" s="10"/>
    </row>
    <row r="575" spans="1:112" s="7" customFormat="1">
      <c r="A575" s="302" t="s">
        <v>625</v>
      </c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>
        <f>Forecasts!P10/1000</f>
        <v>1350.8989999999999</v>
      </c>
      <c r="AP575" s="12">
        <f>Forecasts!Q10/1000</f>
        <v>276.113</v>
      </c>
      <c r="AQ575" s="12">
        <f>Forecasts!R10/1000</f>
        <v>494.13299999999998</v>
      </c>
      <c r="AR575" s="12">
        <f>Forecasts!S10/1000</f>
        <v>703.39800000000002</v>
      </c>
      <c r="AS575" s="12">
        <f>Forecasts!T10/1000</f>
        <v>1343.604</v>
      </c>
      <c r="AT575" s="12">
        <f>Forecasts!U10/1000</f>
        <v>2817.248</v>
      </c>
      <c r="AU575" s="12">
        <f>Forecasts!V10/1000</f>
        <v>718.76</v>
      </c>
      <c r="AV575" s="12">
        <f>Forecasts!W10/1000</f>
        <v>1277.779</v>
      </c>
      <c r="AW575" s="12">
        <f>Forecasts!X10/1000</f>
        <v>696.66099999999994</v>
      </c>
      <c r="AX575" s="12">
        <f>Forecasts!Y10/1000</f>
        <v>373.459</v>
      </c>
      <c r="AY575" s="12">
        <f>Forecasts!Z10/1000</f>
        <v>3066.6590000000001</v>
      </c>
      <c r="AZ575" s="12">
        <f>Forecasts!AA10/1000</f>
        <v>345.95499999999998</v>
      </c>
      <c r="BA575" s="12">
        <f>Forecasts!AB10/1000</f>
        <v>625.99400000000003</v>
      </c>
      <c r="BB575" s="12">
        <f>Forecasts!AC10/1000</f>
        <v>1230.711</v>
      </c>
      <c r="BC575" s="12">
        <f>Forecasts!AD10/1000</f>
        <v>1757.057</v>
      </c>
      <c r="BD575" s="12">
        <f>Forecasts!AE10/1000</f>
        <v>3959.7170000000001</v>
      </c>
      <c r="BE575" s="12">
        <f>Forecasts!AF10/1000</f>
        <v>869.00300000000004</v>
      </c>
      <c r="BF575" s="12">
        <f>Forecasts!AG10/1000</f>
        <v>1108.1559999999999</v>
      </c>
      <c r="BG575" s="12">
        <f>Forecasts!AH10/1000</f>
        <v>806.84900000000005</v>
      </c>
      <c r="BH575" s="12">
        <f>Forecasts!AI10/1000</f>
        <v>1980.9839999999999</v>
      </c>
      <c r="BI575" s="12">
        <f>Forecasts!AJ10/1000</f>
        <v>4764.9920000000002</v>
      </c>
      <c r="BJ575" s="12">
        <f>Forecasts!AK10/1000</f>
        <v>844</v>
      </c>
      <c r="BK575" s="12">
        <f>Forecasts!AL10/1000</f>
        <v>1274.5999999999999</v>
      </c>
      <c r="BL575" s="12">
        <f>Forecasts!AM10/1000</f>
        <v>1162</v>
      </c>
      <c r="BM575" s="12">
        <f>Forecasts!AN10/1000</f>
        <v>1992</v>
      </c>
      <c r="BN575" s="12">
        <f>Forecasts!AO10/1000</f>
        <v>5272.6</v>
      </c>
      <c r="BO575" s="12">
        <f>Forecasts!AP10/1000</f>
        <v>958</v>
      </c>
      <c r="BP575" s="12">
        <f>Forecasts!AQ10/1000</f>
        <v>1061.4000000000001</v>
      </c>
      <c r="BQ575" s="12">
        <f>Forecasts!AR10/1000</f>
        <v>1283.3</v>
      </c>
      <c r="BR575" s="12">
        <f>Forecasts!AS10/1000</f>
        <v>1080.7</v>
      </c>
      <c r="BS575" s="12">
        <f>Forecasts!AT10/1000</f>
        <v>4383.3999999999996</v>
      </c>
      <c r="BT575" s="12">
        <f>Forecasts!AU10/1000</f>
        <v>949</v>
      </c>
      <c r="BU575" s="12">
        <f>Forecasts!AV10/1000</f>
        <v>1470.3</v>
      </c>
      <c r="BV575" s="12">
        <f>Forecasts!AW10/1000</f>
        <v>1024.9000000000001</v>
      </c>
      <c r="BW575" s="12">
        <f>Forecasts!AX10/1000</f>
        <v>1642.4</v>
      </c>
      <c r="BX575" s="12">
        <f>Forecasts!AY10/1000</f>
        <v>5086.6000000000004</v>
      </c>
      <c r="BY575" s="12">
        <f>Forecasts!AZ10/1000</f>
        <v>1362.6</v>
      </c>
      <c r="BZ575" s="12">
        <f>Forecasts!BA10/1000</f>
        <v>1065.5</v>
      </c>
      <c r="CA575" s="12">
        <f>Forecasts!BB10/1000</f>
        <v>772</v>
      </c>
      <c r="CB575" s="12">
        <f>Forecasts!BC10/1000</f>
        <v>1473</v>
      </c>
      <c r="CC575" s="12">
        <f>Forecasts!BD10/1000</f>
        <v>4673.1000000000004</v>
      </c>
      <c r="CD575" s="12">
        <f>Forecasts!BE10/1000</f>
        <v>580</v>
      </c>
      <c r="CE575" s="12">
        <f>Forecasts!BF10/1000</f>
        <v>618</v>
      </c>
      <c r="CF575" s="12">
        <f>Forecasts!BG10/1000</f>
        <v>790</v>
      </c>
      <c r="CG575" s="12">
        <f>Forecasts!BH10/1000</f>
        <v>650</v>
      </c>
      <c r="CI575" s="12">
        <f>Forecasts!BJ10/1000</f>
        <v>415</v>
      </c>
      <c r="CJ575" s="12">
        <f>Forecasts!BK10/1000</f>
        <v>442</v>
      </c>
      <c r="CK575" s="12">
        <f>Forecasts!BL10/1000</f>
        <v>417</v>
      </c>
      <c r="CL575" s="12">
        <f>Forecasts!BM10/1000</f>
        <v>856</v>
      </c>
      <c r="CM575" s="12">
        <f>Forecasts!BN10/1000</f>
        <v>2130</v>
      </c>
      <c r="CN575" s="12">
        <f>Forecasts!BO10/1000</f>
        <v>369.2</v>
      </c>
      <c r="CO575" s="12">
        <f>Forecasts!BP10/1000</f>
        <v>567</v>
      </c>
      <c r="CP575" s="12">
        <f>Forecasts!BQ10/1000</f>
        <v>553.93200000000002</v>
      </c>
      <c r="CQ575" s="12">
        <f>Forecasts!BR10/1000</f>
        <v>871.92899999999997</v>
      </c>
      <c r="CR575" s="12">
        <f>Forecasts!BS10/1000</f>
        <v>2362.0610000000001</v>
      </c>
      <c r="CS575" s="12">
        <f>Forecasts!BT10/1000</f>
        <v>384.62400000000002</v>
      </c>
      <c r="CT575" s="12">
        <f>Forecasts!BU10/1000</f>
        <v>698.99599999999998</v>
      </c>
      <c r="CU575" s="12">
        <f>Forecasts!BV10/1000</f>
        <v>693</v>
      </c>
      <c r="CV575" s="12">
        <f>Forecasts!BW10/1000</f>
        <v>1720.3621818955999</v>
      </c>
      <c r="CW575" s="12">
        <f>Forecasts!BX10/1000</f>
        <v>3496.9821818955998</v>
      </c>
      <c r="CX575" s="12">
        <f>Forecasts!BY10/1000</f>
        <v>641.02213331012479</v>
      </c>
      <c r="CY575" s="12">
        <f>Forecasts!BZ10/1000</f>
        <v>1141.2676894440176</v>
      </c>
      <c r="CZ575" s="12">
        <f>Forecasts!CA10/1000</f>
        <v>959.70615684845598</v>
      </c>
      <c r="DA575" s="12">
        <f>Forecasts!CB10/1000</f>
        <v>1191.731713149263</v>
      </c>
      <c r="DB575" s="12">
        <f>Forecasts!CC10/1000</f>
        <v>3933.7276927518615</v>
      </c>
      <c r="DC575" s="12">
        <f>Forecasts!CD10/1000</f>
        <v>686.81096547813399</v>
      </c>
      <c r="DD575" s="12">
        <f>Forecasts!CE10/1000</f>
        <v>449.62566864391215</v>
      </c>
      <c r="DE575" s="12">
        <f>Forecasts!CF10/1000</f>
        <v>1549.1866511380215</v>
      </c>
      <c r="DF575" s="12">
        <f>Forecasts!CG10/1000</f>
        <v>1692.1182210430209</v>
      </c>
      <c r="DG575" s="12">
        <f>Forecasts!CH10/1000</f>
        <v>4377.7415063030885</v>
      </c>
      <c r="DH575" s="10"/>
    </row>
    <row r="576" spans="1:112" s="7" customFormat="1">
      <c r="A576" s="302" t="s">
        <v>756</v>
      </c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>
        <f>'Balance Sheet'!P109/1000</f>
        <v>671.61599999999999</v>
      </c>
      <c r="AP576" s="12">
        <f>'Balance Sheet'!Q109/1000</f>
        <v>2105.4879999999998</v>
      </c>
      <c r="AQ576" s="12">
        <f>'Balance Sheet'!R109/1000</f>
        <v>2014.566</v>
      </c>
      <c r="AR576" s="12">
        <f>'Balance Sheet'!S109/1000</f>
        <v>2288.2359999999999</v>
      </c>
      <c r="AS576" s="12">
        <f>'Balance Sheet'!T109/1000</f>
        <v>1308.5231600000002</v>
      </c>
      <c r="AT576" s="12">
        <f>'Balance Sheet'!U109/1000</f>
        <v>1308.5231600000002</v>
      </c>
      <c r="AU576" s="12">
        <f>'Balance Sheet'!V109/1000</f>
        <v>1494.1383399999997</v>
      </c>
      <c r="AV576" s="12">
        <f>'Balance Sheet'!W109/1000</f>
        <v>1919.07106</v>
      </c>
      <c r="AW576" s="12">
        <f>'Balance Sheet'!X109/1000</f>
        <v>2028.0155400000001</v>
      </c>
      <c r="AX576" s="12">
        <f>'Balance Sheet'!Y109/1000</f>
        <v>1906.902</v>
      </c>
      <c r="AY576" s="12">
        <f>'Balance Sheet'!Z109/1000</f>
        <v>1906.902</v>
      </c>
      <c r="AZ576" s="12">
        <f>'Balance Sheet'!AA109/1000</f>
        <v>1825.4459999999999</v>
      </c>
      <c r="BA576" s="12">
        <f>'Balance Sheet'!AB109/1000</f>
        <v>1560.933</v>
      </c>
      <c r="BB576" s="12">
        <f>'Balance Sheet'!AC109/1000</f>
        <v>1644.2919999999999</v>
      </c>
      <c r="BC576" s="12">
        <f>'Balance Sheet'!AD109/1000</f>
        <v>1923.2660000000001</v>
      </c>
      <c r="BD576" s="12">
        <f>'Balance Sheet'!AE109/1000</f>
        <v>1923.2660000000001</v>
      </c>
      <c r="BE576" s="12">
        <f>'Balance Sheet'!AF109/1000</f>
        <v>1922.5260000000001</v>
      </c>
      <c r="BF576" s="12">
        <f>'Balance Sheet'!AG109/1000</f>
        <v>2100.6990000000001</v>
      </c>
      <c r="BG576" s="12">
        <f>'Balance Sheet'!AH109/1000</f>
        <v>2132.7890000000002</v>
      </c>
      <c r="BH576" s="12">
        <f>'Balance Sheet'!AI109/1000</f>
        <v>2057.16</v>
      </c>
      <c r="BI576" s="12">
        <f>'Balance Sheet'!AJ109/1000</f>
        <v>2057.16</v>
      </c>
      <c r="BJ576" s="12">
        <f>'Balance Sheet'!AK109/1000</f>
        <v>1998.251</v>
      </c>
      <c r="BK576" s="12">
        <f>'Balance Sheet'!AL109/1000</f>
        <v>2154.9569999999999</v>
      </c>
      <c r="BL576" s="12">
        <f>'Balance Sheet'!AM109/1000</f>
        <v>2257.6039999999998</v>
      </c>
      <c r="BM576" s="12">
        <f>'Balance Sheet'!AN109/1000</f>
        <v>2308.2620000000002</v>
      </c>
      <c r="BN576" s="12">
        <f>'Balance Sheet'!AO109/1000</f>
        <v>2308.2620000000002</v>
      </c>
      <c r="BO576" s="12">
        <f>'Balance Sheet'!AP109/1000</f>
        <v>2323.3130000000001</v>
      </c>
      <c r="BP576" s="12">
        <f>'Balance Sheet'!AQ109/1000</f>
        <v>2236.2890000000002</v>
      </c>
      <c r="BQ576" s="12">
        <f>'Balance Sheet'!AR109/1000</f>
        <v>2141</v>
      </c>
      <c r="BR576" s="12">
        <f>'Balance Sheet'!AS109/1000</f>
        <v>2280.3960000000002</v>
      </c>
      <c r="BS576" s="12">
        <f>'Balance Sheet'!AT109/1000</f>
        <v>2280.3960000000002</v>
      </c>
      <c r="BT576" s="12">
        <f>'Balance Sheet'!AU109/1000</f>
        <v>2229.4650000000001</v>
      </c>
      <c r="BU576" s="12">
        <f>'Balance Sheet'!AV109/1000</f>
        <v>2192.7240000000002</v>
      </c>
      <c r="BV576" s="12">
        <f>'Balance Sheet'!AW109/1000</f>
        <v>2206.8319999999999</v>
      </c>
      <c r="BW576" s="12">
        <f>'Balance Sheet'!AX109/1000</f>
        <v>2045.085</v>
      </c>
      <c r="BX576" s="12">
        <f>'Balance Sheet'!AY109/1000</f>
        <v>2045.085</v>
      </c>
      <c r="BY576" s="12">
        <f>'Balance Sheet'!AZ109/1000</f>
        <v>2082.9499999999998</v>
      </c>
      <c r="BZ576" s="12">
        <f>'Balance Sheet'!BA109/1000</f>
        <v>1989.559</v>
      </c>
      <c r="CA576" s="12">
        <f>'Balance Sheet'!BB109/1000</f>
        <v>1841.6310000000001</v>
      </c>
      <c r="CB576" s="12">
        <f>'Balance Sheet'!BC109/1000</f>
        <v>1733.6469999999999</v>
      </c>
      <c r="CC576" s="12">
        <f>'Balance Sheet'!BD109/1000</f>
        <v>1733.6469999999999</v>
      </c>
      <c r="CD576" s="12">
        <f>'Balance Sheet'!BE109/1000</f>
        <v>1652.97</v>
      </c>
      <c r="CE576" s="12">
        <f>'Balance Sheet'!BF109/1000</f>
        <v>1624.241</v>
      </c>
      <c r="CF576" s="12">
        <f>'Balance Sheet'!BG109/1000</f>
        <v>1507.8309999999999</v>
      </c>
      <c r="CG576" s="12">
        <f>'Balance Sheet'!BH109/1000</f>
        <v>1363.412</v>
      </c>
      <c r="CI576" s="12">
        <f>'Balance Sheet'!BJ109/1000</f>
        <v>1204.771</v>
      </c>
      <c r="CJ576" s="12">
        <f>'Balance Sheet'!BK109/1000</f>
        <v>1064.799</v>
      </c>
      <c r="CK576" s="12">
        <f>'Balance Sheet'!BL109/1000</f>
        <v>894.21799999999996</v>
      </c>
      <c r="CL576" s="12">
        <f>'Balance Sheet'!BM109/1000</f>
        <v>833.84400000000005</v>
      </c>
      <c r="CM576" s="12">
        <f>'Balance Sheet'!BN109/1000</f>
        <v>833.84400000000005</v>
      </c>
      <c r="CN576" s="12">
        <f>'Balance Sheet'!BO109/1000</f>
        <v>770.63699999999994</v>
      </c>
      <c r="CO576" s="12">
        <f>'Balance Sheet'!BP109/1000</f>
        <v>712.57100000000003</v>
      </c>
      <c r="CP576" s="12">
        <f>'Balance Sheet'!BQ109/1000</f>
        <v>635.78800000000001</v>
      </c>
      <c r="CQ576" s="12">
        <f>'Balance Sheet'!BR109/1000</f>
        <v>644.63699999999994</v>
      </c>
      <c r="CR576" s="12">
        <f>'Balance Sheet'!BS109/1000</f>
        <v>644.63699999999994</v>
      </c>
      <c r="CS576" s="12">
        <f>'Balance Sheet'!BT109/1000</f>
        <v>642.75099999999998</v>
      </c>
      <c r="CT576" s="12">
        <f>'Balance Sheet'!BU109/1000</f>
        <v>609.62900000000002</v>
      </c>
      <c r="CU576" s="12">
        <f>'Balance Sheet'!BV109/1000</f>
        <v>597.27599999999995</v>
      </c>
      <c r="CV576" s="12">
        <f>'Balance Sheet'!BW109/1000</f>
        <v>703.83600000000001</v>
      </c>
      <c r="CW576" s="12">
        <f>'Balance Sheet'!BX109/1000</f>
        <v>703.83600000000001</v>
      </c>
      <c r="CX576" s="12">
        <f>'Balance Sheet'!BY109/1000</f>
        <v>744.46699999999998</v>
      </c>
      <c r="CY576" s="12">
        <f>'Balance Sheet'!BZ109/1000</f>
        <v>903.06200000000001</v>
      </c>
      <c r="CZ576" s="12">
        <f>'Balance Sheet'!CA109/1000</f>
        <v>977.08399999999995</v>
      </c>
      <c r="DA576" s="12">
        <f>'Balance Sheet'!CB109/1000</f>
        <v>1131.509</v>
      </c>
      <c r="DB576" s="12">
        <f>'Balance Sheet'!CC109/1000</f>
        <v>1131.509</v>
      </c>
      <c r="DC576" s="12">
        <f>'Balance Sheet'!CD109/1000</f>
        <v>1160.9110000000001</v>
      </c>
      <c r="DD576" s="12">
        <f>'Balance Sheet'!CE109/1000</f>
        <v>1137.1590000000001</v>
      </c>
      <c r="DE576" s="12">
        <f>'Balance Sheet'!CF109/1000</f>
        <v>1114.144</v>
      </c>
      <c r="DF576" s="12">
        <f>'Balance Sheet'!CG109/1000</f>
        <v>1229.4960000000001</v>
      </c>
      <c r="DG576" s="12">
        <f>'Balance Sheet'!CH109/1000</f>
        <v>1229.4960000000001</v>
      </c>
      <c r="DH576" s="10"/>
    </row>
    <row r="577" spans="1:112" s="7" customFormat="1">
      <c r="A577" s="11" t="s">
        <v>757</v>
      </c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>
        <f>Forecasts!P24/1000</f>
        <v>2230.6320000000001</v>
      </c>
      <c r="AP577" s="12">
        <f>Forecasts!Q24/1000</f>
        <v>2097.9470000000001</v>
      </c>
      <c r="AQ577" s="12">
        <f>Forecasts!R24/1000</f>
        <v>2051.9589999999998</v>
      </c>
      <c r="AR577" s="12">
        <f>Forecasts!S24/1000</f>
        <v>2270.3389999999999</v>
      </c>
      <c r="AS577" s="12">
        <f>Forecasts!T24/1000</f>
        <v>2875.8110000000001</v>
      </c>
      <c r="AT577" s="12">
        <f>Forecasts!U24/1000</f>
        <v>2875.8110000000001</v>
      </c>
      <c r="AU577" s="12">
        <f>Forecasts!V24/1000</f>
        <v>2681.45</v>
      </c>
      <c r="AV577" s="12">
        <f>Forecasts!W24/1000</f>
        <v>2923.17</v>
      </c>
      <c r="AW577" s="12">
        <f>Forecasts!X24/1000</f>
        <v>2923.1860000000001</v>
      </c>
      <c r="AX577" s="12">
        <f>Forecasts!Y24/1000</f>
        <v>3213.6260000000002</v>
      </c>
      <c r="AY577" s="12">
        <f>Forecasts!Z24/1000</f>
        <v>3213.6260000000002</v>
      </c>
      <c r="AZ577" s="12">
        <f>Forecasts!AA24/1000</f>
        <v>3265.79</v>
      </c>
      <c r="BA577" s="12">
        <f>Forecasts!AB24/1000</f>
        <v>3070.2280000000001</v>
      </c>
      <c r="BB577" s="12">
        <f>Forecasts!AC24/1000</f>
        <v>3391.1669999999999</v>
      </c>
      <c r="BC577" s="12">
        <f>Forecasts!AD24/1000</f>
        <v>3674.4259999999999</v>
      </c>
      <c r="BD577" s="12">
        <f>Forecasts!AE24/1000</f>
        <v>3674.4259999999999</v>
      </c>
      <c r="BE577" s="12">
        <f>Forecasts!AF24/1000</f>
        <v>3204.9679999999998</v>
      </c>
      <c r="BF577" s="12">
        <f>Forecasts!AG24/1000</f>
        <v>2792.5239999999999</v>
      </c>
      <c r="BG577" s="12">
        <f>Forecasts!AH24/1000</f>
        <v>3126.5569999999998</v>
      </c>
      <c r="BH577" s="12">
        <f>Forecasts!AI24/1000</f>
        <v>5111.8999999999996</v>
      </c>
      <c r="BI577" s="12">
        <f>Forecasts!AJ24/1000</f>
        <v>5111.8999999999996</v>
      </c>
      <c r="BJ577" s="12">
        <f>Forecasts!AK24/1000</f>
        <v>5264.9</v>
      </c>
      <c r="BK577" s="12">
        <f>Forecasts!AL24/1000</f>
        <v>5251</v>
      </c>
      <c r="BL577" s="12">
        <f>Forecasts!AM24/1000</f>
        <v>5749</v>
      </c>
      <c r="BM577" s="12">
        <f>Forecasts!AN24/1000</f>
        <v>6515</v>
      </c>
      <c r="BN577" s="12">
        <f>Forecasts!AO24/1000</f>
        <v>6515</v>
      </c>
      <c r="BO577" s="12">
        <f>Forecasts!AP24/1000</f>
        <v>6405</v>
      </c>
      <c r="BP577" s="12">
        <f>Forecasts!AQ24/1000</f>
        <v>6246</v>
      </c>
      <c r="BQ577" s="12">
        <f>Forecasts!AR24/1000</f>
        <v>6194</v>
      </c>
      <c r="BR577" s="12">
        <f>Forecasts!AS24/1000</f>
        <v>6626</v>
      </c>
      <c r="BS577" s="12">
        <f>Forecasts!AT24/1000</f>
        <v>6626</v>
      </c>
      <c r="BT577" s="12">
        <f>Forecasts!AU24/1000</f>
        <v>6340</v>
      </c>
      <c r="BU577" s="12">
        <f>Forecasts!AV24/1000</f>
        <v>6163.1</v>
      </c>
      <c r="BV577" s="12">
        <f>Forecasts!AW24/1000</f>
        <v>6233.5</v>
      </c>
      <c r="BW577" s="12">
        <f>Forecasts!AX24/1000</f>
        <v>6704</v>
      </c>
      <c r="BX577" s="12">
        <f>Forecasts!AY24/1000</f>
        <v>6704</v>
      </c>
      <c r="BY577" s="12">
        <f>Forecasts!AZ24/1000</f>
        <v>7187</v>
      </c>
      <c r="BZ577" s="12">
        <f>Forecasts!BA24/1000</f>
        <v>7020</v>
      </c>
      <c r="CA577" s="12">
        <f>Forecasts!BB24/1000</f>
        <v>6905</v>
      </c>
      <c r="CB577" s="12">
        <f>Forecasts!BC24/1000</f>
        <v>7331</v>
      </c>
      <c r="CC577" s="12">
        <f>Forecasts!BD24/1000</f>
        <v>7331</v>
      </c>
      <c r="CD577" s="12">
        <f>Forecasts!BE24/1000</f>
        <v>6919</v>
      </c>
      <c r="CE577" s="12">
        <f>Forecasts!BF24/1000</f>
        <v>7250</v>
      </c>
      <c r="CF577" s="12">
        <f>Forecasts!BG24/1000</f>
        <v>6853</v>
      </c>
      <c r="CG577" s="12">
        <f>Forecasts!BH24/1000</f>
        <v>6563</v>
      </c>
      <c r="CI577" s="12">
        <f>Forecasts!BJ24/1000</f>
        <v>6480</v>
      </c>
      <c r="CJ577" s="12">
        <f>Forecasts!BK24/1000</f>
        <v>6558</v>
      </c>
      <c r="CK577" s="12">
        <f>Forecasts!BL24/1000</f>
        <v>6412</v>
      </c>
      <c r="CL577" s="12">
        <f>Forecasts!BM24/1000</f>
        <v>6537</v>
      </c>
      <c r="CM577" s="12">
        <f>Forecasts!BN24/1000</f>
        <v>6537</v>
      </c>
      <c r="CN577" s="12">
        <f>Forecasts!BO24/1000</f>
        <v>6646</v>
      </c>
      <c r="CO577" s="12">
        <f>Forecasts!BP24/1000</f>
        <v>6441</v>
      </c>
      <c r="CP577" s="12">
        <f>Forecasts!BQ24/1000</f>
        <v>6212</v>
      </c>
      <c r="CQ577" s="12">
        <f>Forecasts!BR24/1000</f>
        <v>6176</v>
      </c>
      <c r="CR577" s="12">
        <f>Forecasts!BS24/1000</f>
        <v>6176</v>
      </c>
      <c r="CS577" s="12">
        <f>Forecasts!BT24/1000</f>
        <v>5912.8040000000001</v>
      </c>
      <c r="CT577" s="12">
        <f>Forecasts!BU24/1000</f>
        <v>5789.2939999999999</v>
      </c>
      <c r="CU577" s="12">
        <f>Forecasts!BV24/1000</f>
        <v>5574</v>
      </c>
      <c r="CV577" s="12">
        <f>Forecasts!BW24/1000</f>
        <v>4621.8886902507202</v>
      </c>
      <c r="CW577" s="12">
        <f>Forecasts!BX24/1000</f>
        <v>4621.8886902507202</v>
      </c>
      <c r="CX577" s="12">
        <f>Forecasts!BY24/1000</f>
        <v>4148.5440675220898</v>
      </c>
      <c r="CY577" s="12">
        <f>Forecasts!BZ24/1000</f>
        <v>4445.1627336126903</v>
      </c>
      <c r="CZ577" s="12">
        <f>Forecasts!CA24/1000</f>
        <v>4289.3714771361902</v>
      </c>
      <c r="DA577" s="12">
        <f>Forecasts!CB24/1000</f>
        <v>4340.0429178582399</v>
      </c>
      <c r="DB577" s="12">
        <f>Forecasts!CC24/1000</f>
        <v>4340.0429178582399</v>
      </c>
      <c r="DC577" s="12">
        <f>Forecasts!CD24/1000</f>
        <v>4479.7417942848997</v>
      </c>
      <c r="DD577" s="12">
        <f>Forecasts!CE24/1000</f>
        <v>4248.4518303872337</v>
      </c>
      <c r="DE577" s="12">
        <f>Forecasts!CF24/1000</f>
        <v>4301.2007935480051</v>
      </c>
      <c r="DF577" s="12">
        <f>Forecasts!CG24/1000</f>
        <v>5474.3655413125462</v>
      </c>
      <c r="DG577" s="12">
        <f>Forecasts!CH24/1000</f>
        <v>5474.3655413125462</v>
      </c>
      <c r="DH577" s="10"/>
    </row>
    <row r="578" spans="1:112" s="7" customFormat="1">
      <c r="A578" s="11" t="s">
        <v>758</v>
      </c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303">
        <f>Forecasts!P30</f>
        <v>0.37718478494252877</v>
      </c>
      <c r="AP578" s="303">
        <f>Forecasts!Q30</f>
        <v>0.11630413721641407</v>
      </c>
      <c r="AQ578" s="303">
        <f>Forecasts!R30</f>
        <v>0.19407507662723891</v>
      </c>
      <c r="AR578" s="303">
        <f>Forecasts!S30</f>
        <v>0.23653672130386783</v>
      </c>
      <c r="AS578" s="303">
        <f>Forecasts!T30</f>
        <v>0.31843371652231411</v>
      </c>
      <c r="AT578" s="303">
        <f>Forecasts!U30</f>
        <v>0.49485663155783211</v>
      </c>
      <c r="AU578" s="303">
        <f>Forecasts!V30</f>
        <v>0.30939618435331934</v>
      </c>
      <c r="AV578" s="303">
        <f>Forecasts!W30</f>
        <v>0.47407873666480055</v>
      </c>
      <c r="AW578" s="303">
        <f>Forecasts!X30</f>
        <v>0.28673942240371808</v>
      </c>
      <c r="AX578" s="303">
        <f>Forecasts!Y30</f>
        <v>0.15887575309700883</v>
      </c>
      <c r="AY578" s="303">
        <f>Forecasts!Z30</f>
        <v>0.5986468305317445</v>
      </c>
      <c r="AZ578" s="303">
        <f>Forecasts!AA30</f>
        <v>0.13824396509187806</v>
      </c>
      <c r="BA578" s="303">
        <f>Forecasts!AB30</f>
        <v>0.2236156653180445</v>
      </c>
      <c r="BB578" s="303">
        <f>Forecasts!AC30</f>
        <v>0.35756713933265499</v>
      </c>
      <c r="BC578" s="303">
        <f>Forecasts!AD30</f>
        <v>0.41468776431546739</v>
      </c>
      <c r="BD578" s="303">
        <f>Forecasts!AE30</f>
        <v>0.58786156356212327</v>
      </c>
      <c r="BE578" s="303">
        <f>Forecasts!AF30</f>
        <v>0.25643720542560677</v>
      </c>
      <c r="BF578" s="303">
        <f>Forecasts!AG30</f>
        <v>0.38506589421866783</v>
      </c>
      <c r="BG578" s="303">
        <f>Forecasts!AH30</f>
        <v>0.26837806698085698</v>
      </c>
      <c r="BH578" s="303">
        <f>Forecasts!AI30</f>
        <v>0.37656608348513715</v>
      </c>
      <c r="BI578" s="303">
        <f>Forecasts!AJ30</f>
        <v>0.54699038700467939</v>
      </c>
      <c r="BJ578" s="303">
        <f>Forecasts!AK30</f>
        <v>0.16597717190848826</v>
      </c>
      <c r="BK578" s="303">
        <f>Forecasts!AL30</f>
        <v>0.25370750627424138</v>
      </c>
      <c r="BL578" s="303">
        <f>Forecasts!AM30</f>
        <v>0.2162686567164179</v>
      </c>
      <c r="BM578" s="303">
        <f>Forecasts!AN30</f>
        <v>0.28479196556671449</v>
      </c>
      <c r="BN578" s="303">
        <f>Forecasts!AO30</f>
        <v>0.49919336252592761</v>
      </c>
      <c r="BO578" s="303">
        <f>Forecasts!AP30</f>
        <v>0.16946798166412003</v>
      </c>
      <c r="BP578" s="303">
        <f>Forecasts!AQ30</f>
        <v>0.17961264573623278</v>
      </c>
      <c r="BQ578" s="303">
        <f>Forecasts!AR30</f>
        <v>0.24519183764682878</v>
      </c>
      <c r="BR578" s="303">
        <f>Forecasts!AS30</f>
        <v>0.1524008350730689</v>
      </c>
      <c r="BS578" s="303">
        <f>Forecasts!AT30</f>
        <v>0.47128397392049737</v>
      </c>
      <c r="BT578" s="303">
        <f>Forecasts!AU30</f>
        <v>0.16078584149599287</v>
      </c>
      <c r="BU578" s="303">
        <f>Forecasts!AV30</f>
        <v>0.22257499308364181</v>
      </c>
      <c r="BV578" s="303">
        <f>Forecasts!AW30</f>
        <v>0.19231639056934471</v>
      </c>
      <c r="BW578" s="303">
        <f>Forecasts!AX30</f>
        <v>0.21346242508068233</v>
      </c>
      <c r="BX578" s="303">
        <f>Forecasts!AY30</f>
        <v>0.49645706357464942</v>
      </c>
      <c r="BY578" s="303">
        <f>Forecasts!AZ30</f>
        <v>0.18373379552685312</v>
      </c>
      <c r="BZ578" s="303">
        <f>Forecasts!BA30</f>
        <v>0.15569751894220771</v>
      </c>
      <c r="CA578" s="303">
        <f>Forecasts!BB30</f>
        <v>0.12713059079841088</v>
      </c>
      <c r="CB578" s="303">
        <f>Forecasts!BC30</f>
        <v>0.196600066232476</v>
      </c>
      <c r="CC578" s="303">
        <f>Forecasts!BD30</f>
        <v>0.4482002249718785</v>
      </c>
      <c r="CD578" s="303">
        <f>Forecasts!BE30</f>
        <v>9.2715807031049521E-2</v>
      </c>
      <c r="CE578" s="303">
        <f>Forecasts!BF30</f>
        <v>0.10189818409517847</v>
      </c>
      <c r="CF578" s="303">
        <f>Forecasts!BG30</f>
        <v>0.12840648854961831</v>
      </c>
      <c r="CG578" s="303">
        <f>Forecasts!BH30</f>
        <v>0.11086654406935505</v>
      </c>
      <c r="CI578" s="303">
        <f>Forecasts!BJ30</f>
        <v>7.574763099219621E-2</v>
      </c>
      <c r="CJ578" s="303">
        <f>Forecasts!BK30</f>
        <v>7.8889375529810679E-2</v>
      </c>
      <c r="CK578" s="303">
        <f>Forecasts!BL30</f>
        <v>8.179029957203994E-2</v>
      </c>
      <c r="CL578" s="303">
        <f>Forecasts!BM30</f>
        <v>0.14185115794951861</v>
      </c>
      <c r="CM578" s="303">
        <f>Forecasts!BN30</f>
        <v>0.29111178947368421</v>
      </c>
      <c r="CN578" s="303">
        <f>Forecasts!BO30</f>
        <v>7.2737445796614911E-2</v>
      </c>
      <c r="CO578" s="303">
        <f>Forecasts!BP30</f>
        <v>0.10376063683777106</v>
      </c>
      <c r="CP578" s="303">
        <f>Forecasts!BQ30</f>
        <v>0.10463849574579398</v>
      </c>
      <c r="CQ578" s="303">
        <f>Forecasts!BR30</f>
        <v>0.16752510588857716</v>
      </c>
      <c r="CR578" s="303">
        <f>Forecasts!BS30</f>
        <v>0.33982219329417274</v>
      </c>
      <c r="CS578" s="303">
        <f>Forecasts!BT30</f>
        <v>9.2748727846327067E-2</v>
      </c>
      <c r="CT578" s="303">
        <f>Forecasts!BU30</f>
        <v>0.15388865350492364</v>
      </c>
      <c r="CU578" s="303">
        <f>Forecasts!BV30</f>
        <v>0.14059321091337282</v>
      </c>
      <c r="CV578" s="303">
        <f>Forecasts!BW30</f>
        <v>0.29461548830409756</v>
      </c>
      <c r="CW578" s="303">
        <f>Forecasts!BX30</f>
        <v>0.45085073071467474</v>
      </c>
      <c r="CX578" s="303">
        <f>Forecasts!BY30</f>
        <v>0.15264348218652149</v>
      </c>
      <c r="CY578" s="303">
        <f>Forecasts!BZ30</f>
        <v>0.22997744178627094</v>
      </c>
      <c r="CZ578" s="303">
        <f>Forecasts!CA30</f>
        <v>0.20673361118581005</v>
      </c>
      <c r="DA578" s="303">
        <f>Forecasts!CB30</f>
        <v>0.24396446710562603</v>
      </c>
      <c r="DB578" s="303">
        <f>Forecasts!CC30</f>
        <v>0.51113382995719558</v>
      </c>
      <c r="DC578" s="303">
        <f>Forecasts!CD30</f>
        <v>0.15656799408593361</v>
      </c>
      <c r="DD578" s="303">
        <f>Forecasts!CE30</f>
        <v>0.10823504261393342</v>
      </c>
      <c r="DE578" s="303">
        <f>Forecasts!CF30</f>
        <v>0.2901257246354948</v>
      </c>
      <c r="DF578" s="303">
        <f>Forecasts!CG30</f>
        <v>0.2592769792826205</v>
      </c>
      <c r="DG578" s="303">
        <f>Forecasts!CH30</f>
        <v>0.48416387270990546</v>
      </c>
      <c r="DH578" s="10"/>
    </row>
    <row r="579" spans="1:112" s="7" customFormat="1">
      <c r="A579" s="302" t="s">
        <v>759</v>
      </c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>
        <f>'Income Statement'!P58/1000</f>
        <v>269.303</v>
      </c>
      <c r="AP579" s="12">
        <f>'Income Statement'!Q58/1000</f>
        <v>61.618000000000002</v>
      </c>
      <c r="AQ579" s="12">
        <f>'Income Statement'!R58/1000</f>
        <v>101.72</v>
      </c>
      <c r="AR579" s="12">
        <f>'Income Statement'!S58/1000</f>
        <v>102.77</v>
      </c>
      <c r="AS579" s="12">
        <f>'Income Statement'!T58/1000</f>
        <v>125.423</v>
      </c>
      <c r="AT579" s="12">
        <f>'Income Statement'!U58/1000</f>
        <v>391.53100000000001</v>
      </c>
      <c r="AU579" s="12">
        <f>'Income Statement'!V58/1000</f>
        <v>106.316</v>
      </c>
      <c r="AV579" s="12">
        <f>'Income Statement'!W58/1000</f>
        <v>161.54400000000001</v>
      </c>
      <c r="AW579" s="12">
        <f>'Income Statement'!X58/1000</f>
        <v>161.941</v>
      </c>
      <c r="AX579" s="12">
        <f>'Income Statement'!Y58/1000</f>
        <v>99.608000000000004</v>
      </c>
      <c r="AY579" s="12">
        <f>'Income Statement'!Z58/1000</f>
        <v>529.40899999999999</v>
      </c>
      <c r="AZ579" s="12">
        <f>'Income Statement'!AA58/1000</f>
        <v>162.922</v>
      </c>
      <c r="BA579" s="12">
        <f>'Income Statement'!AB58/1000</f>
        <v>209.977</v>
      </c>
      <c r="BB579" s="12">
        <f>'Income Statement'!AC58/1000</f>
        <v>287.33100000000002</v>
      </c>
      <c r="BC579" s="12">
        <f>'Income Statement'!AD58/1000</f>
        <v>260.589</v>
      </c>
      <c r="BD579" s="12">
        <f>'Income Statement'!AE58/1000</f>
        <v>920.81899999999996</v>
      </c>
      <c r="BE579" s="12">
        <f>'Income Statement'!AF58/1000</f>
        <v>248.92</v>
      </c>
      <c r="BF579" s="12">
        <f>'Income Statement'!AG58/1000</f>
        <v>242.41800000000001</v>
      </c>
      <c r="BG579" s="12">
        <f>'Income Statement'!AH58/1000</f>
        <v>247.77799999999999</v>
      </c>
      <c r="BH579" s="12">
        <f>'Income Statement'!AI58/1000</f>
        <v>198.851</v>
      </c>
      <c r="BI579" s="12">
        <f>'Income Statement'!AJ58/1000</f>
        <v>937.96699999999998</v>
      </c>
      <c r="BJ579" s="12">
        <f>'Income Statement'!AK58/1000</f>
        <v>181.18799999999999</v>
      </c>
      <c r="BK579" s="12">
        <f>'Income Statement'!AL58/1000</f>
        <v>185.78800000000001</v>
      </c>
      <c r="BL579" s="12">
        <f>'Income Statement'!AM58/1000</f>
        <v>291.69200000000001</v>
      </c>
      <c r="BM579" s="12">
        <f>'Income Statement'!AN58/1000</f>
        <v>387.053</v>
      </c>
      <c r="BN579" s="12">
        <f>'Income Statement'!AO58/1000</f>
        <v>1045.721</v>
      </c>
      <c r="BO579" s="12">
        <f>'Income Statement'!AP58/1000</f>
        <v>298.892</v>
      </c>
      <c r="BP579" s="12">
        <f>'Income Statement'!AQ58/1000</f>
        <v>256.65100000000001</v>
      </c>
      <c r="BQ579" s="12">
        <f>'Income Statement'!AR58/1000</f>
        <v>288.66699999999997</v>
      </c>
      <c r="BR579" s="12">
        <f>'Income Statement'!AS58/1000</f>
        <v>299.44099999999997</v>
      </c>
      <c r="BS579" s="12">
        <f>'Income Statement'!AT58/1000</f>
        <v>1143.6510000000001</v>
      </c>
      <c r="BT579" s="12">
        <f>'Income Statement'!AU58/1000</f>
        <v>260.15800000000002</v>
      </c>
      <c r="BU579" s="12">
        <f>'Income Statement'!AV58/1000</f>
        <v>293.08</v>
      </c>
      <c r="BV579" s="12">
        <f>'Income Statement'!AW58/1000</f>
        <v>310.04300000000001</v>
      </c>
      <c r="BW579" s="12">
        <f>'Income Statement'!AX58/1000</f>
        <v>314.48899999999998</v>
      </c>
      <c r="BX579" s="12">
        <f>'Income Statement'!AY58/1000</f>
        <v>1177.77</v>
      </c>
      <c r="BY579" s="12">
        <f>'Income Statement'!AZ58/1000</f>
        <v>288.03899999999999</v>
      </c>
      <c r="BZ579" s="12">
        <f>'Income Statement'!BA58/1000</f>
        <v>291.73099999999999</v>
      </c>
      <c r="CA579" s="12">
        <f>'Income Statement'!BB58/1000</f>
        <v>292.12900000000002</v>
      </c>
      <c r="CB579" s="12">
        <f>'Income Statement'!BC58/1000</f>
        <v>257.53500000000003</v>
      </c>
      <c r="CC579" s="12">
        <f>'Income Statement'!BD58/1000</f>
        <v>1129.434</v>
      </c>
      <c r="CD579" s="12">
        <f>'Income Statement'!BE58/1000</f>
        <v>186.565</v>
      </c>
      <c r="CE579" s="12">
        <f>'Income Statement'!BF58/1000</f>
        <v>261.137</v>
      </c>
      <c r="CF579" s="12">
        <f>'Income Statement'!BG58/1000</f>
        <v>226.40199999999999</v>
      </c>
      <c r="CG579" s="12">
        <f>'Income Statement'!BH58/1000</f>
        <v>163.24199999999999</v>
      </c>
      <c r="CI579" s="12">
        <f>'Income Statement'!BJ58/1000</f>
        <v>160.18199999999999</v>
      </c>
      <c r="CJ579" s="12">
        <f>'Income Statement'!BK58/1000</f>
        <v>98.307000000000002</v>
      </c>
      <c r="CK579" s="12">
        <f>'Income Statement'!BL58/1000</f>
        <v>118.245</v>
      </c>
      <c r="CL579" s="12">
        <f>'Income Statement'!BM58/1000</f>
        <v>94.123999999999995</v>
      </c>
      <c r="CM579" s="12">
        <f>'Income Statement'!BN58/1000</f>
        <v>470.858</v>
      </c>
      <c r="CN579" s="12">
        <f>'Income Statement'!BO58/1000</f>
        <v>101.20099999999999</v>
      </c>
      <c r="CO579" s="12">
        <f>'Income Statement'!BP58/1000</f>
        <v>-82.778999999999996</v>
      </c>
      <c r="CP579" s="12">
        <f>'Income Statement'!BQ58/1000</f>
        <v>31.821000000000002</v>
      </c>
      <c r="CQ579" s="12">
        <f>'Income Statement'!BR58/1000</f>
        <v>57.631999999999998</v>
      </c>
      <c r="CR579" s="12">
        <f>'Income Statement'!BS58/1000</f>
        <v>107.875</v>
      </c>
      <c r="CS579" s="12">
        <f>'Income Statement'!BT58/1000</f>
        <v>5.6630000000000003</v>
      </c>
      <c r="CT579" s="12">
        <f>'Income Statement'!BU58/1000</f>
        <v>15.129</v>
      </c>
      <c r="CU579" s="12">
        <f>'Income Statement'!BV58/1000</f>
        <v>-44.829000000000001</v>
      </c>
      <c r="CV579" s="12">
        <f>'Income Statement'!BW58/1000</f>
        <v>139.911</v>
      </c>
      <c r="CW579" s="12">
        <f>'Income Statement'!BX58/1000</f>
        <v>95.873999999999995</v>
      </c>
      <c r="CX579" s="12">
        <f>'Income Statement'!BY58/1000</f>
        <v>126.684</v>
      </c>
      <c r="CY579" s="12">
        <f>'Income Statement'!BZ58/1000</f>
        <v>102.51</v>
      </c>
      <c r="CZ579" s="12">
        <f>'Income Statement'!CA58/1000</f>
        <v>149.79499999999999</v>
      </c>
      <c r="DA579" s="12">
        <f>'Income Statement'!CB58/1000</f>
        <v>262.78100000000001</v>
      </c>
      <c r="DB579" s="12">
        <f>'Income Statement'!CC58/1000</f>
        <v>641.77</v>
      </c>
      <c r="DC579" s="12">
        <f>'Income Statement'!CD58/1000</f>
        <v>79.983999999999995</v>
      </c>
      <c r="DD579" s="12">
        <f>'Income Statement'!CE58/1000</f>
        <v>111.84</v>
      </c>
      <c r="DE579" s="12">
        <f>'Income Statement'!CF58/1000</f>
        <v>221.11199999999999</v>
      </c>
      <c r="DF579" s="12">
        <f>'Income Statement'!CG58/1000</f>
        <v>226.74600000000001</v>
      </c>
      <c r="DG579" s="12">
        <f>'Income Statement'!CH58/1000</f>
        <v>639.68200000000002</v>
      </c>
      <c r="DH579" s="10"/>
    </row>
    <row r="580" spans="1:112" s="7" customFormat="1">
      <c r="A580" s="302" t="s">
        <v>760</v>
      </c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>
        <f>'Income Statement'!P13/1000</f>
        <v>0</v>
      </c>
      <c r="AP580" s="12">
        <f>'Income Statement'!Q13/1000</f>
        <v>0</v>
      </c>
      <c r="AQ580" s="12">
        <f>'Income Statement'!R13/1000</f>
        <v>0</v>
      </c>
      <c r="AR580" s="12">
        <f>'Income Statement'!S13/1000</f>
        <v>0</v>
      </c>
      <c r="AS580" s="12">
        <f>'Income Statement'!T13/1000</f>
        <v>0</v>
      </c>
      <c r="AT580" s="12">
        <f>'Income Statement'!U13/1000</f>
        <v>0</v>
      </c>
      <c r="AU580" s="12">
        <f>'Income Statement'!V13/1000</f>
        <v>0</v>
      </c>
      <c r="AV580" s="12">
        <f>'Income Statement'!W13/1000</f>
        <v>0</v>
      </c>
      <c r="AW580" s="12">
        <f>'Income Statement'!X13/1000</f>
        <v>-8.0830000000000002</v>
      </c>
      <c r="AX580" s="12">
        <f>'Income Statement'!Y13/1000</f>
        <v>-8.0830000000000002</v>
      </c>
      <c r="AY580" s="12">
        <f>'Income Statement'!Z13/1000</f>
        <v>-16.166</v>
      </c>
      <c r="AZ580" s="12">
        <f>'Income Statement'!AA13/1000</f>
        <v>-9.1690000000000005</v>
      </c>
      <c r="BA580" s="12">
        <f>'Income Statement'!AB13/1000</f>
        <v>-11.627000000000001</v>
      </c>
      <c r="BB580" s="12">
        <f>'Income Statement'!AC13/1000</f>
        <v>-10.943</v>
      </c>
      <c r="BC580" s="12">
        <f>'Income Statement'!AD13/1000</f>
        <v>-8.2129999999999992</v>
      </c>
      <c r="BD580" s="12">
        <f>'Income Statement'!AE13/1000</f>
        <v>-39.951999999999998</v>
      </c>
      <c r="BE580" s="12">
        <f>'Income Statement'!AF13/1000</f>
        <v>-9.5500000000000007</v>
      </c>
      <c r="BF580" s="12">
        <f>'Income Statement'!AG13/1000</f>
        <v>-19.321999999999999</v>
      </c>
      <c r="BG580" s="12">
        <f>'Income Statement'!AH13/1000</f>
        <v>-17.091000000000001</v>
      </c>
      <c r="BH580" s="12">
        <f>'Income Statement'!AI13/1000</f>
        <v>-50.231999999999999</v>
      </c>
      <c r="BI580" s="12">
        <f>'Income Statement'!AJ13/1000</f>
        <v>-96.194999999999993</v>
      </c>
      <c r="BJ580" s="12">
        <f>'Income Statement'!AK13/1000</f>
        <v>-39.087000000000003</v>
      </c>
      <c r="BK580" s="12">
        <f>'Income Statement'!AL13/1000</f>
        <v>-42.363999999999997</v>
      </c>
      <c r="BL580" s="12">
        <f>'Income Statement'!AM13/1000</f>
        <v>-60.744999999999997</v>
      </c>
      <c r="BM580" s="12">
        <f>'Income Statement'!AN13/1000</f>
        <v>-50</v>
      </c>
      <c r="BN580" s="12">
        <f>'Income Statement'!AO13/1000</f>
        <v>-192.196</v>
      </c>
      <c r="BO580" s="12">
        <f>'Income Statement'!AP13/1000</f>
        <v>-40.799999999999997</v>
      </c>
      <c r="BP580" s="12">
        <f>'Income Statement'!AQ13/1000</f>
        <v>-35.488999999999997</v>
      </c>
      <c r="BQ580" s="12">
        <f>'Income Statement'!AR13/1000</f>
        <v>-43.033000000000001</v>
      </c>
      <c r="BR580" s="12">
        <f>'Income Statement'!AS13/1000</f>
        <v>-58.984999999999999</v>
      </c>
      <c r="BS580" s="12">
        <f>'Income Statement'!AT13/1000</f>
        <v>-178.30699999999999</v>
      </c>
      <c r="BT580" s="12">
        <f>'Income Statement'!AU13/1000</f>
        <v>-29.978999999999999</v>
      </c>
      <c r="BU580" s="12">
        <f>'Income Statement'!AV13/1000</f>
        <v>-32.283999999999999</v>
      </c>
      <c r="BV580" s="12">
        <f>'Income Statement'!AW13/1000</f>
        <v>-49.78</v>
      </c>
      <c r="BW580" s="12">
        <f>'Income Statement'!AX13/1000</f>
        <v>-74.332999999999998</v>
      </c>
      <c r="BX580" s="12">
        <f>'Income Statement'!AY13/1000</f>
        <v>-186.376</v>
      </c>
      <c r="BY580" s="12">
        <f>'Income Statement'!AZ13/1000</f>
        <v>-48.552</v>
      </c>
      <c r="BZ580" s="12">
        <f>'Income Statement'!BA13/1000</f>
        <v>-52.737000000000002</v>
      </c>
      <c r="CA580" s="12">
        <f>'Income Statement'!BB13/1000</f>
        <v>-51.237000000000002</v>
      </c>
      <c r="CB580" s="12">
        <f>'Income Statement'!BC13/1000</f>
        <v>-55.201999999999998</v>
      </c>
      <c r="CC580" s="12">
        <f>'Income Statement'!BD13/1000</f>
        <v>-207.72800000000001</v>
      </c>
      <c r="CD580" s="12">
        <f>'Income Statement'!BE13/1000</f>
        <v>-44.064999999999998</v>
      </c>
      <c r="CE580" s="12">
        <f>'Income Statement'!BF13/1000</f>
        <v>-40.835000000000001</v>
      </c>
      <c r="CF580" s="12">
        <f>'Income Statement'!BG13/1000</f>
        <v>-43.100999999999999</v>
      </c>
      <c r="CG580" s="12">
        <f>'Income Statement'!BH13/1000</f>
        <v>-43</v>
      </c>
      <c r="CI580" s="12">
        <f>'Income Statement'!BJ13/1000</f>
        <v>-50.356999999999999</v>
      </c>
      <c r="CJ580" s="12">
        <f>'Income Statement'!BK13/1000</f>
        <v>-48.046999999999997</v>
      </c>
      <c r="CK580" s="12">
        <f>'Income Statement'!BL13/1000</f>
        <v>-55.155999999999999</v>
      </c>
      <c r="CL580" s="12">
        <f>'Income Statement'!BM13/1000</f>
        <v>-49.192</v>
      </c>
      <c r="CM580" s="12">
        <f>'Income Statement'!BN13/1000</f>
        <v>-202.75200000000001</v>
      </c>
      <c r="CN580" s="12">
        <f>'Income Statement'!BO13/1000</f>
        <v>-44.881</v>
      </c>
      <c r="CO580" s="12">
        <f>'Income Statement'!BP13/1000</f>
        <v>-48.098999999999997</v>
      </c>
      <c r="CP580" s="12">
        <f>'Income Statement'!BQ13/1000</f>
        <v>-39.366999999999997</v>
      </c>
      <c r="CQ580" s="12">
        <f>'Income Statement'!BR13/1000</f>
        <v>-41.619</v>
      </c>
      <c r="CR580" s="12">
        <f>'Income Statement'!BS13/1000</f>
        <v>-173.96600000000001</v>
      </c>
      <c r="CS580" s="12">
        <f>'Income Statement'!BT13/1000</f>
        <v>-25.605</v>
      </c>
      <c r="CT580" s="12">
        <f>'Income Statement'!BU13/1000</f>
        <v>-28.98</v>
      </c>
      <c r="CU580" s="12">
        <f>'Income Statement'!BV13/1000</f>
        <v>-32.881999999999998</v>
      </c>
      <c r="CV580" s="12">
        <f>'Income Statement'!BW13/1000</f>
        <v>-22.25</v>
      </c>
      <c r="CW580" s="12">
        <f>'Income Statement'!BX13/1000</f>
        <v>-109.717</v>
      </c>
      <c r="CX580" s="12">
        <f>'Income Statement'!BY13/1000</f>
        <v>-23.843</v>
      </c>
      <c r="CY580" s="12">
        <f>'Income Statement'!BZ13/1000</f>
        <v>-18.259</v>
      </c>
      <c r="CZ580" s="12">
        <f>'Income Statement'!CA13/1000</f>
        <v>-20.161999999999999</v>
      </c>
      <c r="DA580" s="12">
        <f>'Income Statement'!CB13/1000</f>
        <v>-19.13</v>
      </c>
      <c r="DB580" s="12">
        <f>'Income Statement'!CC13/1000</f>
        <v>-81.394000000000005</v>
      </c>
      <c r="DC580" s="12">
        <f>'Income Statement'!CD13/1000</f>
        <v>-11.643000000000001</v>
      </c>
      <c r="DD580" s="12">
        <f>'Income Statement'!CE13/1000</f>
        <v>-16.826000000000001</v>
      </c>
      <c r="DE580" s="12">
        <f>'Income Statement'!CF13/1000</f>
        <v>-18.257000000000001</v>
      </c>
      <c r="DF580" s="12">
        <f>'Income Statement'!CG13/1000</f>
        <v>-20.626999999999999</v>
      </c>
      <c r="DG580" s="12">
        <f>'Income Statement'!CH13/1000</f>
        <v>-67.352999999999994</v>
      </c>
      <c r="DH580" s="10"/>
    </row>
    <row r="581" spans="1:112" s="7" customFormat="1">
      <c r="A581" s="302" t="s">
        <v>761</v>
      </c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>
        <f>'Balance Sheet'!P53/1000-'Balance Sheet'!K53/1000</f>
        <v>-106.55100000000004</v>
      </c>
      <c r="AP581" s="12">
        <f>'Balance Sheet'!Q53/1000-'Balance Sheet'!P53/1000</f>
        <v>346.12900000000002</v>
      </c>
      <c r="AQ581" s="12">
        <f>'Balance Sheet'!R53/1000-'Balance Sheet'!Q53/1000</f>
        <v>128.06299999999999</v>
      </c>
      <c r="AR581" s="12">
        <f>'Balance Sheet'!S53/1000-'Balance Sheet'!R53/1000</f>
        <v>-117.542</v>
      </c>
      <c r="AS581" s="12">
        <f>'Balance Sheet'!T53/1000-'Balance Sheet'!S53/1000</f>
        <v>272.78800000000001</v>
      </c>
      <c r="AT581" s="12">
        <f>'Balance Sheet'!U53/1000-'Balance Sheet'!P53/1000</f>
        <v>629.43799999999999</v>
      </c>
      <c r="AU581" s="12">
        <f>'Balance Sheet'!V53/1000-'Balance Sheet'!U53/1000</f>
        <v>209.86800000000002</v>
      </c>
      <c r="AV581" s="12">
        <f>'Balance Sheet'!W53/1000-'Balance Sheet'!V53/1000</f>
        <v>299.33500000000004</v>
      </c>
      <c r="AW581" s="12">
        <f>'Balance Sheet'!X53/1000-'Balance Sheet'!W53/1000</f>
        <v>266.11299999999994</v>
      </c>
      <c r="AX581" s="12">
        <f>'Balance Sheet'!Y53/1000-'Balance Sheet'!X53/1000</f>
        <v>351.25399999999991</v>
      </c>
      <c r="AY581" s="12">
        <f>'Balance Sheet'!Z53/1000-'Balance Sheet'!U53/1000</f>
        <v>1126.57</v>
      </c>
      <c r="AZ581" s="12">
        <f>'Balance Sheet'!AA53/1000-'Balance Sheet'!Z53/1000</f>
        <v>269.04900000000021</v>
      </c>
      <c r="BA581" s="12">
        <f>'Balance Sheet'!AB53/1000-'Balance Sheet'!AA53/1000</f>
        <v>407.37799999999993</v>
      </c>
      <c r="BB581" s="12">
        <f>'Balance Sheet'!AC53/1000-'Balance Sheet'!AB53/1000</f>
        <v>145.39400000000001</v>
      </c>
      <c r="BC581" s="12">
        <f>'Balance Sheet'!AD53/1000-'Balance Sheet'!AC53/1000</f>
        <v>-1083.489</v>
      </c>
      <c r="BD581" s="12">
        <f>'Balance Sheet'!AE53/1000-'Balance Sheet'!Z53/1000</f>
        <v>-261.66799999999989</v>
      </c>
      <c r="BE581" s="12">
        <f>'Balance Sheet'!AF53/1000-'Balance Sheet'!AE53/1000</f>
        <v>366.98399999999992</v>
      </c>
      <c r="BF581" s="12">
        <f>'Balance Sheet'!AG53/1000-'Balance Sheet'!AF53/1000</f>
        <v>470.37800000000016</v>
      </c>
      <c r="BG581" s="12">
        <f>'Balance Sheet'!AH53/1000-'Balance Sheet'!AG53/1000</f>
        <v>204.39800000000014</v>
      </c>
      <c r="BH581" s="12">
        <f>'Balance Sheet'!AI53/1000-'Balance Sheet'!AH53/1000</f>
        <v>284.9069999999997</v>
      </c>
      <c r="BI581" s="12">
        <f>'Balance Sheet'!AJ53/1000-'Balance Sheet'!AE53/1000</f>
        <v>1326.6669999999999</v>
      </c>
      <c r="BJ581" s="12">
        <f>'Balance Sheet'!AK53/1000-'Balance Sheet'!AJ53/1000</f>
        <v>180.89300000000003</v>
      </c>
      <c r="BK581" s="12">
        <f>'Balance Sheet'!AL53/1000-'Balance Sheet'!AK53/1000</f>
        <v>169.89199999999983</v>
      </c>
      <c r="BL581" s="12">
        <f>'Balance Sheet'!AM53/1000-'Balance Sheet'!AL53/1000</f>
        <v>244.9050000000002</v>
      </c>
      <c r="BM581" s="12">
        <f>'Balance Sheet'!AN53/1000-'Balance Sheet'!AM53/1000</f>
        <v>-63.467999999999847</v>
      </c>
      <c r="BN581" s="12">
        <f>'Balance Sheet'!AO53/1000-'Balance Sheet'!AJ53/1000</f>
        <v>532.22200000000021</v>
      </c>
      <c r="BO581" s="12">
        <f>'Balance Sheet'!AP53/1000-'Balance Sheet'!AO53/1000</f>
        <v>27.673999999999978</v>
      </c>
      <c r="BP581" s="12">
        <f>'Balance Sheet'!AQ53/1000-'Balance Sheet'!AP53/1000</f>
        <v>50.712999999999738</v>
      </c>
      <c r="BQ581" s="12">
        <f>'Balance Sheet'!AR53/1000-'Balance Sheet'!AQ53/1000</f>
        <v>-143.03699999999981</v>
      </c>
      <c r="BR581" s="12">
        <f>'Balance Sheet'!AS53/1000-'Balance Sheet'!AR53/1000</f>
        <v>-253.72600000000011</v>
      </c>
      <c r="BS581" s="12">
        <f>'Balance Sheet'!AT53/1000-'Balance Sheet'!AO53/1000</f>
        <v>-318.3760000000002</v>
      </c>
      <c r="BT581" s="12">
        <f>'Balance Sheet'!AU53/1000-'Balance Sheet'!AT53/1000</f>
        <v>-141.21500000000015</v>
      </c>
      <c r="BU581" s="12">
        <f>'Balance Sheet'!AV53/1000-'Balance Sheet'!AU53/1000</f>
        <v>17.547000000000025</v>
      </c>
      <c r="BV581" s="12">
        <f>'Balance Sheet'!AW53/1000-'Balance Sheet'!AV53/1000</f>
        <v>63.682999999999993</v>
      </c>
      <c r="BW581" s="12">
        <f>'Balance Sheet'!AX53/1000-'Balance Sheet'!AW53/1000</f>
        <v>93.275000000000091</v>
      </c>
      <c r="BX581" s="12">
        <f>'Balance Sheet'!AY53/1000-'Balance Sheet'!AT53/1000</f>
        <v>33.289999999999964</v>
      </c>
      <c r="BY581" s="12">
        <f>'Balance Sheet'!AZ53/1000-'Balance Sheet'!AY53/1000</f>
        <v>-90.528999999999996</v>
      </c>
      <c r="BZ581" s="12">
        <f>'Balance Sheet'!BA53/1000-'Balance Sheet'!AZ53/1000</f>
        <v>107.62300000000005</v>
      </c>
      <c r="CA581" s="12">
        <f>'Balance Sheet'!BB53/1000-'Balance Sheet'!BA53/1000</f>
        <v>-76.427999999999884</v>
      </c>
      <c r="CB581" s="12">
        <f>'Balance Sheet'!BC53/1000-'Balance Sheet'!BB53/1000</f>
        <v>-326.87699999999995</v>
      </c>
      <c r="CC581" s="12">
        <f>'Balance Sheet'!BD53/1000-'Balance Sheet'!AY53/1000</f>
        <v>-386.21099999999979</v>
      </c>
      <c r="CD581" s="12">
        <f>'Balance Sheet'!BE53/1000-'Balance Sheet'!BD53/1000</f>
        <v>-338.15100000000007</v>
      </c>
      <c r="CE581" s="12">
        <f>'Balance Sheet'!BF53/1000-'Balance Sheet'!BE53/1000</f>
        <v>-97.688000000000102</v>
      </c>
      <c r="CF581" s="12">
        <f>'Balance Sheet'!BG53/1000-'Balance Sheet'!BF53/1000</f>
        <v>-205.57799999999997</v>
      </c>
      <c r="CG581" s="12">
        <f>'Balance Sheet'!BH53/1000-'Balance Sheet'!BG53/1000</f>
        <v>12.817000000000007</v>
      </c>
      <c r="CI581" s="12">
        <f>'Balance Sheet'!BJ53/1000-'Balance Sheet'!BI53/1000</f>
        <v>41.3900000000001</v>
      </c>
      <c r="CJ581" s="12">
        <f>'Balance Sheet'!BK53/1000-'Balance Sheet'!BJ53/1000</f>
        <v>80.789999999999964</v>
      </c>
      <c r="CK581" s="12">
        <f>'Balance Sheet'!BL53/1000-'Balance Sheet'!BK53/1000</f>
        <v>247.74700000000007</v>
      </c>
      <c r="CL581" s="12">
        <f>'Balance Sheet'!BM53/1000-'Balance Sheet'!BL53/1000</f>
        <v>-220.58000000000015</v>
      </c>
      <c r="CM581" s="12">
        <f>'Balance Sheet'!BN53/1000-'Balance Sheet'!BI53/1000</f>
        <v>149.34699999999998</v>
      </c>
      <c r="CN581" s="12">
        <f>'Balance Sheet'!BO53/1000-'Balance Sheet'!BN53/1000</f>
        <v>-137.51599999999985</v>
      </c>
      <c r="CO581" s="12">
        <f>'Balance Sheet'!BP53/1000-'Balance Sheet'!BO53/1000</f>
        <v>164.04899999999998</v>
      </c>
      <c r="CP581" s="12">
        <f>'Balance Sheet'!BQ53/1000-'Balance Sheet'!BP53/1000</f>
        <v>-292.14700000000016</v>
      </c>
      <c r="CQ581" s="12">
        <f>'Balance Sheet'!BR53/1000-'Balance Sheet'!BQ53/1000</f>
        <v>-263.1099999999999</v>
      </c>
      <c r="CR581" s="12">
        <f>'Balance Sheet'!BS53/1000-'Balance Sheet'!BN53/1000</f>
        <v>-528.72399999999993</v>
      </c>
      <c r="CS581" s="12">
        <f>'Balance Sheet'!BT53/1000-'Balance Sheet'!BS53/1000</f>
        <v>-206.83600000000001</v>
      </c>
      <c r="CT581" s="12">
        <f>'Balance Sheet'!BU53/1000-'Balance Sheet'!BT53/1000</f>
        <v>-188.11099999999999</v>
      </c>
      <c r="CU581" s="12">
        <f>'Balance Sheet'!BV53/1000-'Balance Sheet'!BU53/1000</f>
        <v>-66.83299999999997</v>
      </c>
      <c r="CV581" s="12">
        <f>'Balance Sheet'!BW53/1000-'Balance Sheet'!BV53/1000</f>
        <v>52.533000000000015</v>
      </c>
      <c r="CW581" s="12">
        <f>'Balance Sheet'!BX53/1000-'Balance Sheet'!BS53/1000</f>
        <v>-409.24699999999996</v>
      </c>
      <c r="CX581" s="12">
        <f>'Balance Sheet'!BY53/1000-'Balance Sheet'!BX53/1000</f>
        <v>-118.81400000000008</v>
      </c>
      <c r="CY581" s="12">
        <f>'Balance Sheet'!BZ53/1000-'Balance Sheet'!BY53/1000</f>
        <v>-192.51699999999994</v>
      </c>
      <c r="CZ581" s="12">
        <f>'Balance Sheet'!CA53/1000-'Balance Sheet'!BZ53/1000</f>
        <v>196.68299999999999</v>
      </c>
      <c r="DA581" s="12">
        <f>'Balance Sheet'!CB53/1000-'Balance Sheet'!CA53/1000</f>
        <v>214.18799999999999</v>
      </c>
      <c r="DB581" s="12">
        <f>'Balance Sheet'!CC53/1000-'Balance Sheet'!BX53/1000</f>
        <v>99.539999999999964</v>
      </c>
      <c r="DC581" s="12">
        <f>'Balance Sheet'!CD53/1000-'Balance Sheet'!BY53/1000</f>
        <v>191.15700000000004</v>
      </c>
      <c r="DD581" s="12">
        <f>'Balance Sheet'!CE53/1000-'Balance Sheet'!BZ53/1000</f>
        <v>467.63599999999997</v>
      </c>
      <c r="DE581" s="12">
        <f>'Balance Sheet'!CF53/1000-'Balance Sheet'!CA53/1000</f>
        <v>-612.14600000000007</v>
      </c>
      <c r="DF581" s="12">
        <f>'Balance Sheet'!CG53/1000-'Balance Sheet'!CB53/1000</f>
        <v>-560.2940000000001</v>
      </c>
      <c r="DG581" s="12">
        <f>'Balance Sheet'!CH53/1000-'Balance Sheet'!CC53/1000</f>
        <v>-560.2940000000001</v>
      </c>
      <c r="DH581" s="10"/>
    </row>
    <row r="582" spans="1:112" s="7" customFormat="1">
      <c r="A582" s="302" t="s">
        <v>762</v>
      </c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>
        <f>'Cash Flow'!P16/1000</f>
        <v>-507.32600000000002</v>
      </c>
      <c r="AP582" s="12">
        <f>'Cash Flow'!Q16/1000</f>
        <v>-358.81799999999998</v>
      </c>
      <c r="AQ582" s="12">
        <f>'Cash Flow'!R16/1000</f>
        <v>384.30599999999998</v>
      </c>
      <c r="AR582" s="12">
        <f>'Cash Flow'!S16/1000</f>
        <v>-62.936999999999998</v>
      </c>
      <c r="AS582" s="12">
        <f>'Cash Flow'!T16/1000</f>
        <v>-224.59399999999999</v>
      </c>
      <c r="AT582" s="12">
        <f>'Cash Flow'!U16/1000</f>
        <v>-262.04300000000001</v>
      </c>
      <c r="AU582" s="12">
        <f>'Cash Flow'!V16/1000</f>
        <v>-317.04300000000001</v>
      </c>
      <c r="AV582" s="12">
        <f>'Cash Flow'!W16/1000</f>
        <v>-284.36700000000002</v>
      </c>
      <c r="AW582" s="12">
        <f>'Cash Flow'!X16/1000</f>
        <v>-310.49599999999998</v>
      </c>
      <c r="AX582" s="12">
        <f>'Cash Flow'!Y16/1000</f>
        <v>-91.349000000000004</v>
      </c>
      <c r="AY582" s="12">
        <f>'Cash Flow'!Z16/1000</f>
        <v>-1003.255</v>
      </c>
      <c r="AZ582" s="12">
        <f>'Cash Flow'!AA16/1000</f>
        <v>-83.855999999999995</v>
      </c>
      <c r="BA582" s="12">
        <f>'Cash Flow'!AB16/1000</f>
        <v>-381.83</v>
      </c>
      <c r="BB582" s="12">
        <f>'Cash Flow'!AC16/1000</f>
        <v>-89.335999999999999</v>
      </c>
      <c r="BC582" s="12">
        <f>'Cash Flow'!AD16/1000</f>
        <v>-232.613</v>
      </c>
      <c r="BD582" s="12">
        <f>'Cash Flow'!AE16/1000</f>
        <v>-787.63499999999999</v>
      </c>
      <c r="BE582" s="12">
        <f>'Cash Flow'!AF16/1000</f>
        <v>-332.68700000000001</v>
      </c>
      <c r="BF582" s="12">
        <f>'Cash Flow'!AG16/1000</f>
        <v>-245.96299999999999</v>
      </c>
      <c r="BG582" s="12">
        <f>'Cash Flow'!AH16/1000</f>
        <v>-267.55200000000002</v>
      </c>
      <c r="BH582" s="12">
        <f>'Cash Flow'!AI16/1000</f>
        <v>-395.98200000000003</v>
      </c>
      <c r="BI582" s="12">
        <f>'Cash Flow'!AJ16/1000</f>
        <v>-1242.184</v>
      </c>
      <c r="BJ582" s="12">
        <f>'Cash Flow'!AK16/1000</f>
        <v>-141.58099999999999</v>
      </c>
      <c r="BK582" s="12">
        <f>'Cash Flow'!AL16/1000</f>
        <v>-23.11</v>
      </c>
      <c r="BL582" s="12">
        <f>'Cash Flow'!AM16/1000</f>
        <v>-137.28700000000001</v>
      </c>
      <c r="BM582" s="12">
        <f>'Cash Flow'!AN16/1000</f>
        <v>166.41300000000001</v>
      </c>
      <c r="BN582" s="12">
        <f>'Cash Flow'!AO16/1000</f>
        <v>-135.565</v>
      </c>
      <c r="BO582" s="12">
        <f>'Cash Flow'!AP16/1000</f>
        <v>65.212000000000003</v>
      </c>
      <c r="BP582" s="12">
        <f>'Cash Flow'!AQ16/1000</f>
        <v>24.346</v>
      </c>
      <c r="BQ582" s="12">
        <f>'Cash Flow'!AR16/1000</f>
        <v>100.224</v>
      </c>
      <c r="BR582" s="12">
        <f>'Cash Flow'!AS16/1000</f>
        <v>-87.722999999999999</v>
      </c>
      <c r="BS582" s="12">
        <f>'Cash Flow'!AT16/1000</f>
        <v>102.059</v>
      </c>
      <c r="BT582" s="12">
        <f>'Cash Flow'!AU16/1000</f>
        <v>-159.03800000000001</v>
      </c>
      <c r="BU582" s="12">
        <f>'Cash Flow'!AV16/1000</f>
        <v>328.25900000000001</v>
      </c>
      <c r="BV582" s="12">
        <f>'Cash Flow'!AW16/1000</f>
        <v>-97.796000000000006</v>
      </c>
      <c r="BW582" s="12">
        <f>'Cash Flow'!AX16/1000</f>
        <v>-93.97</v>
      </c>
      <c r="BX582" s="12">
        <f>'Cash Flow'!AY16/1000</f>
        <v>-22.545000000000002</v>
      </c>
      <c r="BY582" s="12">
        <f>'Cash Flow'!AZ16/1000</f>
        <v>207.28899999999999</v>
      </c>
      <c r="BZ582" s="12">
        <f>'Cash Flow'!BA16/1000</f>
        <v>104.42700000000001</v>
      </c>
      <c r="CA582" s="12">
        <f>'Cash Flow'!BB16/1000</f>
        <v>116.19199999999999</v>
      </c>
      <c r="CB582" s="12">
        <f>'Cash Flow'!BC16/1000</f>
        <v>422.81400000000002</v>
      </c>
      <c r="CC582" s="12">
        <f>'Cash Flow'!BD16/1000</f>
        <v>850.72199999999998</v>
      </c>
      <c r="CD582" s="12">
        <f>'Cash Flow'!BE16/1000</f>
        <v>401.18299999999999</v>
      </c>
      <c r="CE582" s="12">
        <f>'Cash Flow'!BF16/1000</f>
        <v>380.62200000000001</v>
      </c>
      <c r="CF582" s="12">
        <f>'Cash Flow'!BG16/1000</f>
        <v>-57.576000000000001</v>
      </c>
      <c r="CG582" s="12">
        <f>'Cash Flow'!BH16/1000</f>
        <v>118.208</v>
      </c>
      <c r="CI582" s="12">
        <f>'Cash Flow'!BJ16/1000</f>
        <v>44.021999999999998</v>
      </c>
      <c r="CJ582" s="12">
        <f>'Cash Flow'!BK16/1000</f>
        <v>40.549999999999997</v>
      </c>
      <c r="CK582" s="12">
        <f>'Cash Flow'!BL16/1000</f>
        <v>-214.22900000000001</v>
      </c>
      <c r="CL582" s="12">
        <f>'Cash Flow'!BM16/1000</f>
        <v>238.59800000000001</v>
      </c>
      <c r="CM582" s="12">
        <f>'Cash Flow'!BN16/1000</f>
        <v>108.941</v>
      </c>
      <c r="CN582" s="12">
        <f>'Cash Flow'!BO16/1000</f>
        <v>110.541</v>
      </c>
      <c r="CO582" s="12">
        <f>'Cash Flow'!BP16/1000</f>
        <v>173.86799999999999</v>
      </c>
      <c r="CP582" s="12">
        <f>'Cash Flow'!BQ16/1000</f>
        <v>264.48099999999999</v>
      </c>
      <c r="CQ582" s="12">
        <f>'Cash Flow'!BR16/1000</f>
        <v>330.96100000000001</v>
      </c>
      <c r="CR582" s="12">
        <f>'Cash Flow'!BS16/1000</f>
        <v>879.851</v>
      </c>
      <c r="CS582" s="12">
        <f>'Cash Flow'!BT16/1000</f>
        <v>501.26499999999999</v>
      </c>
      <c r="CT582" s="12">
        <f>'Cash Flow'!BU16/1000</f>
        <v>186.77199999999999</v>
      </c>
      <c r="CU582" s="12">
        <f>'Cash Flow'!BV16/1000</f>
        <v>188.03399999999999</v>
      </c>
      <c r="CV582" s="12">
        <f>'Cash Flow'!BW16/1000</f>
        <v>215.58600000000001</v>
      </c>
      <c r="CW582" s="12">
        <f>'Cash Flow'!BX16/1000</f>
        <v>1091.6569999999999</v>
      </c>
      <c r="CX582" s="12">
        <f>'Cash Flow'!BY16/1000</f>
        <v>180.92699999999999</v>
      </c>
      <c r="CY582" s="12">
        <f>'Cash Flow'!BZ16/1000</f>
        <v>356.45299999999997</v>
      </c>
      <c r="CZ582" s="12">
        <f>'Cash Flow'!CA16/1000</f>
        <v>-40.829000000000001</v>
      </c>
      <c r="DA582" s="12">
        <f>'Cash Flow'!CB16/1000</f>
        <v>262.11500000000001</v>
      </c>
      <c r="DB582" s="12">
        <f>'Cash Flow'!CC16/1000</f>
        <v>758.66600000000005</v>
      </c>
      <c r="DC582" s="12">
        <f>'Cash Flow'!CD16/1000</f>
        <v>71.828999999999994</v>
      </c>
      <c r="DD582" s="12">
        <f>'Cash Flow'!CE16/1000</f>
        <v>-62.414999999999999</v>
      </c>
      <c r="DE582" s="12">
        <f>'Cash Flow'!CF16/1000</f>
        <v>1070.2049999999999</v>
      </c>
      <c r="DF582" s="12">
        <f>'Cash Flow'!CG16/1000</f>
        <v>216.52199999999999</v>
      </c>
      <c r="DG582" s="12">
        <f>'Cash Flow'!CH16/1000</f>
        <v>1296.1410000000001</v>
      </c>
      <c r="DH582" s="10"/>
    </row>
    <row r="583" spans="1:112" s="7" customFormat="1">
      <c r="A583" s="302" t="s">
        <v>763</v>
      </c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>
        <f>'Cash Flow'!P17/1000</f>
        <v>-671.92100000000005</v>
      </c>
      <c r="AP583" s="12">
        <f>'Cash Flow'!Q17/1000</f>
        <v>-271.68900000000002</v>
      </c>
      <c r="AQ583" s="12">
        <f>'Cash Flow'!R17/1000</f>
        <v>589.77800000000002</v>
      </c>
      <c r="AR583" s="12">
        <f>'Cash Flow'!S17/1000</f>
        <v>189.512</v>
      </c>
      <c r="AS583" s="12">
        <f>'Cash Flow'!T17/1000</f>
        <v>-175.75700000000001</v>
      </c>
      <c r="AT583" s="12">
        <f>'Cash Flow'!U17/1000</f>
        <v>331.84399999999999</v>
      </c>
      <c r="AU583" s="12">
        <f>'Cash Flow'!V17/1000</f>
        <v>343.702</v>
      </c>
      <c r="AV583" s="12">
        <f>'Cash Flow'!W17/1000</f>
        <v>-138.69900000000001</v>
      </c>
      <c r="AW583" s="12">
        <f>'Cash Flow'!X17/1000</f>
        <v>-156.28299999999999</v>
      </c>
      <c r="AX583" s="12">
        <f>'Cash Flow'!Y17/1000</f>
        <v>218.22300000000001</v>
      </c>
      <c r="AY583" s="12">
        <f>'Cash Flow'!Z17/1000</f>
        <v>266.94299999999998</v>
      </c>
      <c r="AZ583" s="12">
        <f>'Cash Flow'!AA17/1000</f>
        <v>-4.1440000000000001</v>
      </c>
      <c r="BA583" s="12">
        <f>'Cash Flow'!AB17/1000</f>
        <v>-227.32400000000001</v>
      </c>
      <c r="BB583" s="12">
        <f>'Cash Flow'!AC17/1000</f>
        <v>340.048</v>
      </c>
      <c r="BC583" s="12">
        <f>'Cash Flow'!AD17/1000</f>
        <v>-405.76400000000001</v>
      </c>
      <c r="BD583" s="12">
        <f>'Cash Flow'!AE17/1000</f>
        <v>-297.18400000000003</v>
      </c>
      <c r="BE583" s="12">
        <f>'Cash Flow'!AF17/1000</f>
        <v>-394.33699999999999</v>
      </c>
      <c r="BF583" s="12">
        <f>'Cash Flow'!AG17/1000</f>
        <v>-105.536</v>
      </c>
      <c r="BG583" s="12">
        <f>'Cash Flow'!AH17/1000</f>
        <v>-58.643999999999998</v>
      </c>
      <c r="BH583" s="12">
        <f>'Cash Flow'!AI17/1000</f>
        <v>127.744</v>
      </c>
      <c r="BI583" s="12">
        <f>'Cash Flow'!AJ17/1000</f>
        <v>-430.77300000000002</v>
      </c>
      <c r="BJ583" s="12">
        <f>'Cash Flow'!AK17/1000</f>
        <v>41.32</v>
      </c>
      <c r="BK583" s="12">
        <f>'Cash Flow'!AL17/1000</f>
        <v>522.005</v>
      </c>
      <c r="BL583" s="12">
        <f>'Cash Flow'!AM17/1000</f>
        <v>339.55099999999999</v>
      </c>
      <c r="BM583" s="12">
        <f>'Cash Flow'!AN17/1000</f>
        <v>51.779000000000003</v>
      </c>
      <c r="BN583" s="12">
        <f>'Cash Flow'!AO17/1000</f>
        <v>954.65499999999997</v>
      </c>
      <c r="BO583" s="12">
        <f>'Cash Flow'!AP17/1000</f>
        <v>163.82499999999999</v>
      </c>
      <c r="BP583" s="12">
        <f>'Cash Flow'!AQ17/1000</f>
        <v>-226.42400000000001</v>
      </c>
      <c r="BQ583" s="12">
        <f>'Cash Flow'!AR17/1000</f>
        <v>-20.268999999999998</v>
      </c>
      <c r="BR583" s="12">
        <f>'Cash Flow'!AS17/1000</f>
        <v>-116.818</v>
      </c>
      <c r="BS583" s="12">
        <f>'Cash Flow'!AT17/1000</f>
        <v>-199.68600000000001</v>
      </c>
      <c r="BT583" s="12">
        <f>'Cash Flow'!AU17/1000</f>
        <v>-466.733</v>
      </c>
      <c r="BU583" s="12">
        <f>'Cash Flow'!AV17/1000</f>
        <v>306.036</v>
      </c>
      <c r="BV583" s="12">
        <f>'Cash Flow'!AW17/1000</f>
        <v>23.227</v>
      </c>
      <c r="BW583" s="12">
        <f>'Cash Flow'!AX17/1000</f>
        <v>286.09899999999999</v>
      </c>
      <c r="BX583" s="12">
        <f>'Cash Flow'!AY17/1000</f>
        <v>148.62899999999999</v>
      </c>
      <c r="BY583" s="12">
        <f>'Cash Flow'!AZ17/1000</f>
        <v>606.77700000000004</v>
      </c>
      <c r="BZ583" s="12">
        <f>'Cash Flow'!BA17/1000</f>
        <v>-198.864</v>
      </c>
      <c r="CA583" s="12">
        <f>'Cash Flow'!BB17/1000</f>
        <v>79.897999999999996</v>
      </c>
      <c r="CB583" s="12">
        <f>'Cash Flow'!BC17/1000</f>
        <v>40.277000000000001</v>
      </c>
      <c r="CC583" s="12">
        <f>'Cash Flow'!BD17/1000</f>
        <v>528.08799999999997</v>
      </c>
      <c r="CD583" s="12">
        <f>'Cash Flow'!BE17/1000</f>
        <v>319.26</v>
      </c>
      <c r="CE583" s="12">
        <f>'Cash Flow'!BF17/1000</f>
        <v>494.96</v>
      </c>
      <c r="CF583" s="12">
        <f>'Cash Flow'!BG17/1000</f>
        <v>27.812999999999999</v>
      </c>
      <c r="CG583" s="12">
        <f>'Cash Flow'!BH17/1000</f>
        <v>-175.327</v>
      </c>
      <c r="CI583" s="12">
        <f>'Cash Flow'!BJ17/1000</f>
        <v>-86.694000000000003</v>
      </c>
      <c r="CJ583" s="12">
        <f>'Cash Flow'!BK17/1000</f>
        <v>-134.68600000000001</v>
      </c>
      <c r="CK583" s="12">
        <f>'Cash Flow'!BL17/1000</f>
        <v>-280.69900000000001</v>
      </c>
      <c r="CL583" s="12">
        <f>'Cash Flow'!BM17/1000</f>
        <v>100.99299999999999</v>
      </c>
      <c r="CM583" s="12">
        <f>'Cash Flow'!BN17/1000</f>
        <v>-401.08600000000001</v>
      </c>
      <c r="CN583" s="12">
        <f>'Cash Flow'!BO17/1000</f>
        <v>269.78800000000001</v>
      </c>
      <c r="CO583" s="12">
        <f>'Cash Flow'!BP17/1000</f>
        <v>14.61</v>
      </c>
      <c r="CP583" s="12">
        <f>'Cash Flow'!BQ17/1000</f>
        <v>-29.507999999999999</v>
      </c>
      <c r="CQ583" s="12">
        <f>'Cash Flow'!BR17/1000</f>
        <v>-248.23400000000001</v>
      </c>
      <c r="CR583" s="12">
        <f>'Cash Flow'!BS17/1000</f>
        <v>6.6559999999999997</v>
      </c>
      <c r="CS583" s="12">
        <f>'Cash Flow'!BT17/1000</f>
        <v>31.85</v>
      </c>
      <c r="CT583" s="12">
        <f>'Cash Flow'!BU17/1000</f>
        <v>436.68900000000002</v>
      </c>
      <c r="CU583" s="12">
        <f>'Cash Flow'!BV17/1000</f>
        <v>824.90700000000004</v>
      </c>
      <c r="CV583" s="12">
        <f>'Cash Flow'!BW17/1000</f>
        <v>-364.226</v>
      </c>
      <c r="CW583" s="12">
        <f>'Cash Flow'!BX17/1000</f>
        <v>929.22</v>
      </c>
      <c r="CX583" s="12">
        <f>'Cash Flow'!BY17/1000</f>
        <v>-94.23</v>
      </c>
      <c r="CY583" s="12">
        <f>'Cash Flow'!BZ17/1000</f>
        <v>255.39500000000001</v>
      </c>
      <c r="CZ583" s="12">
        <f>'Cash Flow'!CA17/1000</f>
        <v>375.49</v>
      </c>
      <c r="DA583" s="12">
        <f>'Cash Flow'!CB17/1000</f>
        <v>356.06700000000001</v>
      </c>
      <c r="DB583" s="12">
        <f>'Cash Flow'!CC17/1000</f>
        <v>892.72199999999998</v>
      </c>
      <c r="DC583" s="12">
        <f>'Cash Flow'!CD17/1000</f>
        <v>1.88</v>
      </c>
      <c r="DD583" s="12">
        <f>'Cash Flow'!CE17/1000</f>
        <v>298.30900000000003</v>
      </c>
      <c r="DE583" s="12">
        <f>'Cash Flow'!CF17/1000</f>
        <v>560.65300000000002</v>
      </c>
      <c r="DF583" s="12">
        <f>'Cash Flow'!CG17/1000</f>
        <v>598.33900000000006</v>
      </c>
      <c r="DG583" s="12">
        <f>'Cash Flow'!CH17/1000</f>
        <v>1459.181</v>
      </c>
      <c r="DH583" s="10"/>
    </row>
    <row r="584" spans="1:112" s="7" customFormat="1">
      <c r="A584" s="302" t="s">
        <v>764</v>
      </c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303">
        <f>DCF!$B$23</f>
        <v>0.1608</v>
      </c>
      <c r="AP584" s="303">
        <f>DCF!$B$23</f>
        <v>0.1608</v>
      </c>
      <c r="AQ584" s="303">
        <f>DCF!$B$23</f>
        <v>0.1608</v>
      </c>
      <c r="AR584" s="303">
        <f>DCF!$B$23</f>
        <v>0.1608</v>
      </c>
      <c r="AS584" s="303">
        <f>DCF!$B$23</f>
        <v>0.1608</v>
      </c>
      <c r="AT584" s="303">
        <f>DCF!$B$23</f>
        <v>0.1608</v>
      </c>
      <c r="AU584" s="303">
        <f>DCF!$B$23</f>
        <v>0.1608</v>
      </c>
      <c r="AV584" s="303">
        <f>DCF!$B$23</f>
        <v>0.1608</v>
      </c>
      <c r="AW584" s="303">
        <f>DCF!$B$23</f>
        <v>0.1608</v>
      </c>
      <c r="AX584" s="303">
        <f>DCF!$B$23</f>
        <v>0.1608</v>
      </c>
      <c r="AY584" s="303">
        <f>DCF!$B$23</f>
        <v>0.1608</v>
      </c>
      <c r="AZ584" s="303">
        <f>DCF!$B$23</f>
        <v>0.1608</v>
      </c>
      <c r="BA584" s="303">
        <f>DCF!$B$23</f>
        <v>0.1608</v>
      </c>
      <c r="BB584" s="303">
        <f>DCF!$B$23</f>
        <v>0.1608</v>
      </c>
      <c r="BC584" s="303">
        <f>DCF!$B$23</f>
        <v>0.1608</v>
      </c>
      <c r="BD584" s="303">
        <f>DCF!$B$23</f>
        <v>0.1608</v>
      </c>
      <c r="BE584" s="303">
        <f>DCF!$B$23</f>
        <v>0.1608</v>
      </c>
      <c r="BF584" s="303">
        <f>DCF!$B$23</f>
        <v>0.1608</v>
      </c>
      <c r="BG584" s="303">
        <f>DCF!$B$23</f>
        <v>0.1608</v>
      </c>
      <c r="BH584" s="303">
        <f>DCF!$B$23</f>
        <v>0.1608</v>
      </c>
      <c r="BI584" s="303">
        <f>DCF!$B$23</f>
        <v>0.1608</v>
      </c>
      <c r="BJ584" s="303">
        <f>DCF!$B$23</f>
        <v>0.1608</v>
      </c>
      <c r="BK584" s="303">
        <f>DCF!$B$23</f>
        <v>0.1608</v>
      </c>
      <c r="BL584" s="303">
        <f>DCF!$B$23</f>
        <v>0.1608</v>
      </c>
      <c r="BM584" s="303">
        <f>DCF!$B$23</f>
        <v>0.1608</v>
      </c>
      <c r="BN584" s="303">
        <f>DCF!$B$23</f>
        <v>0.1608</v>
      </c>
      <c r="BO584" s="303">
        <f>DCF!$B$23</f>
        <v>0.1608</v>
      </c>
      <c r="BP584" s="303">
        <f>DCF!$B$23</f>
        <v>0.1608</v>
      </c>
      <c r="BQ584" s="303">
        <f>DCF!$B$23</f>
        <v>0.1608</v>
      </c>
      <c r="BR584" s="303">
        <f>DCF!$B$23</f>
        <v>0.1608</v>
      </c>
      <c r="BS584" s="303">
        <f>DCF!$B$23</f>
        <v>0.1608</v>
      </c>
      <c r="BT584" s="303">
        <f>DCF!$B$23</f>
        <v>0.1608</v>
      </c>
      <c r="BU584" s="303">
        <f>DCF!$B$23</f>
        <v>0.1608</v>
      </c>
      <c r="BV584" s="303">
        <f>DCF!$B$23</f>
        <v>0.1608</v>
      </c>
      <c r="BW584" s="303">
        <f>DCF!$B$23</f>
        <v>0.1608</v>
      </c>
      <c r="BX584" s="303">
        <f>DCF!$B$23</f>
        <v>0.1608</v>
      </c>
      <c r="BY584" s="303">
        <f>DCF!$B$23</f>
        <v>0.1608</v>
      </c>
      <c r="BZ584" s="303">
        <f>DCF!$B$23</f>
        <v>0.1608</v>
      </c>
      <c r="CA584" s="303">
        <f>DCF!$B$23</f>
        <v>0.1608</v>
      </c>
      <c r="CB584" s="303">
        <f>DCF!$B$23</f>
        <v>0.1608</v>
      </c>
      <c r="CC584" s="303">
        <f>DCF!$B$23</f>
        <v>0.1608</v>
      </c>
      <c r="CD584" s="303">
        <f>DCF!$B$23</f>
        <v>0.1608</v>
      </c>
      <c r="CE584" s="303">
        <f>DCF!$B$23</f>
        <v>0.1608</v>
      </c>
      <c r="CF584" s="303">
        <f>DCF!$B$23</f>
        <v>0.1608</v>
      </c>
      <c r="CG584" s="303">
        <f>DCF!$B$23</f>
        <v>0.1608</v>
      </c>
      <c r="CI584" s="303">
        <f>DCF!$B$23</f>
        <v>0.1608</v>
      </c>
      <c r="CJ584" s="303">
        <f>DCF!$B$23</f>
        <v>0.1608</v>
      </c>
      <c r="CK584" s="303">
        <f>DCF!$B$23</f>
        <v>0.1608</v>
      </c>
      <c r="CL584" s="303">
        <f>DCF!$B$23</f>
        <v>0.1608</v>
      </c>
      <c r="CM584" s="303">
        <f>DCF!$B$23</f>
        <v>0.1608</v>
      </c>
      <c r="CN584" s="303">
        <f>DCF!$B$23</f>
        <v>0.1608</v>
      </c>
      <c r="CO584" s="303">
        <f>DCF!$B$23</f>
        <v>0.1608</v>
      </c>
      <c r="CP584" s="303">
        <f>DCF!$B$23</f>
        <v>0.1608</v>
      </c>
      <c r="CQ584" s="303">
        <f>DCF!$B$23</f>
        <v>0.1608</v>
      </c>
      <c r="CR584" s="303">
        <f>DCF!$B$23</f>
        <v>0.1608</v>
      </c>
      <c r="CS584" s="303">
        <f>DCF!$B$23</f>
        <v>0.1608</v>
      </c>
      <c r="CT584" s="303">
        <f>DCF!$B$23</f>
        <v>0.1608</v>
      </c>
      <c r="CU584" s="303">
        <f>DCF!$B$23</f>
        <v>0.1608</v>
      </c>
      <c r="CV584" s="303">
        <f>DCF!$B$23</f>
        <v>0.1608</v>
      </c>
      <c r="CW584" s="303">
        <f>DCF!$B$23</f>
        <v>0.1608</v>
      </c>
      <c r="CX584" s="303">
        <f>DCF!$B$23</f>
        <v>0.1608</v>
      </c>
      <c r="CY584" s="303">
        <f>DCF!$B$23</f>
        <v>0.1608</v>
      </c>
      <c r="CZ584" s="303">
        <f>DCF!$B$23</f>
        <v>0.1608</v>
      </c>
      <c r="DA584" s="303">
        <f>DCF!$B$23</f>
        <v>0.1608</v>
      </c>
      <c r="DB584" s="303">
        <f>DCF!$B$23</f>
        <v>0.1608</v>
      </c>
      <c r="DC584" s="303">
        <f>DCF!$B$23</f>
        <v>0.1608</v>
      </c>
      <c r="DD584" s="303">
        <f>DCF!$B$23</f>
        <v>0.1608</v>
      </c>
      <c r="DE584" s="303">
        <f>DCF!$B$23</f>
        <v>0.1608</v>
      </c>
      <c r="DF584" s="303">
        <f>DCF!$B$23</f>
        <v>0.1608</v>
      </c>
      <c r="DG584" s="303">
        <f>DCF!$B$23</f>
        <v>0.1608</v>
      </c>
      <c r="DH584" s="10"/>
    </row>
    <row r="585" spans="1:112" s="7" customFormat="1">
      <c r="A585" s="302" t="s">
        <v>765</v>
      </c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303">
        <f>DCF!$B$25</f>
        <v>4.3119999999999825E-2</v>
      </c>
      <c r="AP585" s="303">
        <f>DCF!$B$25</f>
        <v>4.3119999999999825E-2</v>
      </c>
      <c r="AQ585" s="303">
        <f>DCF!$B$25</f>
        <v>4.3119999999999825E-2</v>
      </c>
      <c r="AR585" s="303">
        <f>DCF!$B$25</f>
        <v>4.3119999999999825E-2</v>
      </c>
      <c r="AS585" s="303">
        <f>DCF!$B$25</f>
        <v>4.3119999999999825E-2</v>
      </c>
      <c r="AT585" s="303">
        <f>DCF!$B$25</f>
        <v>4.3119999999999825E-2</v>
      </c>
      <c r="AU585" s="303">
        <f>DCF!$B$25</f>
        <v>4.3119999999999825E-2</v>
      </c>
      <c r="AV585" s="303">
        <f>DCF!$B$25</f>
        <v>4.3119999999999825E-2</v>
      </c>
      <c r="AW585" s="303">
        <f>DCF!$B$25</f>
        <v>4.3119999999999825E-2</v>
      </c>
      <c r="AX585" s="303">
        <f>DCF!$B$25</f>
        <v>4.3119999999999825E-2</v>
      </c>
      <c r="AY585" s="303">
        <f>DCF!$B$25</f>
        <v>4.3119999999999825E-2</v>
      </c>
      <c r="AZ585" s="303">
        <f>DCF!$B$25</f>
        <v>4.3119999999999825E-2</v>
      </c>
      <c r="BA585" s="303">
        <f>DCF!$B$25</f>
        <v>4.3119999999999825E-2</v>
      </c>
      <c r="BB585" s="303">
        <f>DCF!$B$25</f>
        <v>4.3119999999999825E-2</v>
      </c>
      <c r="BC585" s="303">
        <f>DCF!$B$25</f>
        <v>4.3119999999999825E-2</v>
      </c>
      <c r="BD585" s="303">
        <f>DCF!$B$25</f>
        <v>4.3119999999999825E-2</v>
      </c>
      <c r="BE585" s="303">
        <f>DCF!$B$25</f>
        <v>4.3119999999999825E-2</v>
      </c>
      <c r="BF585" s="303">
        <f>DCF!$B$25</f>
        <v>4.3119999999999825E-2</v>
      </c>
      <c r="BG585" s="303">
        <f>DCF!$B$25</f>
        <v>4.3119999999999825E-2</v>
      </c>
      <c r="BH585" s="303">
        <f>DCF!$B$25</f>
        <v>4.3119999999999825E-2</v>
      </c>
      <c r="BI585" s="303">
        <f>DCF!$B$25</f>
        <v>4.3119999999999825E-2</v>
      </c>
      <c r="BJ585" s="303">
        <f>DCF!$B$25</f>
        <v>4.3119999999999825E-2</v>
      </c>
      <c r="BK585" s="303">
        <f>DCF!$B$25</f>
        <v>4.3119999999999825E-2</v>
      </c>
      <c r="BL585" s="303">
        <f>DCF!$B$25</f>
        <v>4.3119999999999825E-2</v>
      </c>
      <c r="BM585" s="303">
        <f>DCF!$B$25</f>
        <v>4.3119999999999825E-2</v>
      </c>
      <c r="BN585" s="303">
        <f>DCF!$B$25</f>
        <v>4.3119999999999825E-2</v>
      </c>
      <c r="BO585" s="303">
        <f>DCF!$B$25</f>
        <v>4.3119999999999825E-2</v>
      </c>
      <c r="BP585" s="303">
        <f>DCF!$B$25</f>
        <v>4.3119999999999825E-2</v>
      </c>
      <c r="BQ585" s="303">
        <f>DCF!$B$25</f>
        <v>4.3119999999999825E-2</v>
      </c>
      <c r="BR585" s="303">
        <f>DCF!$B$25</f>
        <v>4.3119999999999825E-2</v>
      </c>
      <c r="BS585" s="303">
        <f>DCF!$B$25</f>
        <v>4.3119999999999825E-2</v>
      </c>
      <c r="BT585" s="303">
        <f>DCF!$B$25</f>
        <v>4.3119999999999825E-2</v>
      </c>
      <c r="BU585" s="303">
        <f>DCF!$B$25</f>
        <v>4.3119999999999825E-2</v>
      </c>
      <c r="BV585" s="303">
        <f>DCF!$B$25</f>
        <v>4.3119999999999825E-2</v>
      </c>
      <c r="BW585" s="303">
        <f>DCF!$B$25</f>
        <v>4.3119999999999825E-2</v>
      </c>
      <c r="BX585" s="303">
        <f>DCF!$B$25</f>
        <v>4.3119999999999825E-2</v>
      </c>
      <c r="BY585" s="303">
        <f>DCF!$B$25</f>
        <v>4.3119999999999825E-2</v>
      </c>
      <c r="BZ585" s="303">
        <f>DCF!$B$25</f>
        <v>4.3119999999999825E-2</v>
      </c>
      <c r="CA585" s="303">
        <f>DCF!$B$25</f>
        <v>4.3119999999999825E-2</v>
      </c>
      <c r="CB585" s="303">
        <f>DCF!$B$25</f>
        <v>4.3119999999999825E-2</v>
      </c>
      <c r="CC585" s="303">
        <f>DCF!$B$25</f>
        <v>4.3119999999999825E-2</v>
      </c>
      <c r="CD585" s="303">
        <f>DCF!$B$25</f>
        <v>4.3119999999999825E-2</v>
      </c>
      <c r="CE585" s="303">
        <f>DCF!$B$25</f>
        <v>4.3119999999999825E-2</v>
      </c>
      <c r="CF585" s="303">
        <f>DCF!$B$25</f>
        <v>4.3119999999999825E-2</v>
      </c>
      <c r="CG585" s="303">
        <f>DCF!$B$25</f>
        <v>4.3119999999999825E-2</v>
      </c>
      <c r="CI585" s="303">
        <f>DCF!$B$25</f>
        <v>4.3119999999999825E-2</v>
      </c>
      <c r="CJ585" s="303">
        <f>DCF!$B$25</f>
        <v>4.3119999999999825E-2</v>
      </c>
      <c r="CK585" s="303">
        <f>DCF!$B$25</f>
        <v>4.3119999999999825E-2</v>
      </c>
      <c r="CL585" s="303">
        <f>DCF!$B$25</f>
        <v>4.3119999999999825E-2</v>
      </c>
      <c r="CM585" s="303">
        <f>DCF!$B$25</f>
        <v>4.3119999999999825E-2</v>
      </c>
      <c r="CN585" s="303">
        <f>DCF!$B$25</f>
        <v>4.3119999999999825E-2</v>
      </c>
      <c r="CO585" s="303">
        <f>DCF!$B$25</f>
        <v>4.3119999999999825E-2</v>
      </c>
      <c r="CP585" s="303">
        <f>DCF!$B$25</f>
        <v>4.3119999999999825E-2</v>
      </c>
      <c r="CQ585" s="303">
        <f>DCF!$B$25</f>
        <v>4.3119999999999825E-2</v>
      </c>
      <c r="CR585" s="303">
        <f>DCF!$B$25</f>
        <v>4.3119999999999825E-2</v>
      </c>
      <c r="CS585" s="303">
        <f>DCF!$B$25</f>
        <v>4.3119999999999825E-2</v>
      </c>
      <c r="CT585" s="303">
        <f>DCF!$B$25</f>
        <v>4.3119999999999825E-2</v>
      </c>
      <c r="CU585" s="303">
        <f>DCF!$B$25</f>
        <v>4.3119999999999825E-2</v>
      </c>
      <c r="CV585" s="303">
        <f>DCF!$B$25</f>
        <v>4.3119999999999825E-2</v>
      </c>
      <c r="CW585" s="303">
        <f>DCF!$B$25</f>
        <v>4.3119999999999825E-2</v>
      </c>
      <c r="CX585" s="303">
        <f>DCF!$B$25</f>
        <v>4.3119999999999825E-2</v>
      </c>
      <c r="CY585" s="303">
        <f>DCF!$B$25</f>
        <v>4.3119999999999825E-2</v>
      </c>
      <c r="CZ585" s="303">
        <f>DCF!$B$25</f>
        <v>4.3119999999999825E-2</v>
      </c>
      <c r="DA585" s="303">
        <f>DCF!$B$25</f>
        <v>4.3119999999999825E-2</v>
      </c>
      <c r="DB585" s="303">
        <f>DCF!$B$25</f>
        <v>4.3119999999999825E-2</v>
      </c>
      <c r="DC585" s="303">
        <f>DCF!$B$25</f>
        <v>4.3119999999999825E-2</v>
      </c>
      <c r="DD585" s="303">
        <f>DCF!$B$25</f>
        <v>4.3119999999999825E-2</v>
      </c>
      <c r="DE585" s="303">
        <f>DCF!$B$25</f>
        <v>4.3119999999999825E-2</v>
      </c>
      <c r="DF585" s="303">
        <f>DCF!$B$25</f>
        <v>4.3119999999999825E-2</v>
      </c>
      <c r="DG585" s="303">
        <f>DCF!$B$25</f>
        <v>4.3119999999999825E-2</v>
      </c>
      <c r="DH585" s="10"/>
    </row>
    <row r="586" spans="1:112" s="7" customFormat="1">
      <c r="A586" s="11" t="s">
        <v>778</v>
      </c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5">
        <f>Forecasts!P7</f>
        <v>7316</v>
      </c>
      <c r="AP586" s="12">
        <f>Forecasts!Q7</f>
        <v>718</v>
      </c>
      <c r="AQ586" s="12">
        <f>Forecasts!R7</f>
        <v>3292</v>
      </c>
      <c r="AR586" s="12">
        <f>Forecasts!S7</f>
        <v>4129</v>
      </c>
      <c r="AS586" s="12">
        <f>Forecasts!T7</f>
        <v>9561</v>
      </c>
      <c r="AT586" s="12">
        <f>Forecasts!U7</f>
        <v>17700</v>
      </c>
      <c r="AU586" s="12">
        <f>Forecasts!V7</f>
        <v>3264</v>
      </c>
      <c r="AV586" s="12">
        <f>Forecasts!W7</f>
        <v>7084</v>
      </c>
      <c r="AW586" s="12">
        <f>Forecasts!X7</f>
        <v>5131</v>
      </c>
      <c r="AX586" s="12">
        <f>Forecasts!Y7</f>
        <v>2791</v>
      </c>
      <c r="AY586" s="12">
        <f>Forecasts!Z7</f>
        <v>18270</v>
      </c>
      <c r="AZ586" s="12">
        <f>Forecasts!AA7</f>
        <v>2271</v>
      </c>
      <c r="BA586" s="12">
        <f>Forecasts!AB7</f>
        <v>2945</v>
      </c>
      <c r="BB586" s="12">
        <f>Forecasts!AC7</f>
        <v>7858</v>
      </c>
      <c r="BC586" s="12">
        <f>Forecasts!AD7</f>
        <v>13498</v>
      </c>
      <c r="BD586" s="12">
        <f>Forecasts!AE7</f>
        <v>26572</v>
      </c>
      <c r="BE586" s="12">
        <f>Forecasts!AF7</f>
        <v>3134</v>
      </c>
      <c r="BF586" s="12">
        <f>Forecasts!AG7</f>
        <v>5361</v>
      </c>
      <c r="BG586" s="12">
        <f>Forecasts!AH7</f>
        <v>7858</v>
      </c>
      <c r="BH586" s="12">
        <f>Forecasts!AI7</f>
        <v>13506</v>
      </c>
      <c r="BI586" s="12">
        <f>Forecasts!AJ7</f>
        <v>29859</v>
      </c>
      <c r="BJ586" s="12">
        <f>Forecasts!AK7</f>
        <v>3755</v>
      </c>
      <c r="BK586" s="12">
        <f>Forecasts!AL7</f>
        <v>6325</v>
      </c>
      <c r="BL586" s="12">
        <f>Forecasts!AM7</f>
        <v>5087</v>
      </c>
      <c r="BM586" s="12">
        <f>Forecasts!AN7</f>
        <v>10956</v>
      </c>
      <c r="BN586" s="12">
        <f>Forecasts!AO7</f>
        <v>26123</v>
      </c>
      <c r="BO586" s="12">
        <f>Forecasts!AP7</f>
        <v>2195</v>
      </c>
      <c r="BP586" s="12">
        <f>Forecasts!AQ7</f>
        <v>3148</v>
      </c>
      <c r="BQ586" s="12">
        <f>Forecasts!AR7</f>
        <v>5046</v>
      </c>
      <c r="BR586" s="12">
        <f>Forecasts!AS7</f>
        <v>5545</v>
      </c>
      <c r="BS586" s="12">
        <f>Forecasts!AT7</f>
        <v>15934</v>
      </c>
      <c r="BT586" s="12">
        <f>Forecasts!AU7</f>
        <v>1685</v>
      </c>
      <c r="BU586" s="12">
        <f>Forecasts!AV7</f>
        <v>3379</v>
      </c>
      <c r="BV586" s="12">
        <f>Forecasts!AW7</f>
        <v>2416</v>
      </c>
      <c r="BW586" s="12">
        <f>Forecasts!AX7</f>
        <v>7416</v>
      </c>
      <c r="BX586" s="12">
        <f>Forecasts!AY7</f>
        <v>14896</v>
      </c>
      <c r="BY586" s="12">
        <f>Forecasts!AZ7</f>
        <v>2406</v>
      </c>
      <c r="BZ586" s="12">
        <f>Forecasts!BA7</f>
        <v>2344</v>
      </c>
      <c r="CA586" s="12">
        <f>Forecasts!BB7</f>
        <v>2220</v>
      </c>
      <c r="CB586" s="12">
        <f>Forecasts!BC7</f>
        <v>5068</v>
      </c>
      <c r="CC586" s="12">
        <f>Forecasts!BD7</f>
        <v>12038</v>
      </c>
      <c r="CD586" s="12">
        <f>Forecasts!BE7</f>
        <v>1606</v>
      </c>
      <c r="CE586" s="12">
        <f>Forecasts!BF7</f>
        <v>4333</v>
      </c>
      <c r="CF586" s="12">
        <f>Forecasts!BG7</f>
        <v>1127</v>
      </c>
      <c r="CG586" s="12">
        <f>Forecasts!BH7</f>
        <v>1298</v>
      </c>
      <c r="CI586" s="12">
        <f>Forecasts!BJ7</f>
        <v>1530</v>
      </c>
      <c r="CJ586" s="12">
        <f>Forecasts!BK7</f>
        <v>1840</v>
      </c>
      <c r="CK586" s="12">
        <f>Forecasts!BL7</f>
        <v>1630</v>
      </c>
      <c r="CL586" s="12">
        <f>Forecasts!BM7</f>
        <v>4726</v>
      </c>
      <c r="CM586" s="12">
        <f>Forecasts!BN7</f>
        <v>9726</v>
      </c>
      <c r="CN586" s="12">
        <f>Forecasts!BO7</f>
        <v>711</v>
      </c>
      <c r="CO586" s="12">
        <f>Forecasts!BP7</f>
        <v>2082</v>
      </c>
      <c r="CP586" s="12">
        <f>Forecasts!BQ7</f>
        <v>2050</v>
      </c>
      <c r="CQ586" s="12">
        <f>Forecasts!BR7</f>
        <v>4125</v>
      </c>
      <c r="CR586" s="12">
        <f>Forecasts!BS7</f>
        <v>8968</v>
      </c>
      <c r="CS586" s="12">
        <f>Forecasts!BT7</f>
        <v>2111</v>
      </c>
      <c r="CT586" s="12">
        <f>Forecasts!BU7</f>
        <v>3138</v>
      </c>
      <c r="CU586" s="12">
        <f>Forecasts!BV7</f>
        <v>2821</v>
      </c>
      <c r="CV586" s="12">
        <f>Forecasts!BW7</f>
        <v>7075</v>
      </c>
      <c r="CW586" s="12">
        <f>Forecasts!BX7</f>
        <v>15145</v>
      </c>
      <c r="CX586" s="12">
        <f>Forecasts!BY7</f>
        <v>1516</v>
      </c>
      <c r="CY586" s="12">
        <f>Forecasts!BZ7</f>
        <v>2935</v>
      </c>
      <c r="CZ586" s="12">
        <f>Forecasts!CA7</f>
        <v>2107</v>
      </c>
      <c r="DA586" s="12">
        <f>Forecasts!CB7</f>
        <v>3205</v>
      </c>
      <c r="DB586" s="12">
        <f>Forecasts!CC7</f>
        <v>9763</v>
      </c>
      <c r="DC586" s="12">
        <f>Forecasts!CD7</f>
        <v>3533</v>
      </c>
      <c r="DD586" s="12">
        <f>Forecasts!CE7</f>
        <v>804</v>
      </c>
      <c r="DE586" s="12">
        <f>Forecasts!CF7</f>
        <v>3160</v>
      </c>
      <c r="DF586" s="12">
        <f>Forecasts!CG7</f>
        <v>7672</v>
      </c>
      <c r="DG586" s="12">
        <f>Forecasts!CH7</f>
        <v>15169</v>
      </c>
      <c r="DH586" s="10"/>
    </row>
    <row r="587" spans="1:112" s="7" customFormat="1">
      <c r="A587" s="11" t="s">
        <v>779</v>
      </c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>
        <f>Forecasts!P8/1000</f>
        <v>398.65855658829963</v>
      </c>
      <c r="AP587" s="12">
        <f>Forecasts!Q8/1000</f>
        <v>281.99582172701952</v>
      </c>
      <c r="AQ587" s="12">
        <f>Forecasts!R8/1000</f>
        <v>196.9441069258809</v>
      </c>
      <c r="AR587" s="12">
        <f>Forecasts!S8/1000</f>
        <v>381.09736013562605</v>
      </c>
      <c r="AS587" s="12">
        <f>Forecasts!T8/1000</f>
        <v>320.99100512498694</v>
      </c>
      <c r="AT587" s="12">
        <f>Forecasts!U8/1000</f>
        <v>310.35926553672317</v>
      </c>
      <c r="AU587" s="12">
        <f>Forecasts!V8/1000</f>
        <v>225.41299019607843</v>
      </c>
      <c r="AV587" s="12">
        <f>Forecasts!W8/1000</f>
        <v>308.10601355166568</v>
      </c>
      <c r="AW587" s="12">
        <f>Forecasts!X8/1000</f>
        <v>205.13720522315339</v>
      </c>
      <c r="AX587" s="12">
        <f>Forecasts!Y8/1000</f>
        <v>306.881762809029</v>
      </c>
      <c r="AY587" s="12">
        <f>Forecasts!Z8/1000</f>
        <v>264.22753147235909</v>
      </c>
      <c r="AZ587" s="12">
        <f>Forecasts!AA8/1000</f>
        <v>243.92602377807134</v>
      </c>
      <c r="BA587" s="12">
        <f>Forecasts!AB8/1000</f>
        <v>218.7667232597623</v>
      </c>
      <c r="BB587" s="12">
        <f>Forecasts!AC8/1000</f>
        <v>248.39093917027233</v>
      </c>
      <c r="BC587" s="12">
        <f>Forecasts!AD8/1000</f>
        <v>189.05082234405097</v>
      </c>
      <c r="BD587" s="12">
        <f>Forecasts!AE8/1000</f>
        <v>214.58256811681468</v>
      </c>
      <c r="BE587" s="12">
        <f>Forecasts!AF8/1000</f>
        <v>190.26611359285258</v>
      </c>
      <c r="BF587" s="12">
        <f>Forecasts!AG8/1000</f>
        <v>210.3074053348256</v>
      </c>
      <c r="BG587" s="12">
        <f>Forecasts!AH8/1000</f>
        <v>172.99592771697633</v>
      </c>
      <c r="BH587" s="12">
        <f>Forecasts!AI8/1000</f>
        <v>335.16422330815931</v>
      </c>
      <c r="BI587" s="12">
        <f>Forecasts!AJ8/1000</f>
        <v>254.86057805016912</v>
      </c>
      <c r="BJ587" s="12">
        <f>Forecasts!AK8/1000</f>
        <v>306.79094540612516</v>
      </c>
      <c r="BK587" s="12">
        <f>Forecasts!AL8/1000</f>
        <v>261.51778656126481</v>
      </c>
      <c r="BL587" s="12">
        <f>Forecasts!AM8/1000</f>
        <v>345.3902103400826</v>
      </c>
      <c r="BM587" s="12">
        <f>Forecasts!AN8/1000</f>
        <v>305.03833515881706</v>
      </c>
      <c r="BN587" s="12">
        <f>Forecasts!AO8/1000</f>
        <v>302.61072617999463</v>
      </c>
      <c r="BO587" s="12">
        <f>Forecasts!AP8/1000</f>
        <v>405.46697038724375</v>
      </c>
      <c r="BP587" s="12">
        <f>Forecasts!AQ8/1000</f>
        <v>346.06099110546376</v>
      </c>
      <c r="BQ587" s="12">
        <f>Forecasts!AR8/1000</f>
        <v>300.77288941736032</v>
      </c>
      <c r="BR587" s="12">
        <f>Forecasts!AS8/1000</f>
        <v>277.22272317403065</v>
      </c>
      <c r="BS587" s="12">
        <f>Forecasts!AT8/1000</f>
        <v>315.94703150495792</v>
      </c>
      <c r="BT587" s="12">
        <f>Forecasts!AU8/1000</f>
        <v>446.40949554896144</v>
      </c>
      <c r="BU587" s="12">
        <f>Forecasts!AV8/1000</f>
        <v>376.02841077241783</v>
      </c>
      <c r="BV587" s="12">
        <f>Forecasts!AW8/1000</f>
        <v>510.84437086092714</v>
      </c>
      <c r="BW587" s="12">
        <f>Forecasts!AX8/1000</f>
        <v>300.10787486515642</v>
      </c>
      <c r="BX587" s="12">
        <f>Forecasts!AY8/1000</f>
        <v>368.05853920515574</v>
      </c>
      <c r="BY587" s="12">
        <f>Forecasts!AZ8/1000</f>
        <v>795.84372402327517</v>
      </c>
      <c r="BZ587" s="12">
        <f>Forecasts!BA8/1000</f>
        <v>379.77815699658709</v>
      </c>
      <c r="CA587" s="12">
        <f>Forecasts!BB8/1000</f>
        <v>352.70270270270271</v>
      </c>
      <c r="CB587" s="12">
        <f>Forecasts!BC8/1000</f>
        <v>425.01973164956593</v>
      </c>
      <c r="CC587" s="12">
        <f>Forecasts!BD8/1000</f>
        <v>476.9895331450407</v>
      </c>
      <c r="CD587" s="12">
        <f>Forecasts!BE8/1000</f>
        <v>288.29389788293895</v>
      </c>
      <c r="CE587" s="12">
        <f>Forecasts!BF8/1000</f>
        <v>246.01892453265634</v>
      </c>
      <c r="CF587" s="12">
        <f>Forecasts!BG8/1000</f>
        <v>541.259982253771</v>
      </c>
      <c r="CG587" s="12">
        <f>Forecasts!BH8/1000</f>
        <v>585.51617873651765</v>
      </c>
      <c r="CI587" s="12">
        <f>Forecasts!BJ8/1000</f>
        <v>400.65359477124184</v>
      </c>
      <c r="CJ587" s="12">
        <f>Forecasts!BK8/1000</f>
        <v>325</v>
      </c>
      <c r="CK587" s="12">
        <f>Forecasts!BL8/1000</f>
        <v>277.3006134969325</v>
      </c>
      <c r="CL587" s="12">
        <f>Forecasts!BM8/1000</f>
        <v>269.57257723233181</v>
      </c>
      <c r="CM587" s="12">
        <f>Forecasts!BN8/1000</f>
        <v>301.97409006785932</v>
      </c>
      <c r="CN587" s="12">
        <f>Forecasts!BO8/1000</f>
        <v>860.75949367088606</v>
      </c>
      <c r="CO587" s="12">
        <f>Forecasts!BP8/1000</f>
        <v>307.39673390970222</v>
      </c>
      <c r="CP587" s="12">
        <f>Forecasts!BQ8/1000</f>
        <v>259.44585365853658</v>
      </c>
      <c r="CQ587" s="12">
        <f>Forecasts!BR8/1000</f>
        <v>307.68799999999999</v>
      </c>
      <c r="CR587" s="12">
        <f>Forecasts!BS8/1000</f>
        <v>340.44123550401429</v>
      </c>
      <c r="CS587" s="12">
        <f>Forecasts!BT8/1000</f>
        <v>205.70677404073899</v>
      </c>
      <c r="CT587" s="12">
        <f>Forecasts!BU8/1000</f>
        <v>312.73709369024857</v>
      </c>
      <c r="CU587" s="12">
        <f>Forecasts!BV8/1000</f>
        <v>325.41651896490606</v>
      </c>
      <c r="CV587" s="12">
        <f>Forecasts!BW8/1000</f>
        <v>382.36002808339646</v>
      </c>
      <c r="CW587" s="12">
        <f>Forecasts!BX8/1000</f>
        <v>332.70473414922617</v>
      </c>
      <c r="CX587" s="12">
        <f>Forecasts!BY8/1000</f>
        <v>291.82233534657428</v>
      </c>
      <c r="CY587" s="12">
        <f>Forecasts!BZ8/1000</f>
        <v>520.6041825220766</v>
      </c>
      <c r="CZ587" s="12">
        <f>Forecasts!CA8/1000</f>
        <v>469.25516330156228</v>
      </c>
      <c r="DA587" s="12">
        <f>Forecasts!CB8/1000</f>
        <v>436.10207864269665</v>
      </c>
      <c r="DB587" s="12">
        <f>Forecasts!CC8/1000</f>
        <v>446.25665545569353</v>
      </c>
      <c r="DC587" s="12">
        <f>Forecasts!CD8/1000</f>
        <v>301.32106368749442</v>
      </c>
      <c r="DD587" s="12">
        <f>Forecasts!CE8/1000</f>
        <v>316.1656736667054</v>
      </c>
      <c r="DE587" s="12">
        <f>Forecasts!CF8/1000</f>
        <v>522.51674605463586</v>
      </c>
      <c r="DF587" s="12">
        <f>Forecasts!CG8/1000</f>
        <v>374.52369565628294</v>
      </c>
      <c r="DG587" s="12">
        <f>Forecasts!CH8/1000</f>
        <v>385.21083988684825</v>
      </c>
      <c r="DH587" s="10"/>
    </row>
    <row r="588" spans="1:112" s="7" customFormat="1">
      <c r="A588" s="11" t="s">
        <v>780</v>
      </c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>
        <f>Forecasts!P12</f>
        <v>4268</v>
      </c>
      <c r="AP588" s="12">
        <f>Forecasts!Q12</f>
        <v>1065</v>
      </c>
      <c r="AQ588" s="12">
        <f>Forecasts!R12</f>
        <v>1962</v>
      </c>
      <c r="AR588" s="12">
        <f>Forecasts!S12</f>
        <v>3045</v>
      </c>
      <c r="AS588" s="12">
        <f>Forecasts!T12</f>
        <v>6846</v>
      </c>
      <c r="AT588" s="12">
        <f>Forecasts!U12</f>
        <v>12918</v>
      </c>
      <c r="AU588" s="12">
        <f>Forecasts!V12</f>
        <v>3769</v>
      </c>
      <c r="AV588" s="12">
        <f>Forecasts!W12</f>
        <v>6355</v>
      </c>
      <c r="AW588" s="12">
        <f>Forecasts!X12</f>
        <v>4468</v>
      </c>
      <c r="AX588" s="12">
        <f>Forecasts!Y12</f>
        <v>2283</v>
      </c>
      <c r="AY588" s="12">
        <f>Forecasts!Z12</f>
        <v>16875</v>
      </c>
      <c r="AZ588" s="12">
        <f>Forecasts!AA12</f>
        <v>1766</v>
      </c>
      <c r="BA588" s="12">
        <f>Forecasts!AB12</f>
        <v>3302</v>
      </c>
      <c r="BB588" s="12">
        <f>Forecasts!AC12</f>
        <v>6378</v>
      </c>
      <c r="BC588" s="12">
        <f>Forecasts!AD12</f>
        <v>12570</v>
      </c>
      <c r="BD588" s="12">
        <f>Forecasts!AE12</f>
        <v>24016</v>
      </c>
      <c r="BE588" s="12">
        <f>Forecasts!AF12</f>
        <v>4681</v>
      </c>
      <c r="BF588" s="12">
        <f>Forecasts!AG12</f>
        <v>5984</v>
      </c>
      <c r="BG588" s="12">
        <f>Forecasts!AH12</f>
        <v>6378</v>
      </c>
      <c r="BH588" s="12">
        <f>Forecasts!AI12</f>
        <v>8742</v>
      </c>
      <c r="BI588" s="12">
        <f>Forecasts!AJ12</f>
        <v>25785</v>
      </c>
      <c r="BJ588" s="12">
        <f>Forecasts!AK12</f>
        <v>3953</v>
      </c>
      <c r="BK588" s="12">
        <f>Forecasts!AL12</f>
        <v>5582</v>
      </c>
      <c r="BL588" s="12">
        <f>Forecasts!AM12</f>
        <v>3699</v>
      </c>
      <c r="BM588" s="12">
        <f>Forecasts!AN12</f>
        <v>8075</v>
      </c>
      <c r="BN588" s="12">
        <f>Forecasts!AO12</f>
        <v>21309</v>
      </c>
      <c r="BO588" s="12">
        <f>Forecasts!AP12</f>
        <v>3516</v>
      </c>
      <c r="BP588" s="12">
        <f>Forecasts!AQ12</f>
        <v>4191</v>
      </c>
      <c r="BQ588" s="12">
        <f>Forecasts!AR12</f>
        <v>5470</v>
      </c>
      <c r="BR588" s="12">
        <f>Forecasts!AS12</f>
        <v>3465</v>
      </c>
      <c r="BS588" s="12">
        <f>Forecasts!AT12</f>
        <v>16642</v>
      </c>
      <c r="BT588" s="12">
        <f>Forecasts!AU12</f>
        <v>3992</v>
      </c>
      <c r="BU588" s="12">
        <f>Forecasts!AV12</f>
        <v>4286</v>
      </c>
      <c r="BV588" s="12">
        <f>Forecasts!AW12</f>
        <v>3308</v>
      </c>
      <c r="BW588" s="12">
        <f>Forecasts!AX12</f>
        <v>5485</v>
      </c>
      <c r="BX588" s="12">
        <f>Forecasts!AY12</f>
        <v>17071</v>
      </c>
      <c r="BY588" s="12">
        <f>Forecasts!AZ12</f>
        <v>2930</v>
      </c>
      <c r="BZ588" s="12">
        <f>Forecasts!BA12</f>
        <v>3326</v>
      </c>
      <c r="CA588" s="12">
        <f>Forecasts!BB12</f>
        <v>2611</v>
      </c>
      <c r="CB588" s="12">
        <f>Forecasts!BC12</f>
        <v>4623</v>
      </c>
      <c r="CC588" s="12">
        <f>Forecasts!BD12</f>
        <v>13490</v>
      </c>
      <c r="CD588" s="12">
        <f>Forecasts!BE12</f>
        <v>1981</v>
      </c>
      <c r="CE588" s="12">
        <f>Forecasts!BF12</f>
        <v>2447</v>
      </c>
      <c r="CF588" s="12">
        <f>Forecasts!BG12</f>
        <v>2594</v>
      </c>
      <c r="CG588" s="12">
        <f>Forecasts!BH12</f>
        <v>2074</v>
      </c>
      <c r="CI588" s="12">
        <f>Forecasts!BJ12</f>
        <v>1582</v>
      </c>
      <c r="CJ588" s="12">
        <f>Forecasts!BK12</f>
        <v>1503</v>
      </c>
      <c r="CK588" s="12">
        <f>Forecasts!BL12</f>
        <v>1850</v>
      </c>
      <c r="CL588" s="12">
        <f>Forecasts!BM12</f>
        <v>3758</v>
      </c>
      <c r="CM588" s="12">
        <f>Forecasts!BN12</f>
        <v>8693</v>
      </c>
      <c r="CN588" s="12">
        <f>Forecasts!BO12</f>
        <v>1384</v>
      </c>
      <c r="CO588" s="12">
        <f>Forecasts!BP12</f>
        <v>2177</v>
      </c>
      <c r="CP588" s="12">
        <f>Forecasts!BQ12</f>
        <v>2555</v>
      </c>
      <c r="CQ588" s="12">
        <f>Forecasts!BR12</f>
        <v>4216</v>
      </c>
      <c r="CR588" s="12">
        <f>Forecasts!BS12</f>
        <v>10332</v>
      </c>
      <c r="CS588" s="12">
        <f>Forecasts!BT12</f>
        <v>2297</v>
      </c>
      <c r="CT588" s="12">
        <f>Forecasts!BU12</f>
        <v>3257</v>
      </c>
      <c r="CU588" s="12">
        <f>Forecasts!BV12</f>
        <v>3108</v>
      </c>
      <c r="CV588" s="12">
        <f>Forecasts!BW12</f>
        <v>5839</v>
      </c>
      <c r="CW588" s="12">
        <f>Forecasts!BX12</f>
        <v>14501</v>
      </c>
      <c r="CX588" s="12">
        <f>Forecasts!BY12</f>
        <v>1820</v>
      </c>
      <c r="CY588" s="12">
        <f>Forecasts!BZ12</f>
        <v>2726</v>
      </c>
      <c r="CZ588" s="12">
        <f>Forecasts!CA12</f>
        <v>2371</v>
      </c>
      <c r="DA588" s="12">
        <f>Forecasts!CB12</f>
        <v>2996</v>
      </c>
      <c r="DB588" s="12">
        <f>Forecasts!CC12</f>
        <v>9913</v>
      </c>
      <c r="DC588" s="12">
        <f>Forecasts!CD12</f>
        <v>2483</v>
      </c>
      <c r="DD588" s="12">
        <f>Forecasts!CE12</f>
        <v>1324</v>
      </c>
      <c r="DE588" s="12">
        <f>Forecasts!CF12</f>
        <v>3003</v>
      </c>
      <c r="DF588" s="12">
        <f>Forecasts!CG12</f>
        <v>4242</v>
      </c>
      <c r="DG588" s="12">
        <f>Forecasts!CH12</f>
        <v>11052</v>
      </c>
      <c r="DH588" s="10"/>
    </row>
    <row r="589" spans="1:112" s="7" customFormat="1">
      <c r="A589" s="11" t="s">
        <v>781</v>
      </c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>
        <f>Forecasts!P13/1000</f>
        <v>448.71063730084347</v>
      </c>
      <c r="AP589" s="12">
        <f>Forecasts!Q13/1000</f>
        <v>365.0582159624413</v>
      </c>
      <c r="AQ589" s="12">
        <f>Forecasts!R13/1000</f>
        <v>355.92099898063202</v>
      </c>
      <c r="AR589" s="12">
        <f>Forecasts!S13/1000</f>
        <v>347.62495894909682</v>
      </c>
      <c r="AS589" s="12">
        <f>Forecasts!T13/1000</f>
        <v>328.1606777680397</v>
      </c>
      <c r="AT589" s="12">
        <f>Forecasts!U13/1000</f>
        <v>340.00696702275894</v>
      </c>
      <c r="AU589" s="12">
        <f>Forecasts!V13/1000</f>
        <v>279.12231361103738</v>
      </c>
      <c r="AV589" s="12">
        <f>Forecasts!W13/1000</f>
        <v>305.41353265145557</v>
      </c>
      <c r="AW589" s="12">
        <f>Forecasts!X13/1000</f>
        <v>235.57363473589973</v>
      </c>
      <c r="AX589" s="12">
        <f>Forecasts!Y13/1000</f>
        <v>247.94875164257556</v>
      </c>
      <c r="AY589" s="12">
        <f>Forecasts!Z13/1000</f>
        <v>273.27555555555557</v>
      </c>
      <c r="AZ589" s="12">
        <f>Forecasts!AA13/1000</f>
        <v>284.14043035107585</v>
      </c>
      <c r="BA589" s="12">
        <f>Forecasts!AB13/1000</f>
        <v>254.33979406420352</v>
      </c>
      <c r="BB589" s="12">
        <f>Forecasts!AC13/1000</f>
        <v>255.70978363123237</v>
      </c>
      <c r="BC589" s="12">
        <f>Forecasts!AD13/1000</f>
        <v>180.47326968973746</v>
      </c>
      <c r="BD589" s="12">
        <f>Forecasts!AE13/1000</f>
        <v>218.23317788141239</v>
      </c>
      <c r="BE589" s="12">
        <f>Forecasts!AF13/1000</f>
        <v>227.67613757744073</v>
      </c>
      <c r="BF589" s="12">
        <f>Forecasts!AG13/1000</f>
        <v>257.33656417112297</v>
      </c>
      <c r="BG589" s="12">
        <f>Forecasts!AH13/1000</f>
        <v>160.76654123549702</v>
      </c>
      <c r="BH589" s="12">
        <f>Forecasts!AI13/1000</f>
        <v>290.70979180965452</v>
      </c>
      <c r="BI589" s="12">
        <f>Forecasts!AJ13/1000</f>
        <v>239.37979445414001</v>
      </c>
      <c r="BJ589" s="12">
        <f>Forecasts!AK13/1000</f>
        <v>252.71945357955983</v>
      </c>
      <c r="BK589" s="12">
        <f>Forecasts!AL13/1000</f>
        <v>298.81762809029021</v>
      </c>
      <c r="BL589" s="12">
        <f>Forecasts!AM13/1000</f>
        <v>391.72749391727496</v>
      </c>
      <c r="BM589" s="12">
        <f>Forecasts!AN13/1000</f>
        <v>294.98452012383899</v>
      </c>
      <c r="BN589" s="12">
        <f>Forecasts!AO13/1000</f>
        <v>304.94157398282414</v>
      </c>
      <c r="BO589" s="12">
        <f>Forecasts!AP13/1000</f>
        <v>346.98521046643913</v>
      </c>
      <c r="BP589" s="12">
        <f>Forecasts!AQ13/1000</f>
        <v>313.55285134812692</v>
      </c>
      <c r="BQ589" s="12">
        <f>Forecasts!AR13/1000</f>
        <v>320.93235831809869</v>
      </c>
      <c r="BR589" s="12">
        <f>Forecasts!AS13/1000</f>
        <v>332.87157287157288</v>
      </c>
      <c r="BS589" s="12">
        <f>Forecasts!AT13/1000</f>
        <v>327.06405480110561</v>
      </c>
      <c r="BT589" s="12">
        <f>Forecasts!AU13/1000</f>
        <v>289.47895791583164</v>
      </c>
      <c r="BU589" s="12">
        <f>Forecasts!AV13/1000</f>
        <v>394.19038730751282</v>
      </c>
      <c r="BV589" s="12">
        <f>Forecasts!AW13/1000</f>
        <v>411.30592503022973</v>
      </c>
      <c r="BW589" s="12">
        <f>Forecasts!AX13/1000</f>
        <v>329.20692798541478</v>
      </c>
      <c r="BX589" s="12">
        <f>Forecasts!AY13/1000</f>
        <v>352.14105793450881</v>
      </c>
      <c r="BY589" s="12">
        <f>Forecasts!AZ13/1000</f>
        <v>528.22525597269623</v>
      </c>
      <c r="BZ589" s="12">
        <f>Forecasts!BA13/1000</f>
        <v>378.11184606133486</v>
      </c>
      <c r="CA589" s="12">
        <f>Forecasts!BB13/1000</f>
        <v>379.93106089620835</v>
      </c>
      <c r="CB589" s="12">
        <f>Forecasts!BC13/1000</f>
        <v>385.24767467012765</v>
      </c>
      <c r="CC589" s="12">
        <f>Forecasts!BD13/1000</f>
        <v>413.51371386212008</v>
      </c>
      <c r="CD589" s="12">
        <f>Forecasts!BE13/1000</f>
        <v>364.778899545684</v>
      </c>
      <c r="CE589" s="12">
        <f>Forecasts!BF13/1000</f>
        <v>332.51205557825909</v>
      </c>
      <c r="CF589" s="12">
        <f>Forecasts!BG13/1000</f>
        <v>389.0805705474171</v>
      </c>
      <c r="CG589" s="12">
        <f>Forecasts!BH13/1000</f>
        <v>406.95612343297972</v>
      </c>
      <c r="CI589" s="12">
        <f>Forecasts!BJ13/1000</f>
        <v>343.59355246523387</v>
      </c>
      <c r="CJ589" s="12">
        <f>Forecasts!BK13/1000</f>
        <v>371.50964737192282</v>
      </c>
      <c r="CK589" s="12">
        <f>Forecasts!BL13/1000</f>
        <v>309.91891891891885</v>
      </c>
      <c r="CL589" s="12">
        <f>Forecasts!BM13/1000</f>
        <v>290.11921234699309</v>
      </c>
      <c r="CM589" s="12">
        <f>Forecasts!BN13/1000</f>
        <v>318.13666168181294</v>
      </c>
      <c r="CN589" s="12">
        <f>Forecasts!BO13/1000</f>
        <v>375.72254335260118</v>
      </c>
      <c r="CO589" s="12">
        <f>Forecasts!BP13/1000</f>
        <v>347.26688102893888</v>
      </c>
      <c r="CP589" s="12">
        <f>Forecasts!BQ13/1000</f>
        <v>285.56947162426616</v>
      </c>
      <c r="CQ589" s="12">
        <f>Forecasts!BR13/1000</f>
        <v>297.27016129032256</v>
      </c>
      <c r="CR589" s="12">
        <f>Forecasts!BS13/1000</f>
        <v>315.42015098722413</v>
      </c>
      <c r="CS589" s="12">
        <f>Forecasts!BT13/1000</f>
        <v>266.90988245537659</v>
      </c>
      <c r="CT589" s="12">
        <f>Forecasts!BU13/1000</f>
        <v>325.7399447344182</v>
      </c>
      <c r="CU589" s="12">
        <f>Forecasts!BV13/1000</f>
        <v>303.4105534105534</v>
      </c>
      <c r="CV589" s="12">
        <f>Forecasts!BW13/1000</f>
        <v>417.73929190922757</v>
      </c>
      <c r="CW589" s="12">
        <f>Forecasts!BX13/1000</f>
        <v>348.67986521329419</v>
      </c>
      <c r="CX589" s="12">
        <f>Forecasts!BY13/1000</f>
        <v>424.74234426823102</v>
      </c>
      <c r="CY589" s="12">
        <f>Forecasts!BZ13/1000</f>
        <v>478.89616172052212</v>
      </c>
      <c r="CZ589" s="12">
        <f>Forecasts!CA13/1000</f>
        <v>473.79431899249545</v>
      </c>
      <c r="DA589" s="12">
        <f>Forecasts!CB13/1000</f>
        <v>463.09916875727947</v>
      </c>
      <c r="DB589" s="12">
        <f>Forecasts!CC13/1000</f>
        <v>462.95908840374659</v>
      </c>
      <c r="DC589" s="12">
        <f>Forecasts!CD13/1000</f>
        <v>340.79298568097823</v>
      </c>
      <c r="DD589" s="12">
        <f>Forecasts!CE13/1000</f>
        <v>386.99251431600999</v>
      </c>
      <c r="DE589" s="12">
        <f>Forecasts!CF13/1000</f>
        <v>569.97239512263138</v>
      </c>
      <c r="DF589" s="12">
        <f>Forecasts!CG13/1000</f>
        <v>438.51833255588144</v>
      </c>
      <c r="DG589" s="12">
        <f>Forecasts!CH13/1000</f>
        <v>446.10830090984228</v>
      </c>
      <c r="DH589" s="10"/>
    </row>
    <row r="590" spans="1:112" s="7" customFormat="1">
      <c r="A590" s="11" t="s">
        <v>840</v>
      </c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>
        <f>Forecasts!L52/1000</f>
        <v>0</v>
      </c>
      <c r="AP590" s="12">
        <f>Forecasts!M52/1000</f>
        <v>0</v>
      </c>
      <c r="AQ590" s="12">
        <f>Forecasts!N52/1000</f>
        <v>0</v>
      </c>
      <c r="AR590" s="12">
        <f>Forecasts!O52/1000</f>
        <v>0</v>
      </c>
      <c r="AS590" s="12">
        <f>Forecasts!P52/1000</f>
        <v>0</v>
      </c>
      <c r="AT590" s="12">
        <f>Forecasts!Q52/1000</f>
        <v>0</v>
      </c>
      <c r="AU590" s="12">
        <f>Forecasts!R52/1000</f>
        <v>0</v>
      </c>
      <c r="AV590" s="12">
        <f>Forecasts!S52/1000</f>
        <v>0</v>
      </c>
      <c r="AW590" s="12">
        <f>Forecasts!T52/1000</f>
        <v>0</v>
      </c>
      <c r="AX590" s="12">
        <f>Forecasts!U52/1000</f>
        <v>0</v>
      </c>
      <c r="AY590" s="12">
        <f>Forecasts!V52/1000</f>
        <v>0</v>
      </c>
      <c r="AZ590" s="12">
        <f>Forecasts!W52/1000</f>
        <v>0</v>
      </c>
      <c r="BA590" s="12">
        <f>Forecasts!X52/1000</f>
        <v>0</v>
      </c>
      <c r="BB590" s="12">
        <f>Forecasts!Y52/1000</f>
        <v>0</v>
      </c>
      <c r="BC590" s="12">
        <f>Forecasts!Z52/1000</f>
        <v>0</v>
      </c>
      <c r="BD590" s="12">
        <f>Forecasts!AA52/1000</f>
        <v>0</v>
      </c>
      <c r="BE590" s="12">
        <f>Forecasts!AF52/1000</f>
        <v>839.4</v>
      </c>
      <c r="BF590" s="12">
        <f>Forecasts!AG52/1000</f>
        <v>546</v>
      </c>
      <c r="BG590" s="12">
        <f>Forecasts!AH52/1000</f>
        <v>1181.279</v>
      </c>
      <c r="BH590" s="12">
        <f>Forecasts!AI52/1000</f>
        <v>1530.7</v>
      </c>
      <c r="BI590" s="12">
        <f>Forecasts!AJ52/1000</f>
        <v>4097.3789999999999</v>
      </c>
      <c r="BJ590" s="12">
        <f>Forecasts!AK52/1000</f>
        <v>1078.098</v>
      </c>
      <c r="BK590" s="12">
        <f>Forecasts!AL52/1000</f>
        <v>2504.5830000000001</v>
      </c>
      <c r="BL590" s="12">
        <f>Forecasts!AM52/1000</f>
        <v>1107.258</v>
      </c>
      <c r="BM590" s="12">
        <f>Forecasts!AN52/1000</f>
        <v>1404.1079999999999</v>
      </c>
      <c r="BN590" s="12">
        <f>Forecasts!AO52/1000</f>
        <v>6094.0469999999996</v>
      </c>
      <c r="BO590" s="12">
        <f>Forecasts!AP52/1000</f>
        <v>575.19399999999996</v>
      </c>
      <c r="BP590" s="12">
        <f>Forecasts!AQ52/1000</f>
        <v>1442.7</v>
      </c>
      <c r="BQ590" s="12">
        <f>Forecasts!AR52/1000</f>
        <v>2011.3</v>
      </c>
      <c r="BR590" s="12">
        <f>Forecasts!AS52/1000</f>
        <v>1806.74</v>
      </c>
      <c r="BS590" s="12">
        <f>Forecasts!AT52/1000</f>
        <v>5835.9340000000002</v>
      </c>
      <c r="BT590" s="12">
        <f>Forecasts!AU52/1000</f>
        <v>1032.5239999999999</v>
      </c>
      <c r="BU590" s="12">
        <f>Forecasts!AV52/1000</f>
        <v>1485.5609999999999</v>
      </c>
      <c r="BV590" s="12">
        <f>Forecasts!AW52/1000</f>
        <v>1535</v>
      </c>
      <c r="BW590" s="12">
        <f>Forecasts!AX52/1000</f>
        <v>1734</v>
      </c>
      <c r="BX590" s="12">
        <f>Forecasts!AY52/1000</f>
        <v>5787.085</v>
      </c>
      <c r="BY590" s="12">
        <f>Forecasts!AZ52/1000</f>
        <v>1540</v>
      </c>
      <c r="BZ590" s="12">
        <f>Forecasts!BA52/1000</f>
        <v>1847</v>
      </c>
      <c r="CA590" s="12">
        <f>Forecasts!BB52/1000</f>
        <v>1601</v>
      </c>
      <c r="CB590" s="12">
        <f>Forecasts!BC52/1000</f>
        <v>1810</v>
      </c>
      <c r="CC590" s="12">
        <f>Forecasts!BD52/1000</f>
        <v>6798</v>
      </c>
      <c r="CD590" s="12">
        <f>Forecasts!BE52/1000</f>
        <v>2468</v>
      </c>
      <c r="CE590" s="12">
        <f>Forecasts!BF52/1000</f>
        <v>1894</v>
      </c>
      <c r="CF590" s="12">
        <f>Forecasts!BG52/1000</f>
        <v>1379</v>
      </c>
      <c r="CG590" s="12">
        <f>Forecasts!BH52/1000</f>
        <v>1172</v>
      </c>
      <c r="CI590" s="12">
        <f>Forecasts!BJ52/1000</f>
        <v>1985</v>
      </c>
      <c r="CJ590" s="12">
        <f>Forecasts!BK52/1000</f>
        <v>2132</v>
      </c>
      <c r="CK590" s="12">
        <f>Forecasts!BL52/1000</f>
        <v>1381</v>
      </c>
      <c r="CL590" s="12">
        <f>Forecasts!BM52/1000</f>
        <v>2396</v>
      </c>
      <c r="CM590" s="12">
        <f>Forecasts!BN52/1000</f>
        <v>7894</v>
      </c>
      <c r="CN590" s="12">
        <f>Forecasts!BO52/1000</f>
        <v>1055</v>
      </c>
      <c r="CO590" s="12">
        <f>Forecasts!BP52/1000</f>
        <v>1197</v>
      </c>
      <c r="CP590" s="12">
        <f>Forecasts!BQ52/1000</f>
        <v>1532</v>
      </c>
      <c r="CQ590" s="12">
        <f>Forecasts!BR52/1000</f>
        <v>1666</v>
      </c>
      <c r="CR590" s="12">
        <f>Forecasts!BS52/1000</f>
        <v>5450</v>
      </c>
      <c r="CS590" s="12">
        <f>Forecasts!BT52/1000</f>
        <v>1005</v>
      </c>
      <c r="CT590" s="12">
        <f>Forecasts!BU52/1000</f>
        <v>2145.0520000000001</v>
      </c>
      <c r="CU590" s="12">
        <f>Forecasts!BV52/1000</f>
        <v>641</v>
      </c>
      <c r="CV590" s="12">
        <f>Forecasts!BW52/1000</f>
        <v>486.26493359577398</v>
      </c>
      <c r="CW590" s="12">
        <f>Forecasts!BX52/1000</f>
        <v>4277.3169335957737</v>
      </c>
      <c r="CX590" s="12">
        <f>Forecasts!BY52/1000</f>
        <v>357</v>
      </c>
      <c r="CY590" s="12">
        <f>Forecasts!BZ52/1000</f>
        <v>2145</v>
      </c>
      <c r="CZ590" s="12">
        <f>Forecasts!CA52/1000</f>
        <v>1233</v>
      </c>
      <c r="DA590" s="12">
        <f>Forecasts!CB52/1000</f>
        <v>1480</v>
      </c>
      <c r="DB590" s="12">
        <f>Forecasts!CC52/1000</f>
        <v>5215</v>
      </c>
      <c r="DC590" s="12">
        <f>Forecasts!CD52/1000</f>
        <v>231.29826044869569</v>
      </c>
      <c r="DD590" s="12">
        <f>Forecasts!CE52/1000</f>
        <v>112.54768895114069</v>
      </c>
      <c r="DE590" s="12">
        <f>Forecasts!CF52/1000</f>
        <v>461.89380803745757</v>
      </c>
      <c r="DF590" s="12">
        <f>Forecasts!CG52/1000</f>
        <v>690.43425286325191</v>
      </c>
      <c r="DG590" s="12">
        <f>Forecasts!CH52/1000</f>
        <v>1496.1740103005459</v>
      </c>
      <c r="DH590" s="10"/>
    </row>
    <row r="591" spans="1:112" s="7" customFormat="1">
      <c r="A591" s="11" t="s">
        <v>848</v>
      </c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>
        <f>Forecasts!P53</f>
        <v>0</v>
      </c>
      <c r="AP591" s="12">
        <f>Forecasts!Q53</f>
        <v>0.11630413721641407</v>
      </c>
      <c r="AQ591" s="12">
        <f>Forecasts!R53</f>
        <v>0.19407507662723891</v>
      </c>
      <c r="AR591" s="12">
        <f>Forecasts!S53</f>
        <v>0.23653672130386783</v>
      </c>
      <c r="AS591" s="12">
        <f>Forecasts!T53</f>
        <v>0.31843371652231411</v>
      </c>
      <c r="AT591" s="12">
        <f>Forecasts!U53</f>
        <v>0</v>
      </c>
      <c r="AU591" s="12">
        <f>Forecasts!V53</f>
        <v>0</v>
      </c>
      <c r="AV591" s="12">
        <f>Forecasts!W53</f>
        <v>0</v>
      </c>
      <c r="AW591" s="12">
        <f>Forecasts!X53</f>
        <v>0</v>
      </c>
      <c r="AX591" s="12">
        <f>Forecasts!Y53</f>
        <v>0</v>
      </c>
      <c r="AY591" s="12">
        <f>Forecasts!Z53</f>
        <v>0</v>
      </c>
      <c r="AZ591" s="12">
        <f>Forecasts!AA53</f>
        <v>1266</v>
      </c>
      <c r="BA591" s="12">
        <f>Forecasts!AB53</f>
        <v>1550</v>
      </c>
      <c r="BB591" s="12">
        <f>Forecasts!AC53</f>
        <v>1100</v>
      </c>
      <c r="BC591" s="12">
        <f>Forecasts!AD53</f>
        <v>3594</v>
      </c>
      <c r="BD591" s="12">
        <f>Forecasts!AE53</f>
        <v>7510</v>
      </c>
      <c r="BE591" s="12">
        <f>Forecasts!AF53</f>
        <v>3166</v>
      </c>
      <c r="BF591" s="12">
        <f>Forecasts!AG53</f>
        <v>2155</v>
      </c>
      <c r="BG591" s="12">
        <f>Forecasts!AH53</f>
        <v>3814</v>
      </c>
      <c r="BH591" s="12">
        <f>Forecasts!AI53</f>
        <v>6265</v>
      </c>
      <c r="BI591" s="12">
        <f>Forecasts!AJ53</f>
        <v>15400</v>
      </c>
      <c r="BJ591" s="12">
        <f>Forecasts!AK53</f>
        <v>3862</v>
      </c>
      <c r="BK591" s="12">
        <f>Forecasts!AL53</f>
        <v>10392</v>
      </c>
      <c r="BL591" s="12">
        <f>Forecasts!AM53</f>
        <v>3615</v>
      </c>
      <c r="BM591" s="12">
        <f>Forecasts!AN53</f>
        <v>5925</v>
      </c>
      <c r="BN591" s="12">
        <f>Forecasts!AO53</f>
        <v>23794</v>
      </c>
      <c r="BO591" s="12">
        <f>Forecasts!AP53</f>
        <v>4329</v>
      </c>
      <c r="BP591" s="12">
        <f>Forecasts!AQ53</f>
        <v>5675</v>
      </c>
      <c r="BQ591" s="12">
        <f>Forecasts!AR53</f>
        <v>9238</v>
      </c>
      <c r="BR591" s="12">
        <f>Forecasts!AS53</f>
        <v>4850</v>
      </c>
      <c r="BS591" s="12">
        <f>Forecasts!AT53</f>
        <v>24092</v>
      </c>
      <c r="BT591" s="12">
        <f>Forecasts!AU53</f>
        <v>5186</v>
      </c>
      <c r="BU591" s="12">
        <f>Forecasts!AV53</f>
        <v>5179</v>
      </c>
      <c r="BV591" s="12">
        <f>Forecasts!AW53</f>
        <v>6506</v>
      </c>
      <c r="BW591" s="12">
        <f>Forecasts!AX53</f>
        <v>8175</v>
      </c>
      <c r="BX591" s="12">
        <f>Forecasts!AY53</f>
        <v>25046</v>
      </c>
      <c r="BY591" s="12">
        <f>Forecasts!AZ53</f>
        <v>4814</v>
      </c>
      <c r="BZ591" s="12">
        <f>Forecasts!BA53</f>
        <v>5432</v>
      </c>
      <c r="CA591" s="12">
        <f>Forecasts!BB53</f>
        <v>5106</v>
      </c>
      <c r="CB591" s="12">
        <f>Forecasts!BC53</f>
        <v>5452</v>
      </c>
      <c r="CC591" s="12">
        <f>Forecasts!BD53</f>
        <v>20804</v>
      </c>
      <c r="CD591" s="12">
        <f>Forecasts!BE53</f>
        <v>5452</v>
      </c>
      <c r="CE591" s="12">
        <f>Forecasts!BF53</f>
        <v>5864</v>
      </c>
      <c r="CF591" s="12">
        <f>Forecasts!BG53</f>
        <v>6755</v>
      </c>
      <c r="CG591" s="12">
        <f>Forecasts!BH53</f>
        <v>4389</v>
      </c>
      <c r="CI591" s="12">
        <f>Forecasts!BJ53</f>
        <v>4433</v>
      </c>
      <c r="CJ591" s="12">
        <f>Forecasts!BK53</f>
        <v>5764</v>
      </c>
      <c r="CK591" s="12">
        <f>Forecasts!BL53</f>
        <v>3751</v>
      </c>
      <c r="CL591" s="12">
        <f>Forecasts!BM53</f>
        <v>7333</v>
      </c>
      <c r="CM591" s="12">
        <f>Forecasts!BN53</f>
        <v>21281</v>
      </c>
      <c r="CN591" s="12">
        <f>Forecasts!BO53</f>
        <v>4440</v>
      </c>
      <c r="CO591" s="12">
        <f>Forecasts!BP53</f>
        <v>4119</v>
      </c>
      <c r="CP591" s="12">
        <f>Forecasts!BQ53</f>
        <v>4495</v>
      </c>
      <c r="CQ591" s="12">
        <f>Forecasts!BR53</f>
        <v>6419</v>
      </c>
      <c r="CR591" s="12">
        <f>Forecasts!BS53</f>
        <v>19473</v>
      </c>
      <c r="CS591" s="12">
        <f>Forecasts!BT53</f>
        <v>3207</v>
      </c>
      <c r="CT591" s="12">
        <f>Forecasts!BU53</f>
        <v>5075</v>
      </c>
      <c r="CU591" s="12">
        <f>Forecasts!BV53</f>
        <v>3536</v>
      </c>
      <c r="CV591" s="12">
        <f>Forecasts!BW53</f>
        <v>2490</v>
      </c>
      <c r="CW591" s="12">
        <f>Forecasts!BX53</f>
        <v>14308</v>
      </c>
      <c r="CX591" s="12">
        <f>Forecasts!BY53</f>
        <v>1445</v>
      </c>
      <c r="CY591" s="12">
        <f>Forecasts!BZ53</f>
        <v>3015</v>
      </c>
      <c r="CZ591" s="12">
        <f>Forecasts!CA53</f>
        <v>4632</v>
      </c>
      <c r="DA591" s="12">
        <f>Forecasts!CB53</f>
        <v>4089</v>
      </c>
      <c r="DB591" s="12">
        <f>Forecasts!CC53</f>
        <v>13181</v>
      </c>
      <c r="DC591" s="12">
        <f>Forecasts!CD53</f>
        <v>847</v>
      </c>
      <c r="DD591" s="12">
        <f>Forecasts!CE53</f>
        <v>142</v>
      </c>
      <c r="DE591" s="12">
        <f>Forecasts!CF53</f>
        <v>958</v>
      </c>
      <c r="DF591" s="12">
        <f>Forecasts!CG53</f>
        <v>370</v>
      </c>
      <c r="DG591" s="12">
        <f>Forecasts!CH53</f>
        <v>2317</v>
      </c>
      <c r="DH591" s="10"/>
    </row>
    <row r="592" spans="1:112" s="7" customFormat="1">
      <c r="A592" s="11" t="s">
        <v>847</v>
      </c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>
        <f>'Balance Sheet'!P151/1000</f>
        <v>1975.317</v>
      </c>
      <c r="AP592" s="12">
        <f>'Balance Sheet'!Q151/1000</f>
        <v>1924.7772006123791</v>
      </c>
      <c r="AQ592" s="12">
        <f>'Balance Sheet'!R151/1000</f>
        <v>1874.4753758866711</v>
      </c>
      <c r="AR592" s="12">
        <f>'Balance Sheet'!S151/1000</f>
        <v>1854.7937883003522</v>
      </c>
      <c r="AS592" s="12">
        <f>'Balance Sheet'!T151/1000</f>
        <v>1901.7170536410586</v>
      </c>
      <c r="AT592" s="12">
        <f>'Balance Sheet'!U151/1000</f>
        <v>1901.7170536410586</v>
      </c>
      <c r="AU592" s="12">
        <f>'Balance Sheet'!V151/1000</f>
        <v>1954.856</v>
      </c>
      <c r="AV592" s="12">
        <f>'Balance Sheet'!W151/1000</f>
        <v>2078.9899999999998</v>
      </c>
      <c r="AW592" s="12">
        <f>'Balance Sheet'!X151/1000</f>
        <v>2149.1709999999998</v>
      </c>
      <c r="AX592" s="12">
        <f>'Balance Sheet'!Y151/1000</f>
        <v>1924.923</v>
      </c>
      <c r="AY592" s="12">
        <f>'Balance Sheet'!Z151/1000</f>
        <v>1924.923</v>
      </c>
      <c r="AZ592" s="12">
        <f>'Balance Sheet'!AA151/1000</f>
        <v>2029.7670000000001</v>
      </c>
      <c r="BA592" s="12">
        <f>'Balance Sheet'!AB151/1000</f>
        <v>2178.83</v>
      </c>
      <c r="BB592" s="12">
        <f>'Balance Sheet'!AC151/1000</f>
        <v>2447.0239999999999</v>
      </c>
      <c r="BC592" s="12">
        <f>'Balance Sheet'!AD151/1000</f>
        <v>3618.3919999999998</v>
      </c>
      <c r="BD592" s="12">
        <f>'Balance Sheet'!AE151/1000</f>
        <v>3618.3919999999998</v>
      </c>
      <c r="BE592" s="12">
        <f>'Balance Sheet'!AF151/1000</f>
        <v>3799.5970000000002</v>
      </c>
      <c r="BF592" s="12">
        <f>'Balance Sheet'!AG151/1000</f>
        <v>3962.9740000000002</v>
      </c>
      <c r="BG592" s="12">
        <f>'Balance Sheet'!AH151/1000</f>
        <v>4139.5559999999996</v>
      </c>
      <c r="BH592" s="12">
        <f>'Balance Sheet'!AI151/1000</f>
        <v>4034.9560000000001</v>
      </c>
      <c r="BI592" s="12">
        <f>'Balance Sheet'!AJ151/1000</f>
        <v>4034.9560000000001</v>
      </c>
      <c r="BJ592" s="12">
        <f>'Balance Sheet'!AK151/1000</f>
        <v>4109.8010000000004</v>
      </c>
      <c r="BK592" s="12">
        <f>'Balance Sheet'!AL151/1000</f>
        <v>4187.3440000000001</v>
      </c>
      <c r="BL592" s="12">
        <f>'Balance Sheet'!AM151/1000</f>
        <v>4192.0150000000003</v>
      </c>
      <c r="BM592" s="12">
        <f>'Balance Sheet'!AN151/1000</f>
        <v>4185.9790000000003</v>
      </c>
      <c r="BN592" s="12">
        <f>'Balance Sheet'!AO151/1000</f>
        <v>4185.9790000000003</v>
      </c>
      <c r="BO592" s="12">
        <f>'Balance Sheet'!AP151/1000</f>
        <v>4321.0460000000003</v>
      </c>
      <c r="BP592" s="12">
        <f>'Balance Sheet'!AQ151/1000</f>
        <v>4480.8410000000003</v>
      </c>
      <c r="BQ592" s="12">
        <f>'Balance Sheet'!AR151/1000</f>
        <v>4659.0439999999999</v>
      </c>
      <c r="BR592" s="12">
        <f>'Balance Sheet'!AS151/1000</f>
        <v>4753.9669999999996</v>
      </c>
      <c r="BS592" s="12">
        <f>'Balance Sheet'!AT151/1000</f>
        <v>4753.9669999999996</v>
      </c>
      <c r="BT592" s="12">
        <f>'Balance Sheet'!AU151/1000</f>
        <v>4919.9620000000004</v>
      </c>
      <c r="BU592" s="12">
        <f>'Balance Sheet'!AV151/1000</f>
        <v>5056.5619999999999</v>
      </c>
      <c r="BV592" s="12">
        <f>'Balance Sheet'!AW151/1000</f>
        <v>5227.6379999999999</v>
      </c>
      <c r="BW592" s="12">
        <f>'Balance Sheet'!AX151/1000</f>
        <v>5150.4110000000001</v>
      </c>
      <c r="BX592" s="12">
        <f>'Balance Sheet'!AY151/1000</f>
        <v>5150.4110000000001</v>
      </c>
      <c r="BY592" s="12">
        <f>'Balance Sheet'!AZ151/1000</f>
        <v>5258.4430000000002</v>
      </c>
      <c r="BZ592" s="12">
        <f>'Balance Sheet'!BA151/1000</f>
        <v>5327.2780000000002</v>
      </c>
      <c r="CA592" s="12">
        <f>'Balance Sheet'!BB151/1000</f>
        <v>5421.1890000000003</v>
      </c>
      <c r="CB592" s="12">
        <f>'Balance Sheet'!BC151/1000</f>
        <v>5313.8220000000001</v>
      </c>
      <c r="CC592" s="12">
        <f>'Balance Sheet'!BD151/1000</f>
        <v>5313.8220000000001</v>
      </c>
      <c r="CD592" s="12">
        <f>'Balance Sheet'!BE151/1000</f>
        <v>5348.951</v>
      </c>
      <c r="CE592" s="12">
        <f>'Balance Sheet'!BF151/1000</f>
        <v>5211.4049999999997</v>
      </c>
      <c r="CF592" s="12">
        <f>'Balance Sheet'!BG151/1000</f>
        <v>5573.2380000000003</v>
      </c>
      <c r="CG592" s="12">
        <f>'Balance Sheet'!BH151/1000</f>
        <v>5544.0910000000003</v>
      </c>
      <c r="CI592" s="12">
        <f>'Balance Sheet'!BJ151/1000</f>
        <v>5640.5870000000004</v>
      </c>
      <c r="CJ592" s="12">
        <f>'Balance Sheet'!BK151/1000</f>
        <v>5680.3980000000001</v>
      </c>
      <c r="CK592" s="12">
        <f>'Balance Sheet'!BL151/1000</f>
        <v>5710.4350000000004</v>
      </c>
      <c r="CL592" s="12">
        <f>'Balance Sheet'!BM151/1000</f>
        <v>5717.598</v>
      </c>
      <c r="CM592" s="12">
        <f>'Balance Sheet'!BN151/1000</f>
        <v>5717.598</v>
      </c>
      <c r="CN592" s="12">
        <f>'Balance Sheet'!BO151/1000</f>
        <v>5732.4</v>
      </c>
      <c r="CO592" s="12">
        <f>'Balance Sheet'!BP151/1000</f>
        <v>5610.4570000000003</v>
      </c>
      <c r="CP592" s="12">
        <f>'Balance Sheet'!BQ151/1000</f>
        <v>5606.8050000000003</v>
      </c>
      <c r="CQ592" s="12">
        <f>'Balance Sheet'!BR151/1000</f>
        <v>5666.241</v>
      </c>
      <c r="CR592" s="12">
        <f>'Balance Sheet'!BS151/1000</f>
        <v>5666.241</v>
      </c>
      <c r="CS592" s="12">
        <f>'Balance Sheet'!BT151/1000</f>
        <v>5427.7979999999998</v>
      </c>
      <c r="CT592" s="12">
        <f>'Balance Sheet'!BU151/1000</f>
        <v>5206.7569999999996</v>
      </c>
      <c r="CU592" s="12">
        <f>'Balance Sheet'!BV151/1000</f>
        <v>5081.3090000000002</v>
      </c>
      <c r="CV592" s="12">
        <f>'Balance Sheet'!BW151/1000</f>
        <v>4912.0749999999998</v>
      </c>
      <c r="CW592" s="12">
        <f>'Balance Sheet'!BX151/1000</f>
        <v>4912.0749999999998</v>
      </c>
      <c r="CX592" s="12">
        <f>'Balance Sheet'!BY151/1000</f>
        <v>4976.268</v>
      </c>
      <c r="CY592" s="12">
        <f>'Balance Sheet'!BZ151/1000</f>
        <v>4933.442</v>
      </c>
      <c r="CZ592" s="12">
        <f>'Balance Sheet'!CA151/1000</f>
        <v>4908.2820000000002</v>
      </c>
      <c r="DA592" s="12">
        <f>'Balance Sheet'!CB151/1000</f>
        <v>4564.4110000000001</v>
      </c>
      <c r="DB592" s="12">
        <f>'Balance Sheet'!CC151/1000</f>
        <v>4564.4110000000001</v>
      </c>
      <c r="DC592" s="12">
        <f>'Balance Sheet'!CD151/1000</f>
        <v>4599.0950000000003</v>
      </c>
      <c r="DD592" s="12">
        <f>'Balance Sheet'!CE151/1000</f>
        <v>4681.7070000000003</v>
      </c>
      <c r="DE592" s="12">
        <f>'Balance Sheet'!CF151/1000</f>
        <v>6117.87</v>
      </c>
      <c r="DF592" s="12">
        <f>'Balance Sheet'!CG151/1000</f>
        <v>5374.1589999999997</v>
      </c>
      <c r="DG592" s="12">
        <f>'Balance Sheet'!CH151/1000</f>
        <v>5374.1589999999997</v>
      </c>
      <c r="DH592" s="10"/>
    </row>
    <row r="593" spans="1:112" s="7" customFormat="1">
      <c r="A593" s="11" t="s">
        <v>626</v>
      </c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>
        <v>0</v>
      </c>
      <c r="AP593" s="12">
        <v>0</v>
      </c>
      <c r="AQ593" s="12">
        <v>0</v>
      </c>
      <c r="AR593" s="12">
        <v>0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F593" s="12">
        <v>0</v>
      </c>
      <c r="BG593" s="12">
        <v>0</v>
      </c>
      <c r="BH593" s="12">
        <v>0</v>
      </c>
      <c r="BI593" s="12">
        <v>0</v>
      </c>
      <c r="BJ593" s="12">
        <v>0</v>
      </c>
      <c r="BK593" s="12">
        <v>0</v>
      </c>
      <c r="BL593" s="12">
        <v>0</v>
      </c>
      <c r="BM593" s="12">
        <v>0</v>
      </c>
      <c r="BN593" s="12">
        <v>0</v>
      </c>
      <c r="BO593" s="12">
        <v>0</v>
      </c>
      <c r="BP593" s="12">
        <v>0</v>
      </c>
      <c r="BQ593" s="12">
        <v>0</v>
      </c>
      <c r="BR593" s="12">
        <v>0</v>
      </c>
      <c r="BS593" s="12">
        <v>0</v>
      </c>
      <c r="BT593" s="12">
        <v>0</v>
      </c>
      <c r="BU593" s="12">
        <v>0</v>
      </c>
      <c r="BV593" s="12">
        <v>0</v>
      </c>
      <c r="BW593" s="12">
        <v>0</v>
      </c>
      <c r="BX593" s="12">
        <v>0</v>
      </c>
      <c r="BY593" s="12">
        <v>0</v>
      </c>
      <c r="BZ593" s="12">
        <v>0</v>
      </c>
      <c r="CA593" s="12">
        <v>0</v>
      </c>
      <c r="CB593" s="12">
        <v>0</v>
      </c>
      <c r="CC593" s="12">
        <v>0</v>
      </c>
      <c r="CD593" s="12">
        <v>0</v>
      </c>
      <c r="CE593" s="12">
        <v>0</v>
      </c>
      <c r="CF593" s="12">
        <v>0</v>
      </c>
      <c r="CG593" s="12">
        <v>0</v>
      </c>
      <c r="CI593" s="12">
        <v>0</v>
      </c>
      <c r="CJ593" s="12">
        <v>0</v>
      </c>
      <c r="CK593" s="12">
        <v>0</v>
      </c>
      <c r="CL593" s="12">
        <v>0</v>
      </c>
      <c r="CM593" s="12">
        <v>0</v>
      </c>
      <c r="CN593" s="12">
        <v>0</v>
      </c>
      <c r="CO593" s="12">
        <v>0</v>
      </c>
      <c r="CP593" s="12">
        <v>0</v>
      </c>
      <c r="CQ593" s="12">
        <v>0</v>
      </c>
      <c r="CR593" s="12">
        <v>0</v>
      </c>
      <c r="CS593" s="12">
        <v>0</v>
      </c>
      <c r="CT593" s="12">
        <v>0</v>
      </c>
      <c r="CU593" s="12">
        <v>0</v>
      </c>
      <c r="CV593" s="12">
        <v>0</v>
      </c>
      <c r="CW593" s="12">
        <v>0</v>
      </c>
      <c r="CX593" s="12">
        <v>0</v>
      </c>
      <c r="CY593" s="12">
        <v>0</v>
      </c>
      <c r="CZ593" s="12">
        <v>0</v>
      </c>
      <c r="DA593" s="12">
        <v>0</v>
      </c>
      <c r="DB593" s="12">
        <v>0</v>
      </c>
      <c r="DC593" s="12">
        <v>0</v>
      </c>
      <c r="DD593" s="12">
        <v>0</v>
      </c>
      <c r="DE593" s="12">
        <v>0</v>
      </c>
      <c r="DF593" s="12">
        <v>0</v>
      </c>
      <c r="DG593" s="12">
        <v>0</v>
      </c>
      <c r="DH593" s="10"/>
    </row>
    <row r="594" spans="1:112" s="7" customFormat="1">
      <c r="A594" s="11" t="s">
        <v>627</v>
      </c>
      <c r="DH594" s="10"/>
    </row>
    <row r="595" spans="1:112">
      <c r="A595" s="11" t="s">
        <v>628</v>
      </c>
      <c r="DH595" s="10"/>
    </row>
    <row r="596" spans="1:112">
      <c r="A596" s="11" t="s">
        <v>629</v>
      </c>
      <c r="DH596" s="10"/>
    </row>
    <row r="597" spans="1:112">
      <c r="A597" s="11" t="s">
        <v>630</v>
      </c>
      <c r="DH597" s="10"/>
    </row>
    <row r="598" spans="1:112">
      <c r="A598" s="11" t="s">
        <v>631</v>
      </c>
      <c r="DH598" s="10"/>
    </row>
    <row r="599" spans="1:112">
      <c r="A599" s="11" t="s">
        <v>632</v>
      </c>
      <c r="DH599" s="10"/>
    </row>
    <row r="600" spans="1:112">
      <c r="A600" s="11" t="s">
        <v>633</v>
      </c>
      <c r="DH600" s="10"/>
    </row>
    <row r="601" spans="1:112">
      <c r="A601" s="11" t="s">
        <v>634</v>
      </c>
      <c r="DH601" s="10"/>
    </row>
    <row r="602" spans="1:112">
      <c r="A602" s="11" t="s">
        <v>635</v>
      </c>
      <c r="DH602" s="10"/>
    </row>
    <row r="603" spans="1:112">
      <c r="A603" s="11" t="s">
        <v>636</v>
      </c>
      <c r="DH603" s="10"/>
    </row>
    <row r="604" spans="1:112">
      <c r="A604" s="11" t="s">
        <v>637</v>
      </c>
      <c r="DH604" s="10"/>
    </row>
    <row r="605" spans="1:112">
      <c r="A605" s="11" t="s">
        <v>638</v>
      </c>
      <c r="DH605" s="10"/>
    </row>
    <row r="606" spans="1:112">
      <c r="A606" s="11" t="s">
        <v>639</v>
      </c>
      <c r="DH606" s="10"/>
    </row>
    <row r="607" spans="1:112">
      <c r="A607" s="11" t="s">
        <v>640</v>
      </c>
      <c r="DH607" s="10"/>
    </row>
    <row r="608" spans="1:112">
      <c r="A608" s="11" t="s">
        <v>641</v>
      </c>
      <c r="DH608" s="10"/>
    </row>
    <row r="609" spans="1:112">
      <c r="A609" s="11" t="s">
        <v>642</v>
      </c>
      <c r="DH609" s="10"/>
    </row>
    <row r="610" spans="1:112">
      <c r="A610" s="11" t="s">
        <v>643</v>
      </c>
      <c r="DH610" s="10"/>
    </row>
    <row r="611" spans="1:112">
      <c r="A611" s="11" t="s">
        <v>644</v>
      </c>
      <c r="DH611" s="10"/>
    </row>
    <row r="612" spans="1:112">
      <c r="A612" s="11" t="s">
        <v>645</v>
      </c>
      <c r="DH612" s="10"/>
    </row>
    <row r="613" spans="1:112">
      <c r="A613" s="11" t="s">
        <v>646</v>
      </c>
      <c r="DH613" s="10"/>
    </row>
    <row r="614" spans="1:112">
      <c r="A614" s="11" t="s">
        <v>647</v>
      </c>
      <c r="DH614" s="10"/>
    </row>
    <row r="615" spans="1:112">
      <c r="A615" s="11" t="s">
        <v>648</v>
      </c>
      <c r="DH615" s="10"/>
    </row>
    <row r="616" spans="1:112">
      <c r="A616" s="11" t="s">
        <v>649</v>
      </c>
      <c r="DH616" s="10"/>
    </row>
    <row r="617" spans="1:112">
      <c r="A617" s="11" t="s">
        <v>650</v>
      </c>
      <c r="DH617" s="10"/>
    </row>
    <row r="618" spans="1:112">
      <c r="A618" s="11" t="s">
        <v>651</v>
      </c>
      <c r="DH618" s="10"/>
    </row>
    <row r="619" spans="1:112">
      <c r="A619" s="11" t="s">
        <v>652</v>
      </c>
      <c r="DH619" s="10"/>
    </row>
    <row r="620" spans="1:112">
      <c r="A620" s="11" t="s">
        <v>653</v>
      </c>
      <c r="DH620" s="10"/>
    </row>
    <row r="621" spans="1:112">
      <c r="A621" s="11" t="s">
        <v>654</v>
      </c>
      <c r="DH621" s="10"/>
    </row>
    <row r="622" spans="1:112">
      <c r="A622" s="11" t="s">
        <v>655</v>
      </c>
      <c r="DH622" s="10"/>
    </row>
    <row r="623" spans="1:112">
      <c r="A623" s="11" t="s">
        <v>656</v>
      </c>
      <c r="DH623" s="10"/>
    </row>
    <row r="624" spans="1:112">
      <c r="A624" s="11" t="s">
        <v>75</v>
      </c>
      <c r="AK624" s="61"/>
      <c r="AL624" s="61"/>
      <c r="AM624" s="61"/>
      <c r="AN624" s="61"/>
      <c r="AO624" s="61">
        <f>DCF!$B$23</f>
        <v>0.1608</v>
      </c>
      <c r="AP624" s="61">
        <f>DCF!$B$23</f>
        <v>0.1608</v>
      </c>
      <c r="AQ624" s="61">
        <f>DCF!$B$23</f>
        <v>0.1608</v>
      </c>
      <c r="AR624" s="61">
        <f>DCF!$B$23</f>
        <v>0.1608</v>
      </c>
      <c r="AS624" s="61">
        <f>DCF!$B$23</f>
        <v>0.1608</v>
      </c>
      <c r="AT624" s="61">
        <f>DCF!$B$23</f>
        <v>0.1608</v>
      </c>
      <c r="AU624" s="61">
        <f>DCF!$B$23</f>
        <v>0.1608</v>
      </c>
      <c r="AV624" s="61">
        <f>DCF!$B$23</f>
        <v>0.1608</v>
      </c>
      <c r="AW624" s="61">
        <f>DCF!$B$23</f>
        <v>0.1608</v>
      </c>
      <c r="AX624" s="61">
        <f>DCF!$B$23</f>
        <v>0.1608</v>
      </c>
      <c r="AY624" s="61">
        <f>DCF!$B$23</f>
        <v>0.1608</v>
      </c>
      <c r="AZ624" s="61">
        <f>DCF!$B$23</f>
        <v>0.1608</v>
      </c>
      <c r="BA624" s="61">
        <f>DCF!$B$23</f>
        <v>0.1608</v>
      </c>
      <c r="BB624" s="61">
        <f>DCF!$B$23</f>
        <v>0.1608</v>
      </c>
      <c r="BC624" s="61">
        <f>DCF!$B$23</f>
        <v>0.1608</v>
      </c>
      <c r="BD624" s="61">
        <f>DCF!$B$23</f>
        <v>0.1608</v>
      </c>
      <c r="BE624" s="61">
        <f>DCF!$B$23</f>
        <v>0.1608</v>
      </c>
      <c r="BF624" s="61">
        <f>DCF!$B$23</f>
        <v>0.1608</v>
      </c>
      <c r="BG624" s="61">
        <f>DCF!$B$23</f>
        <v>0.1608</v>
      </c>
      <c r="BH624" s="61">
        <f>DCF!$B$23</f>
        <v>0.1608</v>
      </c>
      <c r="BI624" s="61">
        <f>DCF!$B$23</f>
        <v>0.1608</v>
      </c>
      <c r="BJ624" s="61">
        <f>DCF!$B$23</f>
        <v>0.1608</v>
      </c>
      <c r="BK624" s="61">
        <f>DCF!$B$23</f>
        <v>0.1608</v>
      </c>
      <c r="BL624" s="61">
        <f>DCF!$B$23</f>
        <v>0.1608</v>
      </c>
      <c r="BM624" s="61">
        <f>DCF!$B$23</f>
        <v>0.1608</v>
      </c>
      <c r="BN624" s="61">
        <f>DCF!$B$23</f>
        <v>0.1608</v>
      </c>
      <c r="BO624" s="61">
        <f>DCF!$B$23</f>
        <v>0.1608</v>
      </c>
      <c r="BP624" s="61">
        <f>DCF!$B$23</f>
        <v>0.1608</v>
      </c>
      <c r="BQ624" s="61">
        <f>DCF!$B$23</f>
        <v>0.1608</v>
      </c>
      <c r="BR624" s="61">
        <f>DCF!$B$23</f>
        <v>0.1608</v>
      </c>
      <c r="BS624" s="61">
        <f>DCF!$B$23</f>
        <v>0.1608</v>
      </c>
      <c r="BT624" s="61">
        <f>DCF!$B$23</f>
        <v>0.1608</v>
      </c>
      <c r="BU624" s="61">
        <f>DCF!$B$23</f>
        <v>0.1608</v>
      </c>
      <c r="BV624" s="61">
        <f>DCF!$B$23</f>
        <v>0.1608</v>
      </c>
      <c r="BW624" s="61">
        <f>DCF!$B$23</f>
        <v>0.1608</v>
      </c>
      <c r="BX624" s="61">
        <f>DCF!$B$23</f>
        <v>0.1608</v>
      </c>
      <c r="BY624" s="61">
        <f>DCF!$B$23</f>
        <v>0.1608</v>
      </c>
      <c r="BZ624" s="61">
        <f>DCF!$B$23</f>
        <v>0.1608</v>
      </c>
      <c r="CA624" s="61">
        <f>DCF!$B$23</f>
        <v>0.1608</v>
      </c>
      <c r="CB624" s="61">
        <f>DCF!$B$23</f>
        <v>0.1608</v>
      </c>
      <c r="CC624" s="61">
        <f>DCF!$B$23</f>
        <v>0.1608</v>
      </c>
      <c r="CD624" s="61">
        <f>DCF!$B$23</f>
        <v>0.1608</v>
      </c>
      <c r="CE624" s="61">
        <f>DCF!$B$23</f>
        <v>0.1608</v>
      </c>
      <c r="CF624" s="61">
        <f>DCF!$B$23</f>
        <v>0.1608</v>
      </c>
      <c r="CG624" s="61">
        <f>DCF!$B$23</f>
        <v>0.1608</v>
      </c>
      <c r="CI624" s="61">
        <f>DCF!$B$23</f>
        <v>0.1608</v>
      </c>
      <c r="CJ624" s="61">
        <f>DCF!$B$23</f>
        <v>0.1608</v>
      </c>
      <c r="CK624" s="61">
        <f>DCF!$B$23</f>
        <v>0.1608</v>
      </c>
      <c r="CL624" s="61">
        <f>DCF!$B$23</f>
        <v>0.1608</v>
      </c>
      <c r="CM624" s="61">
        <f>DCF!$B$23</f>
        <v>0.1608</v>
      </c>
      <c r="CN624" s="61">
        <f>DCF!$B$23</f>
        <v>0.1608</v>
      </c>
      <c r="CO624" s="61">
        <f>DCF!$B$23</f>
        <v>0.1608</v>
      </c>
      <c r="CP624" s="61">
        <f>DCF!$B$23</f>
        <v>0.1608</v>
      </c>
      <c r="CQ624" s="61">
        <f>DCF!$B$23</f>
        <v>0.1608</v>
      </c>
      <c r="CR624" s="61">
        <f>DCF!$B$23</f>
        <v>0.1608</v>
      </c>
      <c r="CS624" s="61">
        <f>DCF!$B$23</f>
        <v>0.1608</v>
      </c>
      <c r="CT624" s="61">
        <f>DCF!$B$23</f>
        <v>0.1608</v>
      </c>
      <c r="CU624" s="61">
        <f>DCF!$B$23</f>
        <v>0.1608</v>
      </c>
      <c r="CV624" s="61">
        <f>DCF!$B$23</f>
        <v>0.1608</v>
      </c>
      <c r="CW624" s="61">
        <f>DCF!$B$23</f>
        <v>0.1608</v>
      </c>
      <c r="CX624" s="61">
        <f>DCF!$B$23</f>
        <v>0.1608</v>
      </c>
      <c r="CY624" s="61">
        <f>DCF!$B$23</f>
        <v>0.1608</v>
      </c>
      <c r="CZ624" s="61">
        <f>DCF!$B$23</f>
        <v>0.1608</v>
      </c>
      <c r="DA624" s="61">
        <f>DCF!$B$23</f>
        <v>0.1608</v>
      </c>
      <c r="DB624" s="61">
        <f>DCF!$B$23</f>
        <v>0.1608</v>
      </c>
      <c r="DC624" s="61">
        <f>DCF!$B$23</f>
        <v>0.1608</v>
      </c>
      <c r="DD624" s="61">
        <f>DCF!$B$23</f>
        <v>0.1608</v>
      </c>
      <c r="DE624" s="61">
        <f>DCF!$B$23</f>
        <v>0.1608</v>
      </c>
      <c r="DF624" s="61">
        <f>DCF!$B$23</f>
        <v>0.1608</v>
      </c>
      <c r="DG624" s="61">
        <f>DCF!$B$23</f>
        <v>0.1608</v>
      </c>
      <c r="DH624" s="10"/>
    </row>
    <row r="625" spans="1:252">
      <c r="A625" s="11" t="s">
        <v>55</v>
      </c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61"/>
      <c r="CD625" s="61"/>
      <c r="CE625" s="61"/>
      <c r="CF625" s="61"/>
      <c r="CG625" s="61"/>
      <c r="CI625" s="61"/>
      <c r="CJ625" s="61"/>
      <c r="CK625" s="61"/>
      <c r="CL625" s="61"/>
      <c r="CM625" s="61"/>
      <c r="CN625" s="61"/>
      <c r="CO625" s="61"/>
      <c r="CP625" s="61"/>
      <c r="CQ625" s="61"/>
      <c r="CR625" s="61"/>
      <c r="CS625" s="61"/>
      <c r="CT625" s="61"/>
      <c r="CU625" s="61"/>
      <c r="CV625" s="61"/>
      <c r="CW625" s="61"/>
      <c r="CX625" s="61"/>
      <c r="CY625" s="61"/>
      <c r="CZ625" s="61"/>
      <c r="DA625" s="61"/>
      <c r="DB625" s="61"/>
      <c r="DC625" s="61"/>
      <c r="DD625" s="61"/>
      <c r="DE625" s="61"/>
      <c r="DF625" s="61"/>
      <c r="DG625" s="61"/>
      <c r="DH625" s="10"/>
    </row>
    <row r="626" spans="1:252">
      <c r="A626" s="11" t="s">
        <v>910</v>
      </c>
      <c r="AK626" s="61"/>
      <c r="AL626" s="61"/>
      <c r="AM626" s="61"/>
      <c r="AN626" s="61"/>
      <c r="AO626" s="61">
        <f>DCF!$B$25</f>
        <v>4.3119999999999825E-2</v>
      </c>
      <c r="AP626" s="61">
        <f>DCF!$B$25</f>
        <v>4.3119999999999825E-2</v>
      </c>
      <c r="AQ626" s="61">
        <f>DCF!$B$25</f>
        <v>4.3119999999999825E-2</v>
      </c>
      <c r="AR626" s="61">
        <f>DCF!$B$25</f>
        <v>4.3119999999999825E-2</v>
      </c>
      <c r="AS626" s="61">
        <f>DCF!$B$25</f>
        <v>4.3119999999999825E-2</v>
      </c>
      <c r="AT626" s="61">
        <f>DCF!$B$25</f>
        <v>4.3119999999999825E-2</v>
      </c>
      <c r="AU626" s="61">
        <f>DCF!$B$25</f>
        <v>4.3119999999999825E-2</v>
      </c>
      <c r="AV626" s="61">
        <f>DCF!$B$25</f>
        <v>4.3119999999999825E-2</v>
      </c>
      <c r="AW626" s="61">
        <f>DCF!$B$25</f>
        <v>4.3119999999999825E-2</v>
      </c>
      <c r="AX626" s="61">
        <f>DCF!$B$25</f>
        <v>4.3119999999999825E-2</v>
      </c>
      <c r="AY626" s="61">
        <f>DCF!$B$25</f>
        <v>4.3119999999999825E-2</v>
      </c>
      <c r="AZ626" s="61">
        <f>DCF!$B$25</f>
        <v>4.3119999999999825E-2</v>
      </c>
      <c r="BA626" s="61">
        <f>DCF!$B$25</f>
        <v>4.3119999999999825E-2</v>
      </c>
      <c r="BB626" s="61">
        <f>DCF!$B$25</f>
        <v>4.3119999999999825E-2</v>
      </c>
      <c r="BC626" s="61">
        <f>DCF!$B$25</f>
        <v>4.3119999999999825E-2</v>
      </c>
      <c r="BD626" s="61">
        <f>DCF!$B$25</f>
        <v>4.3119999999999825E-2</v>
      </c>
      <c r="BE626" s="61">
        <f>DCF!$B$25</f>
        <v>4.3119999999999825E-2</v>
      </c>
      <c r="BF626" s="61">
        <f>DCF!$B$25</f>
        <v>4.3119999999999825E-2</v>
      </c>
      <c r="BG626" s="61">
        <f>DCF!$B$25</f>
        <v>4.3119999999999825E-2</v>
      </c>
      <c r="BH626" s="61">
        <f>DCF!$B$25</f>
        <v>4.3119999999999825E-2</v>
      </c>
      <c r="BI626" s="61">
        <f>DCF!$B$25</f>
        <v>4.3119999999999825E-2</v>
      </c>
      <c r="BJ626" s="61">
        <f>DCF!$B$25</f>
        <v>4.3119999999999825E-2</v>
      </c>
      <c r="BK626" s="61">
        <f>DCF!$B$25</f>
        <v>4.3119999999999825E-2</v>
      </c>
      <c r="BL626" s="61">
        <f>DCF!$B$25</f>
        <v>4.3119999999999825E-2</v>
      </c>
      <c r="BM626" s="61">
        <f>DCF!$B$25</f>
        <v>4.3119999999999825E-2</v>
      </c>
      <c r="BN626" s="61">
        <f>DCF!$B$25</f>
        <v>4.3119999999999825E-2</v>
      </c>
      <c r="BO626" s="61">
        <f>DCF!$B$25</f>
        <v>4.3119999999999825E-2</v>
      </c>
      <c r="BP626" s="61">
        <f>DCF!$B$25</f>
        <v>4.3119999999999825E-2</v>
      </c>
      <c r="BQ626" s="61">
        <f>DCF!$B$25</f>
        <v>4.3119999999999825E-2</v>
      </c>
      <c r="BR626" s="61">
        <f>DCF!$B$25</f>
        <v>4.3119999999999825E-2</v>
      </c>
      <c r="BS626" s="61">
        <f>DCF!$B$25</f>
        <v>4.3119999999999825E-2</v>
      </c>
      <c r="BT626" s="61">
        <f>DCF!$B$25</f>
        <v>4.3119999999999825E-2</v>
      </c>
      <c r="BU626" s="61">
        <f>DCF!$B$25</f>
        <v>4.3119999999999825E-2</v>
      </c>
      <c r="BV626" s="61">
        <f>DCF!$B$25</f>
        <v>4.3119999999999825E-2</v>
      </c>
      <c r="BW626" s="61">
        <f>DCF!$B$25</f>
        <v>4.3119999999999825E-2</v>
      </c>
      <c r="BX626" s="61">
        <f>DCF!$B$25</f>
        <v>4.3119999999999825E-2</v>
      </c>
      <c r="BY626" s="61">
        <f>DCF!$B$25</f>
        <v>4.3119999999999825E-2</v>
      </c>
      <c r="BZ626" s="61">
        <f>DCF!$B$25</f>
        <v>4.3119999999999825E-2</v>
      </c>
      <c r="CA626" s="61">
        <f>DCF!$B$25</f>
        <v>4.3119999999999825E-2</v>
      </c>
      <c r="CB626" s="61">
        <f>DCF!$B$25</f>
        <v>4.3119999999999825E-2</v>
      </c>
      <c r="CC626" s="61">
        <f>DCF!$B$25</f>
        <v>4.3119999999999825E-2</v>
      </c>
      <c r="CD626" s="61">
        <f>DCF!$B$25</f>
        <v>4.3119999999999825E-2</v>
      </c>
      <c r="CE626" s="61">
        <f>DCF!$B$25</f>
        <v>4.3119999999999825E-2</v>
      </c>
      <c r="CF626" s="61">
        <f>DCF!$B$25</f>
        <v>4.3119999999999825E-2</v>
      </c>
      <c r="CG626" s="61">
        <f>DCF!$B$25</f>
        <v>4.3119999999999825E-2</v>
      </c>
      <c r="CI626" s="61">
        <f>DCF!$B$25</f>
        <v>4.3119999999999825E-2</v>
      </c>
      <c r="CJ626" s="61">
        <f>DCF!$B$25</f>
        <v>4.3119999999999825E-2</v>
      </c>
      <c r="CK626" s="61">
        <f>DCF!$B$25</f>
        <v>4.3119999999999825E-2</v>
      </c>
      <c r="CL626" s="61">
        <f>DCF!$B$25</f>
        <v>4.3119999999999825E-2</v>
      </c>
      <c r="CM626" s="61">
        <f>DCF!$B$25</f>
        <v>4.3119999999999825E-2</v>
      </c>
      <c r="CN626" s="61">
        <f>DCF!$B$25</f>
        <v>4.3119999999999825E-2</v>
      </c>
      <c r="CO626" s="61">
        <f>DCF!$B$25</f>
        <v>4.3119999999999825E-2</v>
      </c>
      <c r="CP626" s="61">
        <f>DCF!$B$25</f>
        <v>4.3119999999999825E-2</v>
      </c>
      <c r="CQ626" s="61">
        <f>DCF!$B$25</f>
        <v>4.3119999999999825E-2</v>
      </c>
      <c r="CR626" s="61">
        <f>DCF!$B$25</f>
        <v>4.3119999999999825E-2</v>
      </c>
      <c r="CS626" s="61">
        <f>DCF!$B$25</f>
        <v>4.3119999999999825E-2</v>
      </c>
      <c r="CT626" s="61">
        <f>DCF!$B$25</f>
        <v>4.3119999999999825E-2</v>
      </c>
      <c r="CU626" s="61">
        <f>DCF!$B$25</f>
        <v>4.3119999999999825E-2</v>
      </c>
      <c r="CV626" s="61">
        <f>DCF!$B$25</f>
        <v>4.3119999999999825E-2</v>
      </c>
      <c r="CW626" s="61">
        <f>DCF!$B$25</f>
        <v>4.3119999999999825E-2</v>
      </c>
      <c r="CX626" s="61">
        <f>DCF!$B$25</f>
        <v>4.3119999999999825E-2</v>
      </c>
      <c r="CY626" s="61">
        <f>DCF!$B$25</f>
        <v>4.3119999999999825E-2</v>
      </c>
      <c r="CZ626" s="61">
        <f>DCF!$B$25</f>
        <v>4.3119999999999825E-2</v>
      </c>
      <c r="DA626" s="61">
        <f>DCF!$B$25</f>
        <v>4.3119999999999825E-2</v>
      </c>
      <c r="DB626" s="61">
        <f>DCF!$B$25</f>
        <v>4.3119999999999825E-2</v>
      </c>
      <c r="DC626" s="61">
        <f>DCF!$B$25</f>
        <v>4.3119999999999825E-2</v>
      </c>
      <c r="DD626" s="61">
        <f>DCF!$B$25</f>
        <v>4.3119999999999825E-2</v>
      </c>
      <c r="DE626" s="61">
        <f>DCF!$B$25</f>
        <v>4.3119999999999825E-2</v>
      </c>
      <c r="DF626" s="61">
        <f>DCF!$B$25</f>
        <v>4.3119999999999825E-2</v>
      </c>
      <c r="DG626" s="61">
        <f>DCF!$B$25</f>
        <v>4.3119999999999825E-2</v>
      </c>
      <c r="DH626" s="10"/>
    </row>
    <row r="627" spans="1:252">
      <c r="A627" s="11" t="s">
        <v>657</v>
      </c>
      <c r="G627" s="62"/>
      <c r="H627" s="62"/>
      <c r="I627" s="62"/>
      <c r="J627" s="62"/>
      <c r="L627" s="62"/>
      <c r="M627" s="62"/>
      <c r="N627" s="62"/>
      <c r="O627" s="62"/>
      <c r="Q627" s="62"/>
      <c r="R627" s="62"/>
      <c r="S627" s="62"/>
      <c r="T627" s="62"/>
      <c r="V627" s="62"/>
      <c r="W627" s="62"/>
      <c r="X627" s="62"/>
      <c r="Y627" s="62"/>
      <c r="AA627" s="62"/>
      <c r="AB627" s="62"/>
      <c r="AC627" s="62"/>
      <c r="AD627" s="62"/>
      <c r="AF627" s="62"/>
      <c r="AG627" s="62"/>
      <c r="AH627" s="62"/>
      <c r="AI627" s="62"/>
      <c r="AK627" s="62"/>
      <c r="AL627" s="62"/>
      <c r="AM627" s="62"/>
      <c r="AN627" s="62"/>
      <c r="AO627" s="63">
        <f>Macro!P11</f>
        <v>2.1379999999999999</v>
      </c>
      <c r="AP627" s="63">
        <f>Macro!Q11</f>
        <v>2.0503999999999998</v>
      </c>
      <c r="AQ627" s="63">
        <f>Macro!R11</f>
        <v>1.9261999999999999</v>
      </c>
      <c r="AR627" s="63">
        <f>Macro!S11</f>
        <v>1.8389</v>
      </c>
      <c r="AS627" s="63">
        <f>Macro!T11</f>
        <v>1.7713000000000001</v>
      </c>
      <c r="AT627" s="63">
        <f>Macro!U11</f>
        <v>1.7713000000000001</v>
      </c>
      <c r="AU627" s="63">
        <f>Macro!V11</f>
        <v>1.7491000000000001</v>
      </c>
      <c r="AV627" s="63">
        <f>Macro!W11</f>
        <v>1.5919000000000001</v>
      </c>
      <c r="AW627" s="63">
        <f>Macro!X11</f>
        <v>1.9142999999999999</v>
      </c>
      <c r="AX627" s="63">
        <f>Macro!Y11</f>
        <v>2.3370000000000002</v>
      </c>
      <c r="AY627" s="63">
        <f>Macro!Z11</f>
        <v>2.3370000000000002</v>
      </c>
      <c r="AZ627" s="63">
        <f>Macro!AA11</f>
        <v>2.3151999999999999</v>
      </c>
      <c r="BA627" s="63">
        <f>Macro!AB11</f>
        <v>1.9516</v>
      </c>
      <c r="BB627" s="63">
        <f>Macro!AC11</f>
        <v>1.7781</v>
      </c>
      <c r="BC627" s="63">
        <f>Macro!AD11</f>
        <v>1.7412000000000001</v>
      </c>
      <c r="BD627" s="63">
        <f>Macro!AE11</f>
        <v>1.7412000000000001</v>
      </c>
      <c r="BE627" s="63">
        <f>Macro!AF11</f>
        <v>1.7810000000000001</v>
      </c>
      <c r="BF627" s="63">
        <f>Macro!AG11</f>
        <v>1.8014999999999999</v>
      </c>
      <c r="BG627" s="63">
        <f>Macro!AH11</f>
        <v>1.6941999999999999</v>
      </c>
      <c r="BH627" s="63">
        <f>Macro!AI11</f>
        <v>1.7161</v>
      </c>
      <c r="BI627" s="63">
        <f>Macro!AJ11</f>
        <v>1.6661999999999999</v>
      </c>
      <c r="BJ627" s="63">
        <f>Macro!AK11</f>
        <v>1.6317999999999999</v>
      </c>
      <c r="BK627" s="63">
        <f>Macro!AL11</f>
        <v>1.5632999999999999</v>
      </c>
      <c r="BL627" s="63">
        <f>Macro!AM11</f>
        <v>1.8793</v>
      </c>
      <c r="BM627" s="63">
        <f>Macro!AN11</f>
        <v>1.8668</v>
      </c>
      <c r="BN627" s="63">
        <f>Macro!AO11</f>
        <v>1.8757999999999999</v>
      </c>
      <c r="BO627" s="63">
        <f>Macro!AP11</f>
        <v>1.82</v>
      </c>
      <c r="BP627" s="63">
        <f>Macro!AQ11</f>
        <v>2.02</v>
      </c>
      <c r="BQ627" s="63">
        <f>Macro!AR11</f>
        <v>2.0299999999999998</v>
      </c>
      <c r="BR627" s="63">
        <f>Macro!AS11</f>
        <v>2.04</v>
      </c>
      <c r="BS627" s="63">
        <f>Macro!AT11</f>
        <v>2.04</v>
      </c>
      <c r="BT627" s="63">
        <f>Macro!AU11</f>
        <v>2.0137999999999998</v>
      </c>
      <c r="BU627" s="63">
        <f>Macro!AV11</f>
        <v>2.2155999999999998</v>
      </c>
      <c r="BV627" s="63">
        <f>Macro!AW11</f>
        <v>2.23</v>
      </c>
      <c r="BW627" s="63">
        <f>Macro!AX11</f>
        <v>2.3426</v>
      </c>
      <c r="BX627" s="63">
        <f>Macro!AY11</f>
        <v>2.34</v>
      </c>
      <c r="BY627" s="63">
        <f>Macro!AZ11</f>
        <v>2.2629999999999999</v>
      </c>
      <c r="BZ627" s="63">
        <f>Macro!BA11</f>
        <v>2.29</v>
      </c>
      <c r="CA627" s="63">
        <f>Macro!BB11</f>
        <v>2.34</v>
      </c>
      <c r="CB627" s="63">
        <f>Macro!BC11</f>
        <v>2.4</v>
      </c>
      <c r="CC627" s="63">
        <f>Macro!BD11</f>
        <v>2.6562000000000001</v>
      </c>
      <c r="CD627" s="63">
        <f>Macro!BE11</f>
        <v>3.2080000000000002</v>
      </c>
      <c r="CE627" s="63">
        <f>Macro!BF11</f>
        <v>3.1025999999999998</v>
      </c>
      <c r="CF627" s="63">
        <f>Macro!BG11</f>
        <v>3.9729000000000001</v>
      </c>
      <c r="CG627" s="63">
        <f>Macro!BH11</f>
        <v>3.9047999999999998</v>
      </c>
      <c r="CI627" s="63">
        <f>Macro!BJ11</f>
        <v>3.5589</v>
      </c>
      <c r="CJ627" s="63">
        <f>Macro!BK11</f>
        <v>3.2098</v>
      </c>
      <c r="CK627" s="63">
        <f>Macro!BL11</f>
        <v>3.2462</v>
      </c>
      <c r="CL627" s="63">
        <f>Macro!BM11</f>
        <v>3.2591000000000001</v>
      </c>
      <c r="CM627" s="63">
        <f>Macro!BN11</f>
        <v>3.2591000000000001</v>
      </c>
      <c r="CN627" s="63">
        <f>Macro!BO11</f>
        <v>3.2</v>
      </c>
      <c r="CO627" s="63">
        <f>Macro!BP11</f>
        <v>3.12</v>
      </c>
      <c r="CP627" s="63">
        <f>Macro!BQ11</f>
        <v>3.31</v>
      </c>
      <c r="CQ627" s="63">
        <f>Macro!BR11</f>
        <v>3.3079999999999998</v>
      </c>
      <c r="CR627" s="63">
        <f>Macro!BS11</f>
        <v>3.3079999999999998</v>
      </c>
      <c r="CS627" s="63">
        <f>Macro!BT11</f>
        <v>3.3237999999999999</v>
      </c>
      <c r="CT627" s="63">
        <f>Macro!BU11</f>
        <v>3.8557999999999999</v>
      </c>
      <c r="CU627" s="63">
        <f>Macro!BV11</f>
        <v>4.0038999999999998</v>
      </c>
      <c r="CV627" s="63">
        <f>Macro!BW11</f>
        <v>3.88</v>
      </c>
      <c r="CW627" s="63">
        <f>Macro!BX11</f>
        <v>3.88</v>
      </c>
      <c r="CX627" s="63">
        <f>Macro!BY11</f>
        <v>3.9017477950776094</v>
      </c>
      <c r="CY627" s="63">
        <f>Macro!BZ11</f>
        <v>3.9236174887610789</v>
      </c>
      <c r="CZ627" s="63">
        <f>Macro!CA11</f>
        <v>3.9456097643045065</v>
      </c>
      <c r="DA627" s="63">
        <f>Macro!CB11</f>
        <v>3.9677253087916995</v>
      </c>
      <c r="DB627" s="63">
        <f>Macro!CC11</f>
        <v>4.0307000000000004</v>
      </c>
      <c r="DC627" s="63">
        <f>Macro!CD11</f>
        <v>5</v>
      </c>
      <c r="DD627" s="63">
        <f>Macro!CE11</f>
        <v>5.0084135653963973</v>
      </c>
      <c r="DE627" s="63">
        <f>Macro!CF11</f>
        <v>5.0168412884093296</v>
      </c>
      <c r="DF627" s="63">
        <f>Macro!CG11</f>
        <v>5.0252831928620045</v>
      </c>
      <c r="DG627" s="63">
        <f>Macro!CH11</f>
        <v>4.8</v>
      </c>
      <c r="DH627" s="10"/>
    </row>
    <row r="628" spans="1:252">
      <c r="A628" s="11" t="s">
        <v>658</v>
      </c>
      <c r="DH628" s="10"/>
    </row>
    <row r="629" spans="1:252">
      <c r="A629" s="11" t="s">
        <v>659</v>
      </c>
      <c r="AO629" s="63">
        <f>Macro!P13</f>
        <v>2.1761250000000003</v>
      </c>
      <c r="AP629" s="63">
        <f>Macro!Q13</f>
        <v>2.1078166666666664</v>
      </c>
      <c r="AQ629" s="63">
        <f>Macro!R13</f>
        <v>1.9818333333333333</v>
      </c>
      <c r="AR629" s="63">
        <f>Macro!S13</f>
        <v>1.9161333333333335</v>
      </c>
      <c r="AS629" s="63">
        <f>Macro!T13</f>
        <v>1.7856333333333332</v>
      </c>
      <c r="AT629" s="63">
        <f>Macro!U13</f>
        <v>1.9478541666666667</v>
      </c>
      <c r="AU629" s="63">
        <f>Macro!V13</f>
        <v>1.7365333333333333</v>
      </c>
      <c r="AV629" s="63">
        <f>Macro!W13</f>
        <v>1.6561000000000001</v>
      </c>
      <c r="AW629" s="63">
        <f>Macro!X13</f>
        <v>1.6677666666666668</v>
      </c>
      <c r="AX629" s="63">
        <f>Macro!Y13</f>
        <v>2.2778666666666667</v>
      </c>
      <c r="AY629" s="63">
        <f>Macro!Z13</f>
        <v>1.8345666666666669</v>
      </c>
      <c r="AZ629" s="63">
        <f>Macro!AA13</f>
        <v>2.3112999999999997</v>
      </c>
      <c r="BA629" s="63">
        <f>Macro!AB13</f>
        <v>2.0748000000000002</v>
      </c>
      <c r="BB629" s="63">
        <f>Macro!AC13</f>
        <v>1.8659333333333334</v>
      </c>
      <c r="BC629" s="63">
        <f>Macro!AD13</f>
        <v>1.7383666666666666</v>
      </c>
      <c r="BD629" s="63">
        <f>Macro!AE13</f>
        <v>1.9976</v>
      </c>
      <c r="BE629" s="63">
        <f>Macro!AF13</f>
        <v>1.8416333333333332</v>
      </c>
      <c r="BF629" s="63">
        <f>Macro!AG13</f>
        <v>1.813190476190476</v>
      </c>
      <c r="BG629" s="63">
        <f>Macro!AH13</f>
        <v>1.759563636363636</v>
      </c>
      <c r="BH629" s="63">
        <f>Macro!AI13</f>
        <v>1.7133300000000002</v>
      </c>
      <c r="BI629" s="63">
        <f>Macro!AJ13</f>
        <v>1.7593000000000001</v>
      </c>
      <c r="BJ629" s="63">
        <f>Macro!AK13</f>
        <v>1.66683064516129</v>
      </c>
      <c r="BK629" s="63">
        <f>Macro!AL13</f>
        <v>1.5953516129032264</v>
      </c>
      <c r="BL629" s="63">
        <f>Macro!AM13</f>
        <v>1.6363953846153851</v>
      </c>
      <c r="BM629" s="63">
        <f>Macro!AN13</f>
        <v>1.8029258064516125</v>
      </c>
      <c r="BN629" s="63">
        <f>Macro!AO13</f>
        <v>1.6746000000000001</v>
      </c>
      <c r="BO629" s="63">
        <f>Macro!AP13</f>
        <v>1.7687873015873015</v>
      </c>
      <c r="BP629" s="63">
        <f>Macro!AQ13</f>
        <v>1.9633</v>
      </c>
      <c r="BQ629" s="63">
        <f>Macro!AR13</f>
        <v>2.0278999999999998</v>
      </c>
      <c r="BR629" s="63">
        <f>Macro!AS13</f>
        <v>2.06</v>
      </c>
      <c r="BS629" s="63">
        <f>Macro!AT13</f>
        <v>1.9549968253968255</v>
      </c>
      <c r="BT629" s="63">
        <f>Macro!AU13</f>
        <v>1.9957333333333336</v>
      </c>
      <c r="BU629" s="63">
        <f>Macro!AV13</f>
        <v>2.0700000000000003</v>
      </c>
      <c r="BV629" s="63">
        <f>Macro!AW13</f>
        <v>2.2883</v>
      </c>
      <c r="BW629" s="63">
        <f>Macro!AX13</f>
        <v>2.2765</v>
      </c>
      <c r="BX629" s="63">
        <f>Macro!AY13</f>
        <v>2.1576333333333335</v>
      </c>
      <c r="BY629" s="63">
        <f>Macro!AZ13</f>
        <v>2.3639964913333333</v>
      </c>
      <c r="BZ629" s="63">
        <f>Macro!BA13</f>
        <v>2.2688319718766357</v>
      </c>
      <c r="CA629" s="63">
        <f>Macro!BB13</f>
        <v>2.33</v>
      </c>
      <c r="CB629" s="63">
        <f>Macro!BC13</f>
        <v>2.38</v>
      </c>
      <c r="CC629" s="63">
        <f>Macro!BD13</f>
        <v>2.3357071158024922</v>
      </c>
      <c r="CD629" s="63">
        <f>Macro!BE13</f>
        <v>2.8691</v>
      </c>
      <c r="CE629" s="63">
        <f>Macro!BF13</f>
        <v>3.0709</v>
      </c>
      <c r="CF629" s="63">
        <f>Macro!BG13</f>
        <v>3.5398999999999998</v>
      </c>
      <c r="CG629" s="63">
        <f>Macro!BH13</f>
        <v>3.8471000000000002</v>
      </c>
      <c r="CI629" s="63">
        <f>Macro!BJ13</f>
        <v>3.6794499761581418</v>
      </c>
      <c r="CJ629" s="63">
        <f>Macro!BK13</f>
        <v>3.38435</v>
      </c>
      <c r="CK629" s="63">
        <f>Macro!BL13</f>
        <v>3.2279999999999998</v>
      </c>
      <c r="CL629" s="63">
        <f>Macro!BM13</f>
        <v>3.25265</v>
      </c>
      <c r="CM629" s="63">
        <f>Macro!BN13</f>
        <v>3.3861124940395353</v>
      </c>
      <c r="CN629" s="63">
        <f>Macro!BO13</f>
        <v>3.2295500000000001</v>
      </c>
      <c r="CO629" s="63">
        <f>Macro!BP13</f>
        <v>3.16</v>
      </c>
      <c r="CP629" s="63">
        <f>Macro!BQ13</f>
        <v>3.2149999999999999</v>
      </c>
      <c r="CQ629" s="63">
        <f>Macro!BR13</f>
        <v>3.3090000000000002</v>
      </c>
      <c r="CR629" s="63">
        <f>Macro!BS13</f>
        <v>3.2283875000000002</v>
      </c>
      <c r="CS629" s="63">
        <f>Macro!BT13</f>
        <v>3.3159000000000001</v>
      </c>
      <c r="CT629" s="63">
        <f>Macro!BU13</f>
        <v>3.5897999999999999</v>
      </c>
      <c r="CU629" s="63">
        <f>Macro!BV13</f>
        <v>3.9298500000000001</v>
      </c>
      <c r="CV629" s="63">
        <f>Macro!BW13</f>
        <v>3.9419499999999998</v>
      </c>
      <c r="CW629" s="63">
        <f>Macro!BX13</f>
        <v>3.694375</v>
      </c>
      <c r="CX629" s="63">
        <f>Macro!BY13</f>
        <v>3.8908738975388046</v>
      </c>
      <c r="CY629" s="63">
        <f>Macro!BZ13</f>
        <v>3.9126826419193441</v>
      </c>
      <c r="CZ629" s="63">
        <f>Macro!CA13</f>
        <v>3.9346136265327925</v>
      </c>
      <c r="DA629" s="63">
        <f>Macro!CB13</f>
        <v>3.9566675365481032</v>
      </c>
      <c r="DB629" s="63">
        <f>Macro!CC13</f>
        <v>3.9237094256347609</v>
      </c>
      <c r="DC629" s="63">
        <f>Macro!CD13</f>
        <v>4.5153499999999998</v>
      </c>
      <c r="DD629" s="63">
        <f>Macro!CE13</f>
        <v>5.0042067826981986</v>
      </c>
      <c r="DE629" s="63">
        <f>Macro!CF13</f>
        <v>5.0126274269028634</v>
      </c>
      <c r="DF629" s="63">
        <f>Macro!CG13</f>
        <v>5.0210622406356666</v>
      </c>
      <c r="DG629" s="63">
        <f>Macro!CH13</f>
        <v>4.8883116125591819</v>
      </c>
      <c r="DH629" s="10"/>
    </row>
    <row r="630" spans="1:252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  <c r="AF630" s="64"/>
      <c r="AG630" s="64"/>
      <c r="AH630" s="64"/>
      <c r="AI630" s="64"/>
      <c r="AJ630" s="64"/>
      <c r="AK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AV630" s="64"/>
      <c r="AW630" s="64"/>
      <c r="AX630" s="64"/>
      <c r="AY630" s="64"/>
      <c r="AZ630" s="64"/>
      <c r="BA630" s="64"/>
      <c r="BB630" s="64"/>
      <c r="BC630" s="64"/>
      <c r="BD630" s="64"/>
      <c r="BE630" s="64"/>
      <c r="BF630" s="64"/>
      <c r="BG630" s="64"/>
      <c r="BH630" s="64"/>
      <c r="BI630" s="64"/>
      <c r="BJ630" s="64"/>
      <c r="BK630" s="64"/>
      <c r="BL630" s="64"/>
      <c r="BM630" s="64"/>
      <c r="BN630" s="64"/>
      <c r="BO630" s="64"/>
      <c r="BP630" s="64"/>
      <c r="BQ630" s="64"/>
      <c r="BR630" s="64"/>
      <c r="BS630" s="64"/>
      <c r="BT630" s="64"/>
      <c r="BU630" s="64"/>
      <c r="BV630" s="64"/>
      <c r="BW630" s="64"/>
      <c r="BX630" s="64"/>
      <c r="BY630" s="64"/>
      <c r="BZ630" s="64"/>
      <c r="CA630" s="64"/>
      <c r="CB630" s="64"/>
      <c r="CC630" s="64"/>
      <c r="CD630" s="64"/>
      <c r="CE630" s="64"/>
      <c r="CF630" s="64"/>
      <c r="CG630" s="64"/>
      <c r="CH630" s="64"/>
      <c r="CI630" s="64"/>
      <c r="CJ630" s="64"/>
      <c r="CK630" s="64"/>
      <c r="CL630" s="64"/>
      <c r="CM630" s="64"/>
      <c r="CN630" s="64"/>
      <c r="CO630" s="64"/>
      <c r="CP630" s="64"/>
      <c r="CQ630" s="64"/>
      <c r="CR630" s="64"/>
      <c r="CS630" s="64"/>
      <c r="CT630" s="64"/>
      <c r="CU630" s="64"/>
      <c r="CV630" s="64"/>
      <c r="CW630" s="64"/>
      <c r="CX630" s="64"/>
      <c r="CY630" s="64"/>
      <c r="CZ630" s="64"/>
      <c r="DA630" s="64"/>
      <c r="DB630" s="64"/>
      <c r="DC630" s="64"/>
      <c r="DD630" s="64"/>
      <c r="DE630" s="64"/>
      <c r="DF630" s="64"/>
      <c r="DG630" s="64"/>
      <c r="DH630" s="65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</row>
  </sheetData>
  <autoFilter ref="A1:IR629" xr:uid="{00000000-0009-0000-0000-000008000000}"/>
  <dataConsolidate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E40E-C5A1-407F-8F6C-5DAA62F8489E}">
  <sheetPr>
    <outlinePr summaryBelow="0" summaryRight="0"/>
  </sheetPr>
  <dimension ref="A1:JG630"/>
  <sheetViews>
    <sheetView zoomScale="70" workbookViewId="0">
      <pane xSplit="1" ySplit="1" topLeftCell="G267" activePane="bottomRight" state="frozen"/>
      <selection activeCell="A280" sqref="A280"/>
      <selection pane="topRight" activeCell="A280" sqref="A280"/>
      <selection pane="bottomLeft" activeCell="A280" sqref="A280"/>
      <selection pane="bottomRight" activeCell="A280" sqref="A280"/>
    </sheetView>
  </sheetViews>
  <sheetFormatPr defaultColWidth="10.28515625" defaultRowHeight="12.75"/>
  <cols>
    <col min="1" max="1" width="60" style="60" customWidth="1"/>
    <col min="2" max="6" width="10" style="60" hidden="1" customWidth="1"/>
    <col min="7" max="31" width="10" style="60" customWidth="1"/>
    <col min="32" max="34" width="8.7109375" style="60" customWidth="1"/>
    <col min="35" max="36" width="10" style="60" customWidth="1"/>
    <col min="37" max="39" width="8.7109375" style="60" customWidth="1"/>
    <col min="40" max="41" width="10" style="60" customWidth="1"/>
    <col min="42" max="44" width="8.7109375" style="60" customWidth="1"/>
    <col min="45" max="46" width="10" style="60" customWidth="1"/>
    <col min="47" max="49" width="8.7109375" style="60" customWidth="1"/>
    <col min="50" max="51" width="10" style="60" customWidth="1"/>
    <col min="52" max="54" width="8.7109375" style="60" customWidth="1"/>
    <col min="55" max="56" width="10" style="60" customWidth="1"/>
    <col min="57" max="59" width="8.7109375" style="60" customWidth="1"/>
    <col min="60" max="61" width="10" style="60" customWidth="1"/>
    <col min="62" max="64" width="8.7109375" style="60" customWidth="1"/>
    <col min="65" max="66" width="10" style="60" customWidth="1"/>
    <col min="67" max="69" width="8.7109375" style="60" customWidth="1"/>
    <col min="70" max="71" width="10" style="60" customWidth="1"/>
    <col min="72" max="72" width="8.7109375" style="60" customWidth="1"/>
    <col min="73" max="73" width="11.140625" style="60" customWidth="1"/>
    <col min="74" max="74" width="9.7109375" style="60" customWidth="1"/>
    <col min="75" max="76" width="10" style="60" customWidth="1"/>
    <col min="77" max="79" width="8.7109375" style="60" customWidth="1"/>
    <col min="80" max="106" width="10" style="60" customWidth="1"/>
    <col min="107" max="109" width="8.7109375" style="60" customWidth="1"/>
    <col min="110" max="126" width="10" style="60" customWidth="1"/>
    <col min="127" max="129" width="8.7109375" style="60" customWidth="1"/>
    <col min="130" max="131" width="10" style="60" customWidth="1"/>
    <col min="132" max="271" width="10.28515625" style="60"/>
    <col min="272" max="272" width="60" style="60" customWidth="1"/>
    <col min="273" max="316" width="0" style="60" hidden="1" customWidth="1"/>
    <col min="317" max="317" width="10" style="60" bestFit="1" customWidth="1"/>
    <col min="318" max="320" width="8.7109375" style="60" bestFit="1" customWidth="1"/>
    <col min="321" max="322" width="10" style="60" bestFit="1" customWidth="1"/>
    <col min="323" max="325" width="8.7109375" style="60" bestFit="1" customWidth="1"/>
    <col min="326" max="327" width="10" style="60" bestFit="1" customWidth="1"/>
    <col min="328" max="330" width="8.7109375" style="60" customWidth="1"/>
    <col min="331" max="331" width="10" style="60" customWidth="1"/>
    <col min="332" max="332" width="10" style="60" bestFit="1" customWidth="1"/>
    <col min="333" max="335" width="8.7109375" style="60" customWidth="1"/>
    <col min="336" max="336" width="10" style="60" customWidth="1"/>
    <col min="337" max="337" width="10" style="60" bestFit="1" customWidth="1"/>
    <col min="338" max="341" width="0" style="60" hidden="1" customWidth="1"/>
    <col min="342" max="342" width="10" style="60" bestFit="1" customWidth="1"/>
    <col min="343" max="346" width="0" style="60" hidden="1" customWidth="1"/>
    <col min="347" max="347" width="10" style="60" customWidth="1"/>
    <col min="348" max="351" width="0" style="60" hidden="1" customWidth="1"/>
    <col min="352" max="352" width="10" style="60" customWidth="1"/>
    <col min="353" max="356" width="0" style="60" hidden="1" customWidth="1"/>
    <col min="357" max="357" width="10" style="60" customWidth="1"/>
    <col min="358" max="382" width="0" style="60" hidden="1" customWidth="1"/>
    <col min="383" max="527" width="10.28515625" style="60"/>
    <col min="528" max="528" width="60" style="60" customWidth="1"/>
    <col min="529" max="572" width="0" style="60" hidden="1" customWidth="1"/>
    <col min="573" max="573" width="10" style="60" bestFit="1" customWidth="1"/>
    <col min="574" max="576" width="8.7109375" style="60" bestFit="1" customWidth="1"/>
    <col min="577" max="578" width="10" style="60" bestFit="1" customWidth="1"/>
    <col min="579" max="581" width="8.7109375" style="60" bestFit="1" customWidth="1"/>
    <col min="582" max="583" width="10" style="60" bestFit="1" customWidth="1"/>
    <col min="584" max="586" width="8.7109375" style="60" customWidth="1"/>
    <col min="587" max="587" width="10" style="60" customWidth="1"/>
    <col min="588" max="588" width="10" style="60" bestFit="1" customWidth="1"/>
    <col min="589" max="591" width="8.7109375" style="60" customWidth="1"/>
    <col min="592" max="592" width="10" style="60" customWidth="1"/>
    <col min="593" max="593" width="10" style="60" bestFit="1" customWidth="1"/>
    <col min="594" max="597" width="0" style="60" hidden="1" customWidth="1"/>
    <col min="598" max="598" width="10" style="60" bestFit="1" customWidth="1"/>
    <col min="599" max="602" width="0" style="60" hidden="1" customWidth="1"/>
    <col min="603" max="603" width="10" style="60" customWidth="1"/>
    <col min="604" max="607" width="0" style="60" hidden="1" customWidth="1"/>
    <col min="608" max="608" width="10" style="60" customWidth="1"/>
    <col min="609" max="612" width="0" style="60" hidden="1" customWidth="1"/>
    <col min="613" max="613" width="10" style="60" customWidth="1"/>
    <col min="614" max="638" width="0" style="60" hidden="1" customWidth="1"/>
    <col min="639" max="783" width="10.28515625" style="60"/>
    <col min="784" max="784" width="60" style="60" customWidth="1"/>
    <col min="785" max="828" width="0" style="60" hidden="1" customWidth="1"/>
    <col min="829" max="829" width="10" style="60" bestFit="1" customWidth="1"/>
    <col min="830" max="832" width="8.7109375" style="60" bestFit="1" customWidth="1"/>
    <col min="833" max="834" width="10" style="60" bestFit="1" customWidth="1"/>
    <col min="835" max="837" width="8.7109375" style="60" bestFit="1" customWidth="1"/>
    <col min="838" max="839" width="10" style="60" bestFit="1" customWidth="1"/>
    <col min="840" max="842" width="8.7109375" style="60" customWidth="1"/>
    <col min="843" max="843" width="10" style="60" customWidth="1"/>
    <col min="844" max="844" width="10" style="60" bestFit="1" customWidth="1"/>
    <col min="845" max="847" width="8.7109375" style="60" customWidth="1"/>
    <col min="848" max="848" width="10" style="60" customWidth="1"/>
    <col min="849" max="849" width="10" style="60" bestFit="1" customWidth="1"/>
    <col min="850" max="853" width="0" style="60" hidden="1" customWidth="1"/>
    <col min="854" max="854" width="10" style="60" bestFit="1" customWidth="1"/>
    <col min="855" max="858" width="0" style="60" hidden="1" customWidth="1"/>
    <col min="859" max="859" width="10" style="60" customWidth="1"/>
    <col min="860" max="863" width="0" style="60" hidden="1" customWidth="1"/>
    <col min="864" max="864" width="10" style="60" customWidth="1"/>
    <col min="865" max="868" width="0" style="60" hidden="1" customWidth="1"/>
    <col min="869" max="869" width="10" style="60" customWidth="1"/>
    <col min="870" max="894" width="0" style="60" hidden="1" customWidth="1"/>
    <col min="895" max="1039" width="10.28515625" style="60"/>
    <col min="1040" max="1040" width="60" style="60" customWidth="1"/>
    <col min="1041" max="1084" width="0" style="60" hidden="1" customWidth="1"/>
    <col min="1085" max="1085" width="10" style="60" bestFit="1" customWidth="1"/>
    <col min="1086" max="1088" width="8.7109375" style="60" bestFit="1" customWidth="1"/>
    <col min="1089" max="1090" width="10" style="60" bestFit="1" customWidth="1"/>
    <col min="1091" max="1093" width="8.7109375" style="60" bestFit="1" customWidth="1"/>
    <col min="1094" max="1095" width="10" style="60" bestFit="1" customWidth="1"/>
    <col min="1096" max="1098" width="8.7109375" style="60" customWidth="1"/>
    <col min="1099" max="1099" width="10" style="60" customWidth="1"/>
    <col min="1100" max="1100" width="10" style="60" bestFit="1" customWidth="1"/>
    <col min="1101" max="1103" width="8.7109375" style="60" customWidth="1"/>
    <col min="1104" max="1104" width="10" style="60" customWidth="1"/>
    <col min="1105" max="1105" width="10" style="60" bestFit="1" customWidth="1"/>
    <col min="1106" max="1109" width="0" style="60" hidden="1" customWidth="1"/>
    <col min="1110" max="1110" width="10" style="60" bestFit="1" customWidth="1"/>
    <col min="1111" max="1114" width="0" style="60" hidden="1" customWidth="1"/>
    <col min="1115" max="1115" width="10" style="60" customWidth="1"/>
    <col min="1116" max="1119" width="0" style="60" hidden="1" customWidth="1"/>
    <col min="1120" max="1120" width="10" style="60" customWidth="1"/>
    <col min="1121" max="1124" width="0" style="60" hidden="1" customWidth="1"/>
    <col min="1125" max="1125" width="10" style="60" customWidth="1"/>
    <col min="1126" max="1150" width="0" style="60" hidden="1" customWidth="1"/>
    <col min="1151" max="1295" width="10.28515625" style="60"/>
    <col min="1296" max="1296" width="60" style="60" customWidth="1"/>
    <col min="1297" max="1340" width="0" style="60" hidden="1" customWidth="1"/>
    <col min="1341" max="1341" width="10" style="60" bestFit="1" customWidth="1"/>
    <col min="1342" max="1344" width="8.7109375" style="60" bestFit="1" customWidth="1"/>
    <col min="1345" max="1346" width="10" style="60" bestFit="1" customWidth="1"/>
    <col min="1347" max="1349" width="8.7109375" style="60" bestFit="1" customWidth="1"/>
    <col min="1350" max="1351" width="10" style="60" bestFit="1" customWidth="1"/>
    <col min="1352" max="1354" width="8.7109375" style="60" customWidth="1"/>
    <col min="1355" max="1355" width="10" style="60" customWidth="1"/>
    <col min="1356" max="1356" width="10" style="60" bestFit="1" customWidth="1"/>
    <col min="1357" max="1359" width="8.7109375" style="60" customWidth="1"/>
    <col min="1360" max="1360" width="10" style="60" customWidth="1"/>
    <col min="1361" max="1361" width="10" style="60" bestFit="1" customWidth="1"/>
    <col min="1362" max="1365" width="0" style="60" hidden="1" customWidth="1"/>
    <col min="1366" max="1366" width="10" style="60" bestFit="1" customWidth="1"/>
    <col min="1367" max="1370" width="0" style="60" hidden="1" customWidth="1"/>
    <col min="1371" max="1371" width="10" style="60" customWidth="1"/>
    <col min="1372" max="1375" width="0" style="60" hidden="1" customWidth="1"/>
    <col min="1376" max="1376" width="10" style="60" customWidth="1"/>
    <col min="1377" max="1380" width="0" style="60" hidden="1" customWidth="1"/>
    <col min="1381" max="1381" width="10" style="60" customWidth="1"/>
    <col min="1382" max="1406" width="0" style="60" hidden="1" customWidth="1"/>
    <col min="1407" max="1551" width="10.28515625" style="60"/>
    <col min="1552" max="1552" width="60" style="60" customWidth="1"/>
    <col min="1553" max="1596" width="0" style="60" hidden="1" customWidth="1"/>
    <col min="1597" max="1597" width="10" style="60" bestFit="1" customWidth="1"/>
    <col min="1598" max="1600" width="8.7109375" style="60" bestFit="1" customWidth="1"/>
    <col min="1601" max="1602" width="10" style="60" bestFit="1" customWidth="1"/>
    <col min="1603" max="1605" width="8.7109375" style="60" bestFit="1" customWidth="1"/>
    <col min="1606" max="1607" width="10" style="60" bestFit="1" customWidth="1"/>
    <col min="1608" max="1610" width="8.7109375" style="60" customWidth="1"/>
    <col min="1611" max="1611" width="10" style="60" customWidth="1"/>
    <col min="1612" max="1612" width="10" style="60" bestFit="1" customWidth="1"/>
    <col min="1613" max="1615" width="8.7109375" style="60" customWidth="1"/>
    <col min="1616" max="1616" width="10" style="60" customWidth="1"/>
    <col min="1617" max="1617" width="10" style="60" bestFit="1" customWidth="1"/>
    <col min="1618" max="1621" width="0" style="60" hidden="1" customWidth="1"/>
    <col min="1622" max="1622" width="10" style="60" bestFit="1" customWidth="1"/>
    <col min="1623" max="1626" width="0" style="60" hidden="1" customWidth="1"/>
    <col min="1627" max="1627" width="10" style="60" customWidth="1"/>
    <col min="1628" max="1631" width="0" style="60" hidden="1" customWidth="1"/>
    <col min="1632" max="1632" width="10" style="60" customWidth="1"/>
    <col min="1633" max="1636" width="0" style="60" hidden="1" customWidth="1"/>
    <col min="1637" max="1637" width="10" style="60" customWidth="1"/>
    <col min="1638" max="1662" width="0" style="60" hidden="1" customWidth="1"/>
    <col min="1663" max="1807" width="10.28515625" style="60"/>
    <col min="1808" max="1808" width="60" style="60" customWidth="1"/>
    <col min="1809" max="1852" width="0" style="60" hidden="1" customWidth="1"/>
    <col min="1853" max="1853" width="10" style="60" bestFit="1" customWidth="1"/>
    <col min="1854" max="1856" width="8.7109375" style="60" bestFit="1" customWidth="1"/>
    <col min="1857" max="1858" width="10" style="60" bestFit="1" customWidth="1"/>
    <col min="1859" max="1861" width="8.7109375" style="60" bestFit="1" customWidth="1"/>
    <col min="1862" max="1863" width="10" style="60" bestFit="1" customWidth="1"/>
    <col min="1864" max="1866" width="8.7109375" style="60" customWidth="1"/>
    <col min="1867" max="1867" width="10" style="60" customWidth="1"/>
    <col min="1868" max="1868" width="10" style="60" bestFit="1" customWidth="1"/>
    <col min="1869" max="1871" width="8.7109375" style="60" customWidth="1"/>
    <col min="1872" max="1872" width="10" style="60" customWidth="1"/>
    <col min="1873" max="1873" width="10" style="60" bestFit="1" customWidth="1"/>
    <col min="1874" max="1877" width="0" style="60" hidden="1" customWidth="1"/>
    <col min="1878" max="1878" width="10" style="60" bestFit="1" customWidth="1"/>
    <col min="1879" max="1882" width="0" style="60" hidden="1" customWidth="1"/>
    <col min="1883" max="1883" width="10" style="60" customWidth="1"/>
    <col min="1884" max="1887" width="0" style="60" hidden="1" customWidth="1"/>
    <col min="1888" max="1888" width="10" style="60" customWidth="1"/>
    <col min="1889" max="1892" width="0" style="60" hidden="1" customWidth="1"/>
    <col min="1893" max="1893" width="10" style="60" customWidth="1"/>
    <col min="1894" max="1918" width="0" style="60" hidden="1" customWidth="1"/>
    <col min="1919" max="2063" width="10.28515625" style="60"/>
    <col min="2064" max="2064" width="60" style="60" customWidth="1"/>
    <col min="2065" max="2108" width="0" style="60" hidden="1" customWidth="1"/>
    <col min="2109" max="2109" width="10" style="60" bestFit="1" customWidth="1"/>
    <col min="2110" max="2112" width="8.7109375" style="60" bestFit="1" customWidth="1"/>
    <col min="2113" max="2114" width="10" style="60" bestFit="1" customWidth="1"/>
    <col min="2115" max="2117" width="8.7109375" style="60" bestFit="1" customWidth="1"/>
    <col min="2118" max="2119" width="10" style="60" bestFit="1" customWidth="1"/>
    <col min="2120" max="2122" width="8.7109375" style="60" customWidth="1"/>
    <col min="2123" max="2123" width="10" style="60" customWidth="1"/>
    <col min="2124" max="2124" width="10" style="60" bestFit="1" customWidth="1"/>
    <col min="2125" max="2127" width="8.7109375" style="60" customWidth="1"/>
    <col min="2128" max="2128" width="10" style="60" customWidth="1"/>
    <col min="2129" max="2129" width="10" style="60" bestFit="1" customWidth="1"/>
    <col min="2130" max="2133" width="0" style="60" hidden="1" customWidth="1"/>
    <col min="2134" max="2134" width="10" style="60" bestFit="1" customWidth="1"/>
    <col min="2135" max="2138" width="0" style="60" hidden="1" customWidth="1"/>
    <col min="2139" max="2139" width="10" style="60" customWidth="1"/>
    <col min="2140" max="2143" width="0" style="60" hidden="1" customWidth="1"/>
    <col min="2144" max="2144" width="10" style="60" customWidth="1"/>
    <col min="2145" max="2148" width="0" style="60" hidden="1" customWidth="1"/>
    <col min="2149" max="2149" width="10" style="60" customWidth="1"/>
    <col min="2150" max="2174" width="0" style="60" hidden="1" customWidth="1"/>
    <col min="2175" max="2319" width="10.28515625" style="60"/>
    <col min="2320" max="2320" width="60" style="60" customWidth="1"/>
    <col min="2321" max="2364" width="0" style="60" hidden="1" customWidth="1"/>
    <col min="2365" max="2365" width="10" style="60" bestFit="1" customWidth="1"/>
    <col min="2366" max="2368" width="8.7109375" style="60" bestFit="1" customWidth="1"/>
    <col min="2369" max="2370" width="10" style="60" bestFit="1" customWidth="1"/>
    <col min="2371" max="2373" width="8.7109375" style="60" bestFit="1" customWidth="1"/>
    <col min="2374" max="2375" width="10" style="60" bestFit="1" customWidth="1"/>
    <col min="2376" max="2378" width="8.7109375" style="60" customWidth="1"/>
    <col min="2379" max="2379" width="10" style="60" customWidth="1"/>
    <col min="2380" max="2380" width="10" style="60" bestFit="1" customWidth="1"/>
    <col min="2381" max="2383" width="8.7109375" style="60" customWidth="1"/>
    <col min="2384" max="2384" width="10" style="60" customWidth="1"/>
    <col min="2385" max="2385" width="10" style="60" bestFit="1" customWidth="1"/>
    <col min="2386" max="2389" width="0" style="60" hidden="1" customWidth="1"/>
    <col min="2390" max="2390" width="10" style="60" bestFit="1" customWidth="1"/>
    <col min="2391" max="2394" width="0" style="60" hidden="1" customWidth="1"/>
    <col min="2395" max="2395" width="10" style="60" customWidth="1"/>
    <col min="2396" max="2399" width="0" style="60" hidden="1" customWidth="1"/>
    <col min="2400" max="2400" width="10" style="60" customWidth="1"/>
    <col min="2401" max="2404" width="0" style="60" hidden="1" customWidth="1"/>
    <col min="2405" max="2405" width="10" style="60" customWidth="1"/>
    <col min="2406" max="2430" width="0" style="60" hidden="1" customWidth="1"/>
    <col min="2431" max="2575" width="10.28515625" style="60"/>
    <col min="2576" max="2576" width="60" style="60" customWidth="1"/>
    <col min="2577" max="2620" width="0" style="60" hidden="1" customWidth="1"/>
    <col min="2621" max="2621" width="10" style="60" bestFit="1" customWidth="1"/>
    <col min="2622" max="2624" width="8.7109375" style="60" bestFit="1" customWidth="1"/>
    <col min="2625" max="2626" width="10" style="60" bestFit="1" customWidth="1"/>
    <col min="2627" max="2629" width="8.7109375" style="60" bestFit="1" customWidth="1"/>
    <col min="2630" max="2631" width="10" style="60" bestFit="1" customWidth="1"/>
    <col min="2632" max="2634" width="8.7109375" style="60" customWidth="1"/>
    <col min="2635" max="2635" width="10" style="60" customWidth="1"/>
    <col min="2636" max="2636" width="10" style="60" bestFit="1" customWidth="1"/>
    <col min="2637" max="2639" width="8.7109375" style="60" customWidth="1"/>
    <col min="2640" max="2640" width="10" style="60" customWidth="1"/>
    <col min="2641" max="2641" width="10" style="60" bestFit="1" customWidth="1"/>
    <col min="2642" max="2645" width="0" style="60" hidden="1" customWidth="1"/>
    <col min="2646" max="2646" width="10" style="60" bestFit="1" customWidth="1"/>
    <col min="2647" max="2650" width="0" style="60" hidden="1" customWidth="1"/>
    <col min="2651" max="2651" width="10" style="60" customWidth="1"/>
    <col min="2652" max="2655" width="0" style="60" hidden="1" customWidth="1"/>
    <col min="2656" max="2656" width="10" style="60" customWidth="1"/>
    <col min="2657" max="2660" width="0" style="60" hidden="1" customWidth="1"/>
    <col min="2661" max="2661" width="10" style="60" customWidth="1"/>
    <col min="2662" max="2686" width="0" style="60" hidden="1" customWidth="1"/>
    <col min="2687" max="2831" width="10.28515625" style="60"/>
    <col min="2832" max="2832" width="60" style="60" customWidth="1"/>
    <col min="2833" max="2876" width="0" style="60" hidden="1" customWidth="1"/>
    <col min="2877" max="2877" width="10" style="60" bestFit="1" customWidth="1"/>
    <col min="2878" max="2880" width="8.7109375" style="60" bestFit="1" customWidth="1"/>
    <col min="2881" max="2882" width="10" style="60" bestFit="1" customWidth="1"/>
    <col min="2883" max="2885" width="8.7109375" style="60" bestFit="1" customWidth="1"/>
    <col min="2886" max="2887" width="10" style="60" bestFit="1" customWidth="1"/>
    <col min="2888" max="2890" width="8.7109375" style="60" customWidth="1"/>
    <col min="2891" max="2891" width="10" style="60" customWidth="1"/>
    <col min="2892" max="2892" width="10" style="60" bestFit="1" customWidth="1"/>
    <col min="2893" max="2895" width="8.7109375" style="60" customWidth="1"/>
    <col min="2896" max="2896" width="10" style="60" customWidth="1"/>
    <col min="2897" max="2897" width="10" style="60" bestFit="1" customWidth="1"/>
    <col min="2898" max="2901" width="0" style="60" hidden="1" customWidth="1"/>
    <col min="2902" max="2902" width="10" style="60" bestFit="1" customWidth="1"/>
    <col min="2903" max="2906" width="0" style="60" hidden="1" customWidth="1"/>
    <col min="2907" max="2907" width="10" style="60" customWidth="1"/>
    <col min="2908" max="2911" width="0" style="60" hidden="1" customWidth="1"/>
    <col min="2912" max="2912" width="10" style="60" customWidth="1"/>
    <col min="2913" max="2916" width="0" style="60" hidden="1" customWidth="1"/>
    <col min="2917" max="2917" width="10" style="60" customWidth="1"/>
    <col min="2918" max="2942" width="0" style="60" hidden="1" customWidth="1"/>
    <col min="2943" max="3087" width="10.28515625" style="60"/>
    <col min="3088" max="3088" width="60" style="60" customWidth="1"/>
    <col min="3089" max="3132" width="0" style="60" hidden="1" customWidth="1"/>
    <col min="3133" max="3133" width="10" style="60" bestFit="1" customWidth="1"/>
    <col min="3134" max="3136" width="8.7109375" style="60" bestFit="1" customWidth="1"/>
    <col min="3137" max="3138" width="10" style="60" bestFit="1" customWidth="1"/>
    <col min="3139" max="3141" width="8.7109375" style="60" bestFit="1" customWidth="1"/>
    <col min="3142" max="3143" width="10" style="60" bestFit="1" customWidth="1"/>
    <col min="3144" max="3146" width="8.7109375" style="60" customWidth="1"/>
    <col min="3147" max="3147" width="10" style="60" customWidth="1"/>
    <col min="3148" max="3148" width="10" style="60" bestFit="1" customWidth="1"/>
    <col min="3149" max="3151" width="8.7109375" style="60" customWidth="1"/>
    <col min="3152" max="3152" width="10" style="60" customWidth="1"/>
    <col min="3153" max="3153" width="10" style="60" bestFit="1" customWidth="1"/>
    <col min="3154" max="3157" width="0" style="60" hidden="1" customWidth="1"/>
    <col min="3158" max="3158" width="10" style="60" bestFit="1" customWidth="1"/>
    <col min="3159" max="3162" width="0" style="60" hidden="1" customWidth="1"/>
    <col min="3163" max="3163" width="10" style="60" customWidth="1"/>
    <col min="3164" max="3167" width="0" style="60" hidden="1" customWidth="1"/>
    <col min="3168" max="3168" width="10" style="60" customWidth="1"/>
    <col min="3169" max="3172" width="0" style="60" hidden="1" customWidth="1"/>
    <col min="3173" max="3173" width="10" style="60" customWidth="1"/>
    <col min="3174" max="3198" width="0" style="60" hidden="1" customWidth="1"/>
    <col min="3199" max="3343" width="10.28515625" style="60"/>
    <col min="3344" max="3344" width="60" style="60" customWidth="1"/>
    <col min="3345" max="3388" width="0" style="60" hidden="1" customWidth="1"/>
    <col min="3389" max="3389" width="10" style="60" bestFit="1" customWidth="1"/>
    <col min="3390" max="3392" width="8.7109375" style="60" bestFit="1" customWidth="1"/>
    <col min="3393" max="3394" width="10" style="60" bestFit="1" customWidth="1"/>
    <col min="3395" max="3397" width="8.7109375" style="60" bestFit="1" customWidth="1"/>
    <col min="3398" max="3399" width="10" style="60" bestFit="1" customWidth="1"/>
    <col min="3400" max="3402" width="8.7109375" style="60" customWidth="1"/>
    <col min="3403" max="3403" width="10" style="60" customWidth="1"/>
    <col min="3404" max="3404" width="10" style="60" bestFit="1" customWidth="1"/>
    <col min="3405" max="3407" width="8.7109375" style="60" customWidth="1"/>
    <col min="3408" max="3408" width="10" style="60" customWidth="1"/>
    <col min="3409" max="3409" width="10" style="60" bestFit="1" customWidth="1"/>
    <col min="3410" max="3413" width="0" style="60" hidden="1" customWidth="1"/>
    <col min="3414" max="3414" width="10" style="60" bestFit="1" customWidth="1"/>
    <col min="3415" max="3418" width="0" style="60" hidden="1" customWidth="1"/>
    <col min="3419" max="3419" width="10" style="60" customWidth="1"/>
    <col min="3420" max="3423" width="0" style="60" hidden="1" customWidth="1"/>
    <col min="3424" max="3424" width="10" style="60" customWidth="1"/>
    <col min="3425" max="3428" width="0" style="60" hidden="1" customWidth="1"/>
    <col min="3429" max="3429" width="10" style="60" customWidth="1"/>
    <col min="3430" max="3454" width="0" style="60" hidden="1" customWidth="1"/>
    <col min="3455" max="3599" width="10.28515625" style="60"/>
    <col min="3600" max="3600" width="60" style="60" customWidth="1"/>
    <col min="3601" max="3644" width="0" style="60" hidden="1" customWidth="1"/>
    <col min="3645" max="3645" width="10" style="60" bestFit="1" customWidth="1"/>
    <col min="3646" max="3648" width="8.7109375" style="60" bestFit="1" customWidth="1"/>
    <col min="3649" max="3650" width="10" style="60" bestFit="1" customWidth="1"/>
    <col min="3651" max="3653" width="8.7109375" style="60" bestFit="1" customWidth="1"/>
    <col min="3654" max="3655" width="10" style="60" bestFit="1" customWidth="1"/>
    <col min="3656" max="3658" width="8.7109375" style="60" customWidth="1"/>
    <col min="3659" max="3659" width="10" style="60" customWidth="1"/>
    <col min="3660" max="3660" width="10" style="60" bestFit="1" customWidth="1"/>
    <col min="3661" max="3663" width="8.7109375" style="60" customWidth="1"/>
    <col min="3664" max="3664" width="10" style="60" customWidth="1"/>
    <col min="3665" max="3665" width="10" style="60" bestFit="1" customWidth="1"/>
    <col min="3666" max="3669" width="0" style="60" hidden="1" customWidth="1"/>
    <col min="3670" max="3670" width="10" style="60" bestFit="1" customWidth="1"/>
    <col min="3671" max="3674" width="0" style="60" hidden="1" customWidth="1"/>
    <col min="3675" max="3675" width="10" style="60" customWidth="1"/>
    <col min="3676" max="3679" width="0" style="60" hidden="1" customWidth="1"/>
    <col min="3680" max="3680" width="10" style="60" customWidth="1"/>
    <col min="3681" max="3684" width="0" style="60" hidden="1" customWidth="1"/>
    <col min="3685" max="3685" width="10" style="60" customWidth="1"/>
    <col min="3686" max="3710" width="0" style="60" hidden="1" customWidth="1"/>
    <col min="3711" max="3855" width="10.28515625" style="60"/>
    <col min="3856" max="3856" width="60" style="60" customWidth="1"/>
    <col min="3857" max="3900" width="0" style="60" hidden="1" customWidth="1"/>
    <col min="3901" max="3901" width="10" style="60" bestFit="1" customWidth="1"/>
    <col min="3902" max="3904" width="8.7109375" style="60" bestFit="1" customWidth="1"/>
    <col min="3905" max="3906" width="10" style="60" bestFit="1" customWidth="1"/>
    <col min="3907" max="3909" width="8.7109375" style="60" bestFit="1" customWidth="1"/>
    <col min="3910" max="3911" width="10" style="60" bestFit="1" customWidth="1"/>
    <col min="3912" max="3914" width="8.7109375" style="60" customWidth="1"/>
    <col min="3915" max="3915" width="10" style="60" customWidth="1"/>
    <col min="3916" max="3916" width="10" style="60" bestFit="1" customWidth="1"/>
    <col min="3917" max="3919" width="8.7109375" style="60" customWidth="1"/>
    <col min="3920" max="3920" width="10" style="60" customWidth="1"/>
    <col min="3921" max="3921" width="10" style="60" bestFit="1" customWidth="1"/>
    <col min="3922" max="3925" width="0" style="60" hidden="1" customWidth="1"/>
    <col min="3926" max="3926" width="10" style="60" bestFit="1" customWidth="1"/>
    <col min="3927" max="3930" width="0" style="60" hidden="1" customWidth="1"/>
    <col min="3931" max="3931" width="10" style="60" customWidth="1"/>
    <col min="3932" max="3935" width="0" style="60" hidden="1" customWidth="1"/>
    <col min="3936" max="3936" width="10" style="60" customWidth="1"/>
    <col min="3937" max="3940" width="0" style="60" hidden="1" customWidth="1"/>
    <col min="3941" max="3941" width="10" style="60" customWidth="1"/>
    <col min="3942" max="3966" width="0" style="60" hidden="1" customWidth="1"/>
    <col min="3967" max="4111" width="10.28515625" style="60"/>
    <col min="4112" max="4112" width="60" style="60" customWidth="1"/>
    <col min="4113" max="4156" width="0" style="60" hidden="1" customWidth="1"/>
    <col min="4157" max="4157" width="10" style="60" bestFit="1" customWidth="1"/>
    <col min="4158" max="4160" width="8.7109375" style="60" bestFit="1" customWidth="1"/>
    <col min="4161" max="4162" width="10" style="60" bestFit="1" customWidth="1"/>
    <col min="4163" max="4165" width="8.7109375" style="60" bestFit="1" customWidth="1"/>
    <col min="4166" max="4167" width="10" style="60" bestFit="1" customWidth="1"/>
    <col min="4168" max="4170" width="8.7109375" style="60" customWidth="1"/>
    <col min="4171" max="4171" width="10" style="60" customWidth="1"/>
    <col min="4172" max="4172" width="10" style="60" bestFit="1" customWidth="1"/>
    <col min="4173" max="4175" width="8.7109375" style="60" customWidth="1"/>
    <col min="4176" max="4176" width="10" style="60" customWidth="1"/>
    <col min="4177" max="4177" width="10" style="60" bestFit="1" customWidth="1"/>
    <col min="4178" max="4181" width="0" style="60" hidden="1" customWidth="1"/>
    <col min="4182" max="4182" width="10" style="60" bestFit="1" customWidth="1"/>
    <col min="4183" max="4186" width="0" style="60" hidden="1" customWidth="1"/>
    <col min="4187" max="4187" width="10" style="60" customWidth="1"/>
    <col min="4188" max="4191" width="0" style="60" hidden="1" customWidth="1"/>
    <col min="4192" max="4192" width="10" style="60" customWidth="1"/>
    <col min="4193" max="4196" width="0" style="60" hidden="1" customWidth="1"/>
    <col min="4197" max="4197" width="10" style="60" customWidth="1"/>
    <col min="4198" max="4222" width="0" style="60" hidden="1" customWidth="1"/>
    <col min="4223" max="4367" width="10.28515625" style="60"/>
    <col min="4368" max="4368" width="60" style="60" customWidth="1"/>
    <col min="4369" max="4412" width="0" style="60" hidden="1" customWidth="1"/>
    <col min="4413" max="4413" width="10" style="60" bestFit="1" customWidth="1"/>
    <col min="4414" max="4416" width="8.7109375" style="60" bestFit="1" customWidth="1"/>
    <col min="4417" max="4418" width="10" style="60" bestFit="1" customWidth="1"/>
    <col min="4419" max="4421" width="8.7109375" style="60" bestFit="1" customWidth="1"/>
    <col min="4422" max="4423" width="10" style="60" bestFit="1" customWidth="1"/>
    <col min="4424" max="4426" width="8.7109375" style="60" customWidth="1"/>
    <col min="4427" max="4427" width="10" style="60" customWidth="1"/>
    <col min="4428" max="4428" width="10" style="60" bestFit="1" customWidth="1"/>
    <col min="4429" max="4431" width="8.7109375" style="60" customWidth="1"/>
    <col min="4432" max="4432" width="10" style="60" customWidth="1"/>
    <col min="4433" max="4433" width="10" style="60" bestFit="1" customWidth="1"/>
    <col min="4434" max="4437" width="0" style="60" hidden="1" customWidth="1"/>
    <col min="4438" max="4438" width="10" style="60" bestFit="1" customWidth="1"/>
    <col min="4439" max="4442" width="0" style="60" hidden="1" customWidth="1"/>
    <col min="4443" max="4443" width="10" style="60" customWidth="1"/>
    <col min="4444" max="4447" width="0" style="60" hidden="1" customWidth="1"/>
    <col min="4448" max="4448" width="10" style="60" customWidth="1"/>
    <col min="4449" max="4452" width="0" style="60" hidden="1" customWidth="1"/>
    <col min="4453" max="4453" width="10" style="60" customWidth="1"/>
    <col min="4454" max="4478" width="0" style="60" hidden="1" customWidth="1"/>
    <col min="4479" max="4623" width="10.28515625" style="60"/>
    <col min="4624" max="4624" width="60" style="60" customWidth="1"/>
    <col min="4625" max="4668" width="0" style="60" hidden="1" customWidth="1"/>
    <col min="4669" max="4669" width="10" style="60" bestFit="1" customWidth="1"/>
    <col min="4670" max="4672" width="8.7109375" style="60" bestFit="1" customWidth="1"/>
    <col min="4673" max="4674" width="10" style="60" bestFit="1" customWidth="1"/>
    <col min="4675" max="4677" width="8.7109375" style="60" bestFit="1" customWidth="1"/>
    <col min="4678" max="4679" width="10" style="60" bestFit="1" customWidth="1"/>
    <col min="4680" max="4682" width="8.7109375" style="60" customWidth="1"/>
    <col min="4683" max="4683" width="10" style="60" customWidth="1"/>
    <col min="4684" max="4684" width="10" style="60" bestFit="1" customWidth="1"/>
    <col min="4685" max="4687" width="8.7109375" style="60" customWidth="1"/>
    <col min="4688" max="4688" width="10" style="60" customWidth="1"/>
    <col min="4689" max="4689" width="10" style="60" bestFit="1" customWidth="1"/>
    <col min="4690" max="4693" width="0" style="60" hidden="1" customWidth="1"/>
    <col min="4694" max="4694" width="10" style="60" bestFit="1" customWidth="1"/>
    <col min="4695" max="4698" width="0" style="60" hidden="1" customWidth="1"/>
    <col min="4699" max="4699" width="10" style="60" customWidth="1"/>
    <col min="4700" max="4703" width="0" style="60" hidden="1" customWidth="1"/>
    <col min="4704" max="4704" width="10" style="60" customWidth="1"/>
    <col min="4705" max="4708" width="0" style="60" hidden="1" customWidth="1"/>
    <col min="4709" max="4709" width="10" style="60" customWidth="1"/>
    <col min="4710" max="4734" width="0" style="60" hidden="1" customWidth="1"/>
    <col min="4735" max="4879" width="10.28515625" style="60"/>
    <col min="4880" max="4880" width="60" style="60" customWidth="1"/>
    <col min="4881" max="4924" width="0" style="60" hidden="1" customWidth="1"/>
    <col min="4925" max="4925" width="10" style="60" bestFit="1" customWidth="1"/>
    <col min="4926" max="4928" width="8.7109375" style="60" bestFit="1" customWidth="1"/>
    <col min="4929" max="4930" width="10" style="60" bestFit="1" customWidth="1"/>
    <col min="4931" max="4933" width="8.7109375" style="60" bestFit="1" customWidth="1"/>
    <col min="4934" max="4935" width="10" style="60" bestFit="1" customWidth="1"/>
    <col min="4936" max="4938" width="8.7109375" style="60" customWidth="1"/>
    <col min="4939" max="4939" width="10" style="60" customWidth="1"/>
    <col min="4940" max="4940" width="10" style="60" bestFit="1" customWidth="1"/>
    <col min="4941" max="4943" width="8.7109375" style="60" customWidth="1"/>
    <col min="4944" max="4944" width="10" style="60" customWidth="1"/>
    <col min="4945" max="4945" width="10" style="60" bestFit="1" customWidth="1"/>
    <col min="4946" max="4949" width="0" style="60" hidden="1" customWidth="1"/>
    <col min="4950" max="4950" width="10" style="60" bestFit="1" customWidth="1"/>
    <col min="4951" max="4954" width="0" style="60" hidden="1" customWidth="1"/>
    <col min="4955" max="4955" width="10" style="60" customWidth="1"/>
    <col min="4956" max="4959" width="0" style="60" hidden="1" customWidth="1"/>
    <col min="4960" max="4960" width="10" style="60" customWidth="1"/>
    <col min="4961" max="4964" width="0" style="60" hidden="1" customWidth="1"/>
    <col min="4965" max="4965" width="10" style="60" customWidth="1"/>
    <col min="4966" max="4990" width="0" style="60" hidden="1" customWidth="1"/>
    <col min="4991" max="5135" width="10.28515625" style="60"/>
    <col min="5136" max="5136" width="60" style="60" customWidth="1"/>
    <col min="5137" max="5180" width="0" style="60" hidden="1" customWidth="1"/>
    <col min="5181" max="5181" width="10" style="60" bestFit="1" customWidth="1"/>
    <col min="5182" max="5184" width="8.7109375" style="60" bestFit="1" customWidth="1"/>
    <col min="5185" max="5186" width="10" style="60" bestFit="1" customWidth="1"/>
    <col min="5187" max="5189" width="8.7109375" style="60" bestFit="1" customWidth="1"/>
    <col min="5190" max="5191" width="10" style="60" bestFit="1" customWidth="1"/>
    <col min="5192" max="5194" width="8.7109375" style="60" customWidth="1"/>
    <col min="5195" max="5195" width="10" style="60" customWidth="1"/>
    <col min="5196" max="5196" width="10" style="60" bestFit="1" customWidth="1"/>
    <col min="5197" max="5199" width="8.7109375" style="60" customWidth="1"/>
    <col min="5200" max="5200" width="10" style="60" customWidth="1"/>
    <col min="5201" max="5201" width="10" style="60" bestFit="1" customWidth="1"/>
    <col min="5202" max="5205" width="0" style="60" hidden="1" customWidth="1"/>
    <col min="5206" max="5206" width="10" style="60" bestFit="1" customWidth="1"/>
    <col min="5207" max="5210" width="0" style="60" hidden="1" customWidth="1"/>
    <col min="5211" max="5211" width="10" style="60" customWidth="1"/>
    <col min="5212" max="5215" width="0" style="60" hidden="1" customWidth="1"/>
    <col min="5216" max="5216" width="10" style="60" customWidth="1"/>
    <col min="5217" max="5220" width="0" style="60" hidden="1" customWidth="1"/>
    <col min="5221" max="5221" width="10" style="60" customWidth="1"/>
    <col min="5222" max="5246" width="0" style="60" hidden="1" customWidth="1"/>
    <col min="5247" max="5391" width="10.28515625" style="60"/>
    <col min="5392" max="5392" width="60" style="60" customWidth="1"/>
    <col min="5393" max="5436" width="0" style="60" hidden="1" customWidth="1"/>
    <col min="5437" max="5437" width="10" style="60" bestFit="1" customWidth="1"/>
    <col min="5438" max="5440" width="8.7109375" style="60" bestFit="1" customWidth="1"/>
    <col min="5441" max="5442" width="10" style="60" bestFit="1" customWidth="1"/>
    <col min="5443" max="5445" width="8.7109375" style="60" bestFit="1" customWidth="1"/>
    <col min="5446" max="5447" width="10" style="60" bestFit="1" customWidth="1"/>
    <col min="5448" max="5450" width="8.7109375" style="60" customWidth="1"/>
    <col min="5451" max="5451" width="10" style="60" customWidth="1"/>
    <col min="5452" max="5452" width="10" style="60" bestFit="1" customWidth="1"/>
    <col min="5453" max="5455" width="8.7109375" style="60" customWidth="1"/>
    <col min="5456" max="5456" width="10" style="60" customWidth="1"/>
    <col min="5457" max="5457" width="10" style="60" bestFit="1" customWidth="1"/>
    <col min="5458" max="5461" width="0" style="60" hidden="1" customWidth="1"/>
    <col min="5462" max="5462" width="10" style="60" bestFit="1" customWidth="1"/>
    <col min="5463" max="5466" width="0" style="60" hidden="1" customWidth="1"/>
    <col min="5467" max="5467" width="10" style="60" customWidth="1"/>
    <col min="5468" max="5471" width="0" style="60" hidden="1" customWidth="1"/>
    <col min="5472" max="5472" width="10" style="60" customWidth="1"/>
    <col min="5473" max="5476" width="0" style="60" hidden="1" customWidth="1"/>
    <col min="5477" max="5477" width="10" style="60" customWidth="1"/>
    <col min="5478" max="5502" width="0" style="60" hidden="1" customWidth="1"/>
    <col min="5503" max="5647" width="10.28515625" style="60"/>
    <col min="5648" max="5648" width="60" style="60" customWidth="1"/>
    <col min="5649" max="5692" width="0" style="60" hidden="1" customWidth="1"/>
    <col min="5693" max="5693" width="10" style="60" bestFit="1" customWidth="1"/>
    <col min="5694" max="5696" width="8.7109375" style="60" bestFit="1" customWidth="1"/>
    <col min="5697" max="5698" width="10" style="60" bestFit="1" customWidth="1"/>
    <col min="5699" max="5701" width="8.7109375" style="60" bestFit="1" customWidth="1"/>
    <col min="5702" max="5703" width="10" style="60" bestFit="1" customWidth="1"/>
    <col min="5704" max="5706" width="8.7109375" style="60" customWidth="1"/>
    <col min="5707" max="5707" width="10" style="60" customWidth="1"/>
    <col min="5708" max="5708" width="10" style="60" bestFit="1" customWidth="1"/>
    <col min="5709" max="5711" width="8.7109375" style="60" customWidth="1"/>
    <col min="5712" max="5712" width="10" style="60" customWidth="1"/>
    <col min="5713" max="5713" width="10" style="60" bestFit="1" customWidth="1"/>
    <col min="5714" max="5717" width="0" style="60" hidden="1" customWidth="1"/>
    <col min="5718" max="5718" width="10" style="60" bestFit="1" customWidth="1"/>
    <col min="5719" max="5722" width="0" style="60" hidden="1" customWidth="1"/>
    <col min="5723" max="5723" width="10" style="60" customWidth="1"/>
    <col min="5724" max="5727" width="0" style="60" hidden="1" customWidth="1"/>
    <col min="5728" max="5728" width="10" style="60" customWidth="1"/>
    <col min="5729" max="5732" width="0" style="60" hidden="1" customWidth="1"/>
    <col min="5733" max="5733" width="10" style="60" customWidth="1"/>
    <col min="5734" max="5758" width="0" style="60" hidden="1" customWidth="1"/>
    <col min="5759" max="5903" width="10.28515625" style="60"/>
    <col min="5904" max="5904" width="60" style="60" customWidth="1"/>
    <col min="5905" max="5948" width="0" style="60" hidden="1" customWidth="1"/>
    <col min="5949" max="5949" width="10" style="60" bestFit="1" customWidth="1"/>
    <col min="5950" max="5952" width="8.7109375" style="60" bestFit="1" customWidth="1"/>
    <col min="5953" max="5954" width="10" style="60" bestFit="1" customWidth="1"/>
    <col min="5955" max="5957" width="8.7109375" style="60" bestFit="1" customWidth="1"/>
    <col min="5958" max="5959" width="10" style="60" bestFit="1" customWidth="1"/>
    <col min="5960" max="5962" width="8.7109375" style="60" customWidth="1"/>
    <col min="5963" max="5963" width="10" style="60" customWidth="1"/>
    <col min="5964" max="5964" width="10" style="60" bestFit="1" customWidth="1"/>
    <col min="5965" max="5967" width="8.7109375" style="60" customWidth="1"/>
    <col min="5968" max="5968" width="10" style="60" customWidth="1"/>
    <col min="5969" max="5969" width="10" style="60" bestFit="1" customWidth="1"/>
    <col min="5970" max="5973" width="0" style="60" hidden="1" customWidth="1"/>
    <col min="5974" max="5974" width="10" style="60" bestFit="1" customWidth="1"/>
    <col min="5975" max="5978" width="0" style="60" hidden="1" customWidth="1"/>
    <col min="5979" max="5979" width="10" style="60" customWidth="1"/>
    <col min="5980" max="5983" width="0" style="60" hidden="1" customWidth="1"/>
    <col min="5984" max="5984" width="10" style="60" customWidth="1"/>
    <col min="5985" max="5988" width="0" style="60" hidden="1" customWidth="1"/>
    <col min="5989" max="5989" width="10" style="60" customWidth="1"/>
    <col min="5990" max="6014" width="0" style="60" hidden="1" customWidth="1"/>
    <col min="6015" max="6159" width="10.28515625" style="60"/>
    <col min="6160" max="6160" width="60" style="60" customWidth="1"/>
    <col min="6161" max="6204" width="0" style="60" hidden="1" customWidth="1"/>
    <col min="6205" max="6205" width="10" style="60" bestFit="1" customWidth="1"/>
    <col min="6206" max="6208" width="8.7109375" style="60" bestFit="1" customWidth="1"/>
    <col min="6209" max="6210" width="10" style="60" bestFit="1" customWidth="1"/>
    <col min="6211" max="6213" width="8.7109375" style="60" bestFit="1" customWidth="1"/>
    <col min="6214" max="6215" width="10" style="60" bestFit="1" customWidth="1"/>
    <col min="6216" max="6218" width="8.7109375" style="60" customWidth="1"/>
    <col min="6219" max="6219" width="10" style="60" customWidth="1"/>
    <col min="6220" max="6220" width="10" style="60" bestFit="1" customWidth="1"/>
    <col min="6221" max="6223" width="8.7109375" style="60" customWidth="1"/>
    <col min="6224" max="6224" width="10" style="60" customWidth="1"/>
    <col min="6225" max="6225" width="10" style="60" bestFit="1" customWidth="1"/>
    <col min="6226" max="6229" width="0" style="60" hidden="1" customWidth="1"/>
    <col min="6230" max="6230" width="10" style="60" bestFit="1" customWidth="1"/>
    <col min="6231" max="6234" width="0" style="60" hidden="1" customWidth="1"/>
    <col min="6235" max="6235" width="10" style="60" customWidth="1"/>
    <col min="6236" max="6239" width="0" style="60" hidden="1" customWidth="1"/>
    <col min="6240" max="6240" width="10" style="60" customWidth="1"/>
    <col min="6241" max="6244" width="0" style="60" hidden="1" customWidth="1"/>
    <col min="6245" max="6245" width="10" style="60" customWidth="1"/>
    <col min="6246" max="6270" width="0" style="60" hidden="1" customWidth="1"/>
    <col min="6271" max="6415" width="10.28515625" style="60"/>
    <col min="6416" max="6416" width="60" style="60" customWidth="1"/>
    <col min="6417" max="6460" width="0" style="60" hidden="1" customWidth="1"/>
    <col min="6461" max="6461" width="10" style="60" bestFit="1" customWidth="1"/>
    <col min="6462" max="6464" width="8.7109375" style="60" bestFit="1" customWidth="1"/>
    <col min="6465" max="6466" width="10" style="60" bestFit="1" customWidth="1"/>
    <col min="6467" max="6469" width="8.7109375" style="60" bestFit="1" customWidth="1"/>
    <col min="6470" max="6471" width="10" style="60" bestFit="1" customWidth="1"/>
    <col min="6472" max="6474" width="8.7109375" style="60" customWidth="1"/>
    <col min="6475" max="6475" width="10" style="60" customWidth="1"/>
    <col min="6476" max="6476" width="10" style="60" bestFit="1" customWidth="1"/>
    <col min="6477" max="6479" width="8.7109375" style="60" customWidth="1"/>
    <col min="6480" max="6480" width="10" style="60" customWidth="1"/>
    <col min="6481" max="6481" width="10" style="60" bestFit="1" customWidth="1"/>
    <col min="6482" max="6485" width="0" style="60" hidden="1" customWidth="1"/>
    <col min="6486" max="6486" width="10" style="60" bestFit="1" customWidth="1"/>
    <col min="6487" max="6490" width="0" style="60" hidden="1" customWidth="1"/>
    <col min="6491" max="6491" width="10" style="60" customWidth="1"/>
    <col min="6492" max="6495" width="0" style="60" hidden="1" customWidth="1"/>
    <col min="6496" max="6496" width="10" style="60" customWidth="1"/>
    <col min="6497" max="6500" width="0" style="60" hidden="1" customWidth="1"/>
    <col min="6501" max="6501" width="10" style="60" customWidth="1"/>
    <col min="6502" max="6526" width="0" style="60" hidden="1" customWidth="1"/>
    <col min="6527" max="6671" width="10.28515625" style="60"/>
    <col min="6672" max="6672" width="60" style="60" customWidth="1"/>
    <col min="6673" max="6716" width="0" style="60" hidden="1" customWidth="1"/>
    <col min="6717" max="6717" width="10" style="60" bestFit="1" customWidth="1"/>
    <col min="6718" max="6720" width="8.7109375" style="60" bestFit="1" customWidth="1"/>
    <col min="6721" max="6722" width="10" style="60" bestFit="1" customWidth="1"/>
    <col min="6723" max="6725" width="8.7109375" style="60" bestFit="1" customWidth="1"/>
    <col min="6726" max="6727" width="10" style="60" bestFit="1" customWidth="1"/>
    <col min="6728" max="6730" width="8.7109375" style="60" customWidth="1"/>
    <col min="6731" max="6731" width="10" style="60" customWidth="1"/>
    <col min="6732" max="6732" width="10" style="60" bestFit="1" customWidth="1"/>
    <col min="6733" max="6735" width="8.7109375" style="60" customWidth="1"/>
    <col min="6736" max="6736" width="10" style="60" customWidth="1"/>
    <col min="6737" max="6737" width="10" style="60" bestFit="1" customWidth="1"/>
    <col min="6738" max="6741" width="0" style="60" hidden="1" customWidth="1"/>
    <col min="6742" max="6742" width="10" style="60" bestFit="1" customWidth="1"/>
    <col min="6743" max="6746" width="0" style="60" hidden="1" customWidth="1"/>
    <col min="6747" max="6747" width="10" style="60" customWidth="1"/>
    <col min="6748" max="6751" width="0" style="60" hidden="1" customWidth="1"/>
    <col min="6752" max="6752" width="10" style="60" customWidth="1"/>
    <col min="6753" max="6756" width="0" style="60" hidden="1" customWidth="1"/>
    <col min="6757" max="6757" width="10" style="60" customWidth="1"/>
    <col min="6758" max="6782" width="0" style="60" hidden="1" customWidth="1"/>
    <col min="6783" max="6927" width="10.28515625" style="60"/>
    <col min="6928" max="6928" width="60" style="60" customWidth="1"/>
    <col min="6929" max="6972" width="0" style="60" hidden="1" customWidth="1"/>
    <col min="6973" max="6973" width="10" style="60" bestFit="1" customWidth="1"/>
    <col min="6974" max="6976" width="8.7109375" style="60" bestFit="1" customWidth="1"/>
    <col min="6977" max="6978" width="10" style="60" bestFit="1" customWidth="1"/>
    <col min="6979" max="6981" width="8.7109375" style="60" bestFit="1" customWidth="1"/>
    <col min="6982" max="6983" width="10" style="60" bestFit="1" customWidth="1"/>
    <col min="6984" max="6986" width="8.7109375" style="60" customWidth="1"/>
    <col min="6987" max="6987" width="10" style="60" customWidth="1"/>
    <col min="6988" max="6988" width="10" style="60" bestFit="1" customWidth="1"/>
    <col min="6989" max="6991" width="8.7109375" style="60" customWidth="1"/>
    <col min="6992" max="6992" width="10" style="60" customWidth="1"/>
    <col min="6993" max="6993" width="10" style="60" bestFit="1" customWidth="1"/>
    <col min="6994" max="6997" width="0" style="60" hidden="1" customWidth="1"/>
    <col min="6998" max="6998" width="10" style="60" bestFit="1" customWidth="1"/>
    <col min="6999" max="7002" width="0" style="60" hidden="1" customWidth="1"/>
    <col min="7003" max="7003" width="10" style="60" customWidth="1"/>
    <col min="7004" max="7007" width="0" style="60" hidden="1" customWidth="1"/>
    <col min="7008" max="7008" width="10" style="60" customWidth="1"/>
    <col min="7009" max="7012" width="0" style="60" hidden="1" customWidth="1"/>
    <col min="7013" max="7013" width="10" style="60" customWidth="1"/>
    <col min="7014" max="7038" width="0" style="60" hidden="1" customWidth="1"/>
    <col min="7039" max="7183" width="10.28515625" style="60"/>
    <col min="7184" max="7184" width="60" style="60" customWidth="1"/>
    <col min="7185" max="7228" width="0" style="60" hidden="1" customWidth="1"/>
    <col min="7229" max="7229" width="10" style="60" bestFit="1" customWidth="1"/>
    <col min="7230" max="7232" width="8.7109375" style="60" bestFit="1" customWidth="1"/>
    <col min="7233" max="7234" width="10" style="60" bestFit="1" customWidth="1"/>
    <col min="7235" max="7237" width="8.7109375" style="60" bestFit="1" customWidth="1"/>
    <col min="7238" max="7239" width="10" style="60" bestFit="1" customWidth="1"/>
    <col min="7240" max="7242" width="8.7109375" style="60" customWidth="1"/>
    <col min="7243" max="7243" width="10" style="60" customWidth="1"/>
    <col min="7244" max="7244" width="10" style="60" bestFit="1" customWidth="1"/>
    <col min="7245" max="7247" width="8.7109375" style="60" customWidth="1"/>
    <col min="7248" max="7248" width="10" style="60" customWidth="1"/>
    <col min="7249" max="7249" width="10" style="60" bestFit="1" customWidth="1"/>
    <col min="7250" max="7253" width="0" style="60" hidden="1" customWidth="1"/>
    <col min="7254" max="7254" width="10" style="60" bestFit="1" customWidth="1"/>
    <col min="7255" max="7258" width="0" style="60" hidden="1" customWidth="1"/>
    <col min="7259" max="7259" width="10" style="60" customWidth="1"/>
    <col min="7260" max="7263" width="0" style="60" hidden="1" customWidth="1"/>
    <col min="7264" max="7264" width="10" style="60" customWidth="1"/>
    <col min="7265" max="7268" width="0" style="60" hidden="1" customWidth="1"/>
    <col min="7269" max="7269" width="10" style="60" customWidth="1"/>
    <col min="7270" max="7294" width="0" style="60" hidden="1" customWidth="1"/>
    <col min="7295" max="7439" width="10.28515625" style="60"/>
    <col min="7440" max="7440" width="60" style="60" customWidth="1"/>
    <col min="7441" max="7484" width="0" style="60" hidden="1" customWidth="1"/>
    <col min="7485" max="7485" width="10" style="60" bestFit="1" customWidth="1"/>
    <col min="7486" max="7488" width="8.7109375" style="60" bestFit="1" customWidth="1"/>
    <col min="7489" max="7490" width="10" style="60" bestFit="1" customWidth="1"/>
    <col min="7491" max="7493" width="8.7109375" style="60" bestFit="1" customWidth="1"/>
    <col min="7494" max="7495" width="10" style="60" bestFit="1" customWidth="1"/>
    <col min="7496" max="7498" width="8.7109375" style="60" customWidth="1"/>
    <col min="7499" max="7499" width="10" style="60" customWidth="1"/>
    <col min="7500" max="7500" width="10" style="60" bestFit="1" customWidth="1"/>
    <col min="7501" max="7503" width="8.7109375" style="60" customWidth="1"/>
    <col min="7504" max="7504" width="10" style="60" customWidth="1"/>
    <col min="7505" max="7505" width="10" style="60" bestFit="1" customWidth="1"/>
    <col min="7506" max="7509" width="0" style="60" hidden="1" customWidth="1"/>
    <col min="7510" max="7510" width="10" style="60" bestFit="1" customWidth="1"/>
    <col min="7511" max="7514" width="0" style="60" hidden="1" customWidth="1"/>
    <col min="7515" max="7515" width="10" style="60" customWidth="1"/>
    <col min="7516" max="7519" width="0" style="60" hidden="1" customWidth="1"/>
    <col min="7520" max="7520" width="10" style="60" customWidth="1"/>
    <col min="7521" max="7524" width="0" style="60" hidden="1" customWidth="1"/>
    <col min="7525" max="7525" width="10" style="60" customWidth="1"/>
    <col min="7526" max="7550" width="0" style="60" hidden="1" customWidth="1"/>
    <col min="7551" max="7695" width="10.28515625" style="60"/>
    <col min="7696" max="7696" width="60" style="60" customWidth="1"/>
    <col min="7697" max="7740" width="0" style="60" hidden="1" customWidth="1"/>
    <col min="7741" max="7741" width="10" style="60" bestFit="1" customWidth="1"/>
    <col min="7742" max="7744" width="8.7109375" style="60" bestFit="1" customWidth="1"/>
    <col min="7745" max="7746" width="10" style="60" bestFit="1" customWidth="1"/>
    <col min="7747" max="7749" width="8.7109375" style="60" bestFit="1" customWidth="1"/>
    <col min="7750" max="7751" width="10" style="60" bestFit="1" customWidth="1"/>
    <col min="7752" max="7754" width="8.7109375" style="60" customWidth="1"/>
    <col min="7755" max="7755" width="10" style="60" customWidth="1"/>
    <col min="7756" max="7756" width="10" style="60" bestFit="1" customWidth="1"/>
    <col min="7757" max="7759" width="8.7109375" style="60" customWidth="1"/>
    <col min="7760" max="7760" width="10" style="60" customWidth="1"/>
    <col min="7761" max="7761" width="10" style="60" bestFit="1" customWidth="1"/>
    <col min="7762" max="7765" width="0" style="60" hidden="1" customWidth="1"/>
    <col min="7766" max="7766" width="10" style="60" bestFit="1" customWidth="1"/>
    <col min="7767" max="7770" width="0" style="60" hidden="1" customWidth="1"/>
    <col min="7771" max="7771" width="10" style="60" customWidth="1"/>
    <col min="7772" max="7775" width="0" style="60" hidden="1" customWidth="1"/>
    <col min="7776" max="7776" width="10" style="60" customWidth="1"/>
    <col min="7777" max="7780" width="0" style="60" hidden="1" customWidth="1"/>
    <col min="7781" max="7781" width="10" style="60" customWidth="1"/>
    <col min="7782" max="7806" width="0" style="60" hidden="1" customWidth="1"/>
    <col min="7807" max="7951" width="10.28515625" style="60"/>
    <col min="7952" max="7952" width="60" style="60" customWidth="1"/>
    <col min="7953" max="7996" width="0" style="60" hidden="1" customWidth="1"/>
    <col min="7997" max="7997" width="10" style="60" bestFit="1" customWidth="1"/>
    <col min="7998" max="8000" width="8.7109375" style="60" bestFit="1" customWidth="1"/>
    <col min="8001" max="8002" width="10" style="60" bestFit="1" customWidth="1"/>
    <col min="8003" max="8005" width="8.7109375" style="60" bestFit="1" customWidth="1"/>
    <col min="8006" max="8007" width="10" style="60" bestFit="1" customWidth="1"/>
    <col min="8008" max="8010" width="8.7109375" style="60" customWidth="1"/>
    <col min="8011" max="8011" width="10" style="60" customWidth="1"/>
    <col min="8012" max="8012" width="10" style="60" bestFit="1" customWidth="1"/>
    <col min="8013" max="8015" width="8.7109375" style="60" customWidth="1"/>
    <col min="8016" max="8016" width="10" style="60" customWidth="1"/>
    <col min="8017" max="8017" width="10" style="60" bestFit="1" customWidth="1"/>
    <col min="8018" max="8021" width="0" style="60" hidden="1" customWidth="1"/>
    <col min="8022" max="8022" width="10" style="60" bestFit="1" customWidth="1"/>
    <col min="8023" max="8026" width="0" style="60" hidden="1" customWidth="1"/>
    <col min="8027" max="8027" width="10" style="60" customWidth="1"/>
    <col min="8028" max="8031" width="0" style="60" hidden="1" customWidth="1"/>
    <col min="8032" max="8032" width="10" style="60" customWidth="1"/>
    <col min="8033" max="8036" width="0" style="60" hidden="1" customWidth="1"/>
    <col min="8037" max="8037" width="10" style="60" customWidth="1"/>
    <col min="8038" max="8062" width="0" style="60" hidden="1" customWidth="1"/>
    <col min="8063" max="8207" width="10.28515625" style="60"/>
    <col min="8208" max="8208" width="60" style="60" customWidth="1"/>
    <col min="8209" max="8252" width="0" style="60" hidden="1" customWidth="1"/>
    <col min="8253" max="8253" width="10" style="60" bestFit="1" customWidth="1"/>
    <col min="8254" max="8256" width="8.7109375" style="60" bestFit="1" customWidth="1"/>
    <col min="8257" max="8258" width="10" style="60" bestFit="1" customWidth="1"/>
    <col min="8259" max="8261" width="8.7109375" style="60" bestFit="1" customWidth="1"/>
    <col min="8262" max="8263" width="10" style="60" bestFit="1" customWidth="1"/>
    <col min="8264" max="8266" width="8.7109375" style="60" customWidth="1"/>
    <col min="8267" max="8267" width="10" style="60" customWidth="1"/>
    <col min="8268" max="8268" width="10" style="60" bestFit="1" customWidth="1"/>
    <col min="8269" max="8271" width="8.7109375" style="60" customWidth="1"/>
    <col min="8272" max="8272" width="10" style="60" customWidth="1"/>
    <col min="8273" max="8273" width="10" style="60" bestFit="1" customWidth="1"/>
    <col min="8274" max="8277" width="0" style="60" hidden="1" customWidth="1"/>
    <col min="8278" max="8278" width="10" style="60" bestFit="1" customWidth="1"/>
    <col min="8279" max="8282" width="0" style="60" hidden="1" customWidth="1"/>
    <col min="8283" max="8283" width="10" style="60" customWidth="1"/>
    <col min="8284" max="8287" width="0" style="60" hidden="1" customWidth="1"/>
    <col min="8288" max="8288" width="10" style="60" customWidth="1"/>
    <col min="8289" max="8292" width="0" style="60" hidden="1" customWidth="1"/>
    <col min="8293" max="8293" width="10" style="60" customWidth="1"/>
    <col min="8294" max="8318" width="0" style="60" hidden="1" customWidth="1"/>
    <col min="8319" max="8463" width="10.28515625" style="60"/>
    <col min="8464" max="8464" width="60" style="60" customWidth="1"/>
    <col min="8465" max="8508" width="0" style="60" hidden="1" customWidth="1"/>
    <col min="8509" max="8509" width="10" style="60" bestFit="1" customWidth="1"/>
    <col min="8510" max="8512" width="8.7109375" style="60" bestFit="1" customWidth="1"/>
    <col min="8513" max="8514" width="10" style="60" bestFit="1" customWidth="1"/>
    <col min="8515" max="8517" width="8.7109375" style="60" bestFit="1" customWidth="1"/>
    <col min="8518" max="8519" width="10" style="60" bestFit="1" customWidth="1"/>
    <col min="8520" max="8522" width="8.7109375" style="60" customWidth="1"/>
    <col min="8523" max="8523" width="10" style="60" customWidth="1"/>
    <col min="8524" max="8524" width="10" style="60" bestFit="1" customWidth="1"/>
    <col min="8525" max="8527" width="8.7109375" style="60" customWidth="1"/>
    <col min="8528" max="8528" width="10" style="60" customWidth="1"/>
    <col min="8529" max="8529" width="10" style="60" bestFit="1" customWidth="1"/>
    <col min="8530" max="8533" width="0" style="60" hidden="1" customWidth="1"/>
    <col min="8534" max="8534" width="10" style="60" bestFit="1" customWidth="1"/>
    <col min="8535" max="8538" width="0" style="60" hidden="1" customWidth="1"/>
    <col min="8539" max="8539" width="10" style="60" customWidth="1"/>
    <col min="8540" max="8543" width="0" style="60" hidden="1" customWidth="1"/>
    <col min="8544" max="8544" width="10" style="60" customWidth="1"/>
    <col min="8545" max="8548" width="0" style="60" hidden="1" customWidth="1"/>
    <col min="8549" max="8549" width="10" style="60" customWidth="1"/>
    <col min="8550" max="8574" width="0" style="60" hidden="1" customWidth="1"/>
    <col min="8575" max="8719" width="10.28515625" style="60"/>
    <col min="8720" max="8720" width="60" style="60" customWidth="1"/>
    <col min="8721" max="8764" width="0" style="60" hidden="1" customWidth="1"/>
    <col min="8765" max="8765" width="10" style="60" bestFit="1" customWidth="1"/>
    <col min="8766" max="8768" width="8.7109375" style="60" bestFit="1" customWidth="1"/>
    <col min="8769" max="8770" width="10" style="60" bestFit="1" customWidth="1"/>
    <col min="8771" max="8773" width="8.7109375" style="60" bestFit="1" customWidth="1"/>
    <col min="8774" max="8775" width="10" style="60" bestFit="1" customWidth="1"/>
    <col min="8776" max="8778" width="8.7109375" style="60" customWidth="1"/>
    <col min="8779" max="8779" width="10" style="60" customWidth="1"/>
    <col min="8780" max="8780" width="10" style="60" bestFit="1" customWidth="1"/>
    <col min="8781" max="8783" width="8.7109375" style="60" customWidth="1"/>
    <col min="8784" max="8784" width="10" style="60" customWidth="1"/>
    <col min="8785" max="8785" width="10" style="60" bestFit="1" customWidth="1"/>
    <col min="8786" max="8789" width="0" style="60" hidden="1" customWidth="1"/>
    <col min="8790" max="8790" width="10" style="60" bestFit="1" customWidth="1"/>
    <col min="8791" max="8794" width="0" style="60" hidden="1" customWidth="1"/>
    <col min="8795" max="8795" width="10" style="60" customWidth="1"/>
    <col min="8796" max="8799" width="0" style="60" hidden="1" customWidth="1"/>
    <col min="8800" max="8800" width="10" style="60" customWidth="1"/>
    <col min="8801" max="8804" width="0" style="60" hidden="1" customWidth="1"/>
    <col min="8805" max="8805" width="10" style="60" customWidth="1"/>
    <col min="8806" max="8830" width="0" style="60" hidden="1" customWidth="1"/>
    <col min="8831" max="8975" width="10.28515625" style="60"/>
    <col min="8976" max="8976" width="60" style="60" customWidth="1"/>
    <col min="8977" max="9020" width="0" style="60" hidden="1" customWidth="1"/>
    <col min="9021" max="9021" width="10" style="60" bestFit="1" customWidth="1"/>
    <col min="9022" max="9024" width="8.7109375" style="60" bestFit="1" customWidth="1"/>
    <col min="9025" max="9026" width="10" style="60" bestFit="1" customWidth="1"/>
    <col min="9027" max="9029" width="8.7109375" style="60" bestFit="1" customWidth="1"/>
    <col min="9030" max="9031" width="10" style="60" bestFit="1" customWidth="1"/>
    <col min="9032" max="9034" width="8.7109375" style="60" customWidth="1"/>
    <col min="9035" max="9035" width="10" style="60" customWidth="1"/>
    <col min="9036" max="9036" width="10" style="60" bestFit="1" customWidth="1"/>
    <col min="9037" max="9039" width="8.7109375" style="60" customWidth="1"/>
    <col min="9040" max="9040" width="10" style="60" customWidth="1"/>
    <col min="9041" max="9041" width="10" style="60" bestFit="1" customWidth="1"/>
    <col min="9042" max="9045" width="0" style="60" hidden="1" customWidth="1"/>
    <col min="9046" max="9046" width="10" style="60" bestFit="1" customWidth="1"/>
    <col min="9047" max="9050" width="0" style="60" hidden="1" customWidth="1"/>
    <col min="9051" max="9051" width="10" style="60" customWidth="1"/>
    <col min="9052" max="9055" width="0" style="60" hidden="1" customWidth="1"/>
    <col min="9056" max="9056" width="10" style="60" customWidth="1"/>
    <col min="9057" max="9060" width="0" style="60" hidden="1" customWidth="1"/>
    <col min="9061" max="9061" width="10" style="60" customWidth="1"/>
    <col min="9062" max="9086" width="0" style="60" hidden="1" customWidth="1"/>
    <col min="9087" max="9231" width="10.28515625" style="60"/>
    <col min="9232" max="9232" width="60" style="60" customWidth="1"/>
    <col min="9233" max="9276" width="0" style="60" hidden="1" customWidth="1"/>
    <col min="9277" max="9277" width="10" style="60" bestFit="1" customWidth="1"/>
    <col min="9278" max="9280" width="8.7109375" style="60" bestFit="1" customWidth="1"/>
    <col min="9281" max="9282" width="10" style="60" bestFit="1" customWidth="1"/>
    <col min="9283" max="9285" width="8.7109375" style="60" bestFit="1" customWidth="1"/>
    <col min="9286" max="9287" width="10" style="60" bestFit="1" customWidth="1"/>
    <col min="9288" max="9290" width="8.7109375" style="60" customWidth="1"/>
    <col min="9291" max="9291" width="10" style="60" customWidth="1"/>
    <col min="9292" max="9292" width="10" style="60" bestFit="1" customWidth="1"/>
    <col min="9293" max="9295" width="8.7109375" style="60" customWidth="1"/>
    <col min="9296" max="9296" width="10" style="60" customWidth="1"/>
    <col min="9297" max="9297" width="10" style="60" bestFit="1" customWidth="1"/>
    <col min="9298" max="9301" width="0" style="60" hidden="1" customWidth="1"/>
    <col min="9302" max="9302" width="10" style="60" bestFit="1" customWidth="1"/>
    <col min="9303" max="9306" width="0" style="60" hidden="1" customWidth="1"/>
    <col min="9307" max="9307" width="10" style="60" customWidth="1"/>
    <col min="9308" max="9311" width="0" style="60" hidden="1" customWidth="1"/>
    <col min="9312" max="9312" width="10" style="60" customWidth="1"/>
    <col min="9313" max="9316" width="0" style="60" hidden="1" customWidth="1"/>
    <col min="9317" max="9317" width="10" style="60" customWidth="1"/>
    <col min="9318" max="9342" width="0" style="60" hidden="1" customWidth="1"/>
    <col min="9343" max="9487" width="10.28515625" style="60"/>
    <col min="9488" max="9488" width="60" style="60" customWidth="1"/>
    <col min="9489" max="9532" width="0" style="60" hidden="1" customWidth="1"/>
    <col min="9533" max="9533" width="10" style="60" bestFit="1" customWidth="1"/>
    <col min="9534" max="9536" width="8.7109375" style="60" bestFit="1" customWidth="1"/>
    <col min="9537" max="9538" width="10" style="60" bestFit="1" customWidth="1"/>
    <col min="9539" max="9541" width="8.7109375" style="60" bestFit="1" customWidth="1"/>
    <col min="9542" max="9543" width="10" style="60" bestFit="1" customWidth="1"/>
    <col min="9544" max="9546" width="8.7109375" style="60" customWidth="1"/>
    <col min="9547" max="9547" width="10" style="60" customWidth="1"/>
    <col min="9548" max="9548" width="10" style="60" bestFit="1" customWidth="1"/>
    <col min="9549" max="9551" width="8.7109375" style="60" customWidth="1"/>
    <col min="9552" max="9552" width="10" style="60" customWidth="1"/>
    <col min="9553" max="9553" width="10" style="60" bestFit="1" customWidth="1"/>
    <col min="9554" max="9557" width="0" style="60" hidden="1" customWidth="1"/>
    <col min="9558" max="9558" width="10" style="60" bestFit="1" customWidth="1"/>
    <col min="9559" max="9562" width="0" style="60" hidden="1" customWidth="1"/>
    <col min="9563" max="9563" width="10" style="60" customWidth="1"/>
    <col min="9564" max="9567" width="0" style="60" hidden="1" customWidth="1"/>
    <col min="9568" max="9568" width="10" style="60" customWidth="1"/>
    <col min="9569" max="9572" width="0" style="60" hidden="1" customWidth="1"/>
    <col min="9573" max="9573" width="10" style="60" customWidth="1"/>
    <col min="9574" max="9598" width="0" style="60" hidden="1" customWidth="1"/>
    <col min="9599" max="9743" width="10.28515625" style="60"/>
    <col min="9744" max="9744" width="60" style="60" customWidth="1"/>
    <col min="9745" max="9788" width="0" style="60" hidden="1" customWidth="1"/>
    <col min="9789" max="9789" width="10" style="60" bestFit="1" customWidth="1"/>
    <col min="9790" max="9792" width="8.7109375" style="60" bestFit="1" customWidth="1"/>
    <col min="9793" max="9794" width="10" style="60" bestFit="1" customWidth="1"/>
    <col min="9795" max="9797" width="8.7109375" style="60" bestFit="1" customWidth="1"/>
    <col min="9798" max="9799" width="10" style="60" bestFit="1" customWidth="1"/>
    <col min="9800" max="9802" width="8.7109375" style="60" customWidth="1"/>
    <col min="9803" max="9803" width="10" style="60" customWidth="1"/>
    <col min="9804" max="9804" width="10" style="60" bestFit="1" customWidth="1"/>
    <col min="9805" max="9807" width="8.7109375" style="60" customWidth="1"/>
    <col min="9808" max="9808" width="10" style="60" customWidth="1"/>
    <col min="9809" max="9809" width="10" style="60" bestFit="1" customWidth="1"/>
    <col min="9810" max="9813" width="0" style="60" hidden="1" customWidth="1"/>
    <col min="9814" max="9814" width="10" style="60" bestFit="1" customWidth="1"/>
    <col min="9815" max="9818" width="0" style="60" hidden="1" customWidth="1"/>
    <col min="9819" max="9819" width="10" style="60" customWidth="1"/>
    <col min="9820" max="9823" width="0" style="60" hidden="1" customWidth="1"/>
    <col min="9824" max="9824" width="10" style="60" customWidth="1"/>
    <col min="9825" max="9828" width="0" style="60" hidden="1" customWidth="1"/>
    <col min="9829" max="9829" width="10" style="60" customWidth="1"/>
    <col min="9830" max="9854" width="0" style="60" hidden="1" customWidth="1"/>
    <col min="9855" max="9999" width="10.28515625" style="60"/>
    <col min="10000" max="10000" width="60" style="60" customWidth="1"/>
    <col min="10001" max="10044" width="0" style="60" hidden="1" customWidth="1"/>
    <col min="10045" max="10045" width="10" style="60" bestFit="1" customWidth="1"/>
    <col min="10046" max="10048" width="8.7109375" style="60" bestFit="1" customWidth="1"/>
    <col min="10049" max="10050" width="10" style="60" bestFit="1" customWidth="1"/>
    <col min="10051" max="10053" width="8.7109375" style="60" bestFit="1" customWidth="1"/>
    <col min="10054" max="10055" width="10" style="60" bestFit="1" customWidth="1"/>
    <col min="10056" max="10058" width="8.7109375" style="60" customWidth="1"/>
    <col min="10059" max="10059" width="10" style="60" customWidth="1"/>
    <col min="10060" max="10060" width="10" style="60" bestFit="1" customWidth="1"/>
    <col min="10061" max="10063" width="8.7109375" style="60" customWidth="1"/>
    <col min="10064" max="10064" width="10" style="60" customWidth="1"/>
    <col min="10065" max="10065" width="10" style="60" bestFit="1" customWidth="1"/>
    <col min="10066" max="10069" width="0" style="60" hidden="1" customWidth="1"/>
    <col min="10070" max="10070" width="10" style="60" bestFit="1" customWidth="1"/>
    <col min="10071" max="10074" width="0" style="60" hidden="1" customWidth="1"/>
    <col min="10075" max="10075" width="10" style="60" customWidth="1"/>
    <col min="10076" max="10079" width="0" style="60" hidden="1" customWidth="1"/>
    <col min="10080" max="10080" width="10" style="60" customWidth="1"/>
    <col min="10081" max="10084" width="0" style="60" hidden="1" customWidth="1"/>
    <col min="10085" max="10085" width="10" style="60" customWidth="1"/>
    <col min="10086" max="10110" width="0" style="60" hidden="1" customWidth="1"/>
    <col min="10111" max="10255" width="10.28515625" style="60"/>
    <col min="10256" max="10256" width="60" style="60" customWidth="1"/>
    <col min="10257" max="10300" width="0" style="60" hidden="1" customWidth="1"/>
    <col min="10301" max="10301" width="10" style="60" bestFit="1" customWidth="1"/>
    <col min="10302" max="10304" width="8.7109375" style="60" bestFit="1" customWidth="1"/>
    <col min="10305" max="10306" width="10" style="60" bestFit="1" customWidth="1"/>
    <col min="10307" max="10309" width="8.7109375" style="60" bestFit="1" customWidth="1"/>
    <col min="10310" max="10311" width="10" style="60" bestFit="1" customWidth="1"/>
    <col min="10312" max="10314" width="8.7109375" style="60" customWidth="1"/>
    <col min="10315" max="10315" width="10" style="60" customWidth="1"/>
    <col min="10316" max="10316" width="10" style="60" bestFit="1" customWidth="1"/>
    <col min="10317" max="10319" width="8.7109375" style="60" customWidth="1"/>
    <col min="10320" max="10320" width="10" style="60" customWidth="1"/>
    <col min="10321" max="10321" width="10" style="60" bestFit="1" customWidth="1"/>
    <col min="10322" max="10325" width="0" style="60" hidden="1" customWidth="1"/>
    <col min="10326" max="10326" width="10" style="60" bestFit="1" customWidth="1"/>
    <col min="10327" max="10330" width="0" style="60" hidden="1" customWidth="1"/>
    <col min="10331" max="10331" width="10" style="60" customWidth="1"/>
    <col min="10332" max="10335" width="0" style="60" hidden="1" customWidth="1"/>
    <col min="10336" max="10336" width="10" style="60" customWidth="1"/>
    <col min="10337" max="10340" width="0" style="60" hidden="1" customWidth="1"/>
    <col min="10341" max="10341" width="10" style="60" customWidth="1"/>
    <col min="10342" max="10366" width="0" style="60" hidden="1" customWidth="1"/>
    <col min="10367" max="10511" width="10.28515625" style="60"/>
    <col min="10512" max="10512" width="60" style="60" customWidth="1"/>
    <col min="10513" max="10556" width="0" style="60" hidden="1" customWidth="1"/>
    <col min="10557" max="10557" width="10" style="60" bestFit="1" customWidth="1"/>
    <col min="10558" max="10560" width="8.7109375" style="60" bestFit="1" customWidth="1"/>
    <col min="10561" max="10562" width="10" style="60" bestFit="1" customWidth="1"/>
    <col min="10563" max="10565" width="8.7109375" style="60" bestFit="1" customWidth="1"/>
    <col min="10566" max="10567" width="10" style="60" bestFit="1" customWidth="1"/>
    <col min="10568" max="10570" width="8.7109375" style="60" customWidth="1"/>
    <col min="10571" max="10571" width="10" style="60" customWidth="1"/>
    <col min="10572" max="10572" width="10" style="60" bestFit="1" customWidth="1"/>
    <col min="10573" max="10575" width="8.7109375" style="60" customWidth="1"/>
    <col min="10576" max="10576" width="10" style="60" customWidth="1"/>
    <col min="10577" max="10577" width="10" style="60" bestFit="1" customWidth="1"/>
    <col min="10578" max="10581" width="0" style="60" hidden="1" customWidth="1"/>
    <col min="10582" max="10582" width="10" style="60" bestFit="1" customWidth="1"/>
    <col min="10583" max="10586" width="0" style="60" hidden="1" customWidth="1"/>
    <col min="10587" max="10587" width="10" style="60" customWidth="1"/>
    <col min="10588" max="10591" width="0" style="60" hidden="1" customWidth="1"/>
    <col min="10592" max="10592" width="10" style="60" customWidth="1"/>
    <col min="10593" max="10596" width="0" style="60" hidden="1" customWidth="1"/>
    <col min="10597" max="10597" width="10" style="60" customWidth="1"/>
    <col min="10598" max="10622" width="0" style="60" hidden="1" customWidth="1"/>
    <col min="10623" max="10767" width="10.28515625" style="60"/>
    <col min="10768" max="10768" width="60" style="60" customWidth="1"/>
    <col min="10769" max="10812" width="0" style="60" hidden="1" customWidth="1"/>
    <col min="10813" max="10813" width="10" style="60" bestFit="1" customWidth="1"/>
    <col min="10814" max="10816" width="8.7109375" style="60" bestFit="1" customWidth="1"/>
    <col min="10817" max="10818" width="10" style="60" bestFit="1" customWidth="1"/>
    <col min="10819" max="10821" width="8.7109375" style="60" bestFit="1" customWidth="1"/>
    <col min="10822" max="10823" width="10" style="60" bestFit="1" customWidth="1"/>
    <col min="10824" max="10826" width="8.7109375" style="60" customWidth="1"/>
    <col min="10827" max="10827" width="10" style="60" customWidth="1"/>
    <col min="10828" max="10828" width="10" style="60" bestFit="1" customWidth="1"/>
    <col min="10829" max="10831" width="8.7109375" style="60" customWidth="1"/>
    <col min="10832" max="10832" width="10" style="60" customWidth="1"/>
    <col min="10833" max="10833" width="10" style="60" bestFit="1" customWidth="1"/>
    <col min="10834" max="10837" width="0" style="60" hidden="1" customWidth="1"/>
    <col min="10838" max="10838" width="10" style="60" bestFit="1" customWidth="1"/>
    <col min="10839" max="10842" width="0" style="60" hidden="1" customWidth="1"/>
    <col min="10843" max="10843" width="10" style="60" customWidth="1"/>
    <col min="10844" max="10847" width="0" style="60" hidden="1" customWidth="1"/>
    <col min="10848" max="10848" width="10" style="60" customWidth="1"/>
    <col min="10849" max="10852" width="0" style="60" hidden="1" customWidth="1"/>
    <col min="10853" max="10853" width="10" style="60" customWidth="1"/>
    <col min="10854" max="10878" width="0" style="60" hidden="1" customWidth="1"/>
    <col min="10879" max="11023" width="10.28515625" style="60"/>
    <col min="11024" max="11024" width="60" style="60" customWidth="1"/>
    <col min="11025" max="11068" width="0" style="60" hidden="1" customWidth="1"/>
    <col min="11069" max="11069" width="10" style="60" bestFit="1" customWidth="1"/>
    <col min="11070" max="11072" width="8.7109375" style="60" bestFit="1" customWidth="1"/>
    <col min="11073" max="11074" width="10" style="60" bestFit="1" customWidth="1"/>
    <col min="11075" max="11077" width="8.7109375" style="60" bestFit="1" customWidth="1"/>
    <col min="11078" max="11079" width="10" style="60" bestFit="1" customWidth="1"/>
    <col min="11080" max="11082" width="8.7109375" style="60" customWidth="1"/>
    <col min="11083" max="11083" width="10" style="60" customWidth="1"/>
    <col min="11084" max="11084" width="10" style="60" bestFit="1" customWidth="1"/>
    <col min="11085" max="11087" width="8.7109375" style="60" customWidth="1"/>
    <col min="11088" max="11088" width="10" style="60" customWidth="1"/>
    <col min="11089" max="11089" width="10" style="60" bestFit="1" customWidth="1"/>
    <col min="11090" max="11093" width="0" style="60" hidden="1" customWidth="1"/>
    <col min="11094" max="11094" width="10" style="60" bestFit="1" customWidth="1"/>
    <col min="11095" max="11098" width="0" style="60" hidden="1" customWidth="1"/>
    <col min="11099" max="11099" width="10" style="60" customWidth="1"/>
    <col min="11100" max="11103" width="0" style="60" hidden="1" customWidth="1"/>
    <col min="11104" max="11104" width="10" style="60" customWidth="1"/>
    <col min="11105" max="11108" width="0" style="60" hidden="1" customWidth="1"/>
    <col min="11109" max="11109" width="10" style="60" customWidth="1"/>
    <col min="11110" max="11134" width="0" style="60" hidden="1" customWidth="1"/>
    <col min="11135" max="11279" width="10.28515625" style="60"/>
    <col min="11280" max="11280" width="60" style="60" customWidth="1"/>
    <col min="11281" max="11324" width="0" style="60" hidden="1" customWidth="1"/>
    <col min="11325" max="11325" width="10" style="60" bestFit="1" customWidth="1"/>
    <col min="11326" max="11328" width="8.7109375" style="60" bestFit="1" customWidth="1"/>
    <col min="11329" max="11330" width="10" style="60" bestFit="1" customWidth="1"/>
    <col min="11331" max="11333" width="8.7109375" style="60" bestFit="1" customWidth="1"/>
    <col min="11334" max="11335" width="10" style="60" bestFit="1" customWidth="1"/>
    <col min="11336" max="11338" width="8.7109375" style="60" customWidth="1"/>
    <col min="11339" max="11339" width="10" style="60" customWidth="1"/>
    <col min="11340" max="11340" width="10" style="60" bestFit="1" customWidth="1"/>
    <col min="11341" max="11343" width="8.7109375" style="60" customWidth="1"/>
    <col min="11344" max="11344" width="10" style="60" customWidth="1"/>
    <col min="11345" max="11345" width="10" style="60" bestFit="1" customWidth="1"/>
    <col min="11346" max="11349" width="0" style="60" hidden="1" customWidth="1"/>
    <col min="11350" max="11350" width="10" style="60" bestFit="1" customWidth="1"/>
    <col min="11351" max="11354" width="0" style="60" hidden="1" customWidth="1"/>
    <col min="11355" max="11355" width="10" style="60" customWidth="1"/>
    <col min="11356" max="11359" width="0" style="60" hidden="1" customWidth="1"/>
    <col min="11360" max="11360" width="10" style="60" customWidth="1"/>
    <col min="11361" max="11364" width="0" style="60" hidden="1" customWidth="1"/>
    <col min="11365" max="11365" width="10" style="60" customWidth="1"/>
    <col min="11366" max="11390" width="0" style="60" hidden="1" customWidth="1"/>
    <col min="11391" max="11535" width="10.28515625" style="60"/>
    <col min="11536" max="11536" width="60" style="60" customWidth="1"/>
    <col min="11537" max="11580" width="0" style="60" hidden="1" customWidth="1"/>
    <col min="11581" max="11581" width="10" style="60" bestFit="1" customWidth="1"/>
    <col min="11582" max="11584" width="8.7109375" style="60" bestFit="1" customWidth="1"/>
    <col min="11585" max="11586" width="10" style="60" bestFit="1" customWidth="1"/>
    <col min="11587" max="11589" width="8.7109375" style="60" bestFit="1" customWidth="1"/>
    <col min="11590" max="11591" width="10" style="60" bestFit="1" customWidth="1"/>
    <col min="11592" max="11594" width="8.7109375" style="60" customWidth="1"/>
    <col min="11595" max="11595" width="10" style="60" customWidth="1"/>
    <col min="11596" max="11596" width="10" style="60" bestFit="1" customWidth="1"/>
    <col min="11597" max="11599" width="8.7109375" style="60" customWidth="1"/>
    <col min="11600" max="11600" width="10" style="60" customWidth="1"/>
    <col min="11601" max="11601" width="10" style="60" bestFit="1" customWidth="1"/>
    <col min="11602" max="11605" width="0" style="60" hidden="1" customWidth="1"/>
    <col min="11606" max="11606" width="10" style="60" bestFit="1" customWidth="1"/>
    <col min="11607" max="11610" width="0" style="60" hidden="1" customWidth="1"/>
    <col min="11611" max="11611" width="10" style="60" customWidth="1"/>
    <col min="11612" max="11615" width="0" style="60" hidden="1" customWidth="1"/>
    <col min="11616" max="11616" width="10" style="60" customWidth="1"/>
    <col min="11617" max="11620" width="0" style="60" hidden="1" customWidth="1"/>
    <col min="11621" max="11621" width="10" style="60" customWidth="1"/>
    <col min="11622" max="11646" width="0" style="60" hidden="1" customWidth="1"/>
    <col min="11647" max="11791" width="10.28515625" style="60"/>
    <col min="11792" max="11792" width="60" style="60" customWidth="1"/>
    <col min="11793" max="11836" width="0" style="60" hidden="1" customWidth="1"/>
    <col min="11837" max="11837" width="10" style="60" bestFit="1" customWidth="1"/>
    <col min="11838" max="11840" width="8.7109375" style="60" bestFit="1" customWidth="1"/>
    <col min="11841" max="11842" width="10" style="60" bestFit="1" customWidth="1"/>
    <col min="11843" max="11845" width="8.7109375" style="60" bestFit="1" customWidth="1"/>
    <col min="11846" max="11847" width="10" style="60" bestFit="1" customWidth="1"/>
    <col min="11848" max="11850" width="8.7109375" style="60" customWidth="1"/>
    <col min="11851" max="11851" width="10" style="60" customWidth="1"/>
    <col min="11852" max="11852" width="10" style="60" bestFit="1" customWidth="1"/>
    <col min="11853" max="11855" width="8.7109375" style="60" customWidth="1"/>
    <col min="11856" max="11856" width="10" style="60" customWidth="1"/>
    <col min="11857" max="11857" width="10" style="60" bestFit="1" customWidth="1"/>
    <col min="11858" max="11861" width="0" style="60" hidden="1" customWidth="1"/>
    <col min="11862" max="11862" width="10" style="60" bestFit="1" customWidth="1"/>
    <col min="11863" max="11866" width="0" style="60" hidden="1" customWidth="1"/>
    <col min="11867" max="11867" width="10" style="60" customWidth="1"/>
    <col min="11868" max="11871" width="0" style="60" hidden="1" customWidth="1"/>
    <col min="11872" max="11872" width="10" style="60" customWidth="1"/>
    <col min="11873" max="11876" width="0" style="60" hidden="1" customWidth="1"/>
    <col min="11877" max="11877" width="10" style="60" customWidth="1"/>
    <col min="11878" max="11902" width="0" style="60" hidden="1" customWidth="1"/>
    <col min="11903" max="12047" width="10.28515625" style="60"/>
    <col min="12048" max="12048" width="60" style="60" customWidth="1"/>
    <col min="12049" max="12092" width="0" style="60" hidden="1" customWidth="1"/>
    <col min="12093" max="12093" width="10" style="60" bestFit="1" customWidth="1"/>
    <col min="12094" max="12096" width="8.7109375" style="60" bestFit="1" customWidth="1"/>
    <col min="12097" max="12098" width="10" style="60" bestFit="1" customWidth="1"/>
    <col min="12099" max="12101" width="8.7109375" style="60" bestFit="1" customWidth="1"/>
    <col min="12102" max="12103" width="10" style="60" bestFit="1" customWidth="1"/>
    <col min="12104" max="12106" width="8.7109375" style="60" customWidth="1"/>
    <col min="12107" max="12107" width="10" style="60" customWidth="1"/>
    <col min="12108" max="12108" width="10" style="60" bestFit="1" customWidth="1"/>
    <col min="12109" max="12111" width="8.7109375" style="60" customWidth="1"/>
    <col min="12112" max="12112" width="10" style="60" customWidth="1"/>
    <col min="12113" max="12113" width="10" style="60" bestFit="1" customWidth="1"/>
    <col min="12114" max="12117" width="0" style="60" hidden="1" customWidth="1"/>
    <col min="12118" max="12118" width="10" style="60" bestFit="1" customWidth="1"/>
    <col min="12119" max="12122" width="0" style="60" hidden="1" customWidth="1"/>
    <col min="12123" max="12123" width="10" style="60" customWidth="1"/>
    <col min="12124" max="12127" width="0" style="60" hidden="1" customWidth="1"/>
    <col min="12128" max="12128" width="10" style="60" customWidth="1"/>
    <col min="12129" max="12132" width="0" style="60" hidden="1" customWidth="1"/>
    <col min="12133" max="12133" width="10" style="60" customWidth="1"/>
    <col min="12134" max="12158" width="0" style="60" hidden="1" customWidth="1"/>
    <col min="12159" max="12303" width="10.28515625" style="60"/>
    <col min="12304" max="12304" width="60" style="60" customWidth="1"/>
    <col min="12305" max="12348" width="0" style="60" hidden="1" customWidth="1"/>
    <col min="12349" max="12349" width="10" style="60" bestFit="1" customWidth="1"/>
    <col min="12350" max="12352" width="8.7109375" style="60" bestFit="1" customWidth="1"/>
    <col min="12353" max="12354" width="10" style="60" bestFit="1" customWidth="1"/>
    <col min="12355" max="12357" width="8.7109375" style="60" bestFit="1" customWidth="1"/>
    <col min="12358" max="12359" width="10" style="60" bestFit="1" customWidth="1"/>
    <col min="12360" max="12362" width="8.7109375" style="60" customWidth="1"/>
    <col min="12363" max="12363" width="10" style="60" customWidth="1"/>
    <col min="12364" max="12364" width="10" style="60" bestFit="1" customWidth="1"/>
    <col min="12365" max="12367" width="8.7109375" style="60" customWidth="1"/>
    <col min="12368" max="12368" width="10" style="60" customWidth="1"/>
    <col min="12369" max="12369" width="10" style="60" bestFit="1" customWidth="1"/>
    <col min="12370" max="12373" width="0" style="60" hidden="1" customWidth="1"/>
    <col min="12374" max="12374" width="10" style="60" bestFit="1" customWidth="1"/>
    <col min="12375" max="12378" width="0" style="60" hidden="1" customWidth="1"/>
    <col min="12379" max="12379" width="10" style="60" customWidth="1"/>
    <col min="12380" max="12383" width="0" style="60" hidden="1" customWidth="1"/>
    <col min="12384" max="12384" width="10" style="60" customWidth="1"/>
    <col min="12385" max="12388" width="0" style="60" hidden="1" customWidth="1"/>
    <col min="12389" max="12389" width="10" style="60" customWidth="1"/>
    <col min="12390" max="12414" width="0" style="60" hidden="1" customWidth="1"/>
    <col min="12415" max="12559" width="10.28515625" style="60"/>
    <col min="12560" max="12560" width="60" style="60" customWidth="1"/>
    <col min="12561" max="12604" width="0" style="60" hidden="1" customWidth="1"/>
    <col min="12605" max="12605" width="10" style="60" bestFit="1" customWidth="1"/>
    <col min="12606" max="12608" width="8.7109375" style="60" bestFit="1" customWidth="1"/>
    <col min="12609" max="12610" width="10" style="60" bestFit="1" customWidth="1"/>
    <col min="12611" max="12613" width="8.7109375" style="60" bestFit="1" customWidth="1"/>
    <col min="12614" max="12615" width="10" style="60" bestFit="1" customWidth="1"/>
    <col min="12616" max="12618" width="8.7109375" style="60" customWidth="1"/>
    <col min="12619" max="12619" width="10" style="60" customWidth="1"/>
    <col min="12620" max="12620" width="10" style="60" bestFit="1" customWidth="1"/>
    <col min="12621" max="12623" width="8.7109375" style="60" customWidth="1"/>
    <col min="12624" max="12624" width="10" style="60" customWidth="1"/>
    <col min="12625" max="12625" width="10" style="60" bestFit="1" customWidth="1"/>
    <col min="12626" max="12629" width="0" style="60" hidden="1" customWidth="1"/>
    <col min="12630" max="12630" width="10" style="60" bestFit="1" customWidth="1"/>
    <col min="12631" max="12634" width="0" style="60" hidden="1" customWidth="1"/>
    <col min="12635" max="12635" width="10" style="60" customWidth="1"/>
    <col min="12636" max="12639" width="0" style="60" hidden="1" customWidth="1"/>
    <col min="12640" max="12640" width="10" style="60" customWidth="1"/>
    <col min="12641" max="12644" width="0" style="60" hidden="1" customWidth="1"/>
    <col min="12645" max="12645" width="10" style="60" customWidth="1"/>
    <col min="12646" max="12670" width="0" style="60" hidden="1" customWidth="1"/>
    <col min="12671" max="12815" width="10.28515625" style="60"/>
    <col min="12816" max="12816" width="60" style="60" customWidth="1"/>
    <col min="12817" max="12860" width="0" style="60" hidden="1" customWidth="1"/>
    <col min="12861" max="12861" width="10" style="60" bestFit="1" customWidth="1"/>
    <col min="12862" max="12864" width="8.7109375" style="60" bestFit="1" customWidth="1"/>
    <col min="12865" max="12866" width="10" style="60" bestFit="1" customWidth="1"/>
    <col min="12867" max="12869" width="8.7109375" style="60" bestFit="1" customWidth="1"/>
    <col min="12870" max="12871" width="10" style="60" bestFit="1" customWidth="1"/>
    <col min="12872" max="12874" width="8.7109375" style="60" customWidth="1"/>
    <col min="12875" max="12875" width="10" style="60" customWidth="1"/>
    <col min="12876" max="12876" width="10" style="60" bestFit="1" customWidth="1"/>
    <col min="12877" max="12879" width="8.7109375" style="60" customWidth="1"/>
    <col min="12880" max="12880" width="10" style="60" customWidth="1"/>
    <col min="12881" max="12881" width="10" style="60" bestFit="1" customWidth="1"/>
    <col min="12882" max="12885" width="0" style="60" hidden="1" customWidth="1"/>
    <col min="12886" max="12886" width="10" style="60" bestFit="1" customWidth="1"/>
    <col min="12887" max="12890" width="0" style="60" hidden="1" customWidth="1"/>
    <col min="12891" max="12891" width="10" style="60" customWidth="1"/>
    <col min="12892" max="12895" width="0" style="60" hidden="1" customWidth="1"/>
    <col min="12896" max="12896" width="10" style="60" customWidth="1"/>
    <col min="12897" max="12900" width="0" style="60" hidden="1" customWidth="1"/>
    <col min="12901" max="12901" width="10" style="60" customWidth="1"/>
    <col min="12902" max="12926" width="0" style="60" hidden="1" customWidth="1"/>
    <col min="12927" max="13071" width="10.28515625" style="60"/>
    <col min="13072" max="13072" width="60" style="60" customWidth="1"/>
    <col min="13073" max="13116" width="0" style="60" hidden="1" customWidth="1"/>
    <col min="13117" max="13117" width="10" style="60" bestFit="1" customWidth="1"/>
    <col min="13118" max="13120" width="8.7109375" style="60" bestFit="1" customWidth="1"/>
    <col min="13121" max="13122" width="10" style="60" bestFit="1" customWidth="1"/>
    <col min="13123" max="13125" width="8.7109375" style="60" bestFit="1" customWidth="1"/>
    <col min="13126" max="13127" width="10" style="60" bestFit="1" customWidth="1"/>
    <col min="13128" max="13130" width="8.7109375" style="60" customWidth="1"/>
    <col min="13131" max="13131" width="10" style="60" customWidth="1"/>
    <col min="13132" max="13132" width="10" style="60" bestFit="1" customWidth="1"/>
    <col min="13133" max="13135" width="8.7109375" style="60" customWidth="1"/>
    <col min="13136" max="13136" width="10" style="60" customWidth="1"/>
    <col min="13137" max="13137" width="10" style="60" bestFit="1" customWidth="1"/>
    <col min="13138" max="13141" width="0" style="60" hidden="1" customWidth="1"/>
    <col min="13142" max="13142" width="10" style="60" bestFit="1" customWidth="1"/>
    <col min="13143" max="13146" width="0" style="60" hidden="1" customWidth="1"/>
    <col min="13147" max="13147" width="10" style="60" customWidth="1"/>
    <col min="13148" max="13151" width="0" style="60" hidden="1" customWidth="1"/>
    <col min="13152" max="13152" width="10" style="60" customWidth="1"/>
    <col min="13153" max="13156" width="0" style="60" hidden="1" customWidth="1"/>
    <col min="13157" max="13157" width="10" style="60" customWidth="1"/>
    <col min="13158" max="13182" width="0" style="60" hidden="1" customWidth="1"/>
    <col min="13183" max="13327" width="10.28515625" style="60"/>
    <col min="13328" max="13328" width="60" style="60" customWidth="1"/>
    <col min="13329" max="13372" width="0" style="60" hidden="1" customWidth="1"/>
    <col min="13373" max="13373" width="10" style="60" bestFit="1" customWidth="1"/>
    <col min="13374" max="13376" width="8.7109375" style="60" bestFit="1" customWidth="1"/>
    <col min="13377" max="13378" width="10" style="60" bestFit="1" customWidth="1"/>
    <col min="13379" max="13381" width="8.7109375" style="60" bestFit="1" customWidth="1"/>
    <col min="13382" max="13383" width="10" style="60" bestFit="1" customWidth="1"/>
    <col min="13384" max="13386" width="8.7109375" style="60" customWidth="1"/>
    <col min="13387" max="13387" width="10" style="60" customWidth="1"/>
    <col min="13388" max="13388" width="10" style="60" bestFit="1" customWidth="1"/>
    <col min="13389" max="13391" width="8.7109375" style="60" customWidth="1"/>
    <col min="13392" max="13392" width="10" style="60" customWidth="1"/>
    <col min="13393" max="13393" width="10" style="60" bestFit="1" customWidth="1"/>
    <col min="13394" max="13397" width="0" style="60" hidden="1" customWidth="1"/>
    <col min="13398" max="13398" width="10" style="60" bestFit="1" customWidth="1"/>
    <col min="13399" max="13402" width="0" style="60" hidden="1" customWidth="1"/>
    <col min="13403" max="13403" width="10" style="60" customWidth="1"/>
    <col min="13404" max="13407" width="0" style="60" hidden="1" customWidth="1"/>
    <col min="13408" max="13408" width="10" style="60" customWidth="1"/>
    <col min="13409" max="13412" width="0" style="60" hidden="1" customWidth="1"/>
    <col min="13413" max="13413" width="10" style="60" customWidth="1"/>
    <col min="13414" max="13438" width="0" style="60" hidden="1" customWidth="1"/>
    <col min="13439" max="13583" width="10.28515625" style="60"/>
    <col min="13584" max="13584" width="60" style="60" customWidth="1"/>
    <col min="13585" max="13628" width="0" style="60" hidden="1" customWidth="1"/>
    <col min="13629" max="13629" width="10" style="60" bestFit="1" customWidth="1"/>
    <col min="13630" max="13632" width="8.7109375" style="60" bestFit="1" customWidth="1"/>
    <col min="13633" max="13634" width="10" style="60" bestFit="1" customWidth="1"/>
    <col min="13635" max="13637" width="8.7109375" style="60" bestFit="1" customWidth="1"/>
    <col min="13638" max="13639" width="10" style="60" bestFit="1" customWidth="1"/>
    <col min="13640" max="13642" width="8.7109375" style="60" customWidth="1"/>
    <col min="13643" max="13643" width="10" style="60" customWidth="1"/>
    <col min="13644" max="13644" width="10" style="60" bestFit="1" customWidth="1"/>
    <col min="13645" max="13647" width="8.7109375" style="60" customWidth="1"/>
    <col min="13648" max="13648" width="10" style="60" customWidth="1"/>
    <col min="13649" max="13649" width="10" style="60" bestFit="1" customWidth="1"/>
    <col min="13650" max="13653" width="0" style="60" hidden="1" customWidth="1"/>
    <col min="13654" max="13654" width="10" style="60" bestFit="1" customWidth="1"/>
    <col min="13655" max="13658" width="0" style="60" hidden="1" customWidth="1"/>
    <col min="13659" max="13659" width="10" style="60" customWidth="1"/>
    <col min="13660" max="13663" width="0" style="60" hidden="1" customWidth="1"/>
    <col min="13664" max="13664" width="10" style="60" customWidth="1"/>
    <col min="13665" max="13668" width="0" style="60" hidden="1" customWidth="1"/>
    <col min="13669" max="13669" width="10" style="60" customWidth="1"/>
    <col min="13670" max="13694" width="0" style="60" hidden="1" customWidth="1"/>
    <col min="13695" max="13839" width="10.28515625" style="60"/>
    <col min="13840" max="13840" width="60" style="60" customWidth="1"/>
    <col min="13841" max="13884" width="0" style="60" hidden="1" customWidth="1"/>
    <col min="13885" max="13885" width="10" style="60" bestFit="1" customWidth="1"/>
    <col min="13886" max="13888" width="8.7109375" style="60" bestFit="1" customWidth="1"/>
    <col min="13889" max="13890" width="10" style="60" bestFit="1" customWidth="1"/>
    <col min="13891" max="13893" width="8.7109375" style="60" bestFit="1" customWidth="1"/>
    <col min="13894" max="13895" width="10" style="60" bestFit="1" customWidth="1"/>
    <col min="13896" max="13898" width="8.7109375" style="60" customWidth="1"/>
    <col min="13899" max="13899" width="10" style="60" customWidth="1"/>
    <col min="13900" max="13900" width="10" style="60" bestFit="1" customWidth="1"/>
    <col min="13901" max="13903" width="8.7109375" style="60" customWidth="1"/>
    <col min="13904" max="13904" width="10" style="60" customWidth="1"/>
    <col min="13905" max="13905" width="10" style="60" bestFit="1" customWidth="1"/>
    <col min="13906" max="13909" width="0" style="60" hidden="1" customWidth="1"/>
    <col min="13910" max="13910" width="10" style="60" bestFit="1" customWidth="1"/>
    <col min="13911" max="13914" width="0" style="60" hidden="1" customWidth="1"/>
    <col min="13915" max="13915" width="10" style="60" customWidth="1"/>
    <col min="13916" max="13919" width="0" style="60" hidden="1" customWidth="1"/>
    <col min="13920" max="13920" width="10" style="60" customWidth="1"/>
    <col min="13921" max="13924" width="0" style="60" hidden="1" customWidth="1"/>
    <col min="13925" max="13925" width="10" style="60" customWidth="1"/>
    <col min="13926" max="13950" width="0" style="60" hidden="1" customWidth="1"/>
    <col min="13951" max="14095" width="10.28515625" style="60"/>
    <col min="14096" max="14096" width="60" style="60" customWidth="1"/>
    <col min="14097" max="14140" width="0" style="60" hidden="1" customWidth="1"/>
    <col min="14141" max="14141" width="10" style="60" bestFit="1" customWidth="1"/>
    <col min="14142" max="14144" width="8.7109375" style="60" bestFit="1" customWidth="1"/>
    <col min="14145" max="14146" width="10" style="60" bestFit="1" customWidth="1"/>
    <col min="14147" max="14149" width="8.7109375" style="60" bestFit="1" customWidth="1"/>
    <col min="14150" max="14151" width="10" style="60" bestFit="1" customWidth="1"/>
    <col min="14152" max="14154" width="8.7109375" style="60" customWidth="1"/>
    <col min="14155" max="14155" width="10" style="60" customWidth="1"/>
    <col min="14156" max="14156" width="10" style="60" bestFit="1" customWidth="1"/>
    <col min="14157" max="14159" width="8.7109375" style="60" customWidth="1"/>
    <col min="14160" max="14160" width="10" style="60" customWidth="1"/>
    <col min="14161" max="14161" width="10" style="60" bestFit="1" customWidth="1"/>
    <col min="14162" max="14165" width="0" style="60" hidden="1" customWidth="1"/>
    <col min="14166" max="14166" width="10" style="60" bestFit="1" customWidth="1"/>
    <col min="14167" max="14170" width="0" style="60" hidden="1" customWidth="1"/>
    <col min="14171" max="14171" width="10" style="60" customWidth="1"/>
    <col min="14172" max="14175" width="0" style="60" hidden="1" customWidth="1"/>
    <col min="14176" max="14176" width="10" style="60" customWidth="1"/>
    <col min="14177" max="14180" width="0" style="60" hidden="1" customWidth="1"/>
    <col min="14181" max="14181" width="10" style="60" customWidth="1"/>
    <col min="14182" max="14206" width="0" style="60" hidden="1" customWidth="1"/>
    <col min="14207" max="14351" width="10.28515625" style="60"/>
    <col min="14352" max="14352" width="60" style="60" customWidth="1"/>
    <col min="14353" max="14396" width="0" style="60" hidden="1" customWidth="1"/>
    <col min="14397" max="14397" width="10" style="60" bestFit="1" customWidth="1"/>
    <col min="14398" max="14400" width="8.7109375" style="60" bestFit="1" customWidth="1"/>
    <col min="14401" max="14402" width="10" style="60" bestFit="1" customWidth="1"/>
    <col min="14403" max="14405" width="8.7109375" style="60" bestFit="1" customWidth="1"/>
    <col min="14406" max="14407" width="10" style="60" bestFit="1" customWidth="1"/>
    <col min="14408" max="14410" width="8.7109375" style="60" customWidth="1"/>
    <col min="14411" max="14411" width="10" style="60" customWidth="1"/>
    <col min="14412" max="14412" width="10" style="60" bestFit="1" customWidth="1"/>
    <col min="14413" max="14415" width="8.7109375" style="60" customWidth="1"/>
    <col min="14416" max="14416" width="10" style="60" customWidth="1"/>
    <col min="14417" max="14417" width="10" style="60" bestFit="1" customWidth="1"/>
    <col min="14418" max="14421" width="0" style="60" hidden="1" customWidth="1"/>
    <col min="14422" max="14422" width="10" style="60" bestFit="1" customWidth="1"/>
    <col min="14423" max="14426" width="0" style="60" hidden="1" customWidth="1"/>
    <col min="14427" max="14427" width="10" style="60" customWidth="1"/>
    <col min="14428" max="14431" width="0" style="60" hidden="1" customWidth="1"/>
    <col min="14432" max="14432" width="10" style="60" customWidth="1"/>
    <col min="14433" max="14436" width="0" style="60" hidden="1" customWidth="1"/>
    <col min="14437" max="14437" width="10" style="60" customWidth="1"/>
    <col min="14438" max="14462" width="0" style="60" hidden="1" customWidth="1"/>
    <col min="14463" max="14607" width="10.28515625" style="60"/>
    <col min="14608" max="14608" width="60" style="60" customWidth="1"/>
    <col min="14609" max="14652" width="0" style="60" hidden="1" customWidth="1"/>
    <col min="14653" max="14653" width="10" style="60" bestFit="1" customWidth="1"/>
    <col min="14654" max="14656" width="8.7109375" style="60" bestFit="1" customWidth="1"/>
    <col min="14657" max="14658" width="10" style="60" bestFit="1" customWidth="1"/>
    <col min="14659" max="14661" width="8.7109375" style="60" bestFit="1" customWidth="1"/>
    <col min="14662" max="14663" width="10" style="60" bestFit="1" customWidth="1"/>
    <col min="14664" max="14666" width="8.7109375" style="60" customWidth="1"/>
    <col min="14667" max="14667" width="10" style="60" customWidth="1"/>
    <col min="14668" max="14668" width="10" style="60" bestFit="1" customWidth="1"/>
    <col min="14669" max="14671" width="8.7109375" style="60" customWidth="1"/>
    <col min="14672" max="14672" width="10" style="60" customWidth="1"/>
    <col min="14673" max="14673" width="10" style="60" bestFit="1" customWidth="1"/>
    <col min="14674" max="14677" width="0" style="60" hidden="1" customWidth="1"/>
    <col min="14678" max="14678" width="10" style="60" bestFit="1" customWidth="1"/>
    <col min="14679" max="14682" width="0" style="60" hidden="1" customWidth="1"/>
    <col min="14683" max="14683" width="10" style="60" customWidth="1"/>
    <col min="14684" max="14687" width="0" style="60" hidden="1" customWidth="1"/>
    <col min="14688" max="14688" width="10" style="60" customWidth="1"/>
    <col min="14689" max="14692" width="0" style="60" hidden="1" customWidth="1"/>
    <col min="14693" max="14693" width="10" style="60" customWidth="1"/>
    <col min="14694" max="14718" width="0" style="60" hidden="1" customWidth="1"/>
    <col min="14719" max="14863" width="10.28515625" style="60"/>
    <col min="14864" max="14864" width="60" style="60" customWidth="1"/>
    <col min="14865" max="14908" width="0" style="60" hidden="1" customWidth="1"/>
    <col min="14909" max="14909" width="10" style="60" bestFit="1" customWidth="1"/>
    <col min="14910" max="14912" width="8.7109375" style="60" bestFit="1" customWidth="1"/>
    <col min="14913" max="14914" width="10" style="60" bestFit="1" customWidth="1"/>
    <col min="14915" max="14917" width="8.7109375" style="60" bestFit="1" customWidth="1"/>
    <col min="14918" max="14919" width="10" style="60" bestFit="1" customWidth="1"/>
    <col min="14920" max="14922" width="8.7109375" style="60" customWidth="1"/>
    <col min="14923" max="14923" width="10" style="60" customWidth="1"/>
    <col min="14924" max="14924" width="10" style="60" bestFit="1" customWidth="1"/>
    <col min="14925" max="14927" width="8.7109375" style="60" customWidth="1"/>
    <col min="14928" max="14928" width="10" style="60" customWidth="1"/>
    <col min="14929" max="14929" width="10" style="60" bestFit="1" customWidth="1"/>
    <col min="14930" max="14933" width="0" style="60" hidden="1" customWidth="1"/>
    <col min="14934" max="14934" width="10" style="60" bestFit="1" customWidth="1"/>
    <col min="14935" max="14938" width="0" style="60" hidden="1" customWidth="1"/>
    <col min="14939" max="14939" width="10" style="60" customWidth="1"/>
    <col min="14940" max="14943" width="0" style="60" hidden="1" customWidth="1"/>
    <col min="14944" max="14944" width="10" style="60" customWidth="1"/>
    <col min="14945" max="14948" width="0" style="60" hidden="1" customWidth="1"/>
    <col min="14949" max="14949" width="10" style="60" customWidth="1"/>
    <col min="14950" max="14974" width="0" style="60" hidden="1" customWidth="1"/>
    <col min="14975" max="15119" width="10.28515625" style="60"/>
    <col min="15120" max="15120" width="60" style="60" customWidth="1"/>
    <col min="15121" max="15164" width="0" style="60" hidden="1" customWidth="1"/>
    <col min="15165" max="15165" width="10" style="60" bestFit="1" customWidth="1"/>
    <col min="15166" max="15168" width="8.7109375" style="60" bestFit="1" customWidth="1"/>
    <col min="15169" max="15170" width="10" style="60" bestFit="1" customWidth="1"/>
    <col min="15171" max="15173" width="8.7109375" style="60" bestFit="1" customWidth="1"/>
    <col min="15174" max="15175" width="10" style="60" bestFit="1" customWidth="1"/>
    <col min="15176" max="15178" width="8.7109375" style="60" customWidth="1"/>
    <col min="15179" max="15179" width="10" style="60" customWidth="1"/>
    <col min="15180" max="15180" width="10" style="60" bestFit="1" customWidth="1"/>
    <col min="15181" max="15183" width="8.7109375" style="60" customWidth="1"/>
    <col min="15184" max="15184" width="10" style="60" customWidth="1"/>
    <col min="15185" max="15185" width="10" style="60" bestFit="1" customWidth="1"/>
    <col min="15186" max="15189" width="0" style="60" hidden="1" customWidth="1"/>
    <col min="15190" max="15190" width="10" style="60" bestFit="1" customWidth="1"/>
    <col min="15191" max="15194" width="0" style="60" hidden="1" customWidth="1"/>
    <col min="15195" max="15195" width="10" style="60" customWidth="1"/>
    <col min="15196" max="15199" width="0" style="60" hidden="1" customWidth="1"/>
    <col min="15200" max="15200" width="10" style="60" customWidth="1"/>
    <col min="15201" max="15204" width="0" style="60" hidden="1" customWidth="1"/>
    <col min="15205" max="15205" width="10" style="60" customWidth="1"/>
    <col min="15206" max="15230" width="0" style="60" hidden="1" customWidth="1"/>
    <col min="15231" max="15375" width="10.28515625" style="60"/>
    <col min="15376" max="15376" width="60" style="60" customWidth="1"/>
    <col min="15377" max="15420" width="0" style="60" hidden="1" customWidth="1"/>
    <col min="15421" max="15421" width="10" style="60" bestFit="1" customWidth="1"/>
    <col min="15422" max="15424" width="8.7109375" style="60" bestFit="1" customWidth="1"/>
    <col min="15425" max="15426" width="10" style="60" bestFit="1" customWidth="1"/>
    <col min="15427" max="15429" width="8.7109375" style="60" bestFit="1" customWidth="1"/>
    <col min="15430" max="15431" width="10" style="60" bestFit="1" customWidth="1"/>
    <col min="15432" max="15434" width="8.7109375" style="60" customWidth="1"/>
    <col min="15435" max="15435" width="10" style="60" customWidth="1"/>
    <col min="15436" max="15436" width="10" style="60" bestFit="1" customWidth="1"/>
    <col min="15437" max="15439" width="8.7109375" style="60" customWidth="1"/>
    <col min="15440" max="15440" width="10" style="60" customWidth="1"/>
    <col min="15441" max="15441" width="10" style="60" bestFit="1" customWidth="1"/>
    <col min="15442" max="15445" width="0" style="60" hidden="1" customWidth="1"/>
    <col min="15446" max="15446" width="10" style="60" bestFit="1" customWidth="1"/>
    <col min="15447" max="15450" width="0" style="60" hidden="1" customWidth="1"/>
    <col min="15451" max="15451" width="10" style="60" customWidth="1"/>
    <col min="15452" max="15455" width="0" style="60" hidden="1" customWidth="1"/>
    <col min="15456" max="15456" width="10" style="60" customWidth="1"/>
    <col min="15457" max="15460" width="0" style="60" hidden="1" customWidth="1"/>
    <col min="15461" max="15461" width="10" style="60" customWidth="1"/>
    <col min="15462" max="15486" width="0" style="60" hidden="1" customWidth="1"/>
    <col min="15487" max="15631" width="10.28515625" style="60"/>
    <col min="15632" max="15632" width="60" style="60" customWidth="1"/>
    <col min="15633" max="15676" width="0" style="60" hidden="1" customWidth="1"/>
    <col min="15677" max="15677" width="10" style="60" bestFit="1" customWidth="1"/>
    <col min="15678" max="15680" width="8.7109375" style="60" bestFit="1" customWidth="1"/>
    <col min="15681" max="15682" width="10" style="60" bestFit="1" customWidth="1"/>
    <col min="15683" max="15685" width="8.7109375" style="60" bestFit="1" customWidth="1"/>
    <col min="15686" max="15687" width="10" style="60" bestFit="1" customWidth="1"/>
    <col min="15688" max="15690" width="8.7109375" style="60" customWidth="1"/>
    <col min="15691" max="15691" width="10" style="60" customWidth="1"/>
    <col min="15692" max="15692" width="10" style="60" bestFit="1" customWidth="1"/>
    <col min="15693" max="15695" width="8.7109375" style="60" customWidth="1"/>
    <col min="15696" max="15696" width="10" style="60" customWidth="1"/>
    <col min="15697" max="15697" width="10" style="60" bestFit="1" customWidth="1"/>
    <col min="15698" max="15701" width="0" style="60" hidden="1" customWidth="1"/>
    <col min="15702" max="15702" width="10" style="60" bestFit="1" customWidth="1"/>
    <col min="15703" max="15706" width="0" style="60" hidden="1" customWidth="1"/>
    <col min="15707" max="15707" width="10" style="60" customWidth="1"/>
    <col min="15708" max="15711" width="0" style="60" hidden="1" customWidth="1"/>
    <col min="15712" max="15712" width="10" style="60" customWidth="1"/>
    <col min="15713" max="15716" width="0" style="60" hidden="1" customWidth="1"/>
    <col min="15717" max="15717" width="10" style="60" customWidth="1"/>
    <col min="15718" max="15742" width="0" style="60" hidden="1" customWidth="1"/>
    <col min="15743" max="15887" width="10.28515625" style="60"/>
    <col min="15888" max="15888" width="60" style="60" customWidth="1"/>
    <col min="15889" max="15932" width="0" style="60" hidden="1" customWidth="1"/>
    <col min="15933" max="15933" width="10" style="60" bestFit="1" customWidth="1"/>
    <col min="15934" max="15936" width="8.7109375" style="60" bestFit="1" customWidth="1"/>
    <col min="15937" max="15938" width="10" style="60" bestFit="1" customWidth="1"/>
    <col min="15939" max="15941" width="8.7109375" style="60" bestFit="1" customWidth="1"/>
    <col min="15942" max="15943" width="10" style="60" bestFit="1" customWidth="1"/>
    <col min="15944" max="15946" width="8.7109375" style="60" customWidth="1"/>
    <col min="15947" max="15947" width="10" style="60" customWidth="1"/>
    <col min="15948" max="15948" width="10" style="60" bestFit="1" customWidth="1"/>
    <col min="15949" max="15951" width="8.7109375" style="60" customWidth="1"/>
    <col min="15952" max="15952" width="10" style="60" customWidth="1"/>
    <col min="15953" max="15953" width="10" style="60" bestFit="1" customWidth="1"/>
    <col min="15954" max="15957" width="0" style="60" hidden="1" customWidth="1"/>
    <col min="15958" max="15958" width="10" style="60" bestFit="1" customWidth="1"/>
    <col min="15959" max="15962" width="0" style="60" hidden="1" customWidth="1"/>
    <col min="15963" max="15963" width="10" style="60" customWidth="1"/>
    <col min="15964" max="15967" width="0" style="60" hidden="1" customWidth="1"/>
    <col min="15968" max="15968" width="10" style="60" customWidth="1"/>
    <col min="15969" max="15972" width="0" style="60" hidden="1" customWidth="1"/>
    <col min="15973" max="15973" width="10" style="60" customWidth="1"/>
    <col min="15974" max="15998" width="0" style="60" hidden="1" customWidth="1"/>
    <col min="15999" max="16143" width="10.28515625" style="60"/>
    <col min="16144" max="16144" width="60" style="60" customWidth="1"/>
    <col min="16145" max="16188" width="0" style="60" hidden="1" customWidth="1"/>
    <col min="16189" max="16189" width="10" style="60" bestFit="1" customWidth="1"/>
    <col min="16190" max="16192" width="8.7109375" style="60" bestFit="1" customWidth="1"/>
    <col min="16193" max="16194" width="10" style="60" bestFit="1" customWidth="1"/>
    <col min="16195" max="16197" width="8.7109375" style="60" bestFit="1" customWidth="1"/>
    <col min="16198" max="16199" width="10" style="60" bestFit="1" customWidth="1"/>
    <col min="16200" max="16202" width="8.7109375" style="60" customWidth="1"/>
    <col min="16203" max="16203" width="10" style="60" customWidth="1"/>
    <col min="16204" max="16204" width="10" style="60" bestFit="1" customWidth="1"/>
    <col min="16205" max="16207" width="8.7109375" style="60" customWidth="1"/>
    <col min="16208" max="16208" width="10" style="60" customWidth="1"/>
    <col min="16209" max="16209" width="10" style="60" bestFit="1" customWidth="1"/>
    <col min="16210" max="16213" width="0" style="60" hidden="1" customWidth="1"/>
    <col min="16214" max="16214" width="10" style="60" bestFit="1" customWidth="1"/>
    <col min="16215" max="16218" width="0" style="60" hidden="1" customWidth="1"/>
    <col min="16219" max="16219" width="10" style="60" customWidth="1"/>
    <col min="16220" max="16223" width="0" style="60" hidden="1" customWidth="1"/>
    <col min="16224" max="16224" width="10" style="60" customWidth="1"/>
    <col min="16225" max="16228" width="0" style="60" hidden="1" customWidth="1"/>
    <col min="16229" max="16229" width="10" style="60" customWidth="1"/>
    <col min="16230" max="16254" width="0" style="60" hidden="1" customWidth="1"/>
    <col min="16255" max="16384" width="10.28515625" style="60"/>
  </cols>
  <sheetData>
    <row r="1" spans="1:132" s="7" customFormat="1" ht="48" thickBot="1">
      <c r="A1" s="455"/>
      <c r="B1" s="453" t="s">
        <v>165</v>
      </c>
      <c r="C1" s="453" t="s">
        <v>166</v>
      </c>
      <c r="D1" s="453" t="s">
        <v>167</v>
      </c>
      <c r="E1" s="453" t="s">
        <v>168</v>
      </c>
      <c r="F1" s="453" t="s">
        <v>169</v>
      </c>
      <c r="G1" s="454" t="s">
        <v>170</v>
      </c>
      <c r="H1" s="454" t="s">
        <v>171</v>
      </c>
      <c r="I1" s="454" t="s">
        <v>172</v>
      </c>
      <c r="J1" s="454" t="s">
        <v>173</v>
      </c>
      <c r="K1" s="453" t="s">
        <v>174</v>
      </c>
      <c r="L1" s="454" t="s">
        <v>175</v>
      </c>
      <c r="M1" s="454" t="s">
        <v>176</v>
      </c>
      <c r="N1" s="454" t="s">
        <v>177</v>
      </c>
      <c r="O1" s="454" t="s">
        <v>178</v>
      </c>
      <c r="P1" s="453" t="s">
        <v>179</v>
      </c>
      <c r="Q1" s="454" t="s">
        <v>180</v>
      </c>
      <c r="R1" s="454" t="s">
        <v>181</v>
      </c>
      <c r="S1" s="454" t="s">
        <v>182</v>
      </c>
      <c r="T1" s="454" t="s">
        <v>183</v>
      </c>
      <c r="U1" s="453" t="s">
        <v>184</v>
      </c>
      <c r="V1" s="454" t="s">
        <v>185</v>
      </c>
      <c r="W1" s="454" t="s">
        <v>186</v>
      </c>
      <c r="X1" s="454" t="s">
        <v>187</v>
      </c>
      <c r="Y1" s="454" t="s">
        <v>188</v>
      </c>
      <c r="Z1" s="453" t="s">
        <v>189</v>
      </c>
      <c r="AA1" s="454" t="s">
        <v>190</v>
      </c>
      <c r="AB1" s="454" t="s">
        <v>191</v>
      </c>
      <c r="AC1" s="454" t="s">
        <v>192</v>
      </c>
      <c r="AD1" s="454" t="s">
        <v>193</v>
      </c>
      <c r="AE1" s="453" t="s">
        <v>194</v>
      </c>
      <c r="AF1" s="454" t="s">
        <v>195</v>
      </c>
      <c r="AG1" s="454" t="s">
        <v>196</v>
      </c>
      <c r="AH1" s="454" t="s">
        <v>197</v>
      </c>
      <c r="AI1" s="454" t="s">
        <v>198</v>
      </c>
      <c r="AJ1" s="453" t="s">
        <v>199</v>
      </c>
      <c r="AK1" s="454" t="s">
        <v>200</v>
      </c>
      <c r="AL1" s="454" t="s">
        <v>201</v>
      </c>
      <c r="AM1" s="454" t="s">
        <v>202</v>
      </c>
      <c r="AN1" s="454" t="s">
        <v>203</v>
      </c>
      <c r="AO1" s="453" t="s">
        <v>204</v>
      </c>
      <c r="AP1" s="454" t="s">
        <v>205</v>
      </c>
      <c r="AQ1" s="454" t="s">
        <v>206</v>
      </c>
      <c r="AR1" s="454" t="s">
        <v>207</v>
      </c>
      <c r="AS1" s="454" t="s">
        <v>208</v>
      </c>
      <c r="AT1" s="453" t="s">
        <v>209</v>
      </c>
      <c r="AU1" s="454" t="s">
        <v>810</v>
      </c>
      <c r="AV1" s="454" t="s">
        <v>811</v>
      </c>
      <c r="AW1" s="454" t="s">
        <v>812</v>
      </c>
      <c r="AX1" s="454" t="s">
        <v>813</v>
      </c>
      <c r="AY1" s="453" t="s">
        <v>814</v>
      </c>
      <c r="AZ1" s="454" t="s">
        <v>815</v>
      </c>
      <c r="BA1" s="454" t="s">
        <v>816</v>
      </c>
      <c r="BB1" s="454" t="s">
        <v>817</v>
      </c>
      <c r="BC1" s="454" t="s">
        <v>818</v>
      </c>
      <c r="BD1" s="453" t="s">
        <v>819</v>
      </c>
      <c r="BE1" s="452" t="s">
        <v>820</v>
      </c>
      <c r="BF1" s="452" t="s">
        <v>821</v>
      </c>
      <c r="BG1" s="452" t="s">
        <v>822</v>
      </c>
      <c r="BH1" s="452" t="s">
        <v>823</v>
      </c>
      <c r="BI1" s="451" t="s">
        <v>824</v>
      </c>
      <c r="BJ1" s="452" t="s">
        <v>825</v>
      </c>
      <c r="BK1" s="452" t="s">
        <v>826</v>
      </c>
      <c r="BL1" s="452" t="s">
        <v>827</v>
      </c>
      <c r="BM1" s="452" t="s">
        <v>828</v>
      </c>
      <c r="BN1" s="451" t="s">
        <v>829</v>
      </c>
      <c r="BO1" s="452" t="s">
        <v>830</v>
      </c>
      <c r="BP1" s="452" t="s">
        <v>831</v>
      </c>
      <c r="BQ1" s="452" t="s">
        <v>837</v>
      </c>
      <c r="BR1" s="452" t="s">
        <v>838</v>
      </c>
      <c r="BS1" s="451" t="s">
        <v>839</v>
      </c>
      <c r="BT1" s="452" t="s">
        <v>973</v>
      </c>
      <c r="BU1" s="452" t="s">
        <v>972</v>
      </c>
      <c r="BV1" s="452" t="s">
        <v>971</v>
      </c>
      <c r="BW1" s="452" t="s">
        <v>970</v>
      </c>
      <c r="BX1" s="451" t="s">
        <v>969</v>
      </c>
      <c r="BY1" s="452" t="s">
        <v>968</v>
      </c>
      <c r="BZ1" s="452" t="s">
        <v>967</v>
      </c>
      <c r="CA1" s="452" t="s">
        <v>966</v>
      </c>
      <c r="CB1" s="452" t="s">
        <v>965</v>
      </c>
      <c r="CC1" s="451" t="s">
        <v>964</v>
      </c>
      <c r="CD1" s="452" t="s">
        <v>963</v>
      </c>
      <c r="CE1" s="452" t="s">
        <v>962</v>
      </c>
      <c r="CF1" s="452" t="s">
        <v>961</v>
      </c>
      <c r="CG1" s="452" t="s">
        <v>960</v>
      </c>
      <c r="CH1" s="451" t="s">
        <v>959</v>
      </c>
      <c r="CI1" s="452" t="s">
        <v>958</v>
      </c>
      <c r="CJ1" s="452" t="s">
        <v>957</v>
      </c>
      <c r="CK1" s="452" t="s">
        <v>956</v>
      </c>
      <c r="CL1" s="452" t="s">
        <v>955</v>
      </c>
      <c r="CM1" s="451" t="s">
        <v>954</v>
      </c>
      <c r="CN1" s="452" t="s">
        <v>953</v>
      </c>
      <c r="CO1" s="452" t="s">
        <v>952</v>
      </c>
      <c r="CP1" s="452" t="s">
        <v>951</v>
      </c>
      <c r="CQ1" s="452" t="s">
        <v>210</v>
      </c>
      <c r="CR1" s="451" t="s">
        <v>211</v>
      </c>
      <c r="CS1" s="452" t="s">
        <v>212</v>
      </c>
      <c r="CT1" s="452" t="s">
        <v>213</v>
      </c>
      <c r="CU1" s="452" t="s">
        <v>214</v>
      </c>
      <c r="CV1" s="452" t="s">
        <v>215</v>
      </c>
      <c r="CW1" s="451" t="s">
        <v>216</v>
      </c>
      <c r="CX1" s="452" t="s">
        <v>217</v>
      </c>
      <c r="CY1" s="452" t="s">
        <v>218</v>
      </c>
      <c r="CZ1" s="452" t="s">
        <v>219</v>
      </c>
      <c r="DA1" s="452" t="s">
        <v>220</v>
      </c>
      <c r="DB1" s="451" t="s">
        <v>221</v>
      </c>
      <c r="DC1" s="452" t="s">
        <v>222</v>
      </c>
      <c r="DD1" s="452" t="s">
        <v>223</v>
      </c>
      <c r="DE1" s="452" t="s">
        <v>224</v>
      </c>
      <c r="DF1" s="452" t="s">
        <v>225</v>
      </c>
      <c r="DG1" s="451" t="s">
        <v>226</v>
      </c>
      <c r="DH1" s="452" t="s">
        <v>950</v>
      </c>
      <c r="DI1" s="452" t="s">
        <v>949</v>
      </c>
      <c r="DJ1" s="452" t="s">
        <v>948</v>
      </c>
      <c r="DK1" s="452" t="s">
        <v>947</v>
      </c>
      <c r="DL1" s="451" t="s">
        <v>946</v>
      </c>
      <c r="DM1" s="452" t="s">
        <v>945</v>
      </c>
      <c r="DN1" s="452" t="s">
        <v>944</v>
      </c>
      <c r="DO1" s="452" t="s">
        <v>943</v>
      </c>
      <c r="DP1" s="452" t="s">
        <v>942</v>
      </c>
      <c r="DQ1" s="451" t="s">
        <v>941</v>
      </c>
      <c r="DR1" s="452" t="s">
        <v>940</v>
      </c>
      <c r="DS1" s="452" t="s">
        <v>939</v>
      </c>
      <c r="DT1" s="452" t="s">
        <v>938</v>
      </c>
      <c r="DU1" s="452" t="s">
        <v>937</v>
      </c>
      <c r="DV1" s="451" t="s">
        <v>936</v>
      </c>
      <c r="DW1" s="452" t="s">
        <v>935</v>
      </c>
      <c r="DX1" s="452" t="s">
        <v>934</v>
      </c>
      <c r="DY1" s="452" t="s">
        <v>933</v>
      </c>
      <c r="DZ1" s="452" t="s">
        <v>932</v>
      </c>
      <c r="EA1" s="451" t="s">
        <v>931</v>
      </c>
      <c r="EB1" s="450"/>
    </row>
    <row r="2" spans="1:132" s="7" customFormat="1" ht="15.75">
      <c r="A2" s="449" t="s">
        <v>227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  <c r="AG2" s="420"/>
      <c r="AH2" s="420"/>
      <c r="AI2" s="420"/>
      <c r="AJ2" s="420"/>
      <c r="AK2" s="420"/>
      <c r="AL2" s="420"/>
      <c r="AM2" s="420"/>
      <c r="AN2" s="420"/>
      <c r="AO2" s="420"/>
      <c r="AP2" s="420"/>
      <c r="AQ2" s="420"/>
      <c r="AR2" s="420"/>
      <c r="AS2" s="420"/>
      <c r="AT2" s="420"/>
      <c r="AU2" s="420"/>
      <c r="AV2" s="420"/>
      <c r="AW2" s="420"/>
      <c r="AX2" s="420"/>
      <c r="AY2" s="420"/>
      <c r="AZ2" s="420"/>
      <c r="BA2" s="420"/>
      <c r="BB2" s="420"/>
      <c r="BC2" s="420"/>
      <c r="BD2" s="420"/>
      <c r="BE2" s="420"/>
      <c r="BF2" s="420"/>
      <c r="BG2" s="420"/>
      <c r="BH2" s="420"/>
      <c r="BI2" s="420"/>
      <c r="BJ2" s="420"/>
      <c r="BK2" s="420"/>
      <c r="BL2" s="420"/>
      <c r="BM2" s="420"/>
      <c r="BN2" s="420"/>
      <c r="BO2" s="420"/>
      <c r="BP2" s="420"/>
      <c r="BQ2" s="420"/>
      <c r="BR2" s="420"/>
      <c r="BS2" s="420"/>
      <c r="BT2" s="420"/>
      <c r="BU2" s="420"/>
      <c r="BV2" s="420"/>
      <c r="BW2" s="420"/>
      <c r="BX2" s="420"/>
      <c r="BY2" s="420"/>
      <c r="BZ2" s="420"/>
      <c r="CA2" s="420"/>
      <c r="CB2" s="420"/>
      <c r="CC2" s="420"/>
      <c r="CD2" s="420"/>
      <c r="CE2" s="420"/>
      <c r="CF2" s="420"/>
      <c r="CG2" s="420"/>
      <c r="CH2" s="420"/>
      <c r="CI2" s="420"/>
      <c r="CJ2" s="420"/>
      <c r="CK2" s="420"/>
      <c r="CL2" s="420"/>
      <c r="CM2" s="420"/>
      <c r="CN2" s="420"/>
      <c r="CO2" s="420"/>
      <c r="CP2" s="420"/>
      <c r="CQ2" s="420"/>
      <c r="CR2" s="420"/>
      <c r="CS2" s="420"/>
      <c r="CT2" s="420"/>
      <c r="CU2" s="420"/>
      <c r="CV2" s="420"/>
      <c r="CW2" s="420"/>
      <c r="CX2" s="420"/>
      <c r="CY2" s="420"/>
      <c r="CZ2" s="420"/>
      <c r="DA2" s="420"/>
      <c r="DB2" s="420"/>
      <c r="DC2" s="420"/>
      <c r="DD2" s="420"/>
      <c r="DE2" s="420"/>
      <c r="DF2" s="420"/>
      <c r="DG2" s="420"/>
      <c r="DH2" s="420"/>
      <c r="DI2" s="420"/>
      <c r="DJ2" s="420"/>
      <c r="DK2" s="420"/>
      <c r="DL2" s="420"/>
      <c r="DM2" s="420"/>
      <c r="DN2" s="420"/>
      <c r="DO2" s="420"/>
      <c r="DP2" s="420"/>
      <c r="DQ2" s="420"/>
      <c r="DR2" s="420"/>
      <c r="DS2" s="420"/>
      <c r="DT2" s="420"/>
      <c r="DU2" s="420"/>
      <c r="DV2" s="420"/>
      <c r="DW2" s="420"/>
      <c r="DX2" s="420"/>
      <c r="DY2" s="420"/>
      <c r="DZ2" s="420"/>
      <c r="EA2" s="420"/>
      <c r="EB2" s="417"/>
    </row>
    <row r="3" spans="1:132" s="7" customFormat="1">
      <c r="A3" s="11" t="s">
        <v>228</v>
      </c>
      <c r="B3" s="418"/>
      <c r="C3" s="418"/>
      <c r="D3" s="418"/>
      <c r="E3" s="418"/>
      <c r="F3" s="418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>
        <f>'Income Statement'!B10/1000</f>
        <v>109.60550000000001</v>
      </c>
      <c r="AB3" s="12">
        <f>'Income Statement'!C10/1000</f>
        <v>109.60550000000001</v>
      </c>
      <c r="AC3" s="12">
        <f>'Income Statement'!D10/1000</f>
        <v>122.71</v>
      </c>
      <c r="AD3" s="12">
        <f>'Income Statement'!E10/1000</f>
        <v>182.51599999999999</v>
      </c>
      <c r="AE3" s="12">
        <f>'Income Statement'!F10/1000</f>
        <v>524.43700000000001</v>
      </c>
      <c r="AF3" s="12">
        <f>'Income Statement'!G10/1000</f>
        <v>170.13900000000001</v>
      </c>
      <c r="AG3" s="12">
        <f>'Income Statement'!H10/1000</f>
        <v>142.70500000000001</v>
      </c>
      <c r="AH3" s="12">
        <f>'Income Statement'!I10/1000</f>
        <v>252.95099999999999</v>
      </c>
      <c r="AI3" s="12">
        <f>'Income Statement'!J10/1000</f>
        <v>123.053</v>
      </c>
      <c r="AJ3" s="12">
        <f>'Income Statement'!K10/1000</f>
        <v>688.84799999999996</v>
      </c>
      <c r="AK3" s="12">
        <f>'Income Statement'!L10/1000</f>
        <v>231.07900000000001</v>
      </c>
      <c r="AL3" s="12">
        <f>'Income Statement'!M10/1000</f>
        <v>262.00200000000001</v>
      </c>
      <c r="AM3" s="12">
        <f>'Income Statement'!N10/1000</f>
        <v>232.815</v>
      </c>
      <c r="AN3" s="12">
        <f>'Income Statement'!O10/1000</f>
        <v>390.78500000000003</v>
      </c>
      <c r="AO3" s="12">
        <f>'Income Statement'!P10/1000</f>
        <v>1116.681</v>
      </c>
      <c r="AP3" s="12">
        <f>'Income Statement'!Q10/1000</f>
        <v>287.49099999999999</v>
      </c>
      <c r="AQ3" s="12">
        <f>'Income Statement'!R10/1000</f>
        <v>371.29599999999999</v>
      </c>
      <c r="AR3" s="12">
        <f>'Income Statement'!S10/1000</f>
        <v>414.82400000000001</v>
      </c>
      <c r="AS3" s="12">
        <f>'Income Statement'!T10/1000</f>
        <v>924.928</v>
      </c>
      <c r="AT3" s="12">
        <f>'Income Statement'!U10/1000</f>
        <v>1998.539</v>
      </c>
      <c r="AU3" s="12">
        <f>'Income Statement'!V10/1000</f>
        <v>550.84500000000003</v>
      </c>
      <c r="AV3" s="12">
        <f>'Income Statement'!W10/1000</f>
        <v>794.88099999999997</v>
      </c>
      <c r="AW3" s="12">
        <f>'Income Statement'!X10/1000</f>
        <v>750.71699999999998</v>
      </c>
      <c r="AX3" s="12">
        <f>'Income Statement'!Y10/1000</f>
        <v>750.99800000000005</v>
      </c>
      <c r="AY3" s="12">
        <f>'Income Statement'!Z10/1000</f>
        <v>2847.4409999999998</v>
      </c>
      <c r="AZ3" s="12">
        <f>'Income Statement'!AA10/1000</f>
        <v>671.45399999999995</v>
      </c>
      <c r="BA3" s="12">
        <f>'Income Statement'!AB10/1000</f>
        <v>875.6</v>
      </c>
      <c r="BB3" s="12">
        <f>'Income Statement'!AC10/1000</f>
        <v>1348.8679999999999</v>
      </c>
      <c r="BC3" s="12">
        <f>'Income Statement'!AD10/1000</f>
        <v>1191.903</v>
      </c>
      <c r="BD3" s="12">
        <f>'Income Statement'!AE10/1000</f>
        <v>4087.8249999999998</v>
      </c>
      <c r="BE3" s="12">
        <f>'Income Statement'!AF10/1000</f>
        <v>1132.4480000000001</v>
      </c>
      <c r="BF3" s="12">
        <f>'Income Statement'!AG10/1000</f>
        <v>1205.835</v>
      </c>
      <c r="BG3" s="12">
        <f>'Income Statement'!AH10/1000</f>
        <v>1162.549</v>
      </c>
      <c r="BH3" s="12">
        <f>'Income Statement'!AI10/1000</f>
        <v>1389.2729999999999</v>
      </c>
      <c r="BI3" s="12">
        <f>'Income Statement'!AJ10/1000</f>
        <v>4890.1049999999996</v>
      </c>
      <c r="BJ3" s="12">
        <f>'Income Statement'!AK10/1000</f>
        <v>1200.742</v>
      </c>
      <c r="BK3" s="12">
        <f>'Income Statement'!AL10/1000</f>
        <v>1382.884</v>
      </c>
      <c r="BL3" s="12">
        <f>'Income Statement'!AM10/1000</f>
        <v>1559.6020000000001</v>
      </c>
      <c r="BM3" s="12">
        <f>'Income Statement'!AN10/1000</f>
        <v>1983.5530000000001</v>
      </c>
      <c r="BN3" s="12">
        <f>'Income Statement'!AO10/1000</f>
        <v>6126.7809999999999</v>
      </c>
      <c r="BO3" s="12">
        <f>'Income Statement'!AP10/1000</f>
        <v>1466.3430000000001</v>
      </c>
      <c r="BP3" s="12">
        <f>'Income Statement'!AQ10/1000</f>
        <v>1385.2629999999999</v>
      </c>
      <c r="BQ3" s="12">
        <f>'Income Statement'!AR10/1000</f>
        <v>1349.952</v>
      </c>
      <c r="BR3" s="12">
        <f>'Income Statement'!AS10/1000</f>
        <v>1431.1210000000001</v>
      </c>
      <c r="BS3" s="12">
        <f>'Income Statement'!AT10/1000</f>
        <v>5632.6790000000001</v>
      </c>
      <c r="BT3" s="12">
        <f>'Income Statement'!AU10/1000</f>
        <v>1215.3699999999999</v>
      </c>
      <c r="BU3" s="12">
        <f>'Income Statement'!AV10/1000</f>
        <v>1372.4190000000001</v>
      </c>
      <c r="BV3" s="12">
        <f>'Income Statement'!AW10/1000</f>
        <v>1394.4480000000001</v>
      </c>
      <c r="BW3" s="12">
        <f>'Income Statement'!AX10/1000</f>
        <v>1389.645</v>
      </c>
      <c r="BX3" s="12">
        <f>'Income Statement'!AY10/1000</f>
        <v>5371.8819999999996</v>
      </c>
      <c r="BY3" s="12">
        <f>'Income Statement'!AZ10/1000</f>
        <v>1315.3620000000001</v>
      </c>
      <c r="BZ3" s="12">
        <f>'Income Statement'!BA10/1000</f>
        <v>1358.3309999999999</v>
      </c>
      <c r="CA3" s="12">
        <f>'Income Statement'!BB10/1000</f>
        <v>1613.6959999999999</v>
      </c>
      <c r="CB3" s="12">
        <f>'Income Statement'!BC10/1000</f>
        <v>1530.538</v>
      </c>
      <c r="CC3" s="12">
        <f>'Income Statement'!BD10/1000</f>
        <v>5817.9269999999997</v>
      </c>
      <c r="CD3" s="12">
        <f>'Income Statement'!BE10/1000</f>
        <v>1035.2139999999999</v>
      </c>
      <c r="CE3" s="12">
        <f>'Income Statement'!BF10/1000</f>
        <v>1137.683</v>
      </c>
      <c r="CF3" s="12">
        <f>'Income Statement'!BG10/1000</f>
        <v>1137.7329999999999</v>
      </c>
      <c r="CG3" s="12">
        <f>'Income Statement'!BH10/1000</f>
        <v>1030.5540000000001</v>
      </c>
      <c r="CH3" s="12">
        <f>'Income Statement'!BI10/1000</f>
        <v>4341.1840000000002</v>
      </c>
      <c r="CI3" s="12">
        <f>'Income Statement'!BJ10/1000</f>
        <v>810.70600000000002</v>
      </c>
      <c r="CJ3" s="12">
        <f>'Income Statement'!BK10/1000</f>
        <v>641.03300000000002</v>
      </c>
      <c r="CK3" s="12">
        <f>'Income Statement'!BL10/1000</f>
        <v>824.80700000000002</v>
      </c>
      <c r="CL3" s="12">
        <f>'Income Statement'!BM10/1000</f>
        <v>918.76400000000001</v>
      </c>
      <c r="CM3" s="12">
        <f>'Income Statement'!BN10/1000</f>
        <v>3195.31</v>
      </c>
      <c r="CN3" s="12">
        <f>'Income Statement'!BO10/1000</f>
        <v>692.38699999999994</v>
      </c>
      <c r="CO3" s="12">
        <f>'Income Statement'!BP10/1000</f>
        <v>574.75599999999997</v>
      </c>
      <c r="CP3" s="12">
        <f>'Income Statement'!BQ10/1000</f>
        <v>597.827</v>
      </c>
      <c r="CQ3" s="12">
        <f>'Income Statement'!BR10/1000</f>
        <v>808.8</v>
      </c>
      <c r="CR3" s="12">
        <f>'Income Statement'!BS10/1000</f>
        <v>2673.77</v>
      </c>
      <c r="CS3" s="12">
        <f>'Income Statement'!BT10/1000</f>
        <v>450.62200000000001</v>
      </c>
      <c r="CT3" s="12">
        <f>'Income Statement'!BU10/1000</f>
        <v>639.53899999999999</v>
      </c>
      <c r="CU3" s="12">
        <f>'Income Statement'!BV10/1000</f>
        <v>724.82500000000005</v>
      </c>
      <c r="CV3" s="12">
        <f>'Income Statement'!BW10/1000</f>
        <v>1077.171</v>
      </c>
      <c r="CW3" s="12">
        <f>'Income Statement'!BX10/1000</f>
        <v>2892.1570000000002</v>
      </c>
      <c r="CX3" s="12">
        <f>'Income Statement'!BY10/1000</f>
        <v>826.23599999999999</v>
      </c>
      <c r="CY3" s="12">
        <f>'Income Statement'!BZ10/1000</f>
        <v>936.62199999999996</v>
      </c>
      <c r="CZ3" s="12">
        <f>'Income Statement'!CA10/1000</f>
        <v>934.75900000000001</v>
      </c>
      <c r="DA3" s="12">
        <f>'Income Statement'!CB10/1000</f>
        <v>1233.2059999999999</v>
      </c>
      <c r="DB3" s="12">
        <f>'Income Statement'!CC10/1000</f>
        <v>3930.8229999999999</v>
      </c>
      <c r="DC3" s="12">
        <f>'Income Statement'!CD10/1000</f>
        <v>764.755</v>
      </c>
      <c r="DD3" s="12">
        <f>'Income Statement'!CE10/1000</f>
        <v>838.80799999999999</v>
      </c>
      <c r="DE3" s="12">
        <f>'Income Statement'!CF10/1000</f>
        <v>1163.5029999999999</v>
      </c>
      <c r="DF3" s="12">
        <f>'Income Statement'!CG10/1000</f>
        <v>1056.6300000000001</v>
      </c>
      <c r="DG3" s="12">
        <f>'Income Statement'!CH10/1000</f>
        <v>3823.6959999999999</v>
      </c>
      <c r="DH3" s="12">
        <f>'Income Statement'!CI10/1000</f>
        <v>1003.732</v>
      </c>
      <c r="DI3" s="12">
        <f>'Income Statement'!CJ10/1000</f>
        <v>1182.019</v>
      </c>
      <c r="DJ3" s="12">
        <f>'Income Statement'!CK10/1000</f>
        <v>1288.3389999999999</v>
      </c>
      <c r="DK3" s="12">
        <f>'Income Statement'!CL10/1000</f>
        <v>1316.7429999999999</v>
      </c>
      <c r="DL3" s="12">
        <f>'Income Statement'!CM10/1000</f>
        <v>4790.8329999999996</v>
      </c>
      <c r="DM3" s="12">
        <f>'Income Statement'!CN10/1000</f>
        <v>1231.652</v>
      </c>
      <c r="DN3" s="12">
        <f>'Income Statement'!CO10/1000</f>
        <v>1250.0830000000001</v>
      </c>
      <c r="DO3" s="12">
        <f>'Income Statement'!CP10/1000</f>
        <v>1559.644</v>
      </c>
      <c r="DP3" s="12">
        <f>'Income Statement'!CQ10/1000</f>
        <v>1370.9159999999999</v>
      </c>
      <c r="DQ3" s="12">
        <f>'Income Statement'!CR10/1000</f>
        <v>5412.2950000000001</v>
      </c>
      <c r="DR3" s="12">
        <f>'Income Statement'!CS10/1000</f>
        <v>1283.4259999999999</v>
      </c>
      <c r="DS3" s="12">
        <f>'Income Statement'!CT10/1000</f>
        <v>1633.0550000000001</v>
      </c>
      <c r="DT3" s="12">
        <f>'Income Statement'!CU10/1000</f>
        <v>1625.9870000000001</v>
      </c>
      <c r="DU3" s="12">
        <f>'Income Statement'!CV10/1000</f>
        <v>1710.231</v>
      </c>
      <c r="DV3" s="12">
        <f>'Income Statement'!CW10/1000</f>
        <v>6252.6989999999996</v>
      </c>
      <c r="DW3" s="12">
        <f>'Income Statement'!CX10/1000</f>
        <v>1572.9110000000001</v>
      </c>
      <c r="DX3" s="12">
        <f>'Income Statement'!CY10/1000</f>
        <v>1856.857</v>
      </c>
      <c r="DY3" s="12">
        <f>'Income Statement'!CZ10/1000</f>
        <v>2029.6510000000001</v>
      </c>
      <c r="DZ3" s="12">
        <f>'Income Statement'!DA10/1000</f>
        <v>2506.2689999999998</v>
      </c>
      <c r="EA3" s="12">
        <f>'Income Statement'!DB10/1000</f>
        <v>7965.6880000000001</v>
      </c>
      <c r="EB3" s="417"/>
    </row>
    <row r="4" spans="1:132" s="7" customFormat="1">
      <c r="A4" s="11" t="s">
        <v>229</v>
      </c>
      <c r="B4" s="418"/>
      <c r="C4" s="418"/>
      <c r="D4" s="418"/>
      <c r="E4" s="418"/>
      <c r="F4" s="41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>
        <f>'Income Statement'!B11/1000</f>
        <v>-64.466499999999996</v>
      </c>
      <c r="AB4" s="12">
        <f>'Income Statement'!C11/1000</f>
        <v>-64.466499999999996</v>
      </c>
      <c r="AC4" s="12">
        <f>'Income Statement'!D11/1000</f>
        <v>-69.813999999999993</v>
      </c>
      <c r="AD4" s="12">
        <f>'Income Statement'!E11/1000</f>
        <v>-113.127</v>
      </c>
      <c r="AE4" s="12">
        <f>'Income Statement'!F11/1000</f>
        <v>-311.87400000000002</v>
      </c>
      <c r="AF4" s="12">
        <f>'Income Statement'!G11/1000</f>
        <v>-87.174000000000007</v>
      </c>
      <c r="AG4" s="12">
        <f>'Income Statement'!H11/1000</f>
        <v>-72.046999999999997</v>
      </c>
      <c r="AH4" s="12">
        <f>'Income Statement'!I11/1000</f>
        <v>-132.09700000000001</v>
      </c>
      <c r="AI4" s="12">
        <f>'Income Statement'!J11/1000</f>
        <v>-78.930000000000007</v>
      </c>
      <c r="AJ4" s="12">
        <f>'Income Statement'!K11/1000</f>
        <v>-370.24799999999999</v>
      </c>
      <c r="AK4" s="12">
        <f>'Income Statement'!L11/1000</f>
        <v>-127.839</v>
      </c>
      <c r="AL4" s="12">
        <f>'Income Statement'!M11/1000</f>
        <v>-146.44200000000001</v>
      </c>
      <c r="AM4" s="12">
        <f>'Income Statement'!N11/1000</f>
        <v>-133.68</v>
      </c>
      <c r="AN4" s="12">
        <f>'Income Statement'!O11/1000</f>
        <v>-237.21299999999999</v>
      </c>
      <c r="AO4" s="12">
        <f>'Income Statement'!P11/1000</f>
        <v>-645.17399999999998</v>
      </c>
      <c r="AP4" s="12">
        <f>'Income Statement'!Q11/1000</f>
        <v>-175.29300000000001</v>
      </c>
      <c r="AQ4" s="12">
        <f>'Income Statement'!R11/1000</f>
        <v>-214.92400000000001</v>
      </c>
      <c r="AR4" s="12">
        <f>'Income Statement'!S11/1000</f>
        <v>-234.33699999999999</v>
      </c>
      <c r="AS4" s="12">
        <f>'Income Statement'!T11/1000</f>
        <v>-597.01300000000003</v>
      </c>
      <c r="AT4" s="12">
        <f>'Income Statement'!U11/1000</f>
        <v>-1221.567</v>
      </c>
      <c r="AU4" s="12">
        <f>'Income Statement'!V11/1000</f>
        <v>-331.34100000000001</v>
      </c>
      <c r="AV4" s="12">
        <f>'Income Statement'!W11/1000</f>
        <v>-484.09199999999998</v>
      </c>
      <c r="AW4" s="12">
        <f>'Income Statement'!X11/1000</f>
        <v>-445.04599999999999</v>
      </c>
      <c r="AX4" s="12">
        <f>'Income Statement'!Y11/1000</f>
        <v>-504.38200000000001</v>
      </c>
      <c r="AY4" s="12">
        <f>'Income Statement'!Z11/1000</f>
        <v>-1764.8610000000001</v>
      </c>
      <c r="AZ4" s="12">
        <f>'Income Statement'!AA11/1000</f>
        <v>-419.36900000000003</v>
      </c>
      <c r="BA4" s="12">
        <f>'Income Statement'!AB11/1000</f>
        <v>-575.73199999999997</v>
      </c>
      <c r="BB4" s="12">
        <f>'Income Statement'!AC11/1000</f>
        <v>-890.29600000000005</v>
      </c>
      <c r="BC4" s="12">
        <f>'Income Statement'!AD11/1000</f>
        <v>-793.17399999999998</v>
      </c>
      <c r="BD4" s="12">
        <f>'Income Statement'!AE11/1000</f>
        <v>-2678.5709999999999</v>
      </c>
      <c r="BE4" s="12">
        <f>'Income Statement'!AF11/1000</f>
        <v>-737.83100000000002</v>
      </c>
      <c r="BF4" s="12">
        <f>'Income Statement'!AG11/1000</f>
        <v>-812.79399999999998</v>
      </c>
      <c r="BG4" s="12">
        <f>'Income Statement'!AH11/1000</f>
        <v>-753.58500000000004</v>
      </c>
      <c r="BH4" s="12">
        <f>'Income Statement'!AI11/1000</f>
        <v>-1049.2650000000001</v>
      </c>
      <c r="BI4" s="12">
        <f>'Income Statement'!AJ11/1000</f>
        <v>-3353.4749999999999</v>
      </c>
      <c r="BJ4" s="12">
        <f>'Income Statement'!AK11/1000</f>
        <v>-872.029</v>
      </c>
      <c r="BK4" s="12">
        <f>'Income Statement'!AL11/1000</f>
        <v>-1000.388</v>
      </c>
      <c r="BL4" s="12">
        <f>'Income Statement'!AM11/1000</f>
        <v>-1113.6410000000001</v>
      </c>
      <c r="BM4" s="12">
        <f>'Income Statement'!AN11/1000</f>
        <v>-1407.2329999999999</v>
      </c>
      <c r="BN4" s="12">
        <f>'Income Statement'!AO11/1000</f>
        <v>-4393.2910000000002</v>
      </c>
      <c r="BO4" s="12">
        <f>'Income Statement'!AP11/1000</f>
        <v>-1006.468</v>
      </c>
      <c r="BP4" s="12">
        <f>'Income Statement'!AQ11/1000</f>
        <v>-973.69200000000001</v>
      </c>
      <c r="BQ4" s="12">
        <f>'Income Statement'!AR11/1000</f>
        <v>-921.66600000000005</v>
      </c>
      <c r="BR4" s="12">
        <f>'Income Statement'!AS11/1000</f>
        <v>-912.04100000000005</v>
      </c>
      <c r="BS4" s="12">
        <f>'Income Statement'!AT11/1000</f>
        <v>-3813.8670000000002</v>
      </c>
      <c r="BT4" s="12">
        <f>'Income Statement'!AU11/1000</f>
        <v>-818.35</v>
      </c>
      <c r="BU4" s="12">
        <f>'Income Statement'!AV11/1000</f>
        <v>-924.64499999999998</v>
      </c>
      <c r="BV4" s="12">
        <f>'Income Statement'!AW11/1000</f>
        <v>-937.19799999999998</v>
      </c>
      <c r="BW4" s="12">
        <f>'Income Statement'!AX11/1000</f>
        <v>-932.4</v>
      </c>
      <c r="BX4" s="12">
        <f>'Income Statement'!AY11/1000</f>
        <v>-3612.5929999999998</v>
      </c>
      <c r="BY4" s="12">
        <f>'Income Statement'!AZ11/1000</f>
        <v>-877.70699999999999</v>
      </c>
      <c r="BZ4" s="12">
        <f>'Income Statement'!BA11/1000</f>
        <v>-904.779</v>
      </c>
      <c r="CA4" s="12">
        <f>'Income Statement'!BB11/1000</f>
        <v>-1130.9649999999999</v>
      </c>
      <c r="CB4" s="12">
        <f>'Income Statement'!BC11/1000</f>
        <v>-1035.73</v>
      </c>
      <c r="CC4" s="12">
        <f>'Income Statement'!BD11/1000</f>
        <v>-3949.181</v>
      </c>
      <c r="CD4" s="12">
        <f>'Income Statement'!BE11/1000</f>
        <v>-674.60299999999995</v>
      </c>
      <c r="CE4" s="12">
        <f>'Income Statement'!BF11/1000</f>
        <v>-738.62699999999995</v>
      </c>
      <c r="CF4" s="12">
        <f>'Income Statement'!BG11/1000</f>
        <v>-743.21900000000005</v>
      </c>
      <c r="CG4" s="12">
        <f>'Income Statement'!BH11/1000</f>
        <v>-681.65599999999995</v>
      </c>
      <c r="CH4" s="12">
        <f>'Income Statement'!BI11/1000</f>
        <v>-2838.105</v>
      </c>
      <c r="CI4" s="12">
        <f>'Income Statement'!BJ11/1000</f>
        <v>-528.44500000000005</v>
      </c>
      <c r="CJ4" s="12">
        <f>'Income Statement'!BK11/1000</f>
        <v>-387.10300000000001</v>
      </c>
      <c r="CK4" s="12">
        <f>'Income Statement'!BL11/1000</f>
        <v>-563.38599999999997</v>
      </c>
      <c r="CL4" s="12">
        <f>'Income Statement'!BM11/1000</f>
        <v>-653.85299999999995</v>
      </c>
      <c r="CM4" s="12">
        <f>'Income Statement'!BN11/1000</f>
        <v>-2132.7869999999998</v>
      </c>
      <c r="CN4" s="12">
        <f>'Income Statement'!BO11/1000</f>
        <v>-477.37</v>
      </c>
      <c r="CO4" s="12">
        <f>'Income Statement'!BP11/1000</f>
        <v>-421.16699999999997</v>
      </c>
      <c r="CP4" s="12">
        <f>'Income Statement'!BQ11/1000</f>
        <v>-450.495</v>
      </c>
      <c r="CQ4" s="12">
        <f>'Income Statement'!BR11/1000</f>
        <v>-590.22500000000002</v>
      </c>
      <c r="CR4" s="12">
        <f>'Income Statement'!BS11/1000</f>
        <v>-1939.2570000000001</v>
      </c>
      <c r="CS4" s="12">
        <f>'Income Statement'!BT11/1000</f>
        <v>-325.839</v>
      </c>
      <c r="CT4" s="12">
        <f>'Income Statement'!BU11/1000</f>
        <v>-468.24200000000002</v>
      </c>
      <c r="CU4" s="12">
        <f>'Income Statement'!BV11/1000</f>
        <v>-520.04899999999998</v>
      </c>
      <c r="CV4" s="12">
        <f>'Income Statement'!BW11/1000</f>
        <v>-763.1</v>
      </c>
      <c r="CW4" s="12">
        <f>'Income Statement'!BX11/1000</f>
        <v>-2077.23</v>
      </c>
      <c r="CX4" s="12">
        <f>'Income Statement'!BY11/1000</f>
        <v>-577.34699999999998</v>
      </c>
      <c r="CY4" s="12">
        <f>'Income Statement'!BZ11/1000</f>
        <v>-643.66200000000003</v>
      </c>
      <c r="CZ4" s="12">
        <f>'Income Statement'!CA11/1000</f>
        <v>-645.83199999999999</v>
      </c>
      <c r="DA4" s="12">
        <f>'Income Statement'!CB11/1000</f>
        <v>-848.26800000000003</v>
      </c>
      <c r="DB4" s="12">
        <f>'Income Statement'!CC11/1000</f>
        <v>-2715.1089999999999</v>
      </c>
      <c r="DC4" s="12">
        <f>'Income Statement'!CD11/1000</f>
        <v>-503.9</v>
      </c>
      <c r="DD4" s="12">
        <f>'Income Statement'!CE11/1000</f>
        <v>-563.93700000000001</v>
      </c>
      <c r="DE4" s="12">
        <f>'Income Statement'!CF11/1000</f>
        <v>-784.92200000000003</v>
      </c>
      <c r="DF4" s="12">
        <f>'Income Statement'!CG11/1000</f>
        <v>-720.55399999999997</v>
      </c>
      <c r="DG4" s="12">
        <f>'Income Statement'!CH11/1000</f>
        <v>-2573.3130000000001</v>
      </c>
      <c r="DH4" s="12">
        <f>'Income Statement'!CI11/1000</f>
        <v>-657.19200000000001</v>
      </c>
      <c r="DI4" s="12">
        <f>'Income Statement'!CJ11/1000</f>
        <v>-749.73500000000001</v>
      </c>
      <c r="DJ4" s="12">
        <f>'Income Statement'!CK11/1000</f>
        <v>-841.44299999999998</v>
      </c>
      <c r="DK4" s="12">
        <f>'Income Statement'!CL11/1000</f>
        <v>-876.64300000000003</v>
      </c>
      <c r="DL4" s="12">
        <f>'Income Statement'!CM11/1000</f>
        <v>-3125.0129999999999</v>
      </c>
      <c r="DM4" s="12">
        <f>'Income Statement'!CN11/1000</f>
        <v>-848.10199999999998</v>
      </c>
      <c r="DN4" s="12">
        <f>'Income Statement'!CO11/1000</f>
        <v>-858.75199999999995</v>
      </c>
      <c r="DO4" s="12">
        <f>'Income Statement'!CP11/1000</f>
        <v>-1031.26</v>
      </c>
      <c r="DP4" s="12">
        <f>'Income Statement'!CQ11/1000</f>
        <v>-940.21900000000005</v>
      </c>
      <c r="DQ4" s="12">
        <f>'Income Statement'!CR11/1000</f>
        <v>-3678.3330000000001</v>
      </c>
      <c r="DR4" s="12">
        <f>'Income Statement'!CS11/1000</f>
        <v>-888.95899999999995</v>
      </c>
      <c r="DS4" s="12">
        <f>'Income Statement'!CT11/1000</f>
        <v>-1105.9670000000001</v>
      </c>
      <c r="DT4" s="12">
        <f>'Income Statement'!CU11/1000</f>
        <v>-1080.5229999999999</v>
      </c>
      <c r="DU4" s="12">
        <f>'Income Statement'!CV11/1000</f>
        <v>-1133.6510000000001</v>
      </c>
      <c r="DV4" s="12">
        <f>'Income Statement'!CW11/1000</f>
        <v>-4209.1000000000004</v>
      </c>
      <c r="DW4" s="12">
        <f>'Income Statement'!CX11/1000</f>
        <v>-1079.3889999999999</v>
      </c>
      <c r="DX4" s="12">
        <f>'Income Statement'!CY11/1000</f>
        <v>-1246.83</v>
      </c>
      <c r="DY4" s="12">
        <f>'Income Statement'!CZ11/1000</f>
        <v>-1353.4860000000001</v>
      </c>
      <c r="DZ4" s="12">
        <f>'Income Statement'!DA11/1000</f>
        <v>-1706.1179999999999</v>
      </c>
      <c r="EA4" s="12">
        <f>'Income Statement'!DB11/1000</f>
        <v>-5385.8230000000003</v>
      </c>
      <c r="EB4" s="417"/>
    </row>
    <row r="5" spans="1:132" s="7" customFormat="1">
      <c r="A5" s="13" t="s">
        <v>230</v>
      </c>
      <c r="B5" s="433"/>
      <c r="C5" s="433"/>
      <c r="D5" s="433"/>
      <c r="E5" s="433"/>
      <c r="F5" s="43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417"/>
    </row>
    <row r="6" spans="1:132" s="7" customFormat="1">
      <c r="A6" s="11" t="s">
        <v>231</v>
      </c>
      <c r="B6" s="436"/>
      <c r="C6" s="418"/>
      <c r="D6" s="418"/>
      <c r="E6" s="418"/>
      <c r="F6" s="418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>
        <f>'Income Statement'!B17/1000+'Income Statement'!B20/1000+'Income Statement'!B33/1000+'Income Statement'!B43/1000</f>
        <v>-15.250000000000002</v>
      </c>
      <c r="AB6" s="12">
        <f>'Income Statement'!C17/1000+'Income Statement'!C20/1000+'Income Statement'!C33/1000+'Income Statement'!C43/1000</f>
        <v>-15.731000000000002</v>
      </c>
      <c r="AC6" s="12">
        <f>'Income Statement'!D17/1000+'Income Statement'!D20/1000+'Income Statement'!D33/1000+'Income Statement'!D43/1000</f>
        <v>-22.937999999999999</v>
      </c>
      <c r="AD6" s="12">
        <f>'Income Statement'!E17/1000+'Income Statement'!E20/1000+'Income Statement'!E33/1000+'Income Statement'!E43/1000</f>
        <v>-24.540999999999997</v>
      </c>
      <c r="AE6" s="12">
        <f>'Income Statement'!F17/1000+'Income Statement'!F20/1000+'Income Statement'!F33/1000+'Income Statement'!F43/1000</f>
        <v>-78.460000000000008</v>
      </c>
      <c r="AF6" s="12">
        <f>'Income Statement'!G17/1000+'Income Statement'!G20/1000+'Income Statement'!G33/1000+'Income Statement'!G43/1000</f>
        <v>-33.061</v>
      </c>
      <c r="AG6" s="12">
        <f>'Income Statement'!H17/1000+'Income Statement'!H20/1000+'Income Statement'!H33/1000+'Income Statement'!H43/1000</f>
        <v>-39.299000000000007</v>
      </c>
      <c r="AH6" s="12">
        <f>'Income Statement'!I17/1000+'Income Statement'!I20/1000+'Income Statement'!I33/1000+'Income Statement'!I43/1000</f>
        <v>-29.568000000000001</v>
      </c>
      <c r="AI6" s="12">
        <f>'Income Statement'!J17/1000+'Income Statement'!J20/1000+'Income Statement'!J33/1000+'Income Statement'!J43/1000</f>
        <v>-40.318000000000005</v>
      </c>
      <c r="AJ6" s="12">
        <f>'Income Statement'!K17/1000+'Income Statement'!K20/1000+'Income Statement'!K33/1000+'Income Statement'!K43/1000</f>
        <v>-142.24599999999998</v>
      </c>
      <c r="AK6" s="12">
        <f>'Income Statement'!L17/1000+'Income Statement'!L20/1000+'Income Statement'!L33/1000+'Income Statement'!L43/1000</f>
        <v>-38.519999999999996</v>
      </c>
      <c r="AL6" s="12">
        <f>'Income Statement'!M17/1000+'Income Statement'!M20/1000+'Income Statement'!M33/1000+'Income Statement'!M43/1000</f>
        <v>-45.231999999999999</v>
      </c>
      <c r="AM6" s="12">
        <f>'Income Statement'!N17/1000+'Income Statement'!N20/1000+'Income Statement'!N33/1000+'Income Statement'!N43/1000</f>
        <v>-53.955000000000005</v>
      </c>
      <c r="AN6" s="12">
        <f>'Income Statement'!O17/1000+'Income Statement'!O20/1000+'Income Statement'!O33/1000+'Income Statement'!O43/1000</f>
        <v>-77.932999999999993</v>
      </c>
      <c r="AO6" s="12">
        <f>'Income Statement'!P17/1000+'Income Statement'!P20/1000+'Income Statement'!P33/1000+'Income Statement'!P43/1000</f>
        <v>-215.64</v>
      </c>
      <c r="AP6" s="12">
        <f>'Income Statement'!Q17/1000+'Income Statement'!Q20/1000+'Income Statement'!Q33/1000+'Income Statement'!Q43/1000</f>
        <v>-60.652000000000008</v>
      </c>
      <c r="AQ6" s="12">
        <f>'Income Statement'!R17/1000+'Income Statement'!R20/1000+'Income Statement'!R33/1000+'Income Statement'!R43/1000</f>
        <v>-73.483000000000004</v>
      </c>
      <c r="AR6" s="12">
        <f>'Income Statement'!S17/1000+'Income Statement'!S20/1000+'Income Statement'!S33/1000+'Income Statement'!S43/1000</f>
        <v>-81.23599999999999</v>
      </c>
      <c r="AS6" s="12">
        <f>'Income Statement'!T17/1000+'Income Statement'!T20/1000+'Income Statement'!T33/1000+'Income Statement'!T43/1000</f>
        <v>-203.649</v>
      </c>
      <c r="AT6" s="12">
        <f>'Income Statement'!U17/1000+'Income Statement'!U20/1000+'Income Statement'!U33/1000+'Income Statement'!U43/1000</f>
        <v>-419.02</v>
      </c>
      <c r="AU6" s="12">
        <f>'Income Statement'!V17/1000+'Income Statement'!V20/1000+'Income Statement'!V33/1000+'Income Statement'!V43/1000</f>
        <v>-117.286</v>
      </c>
      <c r="AV6" s="12">
        <f>'Income Statement'!W17/1000+'Income Statement'!W20/1000+'Income Statement'!W33/1000+'Income Statement'!W43/1000</f>
        <v>-176.10300000000001</v>
      </c>
      <c r="AW6" s="12">
        <f>'Income Statement'!X17/1000+'Income Statement'!X20/1000+'Income Statement'!X33/1000+'Income Statement'!X43/1000</f>
        <v>-160.60499999999999</v>
      </c>
      <c r="AX6" s="12">
        <f>'Income Statement'!Y17/1000+'Income Statement'!Y20/1000+'Income Statement'!Y33/1000+'Income Statement'!Y43/1000</f>
        <v>-160.55700000000002</v>
      </c>
      <c r="AY6" s="12">
        <f>'Income Statement'!Z17/1000+'Income Statement'!Z20/1000+'Income Statement'!Z33/1000+'Income Statement'!Z43/1000</f>
        <v>-614.55099999999993</v>
      </c>
      <c r="AZ6" s="12">
        <f>'Income Statement'!AA17/1000+'Income Statement'!AA20/1000+'Income Statement'!AA33/1000+'Income Statement'!AA43/1000</f>
        <v>-101.36799999999999</v>
      </c>
      <c r="BA6" s="12">
        <f>'Income Statement'!AB17/1000+'Income Statement'!AB20/1000+'Income Statement'!AB33/1000+'Income Statement'!AB43/1000</f>
        <v>-106.904</v>
      </c>
      <c r="BB6" s="12">
        <f>'Income Statement'!AC17/1000+'Income Statement'!AC20/1000+'Income Statement'!AC33/1000+'Income Statement'!AC43/1000</f>
        <v>-172.50300000000001</v>
      </c>
      <c r="BC6" s="12">
        <f>'Income Statement'!AD17/1000+'Income Statement'!AD20/1000+'Income Statement'!AD33/1000+'Income Statement'!AD43/1000</f>
        <v>-166.40300000000002</v>
      </c>
      <c r="BD6" s="12">
        <f>'Income Statement'!AE17/1000+'Income Statement'!AE20/1000+'Income Statement'!AE33/1000+'Income Statement'!AE43/1000</f>
        <v>-547.178</v>
      </c>
      <c r="BE6" s="12">
        <f>'Income Statement'!AF17/1000+'Income Statement'!AF20/1000+'Income Statement'!AF33/1000+'Income Statement'!AF43/1000</f>
        <v>-173.56799999999998</v>
      </c>
      <c r="BF6" s="12">
        <f>'Income Statement'!AG17/1000+'Income Statement'!AG20/1000+'Income Statement'!AG33/1000+'Income Statement'!AG43/1000</f>
        <v>-180.929</v>
      </c>
      <c r="BG6" s="12">
        <f>'Income Statement'!AH17/1000+'Income Statement'!AH20/1000+'Income Statement'!AH33/1000+'Income Statement'!AH43/1000</f>
        <v>-189.65900000000002</v>
      </c>
      <c r="BH6" s="12">
        <f>'Income Statement'!AI17/1000+'Income Statement'!AI20/1000+'Income Statement'!AI33/1000+'Income Statement'!AI43/1000</f>
        <v>-210.089</v>
      </c>
      <c r="BI6" s="12">
        <f>'Income Statement'!AJ17/1000+'Income Statement'!AJ20/1000+'Income Statement'!AJ33/1000+'Income Statement'!AJ43/1000</f>
        <v>-754.245</v>
      </c>
      <c r="BJ6" s="12">
        <f>'Income Statement'!AK17/1000+'Income Statement'!AK20/1000+'Income Statement'!AK33/1000+'Income Statement'!AK43/1000</f>
        <v>-197.84899999999999</v>
      </c>
      <c r="BK6" s="12">
        <f>'Income Statement'!AL17/1000+'Income Statement'!AL20/1000+'Income Statement'!AL33/1000+'Income Statement'!AL43/1000</f>
        <v>-246.44399999999999</v>
      </c>
      <c r="BL6" s="12">
        <f>'Income Statement'!AM17/1000+'Income Statement'!AM20/1000+'Income Statement'!AM33/1000+'Income Statement'!AM43/1000</f>
        <v>-224.21200000000002</v>
      </c>
      <c r="BM6" s="12">
        <f>'Income Statement'!AN17/1000+'Income Statement'!AN20/1000+'Income Statement'!AN33/1000+'Income Statement'!AN43/1000</f>
        <v>-246.77399999999997</v>
      </c>
      <c r="BN6" s="12">
        <f>'Income Statement'!AO17/1000+'Income Statement'!AO20/1000+'Income Statement'!AO33/1000+'Income Statement'!AO43/1000</f>
        <v>-915.279</v>
      </c>
      <c r="BO6" s="12">
        <f>'Income Statement'!AP17/1000+'Income Statement'!AP20/1000+'Income Statement'!AP33/1000+'Income Statement'!AP43/1000</f>
        <v>-219.285</v>
      </c>
      <c r="BP6" s="12">
        <f>'Income Statement'!AQ17/1000+'Income Statement'!AQ20/1000+'Income Statement'!AQ33/1000+'Income Statement'!AQ43/1000</f>
        <v>-214.946</v>
      </c>
      <c r="BQ6" s="12">
        <f>'Income Statement'!AR17/1000+'Income Statement'!AR20/1000+'Income Statement'!AR33/1000+'Income Statement'!AR43/1000</f>
        <v>-202.40100000000001</v>
      </c>
      <c r="BR6" s="12">
        <f>'Income Statement'!AS17/1000+'Income Statement'!AS20/1000+'Income Statement'!AS33/1000+'Income Statement'!AS43/1000</f>
        <v>-217.959</v>
      </c>
      <c r="BS6" s="12">
        <f>'Income Statement'!AT17/1000+'Income Statement'!AT20/1000+'Income Statement'!AT33/1000+'Income Statement'!AT43/1000</f>
        <v>-854.59100000000001</v>
      </c>
      <c r="BT6" s="12">
        <f>'Income Statement'!AU17/1000+'Income Statement'!AU20/1000+'Income Statement'!AU33/1000+'Income Statement'!AU43/1000</f>
        <v>-183.636</v>
      </c>
      <c r="BU6" s="12">
        <f>'Income Statement'!AV17/1000+'Income Statement'!AV20/1000+'Income Statement'!AV33/1000+'Income Statement'!AV43/1000</f>
        <v>-202.23899999999998</v>
      </c>
      <c r="BV6" s="12">
        <f>'Income Statement'!AW17/1000+'Income Statement'!AW20/1000+'Income Statement'!AW33/1000+'Income Statement'!AW43/1000</f>
        <v>-213.79299999999998</v>
      </c>
      <c r="BW6" s="12">
        <f>'Income Statement'!AX17/1000+'Income Statement'!AX20/1000+'Income Statement'!AX33/1000+'Income Statement'!AX43/1000</f>
        <v>-232.78200000000001</v>
      </c>
      <c r="BX6" s="12">
        <f>'Income Statement'!AY17/1000+'Income Statement'!AY20/1000+'Income Statement'!AY33/1000+'Income Statement'!AY43/1000</f>
        <v>-832.44999999999993</v>
      </c>
      <c r="BY6" s="12">
        <f>'Income Statement'!AZ17/1000+'Income Statement'!AZ20/1000+'Income Statement'!AZ33/1000+'Income Statement'!AZ43/1000</f>
        <v>-212.71200000000002</v>
      </c>
      <c r="BZ6" s="12">
        <f>'Income Statement'!BA17/1000+'Income Statement'!BA20/1000+'Income Statement'!BA33/1000+'Income Statement'!BA43/1000</f>
        <v>-227.209</v>
      </c>
      <c r="CA6" s="12">
        <f>'Income Statement'!BB17/1000+'Income Statement'!BB20/1000+'Income Statement'!BB33/1000+'Income Statement'!BB43/1000</f>
        <v>-234.79600000000002</v>
      </c>
      <c r="CB6" s="12">
        <f>'Income Statement'!BC17/1000+'Income Statement'!BC20/1000+'Income Statement'!BC33/1000+'Income Statement'!BC43/1000</f>
        <v>-259.22800000000001</v>
      </c>
      <c r="CC6" s="12">
        <f>'Income Statement'!BD17/1000+'Income Statement'!BD20/1000+'Income Statement'!BD33/1000+'Income Statement'!BD43/1000</f>
        <v>-933.94500000000005</v>
      </c>
      <c r="CD6" s="12">
        <f>'Income Statement'!BE17/1000+'Income Statement'!BE20/1000+'Income Statement'!BE33/1000+'Income Statement'!BE43/1000</f>
        <v>-213.03100000000001</v>
      </c>
      <c r="CE6" s="12">
        <f>'Income Statement'!BF17/1000+'Income Statement'!BF20/1000+'Income Statement'!BF33/1000+'Income Statement'!BF43/1000</f>
        <v>-204.93</v>
      </c>
      <c r="CF6" s="12">
        <f>'Income Statement'!BG17/1000+'Income Statement'!BG20/1000+'Income Statement'!BG33/1000+'Income Statement'!BG43/1000</f>
        <v>-235.50199999999998</v>
      </c>
      <c r="CG6" s="12">
        <f>'Income Statement'!BH17/1000+'Income Statement'!BH20/1000+'Income Statement'!BH33/1000+'Income Statement'!BH43/1000</f>
        <v>-218.48299999999998</v>
      </c>
      <c r="CH6" s="12">
        <f>'Income Statement'!BI17/1000+'Income Statement'!BI20/1000+'Income Statement'!BI33/1000+'Income Statement'!BI43/1000</f>
        <v>-871.94600000000003</v>
      </c>
      <c r="CI6" s="12">
        <f>'Income Statement'!BJ17/1000+'Income Statement'!BJ20/1000+'Income Statement'!BJ33/1000+'Income Statement'!BJ43/1000</f>
        <v>-197.476</v>
      </c>
      <c r="CJ6" s="12">
        <f>'Income Statement'!BK17/1000+'Income Statement'!BK20/1000+'Income Statement'!BK33/1000+'Income Statement'!BK43/1000</f>
        <v>-210.346</v>
      </c>
      <c r="CK6" s="12">
        <f>'Income Statement'!BL17/1000+'Income Statement'!BL20/1000+'Income Statement'!BL33/1000+'Income Statement'!BL43/1000</f>
        <v>-215.36399999999998</v>
      </c>
      <c r="CL6" s="12">
        <f>'Income Statement'!BM17/1000+'Income Statement'!BM20/1000+'Income Statement'!BM33/1000+'Income Statement'!BM43/1000</f>
        <v>-215.994</v>
      </c>
      <c r="CM6" s="12">
        <f>'Income Statement'!BN17/1000+'Income Statement'!BN20/1000+'Income Statement'!BN33/1000+'Income Statement'!BN43/1000</f>
        <v>-839.18000000000006</v>
      </c>
      <c r="CN6" s="12">
        <f>'Income Statement'!BO17/1000+'Income Statement'!BO20/1000+'Income Statement'!BO33/1000+'Income Statement'!BO43/1000</f>
        <v>-186.88600000000002</v>
      </c>
      <c r="CO6" s="12">
        <f>'Income Statement'!BP17/1000+'Income Statement'!BP20/1000+'Income Statement'!BP33/1000+'Income Statement'!BP43/1000</f>
        <v>-192.04300000000001</v>
      </c>
      <c r="CP6" s="12">
        <f>'Income Statement'!BQ17/1000+'Income Statement'!BQ20/1000+'Income Statement'!BQ33/1000+'Income Statement'!BQ43/1000</f>
        <v>-182.83100000000002</v>
      </c>
      <c r="CQ6" s="12">
        <f>'Income Statement'!BR17/1000+'Income Statement'!BR20/1000+'Income Statement'!BR33/1000+'Income Statement'!BR43/1000</f>
        <v>-178.75399999999999</v>
      </c>
      <c r="CR6" s="12">
        <f>'Income Statement'!BS17/1000+'Income Statement'!BS20/1000+'Income Statement'!BS33/1000+'Income Statement'!BS43/1000</f>
        <v>-740.51400000000001</v>
      </c>
      <c r="CS6" s="12">
        <f>'Income Statement'!BT17/1000+'Income Statement'!BT20/1000+'Income Statement'!BT33/1000+'Income Statement'!BT43/1000</f>
        <v>-171.78699999999998</v>
      </c>
      <c r="CT6" s="12">
        <f>'Income Statement'!BU17/1000+'Income Statement'!BU20/1000+'Income Statement'!BU33/1000+'Income Statement'!BU43/1000</f>
        <v>-168.24599999999998</v>
      </c>
      <c r="CU6" s="12">
        <f>'Income Statement'!BV17/1000+'Income Statement'!BV20/1000+'Income Statement'!BV33/1000+'Income Statement'!BV43/1000</f>
        <v>-183.25400000000002</v>
      </c>
      <c r="CV6" s="12">
        <f>'Income Statement'!BW17/1000+'Income Statement'!BW20/1000+'Income Statement'!BW33/1000+'Income Statement'!BW43/1000</f>
        <v>-179.506</v>
      </c>
      <c r="CW6" s="12">
        <f>'Income Statement'!BX17/1000+'Income Statement'!BX20/1000+'Income Statement'!BX33/1000+'Income Statement'!BX43/1000</f>
        <v>-702.79300000000001</v>
      </c>
      <c r="CX6" s="12">
        <f>'Income Statement'!BY17/1000+'Income Statement'!BY20/1000+'Income Statement'!BY33/1000+'Income Statement'!BY43/1000</f>
        <v>-166.946</v>
      </c>
      <c r="CY6" s="12">
        <f>'Income Statement'!BZ17/1000+'Income Statement'!BZ20/1000+'Income Statement'!BZ33/1000+'Income Statement'!BZ43/1000</f>
        <v>-194.21899999999999</v>
      </c>
      <c r="CZ6" s="12">
        <f>'Income Statement'!CA17/1000+'Income Statement'!CA20/1000+'Income Statement'!CA33/1000+'Income Statement'!CA43/1000</f>
        <v>-200.05600000000001</v>
      </c>
      <c r="DA6" s="12">
        <f>'Income Statement'!CB17/1000+'Income Statement'!CB20/1000+'Income Statement'!CB33/1000+'Income Statement'!CB43/1000</f>
        <v>-214.13900000000001</v>
      </c>
      <c r="DB6" s="12">
        <f>'Income Statement'!CC17/1000+'Income Statement'!CC20/1000+'Income Statement'!CC33/1000+'Income Statement'!CC43/1000</f>
        <v>-775.36</v>
      </c>
      <c r="DC6" s="12">
        <f>'Income Statement'!CD17/1000+'Income Statement'!CD20/1000+'Income Statement'!CD33/1000+'Income Statement'!CD43/1000</f>
        <v>-186.55700000000002</v>
      </c>
      <c r="DD6" s="12">
        <f>'Income Statement'!CE17/1000+'Income Statement'!CE20/1000+'Income Statement'!CE33/1000+'Income Statement'!CE43/1000</f>
        <v>-186.51899999999998</v>
      </c>
      <c r="DE6" s="12">
        <f>'Income Statement'!CF17/1000+'Income Statement'!CF20/1000+'Income Statement'!CF33/1000+'Income Statement'!CF43/1000</f>
        <v>-164.54799999999997</v>
      </c>
      <c r="DF6" s="12">
        <f>'Income Statement'!CG17/1000+'Income Statement'!CG20/1000+'Income Statement'!CG33/1000+'Income Statement'!CG43/1000</f>
        <v>-179.37100000000001</v>
      </c>
      <c r="DG6" s="12">
        <f>'Income Statement'!CH17/1000+'Income Statement'!CH20/1000+'Income Statement'!CH33/1000+'Income Statement'!CH43/1000</f>
        <v>-716.995</v>
      </c>
      <c r="DH6" s="12">
        <f>'Income Statement'!CI17/1000+'Income Statement'!CI20/1000+'Income Statement'!CI33/1000+'Income Statement'!CI43/1000</f>
        <v>-190.16499999999999</v>
      </c>
      <c r="DI6" s="12">
        <f>'Income Statement'!CJ17/1000+'Income Statement'!CJ20/1000+'Income Statement'!CJ33/1000+'Income Statement'!CJ43/1000</f>
        <v>-200.30699999999999</v>
      </c>
      <c r="DJ6" s="12">
        <f>'Income Statement'!CK17/1000+'Income Statement'!CK20/1000+'Income Statement'!CK33/1000+'Income Statement'!CK43/1000</f>
        <v>-216.934</v>
      </c>
      <c r="DK6" s="12">
        <f>'Income Statement'!CL17/1000+'Income Statement'!CL20/1000+'Income Statement'!CL33/1000+'Income Statement'!CL43/1000</f>
        <v>-241.893</v>
      </c>
      <c r="DL6" s="12">
        <f>'Income Statement'!CM17/1000+'Income Statement'!CM20/1000+'Income Statement'!CM33/1000+'Income Statement'!CM43/1000</f>
        <v>-849.29900000000009</v>
      </c>
      <c r="DM6" s="12">
        <f>'Income Statement'!CN17/1000+'Income Statement'!CN20/1000+'Income Statement'!CN33/1000+'Income Statement'!CN43/1000</f>
        <v>-234.19500000000002</v>
      </c>
      <c r="DN6" s="12">
        <f>'Income Statement'!CO17/1000+'Income Statement'!CO20/1000+'Income Statement'!CO33/1000+'Income Statement'!CO43/1000</f>
        <v>-250.89000000000001</v>
      </c>
      <c r="DO6" s="12">
        <f>'Income Statement'!CP17/1000+'Income Statement'!CP20/1000+'Income Statement'!CP33/1000+'Income Statement'!CP43/1000</f>
        <v>-303.62700000000001</v>
      </c>
      <c r="DP6" s="12">
        <f>'Income Statement'!CQ17/1000+'Income Statement'!CQ20/1000+'Income Statement'!CQ33/1000+'Income Statement'!CQ43/1000</f>
        <v>-281.06199999999995</v>
      </c>
      <c r="DQ6" s="12">
        <f>'Income Statement'!CR17/1000+'Income Statement'!CR20/1000+'Income Statement'!CR33/1000+'Income Statement'!CR43/1000</f>
        <v>-1069.7740000000001</v>
      </c>
      <c r="DR6" s="12">
        <f>'Income Statement'!CS17/1000+'Income Statement'!CS20/1000+'Income Statement'!CS33/1000+'Income Statement'!CS43/1000</f>
        <v>-255.81399999999999</v>
      </c>
      <c r="DS6" s="12">
        <f>'Income Statement'!CT17/1000+'Income Statement'!CT20/1000+'Income Statement'!CT33/1000+'Income Statement'!CT43/1000</f>
        <v>-274.04500000000007</v>
      </c>
      <c r="DT6" s="12">
        <f>'Income Statement'!CU17/1000+'Income Statement'!CU20/1000+'Income Statement'!CU33/1000+'Income Statement'!CU43/1000</f>
        <v>-305.60599999999999</v>
      </c>
      <c r="DU6" s="12">
        <f>'Income Statement'!CV17/1000+'Income Statement'!CV20/1000+'Income Statement'!CV33/1000+'Income Statement'!CV43/1000</f>
        <v>-310.767</v>
      </c>
      <c r="DV6" s="12">
        <f>'Income Statement'!CW17/1000+'Income Statement'!CW20/1000+'Income Statement'!CW33/1000+'Income Statement'!CW43/1000</f>
        <v>-1146.232</v>
      </c>
      <c r="DW6" s="12">
        <f>'Income Statement'!CX17/1000+'Income Statement'!CX20/1000+'Income Statement'!CX33/1000+'Income Statement'!CX43/1000</f>
        <v>-260.67399999999998</v>
      </c>
      <c r="DX6" s="12">
        <f>'Income Statement'!CY17/1000+'Income Statement'!CY20/1000+'Income Statement'!CY33/1000+'Income Statement'!CY43/1000</f>
        <v>-257.81800000000004</v>
      </c>
      <c r="DY6" s="12">
        <f>'Income Statement'!CZ17/1000+'Income Statement'!CZ20/1000+'Income Statement'!CZ33/1000+'Income Statement'!CZ43/1000</f>
        <v>-295.15700000000004</v>
      </c>
      <c r="DZ6" s="12">
        <f>'Income Statement'!DA17/1000+'Income Statement'!DA20/1000+'Income Statement'!DA33/1000+'Income Statement'!DA43/1000</f>
        <v>-308.07100000000003</v>
      </c>
      <c r="EA6" s="12">
        <f>'Income Statement'!DB17/1000+'Income Statement'!DB20/1000+'Income Statement'!DB33/1000+'Income Statement'!DB43/1000</f>
        <v>-1121.72</v>
      </c>
      <c r="EB6" s="417"/>
    </row>
    <row r="7" spans="1:132" s="7" customFormat="1">
      <c r="A7" s="11" t="s">
        <v>232</v>
      </c>
      <c r="B7" s="418"/>
      <c r="C7" s="418"/>
      <c r="D7" s="418"/>
      <c r="E7" s="418"/>
      <c r="F7" s="418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>
        <f>'Income Statement'!B32/1000</f>
        <v>2.2605</v>
      </c>
      <c r="AB7" s="12">
        <f>'Income Statement'!C32/1000</f>
        <v>2.7414999999999998</v>
      </c>
      <c r="AC7" s="12">
        <f>'Income Statement'!D32/1000</f>
        <v>-2.0979999999999999</v>
      </c>
      <c r="AD7" s="12">
        <f>'Income Statement'!E32/1000</f>
        <v>3.3460000000000001</v>
      </c>
      <c r="AE7" s="12">
        <f>'Income Statement'!F32/1000</f>
        <v>6.25</v>
      </c>
      <c r="AF7" s="12">
        <f>'Income Statement'!G32/1000</f>
        <v>2.762</v>
      </c>
      <c r="AG7" s="12">
        <f>'Income Statement'!H32/1000</f>
        <v>1.6240000000000001</v>
      </c>
      <c r="AH7" s="12">
        <f>'Income Statement'!I32/1000</f>
        <v>-0.78900000000000003</v>
      </c>
      <c r="AI7" s="12">
        <f>'Income Statement'!J32/1000</f>
        <v>0.45300000000000001</v>
      </c>
      <c r="AJ7" s="12">
        <f>'Income Statement'!K32/1000</f>
        <v>4.05</v>
      </c>
      <c r="AK7" s="12">
        <f>'Income Statement'!L32/1000</f>
        <v>1.423</v>
      </c>
      <c r="AL7" s="12">
        <f>'Income Statement'!M32/1000</f>
        <v>7.0510000000000002</v>
      </c>
      <c r="AM7" s="12">
        <f>'Income Statement'!N32/1000</f>
        <v>-0.93200000000000005</v>
      </c>
      <c r="AN7" s="12">
        <f>'Income Statement'!O32/1000</f>
        <v>0.83599999999999997</v>
      </c>
      <c r="AO7" s="12">
        <f>'Income Statement'!P32/1000</f>
        <v>8.3780000000000001</v>
      </c>
      <c r="AP7" s="12">
        <f>'Income Statement'!Q32/1000</f>
        <v>4.9059999999999997</v>
      </c>
      <c r="AQ7" s="12">
        <f>'Income Statement'!R32/1000</f>
        <v>9.609</v>
      </c>
      <c r="AR7" s="12">
        <f>'Income Statement'!S32/1000</f>
        <v>1.829</v>
      </c>
      <c r="AS7" s="12">
        <f>'Income Statement'!T32/1000</f>
        <v>1.1519999999999999</v>
      </c>
      <c r="AT7" s="12">
        <f>'Income Statement'!U32/1000</f>
        <v>17.495999999999999</v>
      </c>
      <c r="AU7" s="12">
        <f>'Income Statement'!V32/1000</f>
        <v>2.2759999999999998</v>
      </c>
      <c r="AV7" s="12">
        <f>'Income Statement'!W32/1000</f>
        <v>13.988</v>
      </c>
      <c r="AW7" s="12">
        <f>'Income Statement'!X32/1000</f>
        <v>4.9290000000000003</v>
      </c>
      <c r="AX7" s="12">
        <f>'Income Statement'!Y32/1000</f>
        <v>2.2509999999999999</v>
      </c>
      <c r="AY7" s="12">
        <f>'Income Statement'!Z32/1000</f>
        <v>23.443999999999999</v>
      </c>
      <c r="AZ7" s="12">
        <f>'Income Statement'!AA32/1000</f>
        <v>4.9000000000000002E-2</v>
      </c>
      <c r="BA7" s="12">
        <f>'Income Statement'!AB32/1000</f>
        <v>2.1360000000000001</v>
      </c>
      <c r="BB7" s="12">
        <f>'Income Statement'!AC32/1000</f>
        <v>-12.984999999999999</v>
      </c>
      <c r="BC7" s="12">
        <f>'Income Statement'!AD32/1000</f>
        <v>-6.8019999999999996</v>
      </c>
      <c r="BD7" s="12">
        <f>'Income Statement'!AE32/1000</f>
        <v>-17.602</v>
      </c>
      <c r="BE7" s="12">
        <f>'Income Statement'!AF32/1000</f>
        <v>1E-3</v>
      </c>
      <c r="BF7" s="12">
        <f>'Income Statement'!AG32/1000</f>
        <v>6.8000000000000005E-2</v>
      </c>
      <c r="BG7" s="12">
        <f>'Income Statement'!AH32/1000</f>
        <v>0.06</v>
      </c>
      <c r="BH7" s="12">
        <f>'Income Statement'!AI32/1000</f>
        <v>-0.27500000000000002</v>
      </c>
      <c r="BI7" s="12">
        <f>'Income Statement'!AJ32/1000</f>
        <v>-0.14599999999999999</v>
      </c>
      <c r="BJ7" s="12">
        <f>'Income Statement'!AK32/1000</f>
        <v>0.82799999999999996</v>
      </c>
      <c r="BK7" s="12">
        <f>'Income Statement'!AL32/1000</f>
        <v>1.171</v>
      </c>
      <c r="BL7" s="12">
        <f>'Income Statement'!AM32/1000</f>
        <v>0.19800000000000001</v>
      </c>
      <c r="BM7" s="12">
        <f>'Income Statement'!AN32/1000</f>
        <v>0</v>
      </c>
      <c r="BN7" s="12">
        <f>'Income Statement'!AO32/1000</f>
        <v>2.1970000000000001</v>
      </c>
      <c r="BO7" s="12">
        <f>'Income Statement'!AP32/1000</f>
        <v>-5.149</v>
      </c>
      <c r="BP7" s="12">
        <f>'Income Statement'!AQ32/1000</f>
        <v>-7.9779999999999998</v>
      </c>
      <c r="BQ7" s="12">
        <f>'Income Statement'!AR32/1000</f>
        <v>-10.333</v>
      </c>
      <c r="BR7" s="12">
        <f>'Income Statement'!AS32/1000</f>
        <v>4.7210000000000001</v>
      </c>
      <c r="BS7" s="12">
        <f>'Income Statement'!AT32/1000</f>
        <v>-18.739000000000001</v>
      </c>
      <c r="BT7" s="12">
        <f>'Income Statement'!AU32/1000</f>
        <v>-9.4670000000000005</v>
      </c>
      <c r="BU7" s="12">
        <f>'Income Statement'!AV32/1000</f>
        <v>-9.9429999999999996</v>
      </c>
      <c r="BV7" s="12">
        <f>'Income Statement'!AW32/1000</f>
        <v>-8.7850000000000001</v>
      </c>
      <c r="BW7" s="12">
        <f>'Income Statement'!AX32/1000</f>
        <v>-3.262</v>
      </c>
      <c r="BX7" s="12">
        <f>'Income Statement'!AY32/1000</f>
        <v>-31.457000000000001</v>
      </c>
      <c r="BY7" s="12">
        <f>'Income Statement'!AZ32/1000</f>
        <v>-10.095000000000001</v>
      </c>
      <c r="BZ7" s="12">
        <f>'Income Statement'!BA32/1000</f>
        <v>-10.484999999999999</v>
      </c>
      <c r="CA7" s="12">
        <f>'Income Statement'!BB32/1000</f>
        <v>-26.96</v>
      </c>
      <c r="CB7" s="12">
        <f>'Income Statement'!BC32/1000</f>
        <v>-45.655000000000001</v>
      </c>
      <c r="CC7" s="12">
        <f>'Income Statement'!BD32/1000</f>
        <v>-93.194999999999993</v>
      </c>
      <c r="CD7" s="12">
        <f>'Income Statement'!BE32/1000</f>
        <v>-23.928000000000001</v>
      </c>
      <c r="CE7" s="12">
        <f>'Income Statement'!BF32/1000</f>
        <v>8.8729999999999993</v>
      </c>
      <c r="CF7" s="12">
        <f>'Income Statement'!BG32/1000</f>
        <v>3.1829999999999998</v>
      </c>
      <c r="CG7" s="12">
        <f>'Income Statement'!BH32/1000</f>
        <v>-20.105</v>
      </c>
      <c r="CH7" s="12">
        <f>'Income Statement'!BI32/1000</f>
        <v>-31.977</v>
      </c>
      <c r="CI7" s="12">
        <f>'Income Statement'!BJ32/1000</f>
        <v>-4.8070000000000004</v>
      </c>
      <c r="CJ7" s="12">
        <f>'Income Statement'!BK32/1000</f>
        <v>-10.914</v>
      </c>
      <c r="CK7" s="12">
        <f>'Income Statement'!BL32/1000</f>
        <v>-8.5749999999999993</v>
      </c>
      <c r="CL7" s="12">
        <f>'Income Statement'!BM32/1000</f>
        <v>-19.573</v>
      </c>
      <c r="CM7" s="12">
        <f>'Income Statement'!BN32/1000</f>
        <v>-43.869</v>
      </c>
      <c r="CN7" s="12">
        <f>'Income Statement'!BO32/1000</f>
        <v>6.8470000000000004</v>
      </c>
      <c r="CO7" s="12">
        <f>'Income Statement'!BP32/1000</f>
        <v>-121.08499999999999</v>
      </c>
      <c r="CP7" s="12">
        <f>'Income Statement'!BQ32/1000</f>
        <v>27.192</v>
      </c>
      <c r="CQ7" s="12">
        <f>'Income Statement'!BR32/1000</f>
        <v>-17.5</v>
      </c>
      <c r="CR7" s="12">
        <f>'Income Statement'!BS32/1000</f>
        <v>-104.54600000000001</v>
      </c>
      <c r="CS7" s="12">
        <f>'Income Statement'!BT32/1000</f>
        <v>11.195</v>
      </c>
      <c r="CT7" s="12">
        <f>'Income Statement'!BU32/1000</f>
        <v>-26.486000000000001</v>
      </c>
      <c r="CU7" s="12">
        <f>'Income Statement'!BV32/1000</f>
        <v>-122.127</v>
      </c>
      <c r="CV7" s="12">
        <f>'Income Statement'!BW32/1000</f>
        <v>-49.927999999999997</v>
      </c>
      <c r="CW7" s="12">
        <f>'Income Statement'!BX32/1000</f>
        <v>-187.346</v>
      </c>
      <c r="CX7" s="12">
        <f>'Income Statement'!BY32/1000</f>
        <v>-3.4609999999999999</v>
      </c>
      <c r="CY7" s="12">
        <f>'Income Statement'!BZ32/1000</f>
        <v>-6.609</v>
      </c>
      <c r="CZ7" s="12">
        <f>'Income Statement'!CA32/1000</f>
        <v>9.2240000000000002</v>
      </c>
      <c r="DA7" s="12">
        <f>'Income Statement'!CB32/1000</f>
        <v>46.19</v>
      </c>
      <c r="DB7" s="12">
        <f>'Income Statement'!CC32/1000</f>
        <v>45.344000000000001</v>
      </c>
      <c r="DC7" s="12">
        <f>'Income Statement'!CD32/1000</f>
        <v>-23.155999999999999</v>
      </c>
      <c r="DD7" s="12">
        <f>'Income Statement'!CE32/1000</f>
        <v>-7.0629999999999997</v>
      </c>
      <c r="DE7" s="12">
        <f>'Income Statement'!CF32/1000</f>
        <v>-20.140999999999998</v>
      </c>
      <c r="DF7" s="12">
        <f>'Income Statement'!CG32/1000</f>
        <v>38.137999999999998</v>
      </c>
      <c r="DG7" s="12">
        <f>'Income Statement'!CH32/1000</f>
        <v>-12.222</v>
      </c>
      <c r="DH7" s="12">
        <f>'Income Statement'!CI32/1000</f>
        <v>-20.239000000000001</v>
      </c>
      <c r="DI7" s="12">
        <f>'Income Statement'!CJ32/1000</f>
        <v>-4.2759999999999998</v>
      </c>
      <c r="DJ7" s="12">
        <f>'Income Statement'!CK32/1000</f>
        <v>-24.315000000000001</v>
      </c>
      <c r="DK7" s="12">
        <f>'Income Statement'!CL32/1000</f>
        <v>-1.921</v>
      </c>
      <c r="DL7" s="12">
        <f>'Income Statement'!CM32/1000</f>
        <v>-50.750999999999998</v>
      </c>
      <c r="DM7" s="12">
        <f>'Income Statement'!CN32/1000</f>
        <v>-21.951000000000001</v>
      </c>
      <c r="DN7" s="12">
        <f>'Income Statement'!CO32/1000</f>
        <v>-12.544</v>
      </c>
      <c r="DO7" s="12">
        <f>'Income Statement'!CP32/1000</f>
        <v>50.622</v>
      </c>
      <c r="DP7" s="12">
        <f>'Income Statement'!CQ32/1000</f>
        <v>15.888999999999999</v>
      </c>
      <c r="DQ7" s="12">
        <f>'Income Statement'!CR32/1000</f>
        <v>32.015999999999998</v>
      </c>
      <c r="DR7" s="12">
        <f>'Income Statement'!CS32/1000</f>
        <v>-8.3409999999999993</v>
      </c>
      <c r="DS7" s="12">
        <f>'Income Statement'!CT32/1000</f>
        <v>32.601999999999997</v>
      </c>
      <c r="DT7" s="12">
        <f>'Income Statement'!CU32/1000</f>
        <v>-11.723000000000001</v>
      </c>
      <c r="DU7" s="12">
        <f>'Income Statement'!CV32/1000</f>
        <v>-46.524999999999999</v>
      </c>
      <c r="DV7" s="12">
        <f>'Income Statement'!CW32/1000</f>
        <v>-33.987000000000002</v>
      </c>
      <c r="DW7" s="12">
        <f>'Income Statement'!CX32/1000</f>
        <v>4.97</v>
      </c>
      <c r="DX7" s="12">
        <f>'Income Statement'!CY32/1000</f>
        <v>5.8730000000000002</v>
      </c>
      <c r="DY7" s="12">
        <f>'Income Statement'!CZ32/1000</f>
        <v>36.576000000000001</v>
      </c>
      <c r="DZ7" s="12">
        <f>'Income Statement'!DA32/1000</f>
        <v>-13.647</v>
      </c>
      <c r="EA7" s="12">
        <f>'Income Statement'!DB32/1000</f>
        <v>33.771999999999998</v>
      </c>
      <c r="EB7" s="417"/>
    </row>
    <row r="8" spans="1:132" s="7" customFormat="1">
      <c r="A8" s="13" t="s">
        <v>233</v>
      </c>
      <c r="B8" s="433"/>
      <c r="C8" s="433"/>
      <c r="D8" s="433"/>
      <c r="E8" s="433"/>
      <c r="F8" s="43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417"/>
    </row>
    <row r="9" spans="1:132" s="7" customFormat="1">
      <c r="A9" s="11" t="s">
        <v>234</v>
      </c>
      <c r="B9" s="418"/>
      <c r="C9" s="418"/>
      <c r="D9" s="418"/>
      <c r="E9" s="418"/>
      <c r="F9" s="418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>
        <f>'Income Statement'!B35/1000</f>
        <v>0</v>
      </c>
      <c r="AB9" s="12">
        <f>'Income Statement'!C35/1000</f>
        <v>0</v>
      </c>
      <c r="AC9" s="12">
        <f>'Income Statement'!D35/1000</f>
        <v>0</v>
      </c>
      <c r="AD9" s="12">
        <f>'Income Statement'!E35/1000</f>
        <v>0</v>
      </c>
      <c r="AE9" s="12">
        <f>'Income Statement'!F35/1000</f>
        <v>0</v>
      </c>
      <c r="AF9" s="12">
        <f>'Income Statement'!G35/1000</f>
        <v>0</v>
      </c>
      <c r="AG9" s="12">
        <f>'Income Statement'!H35/1000</f>
        <v>0</v>
      </c>
      <c r="AH9" s="12">
        <f>'Income Statement'!I35/1000</f>
        <v>0</v>
      </c>
      <c r="AI9" s="12">
        <f>'Income Statement'!J35/1000</f>
        <v>0</v>
      </c>
      <c r="AJ9" s="12">
        <f>'Income Statement'!K35/1000</f>
        <v>0</v>
      </c>
      <c r="AK9" s="12">
        <f>'Income Statement'!L35/1000</f>
        <v>-0.27700000000000002</v>
      </c>
      <c r="AL9" s="12">
        <f>'Income Statement'!M35/1000</f>
        <v>0</v>
      </c>
      <c r="AM9" s="12">
        <f>'Income Statement'!N35/1000</f>
        <v>0</v>
      </c>
      <c r="AN9" s="12">
        <f>'Income Statement'!O35/1000</f>
        <v>0</v>
      </c>
      <c r="AO9" s="12">
        <f>'Income Statement'!P35/1000</f>
        <v>-0.27700000000000002</v>
      </c>
      <c r="AP9" s="12">
        <f>'Income Statement'!Q35/1000</f>
        <v>-4.0460000000000003</v>
      </c>
      <c r="AQ9" s="12">
        <f>'Income Statement'!R35/1000</f>
        <v>0</v>
      </c>
      <c r="AR9" s="12">
        <f>'Income Statement'!S35/1000</f>
        <v>7.6680000000000001</v>
      </c>
      <c r="AS9" s="12">
        <f>'Income Statement'!T35/1000</f>
        <v>-12.593999999999999</v>
      </c>
      <c r="AT9" s="12">
        <f>'Income Statement'!U35/1000</f>
        <v>-8.9719999999999995</v>
      </c>
      <c r="AU9" s="12">
        <f>'Income Statement'!V35/1000</f>
        <v>-11.79</v>
      </c>
      <c r="AV9" s="12">
        <f>'Income Statement'!W35/1000</f>
        <v>-8.6880000000000006</v>
      </c>
      <c r="AW9" s="12">
        <f>'Income Statement'!X35/1000</f>
        <v>-6.9290000000000003</v>
      </c>
      <c r="AX9" s="12">
        <f>'Income Statement'!Y35/1000</f>
        <v>-15.348000000000001</v>
      </c>
      <c r="AY9" s="12">
        <f>'Income Statement'!Z35/1000</f>
        <v>-42.755000000000003</v>
      </c>
      <c r="AZ9" s="12">
        <f>'Income Statement'!AA35/1000</f>
        <v>-2.5070000000000001</v>
      </c>
      <c r="BA9" s="12">
        <f>'Income Statement'!AB35/1000</f>
        <v>11.053000000000001</v>
      </c>
      <c r="BB9" s="12">
        <f>'Income Statement'!AC35/1000</f>
        <v>16.914000000000001</v>
      </c>
      <c r="BC9" s="12">
        <f>'Income Statement'!AD35/1000</f>
        <v>4.992</v>
      </c>
      <c r="BD9" s="12">
        <f>'Income Statement'!AE35/1000</f>
        <v>30.452000000000002</v>
      </c>
      <c r="BE9" s="12">
        <f>'Income Statement'!AF35/1000</f>
        <v>-15.641</v>
      </c>
      <c r="BF9" s="12">
        <f>'Income Statement'!AG35/1000</f>
        <v>0</v>
      </c>
      <c r="BG9" s="12">
        <f>'Income Statement'!AH35/1000</f>
        <v>-10.754</v>
      </c>
      <c r="BH9" s="12">
        <f>'Income Statement'!AI35/1000</f>
        <v>-6.7350000000000003</v>
      </c>
      <c r="BI9" s="12">
        <f>'Income Statement'!AJ35/1000</f>
        <v>-33.130000000000003</v>
      </c>
      <c r="BJ9" s="12">
        <f>'Income Statement'!AK35/1000</f>
        <v>-2.9430000000000001</v>
      </c>
      <c r="BK9" s="12">
        <f>'Income Statement'!AL35/1000</f>
        <v>-2.802</v>
      </c>
      <c r="BL9" s="12">
        <f>'Income Statement'!AM35/1000</f>
        <v>-4.2160000000000002</v>
      </c>
      <c r="BM9" s="12">
        <f>'Income Statement'!AN35/1000</f>
        <v>-43.448</v>
      </c>
      <c r="BN9" s="12">
        <f>'Income Statement'!AO35/1000</f>
        <v>-53.408999999999999</v>
      </c>
      <c r="BO9" s="12">
        <f>'Income Statement'!AP35/1000</f>
        <v>2.1080000000000001</v>
      </c>
      <c r="BP9" s="12">
        <f>'Income Statement'!AQ35/1000</f>
        <v>39.335000000000001</v>
      </c>
      <c r="BQ9" s="12">
        <f>'Income Statement'!AR35/1000</f>
        <v>-4.032</v>
      </c>
      <c r="BR9" s="12">
        <f>'Income Statement'!AS35/1000</f>
        <v>12.885</v>
      </c>
      <c r="BS9" s="12">
        <f>'Income Statement'!AT35/1000</f>
        <v>50.295999999999999</v>
      </c>
      <c r="BT9" s="12">
        <f>'Income Statement'!AU35/1000</f>
        <v>21.718</v>
      </c>
      <c r="BU9" s="12">
        <f>'Income Statement'!AV35/1000</f>
        <v>19.898</v>
      </c>
      <c r="BV9" s="12">
        <f>'Income Statement'!AW35/1000</f>
        <v>20.963999999999999</v>
      </c>
      <c r="BW9" s="12">
        <f>'Income Statement'!AX35/1000</f>
        <v>44.05</v>
      </c>
      <c r="BX9" s="12">
        <f>'Income Statement'!AY35/1000</f>
        <v>106.63</v>
      </c>
      <c r="BY9" s="12">
        <f>'Income Statement'!AZ35/1000</f>
        <v>4.3079999999999998</v>
      </c>
      <c r="BZ9" s="12">
        <f>'Income Statement'!BA35/1000</f>
        <v>31.768000000000001</v>
      </c>
      <c r="CA9" s="12">
        <f>'Income Statement'!BB35/1000</f>
        <v>37.780999999999999</v>
      </c>
      <c r="CB9" s="12">
        <f>'Income Statement'!BC35/1000</f>
        <v>44.8</v>
      </c>
      <c r="CC9" s="12">
        <f>'Income Statement'!BD35/1000</f>
        <v>118.657</v>
      </c>
      <c r="CD9" s="12">
        <f>'Income Statement'!BE35/1000</f>
        <v>11.42</v>
      </c>
      <c r="CE9" s="12">
        <f>'Income Statement'!BF35/1000</f>
        <v>15.981999999999999</v>
      </c>
      <c r="CF9" s="12">
        <f>'Income Statement'!BG35/1000</f>
        <v>31.03</v>
      </c>
      <c r="CG9" s="12">
        <f>'Income Statement'!BH35/1000</f>
        <v>15.218999999999999</v>
      </c>
      <c r="CH9" s="12">
        <f>'Income Statement'!BI35/1000</f>
        <v>73.650999999999996</v>
      </c>
      <c r="CI9" s="12">
        <f>'Income Statement'!BJ35/1000</f>
        <v>6.8819999999999997</v>
      </c>
      <c r="CJ9" s="12">
        <f>'Income Statement'!BK35/1000</f>
        <v>12.736000000000001</v>
      </c>
      <c r="CK9" s="12">
        <f>'Income Statement'!BL35/1000</f>
        <v>5.7949999999999999</v>
      </c>
      <c r="CL9" s="12">
        <f>'Income Statement'!BM35/1000</f>
        <v>34.313000000000002</v>
      </c>
      <c r="CM9" s="12">
        <f>'Income Statement'!BN35/1000</f>
        <v>59.725999999999999</v>
      </c>
      <c r="CN9" s="12">
        <f>'Income Statement'!BO35/1000</f>
        <v>1.752</v>
      </c>
      <c r="CO9" s="12">
        <f>'Income Statement'!BP35/1000</f>
        <v>34.35</v>
      </c>
      <c r="CP9" s="12">
        <f>'Income Statement'!BQ35/1000</f>
        <v>25.084</v>
      </c>
      <c r="CQ9" s="12">
        <f>'Income Statement'!BR35/1000</f>
        <v>66.179000000000002</v>
      </c>
      <c r="CR9" s="12">
        <f>'Income Statement'!BS35/1000</f>
        <v>127.36499999999999</v>
      </c>
      <c r="CS9" s="12">
        <f>'Income Statement'!BT35/1000</f>
        <v>10.148999999999999</v>
      </c>
      <c r="CT9" s="12">
        <f>'Income Statement'!BU35/1000</f>
        <v>14.023999999999999</v>
      </c>
      <c r="CU9" s="12">
        <f>'Income Statement'!BV35/1000</f>
        <v>22.686</v>
      </c>
      <c r="CV9" s="12">
        <f>'Income Statement'!BW35/1000</f>
        <v>60.795000000000002</v>
      </c>
      <c r="CW9" s="12">
        <f>'Income Statement'!BX35/1000</f>
        <v>107.654</v>
      </c>
      <c r="CX9" s="12">
        <f>'Income Statement'!BY35/1000</f>
        <v>-0.84199999999999997</v>
      </c>
      <c r="CY9" s="12">
        <f>'Income Statement'!BZ35/1000</f>
        <v>51.491</v>
      </c>
      <c r="CZ9" s="12">
        <f>'Income Statement'!CA35/1000</f>
        <v>35.78</v>
      </c>
      <c r="DA9" s="12">
        <f>'Income Statement'!CB35/1000</f>
        <v>17.771000000000001</v>
      </c>
      <c r="DB9" s="12">
        <f>'Income Statement'!CC35/1000</f>
        <v>104.2</v>
      </c>
      <c r="DC9" s="12">
        <f>'Income Statement'!CD35/1000</f>
        <v>10.692</v>
      </c>
      <c r="DD9" s="12">
        <f>'Income Statement'!CE35/1000</f>
        <v>21.466999999999999</v>
      </c>
      <c r="DE9" s="12">
        <f>'Income Statement'!CF35/1000</f>
        <v>64.8</v>
      </c>
      <c r="DF9" s="12">
        <f>'Income Statement'!CG35/1000</f>
        <v>58.753</v>
      </c>
      <c r="DG9" s="12">
        <f>'Income Statement'!CH35/1000</f>
        <v>155.71199999999999</v>
      </c>
      <c r="DH9" s="12">
        <f>'Income Statement'!CI35/1000</f>
        <v>79.016999999999996</v>
      </c>
      <c r="DI9" s="12">
        <f>'Income Statement'!CJ35/1000</f>
        <v>74.405000000000001</v>
      </c>
      <c r="DJ9" s="12">
        <f>'Income Statement'!CK35/1000</f>
        <v>78.320999999999998</v>
      </c>
      <c r="DK9" s="12">
        <f>'Income Statement'!CL35/1000</f>
        <v>65.424000000000007</v>
      </c>
      <c r="DL9" s="12">
        <f>'Income Statement'!CM35/1000</f>
        <v>297.16699999999997</v>
      </c>
      <c r="DM9" s="12">
        <f>'Income Statement'!CN35/1000</f>
        <v>60.334000000000003</v>
      </c>
      <c r="DN9" s="12">
        <f>'Income Statement'!CO35/1000</f>
        <v>38.723999999999997</v>
      </c>
      <c r="DO9" s="12">
        <f>'Income Statement'!CP35/1000</f>
        <v>59.701000000000001</v>
      </c>
      <c r="DP9" s="12">
        <f>'Income Statement'!CQ35/1000</f>
        <v>58.326000000000001</v>
      </c>
      <c r="DQ9" s="12">
        <f>'Income Statement'!CR35/1000</f>
        <v>217.08500000000001</v>
      </c>
      <c r="DR9" s="12">
        <f>'Income Statement'!CS35/1000</f>
        <v>47.137999999999998</v>
      </c>
      <c r="DS9" s="12">
        <f>'Income Statement'!CT35/1000</f>
        <v>33.021000000000001</v>
      </c>
      <c r="DT9" s="12">
        <f>'Income Statement'!CU35/1000</f>
        <v>89.43</v>
      </c>
      <c r="DU9" s="12">
        <f>'Income Statement'!CV35/1000</f>
        <v>92.47</v>
      </c>
      <c r="DV9" s="12">
        <f>'Income Statement'!CW35/1000</f>
        <v>262.05900000000003</v>
      </c>
      <c r="DW9" s="12">
        <f>'Income Statement'!CX35/1000</f>
        <v>100.89100000000001</v>
      </c>
      <c r="DX9" s="12">
        <f>'Income Statement'!CY35/1000</f>
        <v>116.467</v>
      </c>
      <c r="DY9" s="12">
        <f>'Income Statement'!CZ35/1000</f>
        <v>135.91399999999999</v>
      </c>
      <c r="DZ9" s="12">
        <f>'Income Statement'!DA35/1000</f>
        <v>147.608</v>
      </c>
      <c r="EA9" s="12">
        <f>'Income Statement'!DB35/1000</f>
        <v>500.88</v>
      </c>
      <c r="EB9" s="417"/>
    </row>
    <row r="10" spans="1:132" s="7" customFormat="1">
      <c r="A10" s="11" t="s">
        <v>235</v>
      </c>
      <c r="B10" s="418"/>
      <c r="C10" s="418"/>
      <c r="D10" s="418"/>
      <c r="E10" s="418"/>
      <c r="F10" s="418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417"/>
    </row>
    <row r="11" spans="1:132" s="7" customFormat="1">
      <c r="A11" s="11" t="s">
        <v>236</v>
      </c>
      <c r="B11" s="418"/>
      <c r="C11" s="418"/>
      <c r="D11" s="418"/>
      <c r="E11" s="418"/>
      <c r="F11" s="418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417"/>
    </row>
    <row r="12" spans="1:132" s="7" customFormat="1">
      <c r="A12" s="13" t="s">
        <v>237</v>
      </c>
      <c r="B12" s="433"/>
      <c r="C12" s="433"/>
      <c r="D12" s="433"/>
      <c r="E12" s="433"/>
      <c r="F12" s="43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417"/>
    </row>
    <row r="13" spans="1:132" s="7" customFormat="1">
      <c r="A13" s="11" t="s">
        <v>238</v>
      </c>
      <c r="B13" s="418"/>
      <c r="C13" s="418"/>
      <c r="D13" s="418"/>
      <c r="E13" s="418"/>
      <c r="F13" s="418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417"/>
    </row>
    <row r="14" spans="1:132" s="7" customFormat="1">
      <c r="A14" s="11" t="s">
        <v>239</v>
      </c>
      <c r="B14" s="418"/>
      <c r="C14" s="418"/>
      <c r="D14" s="418"/>
      <c r="E14" s="418"/>
      <c r="F14" s="418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>
        <f>'Income Statement'!B34/1000+'Income Statement'!B30/1000</f>
        <v>0</v>
      </c>
      <c r="AB14" s="12">
        <f>'Income Statement'!C34/1000+'Income Statement'!C30/1000</f>
        <v>0</v>
      </c>
      <c r="AC14" s="12">
        <f>'Income Statement'!D34/1000+'Income Statement'!D30/1000</f>
        <v>0</v>
      </c>
      <c r="AD14" s="12">
        <f>'Income Statement'!E34/1000+'Income Statement'!E30/1000</f>
        <v>0</v>
      </c>
      <c r="AE14" s="12">
        <f>'Income Statement'!F34/1000+'Income Statement'!F30/1000</f>
        <v>0</v>
      </c>
      <c r="AF14" s="12">
        <f>'Income Statement'!G34/1000+'Income Statement'!G30/1000</f>
        <v>0</v>
      </c>
      <c r="AG14" s="12">
        <f>'Income Statement'!H34/1000+'Income Statement'!H30/1000</f>
        <v>0</v>
      </c>
      <c r="AH14" s="12">
        <f>'Income Statement'!I34/1000+'Income Statement'!I30/1000</f>
        <v>-25.725999999999999</v>
      </c>
      <c r="AI14" s="12">
        <f>'Income Statement'!J34/1000+'Income Statement'!J30/1000</f>
        <v>0</v>
      </c>
      <c r="AJ14" s="12">
        <f>'Income Statement'!K34/1000+'Income Statement'!K30/1000</f>
        <v>-25.725999999999999</v>
      </c>
      <c r="AK14" s="12">
        <f>'Income Statement'!L34/1000+'Income Statement'!L30/1000</f>
        <v>0</v>
      </c>
      <c r="AL14" s="12">
        <f>'Income Statement'!M34/1000+'Income Statement'!M30/1000</f>
        <v>-1.1140000000000001</v>
      </c>
      <c r="AM14" s="12">
        <f>'Income Statement'!N34/1000+'Income Statement'!N30/1000</f>
        <v>-19.713000000000001</v>
      </c>
      <c r="AN14" s="12">
        <f>'Income Statement'!O34/1000+'Income Statement'!O30/1000</f>
        <v>0</v>
      </c>
      <c r="AO14" s="12">
        <f>'Income Statement'!P34/1000+'Income Statement'!P30/1000</f>
        <v>-20.827000000000002</v>
      </c>
      <c r="AP14" s="12">
        <f>'Income Statement'!Q34/1000+'Income Statement'!Q30/1000</f>
        <v>0</v>
      </c>
      <c r="AQ14" s="12">
        <f>'Income Statement'!R34/1000+'Income Statement'!R30/1000</f>
        <v>112.89400000000001</v>
      </c>
      <c r="AR14" s="12">
        <f>'Income Statement'!S34/1000+'Income Statement'!S30/1000</f>
        <v>0</v>
      </c>
      <c r="AS14" s="12">
        <f>'Income Statement'!T34/1000+'Income Statement'!T30/1000</f>
        <v>0</v>
      </c>
      <c r="AT14" s="12">
        <f>'Income Statement'!U34/1000+'Income Statement'!U30/1000</f>
        <v>112.89400000000001</v>
      </c>
      <c r="AU14" s="12">
        <f>'Income Statement'!V34/1000+'Income Statement'!V30/1000</f>
        <v>0</v>
      </c>
      <c r="AV14" s="12">
        <f>'Income Statement'!W34/1000+'Income Statement'!W30/1000</f>
        <v>0</v>
      </c>
      <c r="AW14" s="12">
        <f>'Income Statement'!X34/1000+'Income Statement'!X30/1000</f>
        <v>0</v>
      </c>
      <c r="AX14" s="12">
        <f>'Income Statement'!Y34/1000+'Income Statement'!Y30/1000</f>
        <v>0</v>
      </c>
      <c r="AY14" s="12">
        <f>'Income Statement'!Z34/1000+'Income Statement'!Z30/1000</f>
        <v>0</v>
      </c>
      <c r="AZ14" s="12">
        <f>'Income Statement'!AA34/1000+'Income Statement'!AA30/1000</f>
        <v>0</v>
      </c>
      <c r="BA14" s="12">
        <f>'Income Statement'!AB34/1000+'Income Statement'!AB30/1000</f>
        <v>0</v>
      </c>
      <c r="BB14" s="12">
        <f>'Income Statement'!AC34/1000+'Income Statement'!AC30/1000</f>
        <v>80.632000000000005</v>
      </c>
      <c r="BC14" s="12">
        <f>'Income Statement'!AD34/1000+'Income Statement'!AD30/1000</f>
        <v>0</v>
      </c>
      <c r="BD14" s="12">
        <f>'Income Statement'!AE34/1000+'Income Statement'!AE30/1000</f>
        <v>80.632000000000005</v>
      </c>
      <c r="BE14" s="12">
        <f>'Income Statement'!AF34/1000+'Income Statement'!AF30/1000</f>
        <v>0</v>
      </c>
      <c r="BF14" s="12">
        <f>'Income Statement'!AG34/1000+'Income Statement'!AG30/1000</f>
        <v>0</v>
      </c>
      <c r="BG14" s="12">
        <f>'Income Statement'!AH34/1000+'Income Statement'!AH30/1000</f>
        <v>0</v>
      </c>
      <c r="BH14" s="12">
        <f>'Income Statement'!AI34/1000+'Income Statement'!AI30/1000</f>
        <v>0</v>
      </c>
      <c r="BI14" s="12">
        <f>'Income Statement'!AJ34/1000+'Income Statement'!AJ30/1000</f>
        <v>0</v>
      </c>
      <c r="BJ14" s="12">
        <f>'Income Statement'!AK34/1000+'Income Statement'!AK30/1000</f>
        <v>0</v>
      </c>
      <c r="BK14" s="12">
        <f>'Income Statement'!AL34/1000+'Income Statement'!AL30/1000</f>
        <v>0</v>
      </c>
      <c r="BL14" s="12">
        <f>'Income Statement'!AM34/1000+'Income Statement'!AM30/1000</f>
        <v>0</v>
      </c>
      <c r="BM14" s="12">
        <f>'Income Statement'!AN34/1000+'Income Statement'!AN30/1000</f>
        <v>-36.22</v>
      </c>
      <c r="BN14" s="12">
        <f>'Income Statement'!AO34/1000+'Income Statement'!AO30/1000</f>
        <v>-36.22</v>
      </c>
      <c r="BO14" s="12">
        <f>'Income Statement'!AP34/1000+'Income Statement'!AP30/1000</f>
        <v>-18</v>
      </c>
      <c r="BP14" s="12">
        <f>'Income Statement'!AQ34/1000+'Income Statement'!AQ30/1000</f>
        <v>0</v>
      </c>
      <c r="BQ14" s="12">
        <f>'Income Statement'!AR34/1000+'Income Statement'!AR30/1000</f>
        <v>0</v>
      </c>
      <c r="BR14" s="12">
        <f>'Income Statement'!AS34/1000+'Income Statement'!AS30/1000</f>
        <v>0</v>
      </c>
      <c r="BS14" s="12">
        <f>'Income Statement'!AT34/1000+'Income Statement'!AT30/1000</f>
        <v>-18</v>
      </c>
      <c r="BT14" s="12">
        <f>'Income Statement'!AU34/1000+'Income Statement'!AU30/1000</f>
        <v>0</v>
      </c>
      <c r="BU14" s="12">
        <f>'Income Statement'!AV34/1000+'Income Statement'!AV30/1000</f>
        <v>-6</v>
      </c>
      <c r="BV14" s="12">
        <f>'Income Statement'!AW34/1000+'Income Statement'!AW30/1000</f>
        <v>0</v>
      </c>
      <c r="BW14" s="12">
        <f>'Income Statement'!AX34/1000+'Income Statement'!AX30/1000</f>
        <v>0</v>
      </c>
      <c r="BX14" s="12">
        <f>'Income Statement'!AY34/1000+'Income Statement'!AY30/1000</f>
        <v>-6</v>
      </c>
      <c r="BY14" s="12">
        <f>'Income Statement'!AZ34/1000+'Income Statement'!AZ30/1000</f>
        <v>0</v>
      </c>
      <c r="BZ14" s="12">
        <f>'Income Statement'!BA34/1000+'Income Statement'!BA30/1000</f>
        <v>0</v>
      </c>
      <c r="CA14" s="12">
        <f>'Income Statement'!BB34/1000+'Income Statement'!BB30/1000</f>
        <v>0</v>
      </c>
      <c r="CB14" s="12">
        <f>'Income Statement'!BC34/1000+'Income Statement'!BC30/1000</f>
        <v>0</v>
      </c>
      <c r="CC14" s="12">
        <f>'Income Statement'!BD34/1000+'Income Statement'!BD30/1000</f>
        <v>0</v>
      </c>
      <c r="CD14" s="12">
        <f>'Income Statement'!BE34/1000+'Income Statement'!BE30/1000</f>
        <v>0</v>
      </c>
      <c r="CE14" s="12">
        <f>'Income Statement'!BF34/1000+'Income Statement'!BF30/1000</f>
        <v>0</v>
      </c>
      <c r="CF14" s="12">
        <f>'Income Statement'!BG34/1000+'Income Statement'!BG30/1000</f>
        <v>0</v>
      </c>
      <c r="CG14" s="12">
        <f>'Income Statement'!BH34/1000+'Income Statement'!BH30/1000</f>
        <v>0</v>
      </c>
      <c r="CH14" s="12">
        <f>'Income Statement'!BI34/1000+'Income Statement'!BI30/1000</f>
        <v>0</v>
      </c>
      <c r="CI14" s="12">
        <f>'Income Statement'!BJ34/1000+'Income Statement'!BJ30/1000</f>
        <v>0</v>
      </c>
      <c r="CJ14" s="12">
        <f>'Income Statement'!BK34/1000+'Income Statement'!BK30/1000</f>
        <v>0</v>
      </c>
      <c r="CK14" s="12">
        <f>'Income Statement'!BL34/1000+'Income Statement'!BL30/1000</f>
        <v>0</v>
      </c>
      <c r="CL14" s="12">
        <f>'Income Statement'!BM34/1000+'Income Statement'!BM30/1000</f>
        <v>0</v>
      </c>
      <c r="CM14" s="12">
        <f>'Income Statement'!BN34/1000+'Income Statement'!BN30/1000</f>
        <v>0</v>
      </c>
      <c r="CN14" s="12">
        <f>'Income Statement'!BO34/1000+'Income Statement'!BO30/1000</f>
        <v>0</v>
      </c>
      <c r="CO14" s="12">
        <f>'Income Statement'!BP34/1000+'Income Statement'!BP30/1000</f>
        <v>0</v>
      </c>
      <c r="CP14" s="12">
        <f>'Income Statement'!BQ34/1000+'Income Statement'!BQ30/1000</f>
        <v>0</v>
      </c>
      <c r="CQ14" s="12">
        <f>'Income Statement'!BR34/1000+'Income Statement'!BR30/1000</f>
        <v>0</v>
      </c>
      <c r="CR14" s="12">
        <f>'Income Statement'!BS34/1000+'Income Statement'!BS30/1000</f>
        <v>0</v>
      </c>
      <c r="CS14" s="12">
        <f>'Income Statement'!BT34/1000+'Income Statement'!BT30/1000</f>
        <v>0</v>
      </c>
      <c r="CT14" s="12">
        <f>'Income Statement'!BU34/1000+'Income Statement'!BU30/1000</f>
        <v>0</v>
      </c>
      <c r="CU14" s="12">
        <f>'Income Statement'!BV34/1000+'Income Statement'!BV30/1000</f>
        <v>0</v>
      </c>
      <c r="CV14" s="12">
        <f>'Income Statement'!BW34/1000+'Income Statement'!BW30/1000</f>
        <v>20</v>
      </c>
      <c r="CW14" s="12">
        <f>'Income Statement'!BX34/1000+'Income Statement'!BX30/1000</f>
        <v>20</v>
      </c>
      <c r="CX14" s="12">
        <f>'Income Statement'!BY34/1000+'Income Statement'!BY30/1000</f>
        <v>0</v>
      </c>
      <c r="CY14" s="12">
        <f>'Income Statement'!BZ34/1000+'Income Statement'!BZ30/1000</f>
        <v>0</v>
      </c>
      <c r="CZ14" s="12">
        <f>'Income Statement'!CA34/1000+'Income Statement'!CA30/1000</f>
        <v>0</v>
      </c>
      <c r="DA14" s="12">
        <f>'Income Statement'!CB34/1000+'Income Statement'!CB30/1000</f>
        <v>0</v>
      </c>
      <c r="DB14" s="12">
        <f>'Income Statement'!CC34/1000+'Income Statement'!CC30/1000</f>
        <v>0</v>
      </c>
      <c r="DC14" s="12">
        <f>'Income Statement'!CD34/1000+'Income Statement'!CD30/1000</f>
        <v>0</v>
      </c>
      <c r="DD14" s="12">
        <f>'Income Statement'!CE34/1000+'Income Statement'!CE30/1000</f>
        <v>0</v>
      </c>
      <c r="DE14" s="12">
        <f>'Income Statement'!CF34/1000+'Income Statement'!CF30/1000</f>
        <v>1153</v>
      </c>
      <c r="DF14" s="12">
        <f>'Income Statement'!CG34/1000+'Income Statement'!CG30/1000</f>
        <v>0</v>
      </c>
      <c r="DG14" s="12">
        <f>'Income Statement'!CH34/1000+'Income Statement'!CH30/1000</f>
        <v>1153</v>
      </c>
      <c r="DH14" s="12">
        <f>'Income Statement'!CI34/1000+'Income Statement'!CI30/1000</f>
        <v>0</v>
      </c>
      <c r="DI14" s="12">
        <f>'Income Statement'!CJ34/1000+'Income Statement'!CJ30/1000</f>
        <v>0</v>
      </c>
      <c r="DJ14" s="12">
        <f>'Income Statement'!CK34/1000+'Income Statement'!CK30/1000</f>
        <v>0</v>
      </c>
      <c r="DK14" s="12">
        <f>'Income Statement'!CL34/1000+'Income Statement'!CL30/1000</f>
        <v>0</v>
      </c>
      <c r="DL14" s="12">
        <f>'Income Statement'!CM34/1000+'Income Statement'!CM30/1000</f>
        <v>0</v>
      </c>
      <c r="DM14" s="12">
        <f>'Income Statement'!CN34/1000+'Income Statement'!CN30/1000</f>
        <v>0</v>
      </c>
      <c r="DN14" s="12">
        <f>'Income Statement'!CO34/1000+'Income Statement'!CO30/1000</f>
        <v>0</v>
      </c>
      <c r="DO14" s="12">
        <f>'Income Statement'!CP34/1000+'Income Statement'!CP30/1000</f>
        <v>0</v>
      </c>
      <c r="DP14" s="12">
        <f>'Income Statement'!CQ34/1000+'Income Statement'!CQ30/1000</f>
        <v>0</v>
      </c>
      <c r="DQ14" s="12">
        <f>'Income Statement'!CR34/1000+'Income Statement'!CR30/1000</f>
        <v>0</v>
      </c>
      <c r="DR14" s="12">
        <f>'Income Statement'!CS34/1000+'Income Statement'!CS30/1000</f>
        <v>0</v>
      </c>
      <c r="DS14" s="12">
        <f>'Income Statement'!CT34/1000+'Income Statement'!CT30/1000</f>
        <v>0</v>
      </c>
      <c r="DT14" s="12">
        <f>'Income Statement'!CU34/1000+'Income Statement'!CU30/1000</f>
        <v>0</v>
      </c>
      <c r="DU14" s="12">
        <f>'Income Statement'!CV34/1000+'Income Statement'!CV30/1000</f>
        <v>0</v>
      </c>
      <c r="DV14" s="12">
        <f>'Income Statement'!CW34/1000+'Income Statement'!CW30/1000</f>
        <v>0</v>
      </c>
      <c r="DW14" s="12">
        <f>'Income Statement'!CX34/1000+'Income Statement'!CX30/1000</f>
        <v>0</v>
      </c>
      <c r="DX14" s="12">
        <f>'Income Statement'!CY34/1000+'Income Statement'!CY30/1000</f>
        <v>0</v>
      </c>
      <c r="DY14" s="12">
        <f>'Income Statement'!CZ34/1000+'Income Statement'!CZ30/1000</f>
        <v>0</v>
      </c>
      <c r="DZ14" s="12">
        <f>'Income Statement'!DA34/1000+'Income Statement'!DA30/1000</f>
        <v>0</v>
      </c>
      <c r="EA14" s="12">
        <f>'Income Statement'!DB34/1000+'Income Statement'!DB30/1000</f>
        <v>0</v>
      </c>
      <c r="EB14" s="417"/>
    </row>
    <row r="15" spans="1:132" s="7" customFormat="1">
      <c r="A15" s="11" t="s">
        <v>240</v>
      </c>
      <c r="B15" s="418"/>
      <c r="C15" s="418"/>
      <c r="D15" s="418"/>
      <c r="E15" s="418"/>
      <c r="F15" s="418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>
        <f>'Income Statement'!B37/1000</f>
        <v>0</v>
      </c>
      <c r="AB15" s="12">
        <f>'Income Statement'!C37/1000</f>
        <v>0</v>
      </c>
      <c r="AC15" s="12">
        <f>'Income Statement'!D37/1000</f>
        <v>0</v>
      </c>
      <c r="AD15" s="12">
        <f>'Income Statement'!E37/1000</f>
        <v>0</v>
      </c>
      <c r="AE15" s="12">
        <f>'Income Statement'!F37/1000</f>
        <v>0</v>
      </c>
      <c r="AF15" s="12">
        <f>'Income Statement'!G37/1000</f>
        <v>0</v>
      </c>
      <c r="AG15" s="12">
        <f>'Income Statement'!H37/1000</f>
        <v>0</v>
      </c>
      <c r="AH15" s="12">
        <f>'Income Statement'!I37/1000</f>
        <v>0</v>
      </c>
      <c r="AI15" s="12">
        <f>'Income Statement'!J37/1000</f>
        <v>0</v>
      </c>
      <c r="AJ15" s="12">
        <f>'Income Statement'!K37/1000</f>
        <v>0</v>
      </c>
      <c r="AK15" s="12">
        <f>'Income Statement'!L37/1000</f>
        <v>0</v>
      </c>
      <c r="AL15" s="12">
        <f>'Income Statement'!M37/1000</f>
        <v>0</v>
      </c>
      <c r="AM15" s="12">
        <f>'Income Statement'!N37/1000</f>
        <v>0</v>
      </c>
      <c r="AN15" s="12">
        <f>'Income Statement'!O37/1000</f>
        <v>0</v>
      </c>
      <c r="AO15" s="12">
        <f>'Income Statement'!P37/1000</f>
        <v>0</v>
      </c>
      <c r="AP15" s="12">
        <f>'Income Statement'!Q37/1000</f>
        <v>0</v>
      </c>
      <c r="AQ15" s="12">
        <f>'Income Statement'!R37/1000</f>
        <v>0</v>
      </c>
      <c r="AR15" s="12">
        <f>'Income Statement'!S37/1000</f>
        <v>0</v>
      </c>
      <c r="AS15" s="12">
        <f>'Income Statement'!T37/1000</f>
        <v>0</v>
      </c>
      <c r="AT15" s="12">
        <f>'Income Statement'!U37/1000</f>
        <v>0</v>
      </c>
      <c r="AU15" s="12">
        <f>'Income Statement'!V37/1000</f>
        <v>0</v>
      </c>
      <c r="AV15" s="12">
        <f>'Income Statement'!W37/1000</f>
        <v>0</v>
      </c>
      <c r="AW15" s="12">
        <f>'Income Statement'!X37/1000</f>
        <v>0</v>
      </c>
      <c r="AX15" s="12">
        <f>'Income Statement'!Y37/1000</f>
        <v>0</v>
      </c>
      <c r="AY15" s="12">
        <f>'Income Statement'!Z37/1000</f>
        <v>0</v>
      </c>
      <c r="AZ15" s="12">
        <f>'Income Statement'!AA37/1000</f>
        <v>0</v>
      </c>
      <c r="BA15" s="12">
        <f>'Income Statement'!AB37/1000</f>
        <v>0</v>
      </c>
      <c r="BB15" s="12">
        <f>'Income Statement'!AC37/1000</f>
        <v>0</v>
      </c>
      <c r="BC15" s="12">
        <f>'Income Statement'!AD37/1000</f>
        <v>0</v>
      </c>
      <c r="BD15" s="12">
        <f>'Income Statement'!AE37/1000</f>
        <v>0</v>
      </c>
      <c r="BE15" s="12">
        <f>'Income Statement'!AF37/1000</f>
        <v>0</v>
      </c>
      <c r="BF15" s="12">
        <f>'Income Statement'!AG37/1000</f>
        <v>0</v>
      </c>
      <c r="BG15" s="12">
        <f>'Income Statement'!AH37/1000</f>
        <v>0</v>
      </c>
      <c r="BH15" s="12">
        <f>'Income Statement'!AI37/1000</f>
        <v>0</v>
      </c>
      <c r="BI15" s="12">
        <f>'Income Statement'!AJ37/1000</f>
        <v>0</v>
      </c>
      <c r="BJ15" s="12">
        <f>'Income Statement'!AK37/1000</f>
        <v>0</v>
      </c>
      <c r="BK15" s="12">
        <f>'Income Statement'!AL37/1000</f>
        <v>0</v>
      </c>
      <c r="BL15" s="12">
        <f>'Income Statement'!AM37/1000</f>
        <v>0</v>
      </c>
      <c r="BM15" s="12">
        <f>'Income Statement'!AN37/1000</f>
        <v>0</v>
      </c>
      <c r="BN15" s="12">
        <f>'Income Statement'!AO37/1000</f>
        <v>0</v>
      </c>
      <c r="BO15" s="12">
        <f>'Income Statement'!AP37/1000</f>
        <v>0</v>
      </c>
      <c r="BP15" s="12">
        <f>'Income Statement'!AQ37/1000</f>
        <v>0</v>
      </c>
      <c r="BQ15" s="12">
        <f>'Income Statement'!AR37/1000</f>
        <v>0</v>
      </c>
      <c r="BR15" s="12">
        <f>'Income Statement'!AS37/1000</f>
        <v>0</v>
      </c>
      <c r="BS15" s="12">
        <f>'Income Statement'!AT37/1000</f>
        <v>0</v>
      </c>
      <c r="BT15" s="12">
        <f>'Income Statement'!AU37/1000</f>
        <v>0</v>
      </c>
      <c r="BU15" s="12">
        <f>'Income Statement'!AV37/1000</f>
        <v>0</v>
      </c>
      <c r="BV15" s="12">
        <f>'Income Statement'!AW37/1000</f>
        <v>0</v>
      </c>
      <c r="BW15" s="12">
        <f>'Income Statement'!AX37/1000</f>
        <v>0</v>
      </c>
      <c r="BX15" s="12">
        <f>'Income Statement'!AY37/1000</f>
        <v>0</v>
      </c>
      <c r="BY15" s="12">
        <f>'Income Statement'!AZ37/1000</f>
        <v>0</v>
      </c>
      <c r="BZ15" s="12">
        <f>'Income Statement'!BA37/1000</f>
        <v>0</v>
      </c>
      <c r="CA15" s="12">
        <f>'Income Statement'!BB37/1000</f>
        <v>0</v>
      </c>
      <c r="CB15" s="12">
        <f>'Income Statement'!BC37/1000</f>
        <v>0</v>
      </c>
      <c r="CC15" s="12">
        <f>'Income Statement'!BD37/1000</f>
        <v>0</v>
      </c>
      <c r="CD15" s="12">
        <f>'Income Statement'!BE37/1000</f>
        <v>0</v>
      </c>
      <c r="CE15" s="12">
        <f>'Income Statement'!BF37/1000</f>
        <v>0</v>
      </c>
      <c r="CF15" s="12">
        <f>'Income Statement'!BG37/1000</f>
        <v>0</v>
      </c>
      <c r="CG15" s="12">
        <f>'Income Statement'!BH37/1000</f>
        <v>0</v>
      </c>
      <c r="CH15" s="12">
        <f>'Income Statement'!BI37/1000</f>
        <v>0</v>
      </c>
      <c r="CI15" s="12">
        <f>'Income Statement'!BJ37/1000</f>
        <v>0</v>
      </c>
      <c r="CJ15" s="12">
        <f>'Income Statement'!BK37/1000</f>
        <v>0</v>
      </c>
      <c r="CK15" s="12">
        <f>'Income Statement'!BL37/1000</f>
        <v>0</v>
      </c>
      <c r="CL15" s="12">
        <f>'Income Statement'!BM37/1000</f>
        <v>0</v>
      </c>
      <c r="CM15" s="12">
        <f>'Income Statement'!BN37/1000</f>
        <v>0</v>
      </c>
      <c r="CN15" s="12">
        <f>'Income Statement'!BO37/1000</f>
        <v>0</v>
      </c>
      <c r="CO15" s="12">
        <f>'Income Statement'!BP37/1000</f>
        <v>0</v>
      </c>
      <c r="CP15" s="12">
        <f>'Income Statement'!BQ37/1000</f>
        <v>0</v>
      </c>
      <c r="CQ15" s="12">
        <f>'Income Statement'!BR37/1000</f>
        <v>0</v>
      </c>
      <c r="CR15" s="12">
        <f>'Income Statement'!BS37/1000</f>
        <v>0</v>
      </c>
      <c r="CS15" s="12">
        <f>'Income Statement'!BT37/1000</f>
        <v>0</v>
      </c>
      <c r="CT15" s="12">
        <f>'Income Statement'!BU37/1000</f>
        <v>0</v>
      </c>
      <c r="CU15" s="12">
        <f>'Income Statement'!BV37/1000</f>
        <v>0</v>
      </c>
      <c r="CV15" s="12">
        <f>'Income Statement'!BW37/1000</f>
        <v>0</v>
      </c>
      <c r="CW15" s="12">
        <f>'Income Statement'!BX37/1000</f>
        <v>0</v>
      </c>
      <c r="CX15" s="12">
        <f>'Income Statement'!BY37/1000</f>
        <v>0</v>
      </c>
      <c r="CY15" s="12">
        <f>'Income Statement'!BZ37/1000</f>
        <v>0</v>
      </c>
      <c r="CZ15" s="12">
        <f>'Income Statement'!CA37/1000</f>
        <v>0</v>
      </c>
      <c r="DA15" s="12">
        <f>'Income Statement'!CB37/1000</f>
        <v>0</v>
      </c>
      <c r="DB15" s="12">
        <f>'Income Statement'!CC37/1000</f>
        <v>0</v>
      </c>
      <c r="DC15" s="12">
        <f>'Income Statement'!CD37/1000</f>
        <v>0</v>
      </c>
      <c r="DD15" s="12">
        <f>'Income Statement'!CE37/1000</f>
        <v>0</v>
      </c>
      <c r="DE15" s="12">
        <f>'Income Statement'!CF37/1000</f>
        <v>0</v>
      </c>
      <c r="DF15" s="12">
        <f>'Income Statement'!CG37/1000</f>
        <v>0</v>
      </c>
      <c r="DG15" s="12">
        <f>'Income Statement'!CH37/1000</f>
        <v>0</v>
      </c>
      <c r="DH15" s="12">
        <f>'Income Statement'!CI37/1000</f>
        <v>0</v>
      </c>
      <c r="DI15" s="12">
        <f>'Income Statement'!CJ37/1000</f>
        <v>0</v>
      </c>
      <c r="DJ15" s="12">
        <f>'Income Statement'!CK37/1000</f>
        <v>0</v>
      </c>
      <c r="DK15" s="12">
        <f>'Income Statement'!CL37/1000</f>
        <v>0</v>
      </c>
      <c r="DL15" s="12">
        <f>'Income Statement'!CM37/1000</f>
        <v>0</v>
      </c>
      <c r="DM15" s="12">
        <f>'Income Statement'!CN37/1000</f>
        <v>0</v>
      </c>
      <c r="DN15" s="12">
        <f>'Income Statement'!CO37/1000</f>
        <v>0</v>
      </c>
      <c r="DO15" s="12">
        <f>'Income Statement'!CP37/1000</f>
        <v>0</v>
      </c>
      <c r="DP15" s="12">
        <f>'Income Statement'!CQ37/1000</f>
        <v>0</v>
      </c>
      <c r="DQ15" s="12">
        <f>'Income Statement'!CR37/1000</f>
        <v>0</v>
      </c>
      <c r="DR15" s="12">
        <f>'Income Statement'!CS37/1000</f>
        <v>0</v>
      </c>
      <c r="DS15" s="12">
        <f>'Income Statement'!CT37/1000</f>
        <v>0</v>
      </c>
      <c r="DT15" s="12">
        <f>'Income Statement'!CU37/1000</f>
        <v>0</v>
      </c>
      <c r="DU15" s="12">
        <f>'Income Statement'!CV37/1000</f>
        <v>0</v>
      </c>
      <c r="DV15" s="12">
        <f>'Income Statement'!CW37/1000</f>
        <v>0</v>
      </c>
      <c r="DW15" s="12">
        <f>'Income Statement'!CX37/1000</f>
        <v>0</v>
      </c>
      <c r="DX15" s="12">
        <f>'Income Statement'!CY37/1000</f>
        <v>0</v>
      </c>
      <c r="DY15" s="12">
        <f>'Income Statement'!CZ37/1000</f>
        <v>0</v>
      </c>
      <c r="DZ15" s="12">
        <f>'Income Statement'!DA37/1000</f>
        <v>0</v>
      </c>
      <c r="EA15" s="12">
        <f>'Income Statement'!DB37/1000</f>
        <v>0</v>
      </c>
      <c r="EB15" s="417"/>
    </row>
    <row r="16" spans="1:132" s="7" customFormat="1">
      <c r="A16" s="11" t="s">
        <v>241</v>
      </c>
      <c r="B16" s="436"/>
      <c r="C16" s="436"/>
      <c r="D16" s="436"/>
      <c r="E16" s="436"/>
      <c r="F16" s="436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>
        <f>'Income Statement'!B22/1000+'Income Statement'!B29/1000</f>
        <v>-0.32250000000000001</v>
      </c>
      <c r="AB16" s="12">
        <f>'Income Statement'!C22/1000+'Income Statement'!C29/1000</f>
        <v>-0.32250000000000001</v>
      </c>
      <c r="AC16" s="12">
        <f>'Income Statement'!D22/1000+'Income Statement'!D29/1000</f>
        <v>4.7229999999999999</v>
      </c>
      <c r="AD16" s="12">
        <f>'Income Statement'!E22/1000+'Income Statement'!E29/1000</f>
        <v>2.7650000000000001</v>
      </c>
      <c r="AE16" s="12">
        <f>'Income Statement'!F22/1000+'Income Statement'!F29/1000</f>
        <v>6.843</v>
      </c>
      <c r="AF16" s="12">
        <f>'Income Statement'!G22/1000+'Income Statement'!G29/1000</f>
        <v>-1.143</v>
      </c>
      <c r="AG16" s="12">
        <f>'Income Statement'!H22/1000+'Income Statement'!H29/1000</f>
        <v>7.2869999999999999</v>
      </c>
      <c r="AH16" s="12">
        <f>'Income Statement'!I22/1000+'Income Statement'!I29/1000</f>
        <v>-8.8729999999999993</v>
      </c>
      <c r="AI16" s="12">
        <f>'Income Statement'!J22/1000+'Income Statement'!J29/1000</f>
        <v>9.7170000000000005</v>
      </c>
      <c r="AJ16" s="12">
        <f>'Income Statement'!K22/1000+'Income Statement'!K29/1000</f>
        <v>6.9880000000000004</v>
      </c>
      <c r="AK16" s="12">
        <f>'Income Statement'!L22/1000+'Income Statement'!L29/1000</f>
        <v>17.908999999999999</v>
      </c>
      <c r="AL16" s="12">
        <f>'Income Statement'!M22/1000+'Income Statement'!M29/1000</f>
        <v>21.099</v>
      </c>
      <c r="AM16" s="12">
        <f>'Income Statement'!N22/1000+'Income Statement'!N29/1000</f>
        <v>18.094999999999999</v>
      </c>
      <c r="AN16" s="12">
        <f>'Income Statement'!O22/1000+'Income Statement'!O29/1000</f>
        <v>23.74</v>
      </c>
      <c r="AO16" s="12">
        <f>'Income Statement'!P22/1000+'Income Statement'!P29/1000</f>
        <v>80.843000000000004</v>
      </c>
      <c r="AP16" s="12">
        <f>'Income Statement'!Q22/1000+'Income Statement'!Q29/1000</f>
        <v>0.4849999999999991</v>
      </c>
      <c r="AQ16" s="12">
        <f>'Income Statement'!R22/1000+'Income Statement'!R29/1000</f>
        <v>16.529000000000011</v>
      </c>
      <c r="AR16" s="12">
        <f>'Income Statement'!S22/1000+'Income Statement'!S29/1000</f>
        <v>11.403000000000004</v>
      </c>
      <c r="AS16" s="12">
        <f>'Income Statement'!T22/1000+'Income Statement'!T29/1000</f>
        <v>26.777000000000001</v>
      </c>
      <c r="AT16" s="12">
        <f>'Income Statement'!U22/1000+'Income Statement'!U29/1000</f>
        <v>55.194000000000017</v>
      </c>
      <c r="AU16" s="12">
        <f>'Income Statement'!V22/1000+'Income Statement'!V29/1000</f>
        <v>2.1999999999999999E-2</v>
      </c>
      <c r="AV16" s="12">
        <f>'Income Statement'!W22/1000+'Income Statement'!W29/1000</f>
        <v>8.2040000000000006</v>
      </c>
      <c r="AW16" s="12">
        <f>'Income Statement'!X22/1000+'Income Statement'!X29/1000</f>
        <v>-28.122</v>
      </c>
      <c r="AX16" s="12">
        <f>'Income Statement'!Y22/1000+'Income Statement'!Y29/1000</f>
        <v>9.1159999999999997</v>
      </c>
      <c r="AY16" s="12">
        <f>'Income Statement'!Z22/1000+'Income Statement'!Z29/1000</f>
        <v>-10.78</v>
      </c>
      <c r="AZ16" s="12">
        <f>'Income Statement'!AA22/1000+'Income Statement'!AA29/1000</f>
        <v>-0.73899999999999999</v>
      </c>
      <c r="BA16" s="12">
        <f>'Income Statement'!AB22/1000+'Income Statement'!AB29/1000</f>
        <v>-5.4870000000000001</v>
      </c>
      <c r="BB16" s="12">
        <f>'Income Statement'!AC22/1000+'Income Statement'!AC29/1000</f>
        <v>-12.602</v>
      </c>
      <c r="BC16" s="12">
        <f>'Income Statement'!AD22/1000+'Income Statement'!AD29/1000</f>
        <v>4.2949999999999999</v>
      </c>
      <c r="BD16" s="12">
        <f>'Income Statement'!AE22/1000+'Income Statement'!AE29/1000</f>
        <v>-14.532999999999999</v>
      </c>
      <c r="BE16" s="12">
        <f>'Income Statement'!AF22/1000+'Income Statement'!AF29/1000</f>
        <v>5.3879999999999999</v>
      </c>
      <c r="BF16" s="12">
        <f>'Income Statement'!AG22/1000+'Income Statement'!AG29/1000</f>
        <v>20.507000000000001</v>
      </c>
      <c r="BG16" s="12">
        <f>'Income Statement'!AH22/1000+'Income Statement'!AH29/1000</f>
        <v>22.097999999999999</v>
      </c>
      <c r="BH16" s="12">
        <f>'Income Statement'!AI22/1000+'Income Statement'!AI29/1000</f>
        <v>17.239000000000001</v>
      </c>
      <c r="BI16" s="12">
        <f>'Income Statement'!AJ22/1000+'Income Statement'!AJ29/1000</f>
        <v>65.231999999999999</v>
      </c>
      <c r="BJ16" s="12">
        <f>'Income Statement'!AK22/1000+'Income Statement'!AK29/1000</f>
        <v>3.21</v>
      </c>
      <c r="BK16" s="12">
        <f>'Income Statement'!AL22/1000+'Income Statement'!AL29/1000</f>
        <v>6.5730000000000004</v>
      </c>
      <c r="BL16" s="12">
        <f>'Income Statement'!AM22/1000+'Income Statement'!AM29/1000</f>
        <v>7.2039999999999997</v>
      </c>
      <c r="BM16" s="12">
        <f>'Income Statement'!AN22/1000+'Income Statement'!AN29/1000</f>
        <v>32.631999999999998</v>
      </c>
      <c r="BN16" s="12">
        <f>'Income Statement'!AO22/1000+'Income Statement'!AO29/1000</f>
        <v>49.619</v>
      </c>
      <c r="BO16" s="12">
        <f>'Income Statement'!AP22/1000+'Income Statement'!AP29/1000</f>
        <v>7.3719999999999999</v>
      </c>
      <c r="BP16" s="12">
        <f>'Income Statement'!AQ22/1000+'Income Statement'!AQ29/1000</f>
        <v>3.4870000000000001</v>
      </c>
      <c r="BQ16" s="12">
        <f>'Income Statement'!AR22/1000+'Income Statement'!AR29/1000</f>
        <v>2.5739999999999998</v>
      </c>
      <c r="BR16" s="12">
        <f>'Income Statement'!AS22/1000+'Income Statement'!AS29/1000</f>
        <v>-2.8420000000000001</v>
      </c>
      <c r="BS16" s="12">
        <f>'Income Statement'!AT22/1000+'Income Statement'!AT29/1000</f>
        <v>10.590999999999999</v>
      </c>
      <c r="BT16" s="12">
        <f>'Income Statement'!AU22/1000+'Income Statement'!AU29/1000</f>
        <v>9.8019999999999996</v>
      </c>
      <c r="BU16" s="12">
        <f>'Income Statement'!AV22/1000+'Income Statement'!AV29/1000</f>
        <v>8.8059999999999992</v>
      </c>
      <c r="BV16" s="12">
        <f>'Income Statement'!AW22/1000+'Income Statement'!AW29/1000</f>
        <v>4.9640000000000004</v>
      </c>
      <c r="BW16" s="12">
        <f>'Income Statement'!AX22/1000+'Income Statement'!AX29/1000</f>
        <v>4.306</v>
      </c>
      <c r="BX16" s="12">
        <f>'Income Statement'!AY22/1000+'Income Statement'!AY29/1000</f>
        <v>27.878</v>
      </c>
      <c r="BY16" s="12">
        <f>'Income Statement'!AZ22/1000+'Income Statement'!AZ29/1000</f>
        <v>9.44</v>
      </c>
      <c r="BZ16" s="12">
        <f>'Income Statement'!BA22/1000+'Income Statement'!BA29/1000</f>
        <v>3.202</v>
      </c>
      <c r="CA16" s="12">
        <f>'Income Statement'!BB22/1000+'Income Statement'!BB29/1000</f>
        <v>1.5840000000000001</v>
      </c>
      <c r="CB16" s="12">
        <f>'Income Statement'!BC22/1000+'Income Statement'!BC29/1000</f>
        <v>1.9179999999999999</v>
      </c>
      <c r="CC16" s="12">
        <f>'Income Statement'!BD22/1000+'Income Statement'!BD29/1000</f>
        <v>16.143999999999998</v>
      </c>
      <c r="CD16" s="12">
        <f>'Income Statement'!BE22/1000+'Income Statement'!BE29/1000</f>
        <v>6.1820000000000004</v>
      </c>
      <c r="CE16" s="12">
        <f>'Income Statement'!BF22/1000+'Income Statement'!BF29/1000</f>
        <v>-10.004</v>
      </c>
      <c r="CF16" s="12">
        <f>'Income Statement'!BG22/1000+'Income Statement'!BG29/1000</f>
        <v>5.1840000000000002</v>
      </c>
      <c r="CG16" s="12">
        <f>'Income Statement'!BH22/1000+'Income Statement'!BH29/1000</f>
        <v>16.234999999999999</v>
      </c>
      <c r="CH16" s="12">
        <f>'Income Statement'!BI22/1000+'Income Statement'!BI29/1000</f>
        <v>17.597000000000001</v>
      </c>
      <c r="CI16" s="12">
        <f>'Income Statement'!BJ22/1000+'Income Statement'!BJ29/1000</f>
        <v>20.257000000000001</v>
      </c>
      <c r="CJ16" s="12">
        <f>'Income Statement'!BK22/1000+'Income Statement'!BK29/1000</f>
        <v>25.931000000000001</v>
      </c>
      <c r="CK16" s="12">
        <f>'Income Statement'!BL22/1000+'Income Statement'!BL29/1000</f>
        <v>18.196000000000002</v>
      </c>
      <c r="CL16" s="12">
        <f>'Income Statement'!BM22/1000+'Income Statement'!BM29/1000</f>
        <v>14.759</v>
      </c>
      <c r="CM16" s="12">
        <f>'Income Statement'!BN22/1000+'Income Statement'!BN29/1000</f>
        <v>79.143000000000001</v>
      </c>
      <c r="CN16" s="12">
        <f>'Income Statement'!BO22/1000+'Income Statement'!BO29/1000</f>
        <v>12.967000000000001</v>
      </c>
      <c r="CO16" s="12">
        <f>'Income Statement'!BP22/1000+'Income Statement'!BP29/1000</f>
        <v>5.2080000000000002</v>
      </c>
      <c r="CP16" s="12">
        <f>'Income Statement'!BQ22/1000+'Income Statement'!BQ29/1000</f>
        <v>11.673999999999999</v>
      </c>
      <c r="CQ16" s="12">
        <f>'Income Statement'!BR22/1000+'Income Statement'!BR29/1000</f>
        <v>7.9630000000000001</v>
      </c>
      <c r="CR16" s="12">
        <f>'Income Statement'!BS22/1000+'Income Statement'!BS29/1000</f>
        <v>37.811999999999998</v>
      </c>
      <c r="CS16" s="12">
        <f>'Income Statement'!BT22/1000+'Income Statement'!BT29/1000</f>
        <v>2.76</v>
      </c>
      <c r="CT16" s="12">
        <f>'Income Statement'!BU22/1000+'Income Statement'!BU29/1000</f>
        <v>4.4729999999999999</v>
      </c>
      <c r="CU16" s="12">
        <f>'Income Statement'!BV22/1000+'Income Statement'!BV29/1000</f>
        <v>-0.76900000000000002</v>
      </c>
      <c r="CV16" s="12">
        <f>'Income Statement'!BW22/1000+'Income Statement'!BW29/1000</f>
        <v>15.654</v>
      </c>
      <c r="CW16" s="12">
        <f>'Income Statement'!BX22/1000+'Income Statement'!BX29/1000</f>
        <v>22.117999999999999</v>
      </c>
      <c r="CX16" s="12">
        <f>'Income Statement'!BY22/1000+'Income Statement'!BY29/1000</f>
        <v>1.8720000000000001</v>
      </c>
      <c r="CY16" s="12">
        <f>'Income Statement'!BZ22/1000+'Income Statement'!BZ29/1000</f>
        <v>17.872</v>
      </c>
      <c r="CZ16" s="12">
        <f>'Income Statement'!CA22/1000+'Income Statement'!CA29/1000</f>
        <v>9.0549999999999997</v>
      </c>
      <c r="DA16" s="12">
        <f>'Income Statement'!CB22/1000+'Income Statement'!CB29/1000</f>
        <v>1.794</v>
      </c>
      <c r="DB16" s="12">
        <f>'Income Statement'!CC22/1000+'Income Statement'!CC29/1000</f>
        <v>30.593</v>
      </c>
      <c r="DC16" s="12">
        <f>'Income Statement'!CD22/1000+'Income Statement'!CD29/1000</f>
        <v>3.2509999999999999</v>
      </c>
      <c r="DD16" s="12">
        <f>'Income Statement'!CE22/1000+'Income Statement'!CE29/1000</f>
        <v>6.5010000000000003</v>
      </c>
      <c r="DE16" s="12">
        <f>'Income Statement'!CF22/1000+'Income Statement'!CF29/1000</f>
        <v>24.471</v>
      </c>
      <c r="DF16" s="12">
        <f>'Income Statement'!CG22/1000+'Income Statement'!CG29/1000</f>
        <v>50.277999999999999</v>
      </c>
      <c r="DG16" s="12">
        <f>'Income Statement'!CH22/1000+'Income Statement'!CH29/1000</f>
        <v>84.501000000000005</v>
      </c>
      <c r="DH16" s="12">
        <f>'Income Statement'!CI22/1000+'Income Statement'!CI29/1000</f>
        <v>10.887</v>
      </c>
      <c r="DI16" s="12">
        <f>'Income Statement'!CJ22/1000+'Income Statement'!CJ29/1000</f>
        <v>9.2929999999999993</v>
      </c>
      <c r="DJ16" s="12">
        <f>'Income Statement'!CK22/1000+'Income Statement'!CK29/1000</f>
        <v>8.859</v>
      </c>
      <c r="DK16" s="12">
        <f>'Income Statement'!CL22/1000+'Income Statement'!CL29/1000</f>
        <v>13.958</v>
      </c>
      <c r="DL16" s="12">
        <f>'Income Statement'!CM22/1000+'Income Statement'!CM29/1000</f>
        <v>42.997</v>
      </c>
      <c r="DM16" s="12">
        <f>'Income Statement'!CN22/1000+'Income Statement'!CN29/1000</f>
        <v>9.3330000000000002</v>
      </c>
      <c r="DN16" s="12">
        <f>'Income Statement'!CO22/1000+'Income Statement'!CO29/1000</f>
        <v>25.501000000000001</v>
      </c>
      <c r="DO16" s="12">
        <f>'Income Statement'!CP22/1000+'Income Statement'!CP29/1000</f>
        <v>7.0270000000000001</v>
      </c>
      <c r="DP16" s="12">
        <f>'Income Statement'!CQ22/1000+'Income Statement'!CQ29/1000</f>
        <v>26.466000000000001</v>
      </c>
      <c r="DQ16" s="12">
        <f>'Income Statement'!CR22/1000+'Income Statement'!CR29/1000</f>
        <v>68.326999999999998</v>
      </c>
      <c r="DR16" s="12">
        <f>'Income Statement'!CS22/1000+'Income Statement'!CS29/1000</f>
        <v>45.587000000000003</v>
      </c>
      <c r="DS16" s="12">
        <f>'Income Statement'!CT22/1000+'Income Statement'!CT29/1000</f>
        <v>29.183</v>
      </c>
      <c r="DT16" s="12">
        <f>'Income Statement'!CU22/1000+'Income Statement'!CU29/1000</f>
        <v>28.081</v>
      </c>
      <c r="DU16" s="12">
        <f>'Income Statement'!CV22/1000+'Income Statement'!CV29/1000</f>
        <v>33.920999999999999</v>
      </c>
      <c r="DV16" s="12">
        <f>'Income Statement'!CW22/1000+'Income Statement'!CW29/1000</f>
        <v>136.77199999999999</v>
      </c>
      <c r="DW16" s="12">
        <f>'Income Statement'!CX22/1000+'Income Statement'!CX29/1000</f>
        <v>13.135</v>
      </c>
      <c r="DX16" s="12">
        <f>'Income Statement'!CY22/1000+'Income Statement'!CY29/1000</f>
        <v>44.695</v>
      </c>
      <c r="DY16" s="12">
        <f>'Income Statement'!CZ22/1000+'Income Statement'!CZ29/1000</f>
        <v>39.21</v>
      </c>
      <c r="DZ16" s="12">
        <f>'Income Statement'!DA22/1000+'Income Statement'!DA29/1000</f>
        <v>16.645</v>
      </c>
      <c r="EA16" s="12">
        <f>'Income Statement'!DB22/1000+'Income Statement'!DB29/1000</f>
        <v>113.685</v>
      </c>
      <c r="EB16" s="417"/>
    </row>
    <row r="17" spans="1:132" s="7" customFormat="1">
      <c r="A17" s="13" t="s">
        <v>242</v>
      </c>
      <c r="B17" s="433"/>
      <c r="C17" s="433"/>
      <c r="D17" s="433"/>
      <c r="E17" s="433"/>
      <c r="F17" s="43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417"/>
    </row>
    <row r="18" spans="1:132" s="7" customFormat="1">
      <c r="A18" s="11" t="s">
        <v>243</v>
      </c>
      <c r="B18" s="418"/>
      <c r="C18" s="418"/>
      <c r="D18" s="418"/>
      <c r="E18" s="418"/>
      <c r="F18" s="418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>
        <f>'Income Statement'!B39/1000+'Income Statement'!B41/1000</f>
        <v>-4.9755000000000003</v>
      </c>
      <c r="AB18" s="12">
        <f>'Income Statement'!C39/1000+'Income Statement'!C41/1000</f>
        <v>-4.9755000000000003</v>
      </c>
      <c r="AC18" s="12">
        <f>'Income Statement'!D39/1000+'Income Statement'!D41/1000</f>
        <v>-6.9029999999999996</v>
      </c>
      <c r="AD18" s="12">
        <f>'Income Statement'!E39/1000+'Income Statement'!E41/1000</f>
        <v>-29.711000000000002</v>
      </c>
      <c r="AE18" s="12">
        <f>'Income Statement'!F39/1000+'Income Statement'!F41/1000</f>
        <v>-46.564999999999998</v>
      </c>
      <c r="AF18" s="12">
        <f>'Income Statement'!G39/1000+'Income Statement'!G41/1000</f>
        <v>-4.7590000000000003</v>
      </c>
      <c r="AG18" s="12">
        <f>'Income Statement'!H39/1000+'Income Statement'!H41/1000</f>
        <v>-7.9489999999999998</v>
      </c>
      <c r="AH18" s="12">
        <f>'Income Statement'!I39/1000+'Income Statement'!I41/1000</f>
        <v>-11.649000000000001</v>
      </c>
      <c r="AI18" s="12">
        <f>'Income Statement'!J39/1000+'Income Statement'!J41/1000</f>
        <v>6.5819999999999999</v>
      </c>
      <c r="AJ18" s="12">
        <f>'Income Statement'!K39/1000+'Income Statement'!K41/1000</f>
        <v>-17.775000000000002</v>
      </c>
      <c r="AK18" s="12">
        <f>'Income Statement'!L39/1000+'Income Statement'!L41/1000</f>
        <v>-17.317999999999998</v>
      </c>
      <c r="AL18" s="12">
        <f>'Income Statement'!M39/1000+'Income Statement'!M41/1000</f>
        <v>-15.888999999999999</v>
      </c>
      <c r="AM18" s="12">
        <f>'Income Statement'!N39/1000+'Income Statement'!N41/1000</f>
        <v>-5.4849999999999994</v>
      </c>
      <c r="AN18" s="12">
        <f>'Income Statement'!O39/1000+'Income Statement'!O41/1000</f>
        <v>-19.316000000000003</v>
      </c>
      <c r="AO18" s="12">
        <f>'Income Statement'!P39/1000+'Income Statement'!P41/1000</f>
        <v>-58.007999999999996</v>
      </c>
      <c r="AP18" s="12">
        <f>'Income Statement'!Q39/1000+'Income Statement'!Q41/1000</f>
        <v>-1.617</v>
      </c>
      <c r="AQ18" s="12">
        <f>'Income Statement'!R39/1000+'Income Statement'!R41/1000</f>
        <v>-10.815</v>
      </c>
      <c r="AR18" s="12">
        <f>'Income Statement'!S39/1000+'Income Statement'!S41/1000</f>
        <v>-22.994</v>
      </c>
      <c r="AS18" s="12">
        <f>'Income Statement'!T39/1000+'Income Statement'!T41/1000</f>
        <v>-30.100999999999999</v>
      </c>
      <c r="AT18" s="12">
        <f>'Income Statement'!U39/1000+'Income Statement'!U41/1000</f>
        <v>-65.527000000000001</v>
      </c>
      <c r="AU18" s="12">
        <f>'Income Statement'!V39/1000+'Income Statement'!V41/1000</f>
        <v>-13.992000000000001</v>
      </c>
      <c r="AV18" s="12">
        <f>'Income Statement'!W39/1000+'Income Statement'!W41/1000</f>
        <v>-36.096000000000004</v>
      </c>
      <c r="AW18" s="12">
        <f>'Income Statement'!X39/1000+'Income Statement'!X41/1000</f>
        <v>-36.085000000000001</v>
      </c>
      <c r="AX18" s="12">
        <f>'Income Statement'!Y39/1000+'Income Statement'!Y41/1000</f>
        <v>-26.225999999999999</v>
      </c>
      <c r="AY18" s="12">
        <f>'Income Statement'!Z39/1000+'Income Statement'!Z41/1000</f>
        <v>-112.399</v>
      </c>
      <c r="AZ18" s="12">
        <f>'Income Statement'!AA39/1000+'Income Statement'!AA41/1000</f>
        <v>-28.725999999999999</v>
      </c>
      <c r="BA18" s="12">
        <f>'Income Statement'!AB39/1000+'Income Statement'!AB41/1000</f>
        <v>-21.990000000000002</v>
      </c>
      <c r="BB18" s="12">
        <f>'Income Statement'!AC39/1000+'Income Statement'!AC41/1000</f>
        <v>-48.332000000000001</v>
      </c>
      <c r="BC18" s="12">
        <f>'Income Statement'!AD39/1000+'Income Statement'!AD41/1000</f>
        <v>-15.079000000000001</v>
      </c>
      <c r="BD18" s="12">
        <f>'Income Statement'!AE39/1000+'Income Statement'!AE41/1000</f>
        <v>-114.12700000000001</v>
      </c>
      <c r="BE18" s="12">
        <f>'Income Statement'!AF39/1000+'Income Statement'!AF41/1000</f>
        <v>-24.524000000000001</v>
      </c>
      <c r="BF18" s="12">
        <f>'Income Statement'!AG39/1000+'Income Statement'!AG41/1000</f>
        <v>-35.595999999999997</v>
      </c>
      <c r="BG18" s="12">
        <f>'Income Statement'!AH39/1000+'Income Statement'!AH41/1000</f>
        <v>-34.567</v>
      </c>
      <c r="BH18" s="12">
        <f>'Income Statement'!AI39/1000+'Income Statement'!AI41/1000</f>
        <v>-34.243000000000002</v>
      </c>
      <c r="BI18" s="12">
        <f>'Income Statement'!AJ39/1000+'Income Statement'!AJ41/1000</f>
        <v>-128.93</v>
      </c>
      <c r="BJ18" s="12">
        <f>'Income Statement'!AK39/1000+'Income Statement'!AK41/1000</f>
        <v>-41.884</v>
      </c>
      <c r="BK18" s="12">
        <f>'Income Statement'!AL39/1000+'Income Statement'!AL41/1000</f>
        <v>-35.053999999999995</v>
      </c>
      <c r="BL18" s="12">
        <f>'Income Statement'!AM39/1000+'Income Statement'!AM41/1000</f>
        <v>-47.374000000000002</v>
      </c>
      <c r="BM18" s="12">
        <f>'Income Statement'!AN39/1000+'Income Statement'!AN41/1000</f>
        <v>-63.9</v>
      </c>
      <c r="BN18" s="12">
        <f>'Income Statement'!AO39/1000+'Income Statement'!AO41/1000</f>
        <v>-188.21200000000002</v>
      </c>
      <c r="BO18" s="12">
        <f>'Income Statement'!AP39/1000+'Income Statement'!AP41/1000</f>
        <v>-48.695999999999998</v>
      </c>
      <c r="BP18" s="12">
        <f>'Income Statement'!AQ39/1000+'Income Statement'!AQ41/1000</f>
        <v>-61.856999999999999</v>
      </c>
      <c r="BQ18" s="12">
        <f>'Income Statement'!AR39/1000+'Income Statement'!AR41/1000</f>
        <v>-48.245000000000005</v>
      </c>
      <c r="BR18" s="12">
        <f>'Income Statement'!AS39/1000+'Income Statement'!AS41/1000</f>
        <v>6.1180000000000021</v>
      </c>
      <c r="BS18" s="12">
        <f>'Income Statement'!AT39/1000+'Income Statement'!AT41/1000</f>
        <v>-152.68</v>
      </c>
      <c r="BT18" s="12">
        <f>'Income Statement'!AU39/1000+'Income Statement'!AU41/1000</f>
        <v>-26.98</v>
      </c>
      <c r="BU18" s="12">
        <f>'Income Statement'!AV39/1000+'Income Statement'!AV41/1000</f>
        <v>-33.110999999999997</v>
      </c>
      <c r="BV18" s="12">
        <f>'Income Statement'!AW39/1000+'Income Statement'!AW41/1000</f>
        <v>-32.506</v>
      </c>
      <c r="BW18" s="12">
        <f>'Income Statement'!AX39/1000+'Income Statement'!AX41/1000</f>
        <v>-43.293999999999997</v>
      </c>
      <c r="BX18" s="12">
        <f>'Income Statement'!AY39/1000+'Income Statement'!AY41/1000</f>
        <v>-135.89100000000002</v>
      </c>
      <c r="BY18" s="12">
        <f>'Income Statement'!AZ39/1000+'Income Statement'!AZ41/1000</f>
        <v>-41.251999999999995</v>
      </c>
      <c r="BZ18" s="12">
        <f>'Income Statement'!BA39/1000+'Income Statement'!BA41/1000</f>
        <v>-42.613</v>
      </c>
      <c r="CA18" s="12">
        <f>'Income Statement'!BB39/1000+'Income Statement'!BB41/1000</f>
        <v>-30.546999999999997</v>
      </c>
      <c r="CB18" s="12">
        <f>'Income Statement'!BC39/1000+'Income Statement'!BC41/1000</f>
        <v>-30.608999999999998</v>
      </c>
      <c r="CC18" s="12">
        <f>'Income Statement'!BD39/1000+'Income Statement'!BD41/1000</f>
        <v>-145.02100000000002</v>
      </c>
      <c r="CD18" s="12">
        <f>'Income Statement'!BE39/1000+'Income Statement'!BE41/1000</f>
        <v>-23.321999999999996</v>
      </c>
      <c r="CE18" s="12">
        <f>'Income Statement'!BF39/1000+'Income Statement'!BF41/1000</f>
        <v>-23.917999999999999</v>
      </c>
      <c r="CF18" s="12">
        <f>'Income Statement'!BG39/1000+'Income Statement'!BG41/1000</f>
        <v>-29.382999999999999</v>
      </c>
      <c r="CG18" s="12">
        <f>'Income Statement'!BH39/1000+'Income Statement'!BH41/1000</f>
        <v>-20.628</v>
      </c>
      <c r="CH18" s="12">
        <f>'Income Statement'!BI39/1000+'Income Statement'!BI41/1000</f>
        <v>-97.251000000000005</v>
      </c>
      <c r="CI18" s="12">
        <f>'Income Statement'!BJ39/1000+'Income Statement'!BJ41/1000</f>
        <v>-18.25</v>
      </c>
      <c r="CJ18" s="12">
        <f>'Income Statement'!BK39/1000+'Income Statement'!BK41/1000</f>
        <v>-14.834</v>
      </c>
      <c r="CK18" s="12">
        <f>'Income Statement'!BL39/1000+'Income Statement'!BL41/1000</f>
        <v>-18.498000000000001</v>
      </c>
      <c r="CL18" s="12">
        <f>'Income Statement'!BM39/1000+'Income Statement'!BM41/1000</f>
        <v>-22.140999999999998</v>
      </c>
      <c r="CM18" s="12">
        <f>'Income Statement'!BN39/1000+'Income Statement'!BN41/1000</f>
        <v>-73.722999999999999</v>
      </c>
      <c r="CN18" s="12">
        <f>'Income Statement'!BO39/1000+'Income Statement'!BO41/1000</f>
        <v>-15.451000000000001</v>
      </c>
      <c r="CO18" s="12">
        <f>'Income Statement'!BP39/1000+'Income Statement'!BP41/1000</f>
        <v>-14.339000000000002</v>
      </c>
      <c r="CP18" s="12">
        <f>'Income Statement'!BQ39/1000+'Income Statement'!BQ41/1000</f>
        <v>-14.288</v>
      </c>
      <c r="CQ18" s="12">
        <f>'Income Statement'!BR39/1000+'Income Statement'!BR41/1000</f>
        <v>-21.091000000000001</v>
      </c>
      <c r="CR18" s="12">
        <f>'Income Statement'!BS39/1000+'Income Statement'!BS41/1000</f>
        <v>-65.168999999999997</v>
      </c>
      <c r="CS18" s="12">
        <f>'Income Statement'!BT39/1000+'Income Statement'!BT41/1000</f>
        <v>-11.754999999999999</v>
      </c>
      <c r="CT18" s="12">
        <f>'Income Statement'!BU39/1000+'Income Statement'!BU41/1000</f>
        <v>-14.193000000000001</v>
      </c>
      <c r="CU18" s="12">
        <f>'Income Statement'!BV39/1000+'Income Statement'!BV41/1000</f>
        <v>-15.388999999999999</v>
      </c>
      <c r="CV18" s="12">
        <f>'Income Statement'!BW39/1000+'Income Statement'!BW41/1000</f>
        <v>-27.195</v>
      </c>
      <c r="CW18" s="12">
        <f>'Income Statement'!BX39/1000+'Income Statement'!BX41/1000</f>
        <v>-68.532000000000011</v>
      </c>
      <c r="CX18" s="12">
        <f>'Income Statement'!BY39/1000+'Income Statement'!BY41/1000</f>
        <v>-18.111000000000001</v>
      </c>
      <c r="CY18" s="12">
        <f>'Income Statement'!BZ39/1000+'Income Statement'!BZ41/1000</f>
        <v>-19.204000000000001</v>
      </c>
      <c r="CZ18" s="12">
        <f>'Income Statement'!CA39/1000+'Income Statement'!CA41/1000</f>
        <v>-21.668999999999997</v>
      </c>
      <c r="DA18" s="12">
        <f>'Income Statement'!CB39/1000+'Income Statement'!CB41/1000</f>
        <v>-27.189</v>
      </c>
      <c r="DB18" s="12">
        <f>'Income Statement'!CC39/1000+'Income Statement'!CC41/1000</f>
        <v>-86.173000000000002</v>
      </c>
      <c r="DC18" s="12">
        <f>'Income Statement'!CD39/1000+'Income Statement'!CD41/1000</f>
        <v>-16.849</v>
      </c>
      <c r="DD18" s="12">
        <f>'Income Statement'!CE39/1000+'Income Statement'!CE41/1000</f>
        <v>-16.332000000000001</v>
      </c>
      <c r="DE18" s="12">
        <f>'Income Statement'!CF39/1000+'Income Statement'!CF41/1000</f>
        <v>-21.288</v>
      </c>
      <c r="DF18" s="12">
        <f>'Income Statement'!CG39/1000+'Income Statement'!CG41/1000</f>
        <v>-30.413000000000004</v>
      </c>
      <c r="DG18" s="12">
        <f>'Income Statement'!CH39/1000+'Income Statement'!CH41/1000</f>
        <v>-84.882000000000005</v>
      </c>
      <c r="DH18" s="12">
        <f>'Income Statement'!CI39/1000+'Income Statement'!CI41/1000</f>
        <v>-17.847000000000001</v>
      </c>
      <c r="DI18" s="12">
        <f>'Income Statement'!CJ39/1000+'Income Statement'!CJ41/1000</f>
        <v>-21.046999999999997</v>
      </c>
      <c r="DJ18" s="12">
        <f>'Income Statement'!CK39/1000+'Income Statement'!CK41/1000</f>
        <v>-26.584</v>
      </c>
      <c r="DK18" s="12">
        <f>'Income Statement'!CL39/1000+'Income Statement'!CL41/1000</f>
        <v>-23.141999999999999</v>
      </c>
      <c r="DL18" s="12">
        <f>'Income Statement'!CM39/1000+'Income Statement'!CM41/1000</f>
        <v>-88.62</v>
      </c>
      <c r="DM18" s="12">
        <f>'Income Statement'!CN39/1000+'Income Statement'!CN41/1000</f>
        <v>-26.413999999999998</v>
      </c>
      <c r="DN18" s="12">
        <f>'Income Statement'!CO39/1000+'Income Statement'!CO41/1000</f>
        <v>-30.508000000000003</v>
      </c>
      <c r="DO18" s="12">
        <f>'Income Statement'!CP39/1000+'Income Statement'!CP41/1000</f>
        <v>-32.510000000000005</v>
      </c>
      <c r="DP18" s="12">
        <f>'Income Statement'!CQ39/1000+'Income Statement'!CQ41/1000</f>
        <v>-33.593000000000004</v>
      </c>
      <c r="DQ18" s="12">
        <f>'Income Statement'!CR39/1000+'Income Statement'!CR41/1000</f>
        <v>-123.02500000000001</v>
      </c>
      <c r="DR18" s="12">
        <f>'Income Statement'!CS39/1000+'Income Statement'!CS41/1000</f>
        <v>-31.977</v>
      </c>
      <c r="DS18" s="12">
        <f>'Income Statement'!CT39/1000+'Income Statement'!CT41/1000</f>
        <v>-39.823999999999998</v>
      </c>
      <c r="DT18" s="12">
        <f>'Income Statement'!CU39/1000+'Income Statement'!CU41/1000</f>
        <v>-41.008000000000003</v>
      </c>
      <c r="DU18" s="12">
        <f>'Income Statement'!CV39/1000+'Income Statement'!CV41/1000</f>
        <v>-43.701999999999998</v>
      </c>
      <c r="DV18" s="12">
        <f>'Income Statement'!CW39/1000+'Income Statement'!CW41/1000</f>
        <v>-156.511</v>
      </c>
      <c r="DW18" s="12">
        <f>'Income Statement'!CX39/1000+'Income Statement'!CX41/1000</f>
        <v>-37.040999999999997</v>
      </c>
      <c r="DX18" s="12">
        <f>'Income Statement'!CY39/1000+'Income Statement'!CY41/1000</f>
        <v>-41.300999999999995</v>
      </c>
      <c r="DY18" s="12">
        <f>'Income Statement'!CZ39/1000+'Income Statement'!CZ41/1000</f>
        <v>-51.695999999999998</v>
      </c>
      <c r="DZ18" s="12">
        <f>'Income Statement'!DA39/1000+'Income Statement'!DA41/1000</f>
        <v>-55.391999999999996</v>
      </c>
      <c r="EA18" s="12">
        <f>'Income Statement'!DB39/1000+'Income Statement'!DB41/1000</f>
        <v>-185.43</v>
      </c>
      <c r="EB18" s="417"/>
    </row>
    <row r="19" spans="1:132" s="7" customFormat="1">
      <c r="A19" s="13" t="s">
        <v>244</v>
      </c>
      <c r="B19" s="433"/>
      <c r="C19" s="433"/>
      <c r="D19" s="433"/>
      <c r="E19" s="433"/>
      <c r="F19" s="43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417"/>
    </row>
    <row r="20" spans="1:132" s="7" customFormat="1">
      <c r="A20" s="11" t="s">
        <v>245</v>
      </c>
      <c r="B20" s="418"/>
      <c r="C20" s="418"/>
      <c r="D20" s="418"/>
      <c r="E20" s="418"/>
      <c r="F20" s="418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>
        <f>'Income Statement'!B45/1000</f>
        <v>-4.6005000000000003</v>
      </c>
      <c r="AB20" s="12">
        <f>'Income Statement'!C45/1000</f>
        <v>-4.6005000000000003</v>
      </c>
      <c r="AC20" s="12">
        <f>'Income Statement'!D45/1000</f>
        <v>-3.7440000000000002</v>
      </c>
      <c r="AD20" s="12">
        <f>'Income Statement'!E45/1000</f>
        <v>-3.153</v>
      </c>
      <c r="AE20" s="12">
        <f>'Income Statement'!F45/1000</f>
        <v>-16.097999999999999</v>
      </c>
      <c r="AF20" s="12">
        <f>'Income Statement'!G45/1000</f>
        <v>-6.2670000000000003</v>
      </c>
      <c r="AG20" s="12">
        <f>'Income Statement'!H45/1000</f>
        <v>2.1789999999999998</v>
      </c>
      <c r="AH20" s="12">
        <f>'Income Statement'!I45/1000</f>
        <v>-13.754</v>
      </c>
      <c r="AI20" s="12">
        <f>'Income Statement'!J45/1000</f>
        <v>1.752</v>
      </c>
      <c r="AJ20" s="12">
        <f>'Income Statement'!K45/1000</f>
        <v>-16.09</v>
      </c>
      <c r="AK20" s="12">
        <f>'Income Statement'!L45/1000</f>
        <v>-9.0440000000000005</v>
      </c>
      <c r="AL20" s="12">
        <f>'Income Statement'!M45/1000</f>
        <v>-8.5169999999999995</v>
      </c>
      <c r="AM20" s="12">
        <f>'Income Statement'!N45/1000</f>
        <v>-6.1369999999999996</v>
      </c>
      <c r="AN20" s="12">
        <f>'Income Statement'!O45/1000</f>
        <v>-0.27200000000000002</v>
      </c>
      <c r="AO20" s="12">
        <f>'Income Statement'!P45/1000</f>
        <v>-23.97</v>
      </c>
      <c r="AP20" s="12">
        <f>'Income Statement'!Q45/1000</f>
        <v>-7.9610000000000003</v>
      </c>
      <c r="AQ20" s="12">
        <f>'Income Statement'!R45/1000</f>
        <v>-13.648999999999999</v>
      </c>
      <c r="AR20" s="12">
        <f>'Income Statement'!S45/1000</f>
        <v>-7.1440000000000001</v>
      </c>
      <c r="AS20" s="12">
        <f>'Income Statement'!T45/1000</f>
        <v>-25.596</v>
      </c>
      <c r="AT20" s="12">
        <f>'Income Statement'!U45/1000</f>
        <v>-54.35</v>
      </c>
      <c r="AU20" s="12">
        <f>'Income Statement'!V45/1000</f>
        <v>-10.224</v>
      </c>
      <c r="AV20" s="12">
        <f>'Income Statement'!W45/1000</f>
        <v>-18.067</v>
      </c>
      <c r="AW20" s="12">
        <f>'Income Statement'!X45/1000</f>
        <v>-0.96</v>
      </c>
      <c r="AX20" s="12">
        <f>'Income Statement'!Y45/1000</f>
        <v>-18.582000000000001</v>
      </c>
      <c r="AY20" s="12">
        <f>'Income Statement'!Z45/1000</f>
        <v>-47.832999999999998</v>
      </c>
      <c r="AZ20" s="12">
        <f>'Income Statement'!AA45/1000</f>
        <v>-18.337</v>
      </c>
      <c r="BA20" s="12">
        <f>'Income Statement'!AB45/1000</f>
        <v>-21.605</v>
      </c>
      <c r="BB20" s="12">
        <f>'Income Statement'!AC45/1000</f>
        <v>-45.593000000000004</v>
      </c>
      <c r="BC20" s="12">
        <f>'Income Statement'!AD45/1000</f>
        <v>-12.013999999999999</v>
      </c>
      <c r="BD20" s="12">
        <f>'Income Statement'!AE45/1000</f>
        <v>-97.549000000000007</v>
      </c>
      <c r="BE20" s="12">
        <f>'Income Statement'!AF45/1000</f>
        <v>-12.032999999999999</v>
      </c>
      <c r="BF20" s="12">
        <f>'Income Statement'!AG45/1000</f>
        <v>-29.297000000000001</v>
      </c>
      <c r="BG20" s="12">
        <f>'Income Statement'!AH45/1000</f>
        <v>-20.108000000000001</v>
      </c>
      <c r="BH20" s="12">
        <f>'Income Statement'!AI45/1000</f>
        <v>-23.379000000000001</v>
      </c>
      <c r="BI20" s="12">
        <f>'Income Statement'!AJ45/1000</f>
        <v>-84.816999999999993</v>
      </c>
      <c r="BJ20" s="12">
        <f>'Income Statement'!AK45/1000</f>
        <v>-15.894</v>
      </c>
      <c r="BK20" s="12">
        <f>'Income Statement'!AL45/1000</f>
        <v>-10.068</v>
      </c>
      <c r="BL20" s="12">
        <f>'Income Statement'!AM45/1000</f>
        <v>-30.808</v>
      </c>
      <c r="BM20" s="12">
        <f>'Income Statement'!AN45/1000</f>
        <v>-37.244999999999997</v>
      </c>
      <c r="BN20" s="12">
        <f>'Income Statement'!AO45/1000</f>
        <v>-94.015000000000001</v>
      </c>
      <c r="BO20" s="12">
        <f>'Income Statement'!AP45/1000</f>
        <v>-60.319000000000003</v>
      </c>
      <c r="BP20" s="12">
        <f>'Income Statement'!AQ45/1000</f>
        <v>-26.867000000000001</v>
      </c>
      <c r="BQ20" s="12">
        <f>'Income Statement'!AR45/1000</f>
        <v>-15.454000000000001</v>
      </c>
      <c r="BR20" s="12">
        <f>'Income Statement'!AS45/1000</f>
        <v>-72.900999999999996</v>
      </c>
      <c r="BS20" s="12">
        <f>'Income Statement'!AT45/1000</f>
        <v>-175.541</v>
      </c>
      <c r="BT20" s="12">
        <f>'Income Statement'!AU45/1000</f>
        <v>-35.527999999999999</v>
      </c>
      <c r="BU20" s="12">
        <f>'Income Statement'!AV45/1000</f>
        <v>-42.408000000000001</v>
      </c>
      <c r="BV20" s="12">
        <f>'Income Statement'!AW45/1000</f>
        <v>-53.49</v>
      </c>
      <c r="BW20" s="12">
        <f>'Income Statement'!AX45/1000</f>
        <v>-43.741</v>
      </c>
      <c r="BX20" s="12">
        <f>'Income Statement'!AY45/1000</f>
        <v>-175.167</v>
      </c>
      <c r="BY20" s="12">
        <f>'Income Statement'!AZ45/1000</f>
        <v>-23.890999999999998</v>
      </c>
      <c r="BZ20" s="12">
        <f>'Income Statement'!BA45/1000</f>
        <v>-39.320999999999998</v>
      </c>
      <c r="CA20" s="12">
        <f>'Income Statement'!BB45/1000</f>
        <v>-50.664000000000001</v>
      </c>
      <c r="CB20" s="12">
        <f>'Income Statement'!BC45/1000</f>
        <v>-56.011000000000003</v>
      </c>
      <c r="CC20" s="12">
        <f>'Income Statement'!BD45/1000</f>
        <v>-169.887</v>
      </c>
      <c r="CD20" s="12">
        <f>'Income Statement'!BE45/1000</f>
        <v>-17.390999999999998</v>
      </c>
      <c r="CE20" s="12">
        <f>'Income Statement'!BF45/1000</f>
        <v>-67.052999999999997</v>
      </c>
      <c r="CF20" s="12">
        <f>'Income Statement'!BG45/1000</f>
        <v>-37.793999999999997</v>
      </c>
      <c r="CG20" s="12">
        <f>'Income Statement'!BH45/1000</f>
        <v>-23.114999999999998</v>
      </c>
      <c r="CH20" s="12">
        <f>'Income Statement'!BI45/1000</f>
        <v>-145.35300000000001</v>
      </c>
      <c r="CI20" s="12">
        <f>'Income Statement'!BJ45/1000</f>
        <v>-27.594999999999999</v>
      </c>
      <c r="CJ20" s="12">
        <f>'Income Statement'!BK45/1000</f>
        <v>-11.8</v>
      </c>
      <c r="CK20" s="12">
        <f>'Income Statement'!BL45/1000</f>
        <v>-28.530999999999999</v>
      </c>
      <c r="CL20" s="12">
        <f>'Income Statement'!BM45/1000</f>
        <v>-25.341999999999999</v>
      </c>
      <c r="CM20" s="12">
        <f>'Income Statement'!BN45/1000</f>
        <v>-93.268000000000001</v>
      </c>
      <c r="CN20" s="12">
        <f>'Income Statement'!BO45/1000</f>
        <v>-30.221</v>
      </c>
      <c r="CO20" s="12">
        <f>'Income Statement'!BP45/1000</f>
        <v>-6.7080000000000002</v>
      </c>
      <c r="CP20" s="12">
        <f>'Income Statement'!BQ45/1000</f>
        <v>-20.925999999999998</v>
      </c>
      <c r="CQ20" s="12">
        <f>'Income Statement'!BR45/1000</f>
        <v>-26.61</v>
      </c>
      <c r="CR20" s="12">
        <f>'Income Statement'!BS45/1000</f>
        <v>-84.465000000000003</v>
      </c>
      <c r="CS20" s="12">
        <f>'Income Statement'!BT45/1000</f>
        <v>-16.629000000000001</v>
      </c>
      <c r="CT20" s="12">
        <f>'Income Statement'!BU45/1000</f>
        <v>-9.3059999999999992</v>
      </c>
      <c r="CU20" s="12">
        <f>'Income Statement'!BV45/1000</f>
        <v>-26.675999999999998</v>
      </c>
      <c r="CV20" s="12">
        <f>'Income Statement'!BW45/1000</f>
        <v>-37.78</v>
      </c>
      <c r="CW20" s="12">
        <f>'Income Statement'!BX45/1000</f>
        <v>-90.391000000000005</v>
      </c>
      <c r="CX20" s="12">
        <f>'Income Statement'!BY45/1000</f>
        <v>-12.991</v>
      </c>
      <c r="CY20" s="12">
        <f>'Income Statement'!BZ45/1000</f>
        <v>-28.456</v>
      </c>
      <c r="CZ20" s="12">
        <f>'Income Statement'!CA45/1000</f>
        <v>-16.878</v>
      </c>
      <c r="DA20" s="12">
        <f>'Income Statement'!CB45/1000</f>
        <v>-60.15</v>
      </c>
      <c r="DB20" s="12">
        <f>'Income Statement'!CC45/1000</f>
        <v>-118.47499999999999</v>
      </c>
      <c r="DC20" s="12">
        <f>'Income Statement'!CD45/1000</f>
        <v>-20.300999999999998</v>
      </c>
      <c r="DD20" s="12">
        <f>'Income Statement'!CE45/1000</f>
        <v>-25.114000000000001</v>
      </c>
      <c r="DE20" s="12">
        <f>'Income Statement'!CF45/1000</f>
        <v>-11.593999999999999</v>
      </c>
      <c r="DF20" s="12">
        <f>'Income Statement'!CG45/1000</f>
        <v>-12.23</v>
      </c>
      <c r="DG20" s="12">
        <f>'Income Statement'!CH45/1000</f>
        <v>-69.239000000000004</v>
      </c>
      <c r="DH20" s="12">
        <f>'Income Statement'!CI45/1000</f>
        <v>-15.907999999999999</v>
      </c>
      <c r="DI20" s="12">
        <f>'Income Statement'!CJ45/1000</f>
        <v>-23.378</v>
      </c>
      <c r="DJ20" s="12">
        <f>'Income Statement'!CK45/1000</f>
        <v>-28.696000000000002</v>
      </c>
      <c r="DK20" s="12">
        <f>'Income Statement'!CL45/1000</f>
        <v>-34.976999999999997</v>
      </c>
      <c r="DL20" s="12">
        <f>'Income Statement'!CM45/1000</f>
        <v>-102.959</v>
      </c>
      <c r="DM20" s="12">
        <f>'Income Statement'!CN45/1000</f>
        <v>-8.9060000000000006</v>
      </c>
      <c r="DN20" s="12">
        <f>'Income Statement'!CO45/1000</f>
        <v>-10.817</v>
      </c>
      <c r="DO20" s="12">
        <f>'Income Statement'!CP45/1000</f>
        <v>-20.969000000000001</v>
      </c>
      <c r="DP20" s="12">
        <f>'Income Statement'!CQ45/1000</f>
        <v>-9.0190000000000001</v>
      </c>
      <c r="DQ20" s="12">
        <f>'Income Statement'!CR45/1000</f>
        <v>-49.710999999999999</v>
      </c>
      <c r="DR20" s="12">
        <f>'Income Statement'!CS45/1000</f>
        <v>-27.484000000000002</v>
      </c>
      <c r="DS20" s="12">
        <f>'Income Statement'!CT45/1000</f>
        <v>-28.64</v>
      </c>
      <c r="DT20" s="12">
        <f>'Income Statement'!CU45/1000</f>
        <v>-53.319000000000003</v>
      </c>
      <c r="DU20" s="12">
        <f>'Income Statement'!CV45/1000</f>
        <v>-54.167000000000002</v>
      </c>
      <c r="DV20" s="12">
        <f>'Income Statement'!CW45/1000</f>
        <v>-163.61000000000001</v>
      </c>
      <c r="DW20" s="12">
        <f>'Income Statement'!CX45/1000</f>
        <v>-47.545000000000002</v>
      </c>
      <c r="DX20" s="12">
        <f>'Income Statement'!CY45/1000</f>
        <v>-65.938000000000002</v>
      </c>
      <c r="DY20" s="12">
        <f>'Income Statement'!CZ45/1000</f>
        <v>-67.911000000000001</v>
      </c>
      <c r="DZ20" s="12">
        <f>'Income Statement'!DA45/1000</f>
        <v>-90.662000000000006</v>
      </c>
      <c r="EA20" s="12">
        <f>'Income Statement'!DB45/1000</f>
        <v>-272.05599999999998</v>
      </c>
      <c r="EB20" s="417"/>
    </row>
    <row r="21" spans="1:132" s="7" customFormat="1">
      <c r="A21" s="11" t="s">
        <v>246</v>
      </c>
      <c r="B21" s="418"/>
      <c r="C21" s="418"/>
      <c r="D21" s="418"/>
      <c r="E21" s="418"/>
      <c r="F21" s="418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417"/>
    </row>
    <row r="22" spans="1:132" s="7" customFormat="1">
      <c r="A22" s="17" t="s">
        <v>247</v>
      </c>
      <c r="B22" s="433"/>
      <c r="C22" s="433"/>
      <c r="D22" s="433"/>
      <c r="E22" s="433"/>
      <c r="F22" s="43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417"/>
    </row>
    <row r="23" spans="1:132" s="7" customFormat="1">
      <c r="A23" s="11" t="s">
        <v>248</v>
      </c>
      <c r="B23" s="418"/>
      <c r="C23" s="418"/>
      <c r="D23" s="418"/>
      <c r="E23" s="418"/>
      <c r="F23" s="418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417"/>
    </row>
    <row r="24" spans="1:132" s="7" customFormat="1" ht="13.5" thickBot="1">
      <c r="A24" s="13" t="s">
        <v>249</v>
      </c>
      <c r="B24" s="439"/>
      <c r="C24" s="439"/>
      <c r="D24" s="439"/>
      <c r="E24" s="439"/>
      <c r="F24" s="439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417"/>
    </row>
    <row r="25" spans="1:132" s="7" customFormat="1">
      <c r="A25" s="17"/>
      <c r="B25" s="424"/>
      <c r="C25" s="424"/>
      <c r="D25" s="424"/>
      <c r="E25" s="424"/>
      <c r="F25" s="424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417"/>
    </row>
    <row r="26" spans="1:132" s="7" customFormat="1">
      <c r="A26" s="11" t="s">
        <v>250</v>
      </c>
      <c r="B26" s="418"/>
      <c r="C26" s="418"/>
      <c r="D26" s="418"/>
      <c r="E26" s="418"/>
      <c r="F26" s="418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>
        <f>-'Income Statement'!B49/1000</f>
        <v>0</v>
      </c>
      <c r="AB26" s="12">
        <f>-'Income Statement'!C49/1000</f>
        <v>0</v>
      </c>
      <c r="AC26" s="12">
        <f>-'Income Statement'!D49/1000</f>
        <v>0</v>
      </c>
      <c r="AD26" s="12">
        <f>-'Income Statement'!E49/1000</f>
        <v>0</v>
      </c>
      <c r="AE26" s="12">
        <f>-'Income Statement'!F49/1000</f>
        <v>0</v>
      </c>
      <c r="AF26" s="12">
        <f>-'Income Statement'!G49/1000</f>
        <v>0</v>
      </c>
      <c r="AG26" s="12">
        <f>-'Income Statement'!H49/1000</f>
        <v>0</v>
      </c>
      <c r="AH26" s="12">
        <f>-'Income Statement'!I49/1000</f>
        <v>0</v>
      </c>
      <c r="AI26" s="12">
        <f>-'Income Statement'!J49/1000</f>
        <v>0</v>
      </c>
      <c r="AJ26" s="12">
        <f>-'Income Statement'!K49/1000</f>
        <v>0</v>
      </c>
      <c r="AK26" s="12">
        <f>-'Income Statement'!L49/1000</f>
        <v>0</v>
      </c>
      <c r="AL26" s="12">
        <f>-'Income Statement'!M49/1000</f>
        <v>-26.850546447999996</v>
      </c>
      <c r="AM26" s="12">
        <f>-'Income Statement'!N49/1000</f>
        <v>0</v>
      </c>
      <c r="AN26" s="12">
        <f>-'Income Statement'!O49/1000</f>
        <v>-30.182807616000002</v>
      </c>
      <c r="AO26" s="12">
        <f>-'Income Statement'!P49/1000</f>
        <v>-57.033354064000001</v>
      </c>
      <c r="AP26" s="12">
        <f>-'Income Statement'!Q49/1000</f>
        <v>0</v>
      </c>
      <c r="AQ26" s="12">
        <f>-'Income Statement'!R49/1000</f>
        <v>-60</v>
      </c>
      <c r="AR26" s="12">
        <f>-'Income Statement'!S49/1000</f>
        <v>0</v>
      </c>
      <c r="AS26" s="12">
        <f>-'Income Statement'!T49/1000</f>
        <v>-14.574</v>
      </c>
      <c r="AT26" s="12">
        <f>-'Income Statement'!U49/1000</f>
        <v>-74.573999999999998</v>
      </c>
      <c r="AU26" s="12">
        <f>-'Income Statement'!V49/1000</f>
        <v>0</v>
      </c>
      <c r="AV26" s="12">
        <f>-'Income Statement'!W49/1000</f>
        <v>0</v>
      </c>
      <c r="AW26" s="12">
        <f>-'Income Statement'!X49/1000</f>
        <v>0</v>
      </c>
      <c r="AX26" s="12">
        <f>-'Income Statement'!Y49/1000</f>
        <v>-65.954999999999998</v>
      </c>
      <c r="AY26" s="12">
        <f>-'Income Statement'!Z49/1000</f>
        <v>-65.954999999999998</v>
      </c>
      <c r="AZ26" s="12">
        <f>-'Income Statement'!AA49/1000</f>
        <v>0</v>
      </c>
      <c r="BA26" s="12">
        <f>-'Income Statement'!AB49/1000</f>
        <v>0</v>
      </c>
      <c r="BB26" s="12">
        <f>-'Income Statement'!AC49/1000</f>
        <v>0</v>
      </c>
      <c r="BC26" s="12">
        <f>-'Income Statement'!AD49/1000</f>
        <v>-198.64882525980002</v>
      </c>
      <c r="BD26" s="12">
        <f>-'Income Statement'!AE49/1000</f>
        <v>-198.64882525980002</v>
      </c>
      <c r="BE26" s="12">
        <f>-'Income Statement'!AF49/1000</f>
        <v>0</v>
      </c>
      <c r="BF26" s="12">
        <f>-'Income Statement'!AG49/1000</f>
        <v>0</v>
      </c>
      <c r="BG26" s="12">
        <f>-'Income Statement'!AH49/1000</f>
        <v>0</v>
      </c>
      <c r="BH26" s="12">
        <f>-'Income Statement'!AI49/1000</f>
        <v>-142.559</v>
      </c>
      <c r="BI26" s="12">
        <f>-'Income Statement'!AJ49/1000</f>
        <v>-142.559</v>
      </c>
      <c r="BJ26" s="12">
        <f>-'Income Statement'!AK49/1000</f>
        <v>0</v>
      </c>
      <c r="BK26" s="12">
        <f>-'Income Statement'!AL49/1000</f>
        <v>0</v>
      </c>
      <c r="BL26" s="12">
        <f>-'Income Statement'!AM49/1000</f>
        <v>0</v>
      </c>
      <c r="BM26" s="12">
        <f>-'Income Statement'!AN49/1000</f>
        <v>-118.315</v>
      </c>
      <c r="BN26" s="12">
        <f>-'Income Statement'!AO49/1000</f>
        <v>-118.315</v>
      </c>
      <c r="BO26" s="12">
        <f>-'Income Statement'!AP49/1000</f>
        <v>0</v>
      </c>
      <c r="BP26" s="12">
        <f>-'Income Statement'!AQ49/1000</f>
        <v>0</v>
      </c>
      <c r="BQ26" s="12">
        <f>-'Income Statement'!AR49/1000</f>
        <v>0</v>
      </c>
      <c r="BR26" s="12">
        <f>-'Income Statement'!AS49/1000</f>
        <v>-156.81800000000001</v>
      </c>
      <c r="BS26" s="12">
        <f>-'Income Statement'!AT49/1000</f>
        <v>-156.81800000000001</v>
      </c>
      <c r="BT26" s="12">
        <f>-'Income Statement'!AU49/1000</f>
        <v>-50</v>
      </c>
      <c r="BU26" s="12">
        <f>-'Income Statement'!AV49/1000</f>
        <v>0</v>
      </c>
      <c r="BV26" s="12">
        <f>-'Income Statement'!AW49/1000</f>
        <v>0</v>
      </c>
      <c r="BW26" s="12">
        <f>-'Income Statement'!AX49/1000</f>
        <v>-170.82599999999999</v>
      </c>
      <c r="BX26" s="12">
        <f>-'Income Statement'!AY49/1000</f>
        <v>-220.82599999999999</v>
      </c>
      <c r="BY26" s="12">
        <f>-'Income Statement'!AZ49/1000</f>
        <v>0</v>
      </c>
      <c r="BZ26" s="12">
        <f>-'Income Statement'!BA49/1000</f>
        <v>0</v>
      </c>
      <c r="CA26" s="12">
        <f>-'Income Statement'!BB49/1000</f>
        <v>0</v>
      </c>
      <c r="CB26" s="12">
        <f>-'Income Statement'!BC49/1000</f>
        <v>-157.10599999999999</v>
      </c>
      <c r="CC26" s="12">
        <f>-'Income Statement'!BD49/1000</f>
        <v>-157.10599999999999</v>
      </c>
      <c r="CD26" s="12">
        <f>-'Income Statement'!BE49/1000</f>
        <v>0</v>
      </c>
      <c r="CE26" s="12">
        <f>-'Income Statement'!BF49/1000</f>
        <v>0</v>
      </c>
      <c r="CF26" s="12">
        <f>-'Income Statement'!BG49/1000</f>
        <v>0</v>
      </c>
      <c r="CG26" s="12">
        <f>-'Income Statement'!BH49/1000</f>
        <v>-106.35299999999999</v>
      </c>
      <c r="CH26" s="12">
        <f>-'Income Statement'!BI49/1000</f>
        <v>-106.35299999999999</v>
      </c>
      <c r="CI26" s="12">
        <f>-'Income Statement'!BJ49/1000</f>
        <v>0</v>
      </c>
      <c r="CJ26" s="12">
        <f>-'Income Statement'!BK49/1000</f>
        <v>0</v>
      </c>
      <c r="CK26" s="12">
        <f>-'Income Statement'!BL49/1000</f>
        <v>0</v>
      </c>
      <c r="CL26" s="12">
        <f>-'Income Statement'!BM49/1000</f>
        <v>-35.946081387</v>
      </c>
      <c r="CM26" s="12">
        <f>-'Income Statement'!BN49/1000</f>
        <v>-35.946081387</v>
      </c>
      <c r="CN26" s="12">
        <f>-'Income Statement'!BO49/1000</f>
        <v>0</v>
      </c>
      <c r="CO26" s="12">
        <f>-'Income Statement'!BP49/1000</f>
        <v>0</v>
      </c>
      <c r="CP26" s="12">
        <f>-'Income Statement'!BQ49/1000</f>
        <v>0</v>
      </c>
      <c r="CQ26" s="12">
        <f>-'Income Statement'!BR49/1000</f>
        <v>0</v>
      </c>
      <c r="CR26" s="12">
        <f>-'Income Statement'!BS49/1000</f>
        <v>0</v>
      </c>
      <c r="CS26" s="12">
        <f>-'Income Statement'!BT49/1000</f>
        <v>0</v>
      </c>
      <c r="CT26" s="12">
        <f>-'Income Statement'!BU49/1000</f>
        <v>-200</v>
      </c>
      <c r="CU26" s="12">
        <f>-'Income Statement'!BV49/1000</f>
        <v>0</v>
      </c>
      <c r="CV26" s="12">
        <f>-'Income Statement'!BW49/1000</f>
        <v>-230</v>
      </c>
      <c r="CW26" s="12">
        <f>-'Income Statement'!BX49/1000</f>
        <v>-430</v>
      </c>
      <c r="CX26" s="12">
        <f>-'Income Statement'!BY49/1000</f>
        <v>0</v>
      </c>
      <c r="CY26" s="12">
        <f>-'Income Statement'!BZ49/1000</f>
        <v>0</v>
      </c>
      <c r="CZ26" s="12">
        <f>-'Income Statement'!CA49/1000</f>
        <v>-300</v>
      </c>
      <c r="DA26" s="12">
        <f>-'Income Statement'!CB49/1000</f>
        <v>-400</v>
      </c>
      <c r="DB26" s="12">
        <f>-'Income Statement'!CC49/1000</f>
        <v>-700</v>
      </c>
      <c r="DC26" s="12">
        <f>-'Income Statement'!CD49/1000</f>
        <v>0</v>
      </c>
      <c r="DD26" s="12">
        <f>-'Income Statement'!CE49/1000</f>
        <v>0</v>
      </c>
      <c r="DE26" s="12">
        <f>-'Income Statement'!CF49/1000</f>
        <v>-98.762316060000003</v>
      </c>
      <c r="DF26" s="12">
        <f>-'Income Statement'!CG49/1000</f>
        <v>-600</v>
      </c>
      <c r="DG26" s="12">
        <f>-'Income Statement'!CH49/1000</f>
        <v>-698.76231605999999</v>
      </c>
      <c r="DH26" s="12">
        <f>-'Income Statement'!CI49/1000</f>
        <v>0</v>
      </c>
      <c r="DI26" s="12">
        <f>-'Income Statement'!CJ49/1000</f>
        <v>-418.06097850000003</v>
      </c>
      <c r="DJ26" s="12">
        <f>-'Income Statement'!CK49/1000</f>
        <v>0</v>
      </c>
      <c r="DK26" s="12">
        <f>-'Income Statement'!CL49/1000</f>
        <v>0</v>
      </c>
      <c r="DL26" s="12">
        <f>-'Income Statement'!CM49/1000</f>
        <v>-418.06097850000003</v>
      </c>
      <c r="DM26" s="12">
        <f>-'Income Statement'!CN49/1000</f>
        <v>0</v>
      </c>
      <c r="DN26" s="12">
        <f>-'Income Statement'!CO49/1000</f>
        <v>-217.15966804999999</v>
      </c>
      <c r="DO26" s="12">
        <f>-'Income Statement'!CP49/1000</f>
        <v>0</v>
      </c>
      <c r="DP26" s="12">
        <f>-'Income Statement'!CQ49/1000</f>
        <v>0</v>
      </c>
      <c r="DQ26" s="12">
        <f>-'Income Statement'!CR49/1000</f>
        <v>-217.15966804999999</v>
      </c>
      <c r="DR26" s="12">
        <f>-'Income Statement'!CS49/1000</f>
        <v>0</v>
      </c>
      <c r="DS26" s="12">
        <f>-'Income Statement'!CT49/1000</f>
        <v>-192.10892821000002</v>
      </c>
      <c r="DT26" s="12">
        <f>-'Income Statement'!CU49/1000</f>
        <v>0</v>
      </c>
      <c r="DU26" s="12">
        <f>-'Income Statement'!CV49/1000</f>
        <v>-125</v>
      </c>
      <c r="DV26" s="12">
        <f>-'Income Statement'!CW49/1000</f>
        <v>-317.10892821000004</v>
      </c>
      <c r="DW26" s="12">
        <f>-'Income Statement'!CX49/1000</f>
        <v>0</v>
      </c>
      <c r="DX26" s="12">
        <f>-'Income Statement'!CY49/1000</f>
        <v>0</v>
      </c>
      <c r="DY26" s="12">
        <f>-'Income Statement'!CZ49/1000</f>
        <v>0</v>
      </c>
      <c r="DZ26" s="12">
        <f>-'Income Statement'!DA49/1000</f>
        <v>-125</v>
      </c>
      <c r="EA26" s="12">
        <f>-'Income Statement'!DB49/1000</f>
        <v>-125</v>
      </c>
      <c r="EB26" s="417"/>
    </row>
    <row r="27" spans="1:132" s="7" customFormat="1">
      <c r="A27" s="11" t="s">
        <v>251</v>
      </c>
      <c r="B27" s="418"/>
      <c r="C27" s="418"/>
      <c r="D27" s="418"/>
      <c r="E27" s="418"/>
      <c r="F27" s="41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417"/>
    </row>
    <row r="28" spans="1:132" s="7" customFormat="1">
      <c r="A28" s="11" t="s">
        <v>252</v>
      </c>
      <c r="B28" s="418"/>
      <c r="C28" s="418"/>
      <c r="D28" s="418"/>
      <c r="E28" s="418"/>
      <c r="F28" s="418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417"/>
    </row>
    <row r="29" spans="1:132" s="7" customFormat="1">
      <c r="A29" s="17"/>
      <c r="B29" s="429"/>
      <c r="C29" s="429"/>
      <c r="D29" s="429"/>
      <c r="E29" s="429"/>
      <c r="F29" s="429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417"/>
    </row>
    <row r="30" spans="1:132" s="7" customFormat="1">
      <c r="A30" s="11" t="s">
        <v>11</v>
      </c>
      <c r="B30" s="418"/>
      <c r="C30" s="418"/>
      <c r="D30" s="418"/>
      <c r="E30" s="418"/>
      <c r="F30" s="41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>
        <f>-'Income Statement'!B68/1000</f>
        <v>-0.76300000000000001</v>
      </c>
      <c r="AB30" s="12">
        <f>-'Income Statement'!C68/1000</f>
        <v>-1.244</v>
      </c>
      <c r="AC30" s="12">
        <f>-'Income Statement'!D68/1000</f>
        <v>-1.0229999999999999</v>
      </c>
      <c r="AD30" s="12">
        <f>-'Income Statement'!E68/1000</f>
        <v>-0.47</v>
      </c>
      <c r="AE30" s="12">
        <f>-'Income Statement'!F68/1000</f>
        <v>-3.5</v>
      </c>
      <c r="AF30" s="12">
        <f>-'Income Statement'!G68/1000</f>
        <v>-1.1060000000000001</v>
      </c>
      <c r="AG30" s="12">
        <f>-'Income Statement'!H68/1000</f>
        <v>-0.65100000000000002</v>
      </c>
      <c r="AH30" s="12">
        <f>-'Income Statement'!I68/1000</f>
        <v>-1.0169999999999999</v>
      </c>
      <c r="AI30" s="12">
        <f>-'Income Statement'!J68/1000</f>
        <v>-0.313</v>
      </c>
      <c r="AJ30" s="12">
        <f>-'Income Statement'!K68/1000</f>
        <v>-3.0870000000000002</v>
      </c>
      <c r="AK30" s="12">
        <f>-'Income Statement'!L68/1000</f>
        <v>-0.79400000000000004</v>
      </c>
      <c r="AL30" s="12">
        <f>-'Income Statement'!M68/1000</f>
        <v>-1.2330000000000001</v>
      </c>
      <c r="AM30" s="12">
        <f>-'Income Statement'!N68/1000</f>
        <v>-1.5720000000000001</v>
      </c>
      <c r="AN30" s="12">
        <f>-'Income Statement'!O68/1000</f>
        <v>-1.4590000000000001</v>
      </c>
      <c r="AO30" s="12">
        <f>-'Income Statement'!P68/1000</f>
        <v>-5.0579999999999998</v>
      </c>
      <c r="AP30" s="12">
        <f>-'Income Statement'!Q68/1000</f>
        <v>-5.1660000000000004</v>
      </c>
      <c r="AQ30" s="12">
        <f>-'Income Statement'!R68/1000</f>
        <v>-9.2219999999999995</v>
      </c>
      <c r="AR30" s="12">
        <f>-'Income Statement'!S68/1000</f>
        <v>-1.69</v>
      </c>
      <c r="AS30" s="12">
        <f>-'Income Statement'!T68/1000</f>
        <v>-5.0000000000000001E-3</v>
      </c>
      <c r="AT30" s="12">
        <f>-'Income Statement'!U68/1000</f>
        <v>-16.082999999999998</v>
      </c>
      <c r="AU30" s="12">
        <f>-'Income Statement'!V68/1000</f>
        <v>-1.8220000000000001</v>
      </c>
      <c r="AV30" s="12">
        <f>-'Income Statement'!W68/1000</f>
        <v>-12.87</v>
      </c>
      <c r="AW30" s="12">
        <f>-'Income Statement'!X68/1000</f>
        <v>-3.863</v>
      </c>
      <c r="AX30" s="12">
        <f>-'Income Statement'!Y68/1000</f>
        <v>-3.2149999999999999</v>
      </c>
      <c r="AY30" s="12">
        <f>-'Income Statement'!Z68/1000</f>
        <v>-21.77</v>
      </c>
      <c r="AZ30" s="12">
        <f>-'Income Statement'!AA68/1000</f>
        <v>-2.9870000000000001</v>
      </c>
      <c r="BA30" s="12">
        <f>-'Income Statement'!AB68/1000</f>
        <v>-3.25</v>
      </c>
      <c r="BB30" s="12">
        <f>-'Income Statement'!AC68/1000</f>
        <v>-3.3039999999999998</v>
      </c>
      <c r="BC30" s="12">
        <f>-'Income Statement'!AD68/1000</f>
        <v>-26.852</v>
      </c>
      <c r="BD30" s="12">
        <f>-'Income Statement'!AE68/1000</f>
        <v>-36.393000000000001</v>
      </c>
      <c r="BE30" s="12">
        <f>-'Income Statement'!AF68/1000</f>
        <v>-18.32</v>
      </c>
      <c r="BF30" s="12">
        <f>-'Income Statement'!AG68/1000</f>
        <v>-10.916</v>
      </c>
      <c r="BG30" s="12">
        <f>-'Income Statement'!AH68/1000</f>
        <v>-11.321999999999999</v>
      </c>
      <c r="BH30" s="12">
        <f>-'Income Statement'!AI68/1000</f>
        <v>-18.975000000000001</v>
      </c>
      <c r="BI30" s="12">
        <f>-'Income Statement'!AJ68/1000</f>
        <v>-59.533000000000001</v>
      </c>
      <c r="BJ30" s="12">
        <f>-'Income Statement'!AK68/1000</f>
        <v>-10.409000000000001</v>
      </c>
      <c r="BK30" s="12">
        <f>-'Income Statement'!AL68/1000</f>
        <v>-6.2009999999999996</v>
      </c>
      <c r="BL30" s="12">
        <f>-'Income Statement'!AM68/1000</f>
        <v>-9</v>
      </c>
      <c r="BM30" s="12">
        <f>-'Income Statement'!AN68/1000</f>
        <v>-7.5069999999999997</v>
      </c>
      <c r="BN30" s="12">
        <f>-'Income Statement'!AO68/1000</f>
        <v>-33.116999999999997</v>
      </c>
      <c r="BO30" s="12">
        <f>-'Income Statement'!AP68/1000</f>
        <v>-22.651</v>
      </c>
      <c r="BP30" s="12">
        <f>-'Income Statement'!AQ68/1000</f>
        <v>-32.515000000000001</v>
      </c>
      <c r="BQ30" s="12">
        <f>-'Income Statement'!AR68/1000</f>
        <v>-30.082000000000001</v>
      </c>
      <c r="BR30" s="12">
        <f>-'Income Statement'!AS68/1000</f>
        <v>65.385999999999996</v>
      </c>
      <c r="BS30" s="12">
        <f>-'Income Statement'!AT68/1000</f>
        <v>-19.861999999999998</v>
      </c>
      <c r="BT30" s="12">
        <f>-'Income Statement'!AU68/1000</f>
        <v>-26.262</v>
      </c>
      <c r="BU30" s="12">
        <f>-'Income Statement'!AV68/1000</f>
        <v>-25.204000000000001</v>
      </c>
      <c r="BV30" s="12">
        <f>-'Income Statement'!AW68/1000</f>
        <v>-25.591000000000001</v>
      </c>
      <c r="BW30" s="12">
        <f>-'Income Statement'!AX68/1000</f>
        <v>-18.954999999999998</v>
      </c>
      <c r="BX30" s="12">
        <f>-'Income Statement'!AY68/1000</f>
        <v>-96.012</v>
      </c>
      <c r="BY30" s="12">
        <f>-'Income Statement'!AZ68/1000</f>
        <v>-24.638999999999999</v>
      </c>
      <c r="BZ30" s="12">
        <f>-'Income Statement'!BA68/1000</f>
        <v>-23.135999999999999</v>
      </c>
      <c r="CA30" s="12">
        <f>-'Income Statement'!BB68/1000</f>
        <v>-19.917000000000002</v>
      </c>
      <c r="CB30" s="12">
        <f>-'Income Statement'!BC68/1000</f>
        <v>-12.407999999999999</v>
      </c>
      <c r="CC30" s="12">
        <f>-'Income Statement'!BD68/1000</f>
        <v>-80.099999999999994</v>
      </c>
      <c r="CD30" s="12">
        <f>-'Income Statement'!BE68/1000</f>
        <v>-18.847999999999999</v>
      </c>
      <c r="CE30" s="12">
        <f>-'Income Statement'!BF68/1000</f>
        <v>-17.303000000000001</v>
      </c>
      <c r="CF30" s="12">
        <f>-'Income Statement'!BG68/1000</f>
        <v>-21.106000000000002</v>
      </c>
      <c r="CG30" s="12">
        <f>-'Income Statement'!BH68/1000</f>
        <v>-9.9320000000000004</v>
      </c>
      <c r="CH30" s="12">
        <f>-'Income Statement'!BI68/1000</f>
        <v>-67.188999999999993</v>
      </c>
      <c r="CI30" s="12">
        <f>-'Income Statement'!BJ68/1000</f>
        <v>-29.847000000000001</v>
      </c>
      <c r="CJ30" s="12">
        <f>-'Income Statement'!BK68/1000</f>
        <v>-17.59</v>
      </c>
      <c r="CK30" s="12">
        <f>-'Income Statement'!BL68/1000</f>
        <v>-25.606999999999999</v>
      </c>
      <c r="CL30" s="12">
        <f>-'Income Statement'!BM68/1000</f>
        <v>-15.587999999999999</v>
      </c>
      <c r="CM30" s="12">
        <f>-'Income Statement'!BN68/1000</f>
        <v>-88.632000000000005</v>
      </c>
      <c r="CN30" s="12">
        <f>-'Income Statement'!BO68/1000</f>
        <v>-21.341999999999999</v>
      </c>
      <c r="CO30" s="12">
        <f>-'Income Statement'!BP68/1000</f>
        <v>-28.661000000000001</v>
      </c>
      <c r="CP30" s="12">
        <f>-'Income Statement'!BQ68/1000</f>
        <v>-0.76100000000000001</v>
      </c>
      <c r="CQ30" s="12">
        <f>-'Income Statement'!BR68/1000</f>
        <v>6.3079999999999998</v>
      </c>
      <c r="CR30" s="12">
        <f>-'Income Statement'!BS68/1000</f>
        <v>-44.456000000000003</v>
      </c>
      <c r="CS30" s="12">
        <f>-'Income Statement'!BT68/1000</f>
        <v>-15.867000000000001</v>
      </c>
      <c r="CT30" s="12">
        <f>-'Income Statement'!BU68/1000</f>
        <v>-9.5839999999999996</v>
      </c>
      <c r="CU30" s="12">
        <f>-'Income Statement'!BV68/1000</f>
        <v>-22.893999999999998</v>
      </c>
      <c r="CV30" s="12">
        <f>-'Income Statement'!BW68/1000</f>
        <v>-13.023999999999999</v>
      </c>
      <c r="CW30" s="12">
        <f>-'Income Statement'!BX68/1000</f>
        <v>-61.369</v>
      </c>
      <c r="CX30" s="12">
        <f>-'Income Statement'!BY68/1000</f>
        <v>-24.359000000000002</v>
      </c>
      <c r="CY30" s="12">
        <f>-'Income Statement'!BZ68/1000</f>
        <v>7.8810000000000002</v>
      </c>
      <c r="CZ30" s="12">
        <f>-'Income Statement'!CA68/1000</f>
        <v>-31.538</v>
      </c>
      <c r="DA30" s="12">
        <f>-'Income Statement'!CB68/1000</f>
        <v>-26.661999999999999</v>
      </c>
      <c r="DB30" s="12">
        <f>-'Income Statement'!CC68/1000</f>
        <v>-74.677999999999997</v>
      </c>
      <c r="DC30" s="12">
        <f>-'Income Statement'!CD68/1000</f>
        <v>-17.199000000000002</v>
      </c>
      <c r="DD30" s="12">
        <f>-'Income Statement'!CE68/1000</f>
        <v>-13.725</v>
      </c>
      <c r="DE30" s="12">
        <f>-'Income Statement'!CF68/1000</f>
        <v>-8.9629999999999992</v>
      </c>
      <c r="DF30" s="12">
        <f>-'Income Statement'!CG68/1000</f>
        <v>-11.276</v>
      </c>
      <c r="DG30" s="12">
        <f>-'Income Statement'!CH68/1000</f>
        <v>-51.162999999999997</v>
      </c>
      <c r="DH30" s="12">
        <f>-'Income Statement'!CI68/1000</f>
        <v>-10.932</v>
      </c>
      <c r="DI30" s="12">
        <f>-'Income Statement'!CJ68/1000</f>
        <v>-10.462</v>
      </c>
      <c r="DJ30" s="12">
        <f>-'Income Statement'!CK68/1000</f>
        <v>-11.02</v>
      </c>
      <c r="DK30" s="12">
        <f>-'Income Statement'!CL68/1000</f>
        <v>-7.758</v>
      </c>
      <c r="DL30" s="12">
        <f>-'Income Statement'!CM68/1000</f>
        <v>-40.171999999999997</v>
      </c>
      <c r="DM30" s="12">
        <f>-'Income Statement'!CN68/1000</f>
        <v>-8.532</v>
      </c>
      <c r="DN30" s="12">
        <f>-'Income Statement'!CO68/1000</f>
        <v>-9.2509999999999994</v>
      </c>
      <c r="DO30" s="12">
        <f>-'Income Statement'!CP68/1000</f>
        <v>-22.832000000000001</v>
      </c>
      <c r="DP30" s="12">
        <f>-'Income Statement'!CQ68/1000</f>
        <v>-22.658000000000001</v>
      </c>
      <c r="DQ30" s="12">
        <f>-'Income Statement'!CR68/1000</f>
        <v>-63.273000000000003</v>
      </c>
      <c r="DR30" s="12">
        <f>-'Income Statement'!CS68/1000</f>
        <v>-29.283999999999999</v>
      </c>
      <c r="DS30" s="12">
        <f>-'Income Statement'!CT68/1000</f>
        <v>-16.071000000000002</v>
      </c>
      <c r="DT30" s="12">
        <f>-'Income Statement'!CU68/1000</f>
        <v>-42.302</v>
      </c>
      <c r="DU30" s="12">
        <f>-'Income Statement'!CV68/1000</f>
        <v>-3.2919999999999998</v>
      </c>
      <c r="DV30" s="12">
        <f>-'Income Statement'!CW68/1000</f>
        <v>-90.948999999999998</v>
      </c>
      <c r="DW30" s="12">
        <f>-'Income Statement'!CX68/1000</f>
        <v>-23.638000000000002</v>
      </c>
      <c r="DX30" s="12">
        <f>-'Income Statement'!CY68/1000</f>
        <v>-16.364999999999998</v>
      </c>
      <c r="DY30" s="12">
        <f>-'Income Statement'!CZ68/1000</f>
        <v>-39.999000000000002</v>
      </c>
      <c r="DZ30" s="12">
        <f>-'Income Statement'!DA68/1000</f>
        <v>-20.056999999999999</v>
      </c>
      <c r="EA30" s="12">
        <f>-'Income Statement'!DB68/1000</f>
        <v>-100.059</v>
      </c>
      <c r="EB30" s="417"/>
    </row>
    <row r="31" spans="1:132" s="7" customFormat="1">
      <c r="A31" s="11" t="s">
        <v>253</v>
      </c>
      <c r="B31" s="418"/>
      <c r="C31" s="418"/>
      <c r="D31" s="418"/>
      <c r="E31" s="418"/>
      <c r="F31" s="41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417"/>
    </row>
    <row r="32" spans="1:132" s="7" customFormat="1">
      <c r="A32" s="17"/>
      <c r="B32" s="429"/>
      <c r="C32" s="429"/>
      <c r="D32" s="429"/>
      <c r="E32" s="429"/>
      <c r="F32" s="429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417"/>
    </row>
    <row r="33" spans="1:132" s="7" customFormat="1" ht="15">
      <c r="A33" s="22" t="s">
        <v>254</v>
      </c>
      <c r="B33" s="435"/>
      <c r="C33" s="435"/>
      <c r="D33" s="435"/>
      <c r="E33" s="435"/>
      <c r="F33" s="435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417"/>
    </row>
    <row r="34" spans="1:132" s="7" customFormat="1">
      <c r="A34" s="17" t="s">
        <v>249</v>
      </c>
      <c r="B34" s="434"/>
      <c r="C34" s="434"/>
      <c r="D34" s="434"/>
      <c r="E34" s="434"/>
      <c r="F34" s="43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417"/>
    </row>
    <row r="35" spans="1:132" s="7" customFormat="1">
      <c r="A35" s="17" t="s">
        <v>248</v>
      </c>
      <c r="B35" s="434"/>
      <c r="C35" s="434"/>
      <c r="D35" s="434"/>
      <c r="E35" s="434"/>
      <c r="F35" s="43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417"/>
    </row>
    <row r="36" spans="1:132" s="7" customFormat="1">
      <c r="A36" s="17" t="s">
        <v>239</v>
      </c>
      <c r="B36" s="434"/>
      <c r="C36" s="434"/>
      <c r="D36" s="434"/>
      <c r="E36" s="434"/>
      <c r="F36" s="43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417"/>
    </row>
    <row r="37" spans="1:132" s="7" customFormat="1">
      <c r="A37" s="11" t="s">
        <v>255</v>
      </c>
      <c r="B37" s="418"/>
      <c r="C37" s="418"/>
      <c r="D37" s="418"/>
      <c r="E37" s="418"/>
      <c r="F37" s="418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417"/>
    </row>
    <row r="38" spans="1:132" s="7" customFormat="1">
      <c r="A38" s="17" t="s">
        <v>238</v>
      </c>
      <c r="B38" s="434"/>
      <c r="C38" s="434"/>
      <c r="D38" s="434"/>
      <c r="E38" s="434"/>
      <c r="F38" s="43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417"/>
    </row>
    <row r="39" spans="1:132" s="7" customFormat="1">
      <c r="A39" s="11" t="s">
        <v>256</v>
      </c>
      <c r="B39" s="418"/>
      <c r="C39" s="418"/>
      <c r="D39" s="418"/>
      <c r="E39" s="418"/>
      <c r="F39" s="418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417"/>
    </row>
    <row r="40" spans="1:132" s="7" customFormat="1">
      <c r="A40" s="17" t="s">
        <v>257</v>
      </c>
      <c r="B40" s="433"/>
      <c r="C40" s="433"/>
      <c r="D40" s="433"/>
      <c r="E40" s="433"/>
      <c r="F40" s="43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417"/>
    </row>
    <row r="41" spans="1:132" s="7" customFormat="1">
      <c r="A41" s="11" t="s">
        <v>258</v>
      </c>
      <c r="B41" s="418"/>
      <c r="C41" s="418"/>
      <c r="D41" s="418"/>
      <c r="E41" s="418"/>
      <c r="F41" s="418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417"/>
    </row>
    <row r="42" spans="1:132" s="7" customFormat="1">
      <c r="A42" s="11" t="s">
        <v>259</v>
      </c>
      <c r="B42" s="418"/>
      <c r="C42" s="418"/>
      <c r="D42" s="418"/>
      <c r="E42" s="418"/>
      <c r="F42" s="418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417"/>
    </row>
    <row r="43" spans="1:132" s="7" customFormat="1">
      <c r="A43" s="17" t="s">
        <v>260</v>
      </c>
      <c r="B43" s="433"/>
      <c r="C43" s="433"/>
      <c r="D43" s="433"/>
      <c r="E43" s="433"/>
      <c r="F43" s="43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417"/>
    </row>
    <row r="44" spans="1:132" s="7" customFormat="1" ht="15.75">
      <c r="A44" s="25" t="s">
        <v>261</v>
      </c>
      <c r="B44" s="431"/>
      <c r="C44" s="431"/>
      <c r="D44" s="431"/>
      <c r="E44" s="431"/>
      <c r="F44" s="431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417"/>
    </row>
    <row r="45" spans="1:132" s="7" customFormat="1">
      <c r="A45" s="11" t="s">
        <v>262</v>
      </c>
      <c r="B45" s="418"/>
      <c r="C45" s="418"/>
      <c r="D45" s="418"/>
      <c r="E45" s="418"/>
      <c r="F45" s="418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417"/>
    </row>
    <row r="46" spans="1:132" s="7" customFormat="1">
      <c r="A46" s="11" t="s">
        <v>263</v>
      </c>
      <c r="B46" s="418"/>
      <c r="C46" s="418"/>
      <c r="D46" s="418"/>
      <c r="E46" s="418"/>
      <c r="F46" s="418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417"/>
    </row>
    <row r="47" spans="1:132" s="7" customFormat="1">
      <c r="A47" s="11" t="s">
        <v>264</v>
      </c>
      <c r="B47" s="418"/>
      <c r="C47" s="418"/>
      <c r="D47" s="418"/>
      <c r="E47" s="418"/>
      <c r="F47" s="418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417"/>
    </row>
    <row r="48" spans="1:132" s="7" customFormat="1">
      <c r="A48" s="11" t="s">
        <v>265</v>
      </c>
      <c r="B48" s="418"/>
      <c r="C48" s="418"/>
      <c r="D48" s="418"/>
      <c r="E48" s="418"/>
      <c r="F48" s="418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417"/>
    </row>
    <row r="49" spans="1:132" s="7" customFormat="1">
      <c r="A49" s="11" t="s">
        <v>266</v>
      </c>
      <c r="B49" s="418"/>
      <c r="C49" s="418"/>
      <c r="D49" s="418"/>
      <c r="E49" s="418"/>
      <c r="F49" s="418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417"/>
    </row>
    <row r="50" spans="1:132" s="7" customFormat="1">
      <c r="A50" s="11" t="s">
        <v>267</v>
      </c>
      <c r="B50" s="418"/>
      <c r="C50" s="418"/>
      <c r="D50" s="418"/>
      <c r="E50" s="418"/>
      <c r="F50" s="418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417"/>
    </row>
    <row r="51" spans="1:132" s="7" customFormat="1">
      <c r="A51" s="11" t="s">
        <v>268</v>
      </c>
      <c r="B51" s="418"/>
      <c r="C51" s="418"/>
      <c r="D51" s="418"/>
      <c r="E51" s="418"/>
      <c r="F51" s="418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417"/>
    </row>
    <row r="52" spans="1:132" s="7" customFormat="1">
      <c r="A52" s="11" t="s">
        <v>269</v>
      </c>
      <c r="B52" s="418"/>
      <c r="C52" s="418"/>
      <c r="D52" s="418"/>
      <c r="E52" s="418"/>
      <c r="F52" s="418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>
        <f>'Income Statement'!B41/1000</f>
        <v>-4.1539999999999999</v>
      </c>
      <c r="AB52" s="12">
        <f>'Income Statement'!C41/1000</f>
        <v>-4.1539999999999999</v>
      </c>
      <c r="AC52" s="12">
        <f>'Income Statement'!D41/1000</f>
        <v>-3.6509999999999998</v>
      </c>
      <c r="AD52" s="12">
        <f>'Income Statement'!E41/1000</f>
        <v>-1.431</v>
      </c>
      <c r="AE52" s="12">
        <f>'Income Statement'!F41/1000</f>
        <v>-13.39</v>
      </c>
      <c r="AF52" s="12">
        <f>'Income Statement'!G41/1000</f>
        <v>-5.2850000000000001</v>
      </c>
      <c r="AG52" s="12">
        <f>'Income Statement'!H41/1000</f>
        <v>-4.07</v>
      </c>
      <c r="AH52" s="12">
        <f>'Income Statement'!I41/1000</f>
        <v>-6.8719999999999999</v>
      </c>
      <c r="AI52" s="12">
        <f>'Income Statement'!J41/1000</f>
        <v>-7.085</v>
      </c>
      <c r="AJ52" s="12">
        <f>'Income Statement'!K41/1000</f>
        <v>-23.312000000000001</v>
      </c>
      <c r="AK52" s="12">
        <f>'Income Statement'!L41/1000</f>
        <v>-4.6340000000000003</v>
      </c>
      <c r="AL52" s="12">
        <f>'Income Statement'!M41/1000</f>
        <v>-11.17</v>
      </c>
      <c r="AM52" s="12">
        <f>'Income Statement'!N41/1000</f>
        <v>1.5089999999999999</v>
      </c>
      <c r="AN52" s="12">
        <f>'Income Statement'!O41/1000</f>
        <v>-2.8530000000000002</v>
      </c>
      <c r="AO52" s="12">
        <f>'Income Statement'!P41/1000</f>
        <v>-17.148</v>
      </c>
      <c r="AP52" s="12">
        <f>'Income Statement'!Q41/1000</f>
        <v>6.4720000000000004</v>
      </c>
      <c r="AQ52" s="12">
        <f>'Income Statement'!R41/1000</f>
        <v>-2.6059999999999999</v>
      </c>
      <c r="AR52" s="12">
        <f>'Income Statement'!S41/1000</f>
        <v>-14.981</v>
      </c>
      <c r="AS52" s="12">
        <f>'Income Statement'!T41/1000</f>
        <v>-9.423</v>
      </c>
      <c r="AT52" s="12">
        <f>'Income Statement'!U41/1000</f>
        <v>-20.538</v>
      </c>
      <c r="AU52" s="12">
        <f>'Income Statement'!V41/1000</f>
        <v>1.921</v>
      </c>
      <c r="AV52" s="12">
        <f>'Income Statement'!W41/1000</f>
        <v>-19.494</v>
      </c>
      <c r="AW52" s="12">
        <f>'Income Statement'!X41/1000</f>
        <v>-11.504</v>
      </c>
      <c r="AX52" s="12">
        <f>'Income Statement'!Y41/1000</f>
        <v>-7.17</v>
      </c>
      <c r="AY52" s="12">
        <f>'Income Statement'!Z41/1000</f>
        <v>-36.247</v>
      </c>
      <c r="AZ52" s="12">
        <f>'Income Statement'!AA41/1000</f>
        <v>-13.785</v>
      </c>
      <c r="BA52" s="12">
        <f>'Income Statement'!AB41/1000</f>
        <v>-3.286</v>
      </c>
      <c r="BB52" s="12">
        <f>'Income Statement'!AC41/1000</f>
        <v>-17.529</v>
      </c>
      <c r="BC52" s="12">
        <f>'Income Statement'!AD41/1000</f>
        <v>-5.633</v>
      </c>
      <c r="BD52" s="12">
        <f>'Income Statement'!AE41/1000</f>
        <v>-40.232999999999997</v>
      </c>
      <c r="BE52" s="12">
        <f>'Income Statement'!AF41/1000</f>
        <v>-0.59299999999999997</v>
      </c>
      <c r="BF52" s="12">
        <f>'Income Statement'!AG41/1000</f>
        <v>-19.908999999999999</v>
      </c>
      <c r="BG52" s="12">
        <f>'Income Statement'!AH41/1000</f>
        <v>-5.4660000000000002</v>
      </c>
      <c r="BH52" s="12">
        <f>'Income Statement'!AI41/1000</f>
        <v>-0.39500000000000002</v>
      </c>
      <c r="BI52" s="12">
        <f>'Income Statement'!AJ41/1000</f>
        <v>-26.363</v>
      </c>
      <c r="BJ52" s="12">
        <f>'Income Statement'!AK41/1000</f>
        <v>-7.319</v>
      </c>
      <c r="BK52" s="12">
        <f>'Income Statement'!AL41/1000</f>
        <v>4.5720000000000001</v>
      </c>
      <c r="BL52" s="12">
        <f>'Income Statement'!AM41/1000</f>
        <v>2.5190000000000001</v>
      </c>
      <c r="BM52" s="12">
        <f>'Income Statement'!AN41/1000</f>
        <v>-9.9109999999999996</v>
      </c>
      <c r="BN52" s="12">
        <f>'Income Statement'!AO41/1000</f>
        <v>-10.138999999999999</v>
      </c>
      <c r="BO52" s="12">
        <f>'Income Statement'!AP41/1000</f>
        <v>-6.08</v>
      </c>
      <c r="BP52" s="12">
        <f>'Income Statement'!AQ41/1000</f>
        <v>-14.023</v>
      </c>
      <c r="BQ52" s="12">
        <f>'Income Statement'!AR41/1000</f>
        <v>-6.91</v>
      </c>
      <c r="BR52" s="12">
        <f>'Income Statement'!AS41/1000</f>
        <v>57.463000000000001</v>
      </c>
      <c r="BS52" s="12">
        <f>'Income Statement'!AT41/1000</f>
        <v>30.45</v>
      </c>
      <c r="BT52" s="12">
        <f>'Income Statement'!AU41/1000</f>
        <v>2.4380000000000002</v>
      </c>
      <c r="BU52" s="12">
        <f>'Income Statement'!AV41/1000</f>
        <v>3.0449999999999999</v>
      </c>
      <c r="BV52" s="12">
        <f>'Income Statement'!AW41/1000</f>
        <v>0.68700000000000006</v>
      </c>
      <c r="BW52" s="12">
        <f>'Income Statement'!AX41/1000</f>
        <v>0.77400000000000002</v>
      </c>
      <c r="BX52" s="12">
        <f>'Income Statement'!AY41/1000</f>
        <v>6.944</v>
      </c>
      <c r="BY52" s="12">
        <f>'Income Statement'!AZ41/1000</f>
        <v>-5.6050000000000004</v>
      </c>
      <c r="BZ52" s="12">
        <f>'Income Statement'!BA41/1000</f>
        <v>-7.63</v>
      </c>
      <c r="CA52" s="12">
        <f>'Income Statement'!BB41/1000</f>
        <v>6.0389999999999997</v>
      </c>
      <c r="CB52" s="12">
        <f>'Income Statement'!BC41/1000</f>
        <v>1.385</v>
      </c>
      <c r="CC52" s="12">
        <f>'Income Statement'!BD41/1000</f>
        <v>-5.8109999999999999</v>
      </c>
      <c r="CD52" s="12">
        <f>'Income Statement'!BE41/1000</f>
        <v>9.5909999999999993</v>
      </c>
      <c r="CE52" s="12">
        <f>'Income Statement'!BF41/1000</f>
        <v>7.1920000000000002</v>
      </c>
      <c r="CF52" s="12">
        <f>'Income Statement'!BG41/1000</f>
        <v>-0.14000000000000001</v>
      </c>
      <c r="CG52" s="12">
        <f>'Income Statement'!BH41/1000</f>
        <v>4.58</v>
      </c>
      <c r="CH52" s="12">
        <f>'Income Statement'!BI41/1000</f>
        <v>21.222999999999999</v>
      </c>
      <c r="CI52" s="12">
        <f>'Income Statement'!BJ41/1000</f>
        <v>2.5249999999999999</v>
      </c>
      <c r="CJ52" s="12">
        <f>'Income Statement'!BK41/1000</f>
        <v>5.7229999999999999</v>
      </c>
      <c r="CK52" s="12">
        <f>'Income Statement'!BL41/1000</f>
        <v>-0.74099999999999999</v>
      </c>
      <c r="CL52" s="12">
        <f>'Income Statement'!BM41/1000</f>
        <v>1.9339999999999999</v>
      </c>
      <c r="CM52" s="12">
        <f>'Income Statement'!BN41/1000</f>
        <v>9.4410000000000007</v>
      </c>
      <c r="CN52" s="12">
        <f>'Income Statement'!BO41/1000</f>
        <v>6.1589999999999998</v>
      </c>
      <c r="CO52" s="12">
        <f>'Income Statement'!BP41/1000</f>
        <v>4.9989999999999997</v>
      </c>
      <c r="CP52" s="12">
        <f>'Income Statement'!BQ41/1000</f>
        <v>6.1559999999999997</v>
      </c>
      <c r="CQ52" s="12">
        <f>'Income Statement'!BR41/1000</f>
        <v>0.28100000000000003</v>
      </c>
      <c r="CR52" s="12">
        <f>'Income Statement'!BS41/1000</f>
        <v>17.594999999999999</v>
      </c>
      <c r="CS52" s="12">
        <f>'Income Statement'!BT41/1000</f>
        <v>2.4180000000000001</v>
      </c>
      <c r="CT52" s="12">
        <f>'Income Statement'!BU41/1000</f>
        <v>2.2879999999999998</v>
      </c>
      <c r="CU52" s="12">
        <f>'Income Statement'!BV41/1000</f>
        <v>2.6619999999999999</v>
      </c>
      <c r="CV52" s="12">
        <f>'Income Statement'!BW41/1000</f>
        <v>-8.4670000000000005</v>
      </c>
      <c r="CW52" s="12">
        <f>'Income Statement'!BX41/1000</f>
        <v>-1.099</v>
      </c>
      <c r="CX52" s="12">
        <f>'Income Statement'!BY41/1000</f>
        <v>-17.937000000000001</v>
      </c>
      <c r="CY52" s="12">
        <f>'Income Statement'!BZ41/1000</f>
        <v>-19.605</v>
      </c>
      <c r="CZ52" s="12">
        <f>'Income Statement'!CA41/1000</f>
        <v>0.20200000000000001</v>
      </c>
      <c r="DA52" s="12">
        <f>'Income Statement'!CB41/1000</f>
        <v>34.384</v>
      </c>
      <c r="DB52" s="12">
        <f>'Income Statement'!CC41/1000</f>
        <v>-2.956</v>
      </c>
      <c r="DC52" s="12">
        <f>'Income Statement'!CD41/1000</f>
        <v>1.4570000000000001</v>
      </c>
      <c r="DD52" s="12">
        <f>'Income Statement'!CE41/1000</f>
        <v>-2.972</v>
      </c>
      <c r="DE52" s="12">
        <f>'Income Statement'!CF41/1000</f>
        <v>0</v>
      </c>
      <c r="DF52" s="12">
        <f>'Income Statement'!CG41/1000</f>
        <v>5.7169999999999996</v>
      </c>
      <c r="DG52" s="12">
        <f>'Income Statement'!CH41/1000</f>
        <v>4.202</v>
      </c>
      <c r="DH52" s="12">
        <f>'Income Statement'!CI41/1000</f>
        <v>-1.4999999999999999E-2</v>
      </c>
      <c r="DI52" s="12">
        <f>'Income Statement'!CJ41/1000</f>
        <v>3.4169999999999998</v>
      </c>
      <c r="DJ52" s="12">
        <f>'Income Statement'!CK41/1000</f>
        <v>-2.4740000000000002</v>
      </c>
      <c r="DK52" s="12">
        <f>'Income Statement'!CL41/1000</f>
        <v>3.4710000000000001</v>
      </c>
      <c r="DL52" s="12">
        <f>'Income Statement'!CM41/1000</f>
        <v>4.399</v>
      </c>
      <c r="DM52" s="12">
        <f>'Income Statement'!CN41/1000</f>
        <v>-1.238</v>
      </c>
      <c r="DN52" s="12">
        <f>'Income Statement'!CO41/1000</f>
        <v>-2.609</v>
      </c>
      <c r="DO52" s="12">
        <f>'Income Statement'!CP41/1000</f>
        <v>2.855</v>
      </c>
      <c r="DP52" s="12">
        <f>'Income Statement'!CQ41/1000</f>
        <v>-0.875</v>
      </c>
      <c r="DQ52" s="12">
        <f>'Income Statement'!CR41/1000</f>
        <v>-1.867</v>
      </c>
      <c r="DR52" s="12">
        <f>'Income Statement'!CS41/1000</f>
        <v>3.9740000000000002</v>
      </c>
      <c r="DS52" s="12">
        <f>'Income Statement'!CT41/1000</f>
        <v>-5.843</v>
      </c>
      <c r="DT52" s="12">
        <f>'Income Statement'!CU41/1000</f>
        <v>-5.0720000000000001</v>
      </c>
      <c r="DU52" s="12">
        <f>'Income Statement'!CV41/1000</f>
        <v>-5.6070000000000002</v>
      </c>
      <c r="DV52" s="12">
        <f>'Income Statement'!CW41/1000</f>
        <v>-12.548</v>
      </c>
      <c r="DW52" s="12">
        <f>'Income Statement'!CX41/1000</f>
        <v>-2.7509999999999999</v>
      </c>
      <c r="DX52" s="12">
        <f>'Income Statement'!CY41/1000</f>
        <v>-7.19</v>
      </c>
      <c r="DY52" s="12">
        <f>'Income Statement'!CZ41/1000</f>
        <v>-7.3339999999999996</v>
      </c>
      <c r="DZ52" s="12">
        <f>'Income Statement'!DA41/1000</f>
        <v>-9.6720000000000006</v>
      </c>
      <c r="EA52" s="12">
        <f>'Income Statement'!DB41/1000</f>
        <v>-26.946999999999999</v>
      </c>
      <c r="EB52" s="417"/>
    </row>
    <row r="53" spans="1:132" s="7" customFormat="1">
      <c r="A53" s="11" t="s">
        <v>270</v>
      </c>
      <c r="B53" s="418"/>
      <c r="C53" s="418"/>
      <c r="D53" s="418"/>
      <c r="E53" s="418"/>
      <c r="F53" s="418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>
        <f>'Income Statement'!B23/1000+'Income Statement'!B29/1000+'Income Statement'!B27/1000</f>
        <v>9.8490000000000002</v>
      </c>
      <c r="AB53" s="12">
        <f>'Income Statement'!C23/1000+'Income Statement'!C29/1000+'Income Statement'!C27/1000</f>
        <v>9.8490000000000002</v>
      </c>
      <c r="AC53" s="12">
        <f>'Income Statement'!D23/1000+'Income Statement'!D29/1000+'Income Statement'!D27/1000</f>
        <v>14.877000000000001</v>
      </c>
      <c r="AD53" s="12">
        <f>'Income Statement'!E23/1000+'Income Statement'!E29/1000+'Income Statement'!E27/1000</f>
        <v>9.1240000000000006</v>
      </c>
      <c r="AE53" s="12">
        <f>'Income Statement'!F23/1000+'Income Statement'!F29/1000+'Income Statement'!F27/1000</f>
        <v>43.698999999999998</v>
      </c>
      <c r="AF53" s="12">
        <f>'Income Statement'!G23/1000+'Income Statement'!G29/1000+'Income Statement'!G27/1000</f>
        <v>11.688000000000001</v>
      </c>
      <c r="AG53" s="12">
        <f>'Income Statement'!H23/1000+'Income Statement'!H29/1000+'Income Statement'!H27/1000</f>
        <v>19.433</v>
      </c>
      <c r="AH53" s="12">
        <f>'Income Statement'!I23/1000+'Income Statement'!I29/1000+'Income Statement'!I27/1000</f>
        <v>5.6559999999999997</v>
      </c>
      <c r="AI53" s="12">
        <f>'Income Statement'!J23/1000+'Income Statement'!J29/1000+'Income Statement'!J27/1000</f>
        <v>21.013999999999999</v>
      </c>
      <c r="AJ53" s="12">
        <f>'Income Statement'!K23/1000+'Income Statement'!K29/1000+'Income Statement'!K27/1000</f>
        <v>57.790999999999997</v>
      </c>
      <c r="AK53" s="12">
        <f>'Income Statement'!L23/1000+'Income Statement'!L29/1000+'Income Statement'!L27/1000</f>
        <v>29.751000000000001</v>
      </c>
      <c r="AL53" s="12">
        <f>'Income Statement'!M23/1000+'Income Statement'!M29/1000+'Income Statement'!M27/1000</f>
        <v>31.77</v>
      </c>
      <c r="AM53" s="12">
        <f>'Income Statement'!N23/1000+'Income Statement'!N29/1000+'Income Statement'!N27/1000</f>
        <v>34.091000000000001</v>
      </c>
      <c r="AN53" s="12">
        <f>'Income Statement'!O23/1000+'Income Statement'!O29/1000+'Income Statement'!O27/1000</f>
        <v>37.680999999999997</v>
      </c>
      <c r="AO53" s="12">
        <f>'Income Statement'!P23/1000+'Income Statement'!P29/1000+'Income Statement'!P27/1000</f>
        <v>133.29300000000001</v>
      </c>
      <c r="AP53" s="12">
        <f>'Income Statement'!Q23/1000+'Income Statement'!Q29/1000+'Income Statement'!Q27/1000</f>
        <v>19.762999999999998</v>
      </c>
      <c r="AQ53" s="12">
        <f>'Income Statement'!R23/1000+'Income Statement'!R29/1000+'Income Statement'!R27/1000</f>
        <v>47.993000000000009</v>
      </c>
      <c r="AR53" s="12">
        <f>'Income Statement'!S23/1000+'Income Statement'!S29/1000+'Income Statement'!S27/1000</f>
        <v>44.600999999999999</v>
      </c>
      <c r="AS53" s="12">
        <f>'Income Statement'!T23/1000+'Income Statement'!T29/1000+'Income Statement'!T27/1000</f>
        <v>59.759</v>
      </c>
      <c r="AT53" s="12">
        <f>'Income Statement'!U23/1000+'Income Statement'!U29/1000+'Income Statement'!U27/1000</f>
        <v>172.11599999999999</v>
      </c>
      <c r="AU53" s="12">
        <f>'Income Statement'!V23/1000+'Income Statement'!V29/1000+'Income Statement'!V27/1000</f>
        <v>37.045999999999999</v>
      </c>
      <c r="AV53" s="12">
        <f>'Income Statement'!W23/1000+'Income Statement'!W29/1000+'Income Statement'!W27/1000</f>
        <v>55.234000000000002</v>
      </c>
      <c r="AW53" s="12">
        <f>'Income Statement'!X23/1000+'Income Statement'!X29/1000+'Income Statement'!X27/1000</f>
        <v>20.683</v>
      </c>
      <c r="AX53" s="12">
        <f>'Income Statement'!Y23/1000+'Income Statement'!Y29/1000+'Income Statement'!Y27/1000</f>
        <v>77.777000000000001</v>
      </c>
      <c r="AY53" s="12">
        <f>'Income Statement'!Z23/1000+'Income Statement'!Z29/1000+'Income Statement'!Z27/1000</f>
        <v>190.74</v>
      </c>
      <c r="AZ53" s="12">
        <f>'Income Statement'!AA23/1000+'Income Statement'!AA29/1000+'Income Statement'!AA27/1000</f>
        <v>55.186999999999998</v>
      </c>
      <c r="BA53" s="12">
        <f>'Income Statement'!AB23/1000+'Income Statement'!AB29/1000+'Income Statement'!AB27/1000</f>
        <v>47.545000000000002</v>
      </c>
      <c r="BB53" s="12">
        <f>'Income Statement'!AC23/1000+'Income Statement'!AC29/1000+'Income Statement'!AC27/1000</f>
        <v>41.683</v>
      </c>
      <c r="BC53" s="12">
        <f>'Income Statement'!AD23/1000+'Income Statement'!AD29/1000+'Income Statement'!AD27/1000</f>
        <v>66.387</v>
      </c>
      <c r="BD53" s="12">
        <f>'Income Statement'!AE23/1000+'Income Statement'!AE29/1000+'Income Statement'!AE27/1000</f>
        <v>210.80200000000002</v>
      </c>
      <c r="BE53" s="12">
        <f>'Income Statement'!AF23/1000+'Income Statement'!AF29/1000+'Income Statement'!AF27/1000</f>
        <v>57.268999999999998</v>
      </c>
      <c r="BF53" s="12">
        <f>'Income Statement'!AG23/1000+'Income Statement'!AG29/1000+'Income Statement'!AG27/1000</f>
        <v>79.022999999999996</v>
      </c>
      <c r="BG53" s="12">
        <f>'Income Statement'!AH23/1000+'Income Statement'!AH29/1000+'Income Statement'!AH27/1000</f>
        <v>82.308999999999997</v>
      </c>
      <c r="BH53" s="12">
        <f>'Income Statement'!AI23/1000+'Income Statement'!AI29/1000+'Income Statement'!AI27/1000</f>
        <v>69.010999999999996</v>
      </c>
      <c r="BI53" s="12">
        <f>'Income Statement'!AJ23/1000+'Income Statement'!AJ29/1000+'Income Statement'!AJ27/1000</f>
        <v>287.61199999999997</v>
      </c>
      <c r="BJ53" s="12">
        <f>'Income Statement'!AK23/1000+'Income Statement'!AK29/1000+'Income Statement'!AK27/1000</f>
        <v>59.606000000000002</v>
      </c>
      <c r="BK53" s="12">
        <f>'Income Statement'!AL23/1000+'Income Statement'!AL29/1000+'Income Statement'!AL27/1000</f>
        <v>76.135000000000005</v>
      </c>
      <c r="BL53" s="12">
        <f>'Income Statement'!AM23/1000+'Income Statement'!AM29/1000+'Income Statement'!AM27/1000</f>
        <v>101.37899999999999</v>
      </c>
      <c r="BM53" s="12">
        <f>'Income Statement'!AN23/1000+'Income Statement'!AN29/1000+'Income Statement'!AN27/1000</f>
        <v>126.215</v>
      </c>
      <c r="BN53" s="12">
        <f>'Income Statement'!AO23/1000+'Income Statement'!AO29/1000+'Income Statement'!AO27/1000</f>
        <v>363.33499999999998</v>
      </c>
      <c r="BO53" s="12">
        <f>'Income Statement'!AP23/1000+'Income Statement'!AP29/1000+'Income Statement'!AP27/1000</f>
        <v>78.009</v>
      </c>
      <c r="BP53" s="12">
        <f>'Income Statement'!AQ23/1000+'Income Statement'!AQ29/1000+'Income Statement'!AQ27/1000</f>
        <v>78.34899999999999</v>
      </c>
      <c r="BQ53" s="12">
        <f>'Income Statement'!AR23/1000+'Income Statement'!AR29/1000+'Income Statement'!AR27/1000</f>
        <v>47.58</v>
      </c>
      <c r="BR53" s="12">
        <f>'Income Statement'!AS23/1000+'Income Statement'!AS29/1000+'Income Statement'!AS27/1000</f>
        <v>45.364000000000004</v>
      </c>
      <c r="BS53" s="12">
        <f>'Income Statement'!AT23/1000+'Income Statement'!AT29/1000+'Income Statement'!AT27/1000</f>
        <v>249.30199999999999</v>
      </c>
      <c r="BT53" s="12">
        <f>'Income Statement'!AU23/1000+'Income Statement'!AU29/1000+'Income Statement'!AU27/1000</f>
        <v>50.737000000000002</v>
      </c>
      <c r="BU53" s="12">
        <f>'Income Statement'!AV23/1000+'Income Statement'!AV29/1000+'Income Statement'!AV27/1000</f>
        <v>48.469000000000001</v>
      </c>
      <c r="BV53" s="12">
        <f>'Income Statement'!AW23/1000+'Income Statement'!AW29/1000+'Income Statement'!AW27/1000</f>
        <v>50.34</v>
      </c>
      <c r="BW53" s="12">
        <f>'Income Statement'!AX23/1000+'Income Statement'!AX29/1000+'Income Statement'!AX27/1000</f>
        <v>57.620000000000005</v>
      </c>
      <c r="BX53" s="12">
        <f>'Income Statement'!AY23/1000+'Income Statement'!AY29/1000+'Income Statement'!AY27/1000</f>
        <v>207.166</v>
      </c>
      <c r="BY53" s="12">
        <f>'Income Statement'!AZ23/1000+'Income Statement'!AZ29/1000+'Income Statement'!AZ27/1000</f>
        <v>69.89</v>
      </c>
      <c r="BZ53" s="12">
        <f>'Income Statement'!BA23/1000+'Income Statement'!BA29/1000+'Income Statement'!BA27/1000</f>
        <v>72.02000000000001</v>
      </c>
      <c r="CA53" s="12">
        <f>'Income Statement'!BB23/1000+'Income Statement'!BB29/1000+'Income Statement'!BB27/1000</f>
        <v>68.287000000000006</v>
      </c>
      <c r="CB53" s="12">
        <f>'Income Statement'!BC23/1000+'Income Statement'!BC29/1000+'Income Statement'!BC27/1000</f>
        <v>68.445999999999998</v>
      </c>
      <c r="CC53" s="12">
        <f>'Income Statement'!BD23/1000+'Income Statement'!BD29/1000+'Income Statement'!BD27/1000</f>
        <v>278.64300000000003</v>
      </c>
      <c r="CD53" s="12">
        <f>'Income Statement'!BE23/1000+'Income Statement'!BE29/1000+'Income Statement'!BE27/1000</f>
        <v>70.198999999999998</v>
      </c>
      <c r="CE53" s="12">
        <f>'Income Statement'!BF23/1000+'Income Statement'!BF29/1000+'Income Statement'!BF27/1000</f>
        <v>78.522999999999996</v>
      </c>
      <c r="CF53" s="12">
        <f>'Income Statement'!BG23/1000+'Income Statement'!BG29/1000+'Income Statement'!BG27/1000</f>
        <v>92.358000000000004</v>
      </c>
      <c r="CG53" s="12">
        <f>'Income Statement'!BH23/1000+'Income Statement'!BH29/1000+'Income Statement'!BH27/1000</f>
        <v>89.805000000000007</v>
      </c>
      <c r="CH53" s="12">
        <f>'Income Statement'!BI23/1000+'Income Statement'!BI29/1000+'Income Statement'!BI27/1000</f>
        <v>330.88499999999999</v>
      </c>
      <c r="CI53" s="12">
        <f>'Income Statement'!BJ23/1000+'Income Statement'!BJ29/1000+'Income Statement'!BJ27/1000</f>
        <v>79.540000000000006</v>
      </c>
      <c r="CJ53" s="12">
        <f>'Income Statement'!BK23/1000+'Income Statement'!BK29/1000+'Income Statement'!BK27/1000</f>
        <v>82.849000000000004</v>
      </c>
      <c r="CK53" s="12">
        <f>'Income Statement'!BL23/1000+'Income Statement'!BL29/1000+'Income Statement'!BL27/1000</f>
        <v>72.403999999999996</v>
      </c>
      <c r="CL53" s="12">
        <f>'Income Statement'!BM23/1000+'Income Statement'!BM29/1000+'Income Statement'!BM27/1000</f>
        <v>70.899999999999991</v>
      </c>
      <c r="CM53" s="12">
        <f>'Income Statement'!BN23/1000+'Income Statement'!BN29/1000+'Income Statement'!BN27/1000</f>
        <v>305.69300000000004</v>
      </c>
      <c r="CN53" s="12">
        <f>'Income Statement'!BO23/1000+'Income Statement'!BO29/1000+'Income Statement'!BO27/1000</f>
        <v>64.966999999999999</v>
      </c>
      <c r="CO53" s="12">
        <f>'Income Statement'!BP23/1000+'Income Statement'!BP29/1000+'Income Statement'!BP27/1000</f>
        <v>49.576999999999998</v>
      </c>
      <c r="CP53" s="12">
        <f>'Income Statement'!BQ23/1000+'Income Statement'!BQ29/1000+'Income Statement'!BQ27/1000</f>
        <v>53.730000000000004</v>
      </c>
      <c r="CQ53" s="12">
        <f>'Income Statement'!BR23/1000+'Income Statement'!BR29/1000+'Income Statement'!BR27/1000</f>
        <v>37.118000000000002</v>
      </c>
      <c r="CR53" s="12">
        <f>'Income Statement'!BS23/1000+'Income Statement'!BS29/1000+'Income Statement'!BS27/1000</f>
        <v>205.392</v>
      </c>
      <c r="CS53" s="12">
        <f>'Income Statement'!BT23/1000+'Income Statement'!BT29/1000+'Income Statement'!BT27/1000</f>
        <v>31.952999999999999</v>
      </c>
      <c r="CT53" s="12">
        <f>'Income Statement'!BU23/1000+'Income Statement'!BU29/1000+'Income Statement'!BU27/1000</f>
        <v>33.07</v>
      </c>
      <c r="CU53" s="12">
        <f>'Income Statement'!BV23/1000+'Income Statement'!BV29/1000+'Income Statement'!BV27/1000</f>
        <v>49.280999999999999</v>
      </c>
      <c r="CV53" s="12">
        <f>'Income Statement'!BW23/1000+'Income Statement'!BW29/1000+'Income Statement'!BW27/1000</f>
        <v>58.702000000000005</v>
      </c>
      <c r="CW53" s="12">
        <f>'Income Statement'!BX23/1000+'Income Statement'!BX29/1000+'Income Statement'!BX27/1000</f>
        <v>173.006</v>
      </c>
      <c r="CX53" s="12">
        <f>'Income Statement'!BY23/1000+'Income Statement'!BY29/1000+'Income Statement'!BY27/1000</f>
        <v>40.108000000000004</v>
      </c>
      <c r="CY53" s="12">
        <f>'Income Statement'!BZ23/1000+'Income Statement'!BZ29/1000+'Income Statement'!BZ27/1000</f>
        <v>49.286000000000001</v>
      </c>
      <c r="CZ53" s="12">
        <f>'Income Statement'!CA23/1000+'Income Statement'!CA29/1000+'Income Statement'!CA27/1000</f>
        <v>47.956000000000003</v>
      </c>
      <c r="DA53" s="12">
        <f>'Income Statement'!CB23/1000+'Income Statement'!CB29/1000+'Income Statement'!CB27/1000</f>
        <v>43.171999999999997</v>
      </c>
      <c r="DB53" s="12">
        <f>'Income Statement'!CC23/1000+'Income Statement'!CC29/1000+'Income Statement'!CC27/1000</f>
        <v>180.52199999999999</v>
      </c>
      <c r="DC53" s="12">
        <f>'Income Statement'!CD23/1000+'Income Statement'!CD29/1000+'Income Statement'!CD27/1000</f>
        <v>31.140999999999998</v>
      </c>
      <c r="DD53" s="12">
        <f>'Income Statement'!CE23/1000+'Income Statement'!CE29/1000+'Income Statement'!CE27/1000</f>
        <v>42.555</v>
      </c>
      <c r="DE53" s="12">
        <f>'Income Statement'!CF23/1000+'Income Statement'!CF29/1000+'Income Statement'!CF27/1000</f>
        <v>55.454000000000001</v>
      </c>
      <c r="DF53" s="12">
        <f>'Income Statement'!CG23/1000+'Income Statement'!CG29/1000+'Income Statement'!CG27/1000</f>
        <v>73.280999999999992</v>
      </c>
      <c r="DG53" s="12">
        <f>'Income Statement'!CH23/1000+'Income Statement'!CH29/1000+'Income Statement'!CH27/1000</f>
        <v>202.43100000000001</v>
      </c>
      <c r="DH53" s="12">
        <f>'Income Statement'!CI23/1000+'Income Statement'!CI29/1000+'Income Statement'!CI27/1000</f>
        <v>53.921000000000006</v>
      </c>
      <c r="DI53" s="12">
        <f>'Income Statement'!CJ23/1000+'Income Statement'!CJ29/1000+'Income Statement'!CJ27/1000</f>
        <v>51.865000000000002</v>
      </c>
      <c r="DJ53" s="12">
        <f>'Income Statement'!CK23/1000+'Income Statement'!CK29/1000+'Income Statement'!CK27/1000</f>
        <v>71.472999999999999</v>
      </c>
      <c r="DK53" s="12">
        <f>'Income Statement'!CL23/1000+'Income Statement'!CL29/1000+'Income Statement'!CL27/1000</f>
        <v>94.603000000000009</v>
      </c>
      <c r="DL53" s="12">
        <f>'Income Statement'!CM23/1000+'Income Statement'!CM29/1000+'Income Statement'!CM27/1000</f>
        <v>271.86199999999997</v>
      </c>
      <c r="DM53" s="12">
        <f>'Income Statement'!CN23/1000+'Income Statement'!CN29/1000+'Income Statement'!CN27/1000</f>
        <v>95.875</v>
      </c>
      <c r="DN53" s="12">
        <f>'Income Statement'!CO23/1000+'Income Statement'!CO29/1000+'Income Statement'!CO27/1000</f>
        <v>130.10900000000001</v>
      </c>
      <c r="DO53" s="12">
        <f>'Income Statement'!CP23/1000+'Income Statement'!CP29/1000+'Income Statement'!CP27/1000</f>
        <v>130.94800000000001</v>
      </c>
      <c r="DP53" s="12">
        <f>'Income Statement'!CQ23/1000+'Income Statement'!CQ29/1000+'Income Statement'!CQ27/1000</f>
        <v>215.78100000000001</v>
      </c>
      <c r="DQ53" s="12">
        <f>'Income Statement'!CR23/1000+'Income Statement'!CR29/1000+'Income Statement'!CR27/1000</f>
        <v>572.71300000000008</v>
      </c>
      <c r="DR53" s="12">
        <f>'Income Statement'!CS23/1000+'Income Statement'!CS29/1000+'Income Statement'!CS27/1000</f>
        <v>190.82</v>
      </c>
      <c r="DS53" s="12">
        <f>'Income Statement'!CT23/1000+'Income Statement'!CT29/1000+'Income Statement'!CT27/1000</f>
        <v>178.03200000000001</v>
      </c>
      <c r="DT53" s="12">
        <f>'Income Statement'!CU23/1000+'Income Statement'!CU29/1000+'Income Statement'!CU27/1000</f>
        <v>156.10799999999998</v>
      </c>
      <c r="DU53" s="12">
        <f>'Income Statement'!CV23/1000+'Income Statement'!CV29/1000+'Income Statement'!CV27/1000</f>
        <v>169.76499999999999</v>
      </c>
      <c r="DV53" s="12">
        <f>'Income Statement'!CW23/1000+'Income Statement'!CW29/1000+'Income Statement'!CW27/1000</f>
        <v>694.72500000000002</v>
      </c>
      <c r="DW53" s="12">
        <f>'Income Statement'!CX23/1000+'Income Statement'!CX29/1000+'Income Statement'!CX27/1000</f>
        <v>157.46599999999998</v>
      </c>
      <c r="DX53" s="12">
        <f>'Income Statement'!CY23/1000+'Income Statement'!CY29/1000+'Income Statement'!CY27/1000</f>
        <v>182.30099999999999</v>
      </c>
      <c r="DY53" s="12">
        <f>'Income Statement'!CZ23/1000+'Income Statement'!CZ29/1000+'Income Statement'!CZ27/1000</f>
        <v>169.52799999999999</v>
      </c>
      <c r="DZ53" s="12">
        <f>'Income Statement'!DA23/1000+'Income Statement'!DA29/1000+'Income Statement'!DA27/1000</f>
        <v>174.178</v>
      </c>
      <c r="EA53" s="12">
        <f>'Income Statement'!DB23/1000+'Income Statement'!DB29/1000+'Income Statement'!DB27/1000</f>
        <v>683.47300000000007</v>
      </c>
      <c r="EB53" s="417"/>
    </row>
    <row r="54" spans="1:132" s="7" customFormat="1">
      <c r="A54" s="11" t="s">
        <v>271</v>
      </c>
      <c r="B54" s="418"/>
      <c r="C54" s="418"/>
      <c r="D54" s="418"/>
      <c r="E54" s="418"/>
      <c r="F54" s="418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>
        <f>'Income Statement'!B25/1000</f>
        <v>-10.1715</v>
      </c>
      <c r="AB54" s="12">
        <f>'Income Statement'!C25/1000</f>
        <v>-10.1715</v>
      </c>
      <c r="AC54" s="12">
        <f>'Income Statement'!D25/1000</f>
        <v>-10.154</v>
      </c>
      <c r="AD54" s="12">
        <f>'Income Statement'!E25/1000</f>
        <v>-6.359</v>
      </c>
      <c r="AE54" s="12">
        <f>'Income Statement'!F25/1000</f>
        <v>-36.856000000000002</v>
      </c>
      <c r="AF54" s="12">
        <f>'Income Statement'!G25/1000</f>
        <v>-12.831</v>
      </c>
      <c r="AG54" s="12">
        <f>'Income Statement'!H25/1000</f>
        <v>-12.146000000000001</v>
      </c>
      <c r="AH54" s="12">
        <f>'Income Statement'!I25/1000</f>
        <v>-14.529</v>
      </c>
      <c r="AI54" s="12">
        <f>'Income Statement'!J25/1000</f>
        <v>-11.297000000000001</v>
      </c>
      <c r="AJ54" s="12">
        <f>'Income Statement'!K25/1000</f>
        <v>-50.802999999999997</v>
      </c>
      <c r="AK54" s="12">
        <f>'Income Statement'!L25/1000</f>
        <v>-11.842000000000001</v>
      </c>
      <c r="AL54" s="12">
        <f>'Income Statement'!M25/1000</f>
        <v>-10.670999999999999</v>
      </c>
      <c r="AM54" s="12">
        <f>'Income Statement'!N25/1000</f>
        <v>-15.996</v>
      </c>
      <c r="AN54" s="12">
        <f>'Income Statement'!O25/1000</f>
        <v>-13.941000000000001</v>
      </c>
      <c r="AO54" s="12">
        <f>'Income Statement'!P25/1000</f>
        <v>-52.45</v>
      </c>
      <c r="AP54" s="12">
        <f>'Income Statement'!Q25/1000</f>
        <v>-19.277999999999999</v>
      </c>
      <c r="AQ54" s="12">
        <f>'Income Statement'!R25/1000</f>
        <v>-31.463999999999999</v>
      </c>
      <c r="AR54" s="12">
        <f>'Income Statement'!S25/1000</f>
        <v>-33.198</v>
      </c>
      <c r="AS54" s="12">
        <f>'Income Statement'!T25/1000</f>
        <v>-32.981999999999999</v>
      </c>
      <c r="AT54" s="12">
        <f>'Income Statement'!U25/1000</f>
        <v>-116.922</v>
      </c>
      <c r="AU54" s="12">
        <f>'Income Statement'!V25/1000</f>
        <v>-37.024000000000001</v>
      </c>
      <c r="AV54" s="12">
        <f>'Income Statement'!W25/1000</f>
        <v>-47.03</v>
      </c>
      <c r="AW54" s="12">
        <f>'Income Statement'!X25/1000</f>
        <v>-48.805</v>
      </c>
      <c r="AX54" s="12">
        <f>'Income Statement'!Y25/1000</f>
        <v>-68.661000000000001</v>
      </c>
      <c r="AY54" s="12">
        <f>'Income Statement'!Z25/1000</f>
        <v>-201.52</v>
      </c>
      <c r="AZ54" s="12">
        <f>'Income Statement'!AA25/1000</f>
        <v>-55.926000000000002</v>
      </c>
      <c r="BA54" s="12">
        <f>'Income Statement'!AB25/1000</f>
        <v>-53.031999999999996</v>
      </c>
      <c r="BB54" s="12">
        <f>'Income Statement'!AC25/1000</f>
        <v>-54.284999999999997</v>
      </c>
      <c r="BC54" s="12">
        <f>'Income Statement'!AD25/1000</f>
        <v>-62.091999999999999</v>
      </c>
      <c r="BD54" s="12">
        <f>'Income Statement'!AE25/1000</f>
        <v>-225.33500000000001</v>
      </c>
      <c r="BE54" s="12">
        <f>'Income Statement'!AF25/1000</f>
        <v>-51.881</v>
      </c>
      <c r="BF54" s="12">
        <f>'Income Statement'!AG25/1000</f>
        <v>-58.515999999999998</v>
      </c>
      <c r="BG54" s="12">
        <f>'Income Statement'!AH25/1000</f>
        <v>-60.210999999999999</v>
      </c>
      <c r="BH54" s="12">
        <f>'Income Statement'!AI25/1000</f>
        <v>-51.771999999999998</v>
      </c>
      <c r="BI54" s="12">
        <f>'Income Statement'!AJ25/1000</f>
        <v>-222.38</v>
      </c>
      <c r="BJ54" s="12">
        <f>'Income Statement'!AK25/1000</f>
        <v>-56.396000000000001</v>
      </c>
      <c r="BK54" s="12">
        <f>'Income Statement'!AL25/1000</f>
        <v>-69.561999999999998</v>
      </c>
      <c r="BL54" s="12">
        <f>'Income Statement'!AM25/1000</f>
        <v>-94.174999999999997</v>
      </c>
      <c r="BM54" s="12">
        <f>'Income Statement'!AN25/1000</f>
        <v>-93.582999999999998</v>
      </c>
      <c r="BN54" s="12">
        <f>'Income Statement'!AO25/1000</f>
        <v>-313.71600000000001</v>
      </c>
      <c r="BO54" s="12">
        <f>'Income Statement'!AP25/1000</f>
        <v>-70.637</v>
      </c>
      <c r="BP54" s="12">
        <f>'Income Statement'!AQ25/1000</f>
        <v>-74.861999999999995</v>
      </c>
      <c r="BQ54" s="12">
        <f>'Income Statement'!AR25/1000</f>
        <v>-45.006</v>
      </c>
      <c r="BR54" s="12">
        <f>'Income Statement'!AS25/1000</f>
        <v>-48.206000000000003</v>
      </c>
      <c r="BS54" s="12">
        <f>'Income Statement'!AT25/1000</f>
        <v>-238.71100000000001</v>
      </c>
      <c r="BT54" s="12">
        <f>'Income Statement'!AU25/1000</f>
        <v>-40.935000000000002</v>
      </c>
      <c r="BU54" s="12">
        <f>'Income Statement'!AV25/1000</f>
        <v>-39.662999999999997</v>
      </c>
      <c r="BV54" s="12">
        <f>'Income Statement'!AW25/1000</f>
        <v>-45.375999999999998</v>
      </c>
      <c r="BW54" s="12">
        <f>'Income Statement'!AX25/1000</f>
        <v>-53.314</v>
      </c>
      <c r="BX54" s="12">
        <f>'Income Statement'!AY25/1000</f>
        <v>-179.28800000000001</v>
      </c>
      <c r="BY54" s="12">
        <f>'Income Statement'!AZ25/1000</f>
        <v>-60.45</v>
      </c>
      <c r="BZ54" s="12">
        <f>'Income Statement'!BA25/1000</f>
        <v>-68.817999999999998</v>
      </c>
      <c r="CA54" s="12">
        <f>'Income Statement'!BB25/1000</f>
        <v>-66.703000000000003</v>
      </c>
      <c r="CB54" s="12">
        <f>'Income Statement'!BC25/1000</f>
        <v>-66.528000000000006</v>
      </c>
      <c r="CC54" s="12">
        <f>'Income Statement'!BD25/1000</f>
        <v>-262.49900000000002</v>
      </c>
      <c r="CD54" s="12">
        <f>'Income Statement'!BE25/1000</f>
        <v>-64.016999999999996</v>
      </c>
      <c r="CE54" s="12">
        <f>'Income Statement'!BF25/1000</f>
        <v>-88.527000000000001</v>
      </c>
      <c r="CF54" s="12">
        <f>'Income Statement'!BG25/1000</f>
        <v>-87.174000000000007</v>
      </c>
      <c r="CG54" s="12">
        <f>'Income Statement'!BH25/1000</f>
        <v>-73.569999999999993</v>
      </c>
      <c r="CH54" s="12">
        <f>'Income Statement'!BI25/1000</f>
        <v>-313.28800000000001</v>
      </c>
      <c r="CI54" s="12">
        <f>'Income Statement'!BJ25/1000</f>
        <v>-59.283000000000001</v>
      </c>
      <c r="CJ54" s="12">
        <f>'Income Statement'!BK25/1000</f>
        <v>-56.917999999999999</v>
      </c>
      <c r="CK54" s="12">
        <f>'Income Statement'!BL25/1000</f>
        <v>-54.207999999999998</v>
      </c>
      <c r="CL54" s="12">
        <f>'Income Statement'!BM25/1000</f>
        <v>-56.140999999999998</v>
      </c>
      <c r="CM54" s="12">
        <f>'Income Statement'!BN25/1000</f>
        <v>-226.55</v>
      </c>
      <c r="CN54" s="12">
        <f>'Income Statement'!BO25/1000</f>
        <v>-52</v>
      </c>
      <c r="CO54" s="12">
        <f>'Income Statement'!BP25/1000</f>
        <v>-44.369</v>
      </c>
      <c r="CP54" s="12">
        <f>'Income Statement'!BQ25/1000</f>
        <v>-42.055999999999997</v>
      </c>
      <c r="CQ54" s="12">
        <f>'Income Statement'!BR25/1000</f>
        <v>-29.155000000000001</v>
      </c>
      <c r="CR54" s="12">
        <f>'Income Statement'!BS25/1000</f>
        <v>-167.58</v>
      </c>
      <c r="CS54" s="12">
        <f>'Income Statement'!BT25/1000</f>
        <v>-29.193000000000001</v>
      </c>
      <c r="CT54" s="12">
        <f>'Income Statement'!BU25/1000</f>
        <v>-28.597000000000001</v>
      </c>
      <c r="CU54" s="12">
        <f>'Income Statement'!BV25/1000</f>
        <v>-50.05</v>
      </c>
      <c r="CV54" s="12">
        <f>'Income Statement'!BW25/1000</f>
        <v>-43.048000000000002</v>
      </c>
      <c r="CW54" s="12">
        <f>'Income Statement'!BX25/1000</f>
        <v>-150.88800000000001</v>
      </c>
      <c r="CX54" s="12">
        <f>'Income Statement'!BY25/1000</f>
        <v>-38.235999999999997</v>
      </c>
      <c r="CY54" s="12">
        <f>'Income Statement'!BZ25/1000</f>
        <v>-31.414000000000001</v>
      </c>
      <c r="CZ54" s="12">
        <f>'Income Statement'!CA25/1000</f>
        <v>-38.901000000000003</v>
      </c>
      <c r="DA54" s="12">
        <f>'Income Statement'!CB25/1000</f>
        <v>-41.378</v>
      </c>
      <c r="DB54" s="12">
        <f>'Income Statement'!CC25/1000</f>
        <v>-149.929</v>
      </c>
      <c r="DC54" s="12">
        <f>'Income Statement'!CD25/1000</f>
        <v>-27.89</v>
      </c>
      <c r="DD54" s="12">
        <f>'Income Statement'!CE25/1000</f>
        <v>-36.054000000000002</v>
      </c>
      <c r="DE54" s="12">
        <f>'Income Statement'!CF25/1000</f>
        <v>-30.983000000000001</v>
      </c>
      <c r="DF54" s="12">
        <f>'Income Statement'!CG25/1000</f>
        <v>-23.003</v>
      </c>
      <c r="DG54" s="12">
        <f>'Income Statement'!CH25/1000</f>
        <v>-117.93</v>
      </c>
      <c r="DH54" s="12">
        <f>'Income Statement'!CI25/1000</f>
        <v>-43.033999999999999</v>
      </c>
      <c r="DI54" s="12">
        <f>'Income Statement'!CJ25/1000</f>
        <v>-42.572000000000003</v>
      </c>
      <c r="DJ54" s="12">
        <f>'Income Statement'!CK25/1000</f>
        <v>-62.613999999999997</v>
      </c>
      <c r="DK54" s="12">
        <f>'Income Statement'!CL25/1000</f>
        <v>-80.644999999999996</v>
      </c>
      <c r="DL54" s="12">
        <f>'Income Statement'!CM25/1000</f>
        <v>-228.86500000000001</v>
      </c>
      <c r="DM54" s="12">
        <f>'Income Statement'!CN25/1000</f>
        <v>-86.542000000000002</v>
      </c>
      <c r="DN54" s="12">
        <f>'Income Statement'!CO25/1000</f>
        <v>-104.608</v>
      </c>
      <c r="DO54" s="12">
        <f>'Income Statement'!CP25/1000</f>
        <v>-123.92100000000001</v>
      </c>
      <c r="DP54" s="12">
        <f>'Income Statement'!CQ25/1000</f>
        <v>-189.315</v>
      </c>
      <c r="DQ54" s="12">
        <f>'Income Statement'!CR25/1000</f>
        <v>-504.38600000000002</v>
      </c>
      <c r="DR54" s="12">
        <f>'Income Statement'!CS25/1000</f>
        <v>-145.233</v>
      </c>
      <c r="DS54" s="12">
        <f>'Income Statement'!CT25/1000</f>
        <v>-148.84899999999999</v>
      </c>
      <c r="DT54" s="12">
        <f>'Income Statement'!CU25/1000</f>
        <v>-128.02699999999999</v>
      </c>
      <c r="DU54" s="12">
        <f>'Income Statement'!CV25/1000</f>
        <v>-135.84399999999999</v>
      </c>
      <c r="DV54" s="12">
        <f>'Income Statement'!CW25/1000</f>
        <v>-557.95299999999997</v>
      </c>
      <c r="DW54" s="12">
        <f>'Income Statement'!CX25/1000</f>
        <v>-144.33099999999999</v>
      </c>
      <c r="DX54" s="12">
        <f>'Income Statement'!CY25/1000</f>
        <v>-137.60599999999999</v>
      </c>
      <c r="DY54" s="12">
        <f>'Income Statement'!CZ25/1000</f>
        <v>-130.31800000000001</v>
      </c>
      <c r="DZ54" s="12">
        <f>'Income Statement'!DA25/1000</f>
        <v>-157.53299999999999</v>
      </c>
      <c r="EA54" s="12">
        <f>'Income Statement'!DB25/1000</f>
        <v>-569.78800000000001</v>
      </c>
      <c r="EB54" s="417"/>
    </row>
    <row r="55" spans="1:132" s="7" customFormat="1">
      <c r="A55" s="17"/>
      <c r="B55" s="429"/>
      <c r="C55" s="429"/>
      <c r="D55" s="429"/>
      <c r="E55" s="429"/>
      <c r="F55" s="429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417"/>
    </row>
    <row r="56" spans="1:132" s="7" customFormat="1">
      <c r="A56" s="11" t="s">
        <v>272</v>
      </c>
      <c r="B56" s="418"/>
      <c r="C56" s="418"/>
      <c r="D56" s="418"/>
      <c r="E56" s="418"/>
      <c r="F56" s="418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417"/>
    </row>
    <row r="57" spans="1:132" s="7" customFormat="1">
      <c r="A57" s="11" t="s">
        <v>273</v>
      </c>
      <c r="B57" s="418"/>
      <c r="C57" s="418"/>
      <c r="D57" s="418"/>
      <c r="E57" s="418"/>
      <c r="F57" s="418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417"/>
    </row>
    <row r="58" spans="1:132" s="7" customFormat="1">
      <c r="A58" s="17"/>
      <c r="B58" s="429"/>
      <c r="C58" s="429"/>
      <c r="D58" s="429"/>
      <c r="E58" s="429"/>
      <c r="F58" s="429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417"/>
    </row>
    <row r="59" spans="1:132" s="7" customFormat="1" ht="15">
      <c r="A59" s="22" t="s">
        <v>274</v>
      </c>
      <c r="B59" s="435"/>
      <c r="C59" s="435"/>
      <c r="D59" s="435"/>
      <c r="E59" s="435"/>
      <c r="F59" s="43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417"/>
    </row>
    <row r="60" spans="1:132" s="7" customFormat="1">
      <c r="A60" s="11" t="s">
        <v>275</v>
      </c>
      <c r="B60" s="418"/>
      <c r="C60" s="418"/>
      <c r="D60" s="418"/>
      <c r="E60" s="418"/>
      <c r="F60" s="418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417"/>
    </row>
    <row r="61" spans="1:132" s="7" customFormat="1">
      <c r="A61" s="11" t="s">
        <v>276</v>
      </c>
      <c r="B61" s="418"/>
      <c r="C61" s="418"/>
      <c r="D61" s="418"/>
      <c r="E61" s="418"/>
      <c r="F61" s="418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417"/>
    </row>
    <row r="62" spans="1:132" s="7" customFormat="1">
      <c r="A62" s="11" t="s">
        <v>277</v>
      </c>
      <c r="B62" s="418"/>
      <c r="C62" s="418"/>
      <c r="D62" s="418"/>
      <c r="E62" s="418"/>
      <c r="F62" s="418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417"/>
    </row>
    <row r="63" spans="1:132" s="7" customFormat="1">
      <c r="A63" s="17" t="s">
        <v>278</v>
      </c>
      <c r="B63" s="434"/>
      <c r="C63" s="434"/>
      <c r="D63" s="434"/>
      <c r="E63" s="434"/>
      <c r="F63" s="43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417"/>
    </row>
    <row r="64" spans="1:132" s="7" customFormat="1">
      <c r="A64" s="17" t="s">
        <v>279</v>
      </c>
      <c r="B64" s="434"/>
      <c r="C64" s="434"/>
      <c r="D64" s="434"/>
      <c r="E64" s="434"/>
      <c r="F64" s="43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417"/>
    </row>
    <row r="65" spans="1:132" s="7" customFormat="1">
      <c r="A65" s="17" t="s">
        <v>280</v>
      </c>
      <c r="B65" s="434"/>
      <c r="C65" s="434"/>
      <c r="D65" s="434"/>
      <c r="E65" s="434"/>
      <c r="F65" s="43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417"/>
    </row>
    <row r="66" spans="1:132" s="7" customFormat="1">
      <c r="A66" s="17" t="s">
        <v>281</v>
      </c>
      <c r="B66" s="434"/>
      <c r="C66" s="434"/>
      <c r="D66" s="434"/>
      <c r="E66" s="434"/>
      <c r="F66" s="43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417"/>
    </row>
    <row r="67" spans="1:132" s="7" customFormat="1">
      <c r="A67" s="17"/>
      <c r="B67" s="429"/>
      <c r="C67" s="429"/>
      <c r="D67" s="429"/>
      <c r="E67" s="429"/>
      <c r="F67" s="429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417"/>
    </row>
    <row r="68" spans="1:132" s="7" customFormat="1" ht="15.75">
      <c r="A68" s="25" t="s">
        <v>282</v>
      </c>
      <c r="B68" s="431"/>
      <c r="C68" s="431"/>
      <c r="D68" s="431"/>
      <c r="E68" s="431"/>
      <c r="F68" s="431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417"/>
    </row>
    <row r="69" spans="1:132" s="7" customFormat="1">
      <c r="A69" s="17" t="s">
        <v>283</v>
      </c>
      <c r="B69" s="432"/>
      <c r="C69" s="432"/>
      <c r="D69" s="432"/>
      <c r="E69" s="432"/>
      <c r="F69" s="432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417"/>
    </row>
    <row r="70" spans="1:132" s="7" customFormat="1">
      <c r="A70" s="17" t="s">
        <v>284</v>
      </c>
      <c r="B70" s="432"/>
      <c r="C70" s="432"/>
      <c r="D70" s="432"/>
      <c r="E70" s="432"/>
      <c r="F70" s="432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417"/>
    </row>
    <row r="71" spans="1:132" s="7" customFormat="1">
      <c r="A71" s="17" t="s">
        <v>285</v>
      </c>
      <c r="B71" s="434"/>
      <c r="C71" s="434"/>
      <c r="D71" s="434"/>
      <c r="E71" s="434"/>
      <c r="F71" s="43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417"/>
    </row>
    <row r="72" spans="1:132" s="7" customFormat="1">
      <c r="A72" s="17" t="s">
        <v>286</v>
      </c>
      <c r="B72" s="434"/>
      <c r="C72" s="434"/>
      <c r="D72" s="434"/>
      <c r="E72" s="434"/>
      <c r="F72" s="43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417"/>
    </row>
    <row r="73" spans="1:132" s="7" customFormat="1">
      <c r="A73" s="17" t="s">
        <v>287</v>
      </c>
      <c r="B73" s="434"/>
      <c r="C73" s="434"/>
      <c r="D73" s="434"/>
      <c r="E73" s="434"/>
      <c r="F73" s="43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417"/>
    </row>
    <row r="74" spans="1:132" s="7" customFormat="1">
      <c r="A74" s="17" t="s">
        <v>288</v>
      </c>
      <c r="B74" s="434"/>
      <c r="C74" s="434"/>
      <c r="D74" s="434"/>
      <c r="E74" s="434"/>
      <c r="F74" s="43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417"/>
    </row>
    <row r="75" spans="1:132" s="7" customFormat="1">
      <c r="A75" s="17"/>
      <c r="B75" s="429"/>
      <c r="C75" s="429"/>
      <c r="D75" s="429"/>
      <c r="E75" s="429"/>
      <c r="F75" s="429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417"/>
    </row>
    <row r="76" spans="1:132" s="7" customFormat="1" ht="15.75">
      <c r="A76" s="25" t="s">
        <v>289</v>
      </c>
      <c r="B76" s="431"/>
      <c r="C76" s="431"/>
      <c r="D76" s="431"/>
      <c r="E76" s="431"/>
      <c r="F76" s="431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417"/>
    </row>
    <row r="77" spans="1:132" s="7" customFormat="1">
      <c r="A77" s="17" t="s">
        <v>290</v>
      </c>
      <c r="B77" s="432"/>
      <c r="C77" s="432"/>
      <c r="D77" s="432"/>
      <c r="E77" s="432"/>
      <c r="F77" s="432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417"/>
    </row>
    <row r="78" spans="1:132" s="7" customFormat="1">
      <c r="A78" s="17" t="s">
        <v>291</v>
      </c>
      <c r="B78" s="432"/>
      <c r="C78" s="432"/>
      <c r="D78" s="432"/>
      <c r="E78" s="432"/>
      <c r="F78" s="432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417"/>
    </row>
    <row r="79" spans="1:132" s="7" customFormat="1">
      <c r="A79" s="17" t="s">
        <v>292</v>
      </c>
      <c r="B79" s="432"/>
      <c r="C79" s="432"/>
      <c r="D79" s="432"/>
      <c r="E79" s="432"/>
      <c r="F79" s="432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417"/>
    </row>
    <row r="80" spans="1:132" s="7" customFormat="1">
      <c r="A80" s="17" t="s">
        <v>293</v>
      </c>
      <c r="B80" s="432"/>
      <c r="C80" s="432"/>
      <c r="D80" s="432"/>
      <c r="E80" s="432"/>
      <c r="F80" s="432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417"/>
    </row>
    <row r="81" spans="1:132" s="7" customFormat="1">
      <c r="A81" s="17" t="s">
        <v>294</v>
      </c>
      <c r="B81" s="432"/>
      <c r="C81" s="432"/>
      <c r="D81" s="432"/>
      <c r="E81" s="432"/>
      <c r="F81" s="432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417"/>
    </row>
    <row r="82" spans="1:132" s="7" customFormat="1">
      <c r="A82" s="17" t="s">
        <v>295</v>
      </c>
      <c r="B82" s="432"/>
      <c r="C82" s="432"/>
      <c r="D82" s="432"/>
      <c r="E82" s="432"/>
      <c r="F82" s="432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417"/>
    </row>
    <row r="83" spans="1:132" s="7" customFormat="1">
      <c r="A83" s="17" t="s">
        <v>296</v>
      </c>
      <c r="B83" s="430"/>
      <c r="C83" s="430"/>
      <c r="D83" s="430"/>
      <c r="E83" s="430"/>
      <c r="F83" s="430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417"/>
    </row>
    <row r="84" spans="1:132" s="7" customFormat="1">
      <c r="A84" s="17" t="s">
        <v>297</v>
      </c>
      <c r="B84" s="430"/>
      <c r="C84" s="430"/>
      <c r="D84" s="430"/>
      <c r="E84" s="430"/>
      <c r="F84" s="430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417"/>
    </row>
    <row r="85" spans="1:132" s="7" customFormat="1">
      <c r="A85" s="17" t="s">
        <v>298</v>
      </c>
      <c r="B85" s="430"/>
      <c r="C85" s="430"/>
      <c r="D85" s="430"/>
      <c r="E85" s="430"/>
      <c r="F85" s="430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417"/>
    </row>
    <row r="86" spans="1:132" s="7" customFormat="1">
      <c r="A86" s="17" t="s">
        <v>299</v>
      </c>
      <c r="B86" s="430"/>
      <c r="C86" s="430"/>
      <c r="D86" s="430"/>
      <c r="E86" s="430"/>
      <c r="F86" s="430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417"/>
    </row>
    <row r="87" spans="1:132" s="7" customFormat="1">
      <c r="A87" s="17" t="s">
        <v>300</v>
      </c>
      <c r="B87" s="430"/>
      <c r="C87" s="430"/>
      <c r="D87" s="430"/>
      <c r="E87" s="430"/>
      <c r="F87" s="430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417"/>
    </row>
    <row r="88" spans="1:132" s="7" customFormat="1">
      <c r="A88" s="17" t="s">
        <v>301</v>
      </c>
      <c r="B88" s="432"/>
      <c r="C88" s="432"/>
      <c r="D88" s="432"/>
      <c r="E88" s="432"/>
      <c r="F88" s="432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417"/>
    </row>
    <row r="89" spans="1:132" s="7" customFormat="1">
      <c r="A89" s="17"/>
      <c r="B89" s="429"/>
      <c r="C89" s="429"/>
      <c r="D89" s="429"/>
      <c r="E89" s="429"/>
      <c r="F89" s="429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417"/>
    </row>
    <row r="90" spans="1:132" s="7" customFormat="1">
      <c r="A90" s="17" t="s">
        <v>302</v>
      </c>
      <c r="B90" s="446"/>
      <c r="C90" s="446"/>
      <c r="D90" s="446"/>
      <c r="E90" s="446"/>
      <c r="F90" s="446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417"/>
    </row>
    <row r="91" spans="1:132" s="7" customFormat="1">
      <c r="A91" s="17" t="s">
        <v>303</v>
      </c>
      <c r="B91" s="446"/>
      <c r="C91" s="446"/>
      <c r="D91" s="446"/>
      <c r="E91" s="446"/>
      <c r="F91" s="446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417"/>
    </row>
    <row r="92" spans="1:132" s="7" customFormat="1">
      <c r="A92" s="17" t="s">
        <v>304</v>
      </c>
      <c r="B92" s="432"/>
      <c r="C92" s="432"/>
      <c r="D92" s="432"/>
      <c r="E92" s="432"/>
      <c r="F92" s="432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417"/>
    </row>
    <row r="93" spans="1:132" s="7" customFormat="1">
      <c r="A93" s="17"/>
      <c r="B93" s="429"/>
      <c r="C93" s="429"/>
      <c r="D93" s="429"/>
      <c r="E93" s="429"/>
      <c r="F93" s="429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417"/>
    </row>
    <row r="94" spans="1:132" s="7" customFormat="1" ht="15.75">
      <c r="A94" s="25" t="s">
        <v>305</v>
      </c>
      <c r="B94" s="431"/>
      <c r="C94" s="431"/>
      <c r="D94" s="431"/>
      <c r="E94" s="431"/>
      <c r="F94" s="431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417"/>
    </row>
    <row r="95" spans="1:132" s="7" customFormat="1">
      <c r="A95" s="17" t="s">
        <v>306</v>
      </c>
      <c r="B95" s="432"/>
      <c r="C95" s="432"/>
      <c r="D95" s="432"/>
      <c r="E95" s="432"/>
      <c r="F95" s="432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417"/>
    </row>
    <row r="96" spans="1:132" s="7" customFormat="1">
      <c r="A96" s="17" t="s">
        <v>307</v>
      </c>
      <c r="B96" s="432"/>
      <c r="C96" s="432"/>
      <c r="D96" s="432"/>
      <c r="E96" s="432"/>
      <c r="F96" s="432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417"/>
    </row>
    <row r="97" spans="1:132" s="7" customFormat="1">
      <c r="A97" s="17" t="s">
        <v>308</v>
      </c>
      <c r="B97" s="432"/>
      <c r="C97" s="432"/>
      <c r="D97" s="432"/>
      <c r="E97" s="432"/>
      <c r="F97" s="432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417"/>
    </row>
    <row r="98" spans="1:132" s="7" customFormat="1">
      <c r="A98" s="17" t="s">
        <v>309</v>
      </c>
      <c r="B98" s="432"/>
      <c r="C98" s="432"/>
      <c r="D98" s="432"/>
      <c r="E98" s="432"/>
      <c r="F98" s="432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417"/>
    </row>
    <row r="99" spans="1:132" s="7" customFormat="1">
      <c r="A99" s="17" t="s">
        <v>310</v>
      </c>
      <c r="B99" s="432"/>
      <c r="C99" s="432"/>
      <c r="D99" s="432"/>
      <c r="E99" s="432"/>
      <c r="F99" s="432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417"/>
    </row>
    <row r="100" spans="1:132" s="7" customFormat="1">
      <c r="A100" s="17" t="s">
        <v>311</v>
      </c>
      <c r="B100" s="432"/>
      <c r="C100" s="432"/>
      <c r="D100" s="432"/>
      <c r="E100" s="432"/>
      <c r="F100" s="432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417"/>
    </row>
    <row r="101" spans="1:132" s="7" customFormat="1">
      <c r="A101" s="17" t="s">
        <v>312</v>
      </c>
      <c r="B101" s="432"/>
      <c r="C101" s="432"/>
      <c r="D101" s="432"/>
      <c r="E101" s="432"/>
      <c r="F101" s="432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417"/>
    </row>
    <row r="102" spans="1:132" s="7" customFormat="1">
      <c r="A102" s="17" t="s">
        <v>313</v>
      </c>
      <c r="B102" s="432"/>
      <c r="C102" s="432"/>
      <c r="D102" s="432"/>
      <c r="E102" s="432"/>
      <c r="F102" s="432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417"/>
    </row>
    <row r="103" spans="1:132" s="7" customFormat="1">
      <c r="A103" s="17" t="s">
        <v>314</v>
      </c>
      <c r="B103" s="432"/>
      <c r="C103" s="432"/>
      <c r="D103" s="432"/>
      <c r="E103" s="432"/>
      <c r="F103" s="432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417"/>
    </row>
    <row r="104" spans="1:132" s="7" customFormat="1">
      <c r="A104" s="17" t="s">
        <v>315</v>
      </c>
      <c r="B104" s="432"/>
      <c r="C104" s="432"/>
      <c r="D104" s="432"/>
      <c r="E104" s="432"/>
      <c r="F104" s="432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417"/>
    </row>
    <row r="105" spans="1:132" s="7" customFormat="1">
      <c r="A105" s="17" t="s">
        <v>316</v>
      </c>
      <c r="B105" s="432"/>
      <c r="C105" s="432"/>
      <c r="D105" s="432"/>
      <c r="E105" s="432"/>
      <c r="F105" s="432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417"/>
    </row>
    <row r="106" spans="1:132" s="7" customFormat="1" ht="13.5" thickBot="1">
      <c r="A106" s="17" t="s">
        <v>317</v>
      </c>
      <c r="B106" s="432"/>
      <c r="C106" s="432"/>
      <c r="D106" s="432"/>
      <c r="E106" s="432"/>
      <c r="F106" s="432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417"/>
    </row>
    <row r="107" spans="1:132" s="7" customFormat="1" ht="15.75">
      <c r="A107" s="31" t="s">
        <v>318</v>
      </c>
      <c r="B107" s="438"/>
      <c r="C107" s="438"/>
      <c r="D107" s="438"/>
      <c r="E107" s="438"/>
      <c r="F107" s="438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417"/>
    </row>
    <row r="108" spans="1:132" s="7" customFormat="1" ht="15.75">
      <c r="A108" s="25" t="s">
        <v>319</v>
      </c>
      <c r="B108" s="431"/>
      <c r="C108" s="431"/>
      <c r="D108" s="431"/>
      <c r="E108" s="431"/>
      <c r="F108" s="431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417"/>
    </row>
    <row r="109" spans="1:132" s="7" customFormat="1">
      <c r="A109" s="11" t="s">
        <v>320</v>
      </c>
      <c r="B109" s="418"/>
      <c r="C109" s="418"/>
      <c r="D109" s="418"/>
      <c r="E109" s="418"/>
      <c r="F109" s="418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>
        <f>'Income Statement'!B78/1000</f>
        <v>159.56200000000001</v>
      </c>
      <c r="AB109" s="12">
        <f>'Income Statement'!C78/1000</f>
        <v>159.56200000000001</v>
      </c>
      <c r="AC109" s="12">
        <f>'Income Statement'!D78/1000</f>
        <v>159.56200000000001</v>
      </c>
      <c r="AD109" s="12">
        <f>'Income Statement'!E78/1000</f>
        <v>159.56200000000001</v>
      </c>
      <c r="AE109" s="12">
        <f>'Income Statement'!F78/1000</f>
        <v>159.56200000000001</v>
      </c>
      <c r="AF109" s="12">
        <f>'Income Statement'!G78/1000</f>
        <v>159.56200000000001</v>
      </c>
      <c r="AG109" s="12">
        <f>'Income Statement'!H78/1000</f>
        <v>229.22399999999999</v>
      </c>
      <c r="AH109" s="12">
        <f>'Income Statement'!I78/1000</f>
        <v>297.42399999999998</v>
      </c>
      <c r="AI109" s="12">
        <f>'Income Statement'!J78/1000</f>
        <v>297.42399999999998</v>
      </c>
      <c r="AJ109" s="12">
        <f>'Income Statement'!K78/1000</f>
        <v>297.42399999999998</v>
      </c>
      <c r="AK109" s="12">
        <f>'Income Statement'!L78/1000</f>
        <v>297.42399999999998</v>
      </c>
      <c r="AL109" s="12">
        <f>'Income Statement'!M78/1000</f>
        <v>297.42399999999998</v>
      </c>
      <c r="AM109" s="12">
        <f>'Income Statement'!N78/1000</f>
        <v>354.45800000000003</v>
      </c>
      <c r="AN109" s="12">
        <f>'Income Statement'!O78/1000</f>
        <v>354.45800000000003</v>
      </c>
      <c r="AO109" s="12">
        <f>'Income Statement'!P78/1000</f>
        <v>354.45800000000003</v>
      </c>
      <c r="AP109" s="12">
        <f>'Income Statement'!Q78/1000</f>
        <v>354.458552</v>
      </c>
      <c r="AQ109" s="12">
        <f>'Income Statement'!R78/1000</f>
        <v>355.64100000000002</v>
      </c>
      <c r="AR109" s="12">
        <f>'Income Statement'!S78/1000</f>
        <v>355.64100000000002</v>
      </c>
      <c r="AS109" s="12">
        <f>'Income Statement'!T78/1000</f>
        <v>355.64100000000002</v>
      </c>
      <c r="AT109" s="12">
        <f>'Income Statement'!U78/1000</f>
        <v>355.64100000000002</v>
      </c>
      <c r="AU109" s="12">
        <f>'Income Statement'!V78/1000</f>
        <v>355.64100000000002</v>
      </c>
      <c r="AV109" s="12">
        <f>'Income Statement'!W78/1000</f>
        <v>355.64100000000002</v>
      </c>
      <c r="AW109" s="12">
        <f>'Income Statement'!X78/1000</f>
        <v>355.702</v>
      </c>
      <c r="AX109" s="12">
        <f>'Income Statement'!Y78/1000</f>
        <v>355.75099999999998</v>
      </c>
      <c r="AY109" s="12">
        <f>'Income Statement'!Z78/1000</f>
        <v>355.75099999999998</v>
      </c>
      <c r="AZ109" s="12">
        <f>'Income Statement'!AA78/1000</f>
        <v>355.75099999999998</v>
      </c>
      <c r="BA109" s="12">
        <f>'Income Statement'!AB78/1000</f>
        <v>368.54670400000003</v>
      </c>
      <c r="BB109" s="12">
        <f>'Income Statement'!AC78/1000</f>
        <v>368.60922600000004</v>
      </c>
      <c r="BC109" s="12">
        <f>'Income Statement'!AD78/1000</f>
        <v>422.38746600000002</v>
      </c>
      <c r="BD109" s="12">
        <f>'Income Statement'!AE78/1000</f>
        <v>422.38746600000002</v>
      </c>
      <c r="BE109" s="12">
        <f>'Income Statement'!AF78/1000</f>
        <v>422.40100000000001</v>
      </c>
      <c r="BF109" s="12">
        <f>'Income Statement'!AG78/1000</f>
        <v>422.91135600000001</v>
      </c>
      <c r="BG109" s="12">
        <f>'Income Statement'!AH78/1000</f>
        <v>422.94400000000002</v>
      </c>
      <c r="BH109" s="12">
        <f>'Income Statement'!AI78/1000</f>
        <v>423.00388699999996</v>
      </c>
      <c r="BI109" s="12">
        <f>'Income Statement'!AJ78/1000</f>
        <v>423.00388699999996</v>
      </c>
      <c r="BJ109" s="12">
        <f>'Income Statement'!AK78/1000</f>
        <v>423.00388699999996</v>
      </c>
      <c r="BK109" s="12">
        <f>'Income Statement'!AL78/1000</f>
        <v>423.00388699999996</v>
      </c>
      <c r="BL109" s="12">
        <f>'Income Statement'!AM78/1000</f>
        <v>413.47688699999998</v>
      </c>
      <c r="BM109" s="12">
        <f>'Income Statement'!AN78/1000</f>
        <v>410.66788700000001</v>
      </c>
      <c r="BN109" s="12">
        <f>'Income Statement'!AO78/1000</f>
        <v>410.66788700000001</v>
      </c>
      <c r="BO109" s="12">
        <f>'Income Statement'!AP78/1000</f>
        <v>410.66788700000001</v>
      </c>
      <c r="BP109" s="12">
        <f>'Income Statement'!AQ78/1000</f>
        <v>411.20600000000002</v>
      </c>
      <c r="BQ109" s="12">
        <f>'Income Statement'!AR78/1000</f>
        <v>411.20600000000002</v>
      </c>
      <c r="BR109" s="12">
        <f>'Income Statement'!AS78/1000</f>
        <v>412.10700000000003</v>
      </c>
      <c r="BS109" s="12">
        <f>'Income Statement'!AT78/1000</f>
        <v>412.10700000000003</v>
      </c>
      <c r="BT109" s="12">
        <f>'Income Statement'!AU78/1000</f>
        <v>412.11799999999999</v>
      </c>
      <c r="BU109" s="12">
        <f>'Income Statement'!AV78/1000</f>
        <v>414.416</v>
      </c>
      <c r="BV109" s="12">
        <f>'Income Statement'!AW78/1000</f>
        <v>414.45499999999998</v>
      </c>
      <c r="BW109" s="12">
        <f>'Income Statement'!AX78/1000</f>
        <v>407.26037000000008</v>
      </c>
      <c r="BX109" s="12">
        <f>'Income Statement'!AY78/1000</f>
        <v>407.26037000000008</v>
      </c>
      <c r="BY109" s="12">
        <f>'Income Statement'!AZ78/1000</f>
        <v>403.73200000000003</v>
      </c>
      <c r="BZ109" s="12">
        <f>'Income Statement'!BA78/1000</f>
        <v>394.02100000000002</v>
      </c>
      <c r="CA109" s="12">
        <f>'Income Statement'!BB78/1000</f>
        <v>387.89499999999998</v>
      </c>
      <c r="CB109" s="12">
        <f>'Income Statement'!BC78/1000</f>
        <v>382.93599999999998</v>
      </c>
      <c r="CC109" s="12">
        <f>'Income Statement'!BD78/1000</f>
        <v>382.93599999999998</v>
      </c>
      <c r="CD109" s="12">
        <f>'Income Statement'!BE78/1000</f>
        <v>378.577</v>
      </c>
      <c r="CE109" s="12">
        <f>'Income Statement'!BF78/1000</f>
        <v>378.69400000000002</v>
      </c>
      <c r="CF109" s="12">
        <f>'Income Statement'!BG78/1000</f>
        <v>378.79500000000002</v>
      </c>
      <c r="CG109" s="12">
        <f>'Income Statement'!BH78/1000</f>
        <v>379.08079900000001</v>
      </c>
      <c r="CH109" s="12">
        <f>'Income Statement'!BI78/1000</f>
        <v>379.08079900000001</v>
      </c>
      <c r="CI109" s="12">
        <f>'Income Statement'!BJ78/1000</f>
        <v>380.95400000000001</v>
      </c>
      <c r="CJ109" s="12">
        <f>'Income Statement'!BK78/1000</f>
        <v>381.178</v>
      </c>
      <c r="CK109" s="12">
        <f>'Income Statement'!BL78/1000</f>
        <v>381.61599999999999</v>
      </c>
      <c r="CL109" s="12">
        <f>'Income Statement'!BM78/1000</f>
        <v>382.149</v>
      </c>
      <c r="CM109" s="12">
        <f>'Income Statement'!BN78/1000</f>
        <v>382.149</v>
      </c>
      <c r="CN109" s="12">
        <f>'Income Statement'!BO78/1000</f>
        <v>382.149</v>
      </c>
      <c r="CO109" s="12">
        <f>'Income Statement'!BP78/1000</f>
        <v>382.56099999999998</v>
      </c>
      <c r="CP109" s="12">
        <f>'Income Statement'!BQ78/1000</f>
        <v>382.65899999999999</v>
      </c>
      <c r="CQ109" s="12">
        <f>'Income Statement'!BR78/1000</f>
        <v>382.70800000000003</v>
      </c>
      <c r="CR109" s="12">
        <f>'Income Statement'!BS78/1000</f>
        <v>382.70800000000003</v>
      </c>
      <c r="CS109" s="12">
        <f>'Income Statement'!BT78/1000</f>
        <v>382.89699999999999</v>
      </c>
      <c r="CT109" s="12">
        <f>'Income Statement'!BU78/1000</f>
        <v>384.15699999999998</v>
      </c>
      <c r="CU109" s="12">
        <f>'Income Statement'!BV78/1000</f>
        <v>384.15699999999998</v>
      </c>
      <c r="CV109" s="12">
        <f>'Income Statement'!BW78/1000</f>
        <v>384.22899999999998</v>
      </c>
      <c r="CW109" s="12">
        <f>'Income Statement'!BX78/1000</f>
        <v>384.22899999999998</v>
      </c>
      <c r="CX109" s="12">
        <f>'Income Statement'!BY78/1000</f>
        <v>384.36</v>
      </c>
      <c r="CY109" s="12">
        <f>'Income Statement'!BZ78/1000</f>
        <v>384.41300000000001</v>
      </c>
      <c r="CZ109" s="12">
        <f>'Income Statement'!CA78/1000</f>
        <v>384.42700000000002</v>
      </c>
      <c r="DA109" s="12">
        <f>'Income Statement'!CB78/1000</f>
        <v>384.42700000000002</v>
      </c>
      <c r="DB109" s="12">
        <f>'Income Statement'!CC78/1000</f>
        <v>384.42700000000002</v>
      </c>
      <c r="DC109" s="12">
        <f>'Income Statement'!CD78/1000</f>
        <v>384.42700000000002</v>
      </c>
      <c r="DD109" s="12">
        <f>'Income Statement'!CE78/1000</f>
        <v>384.42700000000002</v>
      </c>
      <c r="DE109" s="12">
        <f>'Income Statement'!CF78/1000</f>
        <v>384.50400000000002</v>
      </c>
      <c r="DF109" s="12">
        <f>'Income Statement'!CG78/1000</f>
        <v>384.50400000000002</v>
      </c>
      <c r="DG109" s="12">
        <f>'Income Statement'!CH78/1000</f>
        <v>384.50400000000002</v>
      </c>
      <c r="DH109" s="12">
        <f>'Income Statement'!CI78/1000</f>
        <v>384.50400000000002</v>
      </c>
      <c r="DI109" s="12">
        <f>'Income Statement'!CJ78/1000</f>
        <v>384.50400000000002</v>
      </c>
      <c r="DJ109" s="12">
        <f>'Income Statement'!CK78/1000</f>
        <v>384.50400000000002</v>
      </c>
      <c r="DK109" s="12">
        <f>'Income Statement'!CL78/1000</f>
        <v>384.50400000000002</v>
      </c>
      <c r="DL109" s="12">
        <f>'Income Statement'!CM78/1000</f>
        <v>384.50400000000002</v>
      </c>
      <c r="DM109" s="12">
        <f>'Income Statement'!CN78/1000</f>
        <v>457.30399999999997</v>
      </c>
      <c r="DN109" s="12">
        <f>'Income Statement'!CO78/1000</f>
        <v>455.625</v>
      </c>
      <c r="DO109" s="12">
        <f>'Income Statement'!CP78/1000</f>
        <v>451.77100000000002</v>
      </c>
      <c r="DP109" s="12">
        <f>'Income Statement'!CQ78/1000</f>
        <v>448.53100000000001</v>
      </c>
      <c r="DQ109" s="12">
        <f>'Income Statement'!CR78/1000</f>
        <v>448.53100000000001</v>
      </c>
      <c r="DR109" s="12">
        <f>'Income Statement'!CS78/1000</f>
        <v>447.721</v>
      </c>
      <c r="DS109" s="12">
        <f>'Income Statement'!CT78/1000</f>
        <v>447.721</v>
      </c>
      <c r="DT109" s="12">
        <f>'Income Statement'!CU78/1000</f>
        <v>447.721</v>
      </c>
      <c r="DU109" s="12">
        <f>'Income Statement'!CV78/1000</f>
        <v>447.721</v>
      </c>
      <c r="DV109" s="12">
        <f>'Income Statement'!CW78/1000</f>
        <v>447.721</v>
      </c>
      <c r="DW109" s="12">
        <f>'Income Statement'!CX78/1000</f>
        <v>447.721</v>
      </c>
      <c r="DX109" s="12">
        <f>'Income Statement'!CY78/1000</f>
        <v>447.721</v>
      </c>
      <c r="DY109" s="12">
        <f>'Income Statement'!CZ78/1000</f>
        <v>447.721</v>
      </c>
      <c r="DZ109" s="12">
        <f>'Income Statement'!DA78/1000</f>
        <v>455.07499999999999</v>
      </c>
      <c r="EA109" s="12">
        <f>'Income Statement'!DB78/1000</f>
        <v>455.07499999999999</v>
      </c>
      <c r="EB109" s="417"/>
    </row>
    <row r="110" spans="1:132" s="7" customFormat="1">
      <c r="A110" s="11" t="s">
        <v>321</v>
      </c>
      <c r="B110" s="418"/>
      <c r="C110" s="418"/>
      <c r="D110" s="418"/>
      <c r="E110" s="418"/>
      <c r="F110" s="418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>
        <f>AVERAGE('Income Statement'!A78:B78)/1000</f>
        <v>159.56200000000001</v>
      </c>
      <c r="AB110" s="12">
        <f>AVERAGE('Income Statement'!B78:C78)/1000</f>
        <v>159.56200000000001</v>
      </c>
      <c r="AC110" s="12">
        <f>AVERAGE('Income Statement'!C78:D78)/1000</f>
        <v>159.56200000000001</v>
      </c>
      <c r="AD110" s="12">
        <f>AVERAGE('Income Statement'!D78:E78)/1000</f>
        <v>159.56200000000001</v>
      </c>
      <c r="AE110" s="12">
        <f>AVERAGE('Income Statement'!E78:F78)/1000</f>
        <v>159.56200000000001</v>
      </c>
      <c r="AF110" s="12">
        <f>AVERAGE('Income Statement'!F78:G78)/1000</f>
        <v>159.56200000000001</v>
      </c>
      <c r="AG110" s="12">
        <f>AVERAGE('Income Statement'!G78:H78)/1000</f>
        <v>194.393</v>
      </c>
      <c r="AH110" s="12">
        <f>AVERAGE('Income Statement'!H78:I78)/1000</f>
        <v>263.32400000000001</v>
      </c>
      <c r="AI110" s="12">
        <f>AVERAGE('Income Statement'!I78:J78)/1000</f>
        <v>297.42399999999998</v>
      </c>
      <c r="AJ110" s="12">
        <f>AVERAGE('Income Statement'!J78:K78)/1000</f>
        <v>297.42399999999998</v>
      </c>
      <c r="AK110" s="12">
        <f>AVERAGE('Income Statement'!K78:L78)/1000</f>
        <v>297.42399999999998</v>
      </c>
      <c r="AL110" s="12">
        <f>AVERAGE('Income Statement'!L78:M78)/1000</f>
        <v>297.42399999999998</v>
      </c>
      <c r="AM110" s="12">
        <f>AVERAGE('Income Statement'!M78:N78)/1000</f>
        <v>325.94099999999997</v>
      </c>
      <c r="AN110" s="12">
        <f>AVERAGE('Income Statement'!N78:O78)/1000</f>
        <v>354.45800000000003</v>
      </c>
      <c r="AO110" s="12">
        <f>AVERAGE('Income Statement'!O78:P78)/1000</f>
        <v>354.45800000000003</v>
      </c>
      <c r="AP110" s="12">
        <f>AVERAGE('Income Statement'!P78:Q78)/1000</f>
        <v>354.45827600000001</v>
      </c>
      <c r="AQ110" s="12">
        <f>AVERAGE('Income Statement'!Q78:R78)/1000</f>
        <v>355.04977600000001</v>
      </c>
      <c r="AR110" s="12">
        <f>AVERAGE('Income Statement'!R78:S78)/1000</f>
        <v>355.64100000000002</v>
      </c>
      <c r="AS110" s="12">
        <f>AVERAGE('Income Statement'!S78:T78)/1000</f>
        <v>355.64100000000002</v>
      </c>
      <c r="AT110" s="12">
        <f>AVERAGE('Income Statement'!T78:U78)/1000</f>
        <v>355.64100000000002</v>
      </c>
      <c r="AU110" s="12">
        <f>AVERAGE('Income Statement'!U78:V78)/1000</f>
        <v>355.64100000000002</v>
      </c>
      <c r="AV110" s="12">
        <f>AVERAGE('Income Statement'!V78:W78)/1000</f>
        <v>355.64100000000002</v>
      </c>
      <c r="AW110" s="12">
        <f>AVERAGE('Income Statement'!W78:X78)/1000</f>
        <v>355.67149999999998</v>
      </c>
      <c r="AX110" s="12">
        <f>AVERAGE('Income Statement'!X78:Y78)/1000</f>
        <v>355.72649999999999</v>
      </c>
      <c r="AY110" s="12">
        <f>AVERAGE('Income Statement'!Y78:Z78)/1000</f>
        <v>355.75099999999998</v>
      </c>
      <c r="AZ110" s="12">
        <f>AVERAGE('Income Statement'!Z78:AA78)/1000</f>
        <v>355.75099999999998</v>
      </c>
      <c r="BA110" s="12">
        <f>AVERAGE('Income Statement'!AA78:AB78)/1000</f>
        <v>362.14885200000003</v>
      </c>
      <c r="BB110" s="12">
        <f>AVERAGE('Income Statement'!AB78:AC78)/1000</f>
        <v>368.57796500000001</v>
      </c>
      <c r="BC110" s="12">
        <f>AVERAGE('Income Statement'!AC78:AD78)/1000</f>
        <v>395.49834600000003</v>
      </c>
      <c r="BD110" s="12">
        <f>AVERAGE('Income Statement'!AD78:AE78)/1000</f>
        <v>422.38746600000002</v>
      </c>
      <c r="BE110" s="12">
        <f>AVERAGE('Income Statement'!AE78:AF78)/1000</f>
        <v>422.39423299999999</v>
      </c>
      <c r="BF110" s="12">
        <f>AVERAGE('Income Statement'!AF78:AG78)/1000</f>
        <v>422.65617800000001</v>
      </c>
      <c r="BG110" s="12">
        <f>AVERAGE('Income Statement'!AG78:AH78)/1000</f>
        <v>422.92767800000001</v>
      </c>
      <c r="BH110" s="12">
        <f>AVERAGE('Income Statement'!AH78:AI78)/1000</f>
        <v>422.97394350000002</v>
      </c>
      <c r="BI110" s="12">
        <f>AVERAGE('Income Statement'!AI78:AJ78)/1000</f>
        <v>423.00388699999996</v>
      </c>
      <c r="BJ110" s="12">
        <f>AVERAGE('Income Statement'!AJ78:AK78)/1000</f>
        <v>423.00388699999996</v>
      </c>
      <c r="BK110" s="12">
        <f>AVERAGE('Income Statement'!AK78:AL78)/1000</f>
        <v>423.00388699999996</v>
      </c>
      <c r="BL110" s="12">
        <f>AVERAGE('Income Statement'!AL78:AM78)/1000</f>
        <v>418.240387</v>
      </c>
      <c r="BM110" s="12">
        <f>AVERAGE('Income Statement'!AM78:AN78)/1000</f>
        <v>412.07238699999999</v>
      </c>
      <c r="BN110" s="12">
        <f>AVERAGE('Income Statement'!AN78:AO78)/1000</f>
        <v>410.66788700000001</v>
      </c>
      <c r="BO110" s="12">
        <f>AVERAGE('Income Statement'!AO78:AP78)/1000</f>
        <v>410.66788700000001</v>
      </c>
      <c r="BP110" s="12">
        <f>AVERAGE('Income Statement'!AP78:AQ78)/1000</f>
        <v>410.93694349999998</v>
      </c>
      <c r="BQ110" s="12">
        <f>AVERAGE('Income Statement'!AQ78:AR78)/1000</f>
        <v>411.20600000000002</v>
      </c>
      <c r="BR110" s="12">
        <f>AVERAGE('Income Statement'!AR78:AS78)/1000</f>
        <v>411.65649999999999</v>
      </c>
      <c r="BS110" s="12">
        <f>AVERAGE('Income Statement'!AS78:AT78)/1000</f>
        <v>412.10700000000003</v>
      </c>
      <c r="BT110" s="12">
        <f>AVERAGE('Income Statement'!AT78:AU78)/1000</f>
        <v>412.11250000000001</v>
      </c>
      <c r="BU110" s="12">
        <f>AVERAGE('Income Statement'!AU78:AV78)/1000</f>
        <v>413.267</v>
      </c>
      <c r="BV110" s="12">
        <f>AVERAGE('Income Statement'!AV78:AW78)/1000</f>
        <v>414.43549999999999</v>
      </c>
      <c r="BW110" s="12">
        <f>AVERAGE('Income Statement'!AW78:AX78)/1000</f>
        <v>410.85768500000006</v>
      </c>
      <c r="BX110" s="12">
        <f>AVERAGE('Income Statement'!AX78:AY78)/1000</f>
        <v>407.26037000000008</v>
      </c>
      <c r="BY110" s="12">
        <f>AVERAGE('Income Statement'!AY78:AZ78)/1000</f>
        <v>405.49618500000008</v>
      </c>
      <c r="BZ110" s="12">
        <f>AVERAGE('Income Statement'!AZ78:BA78)/1000</f>
        <v>398.87650000000002</v>
      </c>
      <c r="CA110" s="12">
        <f>AVERAGE('Income Statement'!BA78:BB78)/1000</f>
        <v>390.95800000000003</v>
      </c>
      <c r="CB110" s="12">
        <f>AVERAGE('Income Statement'!BB78:BC78)/1000</f>
        <v>385.41550000000001</v>
      </c>
      <c r="CC110" s="12">
        <f>AVERAGE('Income Statement'!BC78:BD78)/1000</f>
        <v>382.93599999999998</v>
      </c>
      <c r="CD110" s="12">
        <f>AVERAGE('Income Statement'!BD78:BE78)/1000</f>
        <v>380.75650000000002</v>
      </c>
      <c r="CE110" s="12">
        <f>AVERAGE('Income Statement'!BE78:BF78)/1000</f>
        <v>378.63549999999998</v>
      </c>
      <c r="CF110" s="12">
        <f>AVERAGE('Income Statement'!BF78:BG78)/1000</f>
        <v>378.74450000000002</v>
      </c>
      <c r="CG110" s="12">
        <f>AVERAGE('Income Statement'!BG78:BH78)/1000</f>
        <v>378.93789950000001</v>
      </c>
      <c r="CH110" s="12">
        <f>AVERAGE('Income Statement'!BH78:BI78)/1000</f>
        <v>379.08079900000001</v>
      </c>
      <c r="CI110" s="12">
        <f>AVERAGE('Income Statement'!BI78:BJ78)/1000</f>
        <v>380.01739950000001</v>
      </c>
      <c r="CJ110" s="12">
        <f>AVERAGE('Income Statement'!BJ78:BK78)/1000</f>
        <v>381.06599999999997</v>
      </c>
      <c r="CK110" s="12">
        <f>AVERAGE('Income Statement'!BK78:BL78)/1000</f>
        <v>381.39699999999999</v>
      </c>
      <c r="CL110" s="12">
        <f>AVERAGE('Income Statement'!BL78:BM78)/1000</f>
        <v>381.88249999999999</v>
      </c>
      <c r="CM110" s="12">
        <f>AVERAGE('Income Statement'!BM78:BN78)/1000</f>
        <v>382.149</v>
      </c>
      <c r="CN110" s="12">
        <f>AVERAGE('Income Statement'!BN78:BO78)/1000</f>
        <v>382.149</v>
      </c>
      <c r="CO110" s="12">
        <f>AVERAGE('Income Statement'!BO78:BP78)/1000</f>
        <v>382.35500000000002</v>
      </c>
      <c r="CP110" s="12">
        <f>AVERAGE('Income Statement'!BP78:BQ78)/1000</f>
        <v>382.61</v>
      </c>
      <c r="CQ110" s="12">
        <f>AVERAGE('Income Statement'!BQ78:BR78)/1000</f>
        <v>382.68349999999998</v>
      </c>
      <c r="CR110" s="12">
        <f>AVERAGE('Income Statement'!BR78:BS78)/1000</f>
        <v>382.70800000000003</v>
      </c>
      <c r="CS110" s="12">
        <f>AVERAGE('Income Statement'!BS78:BT78)/1000</f>
        <v>382.80250000000001</v>
      </c>
      <c r="CT110" s="12">
        <f>AVERAGE('Income Statement'!BT78:BU78)/1000</f>
        <v>383.52699999999999</v>
      </c>
      <c r="CU110" s="12">
        <f>AVERAGE('Income Statement'!BU78:BV78)/1000</f>
        <v>384.15699999999998</v>
      </c>
      <c r="CV110" s="12">
        <f>AVERAGE('Income Statement'!BV78:BW78)/1000</f>
        <v>384.19299999999998</v>
      </c>
      <c r="CW110" s="12">
        <f>AVERAGE('Income Statement'!BW78:BX78)/1000</f>
        <v>384.22899999999998</v>
      </c>
      <c r="CX110" s="12">
        <f>AVERAGE('Income Statement'!BX78:BY78)/1000</f>
        <v>384.29450000000003</v>
      </c>
      <c r="CY110" s="12">
        <f>AVERAGE('Income Statement'!BY78:BZ78)/1000</f>
        <v>384.38650000000001</v>
      </c>
      <c r="CZ110" s="12">
        <f>AVERAGE('Income Statement'!BZ78:CA78)/1000</f>
        <v>384.42</v>
      </c>
      <c r="DA110" s="12">
        <f>AVERAGE('Income Statement'!CA78:CB78)/1000</f>
        <v>384.42700000000002</v>
      </c>
      <c r="DB110" s="12">
        <f>AVERAGE('Income Statement'!CB78:CC78)/1000</f>
        <v>384.42700000000002</v>
      </c>
      <c r="DC110" s="12">
        <f>AVERAGE('Income Statement'!CC78:CD78)/1000</f>
        <v>384.42700000000002</v>
      </c>
      <c r="DD110" s="12">
        <f>AVERAGE('Income Statement'!CD78:CE78)/1000</f>
        <v>384.42700000000002</v>
      </c>
      <c r="DE110" s="12">
        <f>AVERAGE('Income Statement'!CE78:CF78)/1000</f>
        <v>384.46550000000002</v>
      </c>
      <c r="DF110" s="12">
        <f>AVERAGE('Income Statement'!CF78:CG78)/1000</f>
        <v>384.50400000000002</v>
      </c>
      <c r="DG110" s="12">
        <f>AVERAGE('Income Statement'!CG78:CH78)/1000</f>
        <v>384.50400000000002</v>
      </c>
      <c r="DH110" s="12">
        <f>AVERAGE('Income Statement'!CH78:CI78)/1000</f>
        <v>384.50400000000002</v>
      </c>
      <c r="DI110" s="12">
        <f>AVERAGE('Income Statement'!CI78:CJ78)/1000</f>
        <v>384.50400000000002</v>
      </c>
      <c r="DJ110" s="12">
        <f>AVERAGE('Income Statement'!CJ78:CK78)/1000</f>
        <v>384.50400000000002</v>
      </c>
      <c r="DK110" s="12">
        <f>AVERAGE('Income Statement'!CK78:CL78)/1000</f>
        <v>384.50400000000002</v>
      </c>
      <c r="DL110" s="12">
        <f>AVERAGE('Income Statement'!CL78:CM78)/1000</f>
        <v>384.50400000000002</v>
      </c>
      <c r="DM110" s="12">
        <f>AVERAGE('Income Statement'!CM78:CN78)/1000</f>
        <v>420.904</v>
      </c>
      <c r="DN110" s="12">
        <f>AVERAGE('Income Statement'!CN78:CO78)/1000</f>
        <v>456.46449999999999</v>
      </c>
      <c r="DO110" s="12">
        <f>AVERAGE('Income Statement'!CO78:CP78)/1000</f>
        <v>453.69799999999998</v>
      </c>
      <c r="DP110" s="12">
        <f>AVERAGE('Income Statement'!CP78:CQ78)/1000</f>
        <v>450.15100000000001</v>
      </c>
      <c r="DQ110" s="12">
        <f>AVERAGE('Income Statement'!CQ78:CR78)/1000</f>
        <v>448.53100000000001</v>
      </c>
      <c r="DR110" s="12">
        <f>AVERAGE('Income Statement'!CR78:CS78)/1000</f>
        <v>448.12599999999998</v>
      </c>
      <c r="DS110" s="12">
        <f>AVERAGE('Income Statement'!CS78:CT78)/1000</f>
        <v>447.721</v>
      </c>
      <c r="DT110" s="12">
        <f>AVERAGE('Income Statement'!CT78:CU78)/1000</f>
        <v>447.721</v>
      </c>
      <c r="DU110" s="12">
        <f>AVERAGE('Income Statement'!CU78:CV78)/1000</f>
        <v>447.721</v>
      </c>
      <c r="DV110" s="12">
        <f>AVERAGE('Income Statement'!CV78:CW78)/1000</f>
        <v>447.721</v>
      </c>
      <c r="DW110" s="12">
        <f>AVERAGE('Income Statement'!CW78:CX78)/1000</f>
        <v>447.721</v>
      </c>
      <c r="DX110" s="12">
        <f>AVERAGE('Income Statement'!CX78:CY78)/1000</f>
        <v>447.721</v>
      </c>
      <c r="DY110" s="12">
        <f>AVERAGE('Income Statement'!CY78:CZ78)/1000</f>
        <v>447.721</v>
      </c>
      <c r="DZ110" s="12">
        <f>AVERAGE('Income Statement'!CZ78:DA78)/1000</f>
        <v>451.39800000000002</v>
      </c>
      <c r="EA110" s="12">
        <f>AVERAGE('Income Statement'!DA78:DB78)/1000</f>
        <v>455.07499999999999</v>
      </c>
      <c r="EB110" s="417"/>
    </row>
    <row r="111" spans="1:132" s="7" customFormat="1">
      <c r="A111" s="11" t="s">
        <v>322</v>
      </c>
      <c r="B111" s="418"/>
      <c r="C111" s="418"/>
      <c r="D111" s="418"/>
      <c r="E111" s="418"/>
      <c r="F111" s="418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>
        <f>AVERAGE('Income Statement'!A78:B78)/1000</f>
        <v>159.56200000000001</v>
      </c>
      <c r="AB111" s="12">
        <f>AVERAGE('Income Statement'!B78:C78)/1000</f>
        <v>159.56200000000001</v>
      </c>
      <c r="AC111" s="12">
        <f>AVERAGE('Income Statement'!C78:D78)/1000</f>
        <v>159.56200000000001</v>
      </c>
      <c r="AD111" s="12">
        <f>AVERAGE('Income Statement'!D78:E78)/1000</f>
        <v>159.56200000000001</v>
      </c>
      <c r="AE111" s="12">
        <f>AVERAGE('Income Statement'!E78:F78)/1000</f>
        <v>159.56200000000001</v>
      </c>
      <c r="AF111" s="12">
        <f>AVERAGE('Income Statement'!F78:G78)/1000</f>
        <v>159.56200000000001</v>
      </c>
      <c r="AG111" s="12">
        <f>AVERAGE('Income Statement'!G78:H78)/1000</f>
        <v>194.393</v>
      </c>
      <c r="AH111" s="12">
        <f>AVERAGE('Income Statement'!H78:I78)/1000</f>
        <v>263.32400000000001</v>
      </c>
      <c r="AI111" s="12">
        <f>AVERAGE('Income Statement'!I78:J78)/1000</f>
        <v>297.42399999999998</v>
      </c>
      <c r="AJ111" s="12">
        <f>AVERAGE('Income Statement'!J78:K78)/1000</f>
        <v>297.42399999999998</v>
      </c>
      <c r="AK111" s="12">
        <f>AVERAGE('Income Statement'!K78:L78)/1000</f>
        <v>297.42399999999998</v>
      </c>
      <c r="AL111" s="12">
        <f>AVERAGE('Income Statement'!L78:M78)/1000</f>
        <v>297.42399999999998</v>
      </c>
      <c r="AM111" s="12">
        <f>AVERAGE('Income Statement'!M78:N78)/1000</f>
        <v>325.94099999999997</v>
      </c>
      <c r="AN111" s="12">
        <f>AVERAGE('Income Statement'!N78:O78)/1000</f>
        <v>354.45800000000003</v>
      </c>
      <c r="AO111" s="12">
        <f>AVERAGE('Income Statement'!O78:P78)/1000</f>
        <v>354.45800000000003</v>
      </c>
      <c r="AP111" s="12">
        <f>AVERAGE('Income Statement'!P78:Q78)/1000</f>
        <v>354.45827600000001</v>
      </c>
      <c r="AQ111" s="12">
        <f>AVERAGE('Income Statement'!Q78:R78)/1000</f>
        <v>355.04977600000001</v>
      </c>
      <c r="AR111" s="12">
        <f>AVERAGE('Income Statement'!R78:S78)/1000</f>
        <v>355.64100000000002</v>
      </c>
      <c r="AS111" s="12">
        <f>AVERAGE('Income Statement'!S78:T78)/1000</f>
        <v>355.64100000000002</v>
      </c>
      <c r="AT111" s="12">
        <f>AVERAGE('Income Statement'!T78:U78)/1000</f>
        <v>355.64100000000002</v>
      </c>
      <c r="AU111" s="12">
        <f>AVERAGE('Income Statement'!U78:V78)/1000</f>
        <v>355.64100000000002</v>
      </c>
      <c r="AV111" s="12">
        <f>AVERAGE('Income Statement'!V78:W78)/1000</f>
        <v>355.64100000000002</v>
      </c>
      <c r="AW111" s="12">
        <f>AVERAGE('Income Statement'!W78:X78)/1000</f>
        <v>355.67149999999998</v>
      </c>
      <c r="AX111" s="12">
        <f>AVERAGE('Income Statement'!X78:Y78)/1000</f>
        <v>355.72649999999999</v>
      </c>
      <c r="AY111" s="12">
        <f>AVERAGE('Income Statement'!Y78:Z78)/1000</f>
        <v>355.75099999999998</v>
      </c>
      <c r="AZ111" s="12">
        <f>AVERAGE('Income Statement'!Z78:AA78)/1000</f>
        <v>355.75099999999998</v>
      </c>
      <c r="BA111" s="12">
        <f>AVERAGE('Income Statement'!AA78:AB78)/1000</f>
        <v>362.14885200000003</v>
      </c>
      <c r="BB111" s="12">
        <f>AVERAGE('Income Statement'!AB78:AC78)/1000</f>
        <v>368.57796500000001</v>
      </c>
      <c r="BC111" s="12">
        <f>AVERAGE('Income Statement'!AC78:AD78)/1000</f>
        <v>395.49834600000003</v>
      </c>
      <c r="BD111" s="12">
        <f>AVERAGE('Income Statement'!AD78:AE78)/1000</f>
        <v>422.38746600000002</v>
      </c>
      <c r="BE111" s="12">
        <f>AVERAGE('Income Statement'!AE78:AF78)/1000</f>
        <v>422.39423299999999</v>
      </c>
      <c r="BF111" s="12">
        <f>AVERAGE('Income Statement'!AF78:AG78)/1000</f>
        <v>422.65617800000001</v>
      </c>
      <c r="BG111" s="12">
        <f>AVERAGE('Income Statement'!AG78:AH78)/1000</f>
        <v>422.92767800000001</v>
      </c>
      <c r="BH111" s="12">
        <f>AVERAGE('Income Statement'!AH78:AI78)/1000</f>
        <v>422.97394350000002</v>
      </c>
      <c r="BI111" s="12">
        <f>AVERAGE('Income Statement'!AI78:AJ78)/1000</f>
        <v>423.00388699999996</v>
      </c>
      <c r="BJ111" s="12">
        <f>AVERAGE('Income Statement'!AJ78:AK78)/1000</f>
        <v>423.00388699999996</v>
      </c>
      <c r="BK111" s="12">
        <f>AVERAGE('Income Statement'!AK78:AL78)/1000</f>
        <v>423.00388699999996</v>
      </c>
      <c r="BL111" s="12">
        <f>AVERAGE('Income Statement'!AL78:AM78)/1000</f>
        <v>418.240387</v>
      </c>
      <c r="BM111" s="12">
        <f>AVERAGE('Income Statement'!AM78:AN78)/1000</f>
        <v>412.07238699999999</v>
      </c>
      <c r="BN111" s="12">
        <f>AVERAGE('Income Statement'!AN78:AO78)/1000</f>
        <v>410.66788700000001</v>
      </c>
      <c r="BO111" s="12">
        <f>AVERAGE('Income Statement'!AO78:AP78)/1000</f>
        <v>410.66788700000001</v>
      </c>
      <c r="BP111" s="12">
        <f>AVERAGE('Income Statement'!AP78:AQ78)/1000</f>
        <v>410.93694349999998</v>
      </c>
      <c r="BQ111" s="12">
        <f>AVERAGE('Income Statement'!AQ78:AR78)/1000</f>
        <v>411.20600000000002</v>
      </c>
      <c r="BR111" s="12">
        <f>AVERAGE('Income Statement'!AR78:AS78)/1000</f>
        <v>411.65649999999999</v>
      </c>
      <c r="BS111" s="12">
        <f>AVERAGE('Income Statement'!AS78:AT78)/1000</f>
        <v>412.10700000000003</v>
      </c>
      <c r="BT111" s="12">
        <f>AVERAGE('Income Statement'!AT78:AU78)/1000</f>
        <v>412.11250000000001</v>
      </c>
      <c r="BU111" s="12">
        <f>AVERAGE('Income Statement'!AU78:AV78)/1000</f>
        <v>413.267</v>
      </c>
      <c r="BV111" s="12">
        <f>AVERAGE('Income Statement'!AV78:AW78)/1000</f>
        <v>414.43549999999999</v>
      </c>
      <c r="BW111" s="12">
        <f>AVERAGE('Income Statement'!AW78:AX78)/1000</f>
        <v>410.85768500000006</v>
      </c>
      <c r="BX111" s="12">
        <f>AVERAGE('Income Statement'!AX78:AY78)/1000</f>
        <v>407.26037000000008</v>
      </c>
      <c r="BY111" s="12">
        <f>AVERAGE('Income Statement'!AY78:AZ78)/1000</f>
        <v>405.49618500000008</v>
      </c>
      <c r="BZ111" s="12">
        <f>AVERAGE('Income Statement'!AZ78:BA78)/1000</f>
        <v>398.87650000000002</v>
      </c>
      <c r="CA111" s="12">
        <f>AVERAGE('Income Statement'!BA78:BB78)/1000</f>
        <v>390.95800000000003</v>
      </c>
      <c r="CB111" s="12">
        <f>AVERAGE('Income Statement'!BB78:BC78)/1000</f>
        <v>385.41550000000001</v>
      </c>
      <c r="CC111" s="12">
        <f>AVERAGE('Income Statement'!BC78:BD78)/1000</f>
        <v>382.93599999999998</v>
      </c>
      <c r="CD111" s="12">
        <f>AVERAGE('Income Statement'!BD78:BE78)/1000</f>
        <v>380.75650000000002</v>
      </c>
      <c r="CE111" s="12">
        <f>AVERAGE('Income Statement'!BE78:BF78)/1000</f>
        <v>378.63549999999998</v>
      </c>
      <c r="CF111" s="12">
        <f>AVERAGE('Income Statement'!BF78:BG78)/1000</f>
        <v>378.74450000000002</v>
      </c>
      <c r="CG111" s="12">
        <f>AVERAGE('Income Statement'!BG78:BH78)/1000</f>
        <v>378.93789950000001</v>
      </c>
      <c r="CH111" s="12">
        <f>AVERAGE('Income Statement'!BH78:BI78)/1000</f>
        <v>379.08079900000001</v>
      </c>
      <c r="CI111" s="12">
        <f>AVERAGE('Income Statement'!BI78:BJ78)/1000</f>
        <v>380.01739950000001</v>
      </c>
      <c r="CJ111" s="12">
        <f>AVERAGE('Income Statement'!BJ78:BK78)/1000</f>
        <v>381.06599999999997</v>
      </c>
      <c r="CK111" s="12">
        <f>AVERAGE('Income Statement'!BK78:BL78)/1000</f>
        <v>381.39699999999999</v>
      </c>
      <c r="CL111" s="12">
        <f>AVERAGE('Income Statement'!BL78:BM78)/1000</f>
        <v>381.88249999999999</v>
      </c>
      <c r="CM111" s="12">
        <f>AVERAGE('Income Statement'!BM78:BN78)/1000</f>
        <v>382.149</v>
      </c>
      <c r="CN111" s="12">
        <f>AVERAGE('Income Statement'!BN78:BO78)/1000</f>
        <v>382.149</v>
      </c>
      <c r="CO111" s="12">
        <f>AVERAGE('Income Statement'!BO78:BP78)/1000</f>
        <v>382.35500000000002</v>
      </c>
      <c r="CP111" s="12">
        <f>AVERAGE('Income Statement'!BP78:BQ78)/1000</f>
        <v>382.61</v>
      </c>
      <c r="CQ111" s="12">
        <f>AVERAGE('Income Statement'!BQ78:BR78)/1000</f>
        <v>382.68349999999998</v>
      </c>
      <c r="CR111" s="12">
        <f>AVERAGE('Income Statement'!BR78:BS78)/1000</f>
        <v>382.70800000000003</v>
      </c>
      <c r="CS111" s="12">
        <f>AVERAGE('Income Statement'!BS78:BT78)/1000</f>
        <v>382.80250000000001</v>
      </c>
      <c r="CT111" s="12">
        <f>AVERAGE('Income Statement'!BT78:BU78)/1000</f>
        <v>383.52699999999999</v>
      </c>
      <c r="CU111" s="12">
        <f>AVERAGE('Income Statement'!BU78:BV78)/1000</f>
        <v>384.15699999999998</v>
      </c>
      <c r="CV111" s="12">
        <f>AVERAGE('Income Statement'!BV78:BW78)/1000</f>
        <v>384.19299999999998</v>
      </c>
      <c r="CW111" s="12">
        <f>AVERAGE('Income Statement'!BW78:BX78)/1000</f>
        <v>384.22899999999998</v>
      </c>
      <c r="CX111" s="12">
        <f>AVERAGE('Income Statement'!BX78:BY78)/1000</f>
        <v>384.29450000000003</v>
      </c>
      <c r="CY111" s="12">
        <f>AVERAGE('Income Statement'!BY78:BZ78)/1000</f>
        <v>384.38650000000001</v>
      </c>
      <c r="CZ111" s="12">
        <f>AVERAGE('Income Statement'!BZ78:CA78)/1000</f>
        <v>384.42</v>
      </c>
      <c r="DA111" s="12">
        <f>AVERAGE('Income Statement'!CA78:CB78)/1000</f>
        <v>384.42700000000002</v>
      </c>
      <c r="DB111" s="12">
        <f>AVERAGE('Income Statement'!CB78:CC78)/1000</f>
        <v>384.42700000000002</v>
      </c>
      <c r="DC111" s="12">
        <f>AVERAGE('Income Statement'!CC78:CD78)/1000</f>
        <v>384.42700000000002</v>
      </c>
      <c r="DD111" s="12">
        <f>AVERAGE('Income Statement'!CD78:CE78)/1000</f>
        <v>384.42700000000002</v>
      </c>
      <c r="DE111" s="12">
        <f>AVERAGE('Income Statement'!CE78:CF78)/1000</f>
        <v>384.46550000000002</v>
      </c>
      <c r="DF111" s="12">
        <f>AVERAGE('Income Statement'!CF78:CG78)/1000</f>
        <v>384.50400000000002</v>
      </c>
      <c r="DG111" s="12">
        <f>AVERAGE('Income Statement'!CG78:CH78)/1000</f>
        <v>384.50400000000002</v>
      </c>
      <c r="DH111" s="12">
        <f>AVERAGE('Income Statement'!CH78:CI78)/1000</f>
        <v>384.50400000000002</v>
      </c>
      <c r="DI111" s="12">
        <f>AVERAGE('Income Statement'!CI78:CJ78)/1000</f>
        <v>384.50400000000002</v>
      </c>
      <c r="DJ111" s="12">
        <f>AVERAGE('Income Statement'!CJ78:CK78)/1000</f>
        <v>384.50400000000002</v>
      </c>
      <c r="DK111" s="12">
        <f>AVERAGE('Income Statement'!CK78:CL78)/1000</f>
        <v>384.50400000000002</v>
      </c>
      <c r="DL111" s="12">
        <f>AVERAGE('Income Statement'!CL78:CM78)/1000</f>
        <v>384.50400000000002</v>
      </c>
      <c r="DM111" s="12">
        <f>AVERAGE('Income Statement'!CM78:CN78)/1000</f>
        <v>420.904</v>
      </c>
      <c r="DN111" s="12">
        <f>AVERAGE('Income Statement'!CN78:CO78)/1000</f>
        <v>456.46449999999999</v>
      </c>
      <c r="DO111" s="12">
        <f>AVERAGE('Income Statement'!CO78:CP78)/1000</f>
        <v>453.69799999999998</v>
      </c>
      <c r="DP111" s="12">
        <f>AVERAGE('Income Statement'!CP78:CQ78)/1000</f>
        <v>450.15100000000001</v>
      </c>
      <c r="DQ111" s="12">
        <f>AVERAGE('Income Statement'!CQ78:CR78)/1000</f>
        <v>448.53100000000001</v>
      </c>
      <c r="DR111" s="12">
        <f>AVERAGE('Income Statement'!CR78:CS78)/1000</f>
        <v>448.12599999999998</v>
      </c>
      <c r="DS111" s="12">
        <f>AVERAGE('Income Statement'!CS78:CT78)/1000</f>
        <v>447.721</v>
      </c>
      <c r="DT111" s="12">
        <f>AVERAGE('Income Statement'!CT78:CU78)/1000</f>
        <v>447.721</v>
      </c>
      <c r="DU111" s="12">
        <f>AVERAGE('Income Statement'!CU78:CV78)/1000</f>
        <v>447.721</v>
      </c>
      <c r="DV111" s="12">
        <f>AVERAGE('Income Statement'!CV78:CW78)/1000</f>
        <v>447.721</v>
      </c>
      <c r="DW111" s="12">
        <f>AVERAGE('Income Statement'!CW78:CX78)/1000</f>
        <v>447.721</v>
      </c>
      <c r="DX111" s="12">
        <f>AVERAGE('Income Statement'!CX78:CY78)/1000</f>
        <v>447.721</v>
      </c>
      <c r="DY111" s="12">
        <f>AVERAGE('Income Statement'!CY78:CZ78)/1000</f>
        <v>447.721</v>
      </c>
      <c r="DZ111" s="12">
        <f>AVERAGE('Income Statement'!CZ78:DA78)/1000</f>
        <v>451.39800000000002</v>
      </c>
      <c r="EA111" s="12">
        <f>AVERAGE('Income Statement'!DA78:DB78)/1000</f>
        <v>455.07499999999999</v>
      </c>
      <c r="EB111" s="417"/>
    </row>
    <row r="112" spans="1:132" s="7" customFormat="1">
      <c r="A112" s="11" t="s">
        <v>323</v>
      </c>
      <c r="B112" s="418"/>
      <c r="C112" s="418"/>
      <c r="D112" s="418"/>
      <c r="E112" s="418"/>
      <c r="F112" s="418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 t="e">
        <f>'Income Statement'!B81</f>
        <v>#REF!</v>
      </c>
      <c r="AB112" s="12">
        <f>'Income Statement'!C81</f>
        <v>0</v>
      </c>
      <c r="AC112" s="12">
        <f>'Income Statement'!D81</f>
        <v>0</v>
      </c>
      <c r="AD112" s="12">
        <f>'Income Statement'!E81</f>
        <v>0</v>
      </c>
      <c r="AE112" s="12">
        <f>'Income Statement'!F81</f>
        <v>0</v>
      </c>
      <c r="AF112" s="12">
        <f>'Income Statement'!G81</f>
        <v>0</v>
      </c>
      <c r="AG112" s="12">
        <f>'Income Statement'!H81</f>
        <v>0</v>
      </c>
      <c r="AH112" s="12">
        <f>'Income Statement'!I81</f>
        <v>0</v>
      </c>
      <c r="AI112" s="12">
        <f>'Income Statement'!J81</f>
        <v>0</v>
      </c>
      <c r="AJ112" s="12">
        <f>'Income Statement'!K81</f>
        <v>0</v>
      </c>
      <c r="AK112" s="12">
        <f>'Income Statement'!L81</f>
        <v>0</v>
      </c>
      <c r="AL112" s="12">
        <f>'Income Statement'!M81</f>
        <v>9.0276999999999996E-2</v>
      </c>
      <c r="AM112" s="12">
        <f>'Income Statement'!N81</f>
        <v>0</v>
      </c>
      <c r="AN112" s="12">
        <f>'Income Statement'!O81</f>
        <v>8.5152000000000005E-2</v>
      </c>
      <c r="AO112" s="12">
        <f>'Income Statement'!P81</f>
        <v>0.17498060711601179</v>
      </c>
      <c r="AP112" s="12">
        <f>'Income Statement'!Q81</f>
        <v>0</v>
      </c>
      <c r="AQ112" s="12">
        <f>'Income Statement'!R81</f>
        <v>0.16899038967426358</v>
      </c>
      <c r="AR112" s="12">
        <f>'Income Statement'!S81</f>
        <v>0</v>
      </c>
      <c r="AS112" s="12">
        <f>'Income Statement'!T81</f>
        <v>4.0979527107392007E-2</v>
      </c>
      <c r="AT112" s="12">
        <f>'Income Statement'!U81</f>
        <v>0.20986342448322418</v>
      </c>
      <c r="AU112" s="12">
        <f>'Income Statement'!V81</f>
        <v>0</v>
      </c>
      <c r="AV112" s="12">
        <f>'Income Statement'!W81</f>
        <v>0</v>
      </c>
      <c r="AW112" s="12">
        <f>'Income Statement'!X81</f>
        <v>0</v>
      </c>
      <c r="AX112" s="12">
        <f>'Income Statement'!Y81</f>
        <v>0.18540929618681767</v>
      </c>
      <c r="AY112" s="12">
        <f>'Income Statement'!Z81</f>
        <v>0.185431580723044</v>
      </c>
      <c r="AZ112" s="12">
        <f>'Income Statement'!AA81</f>
        <v>0</v>
      </c>
      <c r="BA112" s="12">
        <f>'Income Statement'!AB81</f>
        <v>0</v>
      </c>
      <c r="BB112" s="12">
        <f>'Income Statement'!AC81</f>
        <v>0</v>
      </c>
      <c r="BC112" s="12">
        <f>'Income Statement'!AD81</f>
        <v>0.50227473077675022</v>
      </c>
      <c r="BD112" s="12">
        <f>'Income Statement'!AE81</f>
        <v>0.52438344861350628</v>
      </c>
      <c r="BE112" s="12">
        <f>'Income Statement'!AF81</f>
        <v>0</v>
      </c>
      <c r="BF112" s="12">
        <f>'Income Statement'!AG81</f>
        <v>0</v>
      </c>
      <c r="BG112" s="12">
        <f>'Income Statement'!AH81</f>
        <v>0</v>
      </c>
      <c r="BH112" s="12">
        <f>'Income Statement'!AI81</f>
        <v>0.33703967393442996</v>
      </c>
      <c r="BI112" s="12">
        <f>'Income Statement'!AJ81</f>
        <v>0.33716632455600148</v>
      </c>
      <c r="BJ112" s="12">
        <f>'Income Statement'!AK81</f>
        <v>0</v>
      </c>
      <c r="BK112" s="12">
        <f>'Income Statement'!AL81</f>
        <v>0</v>
      </c>
      <c r="BL112" s="12">
        <f>'Income Statement'!AM81</f>
        <v>0</v>
      </c>
      <c r="BM112" s="12">
        <f>'Income Statement'!AN81</f>
        <v>0.28712188375776804</v>
      </c>
      <c r="BN112" s="12">
        <f>'Income Statement'!AO81</f>
        <v>0.28336333741892422</v>
      </c>
      <c r="BO112" s="12">
        <f>'Income Statement'!AP81</f>
        <v>0</v>
      </c>
      <c r="BP112" s="12">
        <f>'Income Statement'!AQ81</f>
        <v>0</v>
      </c>
      <c r="BQ112" s="12">
        <f>'Income Statement'!AR81</f>
        <v>0</v>
      </c>
      <c r="BR112" s="12">
        <f>'Income Statement'!AS81</f>
        <v>0.3809438208797869</v>
      </c>
      <c r="BS112" s="12">
        <f>'Income Statement'!AT81</f>
        <v>0.38127704819227626</v>
      </c>
      <c r="BT112" s="12">
        <f>'Income Statement'!AU81</f>
        <v>0.12132609420971216</v>
      </c>
      <c r="BU112" s="12">
        <f>'Income Statement'!AV81</f>
        <v>0</v>
      </c>
      <c r="BV112" s="12">
        <f>'Income Statement'!AW81</f>
        <v>0</v>
      </c>
      <c r="BW112" s="12">
        <f>'Income Statement'!AX81</f>
        <v>0.41577900629995512</v>
      </c>
      <c r="BX112" s="12">
        <f>'Income Statement'!AY81</f>
        <v>0.53590434559061895</v>
      </c>
      <c r="BY112" s="12">
        <f>'Income Statement'!AZ81</f>
        <v>0</v>
      </c>
      <c r="BZ112" s="12">
        <f>'Income Statement'!BA81</f>
        <v>0</v>
      </c>
      <c r="CA112" s="12">
        <f>'Income Statement'!BB81</f>
        <v>0</v>
      </c>
      <c r="CB112" s="12">
        <f>'Income Statement'!BC81</f>
        <v>0.40762761227817773</v>
      </c>
      <c r="CC112" s="12">
        <f>'Income Statement'!BD81</f>
        <v>0.40063139748971044</v>
      </c>
      <c r="CD112" s="12">
        <f>'Income Statement'!BE81</f>
        <v>0</v>
      </c>
      <c r="CE112" s="12">
        <f>'Income Statement'!BF81</f>
        <v>0</v>
      </c>
      <c r="CF112" s="12">
        <f>'Income Statement'!BG81</f>
        <v>0</v>
      </c>
      <c r="CG112" s="12">
        <f>'Income Statement'!BH81</f>
        <v>0.28066076299132492</v>
      </c>
      <c r="CH112" s="12">
        <f>'Income Statement'!BI81</f>
        <v>0.28077279395024479</v>
      </c>
      <c r="CI112" s="12">
        <f>'Income Statement'!BJ81</f>
        <v>0</v>
      </c>
      <c r="CJ112" s="12">
        <f>'Income Statement'!BK81</f>
        <v>0</v>
      </c>
      <c r="CK112" s="12">
        <f>'Income Statement'!BL81</f>
        <v>0</v>
      </c>
      <c r="CL112" s="12">
        <f>'Income Statement'!BM81</f>
        <v>9.4128642676739566E-2</v>
      </c>
      <c r="CM112" s="12">
        <f>'Income Statement'!BN81</f>
        <v>9.4229378226708613E-2</v>
      </c>
      <c r="CN112" s="12">
        <f>'Income Statement'!BO81</f>
        <v>0</v>
      </c>
      <c r="CO112" s="12">
        <f>'Income Statement'!BP81</f>
        <v>0</v>
      </c>
      <c r="CP112" s="12">
        <f>'Income Statement'!BQ81</f>
        <v>0</v>
      </c>
      <c r="CQ112" s="12">
        <f>'Income Statement'!BR81</f>
        <v>0</v>
      </c>
      <c r="CR112" s="12">
        <f>'Income Statement'!BS81</f>
        <v>0</v>
      </c>
      <c r="CS112" s="12">
        <f>'Income Statement'!BT81</f>
        <v>0</v>
      </c>
      <c r="CT112" s="12">
        <f>'Income Statement'!BU81</f>
        <v>0.52147567185621868</v>
      </c>
      <c r="CU112" s="12">
        <f>'Income Statement'!BV81</f>
        <v>0</v>
      </c>
      <c r="CV112" s="12">
        <f>'Income Statement'!BW81</f>
        <v>0.59865744560676537</v>
      </c>
      <c r="CW112" s="12">
        <f>'Income Statement'!BX81</f>
        <v>1.1202000729432606</v>
      </c>
      <c r="CX112" s="12">
        <f>'Income Statement'!BY81</f>
        <v>0</v>
      </c>
      <c r="CY112" s="12">
        <f>'Income Statement'!BZ81</f>
        <v>0</v>
      </c>
      <c r="CZ112" s="12">
        <f>'Income Statement'!CA81</f>
        <v>0.7803964413922273</v>
      </c>
      <c r="DA112" s="12">
        <f>'Income Statement'!CB81</f>
        <v>1.0405096416224666</v>
      </c>
      <c r="DB112" s="12">
        <f>'Income Statement'!CC81</f>
        <v>1.8209877948293052</v>
      </c>
      <c r="DC112" s="12">
        <f>'Income Statement'!CD81</f>
        <v>0</v>
      </c>
      <c r="DD112" s="12">
        <f>'Income Statement'!CE81</f>
        <v>0</v>
      </c>
      <c r="DE112" s="12">
        <f>'Income Statement'!CF81</f>
        <v>0.2568821287215628</v>
      </c>
      <c r="DF112" s="12">
        <f>'Income Statement'!CG81</f>
        <v>1.5604519068722302</v>
      </c>
      <c r="DG112" s="12">
        <f>'Income Statement'!CH81</f>
        <v>1.8174902977250234</v>
      </c>
      <c r="DH112" s="12">
        <f>'Income Statement'!CI81</f>
        <v>0</v>
      </c>
      <c r="DI112" s="12">
        <f>'Income Statement'!CJ81</f>
        <v>1.0872734184819925</v>
      </c>
      <c r="DJ112" s="12">
        <f>'Income Statement'!CK81</f>
        <v>0</v>
      </c>
      <c r="DK112" s="12">
        <f>'Income Statement'!CL81</f>
        <v>0</v>
      </c>
      <c r="DL112" s="12">
        <f>'Income Statement'!CM81</f>
        <v>1.0872734184819925</v>
      </c>
      <c r="DM112" s="12">
        <f>'Income Statement'!CN81</f>
        <v>0</v>
      </c>
      <c r="DN112" s="12">
        <f>'Income Statement'!CO81</f>
        <v>0.51696743726261085</v>
      </c>
      <c r="DO112" s="12">
        <f>'Income Statement'!CP81</f>
        <v>0</v>
      </c>
      <c r="DP112" s="12">
        <f>'Income Statement'!CQ81</f>
        <v>0</v>
      </c>
      <c r="DQ112" s="12">
        <f>'Income Statement'!CR81</f>
        <v>0.47905571446770989</v>
      </c>
      <c r="DR112" s="12">
        <f>'Income Statement'!CS81</f>
        <v>0</v>
      </c>
      <c r="DS112" s="12">
        <f>'Income Statement'!CT81</f>
        <v>0.42869400170934069</v>
      </c>
      <c r="DT112" s="12">
        <f>'Income Statement'!CU81</f>
        <v>0</v>
      </c>
      <c r="DU112" s="12">
        <f>'Income Statement'!CV81</f>
        <v>0.27919172877751991</v>
      </c>
      <c r="DV112" s="12">
        <f>'Income Statement'!CW81</f>
        <v>0.70827351902189095</v>
      </c>
      <c r="DW112" s="12">
        <f>'Income Statement'!CX81</f>
        <v>0</v>
      </c>
      <c r="DX112" s="12">
        <f>'Income Statement'!CY81</f>
        <v>0</v>
      </c>
      <c r="DY112" s="12">
        <f>'Income Statement'!CZ81</f>
        <v>0</v>
      </c>
      <c r="DZ112" s="12">
        <f>'Income Statement'!DA81</f>
        <v>0.27691748745009948</v>
      </c>
      <c r="EA112" s="12">
        <f>'Income Statement'!DB81</f>
        <v>0.27804995779201641</v>
      </c>
      <c r="EB112" s="417"/>
    </row>
    <row r="113" spans="1:132" s="7" customFormat="1">
      <c r="A113" s="11" t="s">
        <v>324</v>
      </c>
      <c r="B113" s="445"/>
      <c r="C113" s="445"/>
      <c r="D113" s="445"/>
      <c r="E113" s="445"/>
      <c r="F113" s="445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</v>
      </c>
      <c r="CF113" s="12">
        <v>0</v>
      </c>
      <c r="CG113" s="12">
        <v>0</v>
      </c>
      <c r="CH113" s="12">
        <v>0</v>
      </c>
      <c r="CI113" s="12">
        <v>0</v>
      </c>
      <c r="CJ113" s="12">
        <v>0</v>
      </c>
      <c r="CK113" s="12">
        <v>0</v>
      </c>
      <c r="CL113" s="12">
        <v>0</v>
      </c>
      <c r="CM113" s="12">
        <v>0</v>
      </c>
      <c r="CN113" s="12">
        <v>0</v>
      </c>
      <c r="CO113" s="12">
        <v>0</v>
      </c>
      <c r="CP113" s="12">
        <v>0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2">
        <v>0</v>
      </c>
      <c r="DG113" s="12">
        <v>0</v>
      </c>
      <c r="DH113" s="12">
        <v>0</v>
      </c>
      <c r="DI113" s="12">
        <v>0</v>
      </c>
      <c r="DJ113" s="12">
        <v>0</v>
      </c>
      <c r="DK113" s="12">
        <v>0</v>
      </c>
      <c r="DL113" s="12">
        <v>0</v>
      </c>
      <c r="DM113" s="12">
        <v>0</v>
      </c>
      <c r="DN113" s="12">
        <v>0</v>
      </c>
      <c r="DO113" s="12">
        <v>0</v>
      </c>
      <c r="DP113" s="12">
        <v>0</v>
      </c>
      <c r="DQ113" s="12">
        <v>0</v>
      </c>
      <c r="DR113" s="12">
        <v>0</v>
      </c>
      <c r="DS113" s="12">
        <v>0</v>
      </c>
      <c r="DT113" s="12">
        <v>0</v>
      </c>
      <c r="DU113" s="12">
        <v>0</v>
      </c>
      <c r="DV113" s="12">
        <v>0</v>
      </c>
      <c r="DW113" s="12">
        <v>0</v>
      </c>
      <c r="DX113" s="12">
        <v>0</v>
      </c>
      <c r="DY113" s="12">
        <v>0</v>
      </c>
      <c r="DZ113" s="12">
        <v>0</v>
      </c>
      <c r="EA113" s="12">
        <v>0</v>
      </c>
      <c r="EB113" s="417"/>
    </row>
    <row r="114" spans="1:132" s="7" customFormat="1">
      <c r="A114" s="11" t="s">
        <v>325</v>
      </c>
      <c r="B114" s="448"/>
      <c r="C114" s="448"/>
      <c r="D114" s="448"/>
      <c r="E114" s="448"/>
      <c r="F114" s="448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0</v>
      </c>
      <c r="CF114" s="12">
        <v>0</v>
      </c>
      <c r="CG114" s="12">
        <v>0</v>
      </c>
      <c r="CH114" s="12">
        <v>0</v>
      </c>
      <c r="CI114" s="12">
        <v>0</v>
      </c>
      <c r="CJ114" s="12">
        <v>0</v>
      </c>
      <c r="CK114" s="12">
        <v>0</v>
      </c>
      <c r="CL114" s="12">
        <v>0</v>
      </c>
      <c r="CM114" s="12">
        <v>0</v>
      </c>
      <c r="CN114" s="12">
        <v>0</v>
      </c>
      <c r="CO114" s="12">
        <v>0</v>
      </c>
      <c r="CP114" s="12">
        <v>0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12">
        <v>0</v>
      </c>
      <c r="DK114" s="12">
        <v>0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  <c r="DT114" s="12">
        <v>0</v>
      </c>
      <c r="DU114" s="12">
        <v>0</v>
      </c>
      <c r="DV114" s="12">
        <v>0</v>
      </c>
      <c r="DW114" s="12">
        <v>0</v>
      </c>
      <c r="DX114" s="12">
        <v>0</v>
      </c>
      <c r="DY114" s="12">
        <v>0</v>
      </c>
      <c r="DZ114" s="12">
        <v>0</v>
      </c>
      <c r="EA114" s="12">
        <v>0</v>
      </c>
      <c r="EB114" s="417"/>
    </row>
    <row r="115" spans="1:132" s="7" customFormat="1">
      <c r="A115" s="17"/>
      <c r="B115" s="429"/>
      <c r="C115" s="429"/>
      <c r="D115" s="429"/>
      <c r="E115" s="429"/>
      <c r="F115" s="429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417"/>
    </row>
    <row r="116" spans="1:132" s="7" customFormat="1" ht="15.75">
      <c r="A116" s="25" t="s">
        <v>326</v>
      </c>
      <c r="B116" s="431"/>
      <c r="C116" s="431"/>
      <c r="D116" s="431"/>
      <c r="E116" s="431"/>
      <c r="F116" s="431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417"/>
    </row>
    <row r="117" spans="1:132" s="7" customFormat="1">
      <c r="A117" s="11" t="s">
        <v>327</v>
      </c>
      <c r="B117" s="447"/>
      <c r="C117" s="447"/>
      <c r="D117" s="447"/>
      <c r="E117" s="447"/>
      <c r="F117" s="44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>
        <v>1</v>
      </c>
      <c r="AB117" s="37">
        <v>1</v>
      </c>
      <c r="AC117" s="37">
        <v>1</v>
      </c>
      <c r="AD117" s="37">
        <v>1</v>
      </c>
      <c r="AE117" s="37">
        <v>1</v>
      </c>
      <c r="AF117" s="37">
        <v>1</v>
      </c>
      <c r="AG117" s="37">
        <v>1</v>
      </c>
      <c r="AH117" s="37">
        <v>1</v>
      </c>
      <c r="AI117" s="37">
        <v>1</v>
      </c>
      <c r="AJ117" s="37">
        <v>1</v>
      </c>
      <c r="AK117" s="37">
        <v>1</v>
      </c>
      <c r="AL117" s="37">
        <v>1</v>
      </c>
      <c r="AM117" s="37">
        <v>1</v>
      </c>
      <c r="AN117" s="37">
        <v>1</v>
      </c>
      <c r="AO117" s="37">
        <v>1</v>
      </c>
      <c r="AP117" s="37">
        <v>1</v>
      </c>
      <c r="AQ117" s="37">
        <v>1</v>
      </c>
      <c r="AR117" s="37">
        <v>1</v>
      </c>
      <c r="AS117" s="37">
        <v>1</v>
      </c>
      <c r="AT117" s="37">
        <v>1</v>
      </c>
      <c r="AU117" s="37">
        <v>1</v>
      </c>
      <c r="AV117" s="37">
        <v>1</v>
      </c>
      <c r="AW117" s="37">
        <v>1</v>
      </c>
      <c r="AX117" s="37">
        <v>1</v>
      </c>
      <c r="AY117" s="37">
        <v>1</v>
      </c>
      <c r="AZ117" s="37">
        <v>1</v>
      </c>
      <c r="BA117" s="37">
        <v>1</v>
      </c>
      <c r="BB117" s="37">
        <v>1</v>
      </c>
      <c r="BC117" s="37">
        <v>1</v>
      </c>
      <c r="BD117" s="37">
        <v>1</v>
      </c>
      <c r="BE117" s="37">
        <v>1</v>
      </c>
      <c r="BF117" s="37">
        <v>1</v>
      </c>
      <c r="BG117" s="37">
        <v>1</v>
      </c>
      <c r="BH117" s="37">
        <v>1</v>
      </c>
      <c r="BI117" s="37">
        <v>1</v>
      </c>
      <c r="BJ117" s="37">
        <v>1</v>
      </c>
      <c r="BK117" s="37">
        <v>1</v>
      </c>
      <c r="BL117" s="37">
        <v>1</v>
      </c>
      <c r="BM117" s="37">
        <v>1</v>
      </c>
      <c r="BN117" s="37">
        <v>1</v>
      </c>
      <c r="BO117" s="37">
        <v>1</v>
      </c>
      <c r="BP117" s="37">
        <v>1</v>
      </c>
      <c r="BQ117" s="37">
        <v>1</v>
      </c>
      <c r="BR117" s="37">
        <v>1</v>
      </c>
      <c r="BS117" s="37">
        <v>1</v>
      </c>
      <c r="BT117" s="37">
        <v>1</v>
      </c>
      <c r="BU117" s="37">
        <v>1</v>
      </c>
      <c r="BV117" s="37">
        <v>1</v>
      </c>
      <c r="BW117" s="37">
        <v>1</v>
      </c>
      <c r="BX117" s="37">
        <v>1</v>
      </c>
      <c r="BY117" s="37">
        <v>1</v>
      </c>
      <c r="BZ117" s="37">
        <v>1</v>
      </c>
      <c r="CA117" s="37">
        <v>1</v>
      </c>
      <c r="CB117" s="37">
        <v>1</v>
      </c>
      <c r="CC117" s="37">
        <v>1</v>
      </c>
      <c r="CD117" s="37">
        <v>1</v>
      </c>
      <c r="CE117" s="37">
        <v>1</v>
      </c>
      <c r="CF117" s="37">
        <v>1</v>
      </c>
      <c r="CG117" s="37">
        <v>1</v>
      </c>
      <c r="CH117" s="37">
        <v>1</v>
      </c>
      <c r="CI117" s="37">
        <v>1</v>
      </c>
      <c r="CJ117" s="37">
        <v>1</v>
      </c>
      <c r="CK117" s="37">
        <v>1</v>
      </c>
      <c r="CL117" s="37">
        <v>1</v>
      </c>
      <c r="CM117" s="37">
        <v>1</v>
      </c>
      <c r="CN117" s="37">
        <v>1</v>
      </c>
      <c r="CO117" s="37">
        <v>1</v>
      </c>
      <c r="CP117" s="37">
        <v>1</v>
      </c>
      <c r="CQ117" s="37">
        <v>1</v>
      </c>
      <c r="CR117" s="37">
        <v>1</v>
      </c>
      <c r="CS117" s="37">
        <v>1</v>
      </c>
      <c r="CT117" s="37">
        <v>1</v>
      </c>
      <c r="CU117" s="37">
        <v>1</v>
      </c>
      <c r="CV117" s="37">
        <v>1</v>
      </c>
      <c r="CW117" s="37">
        <v>1</v>
      </c>
      <c r="CX117" s="37">
        <v>1</v>
      </c>
      <c r="CY117" s="37">
        <v>1</v>
      </c>
      <c r="CZ117" s="37">
        <v>1</v>
      </c>
      <c r="DA117" s="37">
        <v>1</v>
      </c>
      <c r="DB117" s="37">
        <v>1</v>
      </c>
      <c r="DC117" s="37">
        <v>1</v>
      </c>
      <c r="DD117" s="37">
        <v>1</v>
      </c>
      <c r="DE117" s="37">
        <v>1</v>
      </c>
      <c r="DF117" s="37">
        <v>1</v>
      </c>
      <c r="DG117" s="37">
        <v>1</v>
      </c>
      <c r="DH117" s="37">
        <v>1</v>
      </c>
      <c r="DI117" s="37">
        <v>1</v>
      </c>
      <c r="DJ117" s="37">
        <v>1</v>
      </c>
      <c r="DK117" s="37">
        <v>1</v>
      </c>
      <c r="DL117" s="37">
        <v>1</v>
      </c>
      <c r="DM117" s="37">
        <v>1</v>
      </c>
      <c r="DN117" s="37">
        <v>1</v>
      </c>
      <c r="DO117" s="37">
        <v>1</v>
      </c>
      <c r="DP117" s="37">
        <v>1</v>
      </c>
      <c r="DQ117" s="37">
        <v>1</v>
      </c>
      <c r="DR117" s="37">
        <v>1</v>
      </c>
      <c r="DS117" s="37">
        <v>1</v>
      </c>
      <c r="DT117" s="37">
        <v>1</v>
      </c>
      <c r="DU117" s="37">
        <v>1</v>
      </c>
      <c r="DV117" s="37">
        <v>1</v>
      </c>
      <c r="DW117" s="37">
        <v>1</v>
      </c>
      <c r="DX117" s="37">
        <v>1</v>
      </c>
      <c r="DY117" s="37">
        <v>1</v>
      </c>
      <c r="DZ117" s="37">
        <v>1</v>
      </c>
      <c r="EA117" s="37">
        <v>1</v>
      </c>
      <c r="EB117" s="417"/>
    </row>
    <row r="118" spans="1:132" s="7" customFormat="1">
      <c r="A118" s="17" t="s">
        <v>320</v>
      </c>
      <c r="B118" s="434"/>
      <c r="C118" s="434"/>
      <c r="D118" s="434"/>
      <c r="E118" s="434"/>
      <c r="F118" s="43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417"/>
    </row>
    <row r="119" spans="1:132" s="7" customFormat="1">
      <c r="A119" s="17" t="s">
        <v>321</v>
      </c>
      <c r="B119" s="434"/>
      <c r="C119" s="434"/>
      <c r="D119" s="434"/>
      <c r="E119" s="434"/>
      <c r="F119" s="43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417"/>
    </row>
    <row r="120" spans="1:132" s="7" customFormat="1">
      <c r="A120" s="17" t="s">
        <v>322</v>
      </c>
      <c r="B120" s="434"/>
      <c r="C120" s="434"/>
      <c r="D120" s="434"/>
      <c r="E120" s="434"/>
      <c r="F120" s="43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417"/>
    </row>
    <row r="121" spans="1:132" s="7" customFormat="1">
      <c r="A121" s="17"/>
      <c r="B121" s="429"/>
      <c r="C121" s="429"/>
      <c r="D121" s="429"/>
      <c r="E121" s="429"/>
      <c r="F121" s="429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417"/>
    </row>
    <row r="122" spans="1:132" s="7" customFormat="1">
      <c r="A122" s="17"/>
      <c r="B122" s="429"/>
      <c r="C122" s="429"/>
      <c r="D122" s="429"/>
      <c r="E122" s="429"/>
      <c r="F122" s="429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417"/>
    </row>
    <row r="123" spans="1:132" s="7" customFormat="1" ht="15.75">
      <c r="A123" s="25" t="s">
        <v>328</v>
      </c>
      <c r="B123" s="431"/>
      <c r="C123" s="431"/>
      <c r="D123" s="431"/>
      <c r="E123" s="431"/>
      <c r="F123" s="431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417"/>
    </row>
    <row r="124" spans="1:132" s="7" customFormat="1">
      <c r="A124" s="17" t="s">
        <v>329</v>
      </c>
      <c r="B124" s="446"/>
      <c r="C124" s="446"/>
      <c r="D124" s="446"/>
      <c r="E124" s="446"/>
      <c r="F124" s="446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417"/>
    </row>
    <row r="125" spans="1:132" s="7" customFormat="1">
      <c r="A125" s="17" t="s">
        <v>330</v>
      </c>
      <c r="B125" s="446"/>
      <c r="C125" s="446"/>
      <c r="D125" s="446"/>
      <c r="E125" s="446"/>
      <c r="F125" s="446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417"/>
    </row>
    <row r="126" spans="1:132" s="7" customFormat="1">
      <c r="A126" s="17" t="s">
        <v>331</v>
      </c>
      <c r="B126" s="446"/>
      <c r="C126" s="446"/>
      <c r="D126" s="446"/>
      <c r="E126" s="446"/>
      <c r="F126" s="446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417"/>
    </row>
    <row r="127" spans="1:132" s="7" customFormat="1">
      <c r="A127" s="17" t="s">
        <v>332</v>
      </c>
      <c r="B127" s="446"/>
      <c r="C127" s="446"/>
      <c r="D127" s="446"/>
      <c r="E127" s="446"/>
      <c r="F127" s="446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417"/>
    </row>
    <row r="128" spans="1:132" s="7" customFormat="1">
      <c r="A128" s="17"/>
      <c r="B128" s="429"/>
      <c r="C128" s="429"/>
      <c r="D128" s="429"/>
      <c r="E128" s="429"/>
      <c r="F128" s="429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417"/>
    </row>
    <row r="129" spans="1:132" s="7" customFormat="1">
      <c r="A129" s="17" t="s">
        <v>333</v>
      </c>
      <c r="B129" s="446"/>
      <c r="C129" s="446"/>
      <c r="D129" s="446"/>
      <c r="E129" s="446"/>
      <c r="F129" s="446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417"/>
    </row>
    <row r="130" spans="1:132" s="7" customFormat="1">
      <c r="A130" s="17" t="s">
        <v>334</v>
      </c>
      <c r="B130" s="446"/>
      <c r="C130" s="446"/>
      <c r="D130" s="446"/>
      <c r="E130" s="446"/>
      <c r="F130" s="446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417"/>
    </row>
    <row r="131" spans="1:132" s="7" customFormat="1">
      <c r="A131" s="17"/>
      <c r="B131" s="429"/>
      <c r="C131" s="429"/>
      <c r="D131" s="429"/>
      <c r="E131" s="429"/>
      <c r="F131" s="429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417"/>
    </row>
    <row r="132" spans="1:132" s="7" customFormat="1" ht="15.75">
      <c r="A132" s="25" t="s">
        <v>335</v>
      </c>
      <c r="B132" s="431"/>
      <c r="C132" s="431"/>
      <c r="D132" s="431"/>
      <c r="E132" s="431"/>
      <c r="F132" s="431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417"/>
    </row>
    <row r="133" spans="1:132" s="7" customFormat="1">
      <c r="A133" s="17" t="s">
        <v>336</v>
      </c>
      <c r="B133" s="446"/>
      <c r="C133" s="446"/>
      <c r="D133" s="446"/>
      <c r="E133" s="446"/>
      <c r="F133" s="446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417"/>
    </row>
    <row r="134" spans="1:132" s="7" customFormat="1">
      <c r="A134" s="17" t="s">
        <v>337</v>
      </c>
      <c r="B134" s="446"/>
      <c r="C134" s="446"/>
      <c r="D134" s="446"/>
      <c r="E134" s="446"/>
      <c r="F134" s="446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417"/>
    </row>
    <row r="135" spans="1:132" s="7" customFormat="1">
      <c r="A135" s="17"/>
      <c r="B135" s="429"/>
      <c r="C135" s="429"/>
      <c r="D135" s="429"/>
      <c r="E135" s="429"/>
      <c r="F135" s="429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417"/>
    </row>
    <row r="136" spans="1:132" s="7" customFormat="1">
      <c r="A136" s="17" t="s">
        <v>338</v>
      </c>
      <c r="B136" s="446"/>
      <c r="C136" s="446"/>
      <c r="D136" s="446"/>
      <c r="E136" s="446"/>
      <c r="F136" s="446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417"/>
    </row>
    <row r="137" spans="1:132" s="7" customFormat="1">
      <c r="A137" s="17" t="s">
        <v>339</v>
      </c>
      <c r="B137" s="446"/>
      <c r="C137" s="446"/>
      <c r="D137" s="446"/>
      <c r="E137" s="446"/>
      <c r="F137" s="446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417"/>
    </row>
    <row r="138" spans="1:132" s="7" customFormat="1">
      <c r="A138" s="17" t="s">
        <v>340</v>
      </c>
      <c r="B138" s="446"/>
      <c r="C138" s="446"/>
      <c r="D138" s="446"/>
      <c r="E138" s="446"/>
      <c r="F138" s="446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417"/>
    </row>
    <row r="139" spans="1:132" s="7" customFormat="1">
      <c r="A139" s="17"/>
      <c r="B139" s="429"/>
      <c r="C139" s="429"/>
      <c r="D139" s="429"/>
      <c r="E139" s="429"/>
      <c r="F139" s="429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417"/>
    </row>
    <row r="140" spans="1:132" s="7" customFormat="1">
      <c r="A140" s="17" t="s">
        <v>341</v>
      </c>
      <c r="B140" s="446"/>
      <c r="C140" s="446"/>
      <c r="D140" s="446"/>
      <c r="E140" s="446"/>
      <c r="F140" s="446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417"/>
    </row>
    <row r="141" spans="1:132" s="7" customFormat="1" ht="13.5" thickBot="1">
      <c r="A141" s="17" t="s">
        <v>342</v>
      </c>
      <c r="B141" s="446"/>
      <c r="C141" s="446"/>
      <c r="D141" s="446"/>
      <c r="E141" s="446"/>
      <c r="F141" s="446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417"/>
    </row>
    <row r="142" spans="1:132" s="7" customFormat="1" ht="15.75">
      <c r="A142" s="31" t="s">
        <v>343</v>
      </c>
      <c r="B142" s="438"/>
      <c r="C142" s="438"/>
      <c r="D142" s="438"/>
      <c r="E142" s="438"/>
      <c r="F142" s="438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417"/>
    </row>
    <row r="143" spans="1:132" s="7" customFormat="1" ht="15.75">
      <c r="A143" s="25" t="s">
        <v>344</v>
      </c>
      <c r="B143" s="431"/>
      <c r="C143" s="431"/>
      <c r="D143" s="431"/>
      <c r="E143" s="431"/>
      <c r="F143" s="431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417"/>
    </row>
    <row r="144" spans="1:132" s="7" customFormat="1">
      <c r="A144" s="11" t="s">
        <v>345</v>
      </c>
      <c r="B144" s="418"/>
      <c r="C144" s="418"/>
      <c r="D144" s="418"/>
      <c r="E144" s="418"/>
      <c r="F144" s="418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>
        <f>'Balance Sheet'!B6/1000</f>
        <v>129.99299999999999</v>
      </c>
      <c r="AB144" s="12">
        <f>'Balance Sheet'!C6/1000</f>
        <v>137.04</v>
      </c>
      <c r="AC144" s="12">
        <f>'Balance Sheet'!D6/1000</f>
        <v>125.1</v>
      </c>
      <c r="AD144" s="12">
        <f>'Balance Sheet'!E6/1000</f>
        <v>167.84100000000001</v>
      </c>
      <c r="AE144" s="12">
        <f>'Balance Sheet'!F6/1000</f>
        <v>167.84100000000001</v>
      </c>
      <c r="AF144" s="12">
        <f>'Balance Sheet'!G6/1000</f>
        <v>202.8005</v>
      </c>
      <c r="AG144" s="12">
        <f>'Balance Sheet'!H6/1000</f>
        <v>237.76</v>
      </c>
      <c r="AH144" s="12">
        <f>'Balance Sheet'!I6/1000</f>
        <v>555.25699999999995</v>
      </c>
      <c r="AI144" s="12">
        <f>'Balance Sheet'!J6/1000</f>
        <v>520.04399999999998</v>
      </c>
      <c r="AJ144" s="12">
        <f>'Balance Sheet'!K6/1000</f>
        <v>520.04399999999998</v>
      </c>
      <c r="AK144" s="12">
        <f>'Balance Sheet'!L6/1000</f>
        <v>429.22199999999998</v>
      </c>
      <c r="AL144" s="12">
        <f>'Balance Sheet'!M6/1000</f>
        <v>299.584</v>
      </c>
      <c r="AM144" s="12">
        <f>'Balance Sheet'!N6/1000</f>
        <v>828.88499999999999</v>
      </c>
      <c r="AN144" s="12">
        <f>'Balance Sheet'!O6/1000</f>
        <v>560.63900000000001</v>
      </c>
      <c r="AO144" s="12">
        <f>'Balance Sheet'!P6/1000</f>
        <v>560.63900000000001</v>
      </c>
      <c r="AP144" s="12">
        <f>'Balance Sheet'!Q6/1000</f>
        <v>339.47</v>
      </c>
      <c r="AQ144" s="12">
        <f>'Balance Sheet'!R6/1000</f>
        <v>640.18600000000004</v>
      </c>
      <c r="AR144" s="12">
        <f>'Balance Sheet'!S6/1000</f>
        <v>800.74</v>
      </c>
      <c r="AS144" s="12">
        <f>'Balance Sheet'!T6/1000</f>
        <v>682.85900000000004</v>
      </c>
      <c r="AT144" s="12">
        <f>'Balance Sheet'!U6/1000</f>
        <v>682.85900000000004</v>
      </c>
      <c r="AU144" s="12">
        <f>'Balance Sheet'!V6/1000</f>
        <v>1064.7929999999999</v>
      </c>
      <c r="AV144" s="12">
        <f>'Balance Sheet'!W6/1000</f>
        <v>969.048</v>
      </c>
      <c r="AW144" s="12">
        <f>'Balance Sheet'!X6/1000</f>
        <v>818.20899999999995</v>
      </c>
      <c r="AX144" s="12">
        <f>'Balance Sheet'!Y6/1000</f>
        <v>863.63300000000004</v>
      </c>
      <c r="AY144" s="12">
        <f>'Balance Sheet'!Z6/1000</f>
        <v>863.63300000000004</v>
      </c>
      <c r="AZ144" s="12">
        <f>'Balance Sheet'!AA6/1000</f>
        <v>725.74199999999996</v>
      </c>
      <c r="BA144" s="12">
        <f>'Balance Sheet'!AB6/1000</f>
        <v>498.36099999999999</v>
      </c>
      <c r="BB144" s="12">
        <f>'Balance Sheet'!AC6/1000</f>
        <v>865.09100000000001</v>
      </c>
      <c r="BC144" s="12">
        <f>'Balance Sheet'!AD6/1000</f>
        <v>1665.7560000000001</v>
      </c>
      <c r="BD144" s="12">
        <f>'Balance Sheet'!AE6/1000</f>
        <v>1665.7560000000001</v>
      </c>
      <c r="BE144" s="12">
        <f>'Balance Sheet'!AF6/1000</f>
        <v>1286.115</v>
      </c>
      <c r="BF144" s="12">
        <f>'Balance Sheet'!AG6/1000</f>
        <v>997.11699999999996</v>
      </c>
      <c r="BG144" s="12">
        <f>'Balance Sheet'!AH6/1000</f>
        <v>986.20899999999995</v>
      </c>
      <c r="BH144" s="12">
        <f>'Balance Sheet'!AI6/1000</f>
        <v>1154.595</v>
      </c>
      <c r="BI144" s="12">
        <f>'Balance Sheet'!AJ6/1000</f>
        <v>1154.595</v>
      </c>
      <c r="BJ144" s="12">
        <f>'Balance Sheet'!AK6/1000</f>
        <v>1213.607</v>
      </c>
      <c r="BK144" s="12">
        <f>'Balance Sheet'!AL6/1000</f>
        <v>1568.3420000000001</v>
      </c>
      <c r="BL144" s="12">
        <f>'Balance Sheet'!AM6/1000</f>
        <v>1776.518</v>
      </c>
      <c r="BM144" s="12">
        <f>'Balance Sheet'!AN6/1000</f>
        <v>1827.664</v>
      </c>
      <c r="BN144" s="12">
        <f>'Balance Sheet'!AO6/1000</f>
        <v>1827.664</v>
      </c>
      <c r="BO144" s="12">
        <f>'Balance Sheet'!AP6/1000</f>
        <v>1856.748</v>
      </c>
      <c r="BP144" s="12">
        <f>'Balance Sheet'!AQ6/1000</f>
        <v>1633.5889999999999</v>
      </c>
      <c r="BQ144" s="12">
        <f>'Balance Sheet'!AR6/1000</f>
        <v>1651.5119999999999</v>
      </c>
      <c r="BR144" s="12">
        <f>'Balance Sheet'!AS6/1000</f>
        <v>1712.329</v>
      </c>
      <c r="BS144" s="12">
        <f>'Balance Sheet'!AT6/1000</f>
        <v>1712.329</v>
      </c>
      <c r="BT144" s="12">
        <f>'Balance Sheet'!AU6/1000</f>
        <v>1640.6679999999999</v>
      </c>
      <c r="BU144" s="12">
        <f>'Balance Sheet'!AV6/1000</f>
        <v>1524.0409999999999</v>
      </c>
      <c r="BV144" s="12">
        <f>'Balance Sheet'!AW6/1000</f>
        <v>1581.3810000000001</v>
      </c>
      <c r="BW144" s="12">
        <f>'Balance Sheet'!AX6/1000</f>
        <v>1727.42</v>
      </c>
      <c r="BX144" s="12">
        <f>'Balance Sheet'!AY6/1000</f>
        <v>1727.42</v>
      </c>
      <c r="BY144" s="12">
        <f>'Balance Sheet'!AZ6/1000</f>
        <v>2188.8530000000001</v>
      </c>
      <c r="BZ144" s="12">
        <f>'Balance Sheet'!BA6/1000</f>
        <v>1758.5889999999999</v>
      </c>
      <c r="CA144" s="12">
        <f>'Balance Sheet'!BB6/1000</f>
        <v>1782.93</v>
      </c>
      <c r="CB144" s="12">
        <f>'Balance Sheet'!BC6/1000</f>
        <v>1754.2639999999999</v>
      </c>
      <c r="CC144" s="12">
        <f>'Balance Sheet'!BD6/1000</f>
        <v>1754.2639999999999</v>
      </c>
      <c r="CD144" s="12">
        <f>'Balance Sheet'!BE6/1000</f>
        <v>2021.742</v>
      </c>
      <c r="CE144" s="12">
        <f>'Balance Sheet'!BF6/1000</f>
        <v>2241.1129999999998</v>
      </c>
      <c r="CF144" s="12">
        <f>'Balance Sheet'!BG6/1000</f>
        <v>2524.1559999999999</v>
      </c>
      <c r="CG144" s="12">
        <f>'Balance Sheet'!BH6/1000</f>
        <v>2233.585</v>
      </c>
      <c r="CH144" s="12">
        <f>'Balance Sheet'!BI6/1000</f>
        <v>2233.585</v>
      </c>
      <c r="CI144" s="12">
        <f>'Balance Sheet'!BJ6/1000</f>
        <v>2140.837</v>
      </c>
      <c r="CJ144" s="12">
        <f>'Balance Sheet'!BK6/1000</f>
        <v>1880.383</v>
      </c>
      <c r="CK144" s="12">
        <f>'Balance Sheet'!BL6/1000</f>
        <v>1582.0740000000001</v>
      </c>
      <c r="CL144" s="12">
        <f>'Balance Sheet'!BM6/1000</f>
        <v>1698.2909999999999</v>
      </c>
      <c r="CM144" s="12">
        <f>'Balance Sheet'!BN6/1000</f>
        <v>1698.2909999999999</v>
      </c>
      <c r="CN144" s="12">
        <f>'Balance Sheet'!BO6/1000</f>
        <v>1976.9469999999999</v>
      </c>
      <c r="CO144" s="12">
        <f>'Balance Sheet'!BP6/1000</f>
        <v>1631.905</v>
      </c>
      <c r="CP144" s="12">
        <f>'Balance Sheet'!BQ6/1000</f>
        <v>1614.038</v>
      </c>
      <c r="CQ144" s="12">
        <f>'Balance Sheet'!BR6/1000</f>
        <v>1362.761</v>
      </c>
      <c r="CR144" s="12">
        <f>'Balance Sheet'!BS6/1000</f>
        <v>1362.761</v>
      </c>
      <c r="CS144" s="12">
        <f>'Balance Sheet'!BT6/1000</f>
        <v>1115.54</v>
      </c>
      <c r="CT144" s="12">
        <f>'Balance Sheet'!BU6/1000</f>
        <v>1527.124</v>
      </c>
      <c r="CU144" s="12">
        <f>'Balance Sheet'!BV6/1000</f>
        <v>2139.828</v>
      </c>
      <c r="CV144" s="12">
        <f>'Balance Sheet'!BW6/1000</f>
        <v>1548.6569999999999</v>
      </c>
      <c r="CW144" s="12">
        <f>'Balance Sheet'!BX6/1000</f>
        <v>1548.6569999999999</v>
      </c>
      <c r="CX144" s="12">
        <f>'Balance Sheet'!BY6/1000</f>
        <v>1436.1949999999999</v>
      </c>
      <c r="CY144" s="12">
        <f>'Balance Sheet'!BZ6/1000</f>
        <v>1528.116</v>
      </c>
      <c r="CZ144" s="12">
        <f>'Balance Sheet'!CA6/1000</f>
        <v>1761.413</v>
      </c>
      <c r="DA144" s="12">
        <f>'Balance Sheet'!CB6/1000</f>
        <v>1663.1679999999999</v>
      </c>
      <c r="DB144" s="12">
        <f>'Balance Sheet'!CC6/1000</f>
        <v>1663.1679999999999</v>
      </c>
      <c r="DC144" s="12">
        <f>'Balance Sheet'!CD6/1000</f>
        <v>1672.37</v>
      </c>
      <c r="DD144" s="12">
        <f>'Balance Sheet'!CE6/1000</f>
        <v>1993.944</v>
      </c>
      <c r="DE144" s="12">
        <f>'Balance Sheet'!CF6/1000</f>
        <v>2396.1970000000001</v>
      </c>
      <c r="DF144" s="12">
        <f>'Balance Sheet'!CG6/1000</f>
        <v>2401.3380000000002</v>
      </c>
      <c r="DG144" s="12">
        <f>'Balance Sheet'!CH6/1000</f>
        <v>2401.3380000000002</v>
      </c>
      <c r="DH144" s="12">
        <f>'Balance Sheet'!CI6/1000</f>
        <v>2443.9699999999998</v>
      </c>
      <c r="DI144" s="12">
        <f>'Balance Sheet'!CJ6/1000</f>
        <v>2780.9479999999999</v>
      </c>
      <c r="DJ144" s="12">
        <f>'Balance Sheet'!CK6/1000</f>
        <v>2994.4960000000001</v>
      </c>
      <c r="DK144" s="12">
        <f>'Balance Sheet'!CL6/1000</f>
        <v>3298.7930000000001</v>
      </c>
      <c r="DL144" s="12">
        <f>'Balance Sheet'!CM6/1000</f>
        <v>3298.7930000000001</v>
      </c>
      <c r="DM144" s="12">
        <f>'Balance Sheet'!CN6/1000</f>
        <v>3241.4340000000002</v>
      </c>
      <c r="DN144" s="12">
        <f>'Balance Sheet'!CO6/1000</f>
        <v>3563.91</v>
      </c>
      <c r="DO144" s="12">
        <f>'Balance Sheet'!CP6/1000</f>
        <v>3980.3090000000002</v>
      </c>
      <c r="DP144" s="12">
        <f>'Balance Sheet'!CQ6/1000</f>
        <v>4615.7520000000004</v>
      </c>
      <c r="DQ144" s="12">
        <f>'Balance Sheet'!CR6/1000</f>
        <v>4615.7520000000004</v>
      </c>
      <c r="DR144" s="12">
        <f>'Balance Sheet'!CS6/1000</f>
        <v>4418.7209999999995</v>
      </c>
      <c r="DS144" s="12">
        <f>'Balance Sheet'!CT6/1000</f>
        <v>4646.2510000000002</v>
      </c>
      <c r="DT144" s="12">
        <f>'Balance Sheet'!CU6/1000</f>
        <v>4553.7969999999996</v>
      </c>
      <c r="DU144" s="12">
        <f>'Balance Sheet'!CV6/1000</f>
        <v>4602.6059999999998</v>
      </c>
      <c r="DV144" s="12">
        <f>'Balance Sheet'!CW6/1000</f>
        <v>4602.6059999999998</v>
      </c>
      <c r="DW144" s="12">
        <f>'Balance Sheet'!CX6/1000</f>
        <v>4477.9830000000002</v>
      </c>
      <c r="DX144" s="12">
        <f>'Balance Sheet'!CY6/1000</f>
        <v>4835.2150000000001</v>
      </c>
      <c r="DY144" s="12">
        <f>'Balance Sheet'!CZ6/1000</f>
        <v>5106.723</v>
      </c>
      <c r="DZ144" s="12">
        <f>'Balance Sheet'!DA6/1000</f>
        <v>5309.0559999999996</v>
      </c>
      <c r="EA144" s="12">
        <f>'Balance Sheet'!DB6/1000</f>
        <v>5309.0559999999996</v>
      </c>
      <c r="EB144" s="417"/>
    </row>
    <row r="145" spans="1:132" s="7" customFormat="1">
      <c r="A145" s="11" t="s">
        <v>346</v>
      </c>
      <c r="B145" s="418"/>
      <c r="C145" s="418"/>
      <c r="D145" s="418"/>
      <c r="E145" s="418"/>
      <c r="F145" s="418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>
        <f>'Balance Sheet'!B8/1000</f>
        <v>239.83500000000001</v>
      </c>
      <c r="AB145" s="12">
        <f>'Balance Sheet'!C8/1000</f>
        <v>170.65</v>
      </c>
      <c r="AC145" s="12">
        <f>'Balance Sheet'!D8/1000</f>
        <v>179.51599999999999</v>
      </c>
      <c r="AD145" s="12">
        <f>'Balance Sheet'!E8/1000</f>
        <v>433.07600000000002</v>
      </c>
      <c r="AE145" s="12">
        <f>'Balance Sheet'!F8/1000</f>
        <v>433.07600000000002</v>
      </c>
      <c r="AF145" s="12">
        <f>'Balance Sheet'!G8/1000</f>
        <v>427.21800000000002</v>
      </c>
      <c r="AG145" s="12">
        <f>'Balance Sheet'!H8/1000</f>
        <v>421.36</v>
      </c>
      <c r="AH145" s="12">
        <f>'Balance Sheet'!I8/1000</f>
        <v>484.60599999999999</v>
      </c>
      <c r="AI145" s="12">
        <f>'Balance Sheet'!J8/1000</f>
        <v>461.22</v>
      </c>
      <c r="AJ145" s="12">
        <f>'Balance Sheet'!K8/1000</f>
        <v>461.22</v>
      </c>
      <c r="AK145" s="12">
        <f>'Balance Sheet'!L8/1000</f>
        <v>537.02499999999998</v>
      </c>
      <c r="AL145" s="12">
        <f>'Balance Sheet'!M8/1000</f>
        <v>645.779</v>
      </c>
      <c r="AM145" s="12">
        <f>'Balance Sheet'!N8/1000</f>
        <v>685.83699999999999</v>
      </c>
      <c r="AN145" s="12">
        <f>'Balance Sheet'!O8/1000</f>
        <v>865.27300000000002</v>
      </c>
      <c r="AO145" s="12">
        <f>'Balance Sheet'!P8/1000</f>
        <v>865.27300000000002</v>
      </c>
      <c r="AP145" s="12">
        <f>'Balance Sheet'!Q8/1000</f>
        <v>938.25599999999997</v>
      </c>
      <c r="AQ145" s="12">
        <f>'Balance Sheet'!R8/1000</f>
        <v>1016.199</v>
      </c>
      <c r="AR145" s="12">
        <f>'Balance Sheet'!S8/1000</f>
        <v>1166.943</v>
      </c>
      <c r="AS145" s="12">
        <f>'Balance Sheet'!T8/1000</f>
        <v>1466.5920000000001</v>
      </c>
      <c r="AT145" s="12">
        <f>'Balance Sheet'!U8/1000</f>
        <v>1466.5920000000001</v>
      </c>
      <c r="AU145" s="12">
        <f>'Balance Sheet'!V8/1000</f>
        <v>1647.7619999999999</v>
      </c>
      <c r="AV145" s="12">
        <f>'Balance Sheet'!W8/1000</f>
        <v>2010.2819999999999</v>
      </c>
      <c r="AW145" s="12">
        <f>'Balance Sheet'!X8/1000</f>
        <v>2259.078</v>
      </c>
      <c r="AX145" s="12">
        <f>'Balance Sheet'!Y8/1000</f>
        <v>2661.0320000000002</v>
      </c>
      <c r="AY145" s="12">
        <f>'Balance Sheet'!Z8/1000</f>
        <v>2661.0320000000002</v>
      </c>
      <c r="AZ145" s="12">
        <f>'Balance Sheet'!AA8/1000</f>
        <v>2838.6770000000001</v>
      </c>
      <c r="BA145" s="12">
        <f>'Balance Sheet'!AB8/1000</f>
        <v>3241.3870000000002</v>
      </c>
      <c r="BB145" s="12">
        <f>'Balance Sheet'!AC8/1000</f>
        <v>3879.1320000000001</v>
      </c>
      <c r="BC145" s="12">
        <f>'Balance Sheet'!AD8/1000</f>
        <v>4548.9560000000001</v>
      </c>
      <c r="BD145" s="12">
        <f>'Balance Sheet'!AE8/1000</f>
        <v>4548.9560000000001</v>
      </c>
      <c r="BE145" s="12">
        <f>'Balance Sheet'!AF8/1000</f>
        <v>5226.7030000000004</v>
      </c>
      <c r="BF145" s="12">
        <f>'Balance Sheet'!AG8/1000</f>
        <v>5535.2110000000002</v>
      </c>
      <c r="BG145" s="12">
        <f>'Balance Sheet'!AH8/1000</f>
        <v>5835.3490000000002</v>
      </c>
      <c r="BH145" s="12">
        <f>'Balance Sheet'!AI8/1000</f>
        <v>6005.0839999999998</v>
      </c>
      <c r="BI145" s="12">
        <f>'Balance Sheet'!AJ8/1000</f>
        <v>6005.0839999999998</v>
      </c>
      <c r="BJ145" s="12">
        <f>'Balance Sheet'!AK8/1000</f>
        <v>6134.7879999999996</v>
      </c>
      <c r="BK145" s="12">
        <f>'Balance Sheet'!AL8/1000</f>
        <v>6208.4350000000004</v>
      </c>
      <c r="BL145" s="12">
        <f>'Balance Sheet'!AM8/1000</f>
        <v>6235.6390000000001</v>
      </c>
      <c r="BM145" s="12">
        <f>'Balance Sheet'!AN8/1000</f>
        <v>6409.0680000000002</v>
      </c>
      <c r="BN145" s="12">
        <f>'Balance Sheet'!AO8/1000</f>
        <v>6409.0680000000002</v>
      </c>
      <c r="BO145" s="12">
        <f>'Balance Sheet'!AP8/1000</f>
        <v>6566.6170000000002</v>
      </c>
      <c r="BP145" s="12">
        <f>'Balance Sheet'!AQ8/1000</f>
        <v>6502.7340000000004</v>
      </c>
      <c r="BQ145" s="12">
        <f>'Balance Sheet'!AR8/1000</f>
        <v>6433.0640000000003</v>
      </c>
      <c r="BR145" s="12">
        <f>'Balance Sheet'!AS8/1000</f>
        <v>5900.65</v>
      </c>
      <c r="BS145" s="12">
        <f>'Balance Sheet'!AT8/1000</f>
        <v>5900.65</v>
      </c>
      <c r="BT145" s="12">
        <f>'Balance Sheet'!AU8/1000</f>
        <v>5708.7389999999996</v>
      </c>
      <c r="BU145" s="12">
        <f>'Balance Sheet'!AV8/1000</f>
        <v>5746.0129999999999</v>
      </c>
      <c r="BV145" s="12">
        <f>'Balance Sheet'!AW8/1000</f>
        <v>5818.5010000000002</v>
      </c>
      <c r="BW145" s="12">
        <f>'Balance Sheet'!AX8/1000</f>
        <v>5622.3580000000002</v>
      </c>
      <c r="BX145" s="12">
        <f>'Balance Sheet'!AY8/1000</f>
        <v>5622.3580000000002</v>
      </c>
      <c r="BY145" s="12">
        <f>'Balance Sheet'!AZ8/1000</f>
        <v>5382.7150000000001</v>
      </c>
      <c r="BZ145" s="12">
        <f>'Balance Sheet'!BA8/1000</f>
        <v>5352.79</v>
      </c>
      <c r="CA145" s="12">
        <f>'Balance Sheet'!BB8/1000</f>
        <v>5075.277</v>
      </c>
      <c r="CB145" s="12">
        <f>'Balance Sheet'!BC8/1000</f>
        <v>4929.9859999999999</v>
      </c>
      <c r="CC145" s="12">
        <f>'Balance Sheet'!BD8/1000</f>
        <v>4929.9859999999999</v>
      </c>
      <c r="CD145" s="12">
        <f>'Balance Sheet'!BE8/1000</f>
        <v>4496.7259999999997</v>
      </c>
      <c r="CE145" s="12">
        <f>'Balance Sheet'!BF8/1000</f>
        <v>4157.027</v>
      </c>
      <c r="CF145" s="12">
        <f>'Balance Sheet'!BG8/1000</f>
        <v>4025.8820000000001</v>
      </c>
      <c r="CG145" s="12">
        <f>'Balance Sheet'!BH8/1000</f>
        <v>3846.2919999999999</v>
      </c>
      <c r="CH145" s="12">
        <f>'Balance Sheet'!BI8/1000</f>
        <v>3846.2919999999999</v>
      </c>
      <c r="CI145" s="12">
        <f>'Balance Sheet'!BJ8/1000</f>
        <v>3933.6759999999999</v>
      </c>
      <c r="CJ145" s="12">
        <f>'Balance Sheet'!BK8/1000</f>
        <v>3580.1759999999999</v>
      </c>
      <c r="CK145" s="12">
        <f>'Balance Sheet'!BL8/1000</f>
        <v>3566.502</v>
      </c>
      <c r="CL145" s="12">
        <f>'Balance Sheet'!BM8/1000</f>
        <v>3379.7919999999999</v>
      </c>
      <c r="CM145" s="12">
        <f>'Balance Sheet'!BN8/1000</f>
        <v>3379.7919999999999</v>
      </c>
      <c r="CN145" s="12">
        <f>'Balance Sheet'!BO8/1000</f>
        <v>3261.8310000000001</v>
      </c>
      <c r="CO145" s="12">
        <f>'Balance Sheet'!BP8/1000</f>
        <v>2939.2020000000002</v>
      </c>
      <c r="CP145" s="12">
        <f>'Balance Sheet'!BQ8/1000</f>
        <v>2699.0929999999998</v>
      </c>
      <c r="CQ145" s="12">
        <f>'Balance Sheet'!BR8/1000</f>
        <v>2667.2339999999999</v>
      </c>
      <c r="CR145" s="12">
        <f>'Balance Sheet'!BS8/1000</f>
        <v>2667.2339999999999</v>
      </c>
      <c r="CS145" s="12">
        <f>'Balance Sheet'!BT8/1000</f>
        <v>2270.779</v>
      </c>
      <c r="CT145" s="12">
        <f>'Balance Sheet'!BU8/1000</f>
        <v>2141.5369999999998</v>
      </c>
      <c r="CU145" s="12">
        <f>'Balance Sheet'!BV8/1000</f>
        <v>2125.0990000000002</v>
      </c>
      <c r="CV145" s="12">
        <f>'Balance Sheet'!BW8/1000</f>
        <v>1948.816</v>
      </c>
      <c r="CW145" s="12">
        <f>'Balance Sheet'!BX8/1000</f>
        <v>1948.816</v>
      </c>
      <c r="CX145" s="12">
        <f>'Balance Sheet'!BY8/1000</f>
        <v>1969.463</v>
      </c>
      <c r="CY145" s="12">
        <f>'Balance Sheet'!BZ8/1000</f>
        <v>1951.1869999999999</v>
      </c>
      <c r="CZ145" s="12">
        <f>'Balance Sheet'!CA8/1000</f>
        <v>1949.9670000000001</v>
      </c>
      <c r="DA145" s="12">
        <f>'Balance Sheet'!CB8/1000</f>
        <v>2069.4740000000002</v>
      </c>
      <c r="DB145" s="12">
        <f>'Balance Sheet'!CC8/1000</f>
        <v>2069.4740000000002</v>
      </c>
      <c r="DC145" s="12">
        <f>'Balance Sheet'!CD8/1000</f>
        <v>2064.3440000000001</v>
      </c>
      <c r="DD145" s="12">
        <f>'Balance Sheet'!CE8/1000</f>
        <v>2184.4699999999998</v>
      </c>
      <c r="DE145" s="12">
        <f>'Balance Sheet'!CF8/1000</f>
        <v>2066.837</v>
      </c>
      <c r="DF145" s="12">
        <f>'Balance Sheet'!CG8/1000</f>
        <v>2063.5540000000001</v>
      </c>
      <c r="DG145" s="12">
        <f>'Balance Sheet'!CH8/1000</f>
        <v>2063.5540000000001</v>
      </c>
      <c r="DH145" s="12">
        <f>'Balance Sheet'!CI8/1000</f>
        <v>2129.2310000000002</v>
      </c>
      <c r="DI145" s="12">
        <f>'Balance Sheet'!CJ8/1000</f>
        <v>2161.3989999999999</v>
      </c>
      <c r="DJ145" s="12">
        <f>'Balance Sheet'!CK8/1000</f>
        <v>2261.54</v>
      </c>
      <c r="DK145" s="12">
        <f>'Balance Sheet'!CL8/1000</f>
        <v>2333.6439999999998</v>
      </c>
      <c r="DL145" s="12">
        <f>'Balance Sheet'!CM8/1000</f>
        <v>2333.6439999999998</v>
      </c>
      <c r="DM145" s="12">
        <f>'Balance Sheet'!CN8/1000</f>
        <v>2402.29</v>
      </c>
      <c r="DN145" s="12">
        <f>'Balance Sheet'!CO8/1000</f>
        <v>2499.9839999999999</v>
      </c>
      <c r="DO145" s="12">
        <f>'Balance Sheet'!CP8/1000</f>
        <v>2711.3539999999998</v>
      </c>
      <c r="DP145" s="12">
        <f>'Balance Sheet'!CQ8/1000</f>
        <v>2709.0079999999998</v>
      </c>
      <c r="DQ145" s="12">
        <f>'Balance Sheet'!CR8/1000</f>
        <v>2709.0079999999998</v>
      </c>
      <c r="DR145" s="12">
        <f>'Balance Sheet'!CS8/1000</f>
        <v>2666.0529999999999</v>
      </c>
      <c r="DS145" s="12">
        <f>'Balance Sheet'!CT8/1000</f>
        <v>2960.288</v>
      </c>
      <c r="DT145" s="12">
        <f>'Balance Sheet'!CU8/1000</f>
        <v>3198.8939999999998</v>
      </c>
      <c r="DU145" s="12">
        <f>'Balance Sheet'!CV8/1000</f>
        <v>3454.712</v>
      </c>
      <c r="DV145" s="12">
        <f>'Balance Sheet'!CW8/1000</f>
        <v>3454.712</v>
      </c>
      <c r="DW145" s="12">
        <f>'Balance Sheet'!CX8/1000</f>
        <v>3635.1149999999998</v>
      </c>
      <c r="DX145" s="12">
        <f>'Balance Sheet'!CY8/1000</f>
        <v>3993.0569999999998</v>
      </c>
      <c r="DY145" s="12">
        <f>'Balance Sheet'!CZ8/1000</f>
        <v>4314.7659999999996</v>
      </c>
      <c r="DZ145" s="12">
        <f>'Balance Sheet'!DA8/1000</f>
        <v>4776.6989999999996</v>
      </c>
      <c r="EA145" s="12">
        <f>'Balance Sheet'!DB8/1000</f>
        <v>4776.6989999999996</v>
      </c>
      <c r="EB145" s="417"/>
    </row>
    <row r="146" spans="1:132" s="7" customFormat="1">
      <c r="A146" s="11" t="s">
        <v>162</v>
      </c>
      <c r="B146" s="418"/>
      <c r="C146" s="418"/>
      <c r="D146" s="418"/>
      <c r="E146" s="418"/>
      <c r="F146" s="418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>
        <f>'Balance Sheet'!B11/1000</f>
        <v>161.74700000000001</v>
      </c>
      <c r="AB146" s="12">
        <f>'Balance Sheet'!C11/1000</f>
        <v>165.86500000000001</v>
      </c>
      <c r="AC146" s="12">
        <f>'Balance Sheet'!D11/1000</f>
        <v>191.29300000000001</v>
      </c>
      <c r="AD146" s="12">
        <f>'Balance Sheet'!E11/1000</f>
        <v>428.97399999999999</v>
      </c>
      <c r="AE146" s="12">
        <f>'Balance Sheet'!F11/1000</f>
        <v>428.97399999999999</v>
      </c>
      <c r="AF146" s="12">
        <f>'Balance Sheet'!G11/1000</f>
        <v>422.66449999999998</v>
      </c>
      <c r="AG146" s="12">
        <f>'Balance Sheet'!H11/1000</f>
        <v>416.35500000000002</v>
      </c>
      <c r="AH146" s="12">
        <f>'Balance Sheet'!I11/1000</f>
        <v>420.334</v>
      </c>
      <c r="AI146" s="12">
        <f>'Balance Sheet'!J11/1000</f>
        <v>420.91399999999999</v>
      </c>
      <c r="AJ146" s="12">
        <f>'Balance Sheet'!K11/1000</f>
        <v>420.91399999999999</v>
      </c>
      <c r="AK146" s="12">
        <f>'Balance Sheet'!L11/1000</f>
        <v>498.36599999999999</v>
      </c>
      <c r="AL146" s="12">
        <f>'Balance Sheet'!M11/1000</f>
        <v>602.76800000000003</v>
      </c>
      <c r="AM146" s="12">
        <f>'Balance Sheet'!N11/1000</f>
        <v>694.53599999999994</v>
      </c>
      <c r="AN146" s="12">
        <f>'Balance Sheet'!O11/1000</f>
        <v>976.18100000000004</v>
      </c>
      <c r="AO146" s="12">
        <f>'Balance Sheet'!P11/1000</f>
        <v>976.18100000000004</v>
      </c>
      <c r="AP146" s="12">
        <f>'Balance Sheet'!Q11/1000</f>
        <v>1054.9290000000001</v>
      </c>
      <c r="AQ146" s="12">
        <f>'Balance Sheet'!R11/1000</f>
        <v>1107.223</v>
      </c>
      <c r="AR146" s="12">
        <f>'Balance Sheet'!S11/1000</f>
        <v>1315.1679999999999</v>
      </c>
      <c r="AS146" s="12">
        <f>'Balance Sheet'!T11/1000</f>
        <v>1600.296</v>
      </c>
      <c r="AT146" s="12">
        <f>'Balance Sheet'!U11/1000</f>
        <v>1600.296</v>
      </c>
      <c r="AU146" s="12">
        <f>'Balance Sheet'!V11/1000</f>
        <v>1493.4179999999999</v>
      </c>
      <c r="AV146" s="12">
        <f>'Balance Sheet'!W11/1000</f>
        <v>1639.4690000000001</v>
      </c>
      <c r="AW146" s="12">
        <f>'Balance Sheet'!X11/1000</f>
        <v>2078.3690000000001</v>
      </c>
      <c r="AX146" s="12">
        <f>'Balance Sheet'!Y11/1000</f>
        <v>2925.8609999999999</v>
      </c>
      <c r="AY146" s="12">
        <f>'Balance Sheet'!Z11/1000</f>
        <v>2925.8609999999999</v>
      </c>
      <c r="AZ146" s="12">
        <f>'Balance Sheet'!AA11/1000</f>
        <v>3077.0940000000001</v>
      </c>
      <c r="BA146" s="12">
        <f>'Balance Sheet'!AB11/1000</f>
        <v>2993.1289999999999</v>
      </c>
      <c r="BB146" s="12">
        <f>'Balance Sheet'!AC11/1000</f>
        <v>3147.6260000000002</v>
      </c>
      <c r="BC146" s="12">
        <f>'Balance Sheet'!AD11/1000</f>
        <v>3361.7550000000001</v>
      </c>
      <c r="BD146" s="12">
        <f>'Balance Sheet'!AE11/1000</f>
        <v>3361.7550000000001</v>
      </c>
      <c r="BE146" s="12">
        <f>'Balance Sheet'!AF11/1000</f>
        <v>3252.7840000000001</v>
      </c>
      <c r="BF146" s="12">
        <f>'Balance Sheet'!AG11/1000</f>
        <v>3507.1309999999999</v>
      </c>
      <c r="BG146" s="12">
        <f>'Balance Sheet'!AH11/1000</f>
        <v>3605.5619999999999</v>
      </c>
      <c r="BH146" s="12">
        <f>'Balance Sheet'!AI11/1000</f>
        <v>3829.3150000000001</v>
      </c>
      <c r="BI146" s="12">
        <f>'Balance Sheet'!AJ11/1000</f>
        <v>3829.3150000000001</v>
      </c>
      <c r="BJ146" s="12">
        <f>'Balance Sheet'!AK11/1000</f>
        <v>3937.5219999999999</v>
      </c>
      <c r="BK146" s="12">
        <f>'Balance Sheet'!AL11/1000</f>
        <v>4002.1419999999998</v>
      </c>
      <c r="BL146" s="12">
        <f>'Balance Sheet'!AM11/1000</f>
        <v>4321.598</v>
      </c>
      <c r="BM146" s="12">
        <f>'Balance Sheet'!AN11/1000</f>
        <v>3924.0279999999998</v>
      </c>
      <c r="BN146" s="12">
        <f>'Balance Sheet'!AO11/1000</f>
        <v>3924.0279999999998</v>
      </c>
      <c r="BO146" s="12">
        <f>'Balance Sheet'!AP11/1000</f>
        <v>3786.5010000000002</v>
      </c>
      <c r="BP146" s="12">
        <f>'Balance Sheet'!AQ11/1000</f>
        <v>3967.4650000000001</v>
      </c>
      <c r="BQ146" s="12">
        <f>'Balance Sheet'!AR11/1000</f>
        <v>4019.502</v>
      </c>
      <c r="BR146" s="12">
        <f>'Balance Sheet'!AS11/1000</f>
        <v>3784.2440000000001</v>
      </c>
      <c r="BS146" s="12">
        <f>'Balance Sheet'!AT11/1000</f>
        <v>3784.2440000000001</v>
      </c>
      <c r="BT146" s="12">
        <f>'Balance Sheet'!AU11/1000</f>
        <v>3828.9319999999998</v>
      </c>
      <c r="BU146" s="12">
        <f>'Balance Sheet'!AV11/1000</f>
        <v>4020.0929999999998</v>
      </c>
      <c r="BV146" s="12">
        <f>'Balance Sheet'!AW11/1000</f>
        <v>4243.7619999999997</v>
      </c>
      <c r="BW146" s="12">
        <f>'Balance Sheet'!AX11/1000</f>
        <v>4780.6120000000001</v>
      </c>
      <c r="BX146" s="12">
        <f>'Balance Sheet'!AY11/1000</f>
        <v>4780.6120000000001</v>
      </c>
      <c r="BY146" s="12">
        <f>'Balance Sheet'!AZ11/1000</f>
        <v>4687.6580000000004</v>
      </c>
      <c r="BZ146" s="12">
        <f>'Balance Sheet'!BA11/1000</f>
        <v>4692.9660000000003</v>
      </c>
      <c r="CA146" s="12">
        <f>'Balance Sheet'!BB11/1000</f>
        <v>5079.6530000000002</v>
      </c>
      <c r="CB146" s="12">
        <f>'Balance Sheet'!BC11/1000</f>
        <v>5112.9489999999996</v>
      </c>
      <c r="CC146" s="12">
        <f>'Balance Sheet'!BD11/1000</f>
        <v>5112.9489999999996</v>
      </c>
      <c r="CD146" s="12">
        <f>'Balance Sheet'!BE11/1000</f>
        <v>5203.2160000000003</v>
      </c>
      <c r="CE146" s="12">
        <f>'Balance Sheet'!BF11/1000</f>
        <v>5300.5039999999999</v>
      </c>
      <c r="CF146" s="12">
        <f>'Balance Sheet'!BG11/1000</f>
        <v>5272.6540000000005</v>
      </c>
      <c r="CG146" s="12">
        <f>'Balance Sheet'!BH11/1000</f>
        <v>5093.6139999999996</v>
      </c>
      <c r="CH146" s="12">
        <f>'Balance Sheet'!BI11/1000</f>
        <v>5093.6139999999996</v>
      </c>
      <c r="CI146" s="12">
        <f>'Balance Sheet'!BJ11/1000</f>
        <v>5040.5559999999996</v>
      </c>
      <c r="CJ146" s="12">
        <f>'Balance Sheet'!BK11/1000</f>
        <v>5275.5959999999995</v>
      </c>
      <c r="CK146" s="12">
        <f>'Balance Sheet'!BL11/1000</f>
        <v>5333.674</v>
      </c>
      <c r="CL146" s="12">
        <f>'Balance Sheet'!BM11/1000</f>
        <v>5071.8599999999997</v>
      </c>
      <c r="CM146" s="12">
        <f>'Balance Sheet'!BN11/1000</f>
        <v>5071.8599999999997</v>
      </c>
      <c r="CN146" s="12">
        <f>'Balance Sheet'!BO11/1000</f>
        <v>4996.3109999999997</v>
      </c>
      <c r="CO146" s="12">
        <f>'Balance Sheet'!BP11/1000</f>
        <v>5109.951</v>
      </c>
      <c r="CP146" s="12">
        <f>'Balance Sheet'!BQ11/1000</f>
        <v>5072.7209999999995</v>
      </c>
      <c r="CQ146" s="12">
        <f>'Balance Sheet'!BR11/1000</f>
        <v>4749.7550000000001</v>
      </c>
      <c r="CR146" s="12">
        <f>'Balance Sheet'!BS11/1000</f>
        <v>4749.7550000000001</v>
      </c>
      <c r="CS146" s="12">
        <f>'Balance Sheet'!BT11/1000</f>
        <v>4569.5519999999997</v>
      </c>
      <c r="CT146" s="12">
        <f>'Balance Sheet'!BU11/1000</f>
        <v>4683.7070000000003</v>
      </c>
      <c r="CU146" s="12">
        <f>'Balance Sheet'!BV11/1000</f>
        <v>4685.4080000000004</v>
      </c>
      <c r="CV146" s="12">
        <f>'Balance Sheet'!BW11/1000</f>
        <v>4716.9219999999996</v>
      </c>
      <c r="CW146" s="12">
        <f>'Balance Sheet'!BX11/1000</f>
        <v>4716.9219999999996</v>
      </c>
      <c r="CX146" s="12">
        <f>'Balance Sheet'!BY11/1000</f>
        <v>4788.4470000000001</v>
      </c>
      <c r="CY146" s="12">
        <f>'Balance Sheet'!BZ11/1000</f>
        <v>4768.0320000000002</v>
      </c>
      <c r="CZ146" s="12">
        <f>'Balance Sheet'!CA11/1000</f>
        <v>4649.5540000000001</v>
      </c>
      <c r="DA146" s="12">
        <f>'Balance Sheet'!CB11/1000</f>
        <v>4633.7479999999996</v>
      </c>
      <c r="DB146" s="12">
        <f>'Balance Sheet'!CC11/1000</f>
        <v>4633.7479999999996</v>
      </c>
      <c r="DC146" s="12">
        <f>'Balance Sheet'!CD11/1000</f>
        <v>4869.6440000000002</v>
      </c>
      <c r="DD146" s="12">
        <f>'Balance Sheet'!CE11/1000</f>
        <v>5004.2330000000002</v>
      </c>
      <c r="DE146" s="12">
        <f>'Balance Sheet'!CF11/1000</f>
        <v>3895.8519999999999</v>
      </c>
      <c r="DF146" s="12">
        <f>'Balance Sheet'!CG11/1000</f>
        <v>4041.587</v>
      </c>
      <c r="DG146" s="12">
        <f>'Balance Sheet'!CH11/1000</f>
        <v>4041.587</v>
      </c>
      <c r="DH146" s="12">
        <f>'Balance Sheet'!CI11/1000</f>
        <v>4055.0340000000001</v>
      </c>
      <c r="DI146" s="12">
        <f>'Balance Sheet'!CJ11/1000</f>
        <v>4402.8019999999997</v>
      </c>
      <c r="DJ146" s="12">
        <f>'Balance Sheet'!CK11/1000</f>
        <v>4781.6899999999996</v>
      </c>
      <c r="DK146" s="12">
        <f>'Balance Sheet'!CL11/1000</f>
        <v>4985.2839999999997</v>
      </c>
      <c r="DL146" s="12">
        <f>'Balance Sheet'!CM11/1000</f>
        <v>4985.2839999999997</v>
      </c>
      <c r="DM146" s="12">
        <f>'Balance Sheet'!CN11/1000</f>
        <v>5241.8490000000002</v>
      </c>
      <c r="DN146" s="12">
        <f>'Balance Sheet'!CO11/1000</f>
        <v>5127.49</v>
      </c>
      <c r="DO146" s="12">
        <f>'Balance Sheet'!CP11/1000</f>
        <v>5416.7820000000002</v>
      </c>
      <c r="DP146" s="12">
        <f>'Balance Sheet'!CQ11/1000</f>
        <v>5552.8580000000002</v>
      </c>
      <c r="DQ146" s="12">
        <f>'Balance Sheet'!CR11/1000</f>
        <v>5552.8580000000002</v>
      </c>
      <c r="DR146" s="12">
        <f>'Balance Sheet'!CS11/1000</f>
        <v>5516.0959999999995</v>
      </c>
      <c r="DS146" s="12">
        <f>'Balance Sheet'!CT11/1000</f>
        <v>5479.3969999999999</v>
      </c>
      <c r="DT146" s="12">
        <f>'Balance Sheet'!CU11/1000</f>
        <v>5414.5410000000002</v>
      </c>
      <c r="DU146" s="12">
        <f>'Balance Sheet'!CV11/1000</f>
        <v>5356.5050000000001</v>
      </c>
      <c r="DV146" s="12">
        <f>'Balance Sheet'!CW11/1000</f>
        <v>5356.5050000000001</v>
      </c>
      <c r="DW146" s="12">
        <f>'Balance Sheet'!CX11/1000</f>
        <v>5114.6009999999997</v>
      </c>
      <c r="DX146" s="12">
        <f>'Balance Sheet'!CY11/1000</f>
        <v>4935.0860000000002</v>
      </c>
      <c r="DY146" s="12">
        <f>'Balance Sheet'!CZ11/1000</f>
        <v>5589.8630000000003</v>
      </c>
      <c r="DZ146" s="12">
        <f>'Balance Sheet'!DA11/1000</f>
        <v>6479.7979999999998</v>
      </c>
      <c r="EA146" s="12">
        <f>'Balance Sheet'!DB11/1000</f>
        <v>6479.7979999999998</v>
      </c>
      <c r="EB146" s="417"/>
    </row>
    <row r="147" spans="1:132" s="7" customFormat="1">
      <c r="A147" s="11" t="s">
        <v>347</v>
      </c>
      <c r="B147" s="418"/>
      <c r="C147" s="418"/>
      <c r="D147" s="418"/>
      <c r="E147" s="418"/>
      <c r="F147" s="418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>
        <f>'Balance Sheet'!B15/1000+'Balance Sheet'!B16/1000+'Balance Sheet'!B17/1000+'Balance Sheet'!B18/1000+'Balance Sheet'!B7/1000</f>
        <v>72.688000000000002</v>
      </c>
      <c r="AB147" s="12">
        <f>'Balance Sheet'!C15/1000+'Balance Sheet'!C16/1000+'Balance Sheet'!C17/1000+'Balance Sheet'!C18/1000+'Balance Sheet'!C7/1000</f>
        <v>65.36</v>
      </c>
      <c r="AC147" s="12">
        <f>'Balance Sheet'!D15/1000+'Balance Sheet'!D16/1000+'Balance Sheet'!D17/1000+'Balance Sheet'!D18/1000+'Balance Sheet'!D7/1000</f>
        <v>70.94</v>
      </c>
      <c r="AD147" s="12">
        <f>'Balance Sheet'!E15/1000+'Balance Sheet'!E16/1000+'Balance Sheet'!E17/1000+'Balance Sheet'!E18/1000+'Balance Sheet'!E7/1000</f>
        <v>193.559</v>
      </c>
      <c r="AE147" s="12">
        <f>'Balance Sheet'!F15/1000+'Balance Sheet'!F16/1000+'Balance Sheet'!F17/1000+'Balance Sheet'!F18/1000+'Balance Sheet'!F7/1000</f>
        <v>193.559</v>
      </c>
      <c r="AF147" s="12">
        <f>'Balance Sheet'!G15/1000+'Balance Sheet'!G16/1000+'Balance Sheet'!G17/1000+'Balance Sheet'!G18/1000+'Balance Sheet'!G7/1000</f>
        <v>215.62049999999999</v>
      </c>
      <c r="AG147" s="12">
        <f>'Balance Sheet'!H15/1000+'Balance Sheet'!H16/1000+'Balance Sheet'!H17/1000+'Balance Sheet'!H18/1000+'Balance Sheet'!H7/1000</f>
        <v>185.75899999999999</v>
      </c>
      <c r="AH147" s="12">
        <f>'Balance Sheet'!I15/1000+'Balance Sheet'!I16/1000+'Balance Sheet'!I17/1000+'Balance Sheet'!I18/1000+'Balance Sheet'!I7/1000</f>
        <v>181.37700000000001</v>
      </c>
      <c r="AI147" s="12">
        <f>'Balance Sheet'!J15/1000+'Balance Sheet'!J16/1000+'Balance Sheet'!J17/1000+'Balance Sheet'!J18/1000+'Balance Sheet'!J7/1000</f>
        <v>261.07900000000001</v>
      </c>
      <c r="AJ147" s="12">
        <f>'Balance Sheet'!K15/1000+'Balance Sheet'!K16/1000+'Balance Sheet'!K17/1000+'Balance Sheet'!K18/1000+'Balance Sheet'!K7/1000</f>
        <v>261.07900000000001</v>
      </c>
      <c r="AK147" s="12">
        <f>'Balance Sheet'!L15/1000+'Balance Sheet'!L16/1000+'Balance Sheet'!L17/1000+'Balance Sheet'!L18/1000+'Balance Sheet'!L7/1000</f>
        <v>304.471</v>
      </c>
      <c r="AL147" s="12">
        <f>'Balance Sheet'!M15/1000+'Balance Sheet'!M16/1000+'Balance Sheet'!M17/1000+'Balance Sheet'!M18/1000+'Balance Sheet'!M7/1000</f>
        <v>336.55599999999998</v>
      </c>
      <c r="AM147" s="12">
        <f>'Balance Sheet'!N15/1000+'Balance Sheet'!N16/1000+'Balance Sheet'!N17/1000+'Balance Sheet'!N18/1000+'Balance Sheet'!N7/1000</f>
        <v>380.45100000000002</v>
      </c>
      <c r="AN147" s="12">
        <f>'Balance Sheet'!O15/1000+'Balance Sheet'!O16/1000+'Balance Sheet'!O17/1000+'Balance Sheet'!O18/1000+'Balance Sheet'!O7/1000</f>
        <v>428.15899999999999</v>
      </c>
      <c r="AO147" s="12">
        <f>'Balance Sheet'!P15/1000+'Balance Sheet'!P16/1000+'Balance Sheet'!P17/1000+'Balance Sheet'!P18/1000+'Balance Sheet'!P7/1000</f>
        <v>428.15899999999999</v>
      </c>
      <c r="AP147" s="12">
        <f>'Balance Sheet'!Q15/1000+'Balance Sheet'!Q16/1000+'Balance Sheet'!Q17/1000+'Balance Sheet'!Q18/1000+'Balance Sheet'!Q7/1000</f>
        <v>479.50700000000006</v>
      </c>
      <c r="AQ147" s="12">
        <f>'Balance Sheet'!R15/1000+'Balance Sheet'!R16/1000+'Balance Sheet'!R17/1000+'Balance Sheet'!R18/1000+'Balance Sheet'!R7/1000</f>
        <v>777.84799999999996</v>
      </c>
      <c r="AR147" s="12">
        <f>'Balance Sheet'!S15/1000+'Balance Sheet'!S16/1000+'Balance Sheet'!S17/1000+'Balance Sheet'!S18/1000+'Balance Sheet'!S7/1000</f>
        <v>542.4</v>
      </c>
      <c r="AS147" s="12">
        <f>'Balance Sheet'!T15/1000+'Balance Sheet'!T16/1000+'Balance Sheet'!T17/1000+'Balance Sheet'!T18/1000+'Balance Sheet'!T7/1000</f>
        <v>741.82899999999995</v>
      </c>
      <c r="AT147" s="12">
        <f>'Balance Sheet'!U15/1000+'Balance Sheet'!U16/1000+'Balance Sheet'!U17/1000+'Balance Sheet'!U18/1000+'Balance Sheet'!U7/1000</f>
        <v>741.82899999999995</v>
      </c>
      <c r="AU147" s="12">
        <f>'Balance Sheet'!V15/1000+'Balance Sheet'!V16/1000+'Balance Sheet'!V17/1000+'Balance Sheet'!V18/1000+'Balance Sheet'!V7/1000</f>
        <v>679.29200000000003</v>
      </c>
      <c r="AV147" s="12">
        <f>'Balance Sheet'!W15/1000+'Balance Sheet'!W16/1000+'Balance Sheet'!W17/1000+'Balance Sheet'!W18/1000+'Balance Sheet'!W7/1000</f>
        <v>727.70799999999997</v>
      </c>
      <c r="AW147" s="12">
        <f>'Balance Sheet'!X15/1000+'Balance Sheet'!X16/1000+'Balance Sheet'!X17/1000+'Balance Sheet'!X18/1000+'Balance Sheet'!X7/1000</f>
        <v>721.39400000000001</v>
      </c>
      <c r="AX147" s="12">
        <f>'Balance Sheet'!Y15/1000+'Balance Sheet'!Y16/1000+'Balance Sheet'!Y17/1000+'Balance Sheet'!Y18/1000+'Balance Sheet'!Y7/1000</f>
        <v>701.64300000000003</v>
      </c>
      <c r="AY147" s="12">
        <f>'Balance Sheet'!Z15/1000+'Balance Sheet'!Z16/1000+'Balance Sheet'!Z17/1000+'Balance Sheet'!Z18/1000+'Balance Sheet'!Z7/1000</f>
        <v>701.64300000000003</v>
      </c>
      <c r="AZ147" s="12">
        <f>'Balance Sheet'!AA15/1000+'Balance Sheet'!AA16/1000+'Balance Sheet'!AA17/1000+'Balance Sheet'!AA18/1000+'Balance Sheet'!AA7/1000</f>
        <v>709.97800000000007</v>
      </c>
      <c r="BA147" s="12">
        <f>'Balance Sheet'!AB15/1000+'Balance Sheet'!AB16/1000+'Balance Sheet'!AB17/1000+'Balance Sheet'!AB18/1000+'Balance Sheet'!AB7/1000</f>
        <v>718.44100000000003</v>
      </c>
      <c r="BB147" s="12">
        <f>'Balance Sheet'!AC15/1000+'Balance Sheet'!AC16/1000+'Balance Sheet'!AC17/1000+'Balance Sheet'!AC18/1000+'Balance Sheet'!AC7/1000</f>
        <v>707.73399999999992</v>
      </c>
      <c r="BC147" s="12">
        <f>'Balance Sheet'!AD15/1000+'Balance Sheet'!AD16/1000+'Balance Sheet'!AD17/1000+'Balance Sheet'!AD18/1000+'Balance Sheet'!AD7/1000</f>
        <v>720.69599999999991</v>
      </c>
      <c r="BD147" s="12">
        <f>'Balance Sheet'!AE15/1000+'Balance Sheet'!AE16/1000+'Balance Sheet'!AE17/1000+'Balance Sheet'!AE18/1000+'Balance Sheet'!AE7/1000</f>
        <v>720.69599999999991</v>
      </c>
      <c r="BE147" s="12">
        <f>'Balance Sheet'!AF15/1000+'Balance Sheet'!AF16/1000+'Balance Sheet'!AF17/1000+'Balance Sheet'!AF18/1000+'Balance Sheet'!AF7/1000</f>
        <v>857.66599999999994</v>
      </c>
      <c r="BF147" s="12">
        <f>'Balance Sheet'!AG15/1000+'Balance Sheet'!AG16/1000+'Balance Sheet'!AG17/1000+'Balance Sheet'!AG18/1000+'Balance Sheet'!AG7/1000</f>
        <v>926.7940000000001</v>
      </c>
      <c r="BG147" s="12">
        <f>'Balance Sheet'!AH15/1000+'Balance Sheet'!AH16/1000+'Balance Sheet'!AH17/1000+'Balance Sheet'!AH18/1000+'Balance Sheet'!AH7/1000</f>
        <v>905.08600000000001</v>
      </c>
      <c r="BH147" s="12">
        <f>'Balance Sheet'!AI15/1000+'Balance Sheet'!AI16/1000+'Balance Sheet'!AI17/1000+'Balance Sheet'!AI18/1000+'Balance Sheet'!AI7/1000</f>
        <v>787.97500000000002</v>
      </c>
      <c r="BI147" s="12">
        <f>'Balance Sheet'!AJ15/1000+'Balance Sheet'!AJ16/1000+'Balance Sheet'!AJ17/1000+'Balance Sheet'!AJ18/1000+'Balance Sheet'!AJ7/1000</f>
        <v>787.97500000000002</v>
      </c>
      <c r="BJ147" s="12">
        <f>'Balance Sheet'!AK15/1000+'Balance Sheet'!AK16/1000+'Balance Sheet'!AK17/1000+'Balance Sheet'!AK18/1000+'Balance Sheet'!AK7/1000</f>
        <v>947.90700000000004</v>
      </c>
      <c r="BK147" s="12">
        <f>'Balance Sheet'!AL15/1000+'Balance Sheet'!AL16/1000+'Balance Sheet'!AL17/1000+'Balance Sheet'!AL18/1000+'Balance Sheet'!AL7/1000</f>
        <v>898.84300000000007</v>
      </c>
      <c r="BL147" s="12">
        <f>'Balance Sheet'!AM15/1000+'Balance Sheet'!AM16/1000+'Balance Sheet'!AM17/1000+'Balance Sheet'!AM18/1000+'Balance Sheet'!AM7/1000</f>
        <v>885.572</v>
      </c>
      <c r="BM147" s="12">
        <f>'Balance Sheet'!AN15/1000+'Balance Sheet'!AN16/1000+'Balance Sheet'!AN17/1000+'Balance Sheet'!AN18/1000+'Balance Sheet'!AN7/1000</f>
        <v>1191.288</v>
      </c>
      <c r="BN147" s="12">
        <f>'Balance Sheet'!AO15/1000+'Balance Sheet'!AO16/1000+'Balance Sheet'!AO17/1000+'Balance Sheet'!AO18/1000+'Balance Sheet'!AO7/1000</f>
        <v>1191.288</v>
      </c>
      <c r="BO147" s="12">
        <f>'Balance Sheet'!AP15/1000+'Balance Sheet'!AP16/1000+'Balance Sheet'!AP17/1000+'Balance Sheet'!AP18/1000+'Balance Sheet'!AP7/1000</f>
        <v>1036.6999999999998</v>
      </c>
      <c r="BP147" s="12">
        <f>'Balance Sheet'!AQ15/1000+'Balance Sheet'!AQ16/1000+'Balance Sheet'!AQ17/1000+'Balance Sheet'!AQ18/1000+'Balance Sheet'!AQ7/1000</f>
        <v>1218.8690000000001</v>
      </c>
      <c r="BQ147" s="12">
        <f>'Balance Sheet'!AR15/1000+'Balance Sheet'!AR16/1000+'Balance Sheet'!AR17/1000+'Balance Sheet'!AR18/1000+'Balance Sheet'!AR7/1000</f>
        <v>1244.366</v>
      </c>
      <c r="BR147" s="12">
        <f>'Balance Sheet'!AS15/1000+'Balance Sheet'!AS16/1000+'Balance Sheet'!AS17/1000+'Balance Sheet'!AS18/1000+'Balance Sheet'!AS7/1000</f>
        <v>1293.0529999999999</v>
      </c>
      <c r="BS147" s="12">
        <f>'Balance Sheet'!AT15/1000+'Balance Sheet'!AT16/1000+'Balance Sheet'!AT17/1000+'Balance Sheet'!AT18/1000+'Balance Sheet'!AT7/1000</f>
        <v>1293.0529999999999</v>
      </c>
      <c r="BT147" s="12">
        <f>'Balance Sheet'!AU15/1000+'Balance Sheet'!AU16/1000+'Balance Sheet'!AU17/1000+'Balance Sheet'!AU18/1000+'Balance Sheet'!AU7/1000</f>
        <v>1422.2910000000002</v>
      </c>
      <c r="BU147" s="12">
        <f>'Balance Sheet'!AV15/1000+'Balance Sheet'!AV16/1000+'Balance Sheet'!AV17/1000+'Balance Sheet'!AV18/1000+'Balance Sheet'!AV7/1000</f>
        <v>1414.4429999999998</v>
      </c>
      <c r="BV147" s="12">
        <f>'Balance Sheet'!AW15/1000+'Balance Sheet'!AW16/1000+'Balance Sheet'!AW17/1000+'Balance Sheet'!AW18/1000+'Balance Sheet'!AW7/1000</f>
        <v>1466.962</v>
      </c>
      <c r="BW147" s="12">
        <f>'Balance Sheet'!AX15/1000+'Balance Sheet'!AX16/1000+'Balance Sheet'!AX17/1000+'Balance Sheet'!AX18/1000+'Balance Sheet'!AX7/1000</f>
        <v>1301.4360000000001</v>
      </c>
      <c r="BX147" s="12">
        <f>'Balance Sheet'!AY15/1000+'Balance Sheet'!AY16/1000+'Balance Sheet'!AY17/1000+'Balance Sheet'!AY18/1000+'Balance Sheet'!AY7/1000</f>
        <v>1301.4360000000001</v>
      </c>
      <c r="BY147" s="12">
        <f>'Balance Sheet'!AZ15/1000+'Balance Sheet'!AZ16/1000+'Balance Sheet'!AZ17/1000+'Balance Sheet'!AZ18/1000+'Balance Sheet'!AZ7/1000</f>
        <v>1185.9490000000001</v>
      </c>
      <c r="BZ147" s="12">
        <f>'Balance Sheet'!BA15/1000+'Balance Sheet'!BA16/1000+'Balance Sheet'!BA17/1000+'Balance Sheet'!BA18/1000+'Balance Sheet'!BA7/1000</f>
        <v>1118.8110000000001</v>
      </c>
      <c r="CA147" s="12">
        <f>'Balance Sheet'!BB15/1000+'Balance Sheet'!BB16/1000+'Balance Sheet'!BB17/1000+'Balance Sheet'!BB18/1000+'Balance Sheet'!BB7/1000</f>
        <v>1036.4160000000002</v>
      </c>
      <c r="CB147" s="12">
        <f>'Balance Sheet'!BC15/1000+'Balance Sheet'!BC16/1000+'Balance Sheet'!BC17/1000+'Balance Sheet'!BC18/1000+'Balance Sheet'!BC7/1000</f>
        <v>656.58900000000006</v>
      </c>
      <c r="CC147" s="12">
        <f>'Balance Sheet'!BD15/1000+'Balance Sheet'!BD16/1000+'Balance Sheet'!BD17/1000+'Balance Sheet'!BD18/1000+'Balance Sheet'!BD7/1000</f>
        <v>656.58900000000006</v>
      </c>
      <c r="CD147" s="12">
        <f>'Balance Sheet'!BE15/1000+'Balance Sheet'!BE16/1000+'Balance Sheet'!BE17/1000+'Balance Sheet'!BE18/1000+'Balance Sheet'!BE7/1000</f>
        <v>685.67600000000004</v>
      </c>
      <c r="CE147" s="12">
        <f>'Balance Sheet'!BF15/1000+'Balance Sheet'!BF16/1000+'Balance Sheet'!BF17/1000+'Balance Sheet'!BF18/1000+'Balance Sheet'!BF7/1000</f>
        <v>592.27700000000004</v>
      </c>
      <c r="CF147" s="12">
        <f>'Balance Sheet'!BG15/1000+'Balance Sheet'!BG16/1000+'Balance Sheet'!BG17/1000+'Balance Sheet'!BG18/1000+'Balance Sheet'!BG7/1000</f>
        <v>597.29399999999998</v>
      </c>
      <c r="CG147" s="12">
        <f>'Balance Sheet'!BH15/1000+'Balance Sheet'!BH16/1000+'Balance Sheet'!BH17/1000+'Balance Sheet'!BH18/1000+'Balance Sheet'!BH7/1000</f>
        <v>585.495</v>
      </c>
      <c r="CH147" s="12">
        <f>'Balance Sheet'!BI15/1000+'Balance Sheet'!BI16/1000+'Balance Sheet'!BI17/1000+'Balance Sheet'!BI18/1000+'Balance Sheet'!BI7/1000</f>
        <v>585.495</v>
      </c>
      <c r="CI147" s="12">
        <f>'Balance Sheet'!BJ15/1000+'Balance Sheet'!BJ16/1000+'Balance Sheet'!BJ17/1000+'Balance Sheet'!BJ18/1000+'Balance Sheet'!BJ7/1000</f>
        <v>641.78399999999999</v>
      </c>
      <c r="CJ147" s="12">
        <f>'Balance Sheet'!BK15/1000+'Balance Sheet'!BK16/1000+'Balance Sheet'!BK17/1000+'Balance Sheet'!BK18/1000+'Balance Sheet'!BK7/1000</f>
        <v>610.60599999999999</v>
      </c>
      <c r="CK147" s="12">
        <f>'Balance Sheet'!BL15/1000+'Balance Sheet'!BL16/1000+'Balance Sheet'!BL17/1000+'Balance Sheet'!BL18/1000+'Balance Sheet'!BL7/1000</f>
        <v>665.44399999999996</v>
      </c>
      <c r="CL147" s="12">
        <f>'Balance Sheet'!BM15/1000+'Balance Sheet'!BM16/1000+'Balance Sheet'!BM17/1000+'Balance Sheet'!BM18/1000+'Balance Sheet'!BM7/1000</f>
        <v>674.65800000000002</v>
      </c>
      <c r="CM147" s="12">
        <f>'Balance Sheet'!BN15/1000+'Balance Sheet'!BN16/1000+'Balance Sheet'!BN17/1000+'Balance Sheet'!BN18/1000+'Balance Sheet'!BN7/1000</f>
        <v>674.65800000000002</v>
      </c>
      <c r="CN147" s="12">
        <f>'Balance Sheet'!BO15/1000+'Balance Sheet'!BO16/1000+'Balance Sheet'!BO17/1000+'Balance Sheet'!BO18/1000+'Balance Sheet'!BO7/1000</f>
        <v>662.76900000000001</v>
      </c>
      <c r="CO147" s="12">
        <f>'Balance Sheet'!BP15/1000+'Balance Sheet'!BP16/1000+'Balance Sheet'!BP17/1000+'Balance Sheet'!BP18/1000+'Balance Sheet'!BP7/1000</f>
        <v>635.01499999999999</v>
      </c>
      <c r="CP147" s="12">
        <f>'Balance Sheet'!BQ15/1000+'Balance Sheet'!BQ16/1000+'Balance Sheet'!BQ17/1000+'Balance Sheet'!BQ18/1000+'Balance Sheet'!BQ7/1000</f>
        <v>626.28199999999993</v>
      </c>
      <c r="CQ147" s="12">
        <f>'Balance Sheet'!BR15/1000+'Balance Sheet'!BR16/1000+'Balance Sheet'!BR17/1000+'Balance Sheet'!BR18/1000+'Balance Sheet'!BR7/1000</f>
        <v>684.00099999999998</v>
      </c>
      <c r="CR147" s="12">
        <f>'Balance Sheet'!BS15/1000+'Balance Sheet'!BS16/1000+'Balance Sheet'!BS17/1000+'Balance Sheet'!BS18/1000+'Balance Sheet'!BS7/1000</f>
        <v>684.00099999999998</v>
      </c>
      <c r="CS147" s="12">
        <f>'Balance Sheet'!BT15/1000+'Balance Sheet'!BT16/1000+'Balance Sheet'!BT17/1000+'Balance Sheet'!BT18/1000+'Balance Sheet'!BT7/1000</f>
        <v>678.05199999999991</v>
      </c>
      <c r="CT147" s="12">
        <f>'Balance Sheet'!BU15/1000+'Balance Sheet'!BU16/1000+'Balance Sheet'!BU17/1000+'Balance Sheet'!BU18/1000+'Balance Sheet'!BU7/1000</f>
        <v>679.38699999999994</v>
      </c>
      <c r="CU147" s="12">
        <f>'Balance Sheet'!BV15/1000+'Balance Sheet'!BV16/1000+'Balance Sheet'!BV17/1000+'Balance Sheet'!BV18/1000+'Balance Sheet'!BV7/1000</f>
        <v>590.16600000000005</v>
      </c>
      <c r="CV147" s="12">
        <f>'Balance Sheet'!BW15/1000+'Balance Sheet'!BW16/1000+'Balance Sheet'!BW17/1000+'Balance Sheet'!BW18/1000+'Balance Sheet'!BW7/1000</f>
        <v>642.50199999999995</v>
      </c>
      <c r="CW147" s="12">
        <f>'Balance Sheet'!BX15/1000+'Balance Sheet'!BX16/1000+'Balance Sheet'!BX17/1000+'Balance Sheet'!BX18/1000+'Balance Sheet'!BX7/1000</f>
        <v>642.50199999999995</v>
      </c>
      <c r="CX147" s="12">
        <f>'Balance Sheet'!BY15/1000+'Balance Sheet'!BY16/1000+'Balance Sheet'!BY17/1000+'Balance Sheet'!BY18/1000+'Balance Sheet'!BY7/1000</f>
        <v>664.39099999999996</v>
      </c>
      <c r="CY147" s="12">
        <f>'Balance Sheet'!BZ15/1000+'Balance Sheet'!BZ16/1000+'Balance Sheet'!BZ17/1000+'Balance Sheet'!BZ18/1000+'Balance Sheet'!BZ7/1000</f>
        <v>640.9670000000001</v>
      </c>
      <c r="CZ147" s="12">
        <f>'Balance Sheet'!CA15/1000+'Balance Sheet'!CA16/1000+'Balance Sheet'!CA17/1000+'Balance Sheet'!CA18/1000+'Balance Sheet'!CA7/1000</f>
        <v>662.99400000000003</v>
      </c>
      <c r="DA147" s="12">
        <f>'Balance Sheet'!CB15/1000+'Balance Sheet'!CB16/1000+'Balance Sheet'!CB17/1000+'Balance Sheet'!CB18/1000+'Balance Sheet'!CB7/1000</f>
        <v>686.28700000000003</v>
      </c>
      <c r="DB147" s="12">
        <f>'Balance Sheet'!CC15/1000+'Balance Sheet'!CC16/1000+'Balance Sheet'!CC17/1000+'Balance Sheet'!CC18/1000+'Balance Sheet'!CC7/1000</f>
        <v>686.28700000000003</v>
      </c>
      <c r="DC147" s="12">
        <f>'Balance Sheet'!CD15/1000+'Balance Sheet'!CD16/1000+'Balance Sheet'!CD17/1000+'Balance Sheet'!CD18/1000+'Balance Sheet'!CD7/1000</f>
        <v>780.78400000000011</v>
      </c>
      <c r="DD147" s="12">
        <f>'Balance Sheet'!CE15/1000+'Balance Sheet'!CE16/1000+'Balance Sheet'!CE17/1000+'Balance Sheet'!CE18/1000+'Balance Sheet'!CE7/1000</f>
        <v>831.84799999999996</v>
      </c>
      <c r="DE147" s="12">
        <f>'Balance Sheet'!CF15/1000+'Balance Sheet'!CF16/1000+'Balance Sheet'!CF17/1000+'Balance Sheet'!CF18/1000+'Balance Sheet'!CF7/1000</f>
        <v>861.64</v>
      </c>
      <c r="DF147" s="12">
        <f>'Balance Sheet'!CG15/1000+'Balance Sheet'!CG16/1000+'Balance Sheet'!CG17/1000+'Balance Sheet'!CG18/1000+'Balance Sheet'!CG7/1000</f>
        <v>767.02499999999998</v>
      </c>
      <c r="DG147" s="12">
        <f>'Balance Sheet'!CH15/1000+'Balance Sheet'!CH16/1000+'Balance Sheet'!CH17/1000+'Balance Sheet'!CH18/1000+'Balance Sheet'!CH7/1000</f>
        <v>767.02499999999998</v>
      </c>
      <c r="DH147" s="12">
        <f>'Balance Sheet'!CI15/1000+'Balance Sheet'!CI16/1000+'Balance Sheet'!CI17/1000+'Balance Sheet'!CI18/1000+'Balance Sheet'!CI7/1000</f>
        <v>793.80500000000006</v>
      </c>
      <c r="DI147" s="12">
        <f>'Balance Sheet'!CJ15/1000+'Balance Sheet'!CJ16/1000+'Balance Sheet'!CJ17/1000+'Balance Sheet'!CJ18/1000+'Balance Sheet'!CJ7/1000</f>
        <v>815.33500000000004</v>
      </c>
      <c r="DJ147" s="12">
        <f>'Balance Sheet'!CK15/1000+'Balance Sheet'!CK16/1000+'Balance Sheet'!CK17/1000+'Balance Sheet'!CK18/1000+'Balance Sheet'!CK7/1000</f>
        <v>850.92899999999997</v>
      </c>
      <c r="DK147" s="12">
        <f>'Balance Sheet'!CL15/1000+'Balance Sheet'!CL16/1000+'Balance Sheet'!CL17/1000+'Balance Sheet'!CL18/1000+'Balance Sheet'!CL7/1000</f>
        <v>993.34</v>
      </c>
      <c r="DL147" s="12">
        <f>'Balance Sheet'!CM15/1000+'Balance Sheet'!CM16/1000+'Balance Sheet'!CM17/1000+'Balance Sheet'!CM18/1000+'Balance Sheet'!CM7/1000</f>
        <v>993.34</v>
      </c>
      <c r="DM147" s="12">
        <f>'Balance Sheet'!CN15/1000+'Balance Sheet'!CN16/1000+'Balance Sheet'!CN17/1000+'Balance Sheet'!CN18/1000+'Balance Sheet'!CN7/1000</f>
        <v>979.14300000000003</v>
      </c>
      <c r="DN147" s="12">
        <f>'Balance Sheet'!CO15/1000+'Balance Sheet'!CO16/1000+'Balance Sheet'!CO17/1000+'Balance Sheet'!CO18/1000+'Balance Sheet'!CO7/1000</f>
        <v>1063.125</v>
      </c>
      <c r="DO147" s="12">
        <f>'Balance Sheet'!CP15/1000+'Balance Sheet'!CP16/1000+'Balance Sheet'!CP17/1000+'Balance Sheet'!CP18/1000+'Balance Sheet'!CP7/1000</f>
        <v>941.80600000000004</v>
      </c>
      <c r="DP147" s="12">
        <f>'Balance Sheet'!CQ15/1000+'Balance Sheet'!CQ16/1000+'Balance Sheet'!CQ17/1000+'Balance Sheet'!CQ18/1000+'Balance Sheet'!CQ7/1000</f>
        <v>1092.4690000000001</v>
      </c>
      <c r="DQ147" s="12">
        <f>'Balance Sheet'!CR15/1000+'Balance Sheet'!CR16/1000+'Balance Sheet'!CR17/1000+'Balance Sheet'!CR18/1000+'Balance Sheet'!CR7/1000</f>
        <v>1092.4690000000001</v>
      </c>
      <c r="DR147" s="12">
        <f>'Balance Sheet'!CS15/1000+'Balance Sheet'!CS16/1000+'Balance Sheet'!CS17/1000+'Balance Sheet'!CS18/1000+'Balance Sheet'!CS7/1000</f>
        <v>1081.4100000000001</v>
      </c>
      <c r="DS147" s="12">
        <f>'Balance Sheet'!CT15/1000+'Balance Sheet'!CT16/1000+'Balance Sheet'!CT17/1000+'Balance Sheet'!CT18/1000+'Balance Sheet'!CT7/1000</f>
        <v>1075.6469999999999</v>
      </c>
      <c r="DT147" s="12">
        <f>'Balance Sheet'!CU15/1000+'Balance Sheet'!CU16/1000+'Balance Sheet'!CU17/1000+'Balance Sheet'!CU18/1000+'Balance Sheet'!CU7/1000</f>
        <v>1150.7550000000001</v>
      </c>
      <c r="DU147" s="12">
        <f>'Balance Sheet'!CV15/1000+'Balance Sheet'!CV16/1000+'Balance Sheet'!CV17/1000+'Balance Sheet'!CV18/1000+'Balance Sheet'!CV7/1000</f>
        <v>1184.0529999999999</v>
      </c>
      <c r="DV147" s="12">
        <f>'Balance Sheet'!CW15/1000+'Balance Sheet'!CW16/1000+'Balance Sheet'!CW17/1000+'Balance Sheet'!CW18/1000+'Balance Sheet'!CW7/1000</f>
        <v>1184.0529999999999</v>
      </c>
      <c r="DW147" s="12">
        <f>'Balance Sheet'!CX15/1000+'Balance Sheet'!CX16/1000+'Balance Sheet'!CX17/1000+'Balance Sheet'!CX18/1000+'Balance Sheet'!CX7/1000</f>
        <v>1350.0360000000001</v>
      </c>
      <c r="DX147" s="12">
        <f>'Balance Sheet'!CY15/1000+'Balance Sheet'!CY16/1000+'Balance Sheet'!CY17/1000+'Balance Sheet'!CY18/1000+'Balance Sheet'!CY7/1000</f>
        <v>1427.9349999999999</v>
      </c>
      <c r="DY147" s="12">
        <f>'Balance Sheet'!CZ15/1000+'Balance Sheet'!CZ16/1000+'Balance Sheet'!CZ17/1000+'Balance Sheet'!CZ18/1000+'Balance Sheet'!CZ7/1000</f>
        <v>1365.008</v>
      </c>
      <c r="DZ147" s="12">
        <f>'Balance Sheet'!DA15/1000+'Balance Sheet'!DA16/1000+'Balance Sheet'!DA17/1000+'Balance Sheet'!DA18/1000+'Balance Sheet'!DA7/1000</f>
        <v>1241.2180000000001</v>
      </c>
      <c r="EA147" s="12">
        <f>'Balance Sheet'!DB15/1000+'Balance Sheet'!DB16/1000+'Balance Sheet'!DB17/1000+'Balance Sheet'!DB18/1000+'Balance Sheet'!DB7/1000</f>
        <v>1241.2180000000001</v>
      </c>
      <c r="EB147" s="417"/>
    </row>
    <row r="148" spans="1:132" s="7" customFormat="1">
      <c r="A148" s="13" t="s">
        <v>348</v>
      </c>
      <c r="B148" s="433"/>
      <c r="C148" s="433"/>
      <c r="D148" s="433"/>
      <c r="E148" s="433"/>
      <c r="F148" s="433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417"/>
    </row>
    <row r="149" spans="1:132" s="7" customFormat="1">
      <c r="A149" s="11" t="s">
        <v>349</v>
      </c>
      <c r="B149" s="418"/>
      <c r="C149" s="418"/>
      <c r="D149" s="418"/>
      <c r="E149" s="418"/>
      <c r="F149" s="418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0</v>
      </c>
      <c r="CX149" s="12">
        <v>0</v>
      </c>
      <c r="CY149" s="12">
        <v>0</v>
      </c>
      <c r="CZ149" s="12">
        <v>0</v>
      </c>
      <c r="DA149" s="12">
        <v>0</v>
      </c>
      <c r="DB149" s="12">
        <v>0</v>
      </c>
      <c r="DC149" s="12">
        <v>0</v>
      </c>
      <c r="DD149" s="12">
        <v>0</v>
      </c>
      <c r="DE149" s="12">
        <v>0</v>
      </c>
      <c r="DF149" s="12">
        <v>0</v>
      </c>
      <c r="DG149" s="12">
        <v>0</v>
      </c>
      <c r="DH149" s="12">
        <v>0</v>
      </c>
      <c r="DI149" s="12">
        <v>0</v>
      </c>
      <c r="DJ149" s="12">
        <v>0</v>
      </c>
      <c r="DK149" s="12">
        <v>0</v>
      </c>
      <c r="DL149" s="12">
        <v>0</v>
      </c>
      <c r="DM149" s="12">
        <v>0</v>
      </c>
      <c r="DN149" s="12">
        <v>0</v>
      </c>
      <c r="DO149" s="12">
        <v>0</v>
      </c>
      <c r="DP149" s="12">
        <v>0</v>
      </c>
      <c r="DQ149" s="12">
        <v>0</v>
      </c>
      <c r="DR149" s="12">
        <v>0</v>
      </c>
      <c r="DS149" s="12">
        <v>0</v>
      </c>
      <c r="DT149" s="12">
        <v>0</v>
      </c>
      <c r="DU149" s="12">
        <v>0</v>
      </c>
      <c r="DV149" s="12">
        <v>0</v>
      </c>
      <c r="DW149" s="12">
        <v>0</v>
      </c>
      <c r="DX149" s="12">
        <v>0</v>
      </c>
      <c r="DY149" s="12">
        <v>0</v>
      </c>
      <c r="DZ149" s="12">
        <v>0</v>
      </c>
      <c r="EA149" s="12">
        <v>0</v>
      </c>
      <c r="EB149" s="417"/>
    </row>
    <row r="150" spans="1:132" s="7" customFormat="1">
      <c r="A150" s="11" t="s">
        <v>350</v>
      </c>
      <c r="B150" s="445"/>
      <c r="C150" s="445"/>
      <c r="D150" s="445"/>
      <c r="E150" s="445"/>
      <c r="F150" s="445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</v>
      </c>
      <c r="CW150" s="12">
        <v>0</v>
      </c>
      <c r="CX150" s="12">
        <v>0</v>
      </c>
      <c r="CY150" s="12">
        <v>0</v>
      </c>
      <c r="CZ150" s="12">
        <v>0</v>
      </c>
      <c r="DA150" s="12">
        <v>0</v>
      </c>
      <c r="DB150" s="12">
        <v>0</v>
      </c>
      <c r="DC150" s="12">
        <v>0</v>
      </c>
      <c r="DD150" s="12">
        <v>0</v>
      </c>
      <c r="DE150" s="12">
        <v>0</v>
      </c>
      <c r="DF150" s="12">
        <v>0</v>
      </c>
      <c r="DG150" s="12">
        <v>0</v>
      </c>
      <c r="DH150" s="12">
        <v>0</v>
      </c>
      <c r="DI150" s="12">
        <v>0</v>
      </c>
      <c r="DJ150" s="12">
        <v>0</v>
      </c>
      <c r="DK150" s="12">
        <v>0</v>
      </c>
      <c r="DL150" s="12">
        <v>0</v>
      </c>
      <c r="DM150" s="12">
        <v>0</v>
      </c>
      <c r="DN150" s="12">
        <v>0</v>
      </c>
      <c r="DO150" s="12">
        <v>0</v>
      </c>
      <c r="DP150" s="12">
        <v>0</v>
      </c>
      <c r="DQ150" s="12">
        <v>0</v>
      </c>
      <c r="DR150" s="12">
        <v>0</v>
      </c>
      <c r="DS150" s="12">
        <v>0</v>
      </c>
      <c r="DT150" s="12">
        <v>0</v>
      </c>
      <c r="DU150" s="12">
        <v>0</v>
      </c>
      <c r="DV150" s="12">
        <v>0</v>
      </c>
      <c r="DW150" s="12">
        <v>0</v>
      </c>
      <c r="DX150" s="12">
        <v>0</v>
      </c>
      <c r="DY150" s="12">
        <v>0</v>
      </c>
      <c r="DZ150" s="12">
        <v>0</v>
      </c>
      <c r="EA150" s="12">
        <v>0</v>
      </c>
      <c r="EB150" s="417"/>
    </row>
    <row r="151" spans="1:132" s="7" customFormat="1">
      <c r="A151" s="11" t="s">
        <v>351</v>
      </c>
      <c r="B151" s="444"/>
      <c r="C151" s="444"/>
      <c r="D151" s="444"/>
      <c r="E151" s="444"/>
      <c r="F151" s="444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>
        <f>'Balance Sheet'!B22/1000</f>
        <v>77.218999999999994</v>
      </c>
      <c r="AB151" s="12">
        <f>'Balance Sheet'!C22/1000</f>
        <v>76.849999999999994</v>
      </c>
      <c r="AC151" s="12">
        <f>'Balance Sheet'!D22/1000</f>
        <v>74.635000000000005</v>
      </c>
      <c r="AD151" s="12">
        <f>'Balance Sheet'!E22/1000</f>
        <v>88.043999999999997</v>
      </c>
      <c r="AE151" s="12">
        <f>'Balance Sheet'!F22/1000</f>
        <v>88.043999999999997</v>
      </c>
      <c r="AF151" s="12">
        <f>'Balance Sheet'!G22/1000</f>
        <v>99.407499999999999</v>
      </c>
      <c r="AG151" s="12">
        <f>'Balance Sheet'!H22/1000</f>
        <v>110.771</v>
      </c>
      <c r="AH151" s="12">
        <f>'Balance Sheet'!I22/1000</f>
        <v>109.973</v>
      </c>
      <c r="AI151" s="12">
        <f>'Balance Sheet'!J22/1000</f>
        <v>110.107</v>
      </c>
      <c r="AJ151" s="12">
        <f>'Balance Sheet'!K22/1000</f>
        <v>110.107</v>
      </c>
      <c r="AK151" s="12">
        <f>'Balance Sheet'!L22/1000</f>
        <v>113.04600000000001</v>
      </c>
      <c r="AL151" s="12">
        <f>'Balance Sheet'!M22/1000</f>
        <v>144.51900000000001</v>
      </c>
      <c r="AM151" s="12">
        <f>'Balance Sheet'!N22/1000</f>
        <v>144.29</v>
      </c>
      <c r="AN151" s="12">
        <f>'Balance Sheet'!O22/1000</f>
        <v>143.84200000000001</v>
      </c>
      <c r="AO151" s="12">
        <f>'Balance Sheet'!P22/1000</f>
        <v>143.84200000000001</v>
      </c>
      <c r="AP151" s="12">
        <f>'Balance Sheet'!Q22/1000</f>
        <v>445.93099999999998</v>
      </c>
      <c r="AQ151" s="12">
        <f>'Balance Sheet'!R22/1000</f>
        <v>7.4710000000000001</v>
      </c>
      <c r="AR151" s="12">
        <f>'Balance Sheet'!S22/1000</f>
        <v>10.259</v>
      </c>
      <c r="AS151" s="12">
        <f>'Balance Sheet'!T22/1000</f>
        <v>10.523</v>
      </c>
      <c r="AT151" s="12">
        <f>'Balance Sheet'!U22/1000</f>
        <v>10.523</v>
      </c>
      <c r="AU151" s="12">
        <f>'Balance Sheet'!V22/1000</f>
        <v>9.9499999999999993</v>
      </c>
      <c r="AV151" s="12">
        <f>'Balance Sheet'!W22/1000</f>
        <v>17.861999999999998</v>
      </c>
      <c r="AW151" s="12">
        <f>'Balance Sheet'!X22/1000</f>
        <v>21.484000000000002</v>
      </c>
      <c r="AX151" s="12">
        <f>'Balance Sheet'!Y22/1000</f>
        <v>99.117000000000004</v>
      </c>
      <c r="AY151" s="12">
        <f>'Balance Sheet'!Z22/1000</f>
        <v>99.117000000000004</v>
      </c>
      <c r="AZ151" s="12">
        <f>'Balance Sheet'!AA22/1000</f>
        <v>101.27500000000001</v>
      </c>
      <c r="BA151" s="12">
        <f>'Balance Sheet'!AB22/1000</f>
        <v>105.83499999999999</v>
      </c>
      <c r="BB151" s="12">
        <f>'Balance Sheet'!AC22/1000</f>
        <v>124.435</v>
      </c>
      <c r="BC151" s="12">
        <f>'Balance Sheet'!AD22/1000</f>
        <v>133.13900000000001</v>
      </c>
      <c r="BD151" s="12">
        <f>'Balance Sheet'!AE22/1000</f>
        <v>133.13900000000001</v>
      </c>
      <c r="BE151" s="12">
        <f>'Balance Sheet'!AF22/1000</f>
        <v>143.88999999999999</v>
      </c>
      <c r="BF151" s="12">
        <f>'Balance Sheet'!AG22/1000</f>
        <v>154.23500000000001</v>
      </c>
      <c r="BG151" s="12">
        <f>'Balance Sheet'!AH22/1000</f>
        <v>159.73599999999999</v>
      </c>
      <c r="BH151" s="12">
        <f>'Balance Sheet'!AI22/1000</f>
        <v>168.72300000000001</v>
      </c>
      <c r="BI151" s="12">
        <f>'Balance Sheet'!AJ22/1000</f>
        <v>168.72300000000001</v>
      </c>
      <c r="BJ151" s="12">
        <f>'Balance Sheet'!AK22/1000</f>
        <v>164.41499999999999</v>
      </c>
      <c r="BK151" s="12">
        <f>'Balance Sheet'!AL22/1000</f>
        <v>163.535</v>
      </c>
      <c r="BL151" s="12">
        <f>'Balance Sheet'!AM22/1000</f>
        <v>181.60499999999999</v>
      </c>
      <c r="BM151" s="12">
        <f>'Balance Sheet'!AN22/1000</f>
        <v>197.31800000000001</v>
      </c>
      <c r="BN151" s="12">
        <f>'Balance Sheet'!AO22/1000</f>
        <v>197.31800000000001</v>
      </c>
      <c r="BO151" s="12">
        <f>'Balance Sheet'!AP22/1000</f>
        <v>191.87100000000001</v>
      </c>
      <c r="BP151" s="12">
        <f>'Balance Sheet'!AQ22/1000</f>
        <v>189.34299999999999</v>
      </c>
      <c r="BQ151" s="12">
        <f>'Balance Sheet'!AR22/1000</f>
        <v>175.952</v>
      </c>
      <c r="BR151" s="12">
        <f>'Balance Sheet'!AS22/1000</f>
        <v>166.41399999999999</v>
      </c>
      <c r="BS151" s="12">
        <f>'Balance Sheet'!AT22/1000</f>
        <v>166.41399999999999</v>
      </c>
      <c r="BT151" s="12">
        <f>'Balance Sheet'!AU22/1000</f>
        <v>167.35499999999999</v>
      </c>
      <c r="BU151" s="12">
        <f>'Balance Sheet'!AV22/1000</f>
        <v>153.072</v>
      </c>
      <c r="BV151" s="12">
        <f>'Balance Sheet'!AW22/1000</f>
        <v>155.03800000000001</v>
      </c>
      <c r="BW151" s="12">
        <f>'Balance Sheet'!AX22/1000</f>
        <v>156.56299999999999</v>
      </c>
      <c r="BX151" s="12">
        <f>'Balance Sheet'!AY22/1000</f>
        <v>156.56299999999999</v>
      </c>
      <c r="BY151" s="12">
        <f>'Balance Sheet'!AZ22/1000</f>
        <v>164.309</v>
      </c>
      <c r="BZ151" s="12">
        <f>'Balance Sheet'!BA22/1000</f>
        <v>167.27600000000001</v>
      </c>
      <c r="CA151" s="12">
        <f>'Balance Sheet'!BB22/1000</f>
        <v>164.76300000000001</v>
      </c>
      <c r="CB151" s="12">
        <f>'Balance Sheet'!BC22/1000</f>
        <v>171.44200000000001</v>
      </c>
      <c r="CC151" s="12">
        <f>'Balance Sheet'!BD22/1000</f>
        <v>171.44200000000001</v>
      </c>
      <c r="CD151" s="12">
        <f>'Balance Sheet'!BE22/1000</f>
        <v>167.30699999999999</v>
      </c>
      <c r="CE151" s="12">
        <f>'Balance Sheet'!BF22/1000</f>
        <v>163.10300000000001</v>
      </c>
      <c r="CF151" s="12">
        <f>'Balance Sheet'!BG22/1000</f>
        <v>151.38399999999999</v>
      </c>
      <c r="CG151" s="12">
        <f>'Balance Sheet'!BH22/1000</f>
        <v>139.67099999999999</v>
      </c>
      <c r="CH151" s="12">
        <f>'Balance Sheet'!BI22/1000</f>
        <v>139.67099999999999</v>
      </c>
      <c r="CI151" s="12">
        <f>'Balance Sheet'!BJ22/1000</f>
        <v>114.663</v>
      </c>
      <c r="CJ151" s="12">
        <f>'Balance Sheet'!BK22/1000</f>
        <v>111.042</v>
      </c>
      <c r="CK151" s="12">
        <f>'Balance Sheet'!BL22/1000</f>
        <v>96.531000000000006</v>
      </c>
      <c r="CL151" s="12">
        <f>'Balance Sheet'!BM22/1000</f>
        <v>85.69</v>
      </c>
      <c r="CM151" s="12">
        <f>'Balance Sheet'!BN22/1000</f>
        <v>85.69</v>
      </c>
      <c r="CN151" s="12">
        <f>'Balance Sheet'!BO22/1000</f>
        <v>72.296000000000006</v>
      </c>
      <c r="CO151" s="12">
        <f>'Balance Sheet'!BP22/1000</f>
        <v>64.087000000000003</v>
      </c>
      <c r="CP151" s="12">
        <f>'Balance Sheet'!BQ22/1000</f>
        <v>61.89</v>
      </c>
      <c r="CQ151" s="12">
        <f>'Balance Sheet'!BR22/1000</f>
        <v>61.158999999999999</v>
      </c>
      <c r="CR151" s="12">
        <f>'Balance Sheet'!BS22/1000</f>
        <v>61.158999999999999</v>
      </c>
      <c r="CS151" s="12">
        <f>'Balance Sheet'!BT22/1000</f>
        <v>60.445</v>
      </c>
      <c r="CT151" s="12">
        <f>'Balance Sheet'!BU22/1000</f>
        <v>56.116</v>
      </c>
      <c r="CU151" s="12">
        <f>'Balance Sheet'!BV22/1000</f>
        <v>64.971999999999994</v>
      </c>
      <c r="CV151" s="12">
        <f>'Balance Sheet'!BW22/1000</f>
        <v>68.899000000000001</v>
      </c>
      <c r="CW151" s="12">
        <f>'Balance Sheet'!BX22/1000</f>
        <v>68.899000000000001</v>
      </c>
      <c r="CX151" s="12">
        <f>'Balance Sheet'!BY22/1000</f>
        <v>76.881</v>
      </c>
      <c r="CY151" s="12">
        <f>'Balance Sheet'!BZ22/1000</f>
        <v>76.881</v>
      </c>
      <c r="CZ151" s="12">
        <f>'Balance Sheet'!CA22/1000</f>
        <v>84.558000000000007</v>
      </c>
      <c r="DA151" s="12">
        <f>'Balance Sheet'!CB22/1000</f>
        <v>92.388999999999996</v>
      </c>
      <c r="DB151" s="12">
        <f>'Balance Sheet'!CC22/1000</f>
        <v>92.388999999999996</v>
      </c>
      <c r="DC151" s="12">
        <f>'Balance Sheet'!CD22/1000</f>
        <v>90.844999999999999</v>
      </c>
      <c r="DD151" s="12">
        <f>'Balance Sheet'!CE22/1000</f>
        <v>83.873000000000005</v>
      </c>
      <c r="DE151" s="12">
        <f>'Balance Sheet'!CF22/1000</f>
        <v>70.938000000000002</v>
      </c>
      <c r="DF151" s="12">
        <f>'Balance Sheet'!CG22/1000</f>
        <v>73.436000000000007</v>
      </c>
      <c r="DG151" s="12">
        <f>'Balance Sheet'!CH22/1000</f>
        <v>73.436000000000007</v>
      </c>
      <c r="DH151" s="12">
        <f>'Balance Sheet'!CI22/1000</f>
        <v>70.126999999999995</v>
      </c>
      <c r="DI151" s="12">
        <f>'Balance Sheet'!CJ22/1000</f>
        <v>81.495999999999995</v>
      </c>
      <c r="DJ151" s="12">
        <f>'Balance Sheet'!CK22/1000</f>
        <v>117.923</v>
      </c>
      <c r="DK151" s="12">
        <f>'Balance Sheet'!CL22/1000</f>
        <v>124.188</v>
      </c>
      <c r="DL151" s="12">
        <f>'Balance Sheet'!CM22/1000</f>
        <v>124.188</v>
      </c>
      <c r="DM151" s="12">
        <f>'Balance Sheet'!CN22/1000</f>
        <v>126.541</v>
      </c>
      <c r="DN151" s="12">
        <f>'Balance Sheet'!CO22/1000</f>
        <v>135.21199999999999</v>
      </c>
      <c r="DO151" s="12">
        <f>'Balance Sheet'!CP22/1000</f>
        <v>146.858</v>
      </c>
      <c r="DP151" s="12">
        <f>'Balance Sheet'!CQ22/1000</f>
        <v>129.357</v>
      </c>
      <c r="DQ151" s="12">
        <f>'Balance Sheet'!CR22/1000</f>
        <v>129.357</v>
      </c>
      <c r="DR151" s="12">
        <f>'Balance Sheet'!CS22/1000</f>
        <v>137.27799999999999</v>
      </c>
      <c r="DS151" s="12">
        <f>'Balance Sheet'!CT22/1000</f>
        <v>136.77199999999999</v>
      </c>
      <c r="DT151" s="12">
        <f>'Balance Sheet'!CU22/1000</f>
        <v>148.904</v>
      </c>
      <c r="DU151" s="12">
        <f>'Balance Sheet'!CV22/1000</f>
        <v>146.43799999999999</v>
      </c>
      <c r="DV151" s="12">
        <f>'Balance Sheet'!CW22/1000</f>
        <v>146.43799999999999</v>
      </c>
      <c r="DW151" s="12">
        <f>'Balance Sheet'!CX22/1000</f>
        <v>113.229</v>
      </c>
      <c r="DX151" s="12">
        <f>'Balance Sheet'!CY22/1000</f>
        <v>116.027</v>
      </c>
      <c r="DY151" s="12">
        <f>'Balance Sheet'!CZ22/1000</f>
        <v>128.88800000000001</v>
      </c>
      <c r="DZ151" s="12">
        <f>'Balance Sheet'!DA22/1000</f>
        <v>160.30199999999999</v>
      </c>
      <c r="EA151" s="12">
        <f>'Balance Sheet'!DB22/1000</f>
        <v>160.30199999999999</v>
      </c>
      <c r="EB151" s="417"/>
    </row>
    <row r="152" spans="1:132" s="7" customFormat="1">
      <c r="A152" s="11" t="s">
        <v>352</v>
      </c>
      <c r="B152" s="418"/>
      <c r="C152" s="418"/>
      <c r="D152" s="418"/>
      <c r="E152" s="418"/>
      <c r="F152" s="418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>
        <f>'Balance Sheet'!B21/1000</f>
        <v>0</v>
      </c>
      <c r="AB152" s="12">
        <f>'Balance Sheet'!C21/1000</f>
        <v>0</v>
      </c>
      <c r="AC152" s="12">
        <f>'Balance Sheet'!D21/1000</f>
        <v>0</v>
      </c>
      <c r="AD152" s="12">
        <f>'Balance Sheet'!E21/1000</f>
        <v>0</v>
      </c>
      <c r="AE152" s="12">
        <f>'Balance Sheet'!F21/1000</f>
        <v>0</v>
      </c>
      <c r="AF152" s="12">
        <f>'Balance Sheet'!G21/1000</f>
        <v>0</v>
      </c>
      <c r="AG152" s="12">
        <f>'Balance Sheet'!H21/1000</f>
        <v>0</v>
      </c>
      <c r="AH152" s="12">
        <f>'Balance Sheet'!I21/1000</f>
        <v>0</v>
      </c>
      <c r="AI152" s="12">
        <f>'Balance Sheet'!J21/1000</f>
        <v>0</v>
      </c>
      <c r="AJ152" s="12">
        <f>'Balance Sheet'!K21/1000</f>
        <v>0</v>
      </c>
      <c r="AK152" s="12">
        <f>'Balance Sheet'!L21/1000</f>
        <v>0</v>
      </c>
      <c r="AL152" s="12">
        <f>'Balance Sheet'!M21/1000</f>
        <v>0</v>
      </c>
      <c r="AM152" s="12">
        <f>'Balance Sheet'!N21/1000</f>
        <v>0</v>
      </c>
      <c r="AN152" s="12">
        <f>'Balance Sheet'!O21/1000</f>
        <v>0</v>
      </c>
      <c r="AO152" s="12">
        <f>'Balance Sheet'!P21/1000</f>
        <v>0</v>
      </c>
      <c r="AP152" s="12">
        <f>'Balance Sheet'!Q21/1000</f>
        <v>0</v>
      </c>
      <c r="AQ152" s="12">
        <f>'Balance Sheet'!R21/1000</f>
        <v>0</v>
      </c>
      <c r="AR152" s="12">
        <f>'Balance Sheet'!S21/1000</f>
        <v>40.557000000000002</v>
      </c>
      <c r="AS152" s="12">
        <f>'Balance Sheet'!T21/1000</f>
        <v>58.978000000000002</v>
      </c>
      <c r="AT152" s="12">
        <f>'Balance Sheet'!U21/1000</f>
        <v>58.978000000000002</v>
      </c>
      <c r="AU152" s="12">
        <f>'Balance Sheet'!V21/1000</f>
        <v>75.135999999999996</v>
      </c>
      <c r="AV152" s="12">
        <f>'Balance Sheet'!W21/1000</f>
        <v>72.081999999999994</v>
      </c>
      <c r="AW152" s="12">
        <f>'Balance Sheet'!X21/1000</f>
        <v>74.287000000000006</v>
      </c>
      <c r="AX152" s="12">
        <f>'Balance Sheet'!Y21/1000</f>
        <v>66.221000000000004</v>
      </c>
      <c r="AY152" s="12">
        <f>'Balance Sheet'!Z21/1000</f>
        <v>66.221000000000004</v>
      </c>
      <c r="AZ152" s="12">
        <f>'Balance Sheet'!AA21/1000</f>
        <v>76.244</v>
      </c>
      <c r="BA152" s="12">
        <f>'Balance Sheet'!AB21/1000</f>
        <v>89.991</v>
      </c>
      <c r="BB152" s="12">
        <f>'Balance Sheet'!AC21/1000</f>
        <v>0</v>
      </c>
      <c r="BC152" s="12">
        <f>'Balance Sheet'!AD21/1000</f>
        <v>0</v>
      </c>
      <c r="BD152" s="12">
        <f>'Balance Sheet'!AE21/1000</f>
        <v>0</v>
      </c>
      <c r="BE152" s="12">
        <f>'Balance Sheet'!AF21/1000</f>
        <v>0</v>
      </c>
      <c r="BF152" s="12">
        <f>'Balance Sheet'!AG21/1000</f>
        <v>0</v>
      </c>
      <c r="BG152" s="12">
        <f>'Balance Sheet'!AH21/1000</f>
        <v>0</v>
      </c>
      <c r="BH152" s="12">
        <f>'Balance Sheet'!AI21/1000</f>
        <v>0</v>
      </c>
      <c r="BI152" s="12">
        <f>'Balance Sheet'!AJ21/1000</f>
        <v>0</v>
      </c>
      <c r="BJ152" s="12">
        <f>'Balance Sheet'!AK21/1000</f>
        <v>0</v>
      </c>
      <c r="BK152" s="12">
        <f>'Balance Sheet'!AL21/1000</f>
        <v>0</v>
      </c>
      <c r="BL152" s="12">
        <f>'Balance Sheet'!AM21/1000</f>
        <v>0</v>
      </c>
      <c r="BM152" s="12">
        <f>'Balance Sheet'!AN21/1000</f>
        <v>0</v>
      </c>
      <c r="BN152" s="12">
        <f>'Balance Sheet'!AO21/1000</f>
        <v>0</v>
      </c>
      <c r="BO152" s="12">
        <f>'Balance Sheet'!AP21/1000</f>
        <v>0</v>
      </c>
      <c r="BP152" s="12">
        <f>'Balance Sheet'!AQ21/1000</f>
        <v>0</v>
      </c>
      <c r="BQ152" s="12">
        <f>'Balance Sheet'!AR21/1000</f>
        <v>0</v>
      </c>
      <c r="BR152" s="12">
        <f>'Balance Sheet'!AS21/1000</f>
        <v>0</v>
      </c>
      <c r="BS152" s="12">
        <f>'Balance Sheet'!AT21/1000</f>
        <v>0</v>
      </c>
      <c r="BT152" s="12">
        <f>'Balance Sheet'!AU21/1000</f>
        <v>0</v>
      </c>
      <c r="BU152" s="12">
        <f>'Balance Sheet'!AV21/1000</f>
        <v>0</v>
      </c>
      <c r="BV152" s="12">
        <f>'Balance Sheet'!AW21/1000</f>
        <v>0</v>
      </c>
      <c r="BW152" s="12">
        <f>'Balance Sheet'!AX21/1000</f>
        <v>0</v>
      </c>
      <c r="BX152" s="12">
        <f>'Balance Sheet'!AY21/1000</f>
        <v>0</v>
      </c>
      <c r="BY152" s="12">
        <f>'Balance Sheet'!AZ21/1000</f>
        <v>0</v>
      </c>
      <c r="BZ152" s="12">
        <f>'Balance Sheet'!BA21/1000</f>
        <v>0</v>
      </c>
      <c r="CA152" s="12">
        <f>'Balance Sheet'!BB21/1000</f>
        <v>0</v>
      </c>
      <c r="CB152" s="12">
        <f>'Balance Sheet'!BC21/1000</f>
        <v>0</v>
      </c>
      <c r="CC152" s="12">
        <f>'Balance Sheet'!BD21/1000</f>
        <v>0</v>
      </c>
      <c r="CD152" s="12">
        <f>'Balance Sheet'!BE21/1000</f>
        <v>0</v>
      </c>
      <c r="CE152" s="12">
        <f>'Balance Sheet'!BF21/1000</f>
        <v>0</v>
      </c>
      <c r="CF152" s="12">
        <f>'Balance Sheet'!BG21/1000</f>
        <v>0</v>
      </c>
      <c r="CG152" s="12">
        <f>'Balance Sheet'!BH21/1000</f>
        <v>0</v>
      </c>
      <c r="CH152" s="12">
        <f>'Balance Sheet'!BI21/1000</f>
        <v>0</v>
      </c>
      <c r="CI152" s="12">
        <f>'Balance Sheet'!BJ21/1000</f>
        <v>0</v>
      </c>
      <c r="CJ152" s="12">
        <f>'Balance Sheet'!BK21/1000</f>
        <v>0</v>
      </c>
      <c r="CK152" s="12">
        <f>'Balance Sheet'!BL21/1000</f>
        <v>0</v>
      </c>
      <c r="CL152" s="12">
        <f>'Balance Sheet'!BM21/1000</f>
        <v>0</v>
      </c>
      <c r="CM152" s="12">
        <f>'Balance Sheet'!BN21/1000</f>
        <v>0</v>
      </c>
      <c r="CN152" s="12">
        <f>'Balance Sheet'!BO21/1000</f>
        <v>0</v>
      </c>
      <c r="CO152" s="12">
        <f>'Balance Sheet'!BP21/1000</f>
        <v>0</v>
      </c>
      <c r="CP152" s="12">
        <f>'Balance Sheet'!BQ21/1000</f>
        <v>0</v>
      </c>
      <c r="CQ152" s="12">
        <f>'Balance Sheet'!BR21/1000</f>
        <v>0</v>
      </c>
      <c r="CR152" s="12">
        <f>'Balance Sheet'!BS21/1000</f>
        <v>0</v>
      </c>
      <c r="CS152" s="12">
        <f>'Balance Sheet'!BT21/1000</f>
        <v>0</v>
      </c>
      <c r="CT152" s="12">
        <f>'Balance Sheet'!BU21/1000</f>
        <v>0</v>
      </c>
      <c r="CU152" s="12">
        <f>'Balance Sheet'!BV21/1000</f>
        <v>0</v>
      </c>
      <c r="CV152" s="12">
        <f>'Balance Sheet'!BW21/1000</f>
        <v>0</v>
      </c>
      <c r="CW152" s="12">
        <f>'Balance Sheet'!BX21/1000</f>
        <v>0</v>
      </c>
      <c r="CX152" s="12">
        <f>'Balance Sheet'!BY21/1000</f>
        <v>0</v>
      </c>
      <c r="CY152" s="12">
        <f>'Balance Sheet'!BZ21/1000</f>
        <v>0</v>
      </c>
      <c r="CZ152" s="12">
        <f>'Balance Sheet'!CA21/1000</f>
        <v>0</v>
      </c>
      <c r="DA152" s="12">
        <f>'Balance Sheet'!CB21/1000</f>
        <v>0</v>
      </c>
      <c r="DB152" s="12">
        <f>'Balance Sheet'!CC21/1000</f>
        <v>0</v>
      </c>
      <c r="DC152" s="12">
        <f>'Balance Sheet'!CD21/1000</f>
        <v>0</v>
      </c>
      <c r="DD152" s="12">
        <f>'Balance Sheet'!CE21/1000</f>
        <v>0</v>
      </c>
      <c r="DE152" s="12">
        <f>'Balance Sheet'!CF21/1000</f>
        <v>0</v>
      </c>
      <c r="DF152" s="12">
        <f>'Balance Sheet'!CG21/1000</f>
        <v>0</v>
      </c>
      <c r="DG152" s="12">
        <f>'Balance Sheet'!CH21/1000</f>
        <v>0</v>
      </c>
      <c r="DH152" s="12">
        <f>'Balance Sheet'!CI21/1000</f>
        <v>0</v>
      </c>
      <c r="DI152" s="12">
        <f>'Balance Sheet'!CJ21/1000</f>
        <v>0</v>
      </c>
      <c r="DJ152" s="12">
        <f>'Balance Sheet'!CK21/1000</f>
        <v>0</v>
      </c>
      <c r="DK152" s="12">
        <f>'Balance Sheet'!CL21/1000</f>
        <v>0</v>
      </c>
      <c r="DL152" s="12">
        <f>'Balance Sheet'!CM21/1000</f>
        <v>0</v>
      </c>
      <c r="DM152" s="12">
        <f>'Balance Sheet'!CN21/1000</f>
        <v>0</v>
      </c>
      <c r="DN152" s="12">
        <f>'Balance Sheet'!CO21/1000</f>
        <v>0</v>
      </c>
      <c r="DO152" s="12">
        <f>'Balance Sheet'!CP21/1000</f>
        <v>0</v>
      </c>
      <c r="DP152" s="12">
        <f>'Balance Sheet'!CQ21/1000</f>
        <v>0</v>
      </c>
      <c r="DQ152" s="12">
        <f>'Balance Sheet'!CR21/1000</f>
        <v>0</v>
      </c>
      <c r="DR152" s="12">
        <f>'Balance Sheet'!CS21/1000</f>
        <v>0</v>
      </c>
      <c r="DS152" s="12">
        <f>'Balance Sheet'!CT21/1000</f>
        <v>0</v>
      </c>
      <c r="DT152" s="12">
        <f>'Balance Sheet'!CU21/1000</f>
        <v>0</v>
      </c>
      <c r="DU152" s="12">
        <f>'Balance Sheet'!CV21/1000</f>
        <v>0</v>
      </c>
      <c r="DV152" s="12">
        <f>'Balance Sheet'!CW21/1000</f>
        <v>0</v>
      </c>
      <c r="DW152" s="12">
        <f>'Balance Sheet'!CX21/1000</f>
        <v>0</v>
      </c>
      <c r="DX152" s="12">
        <f>'Balance Sheet'!CY21/1000</f>
        <v>0</v>
      </c>
      <c r="DY152" s="12">
        <f>'Balance Sheet'!CZ21/1000</f>
        <v>0</v>
      </c>
      <c r="DZ152" s="12">
        <f>'Balance Sheet'!DA21/1000</f>
        <v>0</v>
      </c>
      <c r="EA152" s="12">
        <f>'Balance Sheet'!DB21/1000</f>
        <v>0</v>
      </c>
      <c r="EB152" s="417"/>
    </row>
    <row r="153" spans="1:132" s="7" customFormat="1">
      <c r="A153" s="11" t="s">
        <v>353</v>
      </c>
      <c r="B153" s="418"/>
      <c r="C153" s="418"/>
      <c r="D153" s="418"/>
      <c r="E153" s="418"/>
      <c r="F153" s="418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>
        <f>'Balance Sheet'!B23/1000</f>
        <v>8.1000000000000003E-2</v>
      </c>
      <c r="AB153" s="12">
        <f>'Balance Sheet'!C23/1000</f>
        <v>6.6000000000000003E-2</v>
      </c>
      <c r="AC153" s="12">
        <f>'Balance Sheet'!D23/1000</f>
        <v>5.0999999999999997E-2</v>
      </c>
      <c r="AD153" s="12">
        <f>'Balance Sheet'!E23/1000</f>
        <v>3.5999999999999997E-2</v>
      </c>
      <c r="AE153" s="12">
        <f>'Balance Sheet'!F23/1000</f>
        <v>3.5999999999999997E-2</v>
      </c>
      <c r="AF153" s="12">
        <f>'Balance Sheet'!G23/1000</f>
        <v>8.7499999999999994E-2</v>
      </c>
      <c r="AG153" s="12">
        <f>'Balance Sheet'!H23/1000</f>
        <v>0.13900000000000001</v>
      </c>
      <c r="AH153" s="12">
        <f>'Balance Sheet'!I23/1000</f>
        <v>1.7000000000000001E-2</v>
      </c>
      <c r="AI153" s="12">
        <f>'Balance Sheet'!J23/1000</f>
        <v>1.0999999999999999E-2</v>
      </c>
      <c r="AJ153" s="12">
        <f>'Balance Sheet'!K23/1000</f>
        <v>1.0999999999999999E-2</v>
      </c>
      <c r="AK153" s="12">
        <f>'Balance Sheet'!L23/1000</f>
        <v>2.1999999999999999E-2</v>
      </c>
      <c r="AL153" s="12">
        <f>'Balance Sheet'!M23/1000</f>
        <v>0.03</v>
      </c>
      <c r="AM153" s="12">
        <f>'Balance Sheet'!N23/1000</f>
        <v>0.56899999999999995</v>
      </c>
      <c r="AN153" s="12">
        <f>'Balance Sheet'!O23/1000</f>
        <v>0.53200000000000003</v>
      </c>
      <c r="AO153" s="12">
        <f>'Balance Sheet'!P23/1000</f>
        <v>0.53200000000000003</v>
      </c>
      <c r="AP153" s="12">
        <f>'Balance Sheet'!Q23/1000</f>
        <v>0.58699999999999997</v>
      </c>
      <c r="AQ153" s="12">
        <f>'Balance Sheet'!R23/1000</f>
        <v>2.4460000000000002</v>
      </c>
      <c r="AR153" s="12">
        <f>'Balance Sheet'!S23/1000</f>
        <v>2.35</v>
      </c>
      <c r="AS153" s="12">
        <f>'Balance Sheet'!T23/1000</f>
        <v>9.907</v>
      </c>
      <c r="AT153" s="12">
        <f>'Balance Sheet'!U23/1000</f>
        <v>9.907</v>
      </c>
      <c r="AU153" s="12">
        <f>'Balance Sheet'!V23/1000</f>
        <v>13.394</v>
      </c>
      <c r="AV153" s="12">
        <f>'Balance Sheet'!W23/1000</f>
        <v>12.597</v>
      </c>
      <c r="AW153" s="12">
        <f>'Balance Sheet'!X23/1000</f>
        <v>15.273</v>
      </c>
      <c r="AX153" s="12">
        <f>'Balance Sheet'!Y23/1000</f>
        <v>17.225999999999999</v>
      </c>
      <c r="AY153" s="12">
        <f>'Balance Sheet'!Z23/1000</f>
        <v>17.225999999999999</v>
      </c>
      <c r="AZ153" s="12">
        <f>'Balance Sheet'!AA23/1000</f>
        <v>16.587</v>
      </c>
      <c r="BA153" s="12">
        <f>'Balance Sheet'!AB23/1000</f>
        <v>23.85</v>
      </c>
      <c r="BB153" s="12">
        <f>'Balance Sheet'!AC23/1000</f>
        <v>128.80199999999999</v>
      </c>
      <c r="BC153" s="12">
        <f>'Balance Sheet'!AD23/1000</f>
        <v>108.178</v>
      </c>
      <c r="BD153" s="12">
        <f>'Balance Sheet'!AE23/1000</f>
        <v>108.178</v>
      </c>
      <c r="BE153" s="12">
        <f>'Balance Sheet'!AF23/1000</f>
        <v>98.599000000000004</v>
      </c>
      <c r="BF153" s="12">
        <f>'Balance Sheet'!AG23/1000</f>
        <v>98.971999999999994</v>
      </c>
      <c r="BG153" s="12">
        <f>'Balance Sheet'!AH23/1000</f>
        <v>95.447000000000003</v>
      </c>
      <c r="BH153" s="12">
        <f>'Balance Sheet'!AI23/1000</f>
        <v>90.69</v>
      </c>
      <c r="BI153" s="12">
        <f>'Balance Sheet'!AJ23/1000</f>
        <v>90.69</v>
      </c>
      <c r="BJ153" s="12">
        <f>'Balance Sheet'!AK23/1000</f>
        <v>84.475999999999999</v>
      </c>
      <c r="BK153" s="12">
        <f>'Balance Sheet'!AL23/1000</f>
        <v>83.844999999999999</v>
      </c>
      <c r="BL153" s="12">
        <f>'Balance Sheet'!AM23/1000</f>
        <v>89.275000000000006</v>
      </c>
      <c r="BM153" s="12">
        <f>'Balance Sheet'!AN23/1000</f>
        <v>88.424999999999997</v>
      </c>
      <c r="BN153" s="12">
        <f>'Balance Sheet'!AO23/1000</f>
        <v>88.424999999999997</v>
      </c>
      <c r="BO153" s="12">
        <f>'Balance Sheet'!AP23/1000</f>
        <v>86.286000000000001</v>
      </c>
      <c r="BP153" s="12">
        <f>'Balance Sheet'!AQ23/1000</f>
        <v>84.218000000000004</v>
      </c>
      <c r="BQ153" s="12">
        <f>'Balance Sheet'!AR23/1000</f>
        <v>84.477999999999994</v>
      </c>
      <c r="BR153" s="12">
        <f>'Balance Sheet'!AS23/1000</f>
        <v>85.884</v>
      </c>
      <c r="BS153" s="12">
        <f>'Balance Sheet'!AT23/1000</f>
        <v>85.884</v>
      </c>
      <c r="BT153" s="12">
        <f>'Balance Sheet'!AU23/1000</f>
        <v>90.552999999999997</v>
      </c>
      <c r="BU153" s="12">
        <f>'Balance Sheet'!AV23/1000</f>
        <v>81.311000000000007</v>
      </c>
      <c r="BV153" s="12">
        <f>'Balance Sheet'!AW23/1000</f>
        <v>90.100999999999999</v>
      </c>
      <c r="BW153" s="12">
        <f>'Balance Sheet'!AX23/1000</f>
        <v>90.623000000000005</v>
      </c>
      <c r="BX153" s="12">
        <f>'Balance Sheet'!AY23/1000</f>
        <v>90.623000000000005</v>
      </c>
      <c r="BY153" s="12">
        <f>'Balance Sheet'!AZ23/1000</f>
        <v>88.730999999999995</v>
      </c>
      <c r="BZ153" s="12">
        <f>'Balance Sheet'!BA23/1000</f>
        <v>86.335999999999999</v>
      </c>
      <c r="CA153" s="12">
        <f>'Balance Sheet'!BB23/1000</f>
        <v>87.141000000000005</v>
      </c>
      <c r="CB153" s="12">
        <f>'Balance Sheet'!BC23/1000</f>
        <v>100.768</v>
      </c>
      <c r="CC153" s="12">
        <f>'Balance Sheet'!BD23/1000</f>
        <v>100.768</v>
      </c>
      <c r="CD153" s="12">
        <f>'Balance Sheet'!BE23/1000</f>
        <v>101.691</v>
      </c>
      <c r="CE153" s="12">
        <f>'Balance Sheet'!BF23/1000</f>
        <v>102.982</v>
      </c>
      <c r="CF153" s="12">
        <f>'Balance Sheet'!BG23/1000</f>
        <v>92.117999999999995</v>
      </c>
      <c r="CG153" s="12">
        <f>'Balance Sheet'!BH23/1000</f>
        <v>85.09</v>
      </c>
      <c r="CH153" s="12">
        <f>'Balance Sheet'!BI23/1000</f>
        <v>85.09</v>
      </c>
      <c r="CI153" s="12">
        <f>'Balance Sheet'!BJ23/1000</f>
        <v>78.644000000000005</v>
      </c>
      <c r="CJ153" s="12">
        <f>'Balance Sheet'!BK23/1000</f>
        <v>74.781000000000006</v>
      </c>
      <c r="CK153" s="12">
        <f>'Balance Sheet'!BL23/1000</f>
        <v>70.843000000000004</v>
      </c>
      <c r="CL153" s="12">
        <f>'Balance Sheet'!BM23/1000</f>
        <v>66.063000000000002</v>
      </c>
      <c r="CM153" s="12">
        <f>'Balance Sheet'!BN23/1000</f>
        <v>66.063000000000002</v>
      </c>
      <c r="CN153" s="12">
        <f>'Balance Sheet'!BO23/1000</f>
        <v>62.853000000000002</v>
      </c>
      <c r="CO153" s="12">
        <f>'Balance Sheet'!BP23/1000</f>
        <v>46.311999999999998</v>
      </c>
      <c r="CP153" s="12">
        <f>'Balance Sheet'!BQ23/1000</f>
        <v>43.853000000000002</v>
      </c>
      <c r="CQ153" s="12">
        <f>'Balance Sheet'!BR23/1000</f>
        <v>39.808999999999997</v>
      </c>
      <c r="CR153" s="12">
        <f>'Balance Sheet'!BS23/1000</f>
        <v>39.808999999999997</v>
      </c>
      <c r="CS153" s="12">
        <f>'Balance Sheet'!BT23/1000</f>
        <v>35.811</v>
      </c>
      <c r="CT153" s="12">
        <f>'Balance Sheet'!BU23/1000</f>
        <v>33.316000000000003</v>
      </c>
      <c r="CU153" s="12">
        <f>'Balance Sheet'!BV23/1000</f>
        <v>30.523</v>
      </c>
      <c r="CV153" s="12">
        <f>'Balance Sheet'!BW23/1000</f>
        <v>27.077000000000002</v>
      </c>
      <c r="CW153" s="12">
        <f>'Balance Sheet'!BX23/1000</f>
        <v>27.077000000000002</v>
      </c>
      <c r="CX153" s="12">
        <f>'Balance Sheet'!BY23/1000</f>
        <v>21.2</v>
      </c>
      <c r="CY153" s="12">
        <f>'Balance Sheet'!BZ23/1000</f>
        <v>21.2</v>
      </c>
      <c r="CZ153" s="12">
        <f>'Balance Sheet'!CA23/1000</f>
        <v>30.353999999999999</v>
      </c>
      <c r="DA153" s="12">
        <f>'Balance Sheet'!CB23/1000</f>
        <v>27.622</v>
      </c>
      <c r="DB153" s="12">
        <f>'Balance Sheet'!CC23/1000</f>
        <v>27.622</v>
      </c>
      <c r="DC153" s="12">
        <f>'Balance Sheet'!CD23/1000</f>
        <v>25.681999999999999</v>
      </c>
      <c r="DD153" s="12">
        <f>'Balance Sheet'!CE23/1000</f>
        <v>24.268000000000001</v>
      </c>
      <c r="DE153" s="12">
        <f>'Balance Sheet'!CF23/1000</f>
        <v>21.925000000000001</v>
      </c>
      <c r="DF153" s="12">
        <f>'Balance Sheet'!CG23/1000</f>
        <v>20.962</v>
      </c>
      <c r="DG153" s="12">
        <f>'Balance Sheet'!CH23/1000</f>
        <v>20.962</v>
      </c>
      <c r="DH153" s="12">
        <f>'Balance Sheet'!CI23/1000</f>
        <v>20.091999999999999</v>
      </c>
      <c r="DI153" s="12">
        <f>'Balance Sheet'!CJ23/1000</f>
        <v>19.172000000000001</v>
      </c>
      <c r="DJ153" s="12">
        <f>'Balance Sheet'!CK23/1000</f>
        <v>33.209000000000003</v>
      </c>
      <c r="DK153" s="12">
        <f>'Balance Sheet'!CL23/1000</f>
        <v>35.713000000000001</v>
      </c>
      <c r="DL153" s="12">
        <f>'Balance Sheet'!CM23/1000</f>
        <v>35.713000000000001</v>
      </c>
      <c r="DM153" s="12">
        <f>'Balance Sheet'!CN23/1000</f>
        <v>41.703000000000003</v>
      </c>
      <c r="DN153" s="12">
        <f>'Balance Sheet'!CO23/1000</f>
        <v>90.759</v>
      </c>
      <c r="DO153" s="12">
        <f>'Balance Sheet'!CP23/1000</f>
        <v>226.34399999999999</v>
      </c>
      <c r="DP153" s="12">
        <f>'Balance Sheet'!CQ23/1000</f>
        <v>214.99100000000001</v>
      </c>
      <c r="DQ153" s="12">
        <f>'Balance Sheet'!CR23/1000</f>
        <v>214.99100000000001</v>
      </c>
      <c r="DR153" s="12">
        <f>'Balance Sheet'!CS23/1000</f>
        <v>204.37700000000001</v>
      </c>
      <c r="DS153" s="12">
        <f>'Balance Sheet'!CT23/1000</f>
        <v>202.863</v>
      </c>
      <c r="DT153" s="12">
        <f>'Balance Sheet'!CU23/1000</f>
        <v>189.602</v>
      </c>
      <c r="DU153" s="12">
        <f>'Balance Sheet'!CV23/1000</f>
        <v>187.73</v>
      </c>
      <c r="DV153" s="12">
        <f>'Balance Sheet'!CW23/1000</f>
        <v>187.73</v>
      </c>
      <c r="DW153" s="12">
        <f>'Balance Sheet'!CX23/1000</f>
        <v>199.15700000000001</v>
      </c>
      <c r="DX153" s="12">
        <f>'Balance Sheet'!CY23/1000</f>
        <v>193.654</v>
      </c>
      <c r="DY153" s="12">
        <f>'Balance Sheet'!CZ23/1000</f>
        <v>171.73500000000001</v>
      </c>
      <c r="DZ153" s="12">
        <f>'Balance Sheet'!DA23/1000</f>
        <v>147.56399999999999</v>
      </c>
      <c r="EA153" s="12">
        <f>'Balance Sheet'!DB23/1000</f>
        <v>147.56399999999999</v>
      </c>
      <c r="EB153" s="417"/>
    </row>
    <row r="154" spans="1:132" s="7" customFormat="1">
      <c r="A154" s="17" t="s">
        <v>354</v>
      </c>
      <c r="B154" s="433"/>
      <c r="C154" s="433"/>
      <c r="D154" s="433"/>
      <c r="E154" s="433"/>
      <c r="F154" s="433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417"/>
    </row>
    <row r="155" spans="1:132" s="7" customFormat="1">
      <c r="A155" s="11" t="s">
        <v>355</v>
      </c>
      <c r="B155" s="418"/>
      <c r="C155" s="418"/>
      <c r="D155" s="418"/>
      <c r="E155" s="418"/>
      <c r="F155" s="418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>
        <f>'Balance Sheet'!B20/1000</f>
        <v>1.145</v>
      </c>
      <c r="AB155" s="12">
        <f>'Balance Sheet'!C20/1000</f>
        <v>1.014</v>
      </c>
      <c r="AC155" s="12">
        <f>'Balance Sheet'!D20/1000</f>
        <v>0.89100000000000001</v>
      </c>
      <c r="AD155" s="12">
        <f>'Balance Sheet'!E20/1000</f>
        <v>0.75800000000000001</v>
      </c>
      <c r="AE155" s="12">
        <f>'Balance Sheet'!F20/1000</f>
        <v>0.75800000000000001</v>
      </c>
      <c r="AF155" s="12">
        <f>'Balance Sheet'!G20/1000</f>
        <v>0.64749999999999996</v>
      </c>
      <c r="AG155" s="12">
        <f>'Balance Sheet'!H20/1000</f>
        <v>0.53700000000000003</v>
      </c>
      <c r="AH155" s="12">
        <f>'Balance Sheet'!I20/1000</f>
        <v>0.373</v>
      </c>
      <c r="AI155" s="12">
        <f>'Balance Sheet'!J20/1000</f>
        <v>1.8140000000000001</v>
      </c>
      <c r="AJ155" s="12">
        <f>'Balance Sheet'!K20/1000</f>
        <v>1.8140000000000001</v>
      </c>
      <c r="AK155" s="12">
        <f>'Balance Sheet'!L20/1000</f>
        <v>1.7190000000000001</v>
      </c>
      <c r="AL155" s="12">
        <f>'Balance Sheet'!M20/1000</f>
        <v>40.106000000000002</v>
      </c>
      <c r="AM155" s="12">
        <f>'Balance Sheet'!N20/1000</f>
        <v>38.689</v>
      </c>
      <c r="AN155" s="12">
        <f>'Balance Sheet'!O20/1000</f>
        <v>67.858999999999995</v>
      </c>
      <c r="AO155" s="12">
        <f>'Balance Sheet'!P20/1000</f>
        <v>67.858999999999995</v>
      </c>
      <c r="AP155" s="12">
        <f>'Balance Sheet'!Q20/1000</f>
        <v>67.459999999999994</v>
      </c>
      <c r="AQ155" s="12">
        <f>'Balance Sheet'!R20/1000</f>
        <v>186.77500000000001</v>
      </c>
      <c r="AR155" s="12">
        <f>'Balance Sheet'!S20/1000</f>
        <v>153.959</v>
      </c>
      <c r="AS155" s="12">
        <f>'Balance Sheet'!T20/1000</f>
        <v>152.583</v>
      </c>
      <c r="AT155" s="12">
        <f>'Balance Sheet'!U20/1000</f>
        <v>152.583</v>
      </c>
      <c r="AU155" s="12">
        <f>'Balance Sheet'!V20/1000</f>
        <v>152.583</v>
      </c>
      <c r="AV155" s="12">
        <f>'Balance Sheet'!W20/1000</f>
        <v>152.583</v>
      </c>
      <c r="AW155" s="12">
        <f>'Balance Sheet'!X20/1000</f>
        <v>152.583</v>
      </c>
      <c r="AX155" s="12">
        <f>'Balance Sheet'!Y20/1000</f>
        <v>222.77</v>
      </c>
      <c r="AY155" s="12">
        <f>'Balance Sheet'!Z20/1000</f>
        <v>222.77</v>
      </c>
      <c r="AZ155" s="12">
        <f>'Balance Sheet'!AA20/1000</f>
        <v>221.12899999999999</v>
      </c>
      <c r="BA155" s="12">
        <f>'Balance Sheet'!AB20/1000</f>
        <v>225.23</v>
      </c>
      <c r="BB155" s="12">
        <f>'Balance Sheet'!AC20/1000</f>
        <v>11.119</v>
      </c>
      <c r="BC155" s="12">
        <f>'Balance Sheet'!AD20/1000</f>
        <v>12.21</v>
      </c>
      <c r="BD155" s="12">
        <f>'Balance Sheet'!AE20/1000</f>
        <v>12.21</v>
      </c>
      <c r="BE155" s="12">
        <f>'Balance Sheet'!AF20/1000</f>
        <v>13.885</v>
      </c>
      <c r="BF155" s="12">
        <f>'Balance Sheet'!AG20/1000</f>
        <v>12.664999999999999</v>
      </c>
      <c r="BG155" s="12">
        <f>'Balance Sheet'!AH20/1000</f>
        <v>15.202999999999999</v>
      </c>
      <c r="BH155" s="12">
        <f>'Balance Sheet'!AI20/1000</f>
        <v>6.1790000000000003</v>
      </c>
      <c r="BI155" s="12">
        <f>'Balance Sheet'!AJ20/1000</f>
        <v>6.1790000000000003</v>
      </c>
      <c r="BJ155" s="12">
        <f>'Balance Sheet'!AK20/1000</f>
        <v>6.3239999999999998</v>
      </c>
      <c r="BK155" s="12">
        <f>'Balance Sheet'!AL20/1000</f>
        <v>6.8150000000000004</v>
      </c>
      <c r="BL155" s="12">
        <f>'Balance Sheet'!AM20/1000</f>
        <v>6.4610000000000003</v>
      </c>
      <c r="BM155" s="12">
        <f>'Balance Sheet'!AN20/1000</f>
        <v>6.8860000000000001</v>
      </c>
      <c r="BN155" s="12">
        <f>'Balance Sheet'!AO20/1000</f>
        <v>6.8860000000000001</v>
      </c>
      <c r="BO155" s="12">
        <f>'Balance Sheet'!AP20/1000</f>
        <v>6.7370000000000001</v>
      </c>
      <c r="BP155" s="12">
        <f>'Balance Sheet'!AQ20/1000</f>
        <v>7.3360000000000003</v>
      </c>
      <c r="BQ155" s="12">
        <f>'Balance Sheet'!AR20/1000</f>
        <v>7.9989999999999997</v>
      </c>
      <c r="BR155" s="12">
        <f>'Balance Sheet'!AS20/1000</f>
        <v>665.32899999999995</v>
      </c>
      <c r="BS155" s="12">
        <f>'Balance Sheet'!AT20/1000</f>
        <v>665.32899999999995</v>
      </c>
      <c r="BT155" s="12">
        <f>'Balance Sheet'!AU20/1000</f>
        <v>1039.7550000000001</v>
      </c>
      <c r="BU155" s="12">
        <f>'Balance Sheet'!AV20/1000</f>
        <v>681.45100000000002</v>
      </c>
      <c r="BV155" s="12">
        <f>'Balance Sheet'!AW20/1000</f>
        <v>683.72799999999995</v>
      </c>
      <c r="BW155" s="12">
        <f>'Balance Sheet'!AX20/1000</f>
        <v>708.08699999999999</v>
      </c>
      <c r="BX155" s="12">
        <f>'Balance Sheet'!AY20/1000</f>
        <v>708.08699999999999</v>
      </c>
      <c r="BY155" s="12">
        <f>'Balance Sheet'!AZ20/1000</f>
        <v>718.23400000000004</v>
      </c>
      <c r="BZ155" s="12">
        <f>'Balance Sheet'!BA20/1000</f>
        <v>720.16700000000003</v>
      </c>
      <c r="CA155" s="12">
        <f>'Balance Sheet'!BB20/1000</f>
        <v>739.25300000000004</v>
      </c>
      <c r="CB155" s="12">
        <f>'Balance Sheet'!BC20/1000</f>
        <v>694.61400000000003</v>
      </c>
      <c r="CC155" s="12">
        <f>'Balance Sheet'!BD20/1000</f>
        <v>694.61400000000003</v>
      </c>
      <c r="CD155" s="12">
        <f>'Balance Sheet'!BE20/1000</f>
        <v>649.89</v>
      </c>
      <c r="CE155" s="12">
        <f>'Balance Sheet'!BF20/1000</f>
        <v>757.36699999999996</v>
      </c>
      <c r="CF155" s="12">
        <f>'Balance Sheet'!BG20/1000</f>
        <v>753.20500000000004</v>
      </c>
      <c r="CG155" s="12">
        <f>'Balance Sheet'!BH20/1000</f>
        <v>745.84100000000001</v>
      </c>
      <c r="CH155" s="12">
        <f>'Balance Sheet'!BI20/1000</f>
        <v>745.84100000000001</v>
      </c>
      <c r="CI155" s="12">
        <f>'Balance Sheet'!BJ20/1000</f>
        <v>716.68399999999997</v>
      </c>
      <c r="CJ155" s="12">
        <f>'Balance Sheet'!BK20/1000</f>
        <v>710.95</v>
      </c>
      <c r="CK155" s="12">
        <f>'Balance Sheet'!BL20/1000</f>
        <v>764.35</v>
      </c>
      <c r="CL155" s="12">
        <f>'Balance Sheet'!BM20/1000</f>
        <v>903.34500000000003</v>
      </c>
      <c r="CM155" s="12">
        <f>'Balance Sheet'!BN20/1000</f>
        <v>903.34500000000003</v>
      </c>
      <c r="CN155" s="12">
        <f>'Balance Sheet'!BO20/1000</f>
        <v>907.923</v>
      </c>
      <c r="CO155" s="12">
        <f>'Balance Sheet'!BP20/1000</f>
        <v>913.70100000000002</v>
      </c>
      <c r="CP155" s="12">
        <f>'Balance Sheet'!BQ20/1000</f>
        <v>813.50900000000001</v>
      </c>
      <c r="CQ155" s="12">
        <f>'Balance Sheet'!BR20/1000</f>
        <v>836.822</v>
      </c>
      <c r="CR155" s="12">
        <f>'Balance Sheet'!BS20/1000</f>
        <v>836.822</v>
      </c>
      <c r="CS155" s="12">
        <f>'Balance Sheet'!BT20/1000</f>
        <v>922.09</v>
      </c>
      <c r="CT155" s="12">
        <f>'Balance Sheet'!BU20/1000</f>
        <v>888.88400000000001</v>
      </c>
      <c r="CU155" s="12">
        <f>'Balance Sheet'!BV20/1000</f>
        <v>863.60400000000004</v>
      </c>
      <c r="CV155" s="12">
        <f>'Balance Sheet'!BW20/1000</f>
        <v>876.39499999999998</v>
      </c>
      <c r="CW155" s="12">
        <f>'Balance Sheet'!BX20/1000</f>
        <v>876.39499999999998</v>
      </c>
      <c r="CX155" s="12">
        <f>'Balance Sheet'!BY20/1000</f>
        <v>785.95</v>
      </c>
      <c r="CY155" s="12">
        <f>'Balance Sheet'!BZ20/1000</f>
        <v>785.95</v>
      </c>
      <c r="CZ155" s="12">
        <f>'Balance Sheet'!CA20/1000</f>
        <v>832.53200000000004</v>
      </c>
      <c r="DA155" s="12">
        <f>'Balance Sheet'!CB20/1000</f>
        <v>815.09</v>
      </c>
      <c r="DB155" s="12">
        <f>'Balance Sheet'!CC20/1000</f>
        <v>815.09</v>
      </c>
      <c r="DC155" s="12">
        <f>'Balance Sheet'!CD20/1000</f>
        <v>787.15499999999997</v>
      </c>
      <c r="DD155" s="12">
        <f>'Balance Sheet'!CE20/1000</f>
        <v>786.09</v>
      </c>
      <c r="DE155" s="12">
        <f>'Balance Sheet'!CF20/1000</f>
        <v>2078.3939999999998</v>
      </c>
      <c r="DF155" s="12">
        <f>'Balance Sheet'!CG20/1000</f>
        <v>2066.0239999999999</v>
      </c>
      <c r="DG155" s="12">
        <f>'Balance Sheet'!CH20/1000</f>
        <v>2066.0239999999999</v>
      </c>
      <c r="DH155" s="12">
        <f>'Balance Sheet'!CI20/1000</f>
        <v>2144.8150000000001</v>
      </c>
      <c r="DI155" s="12">
        <f>'Balance Sheet'!CJ20/1000</f>
        <v>2115.5059999999999</v>
      </c>
      <c r="DJ155" s="12">
        <f>'Balance Sheet'!CK20/1000</f>
        <v>2123.1799999999998</v>
      </c>
      <c r="DK155" s="12">
        <f>'Balance Sheet'!CL20/1000</f>
        <v>2070.2080000000001</v>
      </c>
      <c r="DL155" s="12">
        <f>'Balance Sheet'!CM20/1000</f>
        <v>2070.2080000000001</v>
      </c>
      <c r="DM155" s="12">
        <f>'Balance Sheet'!CN20/1000</f>
        <v>2184.1260000000002</v>
      </c>
      <c r="DN155" s="12">
        <f>'Balance Sheet'!CO20/1000</f>
        <v>2262.7820000000002</v>
      </c>
      <c r="DO155" s="12">
        <f>'Balance Sheet'!CP20/1000</f>
        <v>2262.0630000000001</v>
      </c>
      <c r="DP155" s="12">
        <f>'Balance Sheet'!CQ20/1000</f>
        <v>2245.7040000000002</v>
      </c>
      <c r="DQ155" s="12">
        <f>'Balance Sheet'!CR20/1000</f>
        <v>2245.7040000000002</v>
      </c>
      <c r="DR155" s="12">
        <f>'Balance Sheet'!CS20/1000</f>
        <v>2297.2049999999999</v>
      </c>
      <c r="DS155" s="12">
        <f>'Balance Sheet'!CT20/1000</f>
        <v>2323.931</v>
      </c>
      <c r="DT155" s="12">
        <f>'Balance Sheet'!CU20/1000</f>
        <v>2366.7559999999999</v>
      </c>
      <c r="DU155" s="12">
        <f>'Balance Sheet'!CV20/1000</f>
        <v>2439.1559999999999</v>
      </c>
      <c r="DV155" s="12">
        <f>'Balance Sheet'!CW20/1000</f>
        <v>2439.1559999999999</v>
      </c>
      <c r="DW155" s="12">
        <f>'Balance Sheet'!CX20/1000</f>
        <v>2572.538</v>
      </c>
      <c r="DX155" s="12">
        <f>'Balance Sheet'!CY20/1000</f>
        <v>2759.0619999999999</v>
      </c>
      <c r="DY155" s="12">
        <f>'Balance Sheet'!CZ20/1000</f>
        <v>2897.0219999999999</v>
      </c>
      <c r="DZ155" s="12">
        <f>'Balance Sheet'!DA20/1000</f>
        <v>3126.3249999999998</v>
      </c>
      <c r="EA155" s="12">
        <f>'Balance Sheet'!DB20/1000</f>
        <v>3126.3249999999998</v>
      </c>
      <c r="EB155" s="417"/>
    </row>
    <row r="156" spans="1:132" s="7" customFormat="1">
      <c r="A156" s="11" t="s">
        <v>356</v>
      </c>
      <c r="B156" s="418"/>
      <c r="C156" s="418"/>
      <c r="D156" s="418"/>
      <c r="E156" s="418"/>
      <c r="F156" s="418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0</v>
      </c>
      <c r="DF156" s="12">
        <v>0</v>
      </c>
      <c r="DG156" s="12">
        <v>0</v>
      </c>
      <c r="DH156" s="12">
        <v>0</v>
      </c>
      <c r="DI156" s="12">
        <v>0</v>
      </c>
      <c r="DJ156" s="12">
        <v>0</v>
      </c>
      <c r="DK156" s="12">
        <v>0</v>
      </c>
      <c r="DL156" s="12">
        <v>0</v>
      </c>
      <c r="DM156" s="12">
        <v>0</v>
      </c>
      <c r="DN156" s="12">
        <v>0</v>
      </c>
      <c r="DO156" s="12">
        <v>0</v>
      </c>
      <c r="DP156" s="12">
        <v>0</v>
      </c>
      <c r="DQ156" s="12">
        <v>0</v>
      </c>
      <c r="DR156" s="12">
        <v>0</v>
      </c>
      <c r="DS156" s="12">
        <v>0</v>
      </c>
      <c r="DT156" s="12">
        <v>0</v>
      </c>
      <c r="DU156" s="12">
        <v>0</v>
      </c>
      <c r="DV156" s="12">
        <v>0</v>
      </c>
      <c r="DW156" s="12">
        <v>0</v>
      </c>
      <c r="DX156" s="12">
        <v>0</v>
      </c>
      <c r="DY156" s="12">
        <v>0</v>
      </c>
      <c r="DZ156" s="12">
        <v>0</v>
      </c>
      <c r="EA156" s="12">
        <v>0</v>
      </c>
      <c r="EB156" s="417"/>
    </row>
    <row r="157" spans="1:132" s="7" customFormat="1">
      <c r="A157" s="11" t="s">
        <v>357</v>
      </c>
      <c r="B157" s="418"/>
      <c r="C157" s="418"/>
      <c r="D157" s="418"/>
      <c r="E157" s="418"/>
      <c r="F157" s="418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2">
        <v>0</v>
      </c>
      <c r="DI157" s="12">
        <v>0</v>
      </c>
      <c r="DJ157" s="12">
        <v>0</v>
      </c>
      <c r="DK157" s="12">
        <v>0</v>
      </c>
      <c r="DL157" s="12">
        <v>0</v>
      </c>
      <c r="DM157" s="12">
        <v>0</v>
      </c>
      <c r="DN157" s="12">
        <v>0</v>
      </c>
      <c r="DO157" s="12">
        <v>0</v>
      </c>
      <c r="DP157" s="12">
        <v>0</v>
      </c>
      <c r="DQ157" s="12">
        <v>0</v>
      </c>
      <c r="DR157" s="12">
        <v>0</v>
      </c>
      <c r="DS157" s="12">
        <v>0</v>
      </c>
      <c r="DT157" s="12">
        <v>0</v>
      </c>
      <c r="DU157" s="12">
        <v>0</v>
      </c>
      <c r="DV157" s="12">
        <v>0</v>
      </c>
      <c r="DW157" s="12">
        <v>0</v>
      </c>
      <c r="DX157" s="12">
        <v>0</v>
      </c>
      <c r="DY157" s="12">
        <v>0</v>
      </c>
      <c r="DZ157" s="12">
        <v>0</v>
      </c>
      <c r="EA157" s="12">
        <v>0</v>
      </c>
      <c r="EB157" s="417"/>
    </row>
    <row r="158" spans="1:132" s="7" customFormat="1">
      <c r="A158" s="11" t="s">
        <v>358</v>
      </c>
      <c r="B158" s="418"/>
      <c r="C158" s="418"/>
      <c r="D158" s="418"/>
      <c r="E158" s="418"/>
      <c r="F158" s="418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s="12">
        <v>0</v>
      </c>
      <c r="DG158" s="12">
        <v>0</v>
      </c>
      <c r="DH158" s="12">
        <v>0</v>
      </c>
      <c r="DI158" s="12">
        <v>0</v>
      </c>
      <c r="DJ158" s="12">
        <v>0</v>
      </c>
      <c r="DK158" s="12">
        <v>0</v>
      </c>
      <c r="DL158" s="12">
        <v>0</v>
      </c>
      <c r="DM158" s="12">
        <v>0</v>
      </c>
      <c r="DN158" s="12">
        <v>0</v>
      </c>
      <c r="DO158" s="12">
        <v>0</v>
      </c>
      <c r="DP158" s="12">
        <v>0</v>
      </c>
      <c r="DQ158" s="12">
        <v>0</v>
      </c>
      <c r="DR158" s="12">
        <v>0</v>
      </c>
      <c r="DS158" s="12">
        <v>0</v>
      </c>
      <c r="DT158" s="12">
        <v>0</v>
      </c>
      <c r="DU158" s="12">
        <v>0</v>
      </c>
      <c r="DV158" s="12">
        <v>0</v>
      </c>
      <c r="DW158" s="12">
        <v>0</v>
      </c>
      <c r="DX158" s="12">
        <v>0</v>
      </c>
      <c r="DY158" s="12">
        <v>0</v>
      </c>
      <c r="DZ158" s="12">
        <v>0</v>
      </c>
      <c r="EA158" s="12">
        <v>0</v>
      </c>
      <c r="EB158" s="417"/>
    </row>
    <row r="159" spans="1:132" s="7" customFormat="1">
      <c r="A159" s="17" t="s">
        <v>359</v>
      </c>
      <c r="B159" s="441"/>
      <c r="C159" s="441"/>
      <c r="D159" s="441"/>
      <c r="E159" s="441"/>
      <c r="F159" s="441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  <c r="DY159" s="39"/>
      <c r="DZ159" s="39"/>
      <c r="EA159" s="39"/>
      <c r="EB159" s="417"/>
    </row>
    <row r="160" spans="1:132" s="7" customFormat="1" ht="13.5" thickBot="1">
      <c r="A160" s="13" t="s">
        <v>360</v>
      </c>
      <c r="B160" s="439"/>
      <c r="C160" s="439"/>
      <c r="D160" s="439"/>
      <c r="E160" s="439"/>
      <c r="F160" s="439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417"/>
    </row>
    <row r="161" spans="1:132" s="7" customFormat="1">
      <c r="A161" s="17"/>
      <c r="B161" s="424"/>
      <c r="C161" s="424"/>
      <c r="D161" s="424"/>
      <c r="E161" s="424"/>
      <c r="F161" s="424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417"/>
    </row>
    <row r="162" spans="1:132" s="7" customFormat="1">
      <c r="A162" s="11" t="s">
        <v>361</v>
      </c>
      <c r="B162" s="418"/>
      <c r="C162" s="418"/>
      <c r="D162" s="418"/>
      <c r="E162" s="418"/>
      <c r="F162" s="418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>
        <f>'Balance Sheet'!B32/1000+'Balance Sheet'!B33/1000+'Balance Sheet'!B34/1000+'Balance Sheet'!B35/1000</f>
        <v>195.62899999999999</v>
      </c>
      <c r="AB162" s="12">
        <f>'Balance Sheet'!C32/1000+'Balance Sheet'!C33/1000+'Balance Sheet'!C34/1000+'Balance Sheet'!C35/1000</f>
        <v>133.05099999999999</v>
      </c>
      <c r="AC162" s="12">
        <f>'Balance Sheet'!D32/1000+'Balance Sheet'!D33/1000+'Balance Sheet'!D34/1000+'Balance Sheet'!D35/1000</f>
        <v>143.173</v>
      </c>
      <c r="AD162" s="12">
        <f>'Balance Sheet'!E32/1000+'Balance Sheet'!E33/1000+'Balance Sheet'!E34/1000+'Balance Sheet'!E35/1000</f>
        <v>305.25</v>
      </c>
      <c r="AE162" s="12">
        <f>'Balance Sheet'!F32/1000+'Balance Sheet'!F33/1000+'Balance Sheet'!F34/1000+'Balance Sheet'!F35/1000</f>
        <v>305.25</v>
      </c>
      <c r="AF162" s="12">
        <f>'Balance Sheet'!G32/1000+'Balance Sheet'!G33/1000+'Balance Sheet'!G34/1000+'Balance Sheet'!G35/1000</f>
        <v>344.8485</v>
      </c>
      <c r="AG162" s="12">
        <f>'Balance Sheet'!H32/1000+'Balance Sheet'!H33/1000+'Balance Sheet'!H34/1000+'Balance Sheet'!H35/1000</f>
        <v>264.90300000000002</v>
      </c>
      <c r="AH162" s="12">
        <f>'Balance Sheet'!I32/1000+'Balance Sheet'!I33/1000+'Balance Sheet'!I34/1000+'Balance Sheet'!I35/1000</f>
        <v>219.934</v>
      </c>
      <c r="AI162" s="12">
        <f>'Balance Sheet'!J32/1000+'Balance Sheet'!J33/1000+'Balance Sheet'!J34/1000+'Balance Sheet'!J35/1000</f>
        <v>223.10899999999998</v>
      </c>
      <c r="AJ162" s="12">
        <f>'Balance Sheet'!K32/1000+'Balance Sheet'!K33/1000+'Balance Sheet'!K34/1000+'Balance Sheet'!K35/1000</f>
        <v>223.10899999999998</v>
      </c>
      <c r="AK162" s="12">
        <f>'Balance Sheet'!L32/1000+'Balance Sheet'!L33/1000+'Balance Sheet'!L34/1000+'Balance Sheet'!L35/1000</f>
        <v>218.667</v>
      </c>
      <c r="AL162" s="12">
        <f>'Balance Sheet'!M32/1000+'Balance Sheet'!M33/1000+'Balance Sheet'!M34/1000+'Balance Sheet'!M35/1000</f>
        <v>263.33999999999997</v>
      </c>
      <c r="AM162" s="12">
        <f>'Balance Sheet'!N32/1000+'Balance Sheet'!N33/1000+'Balance Sheet'!N34/1000+'Balance Sheet'!N35/1000</f>
        <v>290.95600000000002</v>
      </c>
      <c r="AN162" s="12">
        <f>'Balance Sheet'!O32/1000+'Balance Sheet'!O33/1000+'Balance Sheet'!O34/1000+'Balance Sheet'!O35/1000</f>
        <v>502.66999999999996</v>
      </c>
      <c r="AO162" s="12">
        <f>'Balance Sheet'!P32/1000+'Balance Sheet'!P33/1000+'Balance Sheet'!P34/1000+'Balance Sheet'!P35/1000</f>
        <v>502.66999999999996</v>
      </c>
      <c r="AP162" s="12">
        <f>'Balance Sheet'!Q32/1000+'Balance Sheet'!Q33/1000+'Balance Sheet'!Q34/1000+'Balance Sheet'!Q35/1000</f>
        <v>633.49099999999999</v>
      </c>
      <c r="AQ162" s="12">
        <f>'Balance Sheet'!R32/1000+'Balance Sheet'!R33/1000+'Balance Sheet'!R34/1000+'Balance Sheet'!R35/1000</f>
        <v>690.09400000000005</v>
      </c>
      <c r="AR162" s="12">
        <f>'Balance Sheet'!S32/1000+'Balance Sheet'!S33/1000+'Balance Sheet'!S34/1000+'Balance Sheet'!S35/1000</f>
        <v>849.62200000000007</v>
      </c>
      <c r="AS162" s="12">
        <f>'Balance Sheet'!T32/1000+'Balance Sheet'!T33/1000+'Balance Sheet'!T34/1000+'Balance Sheet'!T35/1000</f>
        <v>1150.403</v>
      </c>
      <c r="AT162" s="12">
        <f>'Balance Sheet'!U32/1000+'Balance Sheet'!U33/1000+'Balance Sheet'!U34/1000+'Balance Sheet'!U35/1000</f>
        <v>1150.403</v>
      </c>
      <c r="AU162" s="12">
        <f>'Balance Sheet'!V32/1000+'Balance Sheet'!V33/1000+'Balance Sheet'!V34/1000+'Balance Sheet'!V35/1000</f>
        <v>880.88499999999999</v>
      </c>
      <c r="AV162" s="12">
        <f>'Balance Sheet'!W32/1000+'Balance Sheet'!W33/1000+'Balance Sheet'!W34/1000+'Balance Sheet'!W35/1000</f>
        <v>1001.162</v>
      </c>
      <c r="AW162" s="12">
        <f>'Balance Sheet'!X32/1000+'Balance Sheet'!X33/1000+'Balance Sheet'!X34/1000+'Balance Sheet'!X35/1000</f>
        <v>1315.742</v>
      </c>
      <c r="AX162" s="12">
        <f>'Balance Sheet'!Y32/1000+'Balance Sheet'!Y33/1000+'Balance Sheet'!Y34/1000+'Balance Sheet'!Y35/1000</f>
        <v>2225.6489999999999</v>
      </c>
      <c r="AY162" s="12">
        <f>'Balance Sheet'!Z32/1000+'Balance Sheet'!Z33/1000+'Balance Sheet'!Z34/1000+'Balance Sheet'!Z35/1000</f>
        <v>2225.6489999999999</v>
      </c>
      <c r="AZ162" s="12">
        <f>'Balance Sheet'!AA32/1000+'Balance Sheet'!AA33/1000+'Balance Sheet'!AA34/1000+'Balance Sheet'!AA35/1000</f>
        <v>2549.797</v>
      </c>
      <c r="BA162" s="12">
        <f>'Balance Sheet'!AB32/1000+'Balance Sheet'!AB33/1000+'Balance Sheet'!AB34/1000+'Balance Sheet'!AB35/1000</f>
        <v>2374.5810000000001</v>
      </c>
      <c r="BB162" s="12">
        <f>'Balance Sheet'!AC32/1000+'Balance Sheet'!AC33/1000+'Balance Sheet'!AC34/1000+'Balance Sheet'!AC35/1000</f>
        <v>2462.509</v>
      </c>
      <c r="BC162" s="12">
        <f>'Balance Sheet'!AD32/1000+'Balance Sheet'!AD33/1000+'Balance Sheet'!AD34/1000+'Balance Sheet'!AD35/1000</f>
        <v>2904.3240000000001</v>
      </c>
      <c r="BD162" s="12">
        <f>'Balance Sheet'!AE32/1000+'Balance Sheet'!AE33/1000+'Balance Sheet'!AE34/1000+'Balance Sheet'!AE35/1000</f>
        <v>2904.3240000000001</v>
      </c>
      <c r="BE162" s="12">
        <f>'Balance Sheet'!AF32/1000+'Balance Sheet'!AF33/1000+'Balance Sheet'!AF34/1000+'Balance Sheet'!AF35/1000</f>
        <v>2946.8109999999997</v>
      </c>
      <c r="BF162" s="12">
        <f>'Balance Sheet'!AG32/1000+'Balance Sheet'!AG33/1000+'Balance Sheet'!AG34/1000+'Balance Sheet'!AG35/1000</f>
        <v>3101.7839999999997</v>
      </c>
      <c r="BG162" s="12">
        <f>'Balance Sheet'!AH32/1000+'Balance Sheet'!AH33/1000+'Balance Sheet'!AH34/1000+'Balance Sheet'!AH35/1000</f>
        <v>3034.375</v>
      </c>
      <c r="BH162" s="12">
        <f>'Balance Sheet'!AI32/1000+'Balance Sheet'!AI33/1000+'Balance Sheet'!AI34/1000+'Balance Sheet'!AI35/1000</f>
        <v>3026.058</v>
      </c>
      <c r="BI162" s="12">
        <f>'Balance Sheet'!AJ32/1000+'Balance Sheet'!AJ33/1000+'Balance Sheet'!AJ34/1000+'Balance Sheet'!AJ35/1000</f>
        <v>3026.058</v>
      </c>
      <c r="BJ162" s="12">
        <f>'Balance Sheet'!AK32/1000+'Balance Sheet'!AK33/1000+'Balance Sheet'!AK34/1000+'Balance Sheet'!AK35/1000</f>
        <v>2829.2910000000002</v>
      </c>
      <c r="BK162" s="12">
        <f>'Balance Sheet'!AL32/1000+'Balance Sheet'!AL33/1000+'Balance Sheet'!AL34/1000+'Balance Sheet'!AL35/1000</f>
        <v>3096.4110000000001</v>
      </c>
      <c r="BL162" s="12">
        <f>'Balance Sheet'!AM32/1000+'Balance Sheet'!AM33/1000+'Balance Sheet'!AM34/1000+'Balance Sheet'!AM35/1000</f>
        <v>2981.8100000000004</v>
      </c>
      <c r="BM162" s="12">
        <f>'Balance Sheet'!AN32/1000+'Balance Sheet'!AN33/1000+'Balance Sheet'!AN34/1000+'Balance Sheet'!AN35/1000</f>
        <v>2835.2730000000001</v>
      </c>
      <c r="BN162" s="12">
        <f>'Balance Sheet'!AO32/1000+'Balance Sheet'!AO33/1000+'Balance Sheet'!AO34/1000+'Balance Sheet'!AO35/1000</f>
        <v>2835.2730000000001</v>
      </c>
      <c r="BO162" s="12">
        <f>'Balance Sheet'!AP32/1000+'Balance Sheet'!AP33/1000+'Balance Sheet'!AP34/1000+'Balance Sheet'!AP35/1000</f>
        <v>2733.1369999999997</v>
      </c>
      <c r="BP162" s="12">
        <f>'Balance Sheet'!AQ32/1000+'Balance Sheet'!AQ33/1000+'Balance Sheet'!AQ34/1000+'Balance Sheet'!AQ35/1000</f>
        <v>2764.9259999999999</v>
      </c>
      <c r="BQ162" s="12">
        <f>'Balance Sheet'!AR32/1000+'Balance Sheet'!AR33/1000+'Balance Sheet'!AR34/1000+'Balance Sheet'!AR35/1000</f>
        <v>2744.7670000000003</v>
      </c>
      <c r="BR162" s="12">
        <f>'Balance Sheet'!AS32/1000+'Balance Sheet'!AS33/1000+'Balance Sheet'!AS34/1000+'Balance Sheet'!AS35/1000</f>
        <v>2210.7429999999999</v>
      </c>
      <c r="BS162" s="12">
        <f>'Balance Sheet'!AT32/1000+'Balance Sheet'!AT33/1000+'Balance Sheet'!AT34/1000+'Balance Sheet'!AT35/1000</f>
        <v>2210.7429999999999</v>
      </c>
      <c r="BT162" s="12">
        <f>'Balance Sheet'!AU32/1000+'Balance Sheet'!AU33/1000+'Balance Sheet'!AU34/1000+'Balance Sheet'!AU35/1000</f>
        <v>2342.9520000000002</v>
      </c>
      <c r="BU162" s="12">
        <f>'Balance Sheet'!AV32/1000+'Balance Sheet'!AV33/1000+'Balance Sheet'!AV34/1000+'Balance Sheet'!AV35/1000</f>
        <v>2265.7619999999997</v>
      </c>
      <c r="BV162" s="12">
        <f>'Balance Sheet'!AW32/1000+'Balance Sheet'!AW33/1000+'Balance Sheet'!AW34/1000+'Balance Sheet'!AW35/1000</f>
        <v>2351.634</v>
      </c>
      <c r="BW162" s="12">
        <f>'Balance Sheet'!AX32/1000+'Balance Sheet'!AX33/1000+'Balance Sheet'!AX34/1000+'Balance Sheet'!AX35/1000</f>
        <v>2429.598</v>
      </c>
      <c r="BX162" s="12">
        <f>'Balance Sheet'!AY32/1000+'Balance Sheet'!AY33/1000+'Balance Sheet'!AY34/1000+'Balance Sheet'!AY35/1000</f>
        <v>2429.598</v>
      </c>
      <c r="BY162" s="12">
        <f>'Balance Sheet'!AZ32/1000+'Balance Sheet'!AZ33/1000+'Balance Sheet'!AZ34/1000+'Balance Sheet'!AZ35/1000</f>
        <v>2136.4749999999999</v>
      </c>
      <c r="BZ162" s="12">
        <f>'Balance Sheet'!BA32/1000+'Balance Sheet'!BA33/1000+'Balance Sheet'!BA34/1000+'Balance Sheet'!BA35/1000</f>
        <v>1981.799</v>
      </c>
      <c r="CA162" s="12">
        <f>'Balance Sheet'!BB32/1000+'Balance Sheet'!BB33/1000+'Balance Sheet'!BB34/1000+'Balance Sheet'!BB35/1000</f>
        <v>2067.9790000000003</v>
      </c>
      <c r="CB162" s="12">
        <f>'Balance Sheet'!BC32/1000+'Balance Sheet'!BC33/1000+'Balance Sheet'!BC34/1000+'Balance Sheet'!BC35/1000</f>
        <v>2012.1210000000001</v>
      </c>
      <c r="CC162" s="12">
        <f>'Balance Sheet'!BD32/1000+'Balance Sheet'!BD33/1000+'Balance Sheet'!BD34/1000+'Balance Sheet'!BD35/1000</f>
        <v>2012.1210000000001</v>
      </c>
      <c r="CD162" s="12">
        <f>'Balance Sheet'!BE32/1000+'Balance Sheet'!BE33/1000+'Balance Sheet'!BE34/1000+'Balance Sheet'!BE35/1000</f>
        <v>1930.7410000000002</v>
      </c>
      <c r="CE162" s="12">
        <f>'Balance Sheet'!BF32/1000+'Balance Sheet'!BF33/1000+'Balance Sheet'!BF34/1000+'Balance Sheet'!BF35/1000</f>
        <v>1881.895</v>
      </c>
      <c r="CF162" s="12">
        <f>'Balance Sheet'!BG32/1000+'Balance Sheet'!BG33/1000+'Balance Sheet'!BG34/1000+'Balance Sheet'!BG35/1000</f>
        <v>1738.5039999999999</v>
      </c>
      <c r="CG162" s="12">
        <f>'Balance Sheet'!BH32/1000+'Balance Sheet'!BH33/1000+'Balance Sheet'!BH34/1000+'Balance Sheet'!BH35/1000</f>
        <v>1358.172</v>
      </c>
      <c r="CH162" s="12">
        <f>'Balance Sheet'!BI32/1000+'Balance Sheet'!BI33/1000+'Balance Sheet'!BI34/1000+'Balance Sheet'!BI35/1000</f>
        <v>1358.172</v>
      </c>
      <c r="CI162" s="12">
        <f>'Balance Sheet'!BJ32/1000+'Balance Sheet'!BJ33/1000+'Balance Sheet'!BJ34/1000+'Balance Sheet'!BJ35/1000</f>
        <v>1303.837</v>
      </c>
      <c r="CJ162" s="12">
        <f>'Balance Sheet'!BK32/1000+'Balance Sheet'!BK33/1000+'Balance Sheet'!BK34/1000+'Balance Sheet'!BK35/1000</f>
        <v>1151.2439999999999</v>
      </c>
      <c r="CK162" s="12">
        <f>'Balance Sheet'!BL32/1000+'Balance Sheet'!BL33/1000+'Balance Sheet'!BL34/1000+'Balance Sheet'!BL35/1000</f>
        <v>1034.482</v>
      </c>
      <c r="CL162" s="12">
        <f>'Balance Sheet'!BM32/1000+'Balance Sheet'!BM33/1000+'Balance Sheet'!BM34/1000+'Balance Sheet'!BM35/1000</f>
        <v>908.90599999999995</v>
      </c>
      <c r="CM162" s="12">
        <f>'Balance Sheet'!BN32/1000+'Balance Sheet'!BN33/1000+'Balance Sheet'!BN34/1000+'Balance Sheet'!BN35/1000</f>
        <v>908.90599999999995</v>
      </c>
      <c r="CN162" s="12">
        <f>'Balance Sheet'!BO32/1000+'Balance Sheet'!BO33/1000+'Balance Sheet'!BO34/1000+'Balance Sheet'!BO35/1000</f>
        <v>859.654</v>
      </c>
      <c r="CO162" s="12">
        <f>'Balance Sheet'!BP32/1000+'Balance Sheet'!BP33/1000+'Balance Sheet'!BP34/1000+'Balance Sheet'!BP35/1000</f>
        <v>1016.145</v>
      </c>
      <c r="CP162" s="12">
        <f>'Balance Sheet'!BQ32/1000+'Balance Sheet'!BQ33/1000+'Balance Sheet'!BQ34/1000+'Balance Sheet'!BQ35/1000</f>
        <v>967.798</v>
      </c>
      <c r="CQ162" s="12">
        <f>'Balance Sheet'!BR32/1000+'Balance Sheet'!BR33/1000+'Balance Sheet'!BR34/1000+'Balance Sheet'!BR35/1000</f>
        <v>864.56600000000003</v>
      </c>
      <c r="CR162" s="12">
        <f>'Balance Sheet'!BS32/1000+'Balance Sheet'!BS33/1000+'Balance Sheet'!BS34/1000+'Balance Sheet'!BS35/1000</f>
        <v>864.56600000000003</v>
      </c>
      <c r="CS162" s="12">
        <f>'Balance Sheet'!BT32/1000+'Balance Sheet'!BT33/1000+'Balance Sheet'!BT34/1000+'Balance Sheet'!BT35/1000</f>
        <v>957.55200000000002</v>
      </c>
      <c r="CT162" s="12">
        <f>'Balance Sheet'!BU32/1000+'Balance Sheet'!BU33/1000+'Balance Sheet'!BU34/1000+'Balance Sheet'!BU35/1000</f>
        <v>1134.3620000000001</v>
      </c>
      <c r="CU162" s="12">
        <f>'Balance Sheet'!BV32/1000+'Balance Sheet'!BV33/1000+'Balance Sheet'!BV34/1000+'Balance Sheet'!BV35/1000</f>
        <v>1299.3510000000001</v>
      </c>
      <c r="CV162" s="12">
        <f>'Balance Sheet'!BW32/1000+'Balance Sheet'!BW33/1000+'Balance Sheet'!BW34/1000+'Balance Sheet'!BW35/1000</f>
        <v>1245.7639999999999</v>
      </c>
      <c r="CW162" s="12">
        <f>'Balance Sheet'!BX32/1000+'Balance Sheet'!BX33/1000+'Balance Sheet'!BX34/1000+'Balance Sheet'!BX35/1000</f>
        <v>1245.7639999999999</v>
      </c>
      <c r="CX162" s="12">
        <f>'Balance Sheet'!BY32/1000+'Balance Sheet'!BY33/1000+'Balance Sheet'!BY34/1000+'Balance Sheet'!BY35/1000</f>
        <v>1391.7939999999999</v>
      </c>
      <c r="CY162" s="12">
        <f>'Balance Sheet'!BZ32/1000+'Balance Sheet'!BZ33/1000+'Balance Sheet'!BZ34/1000+'Balance Sheet'!BZ35/1000</f>
        <v>1404.2450000000001</v>
      </c>
      <c r="CZ162" s="12">
        <f>'Balance Sheet'!CA32/1000+'Balance Sheet'!CA33/1000+'Balance Sheet'!CA34/1000+'Balance Sheet'!CA35/1000</f>
        <v>1417.2630000000001</v>
      </c>
      <c r="DA162" s="12">
        <f>'Balance Sheet'!CB32/1000+'Balance Sheet'!CB33/1000+'Balance Sheet'!CB34/1000+'Balance Sheet'!CB35/1000</f>
        <v>1591.6120000000001</v>
      </c>
      <c r="DB162" s="12">
        <f>'Balance Sheet'!CC32/1000+'Balance Sheet'!CC33/1000+'Balance Sheet'!CC34/1000+'Balance Sheet'!CC35/1000</f>
        <v>1591.6120000000001</v>
      </c>
      <c r="DC162" s="12">
        <f>'Balance Sheet'!CD32/1000+'Balance Sheet'!CD33/1000+'Balance Sheet'!CD34/1000+'Balance Sheet'!CD35/1000</f>
        <v>1862.0720000000001</v>
      </c>
      <c r="DD162" s="12">
        <f>'Balance Sheet'!CE32/1000+'Balance Sheet'!CE33/1000+'Balance Sheet'!CE34/1000+'Balance Sheet'!CE35/1000</f>
        <v>1983.7670000000001</v>
      </c>
      <c r="DE162" s="12">
        <f>'Balance Sheet'!CF32/1000+'Balance Sheet'!CF33/1000+'Balance Sheet'!CF34/1000+'Balance Sheet'!CF35/1000</f>
        <v>1358.2730000000001</v>
      </c>
      <c r="DF162" s="12">
        <f>'Balance Sheet'!CG32/1000+'Balance Sheet'!CG33/1000+'Balance Sheet'!CG34/1000+'Balance Sheet'!CG35/1000</f>
        <v>1671.7339999999999</v>
      </c>
      <c r="DG162" s="12">
        <f>'Balance Sheet'!CH32/1000+'Balance Sheet'!CH33/1000+'Balance Sheet'!CH34/1000+'Balance Sheet'!CH35/1000</f>
        <v>1671.7339999999999</v>
      </c>
      <c r="DH162" s="12">
        <f>'Balance Sheet'!CI32/1000+'Balance Sheet'!CI33/1000+'Balance Sheet'!CI34/1000+'Balance Sheet'!CI35/1000</f>
        <v>1652.6350000000002</v>
      </c>
      <c r="DI162" s="12">
        <f>'Balance Sheet'!CJ32/1000+'Balance Sheet'!CJ33/1000+'Balance Sheet'!CJ34/1000+'Balance Sheet'!CJ35/1000</f>
        <v>1862.0940000000001</v>
      </c>
      <c r="DJ162" s="12">
        <f>'Balance Sheet'!CK32/1000+'Balance Sheet'!CK33/1000+'Balance Sheet'!CK34/1000+'Balance Sheet'!CK35/1000</f>
        <v>2240.04</v>
      </c>
      <c r="DK162" s="12">
        <f>'Balance Sheet'!CL32/1000+'Balance Sheet'!CL33/1000+'Balance Sheet'!CL34/1000+'Balance Sheet'!CL35/1000</f>
        <v>2245.5740000000001</v>
      </c>
      <c r="DL162" s="12">
        <f>'Balance Sheet'!CM32/1000+'Balance Sheet'!CM33/1000+'Balance Sheet'!CM34/1000+'Balance Sheet'!CM35/1000</f>
        <v>2245.5740000000001</v>
      </c>
      <c r="DM162" s="12">
        <f>'Balance Sheet'!CN32/1000+'Balance Sheet'!CN33/1000+'Balance Sheet'!CN34/1000+'Balance Sheet'!CN35/1000</f>
        <v>2359.998</v>
      </c>
      <c r="DN162" s="12">
        <f>'Balance Sheet'!CO32/1000+'Balance Sheet'!CO33/1000+'Balance Sheet'!CO34/1000+'Balance Sheet'!CO35/1000</f>
        <v>2288.3980000000001</v>
      </c>
      <c r="DO162" s="12">
        <f>'Balance Sheet'!CP32/1000+'Balance Sheet'!CP33/1000+'Balance Sheet'!CP34/1000+'Balance Sheet'!CP35/1000</f>
        <v>2559.9639999999999</v>
      </c>
      <c r="DP162" s="12">
        <f>'Balance Sheet'!CQ32/1000+'Balance Sheet'!CQ33/1000+'Balance Sheet'!CQ34/1000+'Balance Sheet'!CQ35/1000</f>
        <v>2326.319</v>
      </c>
      <c r="DQ162" s="12">
        <f>'Balance Sheet'!CR32/1000+'Balance Sheet'!CR33/1000+'Balance Sheet'!CR34/1000+'Balance Sheet'!CR35/1000</f>
        <v>2326.319</v>
      </c>
      <c r="DR162" s="12">
        <f>'Balance Sheet'!CS32/1000+'Balance Sheet'!CS33/1000+'Balance Sheet'!CS34/1000+'Balance Sheet'!CS35/1000</f>
        <v>2280.08</v>
      </c>
      <c r="DS162" s="12">
        <f>'Balance Sheet'!CT32/1000+'Balance Sheet'!CT33/1000+'Balance Sheet'!CT34/1000+'Balance Sheet'!CT35/1000</f>
        <v>2261.8470000000002</v>
      </c>
      <c r="DT162" s="12">
        <f>'Balance Sheet'!CU32/1000+'Balance Sheet'!CU33/1000+'Balance Sheet'!CU34/1000+'Balance Sheet'!CU35/1000</f>
        <v>2235.5720000000001</v>
      </c>
      <c r="DU162" s="12">
        <f>'Balance Sheet'!CV32/1000+'Balance Sheet'!CV33/1000+'Balance Sheet'!CV34/1000+'Balance Sheet'!CV35/1000</f>
        <v>2252.3329999999996</v>
      </c>
      <c r="DV162" s="12">
        <f>'Balance Sheet'!CW32/1000+'Balance Sheet'!CW33/1000+'Balance Sheet'!CW34/1000+'Balance Sheet'!CW35/1000</f>
        <v>2252.3329999999996</v>
      </c>
      <c r="DW162" s="12">
        <f>'Balance Sheet'!CX32/1000+'Balance Sheet'!CX33/1000+'Balance Sheet'!CX34/1000+'Balance Sheet'!CX35/1000</f>
        <v>2182.3869999999997</v>
      </c>
      <c r="DX162" s="12">
        <f>'Balance Sheet'!CY32/1000+'Balance Sheet'!CY33/1000+'Balance Sheet'!CY34/1000+'Balance Sheet'!CY35/1000</f>
        <v>2150.7579999999998</v>
      </c>
      <c r="DY162" s="12">
        <f>'Balance Sheet'!CZ32/1000+'Balance Sheet'!CZ33/1000+'Balance Sheet'!CZ34/1000+'Balance Sheet'!CZ35/1000</f>
        <v>2588.7799999999997</v>
      </c>
      <c r="DZ162" s="12">
        <f>'Balance Sheet'!DA32/1000+'Balance Sheet'!DA33/1000+'Balance Sheet'!DA34/1000+'Balance Sheet'!DA35/1000</f>
        <v>3413.645</v>
      </c>
      <c r="EA162" s="12">
        <f>'Balance Sheet'!DB32/1000+'Balance Sheet'!DB33/1000+'Balance Sheet'!DB34/1000+'Balance Sheet'!DB35/1000</f>
        <v>3413.645</v>
      </c>
      <c r="EB162" s="417"/>
    </row>
    <row r="163" spans="1:132" s="7" customFormat="1">
      <c r="A163" s="11" t="s">
        <v>362</v>
      </c>
      <c r="B163" s="418"/>
      <c r="C163" s="418"/>
      <c r="D163" s="418"/>
      <c r="E163" s="418"/>
      <c r="F163" s="418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>
        <f>'Balance Sheet'!B36/1000+'Balance Sheet'!B37/1000+'Balance Sheet'!B39/1000+'Balance Sheet'!B40/1000</f>
        <v>77.573000000000008</v>
      </c>
      <c r="AB163" s="12">
        <f>'Balance Sheet'!C36/1000+'Balance Sheet'!C37/1000+'Balance Sheet'!C39/1000+'Balance Sheet'!C40/1000</f>
        <v>65.022999999999996</v>
      </c>
      <c r="AC163" s="12">
        <f>'Balance Sheet'!D36/1000+'Balance Sheet'!D37/1000+'Balance Sheet'!D39/1000+'Balance Sheet'!D40/1000</f>
        <v>64.387</v>
      </c>
      <c r="AD163" s="12">
        <f>'Balance Sheet'!E36/1000+'Balance Sheet'!E37/1000+'Balance Sheet'!E39/1000+'Balance Sheet'!E40/1000</f>
        <v>227.197</v>
      </c>
      <c r="AE163" s="12">
        <f>'Balance Sheet'!F36/1000+'Balance Sheet'!F37/1000+'Balance Sheet'!F39/1000+'Balance Sheet'!F40/1000</f>
        <v>227.197</v>
      </c>
      <c r="AF163" s="12">
        <f>'Balance Sheet'!G36/1000+'Balance Sheet'!G37/1000+'Balance Sheet'!G39/1000+'Balance Sheet'!G40/1000</f>
        <v>254.76400000000001</v>
      </c>
      <c r="AG163" s="12">
        <f>'Balance Sheet'!H36/1000+'Balance Sheet'!H37/1000+'Balance Sheet'!H39/1000+'Balance Sheet'!H40/1000</f>
        <v>208.70799999999997</v>
      </c>
      <c r="AH163" s="12">
        <f>'Balance Sheet'!I36/1000+'Balance Sheet'!I37/1000+'Balance Sheet'!I39/1000+'Balance Sheet'!I40/1000</f>
        <v>214.19499999999999</v>
      </c>
      <c r="AI163" s="12">
        <f>'Balance Sheet'!J36/1000+'Balance Sheet'!J37/1000+'Balance Sheet'!J39/1000+'Balance Sheet'!J40/1000</f>
        <v>213.46700000000001</v>
      </c>
      <c r="AJ163" s="12">
        <f>'Balance Sheet'!K36/1000+'Balance Sheet'!K37/1000+'Balance Sheet'!K39/1000+'Balance Sheet'!K40/1000</f>
        <v>213.46700000000001</v>
      </c>
      <c r="AK163" s="12">
        <f>'Balance Sheet'!L36/1000+'Balance Sheet'!L37/1000+'Balance Sheet'!L39/1000+'Balance Sheet'!L40/1000</f>
        <v>240.63299999999998</v>
      </c>
      <c r="AL163" s="12">
        <f>'Balance Sheet'!M36/1000+'Balance Sheet'!M37/1000+'Balance Sheet'!M39/1000+'Balance Sheet'!M40/1000</f>
        <v>258.35699999999997</v>
      </c>
      <c r="AM163" s="12">
        <f>'Balance Sheet'!N36/1000+'Balance Sheet'!N37/1000+'Balance Sheet'!N39/1000+'Balance Sheet'!N40/1000</f>
        <v>266.62199999999996</v>
      </c>
      <c r="AN163" s="12">
        <f>'Balance Sheet'!O36/1000+'Balance Sheet'!O37/1000+'Balance Sheet'!O39/1000+'Balance Sheet'!O40/1000</f>
        <v>312.63599999999997</v>
      </c>
      <c r="AO163" s="12">
        <f>'Balance Sheet'!P36/1000+'Balance Sheet'!P37/1000+'Balance Sheet'!P39/1000+'Balance Sheet'!P40/1000</f>
        <v>312.63599999999997</v>
      </c>
      <c r="AP163" s="12">
        <f>'Balance Sheet'!Q36/1000+'Balance Sheet'!Q37/1000+'Balance Sheet'!Q39/1000+'Balance Sheet'!Q40/1000</f>
        <v>246.67700000000002</v>
      </c>
      <c r="AQ163" s="12">
        <f>'Balance Sheet'!R36/1000+'Balance Sheet'!R37/1000+'Balance Sheet'!R39/1000+'Balance Sheet'!R40/1000</f>
        <v>264.90800000000002</v>
      </c>
      <c r="AR163" s="12">
        <f>'Balance Sheet'!S36/1000+'Balance Sheet'!S37/1000+'Balance Sheet'!S39/1000+'Balance Sheet'!S40/1000</f>
        <v>295.541</v>
      </c>
      <c r="AS163" s="12">
        <f>'Balance Sheet'!T36/1000+'Balance Sheet'!T37/1000+'Balance Sheet'!T39/1000+'Balance Sheet'!T40/1000</f>
        <v>389.26400000000001</v>
      </c>
      <c r="AT163" s="12">
        <f>'Balance Sheet'!U36/1000+'Balance Sheet'!U37/1000+'Balance Sheet'!U39/1000+'Balance Sheet'!U40/1000</f>
        <v>389.26400000000001</v>
      </c>
      <c r="AU163" s="12">
        <f>'Balance Sheet'!V36/1000+'Balance Sheet'!V37/1000+'Balance Sheet'!V39/1000+'Balance Sheet'!V40/1000</f>
        <v>372.99900000000002</v>
      </c>
      <c r="AV163" s="12">
        <f>'Balance Sheet'!W36/1000+'Balance Sheet'!W37/1000+'Balance Sheet'!W39/1000+'Balance Sheet'!W40/1000</f>
        <v>377.45399999999995</v>
      </c>
      <c r="AW163" s="12">
        <f>'Balance Sheet'!X36/1000+'Balance Sheet'!X37/1000+'Balance Sheet'!X39/1000+'Balance Sheet'!X40/1000</f>
        <v>403.303</v>
      </c>
      <c r="AX163" s="12">
        <f>'Balance Sheet'!Y36/1000+'Balance Sheet'!Y37/1000+'Balance Sheet'!Y39/1000+'Balance Sheet'!Y40/1000</f>
        <v>649.07300000000009</v>
      </c>
      <c r="AY163" s="12">
        <f>'Balance Sheet'!Z36/1000+'Balance Sheet'!Z37/1000+'Balance Sheet'!Z39/1000+'Balance Sheet'!Z40/1000</f>
        <v>649.07300000000009</v>
      </c>
      <c r="AZ163" s="12">
        <f>'Balance Sheet'!AA36/1000+'Balance Sheet'!AA37/1000+'Balance Sheet'!AA39/1000+'Balance Sheet'!AA40/1000</f>
        <v>436.28</v>
      </c>
      <c r="BA163" s="12">
        <f>'Balance Sheet'!AB36/1000+'Balance Sheet'!AB37/1000+'Balance Sheet'!AB39/1000+'Balance Sheet'!AB40/1000</f>
        <v>403.983</v>
      </c>
      <c r="BB163" s="12">
        <f>'Balance Sheet'!AC36/1000+'Balance Sheet'!AC37/1000+'Balance Sheet'!AC39/1000+'Balance Sheet'!AC40/1000</f>
        <v>480.86099999999999</v>
      </c>
      <c r="BC163" s="12">
        <f>'Balance Sheet'!AD36/1000+'Balance Sheet'!AD37/1000+'Balance Sheet'!AD39/1000+'Balance Sheet'!AD40/1000</f>
        <v>594.47399999999993</v>
      </c>
      <c r="BD163" s="12">
        <f>'Balance Sheet'!AE36/1000+'Balance Sheet'!AE37/1000+'Balance Sheet'!AE39/1000+'Balance Sheet'!AE40/1000</f>
        <v>594.47399999999993</v>
      </c>
      <c r="BE163" s="12">
        <f>'Balance Sheet'!AF36/1000+'Balance Sheet'!AF37/1000+'Balance Sheet'!AF39/1000+'Balance Sheet'!AF40/1000</f>
        <v>704.66</v>
      </c>
      <c r="BF163" s="12">
        <f>'Balance Sheet'!AG36/1000+'Balance Sheet'!AG37/1000+'Balance Sheet'!AG39/1000+'Balance Sheet'!AG40/1000</f>
        <v>736.45800000000008</v>
      </c>
      <c r="BG163" s="12">
        <f>'Balance Sheet'!AH36/1000+'Balance Sheet'!AH37/1000+'Balance Sheet'!AH39/1000+'Balance Sheet'!AH40/1000</f>
        <v>757.07400000000007</v>
      </c>
      <c r="BH163" s="12">
        <f>'Balance Sheet'!AI36/1000+'Balance Sheet'!AI37/1000+'Balance Sheet'!AI39/1000+'Balance Sheet'!AI40/1000</f>
        <v>628.899</v>
      </c>
      <c r="BI163" s="12">
        <f>'Balance Sheet'!AJ36/1000+'Balance Sheet'!AJ37/1000+'Balance Sheet'!AJ39/1000+'Balance Sheet'!AJ40/1000</f>
        <v>628.899</v>
      </c>
      <c r="BJ163" s="12">
        <f>'Balance Sheet'!AK36/1000+'Balance Sheet'!AK37/1000+'Balance Sheet'!AK39/1000+'Balance Sheet'!AK40/1000</f>
        <v>940.36599999999999</v>
      </c>
      <c r="BK163" s="12">
        <f>'Balance Sheet'!AL36/1000+'Balance Sheet'!AL37/1000+'Balance Sheet'!AL39/1000+'Balance Sheet'!AL40/1000</f>
        <v>662.93500000000006</v>
      </c>
      <c r="BL163" s="12">
        <f>'Balance Sheet'!AM36/1000+'Balance Sheet'!AM37/1000+'Balance Sheet'!AM39/1000+'Balance Sheet'!AM40/1000</f>
        <v>873.78800000000001</v>
      </c>
      <c r="BM163" s="12">
        <f>'Balance Sheet'!AN36/1000+'Balance Sheet'!AN37/1000+'Balance Sheet'!AN39/1000+'Balance Sheet'!AN40/1000</f>
        <v>999.92399999999998</v>
      </c>
      <c r="BN163" s="12">
        <f>'Balance Sheet'!AO36/1000+'Balance Sheet'!AO37/1000+'Balance Sheet'!AO39/1000+'Balance Sheet'!AO40/1000</f>
        <v>999.92399999999998</v>
      </c>
      <c r="BO163" s="12">
        <f>'Balance Sheet'!AP36/1000+'Balance Sheet'!AP37/1000+'Balance Sheet'!AP39/1000+'Balance Sheet'!AP40/1000</f>
        <v>948.92000000000007</v>
      </c>
      <c r="BP163" s="12">
        <f>'Balance Sheet'!AQ36/1000+'Balance Sheet'!AQ37/1000+'Balance Sheet'!AQ39/1000+'Balance Sheet'!AQ40/1000</f>
        <v>1015.6609999999999</v>
      </c>
      <c r="BQ163" s="12">
        <f>'Balance Sheet'!AR36/1000+'Balance Sheet'!AR37/1000+'Balance Sheet'!AR39/1000+'Balance Sheet'!AR40/1000</f>
        <v>985.66599999999994</v>
      </c>
      <c r="BR163" s="12">
        <f>'Balance Sheet'!AS36/1000+'Balance Sheet'!AS37/1000+'Balance Sheet'!AS39/1000+'Balance Sheet'!AS40/1000</f>
        <v>1276.8920000000001</v>
      </c>
      <c r="BS163" s="12">
        <f>'Balance Sheet'!AT36/1000+'Balance Sheet'!AT37/1000+'Balance Sheet'!AT39/1000+'Balance Sheet'!AT40/1000</f>
        <v>1276.8920000000001</v>
      </c>
      <c r="BT163" s="12">
        <f>'Balance Sheet'!AU36/1000+'Balance Sheet'!AU37/1000+'Balance Sheet'!AU39/1000+'Balance Sheet'!AU40/1000</f>
        <v>1079.9480000000001</v>
      </c>
      <c r="BU163" s="12">
        <f>'Balance Sheet'!AV36/1000+'Balance Sheet'!AV37/1000+'Balance Sheet'!AV39/1000+'Balance Sheet'!AV40/1000</f>
        <v>1218.2350000000001</v>
      </c>
      <c r="BV163" s="12">
        <f>'Balance Sheet'!AW36/1000+'Balance Sheet'!AW37/1000+'Balance Sheet'!AW39/1000+'Balance Sheet'!AW40/1000</f>
        <v>1221.672</v>
      </c>
      <c r="BW163" s="12">
        <f>'Balance Sheet'!AX36/1000+'Balance Sheet'!AX37/1000+'Balance Sheet'!AX39/1000+'Balance Sheet'!AX40/1000</f>
        <v>1209.558</v>
      </c>
      <c r="BX163" s="12">
        <f>'Balance Sheet'!AY36/1000+'Balance Sheet'!AY37/1000+'Balance Sheet'!AY39/1000+'Balance Sheet'!AY40/1000</f>
        <v>1209.558</v>
      </c>
      <c r="BY163" s="12">
        <f>'Balance Sheet'!AZ36/1000+'Balance Sheet'!AZ37/1000+'Balance Sheet'!AZ39/1000+'Balance Sheet'!AZ40/1000</f>
        <v>1143.018</v>
      </c>
      <c r="BZ163" s="12">
        <f>'Balance Sheet'!BA36/1000+'Balance Sheet'!BA37/1000+'Balance Sheet'!BA39/1000+'Balance Sheet'!BA40/1000</f>
        <v>1163.327</v>
      </c>
      <c r="CA163" s="12">
        <f>'Balance Sheet'!BB36/1000+'Balance Sheet'!BB37/1000+'Balance Sheet'!BB39/1000+'Balance Sheet'!BB40/1000</f>
        <v>1074.1599999999999</v>
      </c>
      <c r="CB163" s="12">
        <f>'Balance Sheet'!BC36/1000+'Balance Sheet'!BC37/1000+'Balance Sheet'!BC39/1000+'Balance Sheet'!BC40/1000</f>
        <v>859.65999999999985</v>
      </c>
      <c r="CC163" s="12">
        <f>'Balance Sheet'!BD36/1000+'Balance Sheet'!BD37/1000+'Balance Sheet'!BD39/1000+'Balance Sheet'!BD40/1000</f>
        <v>859.65999999999985</v>
      </c>
      <c r="CD163" s="12">
        <f>'Balance Sheet'!BE36/1000+'Balance Sheet'!BE37/1000+'Balance Sheet'!BE39/1000+'Balance Sheet'!BE40/1000</f>
        <v>868.59000000000015</v>
      </c>
      <c r="CE163" s="12">
        <f>'Balance Sheet'!BF36/1000+'Balance Sheet'!BF37/1000+'Balance Sheet'!BF39/1000+'Balance Sheet'!BF40/1000</f>
        <v>941.46100000000001</v>
      </c>
      <c r="CF163" s="12">
        <f>'Balance Sheet'!BG36/1000+'Balance Sheet'!BG37/1000+'Balance Sheet'!BG39/1000+'Balance Sheet'!BG40/1000</f>
        <v>723.245</v>
      </c>
      <c r="CG163" s="12">
        <f>'Balance Sheet'!BH36/1000+'Balance Sheet'!BH37/1000+'Balance Sheet'!BH39/1000+'Balance Sheet'!BH40/1000</f>
        <v>711.44900000000007</v>
      </c>
      <c r="CH163" s="12">
        <f>'Balance Sheet'!BI36/1000+'Balance Sheet'!BI37/1000+'Balance Sheet'!BI39/1000+'Balance Sheet'!BI40/1000</f>
        <v>711.44900000000007</v>
      </c>
      <c r="CI163" s="12">
        <f>'Balance Sheet'!BJ36/1000+'Balance Sheet'!BJ37/1000+'Balance Sheet'!BJ39/1000+'Balance Sheet'!BJ40/1000</f>
        <v>699.18</v>
      </c>
      <c r="CJ163" s="12">
        <f>'Balance Sheet'!BK36/1000+'Balance Sheet'!BK37/1000+'Balance Sheet'!BK39/1000+'Balance Sheet'!BK40/1000</f>
        <v>689.19200000000001</v>
      </c>
      <c r="CK163" s="12">
        <f>'Balance Sheet'!BL36/1000+'Balance Sheet'!BL37/1000+'Balance Sheet'!BL39/1000+'Balance Sheet'!BL40/1000</f>
        <v>695.56600000000003</v>
      </c>
      <c r="CL163" s="12">
        <f>'Balance Sheet'!BM36/1000+'Balance Sheet'!BM37/1000+'Balance Sheet'!BM39/1000+'Balance Sheet'!BM40/1000</f>
        <v>679.62900000000002</v>
      </c>
      <c r="CM163" s="12">
        <f>'Balance Sheet'!BN36/1000+'Balance Sheet'!BN37/1000+'Balance Sheet'!BN39/1000+'Balance Sheet'!BN40/1000</f>
        <v>679.62900000000002</v>
      </c>
      <c r="CN163" s="12">
        <f>'Balance Sheet'!BO36/1000+'Balance Sheet'!BO37/1000+'Balance Sheet'!BO39/1000+'Balance Sheet'!BO40/1000</f>
        <v>636.07900000000006</v>
      </c>
      <c r="CO163" s="12">
        <f>'Balance Sheet'!BP36/1000+'Balance Sheet'!BP37/1000+'Balance Sheet'!BP39/1000+'Balance Sheet'!BP40/1000</f>
        <v>560.50400000000002</v>
      </c>
      <c r="CP163" s="12">
        <f>'Balance Sheet'!BQ36/1000+'Balance Sheet'!BQ37/1000+'Balance Sheet'!BQ39/1000+'Balance Sheet'!BQ40/1000</f>
        <v>505.19999999999993</v>
      </c>
      <c r="CQ163" s="12">
        <f>'Balance Sheet'!BR36/1000+'Balance Sheet'!BR37/1000+'Balance Sheet'!BR39/1000+'Balance Sheet'!BR40/1000</f>
        <v>547.25500000000011</v>
      </c>
      <c r="CR163" s="12">
        <f>'Balance Sheet'!BS36/1000+'Balance Sheet'!BS37/1000+'Balance Sheet'!BS39/1000+'Balance Sheet'!BS40/1000</f>
        <v>547.25500000000011</v>
      </c>
      <c r="CS163" s="12">
        <f>'Balance Sheet'!BT36/1000+'Balance Sheet'!BT37/1000+'Balance Sheet'!BT39/1000+'Balance Sheet'!BT40/1000</f>
        <v>489.40899999999999</v>
      </c>
      <c r="CT163" s="12">
        <f>'Balance Sheet'!BU36/1000+'Balance Sheet'!BU37/1000+'Balance Sheet'!BU39/1000+'Balance Sheet'!BU40/1000</f>
        <v>500.46999999999997</v>
      </c>
      <c r="CU163" s="12">
        <f>'Balance Sheet'!BV36/1000+'Balance Sheet'!BV37/1000+'Balance Sheet'!BV39/1000+'Balance Sheet'!BV40/1000</f>
        <v>612.09500000000003</v>
      </c>
      <c r="CV163" s="12">
        <f>'Balance Sheet'!BW36/1000+'Balance Sheet'!BW37/1000+'Balance Sheet'!BW39/1000+'Balance Sheet'!BW40/1000</f>
        <v>644.822</v>
      </c>
      <c r="CW163" s="12">
        <f>'Balance Sheet'!BX36/1000+'Balance Sheet'!BX37/1000+'Balance Sheet'!BX39/1000+'Balance Sheet'!BX40/1000</f>
        <v>644.822</v>
      </c>
      <c r="CX163" s="12">
        <f>'Balance Sheet'!BY36/1000+'Balance Sheet'!BY37/1000+'Balance Sheet'!BY39/1000+'Balance Sheet'!BY40/1000</f>
        <v>613.149</v>
      </c>
      <c r="CY163" s="12">
        <f>'Balance Sheet'!BZ36/1000+'Balance Sheet'!BZ37/1000+'Balance Sheet'!BZ39/1000+'Balance Sheet'!BZ40/1000</f>
        <v>780.73900000000003</v>
      </c>
      <c r="CZ163" s="12">
        <f>'Balance Sheet'!CA36/1000+'Balance Sheet'!CA37/1000+'Balance Sheet'!CA39/1000+'Balance Sheet'!CA40/1000</f>
        <v>574.59</v>
      </c>
      <c r="DA163" s="12">
        <f>'Balance Sheet'!CB36/1000+'Balance Sheet'!CB37/1000+'Balance Sheet'!CB39/1000+'Balance Sheet'!CB40/1000</f>
        <v>605.80099999999993</v>
      </c>
      <c r="DB163" s="12">
        <f>'Balance Sheet'!CC36/1000+'Balance Sheet'!CC37/1000+'Balance Sheet'!CC39/1000+'Balance Sheet'!CC40/1000</f>
        <v>605.80099999999993</v>
      </c>
      <c r="DC163" s="12">
        <f>'Balance Sheet'!CD36/1000+'Balance Sheet'!CD37/1000+'Balance Sheet'!CD39/1000+'Balance Sheet'!CD40/1000</f>
        <v>621.125</v>
      </c>
      <c r="DD163" s="12">
        <f>'Balance Sheet'!CE36/1000+'Balance Sheet'!CE37/1000+'Balance Sheet'!CE39/1000+'Balance Sheet'!CE40/1000</f>
        <v>620.72</v>
      </c>
      <c r="DE163" s="12">
        <f>'Balance Sheet'!CF36/1000+'Balance Sheet'!CF37/1000+'Balance Sheet'!CF39/1000+'Balance Sheet'!CF40/1000</f>
        <v>965.23599999999999</v>
      </c>
      <c r="DF163" s="12">
        <f>'Balance Sheet'!CG36/1000+'Balance Sheet'!CG37/1000+'Balance Sheet'!CG39/1000+'Balance Sheet'!CG40/1000</f>
        <v>754.70400000000006</v>
      </c>
      <c r="DG163" s="12">
        <f>'Balance Sheet'!CH36/1000+'Balance Sheet'!CH37/1000+'Balance Sheet'!CH39/1000+'Balance Sheet'!CH40/1000</f>
        <v>754.70400000000006</v>
      </c>
      <c r="DH163" s="12">
        <f>'Balance Sheet'!CI36/1000+'Balance Sheet'!CI37/1000+'Balance Sheet'!CI39/1000+'Balance Sheet'!CI40/1000</f>
        <v>762.48</v>
      </c>
      <c r="DI163" s="12">
        <f>'Balance Sheet'!CJ36/1000+'Balance Sheet'!CJ37/1000+'Balance Sheet'!CJ39/1000+'Balance Sheet'!CJ40/1000</f>
        <v>785.77599999999995</v>
      </c>
      <c r="DJ163" s="12">
        <f>'Balance Sheet'!CK36/1000+'Balance Sheet'!CK37/1000+'Balance Sheet'!CK39/1000+'Balance Sheet'!CK40/1000</f>
        <v>842.77100000000007</v>
      </c>
      <c r="DK163" s="12">
        <f>'Balance Sheet'!CL36/1000+'Balance Sheet'!CL37/1000+'Balance Sheet'!CL39/1000+'Balance Sheet'!CL40/1000</f>
        <v>832.22399999999993</v>
      </c>
      <c r="DL163" s="12">
        <f>'Balance Sheet'!CM36/1000+'Balance Sheet'!CM37/1000+'Balance Sheet'!CM39/1000+'Balance Sheet'!CM40/1000</f>
        <v>832.22399999999993</v>
      </c>
      <c r="DM163" s="12">
        <f>'Balance Sheet'!CN36/1000+'Balance Sheet'!CN37/1000+'Balance Sheet'!CN39/1000+'Balance Sheet'!CN40/1000</f>
        <v>882.82799999999997</v>
      </c>
      <c r="DN163" s="12">
        <f>'Balance Sheet'!CO36/1000+'Balance Sheet'!CO37/1000+'Balance Sheet'!CO39/1000+'Balance Sheet'!CO40/1000</f>
        <v>1021.1790000000001</v>
      </c>
      <c r="DO163" s="12">
        <f>'Balance Sheet'!CP36/1000+'Balance Sheet'!CP37/1000+'Balance Sheet'!CP39/1000+'Balance Sheet'!CP40/1000</f>
        <v>1597.63</v>
      </c>
      <c r="DP163" s="12">
        <f>'Balance Sheet'!CQ36/1000+'Balance Sheet'!CQ37/1000+'Balance Sheet'!CQ39/1000+'Balance Sheet'!CQ40/1000</f>
        <v>1258.4480000000001</v>
      </c>
      <c r="DQ163" s="12">
        <f>'Balance Sheet'!CR36/1000+'Balance Sheet'!CR37/1000+'Balance Sheet'!CR39/1000+'Balance Sheet'!CR40/1000</f>
        <v>1258.4480000000001</v>
      </c>
      <c r="DR163" s="12">
        <f>'Balance Sheet'!CS36/1000+'Balance Sheet'!CS37/1000+'Balance Sheet'!CS39/1000+'Balance Sheet'!CS40/1000</f>
        <v>1082.184</v>
      </c>
      <c r="DS163" s="12">
        <f>'Balance Sheet'!CT36/1000+'Balance Sheet'!CT37/1000+'Balance Sheet'!CT39/1000+'Balance Sheet'!CT40/1000</f>
        <v>1084.133</v>
      </c>
      <c r="DT163" s="12">
        <f>'Balance Sheet'!CU36/1000+'Balance Sheet'!CU37/1000+'Balance Sheet'!CU39/1000+'Balance Sheet'!CU40/1000</f>
        <v>1193.4499999999998</v>
      </c>
      <c r="DU163" s="12">
        <f>'Balance Sheet'!CV36/1000+'Balance Sheet'!CV37/1000+'Balance Sheet'!CV39/1000+'Balance Sheet'!CV40/1000</f>
        <v>1181.81</v>
      </c>
      <c r="DV163" s="12">
        <f>'Balance Sheet'!CW36/1000+'Balance Sheet'!CW37/1000+'Balance Sheet'!CW39/1000+'Balance Sheet'!CW40/1000</f>
        <v>1181.81</v>
      </c>
      <c r="DW163" s="12">
        <f>'Balance Sheet'!CX36/1000+'Balance Sheet'!CX37/1000+'Balance Sheet'!CX39/1000+'Balance Sheet'!CX40/1000</f>
        <v>1502.2369999999999</v>
      </c>
      <c r="DX163" s="12">
        <f>'Balance Sheet'!CY36/1000+'Balance Sheet'!CY37/1000+'Balance Sheet'!CY39/1000+'Balance Sheet'!CY40/1000</f>
        <v>1299.5819999999999</v>
      </c>
      <c r="DY163" s="12">
        <f>'Balance Sheet'!CZ36/1000+'Balance Sheet'!CZ37/1000+'Balance Sheet'!CZ39/1000+'Balance Sheet'!CZ40/1000</f>
        <v>1360.8899999999999</v>
      </c>
      <c r="DZ163" s="12">
        <f>'Balance Sheet'!DA36/1000+'Balance Sheet'!DA37/1000+'Balance Sheet'!DA39/1000+'Balance Sheet'!DA40/1000</f>
        <v>1382.67</v>
      </c>
      <c r="EA163" s="12">
        <f>'Balance Sheet'!DB36/1000+'Balance Sheet'!DB37/1000+'Balance Sheet'!DB39/1000+'Balance Sheet'!DB40/1000</f>
        <v>1382.67</v>
      </c>
      <c r="EB163" s="417"/>
    </row>
    <row r="164" spans="1:132" s="7" customFormat="1">
      <c r="A164" s="11" t="s">
        <v>363</v>
      </c>
      <c r="B164" s="418"/>
      <c r="C164" s="418"/>
      <c r="D164" s="418"/>
      <c r="E164" s="418"/>
      <c r="F164" s="418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>
        <f>'Balance Sheet'!B29/1000</f>
        <v>86.32</v>
      </c>
      <c r="AB164" s="12">
        <f>'Balance Sheet'!C29/1000</f>
        <v>93.822000000000003</v>
      </c>
      <c r="AC164" s="12">
        <f>'Balance Sheet'!D29/1000</f>
        <v>104.447</v>
      </c>
      <c r="AD164" s="12">
        <f>'Balance Sheet'!E29/1000</f>
        <v>265.01799999999997</v>
      </c>
      <c r="AE164" s="12">
        <f>'Balance Sheet'!F29/1000</f>
        <v>265.01799999999997</v>
      </c>
      <c r="AF164" s="12">
        <f>'Balance Sheet'!G29/1000</f>
        <v>546.78899999999999</v>
      </c>
      <c r="AG164" s="12">
        <f>'Balance Sheet'!H29/1000</f>
        <v>281.77100000000002</v>
      </c>
      <c r="AH164" s="12">
        <f>'Balance Sheet'!I29/1000</f>
        <v>188.666</v>
      </c>
      <c r="AI164" s="12">
        <f>'Balance Sheet'!J29/1000</f>
        <v>203.834</v>
      </c>
      <c r="AJ164" s="12">
        <f>'Balance Sheet'!K29/1000</f>
        <v>203.834</v>
      </c>
      <c r="AK164" s="12">
        <f>'Balance Sheet'!L29/1000</f>
        <v>219.13499999999999</v>
      </c>
      <c r="AL164" s="12">
        <f>'Balance Sheet'!M29/1000</f>
        <v>252.96100000000001</v>
      </c>
      <c r="AM164" s="12">
        <f>'Balance Sheet'!N29/1000</f>
        <v>161.904</v>
      </c>
      <c r="AN164" s="12">
        <f>'Balance Sheet'!O29/1000</f>
        <v>124.729</v>
      </c>
      <c r="AO164" s="12">
        <f>'Balance Sheet'!P29/1000</f>
        <v>124.729</v>
      </c>
      <c r="AP164" s="12">
        <f>'Balance Sheet'!Q29/1000</f>
        <v>249.16300000000001</v>
      </c>
      <c r="AQ164" s="12">
        <f>'Balance Sheet'!R29/1000</f>
        <v>681.22299999999996</v>
      </c>
      <c r="AR164" s="12">
        <f>'Balance Sheet'!S29/1000</f>
        <v>719.47</v>
      </c>
      <c r="AS164" s="12">
        <f>'Balance Sheet'!T29/1000</f>
        <v>818.79899999999998</v>
      </c>
      <c r="AT164" s="12">
        <f>'Balance Sheet'!U29/1000</f>
        <v>818.79899999999998</v>
      </c>
      <c r="AU164" s="12">
        <f>'Balance Sheet'!V29/1000</f>
        <v>378.4</v>
      </c>
      <c r="AV164" s="12">
        <f>'Balance Sheet'!W29/1000</f>
        <v>565.24900000000002</v>
      </c>
      <c r="AW164" s="12">
        <f>'Balance Sheet'!X29/1000</f>
        <v>713.15099999999995</v>
      </c>
      <c r="AX164" s="12">
        <f>'Balance Sheet'!Y29/1000</f>
        <v>730.7</v>
      </c>
      <c r="AY164" s="12">
        <f>'Balance Sheet'!Z29/1000</f>
        <v>730.7</v>
      </c>
      <c r="AZ164" s="12">
        <f>'Balance Sheet'!AA29/1000</f>
        <v>798.5</v>
      </c>
      <c r="BA164" s="12">
        <f>'Balance Sheet'!AB29/1000</f>
        <v>948.63800000000003</v>
      </c>
      <c r="BB164" s="12">
        <f>'Balance Sheet'!AC29/1000</f>
        <v>1117.597</v>
      </c>
      <c r="BC164" s="12">
        <f>'Balance Sheet'!AD29/1000</f>
        <v>1190.338</v>
      </c>
      <c r="BD164" s="12">
        <f>'Balance Sheet'!AE29/1000</f>
        <v>1190.338</v>
      </c>
      <c r="BE164" s="12">
        <f>'Balance Sheet'!AF29/1000</f>
        <v>1379.6890000000001</v>
      </c>
      <c r="BF164" s="12">
        <f>'Balance Sheet'!AG29/1000</f>
        <v>1578.221</v>
      </c>
      <c r="BG164" s="12">
        <f>'Balance Sheet'!AH29/1000</f>
        <v>1784.9680000000001</v>
      </c>
      <c r="BH164" s="12">
        <f>'Balance Sheet'!AI29/1000</f>
        <v>2208.7080000000001</v>
      </c>
      <c r="BI164" s="12">
        <f>'Balance Sheet'!AJ29/1000</f>
        <v>2208.7080000000001</v>
      </c>
      <c r="BJ164" s="12">
        <f>'Balance Sheet'!AK29/1000</f>
        <v>2424.2449999999999</v>
      </c>
      <c r="BK164" s="12">
        <f>'Balance Sheet'!AL29/1000</f>
        <v>2714.694</v>
      </c>
      <c r="BL164" s="12">
        <f>'Balance Sheet'!AM29/1000</f>
        <v>2799.558</v>
      </c>
      <c r="BM164" s="12">
        <f>'Balance Sheet'!AN29/1000</f>
        <v>2908.62</v>
      </c>
      <c r="BN164" s="12">
        <f>'Balance Sheet'!AO29/1000</f>
        <v>2908.62</v>
      </c>
      <c r="BO164" s="12">
        <f>'Balance Sheet'!AP29/1000</f>
        <v>2945.431</v>
      </c>
      <c r="BP164" s="12">
        <f>'Balance Sheet'!AQ29/1000</f>
        <v>2836.7489999999998</v>
      </c>
      <c r="BQ164" s="12">
        <f>'Balance Sheet'!AR29/1000</f>
        <v>2423.3629999999998</v>
      </c>
      <c r="BR164" s="12">
        <f>'Balance Sheet'!AS29/1000</f>
        <v>2133.0059999999999</v>
      </c>
      <c r="BS164" s="12">
        <f>'Balance Sheet'!AT29/1000</f>
        <v>2133.0059999999999</v>
      </c>
      <c r="BT164" s="12">
        <f>'Balance Sheet'!AU29/1000</f>
        <v>1852.4949999999999</v>
      </c>
      <c r="BU164" s="12">
        <f>'Balance Sheet'!AV29/1000</f>
        <v>1999.6089999999999</v>
      </c>
      <c r="BV164" s="12">
        <f>'Balance Sheet'!AW29/1000</f>
        <v>2180.2469999999998</v>
      </c>
      <c r="BW164" s="12">
        <f>'Balance Sheet'!AX29/1000</f>
        <v>2795.855</v>
      </c>
      <c r="BX164" s="12">
        <f>'Balance Sheet'!AY29/1000</f>
        <v>2795.855</v>
      </c>
      <c r="BY164" s="12">
        <f>'Balance Sheet'!AZ29/1000</f>
        <v>3160.0430000000001</v>
      </c>
      <c r="BZ164" s="12">
        <f>'Balance Sheet'!BA29/1000</f>
        <v>3411.1379999999999</v>
      </c>
      <c r="CA164" s="12">
        <f>'Balance Sheet'!BB29/1000</f>
        <v>3430.3409999999999</v>
      </c>
      <c r="CB164" s="12">
        <f>'Balance Sheet'!BC29/1000</f>
        <v>3093.5749999999998</v>
      </c>
      <c r="CC164" s="12">
        <f>'Balance Sheet'!BD29/1000</f>
        <v>3093.5749999999998</v>
      </c>
      <c r="CD164" s="12">
        <f>'Balance Sheet'!BE29/1000</f>
        <v>3146.87</v>
      </c>
      <c r="CE164" s="12">
        <f>'Balance Sheet'!BF29/1000</f>
        <v>3319.0189999999998</v>
      </c>
      <c r="CF164" s="12">
        <f>'Balance Sheet'!BG29/1000</f>
        <v>3390.0709999999999</v>
      </c>
      <c r="CG164" s="12">
        <f>'Balance Sheet'!BH29/1000</f>
        <v>3229.7510000000002</v>
      </c>
      <c r="CH164" s="12">
        <f>'Balance Sheet'!BI29/1000</f>
        <v>3229.7510000000002</v>
      </c>
      <c r="CI164" s="12">
        <f>'Balance Sheet'!BJ29/1000</f>
        <v>3151.529</v>
      </c>
      <c r="CJ164" s="12">
        <f>'Balance Sheet'!BK29/1000</f>
        <v>3191.25</v>
      </c>
      <c r="CK164" s="12">
        <f>'Balance Sheet'!BL29/1000</f>
        <v>3124.422</v>
      </c>
      <c r="CL164" s="12">
        <f>'Balance Sheet'!BM29/1000</f>
        <v>2870.8209999999999</v>
      </c>
      <c r="CM164" s="12">
        <f>'Balance Sheet'!BN29/1000</f>
        <v>2870.8209999999999</v>
      </c>
      <c r="CN164" s="12">
        <f>'Balance Sheet'!BO29/1000</f>
        <v>2925.0459999999998</v>
      </c>
      <c r="CO164" s="12">
        <f>'Balance Sheet'!BP29/1000</f>
        <v>2908.1570000000002</v>
      </c>
      <c r="CP164" s="12">
        <f>'Balance Sheet'!BQ29/1000</f>
        <v>2507.2959999999998</v>
      </c>
      <c r="CQ164" s="12">
        <f>'Balance Sheet'!BR29/1000</f>
        <v>2113.444</v>
      </c>
      <c r="CR164" s="12">
        <f>'Balance Sheet'!BS29/1000</f>
        <v>2113.444</v>
      </c>
      <c r="CS164" s="12">
        <f>'Balance Sheet'!BT29/1000</f>
        <v>1751.9359999999999</v>
      </c>
      <c r="CT164" s="12">
        <f>'Balance Sheet'!BU29/1000</f>
        <v>1831.4010000000001</v>
      </c>
      <c r="CU164" s="12">
        <f>'Balance Sheet'!BV29/1000</f>
        <v>1897.0170000000001</v>
      </c>
      <c r="CV164" s="12">
        <f>'Balance Sheet'!BW29/1000</f>
        <v>1615.836</v>
      </c>
      <c r="CW164" s="12">
        <f>'Balance Sheet'!BX29/1000</f>
        <v>1615.836</v>
      </c>
      <c r="CX164" s="12">
        <f>'Balance Sheet'!BY29/1000</f>
        <v>1355.037</v>
      </c>
      <c r="CY164" s="12">
        <f>'Balance Sheet'!BZ29/1000</f>
        <v>1156.171</v>
      </c>
      <c r="CZ164" s="12">
        <f>'Balance Sheet'!CA29/1000</f>
        <v>1003.75</v>
      </c>
      <c r="DA164" s="12">
        <f>'Balance Sheet'!CB29/1000</f>
        <v>936.68600000000004</v>
      </c>
      <c r="DB164" s="12">
        <f>'Balance Sheet'!CC29/1000</f>
        <v>936.68600000000004</v>
      </c>
      <c r="DC164" s="12">
        <f>'Balance Sheet'!CD29/1000</f>
        <v>974.51300000000003</v>
      </c>
      <c r="DD164" s="12">
        <f>'Balance Sheet'!CE29/1000</f>
        <v>1518.0519999999999</v>
      </c>
      <c r="DE164" s="12">
        <f>'Balance Sheet'!CF29/1000</f>
        <v>1104.136</v>
      </c>
      <c r="DF164" s="12">
        <f>'Balance Sheet'!CG29/1000</f>
        <v>1208.6210000000001</v>
      </c>
      <c r="DG164" s="12">
        <f>'Balance Sheet'!CH29/1000</f>
        <v>1208.6210000000001</v>
      </c>
      <c r="DH164" s="12">
        <f>'Balance Sheet'!CI29/1000</f>
        <v>1206.623</v>
      </c>
      <c r="DI164" s="12">
        <f>'Balance Sheet'!CJ29/1000</f>
        <v>1157.624</v>
      </c>
      <c r="DJ164" s="12">
        <f>'Balance Sheet'!CK29/1000</f>
        <v>1151.527</v>
      </c>
      <c r="DK164" s="12">
        <f>'Balance Sheet'!CL29/1000</f>
        <v>1387.3340000000001</v>
      </c>
      <c r="DL164" s="12">
        <f>'Balance Sheet'!CM29/1000</f>
        <v>1387.3340000000001</v>
      </c>
      <c r="DM164" s="12">
        <f>'Balance Sheet'!CN29/1000</f>
        <v>1419.45</v>
      </c>
      <c r="DN164" s="12">
        <f>'Balance Sheet'!CO29/1000</f>
        <v>1535.66</v>
      </c>
      <c r="DO164" s="12">
        <f>'Balance Sheet'!CP29/1000</f>
        <v>1549.721</v>
      </c>
      <c r="DP164" s="12">
        <f>'Balance Sheet'!CQ29/1000</f>
        <v>1835.136</v>
      </c>
      <c r="DQ164" s="12">
        <f>'Balance Sheet'!CR29/1000</f>
        <v>1835.136</v>
      </c>
      <c r="DR164" s="12">
        <f>'Balance Sheet'!CS29/1000</f>
        <v>1618.557</v>
      </c>
      <c r="DS164" s="12">
        <f>'Balance Sheet'!CT29/1000</f>
        <v>1768.914</v>
      </c>
      <c r="DT164" s="12">
        <f>'Balance Sheet'!CU29/1000</f>
        <v>1950.373</v>
      </c>
      <c r="DU164" s="12">
        <f>'Balance Sheet'!CV29/1000</f>
        <v>1994.8979999999999</v>
      </c>
      <c r="DV164" s="12">
        <f>'Balance Sheet'!CW29/1000</f>
        <v>1994.8979999999999</v>
      </c>
      <c r="DW164" s="12">
        <f>'Balance Sheet'!CX29/1000</f>
        <v>1885.222</v>
      </c>
      <c r="DX164" s="12">
        <f>'Balance Sheet'!CY29/1000</f>
        <v>1865.4939999999999</v>
      </c>
      <c r="DY164" s="12">
        <f>'Balance Sheet'!CZ29/1000</f>
        <v>2003.924</v>
      </c>
      <c r="DZ164" s="12">
        <f>'Balance Sheet'!DA29/1000</f>
        <v>2342.7800000000002</v>
      </c>
      <c r="EA164" s="12">
        <f>'Balance Sheet'!DB29/1000</f>
        <v>2342.7800000000002</v>
      </c>
      <c r="EB164" s="417"/>
    </row>
    <row r="165" spans="1:132" s="7" customFormat="1">
      <c r="A165" s="13" t="s">
        <v>364</v>
      </c>
      <c r="B165" s="433"/>
      <c r="C165" s="433"/>
      <c r="D165" s="433"/>
      <c r="E165" s="433"/>
      <c r="F165" s="433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417"/>
    </row>
    <row r="166" spans="1:132" s="7" customFormat="1">
      <c r="A166" s="11" t="s">
        <v>365</v>
      </c>
      <c r="B166" s="418"/>
      <c r="C166" s="418"/>
      <c r="D166" s="418"/>
      <c r="E166" s="418"/>
      <c r="F166" s="418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>
        <f>'Balance Sheet'!B30/1000+'Balance Sheet'!B31/1000</f>
        <v>0</v>
      </c>
      <c r="AB166" s="12">
        <f>'Balance Sheet'!C30/1000+'Balance Sheet'!C31/1000</f>
        <v>0</v>
      </c>
      <c r="AC166" s="12">
        <f>'Balance Sheet'!D30/1000+'Balance Sheet'!D31/1000</f>
        <v>0</v>
      </c>
      <c r="AD166" s="12">
        <f>'Balance Sheet'!E30/1000+'Balance Sheet'!E31/1000</f>
        <v>0</v>
      </c>
      <c r="AE166" s="12">
        <f>'Balance Sheet'!F30/1000+'Balance Sheet'!F31/1000</f>
        <v>0</v>
      </c>
      <c r="AF166" s="12">
        <f>'Balance Sheet'!G30/1000+'Balance Sheet'!G31/1000</f>
        <v>8.1859999999999999</v>
      </c>
      <c r="AG166" s="12">
        <f>'Balance Sheet'!H30/1000+'Balance Sheet'!H31/1000</f>
        <v>16.372</v>
      </c>
      <c r="AH166" s="12">
        <f>'Balance Sheet'!I30/1000+'Balance Sheet'!I31/1000</f>
        <v>10.122999999999999</v>
      </c>
      <c r="AI166" s="12">
        <f>'Balance Sheet'!J30/1000+'Balance Sheet'!J31/1000</f>
        <v>10.266999999999999</v>
      </c>
      <c r="AJ166" s="12">
        <f>'Balance Sheet'!K30/1000+'Balance Sheet'!K31/1000</f>
        <v>10.266999999999999</v>
      </c>
      <c r="AK166" s="12">
        <f>'Balance Sheet'!L30/1000+'Balance Sheet'!L31/1000</f>
        <v>12.786</v>
      </c>
      <c r="AL166" s="12">
        <f>'Balance Sheet'!M30/1000+'Balance Sheet'!M31/1000</f>
        <v>3.891</v>
      </c>
      <c r="AM166" s="12">
        <f>'Balance Sheet'!N30/1000+'Balance Sheet'!N31/1000</f>
        <v>6.7359999999999998</v>
      </c>
      <c r="AN166" s="12">
        <f>'Balance Sheet'!O30/1000+'Balance Sheet'!O31/1000</f>
        <v>23.416</v>
      </c>
      <c r="AO166" s="12">
        <f>'Balance Sheet'!P30/1000+'Balance Sheet'!P31/1000</f>
        <v>23.416</v>
      </c>
      <c r="AP166" s="12">
        <f>'Balance Sheet'!Q30/1000+'Balance Sheet'!Q31/1000</f>
        <v>23.942</v>
      </c>
      <c r="AQ166" s="12">
        <f>'Balance Sheet'!R30/1000+'Balance Sheet'!R31/1000</f>
        <v>20.661000000000001</v>
      </c>
      <c r="AR166" s="12">
        <f>'Balance Sheet'!S30/1000+'Balance Sheet'!S31/1000</f>
        <v>25.425999999999998</v>
      </c>
      <c r="AS166" s="12">
        <f>'Balance Sheet'!T30/1000+'Balance Sheet'!T31/1000</f>
        <v>81.004000000000005</v>
      </c>
      <c r="AT166" s="12">
        <f>'Balance Sheet'!U30/1000+'Balance Sheet'!U31/1000</f>
        <v>81.004000000000005</v>
      </c>
      <c r="AU166" s="12">
        <f>'Balance Sheet'!V30/1000+'Balance Sheet'!V31/1000</f>
        <v>1113.2049999999999</v>
      </c>
      <c r="AV166" s="12">
        <f>'Balance Sheet'!W30/1000+'Balance Sheet'!W31/1000</f>
        <v>1129.9460000000001</v>
      </c>
      <c r="AW166" s="12">
        <f>'Balance Sheet'!X30/1000+'Balance Sheet'!X31/1000</f>
        <v>1097.318</v>
      </c>
      <c r="AX166" s="12">
        <f>'Balance Sheet'!Y30/1000+'Balance Sheet'!Y31/1000</f>
        <v>1476.4469999999999</v>
      </c>
      <c r="AY166" s="12">
        <f>'Balance Sheet'!Z30/1000+'Balance Sheet'!Z31/1000</f>
        <v>1476.4469999999999</v>
      </c>
      <c r="AZ166" s="12">
        <f>'Balance Sheet'!AA30/1000+'Balance Sheet'!AA31/1000</f>
        <v>1539.8050000000001</v>
      </c>
      <c r="BA166" s="12">
        <f>'Balance Sheet'!AB30/1000+'Balance Sheet'!AB31/1000</f>
        <v>1569.664</v>
      </c>
      <c r="BB166" s="12">
        <f>'Balance Sheet'!AC30/1000+'Balance Sheet'!AC31/1000</f>
        <v>1912.8290000000002</v>
      </c>
      <c r="BC166" s="12">
        <f>'Balance Sheet'!AD30/1000+'Balance Sheet'!AD31/1000</f>
        <v>1557.2640000000001</v>
      </c>
      <c r="BD166" s="12">
        <f>'Balance Sheet'!AE30/1000+'Balance Sheet'!AE31/1000</f>
        <v>1557.2640000000001</v>
      </c>
      <c r="BE166" s="12">
        <f>'Balance Sheet'!AF30/1000+'Balance Sheet'!AF31/1000</f>
        <v>1355.2559999999999</v>
      </c>
      <c r="BF166" s="12">
        <f>'Balance Sheet'!AG30/1000+'Balance Sheet'!AG31/1000</f>
        <v>1338.104</v>
      </c>
      <c r="BG166" s="12">
        <f>'Balance Sheet'!AH30/1000+'Balance Sheet'!AH31/1000</f>
        <v>1324.847</v>
      </c>
      <c r="BH166" s="12">
        <f>'Balance Sheet'!AI30/1000+'Balance Sheet'!AI31/1000</f>
        <v>1354.3999999999999</v>
      </c>
      <c r="BI166" s="12">
        <f>'Balance Sheet'!AJ30/1000+'Balance Sheet'!AJ31/1000</f>
        <v>1354.3999999999999</v>
      </c>
      <c r="BJ166" s="12">
        <f>'Balance Sheet'!AK30/1000+'Balance Sheet'!AK31/1000</f>
        <v>1378.768</v>
      </c>
      <c r="BK166" s="12">
        <f>'Balance Sheet'!AL30/1000+'Balance Sheet'!AL31/1000</f>
        <v>1612.9459999999999</v>
      </c>
      <c r="BL166" s="12">
        <f>'Balance Sheet'!AM30/1000+'Balance Sheet'!AM31/1000</f>
        <v>1981.163</v>
      </c>
      <c r="BM166" s="12">
        <f>'Balance Sheet'!AN30/1000+'Balance Sheet'!AN31/1000</f>
        <v>1859.779</v>
      </c>
      <c r="BN166" s="12">
        <f>'Balance Sheet'!AO30/1000+'Balance Sheet'!AO31/1000</f>
        <v>1859.779</v>
      </c>
      <c r="BO166" s="12">
        <f>'Balance Sheet'!AP30/1000+'Balance Sheet'!AP31/1000</f>
        <v>1879.7259999999999</v>
      </c>
      <c r="BP166" s="12">
        <f>'Balance Sheet'!AQ30/1000+'Balance Sheet'!AQ31/1000</f>
        <v>1815.962</v>
      </c>
      <c r="BQ166" s="12">
        <f>'Balance Sheet'!AR30/1000+'Balance Sheet'!AR31/1000</f>
        <v>2104.2339999999999</v>
      </c>
      <c r="BR166" s="12">
        <f>'Balance Sheet'!AS30/1000+'Balance Sheet'!AS31/1000</f>
        <v>2201.6819999999998</v>
      </c>
      <c r="BS166" s="12">
        <f>'Balance Sheet'!AT30/1000+'Balance Sheet'!AT31/1000</f>
        <v>2201.6819999999998</v>
      </c>
      <c r="BT166" s="12">
        <f>'Balance Sheet'!AU30/1000+'Balance Sheet'!AU31/1000</f>
        <v>2269.317</v>
      </c>
      <c r="BU166" s="12">
        <f>'Balance Sheet'!AV30/1000+'Balance Sheet'!AV31/1000</f>
        <v>2023.123</v>
      </c>
      <c r="BV166" s="12">
        <f>'Balance Sheet'!AW30/1000+'Balance Sheet'!AW31/1000</f>
        <v>1963.5079999999998</v>
      </c>
      <c r="BW166" s="12">
        <f>'Balance Sheet'!AX30/1000+'Balance Sheet'!AX31/1000</f>
        <v>1587.2139999999999</v>
      </c>
      <c r="BX166" s="12">
        <f>'Balance Sheet'!AY30/1000+'Balance Sheet'!AY31/1000</f>
        <v>1587.2139999999999</v>
      </c>
      <c r="BY166" s="12">
        <f>'Balance Sheet'!AZ30/1000+'Balance Sheet'!AZ31/1000</f>
        <v>1593.9299999999998</v>
      </c>
      <c r="BZ166" s="12">
        <f>'Balance Sheet'!BA30/1000+'Balance Sheet'!BA31/1000</f>
        <v>1020.194</v>
      </c>
      <c r="CA166" s="12">
        <f>'Balance Sheet'!BB30/1000+'Balance Sheet'!BB31/1000</f>
        <v>948.904</v>
      </c>
      <c r="CB166" s="12">
        <f>'Balance Sheet'!BC30/1000+'Balance Sheet'!BC31/1000</f>
        <v>930.12699999999995</v>
      </c>
      <c r="CC166" s="12">
        <f>'Balance Sheet'!BD30/1000+'Balance Sheet'!BD31/1000</f>
        <v>930.12699999999995</v>
      </c>
      <c r="CD166" s="12">
        <f>'Balance Sheet'!BE30/1000+'Balance Sheet'!BE31/1000</f>
        <v>806.15899999999999</v>
      </c>
      <c r="CE166" s="12">
        <f>'Balance Sheet'!BF30/1000+'Balance Sheet'!BF31/1000</f>
        <v>755.69299999999998</v>
      </c>
      <c r="CF166" s="12">
        <f>'Balance Sheet'!BG30/1000+'Balance Sheet'!BG31/1000</f>
        <v>762.10599999999999</v>
      </c>
      <c r="CG166" s="12">
        <f>'Balance Sheet'!BH30/1000+'Balance Sheet'!BH31/1000</f>
        <v>644.67200000000003</v>
      </c>
      <c r="CH166" s="12">
        <f>'Balance Sheet'!BI30/1000+'Balance Sheet'!BI31/1000</f>
        <v>644.67200000000003</v>
      </c>
      <c r="CI166" s="12">
        <f>'Balance Sheet'!BJ30/1000+'Balance Sheet'!BJ31/1000</f>
        <v>671.53600000000006</v>
      </c>
      <c r="CJ166" s="12">
        <f>'Balance Sheet'!BK30/1000+'Balance Sheet'!BK31/1000</f>
        <v>452.15100000000001</v>
      </c>
      <c r="CK166" s="12">
        <f>'Balance Sheet'!BL30/1000+'Balance Sheet'!BL31/1000</f>
        <v>468.41700000000003</v>
      </c>
      <c r="CL166" s="12">
        <f>'Balance Sheet'!BM30/1000+'Balance Sheet'!BM31/1000</f>
        <v>617.65499999999997</v>
      </c>
      <c r="CM166" s="12">
        <f>'Balance Sheet'!BN30/1000+'Balance Sheet'!BN31/1000</f>
        <v>617.65499999999997</v>
      </c>
      <c r="CN166" s="12">
        <f>'Balance Sheet'!BO30/1000+'Balance Sheet'!BO31/1000</f>
        <v>704.56999999999994</v>
      </c>
      <c r="CO166" s="12">
        <f>'Balance Sheet'!BP30/1000+'Balance Sheet'!BP31/1000</f>
        <v>540.46600000000001</v>
      </c>
      <c r="CP166" s="12">
        <f>'Balance Sheet'!BQ30/1000+'Balance Sheet'!BQ31/1000</f>
        <v>631.3130000000001</v>
      </c>
      <c r="CQ166" s="12">
        <f>'Balance Sheet'!BR30/1000+'Balance Sheet'!BR31/1000</f>
        <v>510.77800000000002</v>
      </c>
      <c r="CR166" s="12">
        <f>'Balance Sheet'!BS30/1000+'Balance Sheet'!BS31/1000</f>
        <v>510.77800000000002</v>
      </c>
      <c r="CS166" s="12">
        <f>'Balance Sheet'!BT30/1000+'Balance Sheet'!BT31/1000</f>
        <v>418.22900000000004</v>
      </c>
      <c r="CT166" s="12">
        <f>'Balance Sheet'!BU30/1000+'Balance Sheet'!BU31/1000</f>
        <v>562.23700000000008</v>
      </c>
      <c r="CU166" s="12">
        <f>'Balance Sheet'!BV30/1000+'Balance Sheet'!BV31/1000</f>
        <v>1042.492</v>
      </c>
      <c r="CV166" s="12">
        <f>'Balance Sheet'!BW30/1000+'Balance Sheet'!BW31/1000</f>
        <v>785.03499999999997</v>
      </c>
      <c r="CW166" s="12">
        <f>'Balance Sheet'!BX30/1000+'Balance Sheet'!BX31/1000</f>
        <v>785.03499999999997</v>
      </c>
      <c r="CX166" s="12">
        <f>'Balance Sheet'!BY30/1000+'Balance Sheet'!BY31/1000</f>
        <v>814.55799999999999</v>
      </c>
      <c r="CY166" s="12">
        <f>'Balance Sheet'!BZ30/1000+'Balance Sheet'!BZ31/1000</f>
        <v>912.82799999999997</v>
      </c>
      <c r="CZ166" s="12">
        <f>'Balance Sheet'!CA30/1000+'Balance Sheet'!CA31/1000</f>
        <v>1495.229</v>
      </c>
      <c r="DA166" s="12">
        <f>'Balance Sheet'!CB30/1000+'Balance Sheet'!CB31/1000</f>
        <v>1678.2359999999999</v>
      </c>
      <c r="DB166" s="12">
        <f>'Balance Sheet'!CC30/1000+'Balance Sheet'!CC31/1000</f>
        <v>1678.2359999999999</v>
      </c>
      <c r="DC166" s="12">
        <f>'Balance Sheet'!CD30/1000+'Balance Sheet'!CD31/1000</f>
        <v>1622.414</v>
      </c>
      <c r="DD166" s="12">
        <f>'Balance Sheet'!CE30/1000+'Balance Sheet'!CE31/1000</f>
        <v>1484.4109999999998</v>
      </c>
      <c r="DE166" s="12">
        <f>'Balance Sheet'!CF30/1000+'Balance Sheet'!CF31/1000</f>
        <v>1417.481</v>
      </c>
      <c r="DF166" s="12">
        <f>'Balance Sheet'!CG30/1000+'Balance Sheet'!CG31/1000</f>
        <v>1584.1769999999999</v>
      </c>
      <c r="DG166" s="12">
        <f>'Balance Sheet'!CH30/1000+'Balance Sheet'!CH31/1000</f>
        <v>1584.1769999999999</v>
      </c>
      <c r="DH166" s="12">
        <f>'Balance Sheet'!CI30/1000+'Balance Sheet'!CI31/1000</f>
        <v>1616.2260000000001</v>
      </c>
      <c r="DI166" s="12">
        <f>'Balance Sheet'!CJ30/1000+'Balance Sheet'!CJ31/1000</f>
        <v>2278.1259999999997</v>
      </c>
      <c r="DJ166" s="12">
        <f>'Balance Sheet'!CK30/1000+'Balance Sheet'!CK31/1000</f>
        <v>2324.0940000000001</v>
      </c>
      <c r="DK166" s="12">
        <f>'Balance Sheet'!CL30/1000+'Balance Sheet'!CL31/1000</f>
        <v>2356.9540000000002</v>
      </c>
      <c r="DL166" s="12">
        <f>'Balance Sheet'!CM30/1000+'Balance Sheet'!CM31/1000</f>
        <v>2356.9540000000002</v>
      </c>
      <c r="DM166" s="12">
        <f>'Balance Sheet'!CN30/1000+'Balance Sheet'!CN31/1000</f>
        <v>2352.1390000000001</v>
      </c>
      <c r="DN166" s="12">
        <f>'Balance Sheet'!CO30/1000+'Balance Sheet'!CO31/1000</f>
        <v>2606.3780000000002</v>
      </c>
      <c r="DO166" s="12">
        <f>'Balance Sheet'!CP30/1000+'Balance Sheet'!CP31/1000</f>
        <v>2995.8629999999998</v>
      </c>
      <c r="DP166" s="12">
        <f>'Balance Sheet'!CQ30/1000+'Balance Sheet'!CQ31/1000</f>
        <v>3248.779</v>
      </c>
      <c r="DQ166" s="12">
        <f>'Balance Sheet'!CR30/1000+'Balance Sheet'!CR31/1000</f>
        <v>3248.779</v>
      </c>
      <c r="DR166" s="12">
        <f>'Balance Sheet'!CS30/1000+'Balance Sheet'!CS31/1000</f>
        <v>3277.3049999999998</v>
      </c>
      <c r="DS166" s="12">
        <f>'Balance Sheet'!CT30/1000+'Balance Sheet'!CT31/1000</f>
        <v>3274.4410000000003</v>
      </c>
      <c r="DT166" s="12">
        <f>'Balance Sheet'!CU30/1000+'Balance Sheet'!CU31/1000</f>
        <v>3103.91</v>
      </c>
      <c r="DU166" s="12">
        <f>'Balance Sheet'!CV30/1000+'Balance Sheet'!CV31/1000</f>
        <v>3218.587</v>
      </c>
      <c r="DV166" s="12">
        <f>'Balance Sheet'!CW30/1000+'Balance Sheet'!CW31/1000</f>
        <v>3218.587</v>
      </c>
      <c r="DW166" s="12">
        <f>'Balance Sheet'!CX30/1000+'Balance Sheet'!CX31/1000</f>
        <v>3129.1840000000002</v>
      </c>
      <c r="DX166" s="12">
        <f>'Balance Sheet'!CY30/1000+'Balance Sheet'!CY31/1000</f>
        <v>3486.5770000000002</v>
      </c>
      <c r="DY166" s="12">
        <f>'Balance Sheet'!CZ30/1000+'Balance Sheet'!CZ31/1000</f>
        <v>3545.1989999999996</v>
      </c>
      <c r="DZ166" s="12">
        <f>'Balance Sheet'!DA30/1000+'Balance Sheet'!DA31/1000</f>
        <v>3760.9560000000001</v>
      </c>
      <c r="EA166" s="12">
        <f>'Balance Sheet'!DB30/1000+'Balance Sheet'!DB31/1000</f>
        <v>3760.9560000000001</v>
      </c>
      <c r="EB166" s="417"/>
    </row>
    <row r="167" spans="1:132" s="7" customFormat="1">
      <c r="A167" s="11" t="s">
        <v>366</v>
      </c>
      <c r="B167" s="418"/>
      <c r="C167" s="418"/>
      <c r="D167" s="418"/>
      <c r="E167" s="418"/>
      <c r="F167" s="418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>
        <f>'Balance Sheet'!B38/1000</f>
        <v>7.8719999999999999</v>
      </c>
      <c r="AB167" s="12">
        <f>'Balance Sheet'!C38/1000</f>
        <v>0.871</v>
      </c>
      <c r="AC167" s="12">
        <f>'Balance Sheet'!D38/1000</f>
        <v>0.90800000000000003</v>
      </c>
      <c r="AD167" s="12">
        <f>'Balance Sheet'!E38/1000</f>
        <v>0</v>
      </c>
      <c r="AE167" s="12">
        <f>'Balance Sheet'!F38/1000</f>
        <v>0</v>
      </c>
      <c r="AF167" s="12">
        <f>'Balance Sheet'!G38/1000</f>
        <v>17.71</v>
      </c>
      <c r="AG167" s="12">
        <f>'Balance Sheet'!H38/1000</f>
        <v>35.42</v>
      </c>
      <c r="AH167" s="12">
        <f>'Balance Sheet'!I38/1000</f>
        <v>3.4820000000000002</v>
      </c>
      <c r="AI167" s="12">
        <f>'Balance Sheet'!J38/1000</f>
        <v>27.184999999999999</v>
      </c>
      <c r="AJ167" s="12">
        <f>'Balance Sheet'!K38/1000</f>
        <v>27.184999999999999</v>
      </c>
      <c r="AK167" s="12">
        <f>'Balance Sheet'!L38/1000</f>
        <v>27.184999999999999</v>
      </c>
      <c r="AL167" s="12">
        <f>'Balance Sheet'!M38/1000</f>
        <v>0</v>
      </c>
      <c r="AM167" s="12">
        <f>'Balance Sheet'!N38/1000</f>
        <v>0</v>
      </c>
      <c r="AN167" s="12">
        <f>'Balance Sheet'!O38/1000</f>
        <v>30.183</v>
      </c>
      <c r="AO167" s="12">
        <f>'Balance Sheet'!P38/1000</f>
        <v>30.183</v>
      </c>
      <c r="AP167" s="12">
        <f>'Balance Sheet'!Q38/1000</f>
        <v>30.183</v>
      </c>
      <c r="AQ167" s="12">
        <f>'Balance Sheet'!R38/1000</f>
        <v>0</v>
      </c>
      <c r="AR167" s="12">
        <f>'Balance Sheet'!S38/1000</f>
        <v>0</v>
      </c>
      <c r="AS167" s="12">
        <f>'Balance Sheet'!T38/1000</f>
        <v>14.574</v>
      </c>
      <c r="AT167" s="12">
        <f>'Balance Sheet'!U38/1000</f>
        <v>14.574</v>
      </c>
      <c r="AU167" s="12">
        <f>'Balance Sheet'!V38/1000</f>
        <v>14.574</v>
      </c>
      <c r="AV167" s="12">
        <f>'Balance Sheet'!W38/1000</f>
        <v>0</v>
      </c>
      <c r="AW167" s="12">
        <f>'Balance Sheet'!X38/1000</f>
        <v>0</v>
      </c>
      <c r="AX167" s="12">
        <f>'Balance Sheet'!Y38/1000</f>
        <v>65.956000000000003</v>
      </c>
      <c r="AY167" s="12">
        <f>'Balance Sheet'!Z38/1000</f>
        <v>65.956000000000003</v>
      </c>
      <c r="AZ167" s="12">
        <f>'Balance Sheet'!AA38/1000</f>
        <v>65.956000000000003</v>
      </c>
      <c r="BA167" s="12">
        <f>'Balance Sheet'!AB38/1000</f>
        <v>0</v>
      </c>
      <c r="BB167" s="12">
        <f>'Balance Sheet'!AC38/1000</f>
        <v>0</v>
      </c>
      <c r="BC167" s="12">
        <f>'Balance Sheet'!AD38/1000</f>
        <v>198.90700000000001</v>
      </c>
      <c r="BD167" s="12">
        <f>'Balance Sheet'!AE38/1000</f>
        <v>198.90700000000001</v>
      </c>
      <c r="BE167" s="12">
        <f>'Balance Sheet'!AF38/1000</f>
        <v>198.90700000000001</v>
      </c>
      <c r="BF167" s="12">
        <f>'Balance Sheet'!AG38/1000</f>
        <v>0</v>
      </c>
      <c r="BG167" s="12">
        <f>'Balance Sheet'!AH38/1000</f>
        <v>0</v>
      </c>
      <c r="BH167" s="12">
        <f>'Balance Sheet'!AI38/1000</f>
        <v>142.559</v>
      </c>
      <c r="BI167" s="12">
        <f>'Balance Sheet'!AJ38/1000</f>
        <v>142.559</v>
      </c>
      <c r="BJ167" s="12">
        <f>'Balance Sheet'!AK38/1000</f>
        <v>142.559</v>
      </c>
      <c r="BK167" s="12">
        <f>'Balance Sheet'!AL38/1000</f>
        <v>0</v>
      </c>
      <c r="BL167" s="12">
        <f>'Balance Sheet'!AM38/1000</f>
        <v>0</v>
      </c>
      <c r="BM167" s="12">
        <f>'Balance Sheet'!AN38/1000</f>
        <v>118.315</v>
      </c>
      <c r="BN167" s="12">
        <f>'Balance Sheet'!AO38/1000</f>
        <v>118.315</v>
      </c>
      <c r="BO167" s="12">
        <f>'Balance Sheet'!AP38/1000</f>
        <v>0</v>
      </c>
      <c r="BP167" s="12">
        <f>'Balance Sheet'!AQ38/1000</f>
        <v>0</v>
      </c>
      <c r="BQ167" s="12">
        <f>'Balance Sheet'!AR38/1000</f>
        <v>3.2000000000000001E-2</v>
      </c>
      <c r="BR167" s="12">
        <f>'Balance Sheet'!AS38/1000</f>
        <v>156.81800000000001</v>
      </c>
      <c r="BS167" s="12">
        <f>'Balance Sheet'!AT38/1000</f>
        <v>156.81800000000001</v>
      </c>
      <c r="BT167" s="12">
        <f>'Balance Sheet'!AU38/1000</f>
        <v>156.81800000000001</v>
      </c>
      <c r="BU167" s="12">
        <f>'Balance Sheet'!AV38/1000</f>
        <v>0.53900000000000003</v>
      </c>
      <c r="BV167" s="12">
        <f>'Balance Sheet'!AW38/1000</f>
        <v>0.108</v>
      </c>
      <c r="BW167" s="12">
        <f>'Balance Sheet'!AX38/1000</f>
        <v>170.82599999999999</v>
      </c>
      <c r="BX167" s="12">
        <f>'Balance Sheet'!AY38/1000</f>
        <v>170.82599999999999</v>
      </c>
      <c r="BY167" s="12">
        <f>'Balance Sheet'!AZ38/1000</f>
        <v>170.82599999999999</v>
      </c>
      <c r="BZ167" s="12">
        <f>'Balance Sheet'!BA38/1000</f>
        <v>0.156</v>
      </c>
      <c r="CA167" s="12">
        <f>'Balance Sheet'!BB38/1000</f>
        <v>0</v>
      </c>
      <c r="CB167" s="12">
        <f>'Balance Sheet'!BC38/1000</f>
        <v>157.28399999999999</v>
      </c>
      <c r="CC167" s="12">
        <f>'Balance Sheet'!BD38/1000</f>
        <v>157.28399999999999</v>
      </c>
      <c r="CD167" s="12">
        <f>'Balance Sheet'!BE38/1000</f>
        <v>157.28399999999999</v>
      </c>
      <c r="CE167" s="12">
        <f>'Balance Sheet'!BF38/1000</f>
        <v>0</v>
      </c>
      <c r="CF167" s="12">
        <f>'Balance Sheet'!BG38/1000</f>
        <v>0</v>
      </c>
      <c r="CG167" s="12">
        <f>'Balance Sheet'!BH38/1000</f>
        <v>106.657</v>
      </c>
      <c r="CH167" s="12">
        <f>'Balance Sheet'!BI38/1000</f>
        <v>106.657</v>
      </c>
      <c r="CI167" s="12">
        <f>'Balance Sheet'!BJ38/1000</f>
        <v>107.679</v>
      </c>
      <c r="CJ167" s="12">
        <f>'Balance Sheet'!BK38/1000</f>
        <v>0</v>
      </c>
      <c r="CK167" s="12">
        <f>'Balance Sheet'!BL38/1000</f>
        <v>0</v>
      </c>
      <c r="CL167" s="12">
        <f>'Balance Sheet'!BM38/1000</f>
        <v>35.945999999999998</v>
      </c>
      <c r="CM167" s="12">
        <f>'Balance Sheet'!BN38/1000</f>
        <v>35.945999999999998</v>
      </c>
      <c r="CN167" s="12">
        <f>'Balance Sheet'!BO38/1000</f>
        <v>35.945999999999998</v>
      </c>
      <c r="CO167" s="12">
        <f>'Balance Sheet'!BP38/1000</f>
        <v>0</v>
      </c>
      <c r="CP167" s="12">
        <f>'Balance Sheet'!BQ38/1000</f>
        <v>0</v>
      </c>
      <c r="CQ167" s="12">
        <f>'Balance Sheet'!BR38/1000</f>
        <v>0</v>
      </c>
      <c r="CR167" s="12">
        <f>'Balance Sheet'!BS38/1000</f>
        <v>0</v>
      </c>
      <c r="CS167" s="12">
        <f>'Balance Sheet'!BT38/1000</f>
        <v>0</v>
      </c>
      <c r="CT167" s="12">
        <f>'Balance Sheet'!BU38/1000</f>
        <v>200</v>
      </c>
      <c r="CU167" s="12">
        <f>'Balance Sheet'!BV38/1000</f>
        <v>0</v>
      </c>
      <c r="CV167" s="12">
        <f>'Balance Sheet'!BW38/1000</f>
        <v>0</v>
      </c>
      <c r="CW167" s="12">
        <f>'Balance Sheet'!BX38/1000</f>
        <v>0</v>
      </c>
      <c r="CX167" s="12">
        <f>'Balance Sheet'!BY38/1000</f>
        <v>0</v>
      </c>
      <c r="CY167" s="12">
        <f>'Balance Sheet'!BZ38/1000</f>
        <v>0</v>
      </c>
      <c r="CZ167" s="12">
        <f>'Balance Sheet'!CA38/1000</f>
        <v>0</v>
      </c>
      <c r="DA167" s="12">
        <f>'Balance Sheet'!CB38/1000</f>
        <v>0</v>
      </c>
      <c r="DB167" s="12">
        <f>'Balance Sheet'!CC38/1000</f>
        <v>0</v>
      </c>
      <c r="DC167" s="12">
        <f>'Balance Sheet'!CD38/1000</f>
        <v>0</v>
      </c>
      <c r="DD167" s="12">
        <f>'Balance Sheet'!CE38/1000</f>
        <v>0</v>
      </c>
      <c r="DE167" s="12">
        <f>'Balance Sheet'!CF38/1000</f>
        <v>0</v>
      </c>
      <c r="DF167" s="12">
        <f>'Balance Sheet'!CG38/1000</f>
        <v>418.06200000000001</v>
      </c>
      <c r="DG167" s="12">
        <f>'Balance Sheet'!CH38/1000</f>
        <v>418.06200000000001</v>
      </c>
      <c r="DH167" s="12">
        <f>'Balance Sheet'!CI38/1000</f>
        <v>418.06200000000001</v>
      </c>
      <c r="DI167" s="12">
        <f>'Balance Sheet'!CJ38/1000</f>
        <v>0</v>
      </c>
      <c r="DJ167" s="12">
        <f>'Balance Sheet'!CK38/1000</f>
        <v>0</v>
      </c>
      <c r="DK167" s="12">
        <f>'Balance Sheet'!CL38/1000</f>
        <v>217.16</v>
      </c>
      <c r="DL167" s="12">
        <f>'Balance Sheet'!CM38/1000</f>
        <v>217.16</v>
      </c>
      <c r="DM167" s="12">
        <f>'Balance Sheet'!CN38/1000</f>
        <v>217.16</v>
      </c>
      <c r="DN167" s="12">
        <f>'Balance Sheet'!CO38/1000</f>
        <v>217.16</v>
      </c>
      <c r="DO167" s="12">
        <f>'Balance Sheet'!CP38/1000</f>
        <v>217.16</v>
      </c>
      <c r="DP167" s="12">
        <f>'Balance Sheet'!CQ38/1000</f>
        <v>192.126</v>
      </c>
      <c r="DQ167" s="12">
        <f>'Balance Sheet'!CR38/1000</f>
        <v>192.126</v>
      </c>
      <c r="DR167" s="12">
        <f>'Balance Sheet'!CS38/1000</f>
        <v>192.10900000000001</v>
      </c>
      <c r="DS167" s="12">
        <f>'Balance Sheet'!CT38/1000</f>
        <v>192.10900000000001</v>
      </c>
      <c r="DT167" s="12">
        <f>'Balance Sheet'!CU38/1000</f>
        <v>0</v>
      </c>
      <c r="DU167" s="12">
        <f>'Balance Sheet'!CV38/1000</f>
        <v>223.74600000000001</v>
      </c>
      <c r="DV167" s="12">
        <f>'Balance Sheet'!CW38/1000</f>
        <v>223.74600000000001</v>
      </c>
      <c r="DW167" s="12">
        <f>'Balance Sheet'!CX38/1000</f>
        <v>223.74600000000001</v>
      </c>
      <c r="DX167" s="12">
        <f>'Balance Sheet'!CY38/1000</f>
        <v>223.74600000000001</v>
      </c>
      <c r="DY167" s="12">
        <f>'Balance Sheet'!CZ38/1000</f>
        <v>223.74600000000001</v>
      </c>
      <c r="DZ167" s="12">
        <f>'Balance Sheet'!DA38/1000</f>
        <v>391.637</v>
      </c>
      <c r="EA167" s="12">
        <f>'Balance Sheet'!DB38/1000</f>
        <v>391.637</v>
      </c>
      <c r="EB167" s="417"/>
    </row>
    <row r="168" spans="1:132" s="7" customFormat="1">
      <c r="A168" s="11" t="s">
        <v>367</v>
      </c>
      <c r="B168" s="418"/>
      <c r="C168" s="418"/>
      <c r="D168" s="418"/>
      <c r="E168" s="418"/>
      <c r="F168" s="418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417"/>
    </row>
    <row r="169" spans="1:132" s="7" customFormat="1">
      <c r="A169" s="13" t="s">
        <v>368</v>
      </c>
      <c r="B169" s="433"/>
      <c r="C169" s="433"/>
      <c r="D169" s="433"/>
      <c r="E169" s="433"/>
      <c r="F169" s="433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417"/>
    </row>
    <row r="170" spans="1:132" s="7" customFormat="1">
      <c r="A170" s="11" t="s">
        <v>369</v>
      </c>
      <c r="B170" s="418"/>
      <c r="C170" s="418"/>
      <c r="D170" s="418"/>
      <c r="E170" s="418"/>
      <c r="F170" s="418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</v>
      </c>
      <c r="CO170" s="12">
        <v>0</v>
      </c>
      <c r="CP170" s="12">
        <v>0</v>
      </c>
      <c r="CQ170" s="12">
        <v>0</v>
      </c>
      <c r="CR170" s="12">
        <v>0</v>
      </c>
      <c r="CS170" s="12">
        <v>0</v>
      </c>
      <c r="CT170" s="12">
        <v>0</v>
      </c>
      <c r="CU170" s="12">
        <v>0</v>
      </c>
      <c r="CV170" s="12">
        <v>0</v>
      </c>
      <c r="CW170" s="12">
        <v>0</v>
      </c>
      <c r="CX170" s="12">
        <v>0</v>
      </c>
      <c r="CY170" s="12">
        <v>0</v>
      </c>
      <c r="CZ170" s="12">
        <v>0</v>
      </c>
      <c r="DA170" s="12">
        <v>0</v>
      </c>
      <c r="DB170" s="12">
        <v>0</v>
      </c>
      <c r="DC170" s="12">
        <v>0</v>
      </c>
      <c r="DD170" s="12">
        <v>0</v>
      </c>
      <c r="DE170" s="12">
        <v>0</v>
      </c>
      <c r="DF170" s="12">
        <v>0</v>
      </c>
      <c r="DG170" s="12">
        <v>0</v>
      </c>
      <c r="DH170" s="12">
        <v>0</v>
      </c>
      <c r="DI170" s="12">
        <v>0</v>
      </c>
      <c r="DJ170" s="12">
        <v>0</v>
      </c>
      <c r="DK170" s="12">
        <v>0</v>
      </c>
      <c r="DL170" s="12">
        <v>0</v>
      </c>
      <c r="DM170" s="12">
        <v>0</v>
      </c>
      <c r="DN170" s="12">
        <v>0</v>
      </c>
      <c r="DO170" s="12">
        <v>0</v>
      </c>
      <c r="DP170" s="12">
        <v>0</v>
      </c>
      <c r="DQ170" s="12">
        <v>0</v>
      </c>
      <c r="DR170" s="12">
        <v>0</v>
      </c>
      <c r="DS170" s="12">
        <v>0</v>
      </c>
      <c r="DT170" s="12">
        <v>0</v>
      </c>
      <c r="DU170" s="12">
        <v>0</v>
      </c>
      <c r="DV170" s="12">
        <v>0</v>
      </c>
      <c r="DW170" s="12">
        <v>0</v>
      </c>
      <c r="DX170" s="12">
        <v>0</v>
      </c>
      <c r="DY170" s="12">
        <v>0</v>
      </c>
      <c r="DZ170" s="12">
        <v>0</v>
      </c>
      <c r="EA170" s="12">
        <v>0</v>
      </c>
      <c r="EB170" s="417"/>
    </row>
    <row r="171" spans="1:132" s="7" customFormat="1">
      <c r="A171" s="11" t="s">
        <v>245</v>
      </c>
      <c r="B171" s="418"/>
      <c r="C171" s="418"/>
      <c r="D171" s="418"/>
      <c r="E171" s="418"/>
      <c r="F171" s="418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>
        <f>'Balance Sheet'!B42/1000</f>
        <v>8.5890000000000004</v>
      </c>
      <c r="AB171" s="12">
        <f>'Balance Sheet'!C42/1000</f>
        <v>8.5850000000000009</v>
      </c>
      <c r="AC171" s="12">
        <f>'Balance Sheet'!D42/1000</f>
        <v>4.5529999999999999</v>
      </c>
      <c r="AD171" s="12">
        <f>'Balance Sheet'!E42/1000</f>
        <v>72.47</v>
      </c>
      <c r="AE171" s="12">
        <f>'Balance Sheet'!F42/1000</f>
        <v>72.47</v>
      </c>
      <c r="AF171" s="12">
        <f>'Balance Sheet'!G42/1000</f>
        <v>76.313500000000005</v>
      </c>
      <c r="AG171" s="12">
        <f>'Balance Sheet'!H42/1000</f>
        <v>80.156999999999996</v>
      </c>
      <c r="AH171" s="12">
        <f>'Balance Sheet'!I42/1000</f>
        <v>91.878</v>
      </c>
      <c r="AI171" s="12">
        <f>'Balance Sheet'!J42/1000</f>
        <v>78.534000000000006</v>
      </c>
      <c r="AJ171" s="12">
        <f>'Balance Sheet'!K42/1000</f>
        <v>78.534000000000006</v>
      </c>
      <c r="AK171" s="12">
        <f>'Balance Sheet'!L42/1000</f>
        <v>89.269000000000005</v>
      </c>
      <c r="AL171" s="12">
        <f>'Balance Sheet'!M42/1000</f>
        <v>120.622</v>
      </c>
      <c r="AM171" s="12">
        <f>'Balance Sheet'!N42/1000</f>
        <v>117.93300000000001</v>
      </c>
      <c r="AN171" s="12">
        <f>'Balance Sheet'!O42/1000</f>
        <v>100.30200000000001</v>
      </c>
      <c r="AO171" s="12">
        <f>'Balance Sheet'!P42/1000</f>
        <v>100.30200000000001</v>
      </c>
      <c r="AP171" s="12">
        <f>'Balance Sheet'!Q42/1000</f>
        <v>137.27600000000001</v>
      </c>
      <c r="AQ171" s="12">
        <f>'Balance Sheet'!R42/1000</f>
        <v>117.38500000000001</v>
      </c>
      <c r="AR171" s="12">
        <f>'Balance Sheet'!S42/1000</f>
        <v>148.458</v>
      </c>
      <c r="AS171" s="12">
        <f>'Balance Sheet'!T42/1000</f>
        <v>198.76900000000001</v>
      </c>
      <c r="AT171" s="12">
        <f>'Balance Sheet'!U42/1000</f>
        <v>198.76900000000001</v>
      </c>
      <c r="AU171" s="12">
        <f>'Balance Sheet'!V42/1000</f>
        <v>220.66300000000001</v>
      </c>
      <c r="AV171" s="12">
        <f>'Balance Sheet'!W42/1000</f>
        <v>251.13800000000001</v>
      </c>
      <c r="AW171" s="12">
        <f>'Balance Sheet'!X42/1000</f>
        <v>262.09500000000003</v>
      </c>
      <c r="AX171" s="12">
        <f>'Balance Sheet'!Y42/1000</f>
        <v>288.72800000000001</v>
      </c>
      <c r="AY171" s="12">
        <f>'Balance Sheet'!Z42/1000</f>
        <v>288.72800000000001</v>
      </c>
      <c r="AZ171" s="12">
        <f>'Balance Sheet'!AA42/1000</f>
        <v>152.37100000000001</v>
      </c>
      <c r="BA171" s="12">
        <f>'Balance Sheet'!AB42/1000</f>
        <v>174.042</v>
      </c>
      <c r="BB171" s="12">
        <f>'Balance Sheet'!AC42/1000</f>
        <v>195.50700000000001</v>
      </c>
      <c r="BC171" s="12">
        <f>'Balance Sheet'!AD42/1000</f>
        <v>252.57900000000001</v>
      </c>
      <c r="BD171" s="12">
        <f>'Balance Sheet'!AE42/1000</f>
        <v>252.57900000000001</v>
      </c>
      <c r="BE171" s="12">
        <f>'Balance Sheet'!AF42/1000</f>
        <v>263.37299999999999</v>
      </c>
      <c r="BF171" s="12">
        <f>'Balance Sheet'!AG42/1000</f>
        <v>275.82299999999998</v>
      </c>
      <c r="BG171" s="12">
        <f>'Balance Sheet'!AH42/1000</f>
        <v>320.59699999999998</v>
      </c>
      <c r="BH171" s="12">
        <f>'Balance Sheet'!AI42/1000</f>
        <v>355.45699999999999</v>
      </c>
      <c r="BI171" s="12">
        <f>'Balance Sheet'!AJ42/1000</f>
        <v>355.45699999999999</v>
      </c>
      <c r="BJ171" s="12">
        <f>'Balance Sheet'!AK42/1000</f>
        <v>378.78399999999999</v>
      </c>
      <c r="BK171" s="12">
        <f>'Balance Sheet'!AL42/1000</f>
        <v>362.14</v>
      </c>
      <c r="BL171" s="12">
        <f>'Balance Sheet'!AM42/1000</f>
        <v>356.18099999999998</v>
      </c>
      <c r="BM171" s="12">
        <f>'Balance Sheet'!AN42/1000</f>
        <v>378.04700000000003</v>
      </c>
      <c r="BN171" s="12">
        <f>'Balance Sheet'!AO42/1000</f>
        <v>378.04700000000003</v>
      </c>
      <c r="BO171" s="12">
        <f>'Balance Sheet'!AP42/1000</f>
        <v>354.76799999999997</v>
      </c>
      <c r="BP171" s="12">
        <f>'Balance Sheet'!AQ42/1000</f>
        <v>343.69900000000001</v>
      </c>
      <c r="BQ171" s="12">
        <f>'Balance Sheet'!AR42/1000</f>
        <v>375.66699999999997</v>
      </c>
      <c r="BR171" s="12">
        <f>'Balance Sheet'!AS42/1000</f>
        <v>566.51300000000003</v>
      </c>
      <c r="BS171" s="12">
        <f>'Balance Sheet'!AT42/1000</f>
        <v>566.51300000000003</v>
      </c>
      <c r="BT171" s="12">
        <f>'Balance Sheet'!AU42/1000</f>
        <v>950.28800000000001</v>
      </c>
      <c r="BU171" s="12">
        <f>'Balance Sheet'!AV42/1000</f>
        <v>736.48599999999999</v>
      </c>
      <c r="BV171" s="12">
        <f>'Balance Sheet'!AW42/1000</f>
        <v>767.74300000000005</v>
      </c>
      <c r="BW171" s="12">
        <f>'Balance Sheet'!AX42/1000</f>
        <v>732.42600000000004</v>
      </c>
      <c r="BX171" s="12">
        <f>'Balance Sheet'!AY42/1000</f>
        <v>732.42600000000004</v>
      </c>
      <c r="BY171" s="12">
        <f>'Balance Sheet'!AZ42/1000</f>
        <v>631.77200000000005</v>
      </c>
      <c r="BZ171" s="12">
        <f>'Balance Sheet'!BA42/1000</f>
        <v>668.62699999999995</v>
      </c>
      <c r="CA171" s="12">
        <f>'Balance Sheet'!BB42/1000</f>
        <v>690.58100000000002</v>
      </c>
      <c r="CB171" s="12">
        <f>'Balance Sheet'!BC42/1000</f>
        <v>708.75400000000002</v>
      </c>
      <c r="CC171" s="12">
        <f>'Balance Sheet'!BD42/1000</f>
        <v>708.75400000000002</v>
      </c>
      <c r="CD171" s="12">
        <f>'Balance Sheet'!BE42/1000</f>
        <v>717.72699999999998</v>
      </c>
      <c r="CE171" s="12">
        <f>'Balance Sheet'!BF42/1000</f>
        <v>839.92700000000002</v>
      </c>
      <c r="CF171" s="12">
        <f>'Balance Sheet'!BG42/1000</f>
        <v>875.05100000000004</v>
      </c>
      <c r="CG171" s="12">
        <f>'Balance Sheet'!BH42/1000</f>
        <v>791.84400000000005</v>
      </c>
      <c r="CH171" s="12">
        <f>'Balance Sheet'!BI42/1000</f>
        <v>791.84400000000005</v>
      </c>
      <c r="CI171" s="12">
        <f>'Balance Sheet'!BJ42/1000</f>
        <v>780.58399999999995</v>
      </c>
      <c r="CJ171" s="12">
        <f>'Balance Sheet'!BK42/1000</f>
        <v>758.80499999999995</v>
      </c>
      <c r="CK171" s="12">
        <f>'Balance Sheet'!BL42/1000</f>
        <v>739.85400000000004</v>
      </c>
      <c r="CL171" s="12">
        <f>'Balance Sheet'!BM42/1000</f>
        <v>753.18600000000004</v>
      </c>
      <c r="CM171" s="12">
        <f>'Balance Sheet'!BN42/1000</f>
        <v>753.18600000000004</v>
      </c>
      <c r="CN171" s="12">
        <f>'Balance Sheet'!BO42/1000</f>
        <v>760.34500000000003</v>
      </c>
      <c r="CO171" s="12">
        <f>'Balance Sheet'!BP42/1000</f>
        <v>435.03199999999998</v>
      </c>
      <c r="CP171" s="12">
        <f>'Balance Sheet'!BQ42/1000</f>
        <v>445.39600000000002</v>
      </c>
      <c r="CQ171" s="12">
        <f>'Balance Sheet'!BR42/1000</f>
        <v>440.90699999999998</v>
      </c>
      <c r="CR171" s="12">
        <f>'Balance Sheet'!BS42/1000</f>
        <v>440.90699999999998</v>
      </c>
      <c r="CS171" s="12">
        <f>'Balance Sheet'!BT42/1000</f>
        <v>356.654</v>
      </c>
      <c r="CT171" s="12">
        <f>'Balance Sheet'!BU42/1000</f>
        <v>338.322</v>
      </c>
      <c r="CU171" s="12">
        <f>'Balance Sheet'!BV42/1000</f>
        <v>326.72399999999999</v>
      </c>
      <c r="CV171" s="12">
        <f>'Balance Sheet'!BW42/1000</f>
        <v>389.26299999999998</v>
      </c>
      <c r="CW171" s="12">
        <f>'Balance Sheet'!BX42/1000</f>
        <v>389.26299999999998</v>
      </c>
      <c r="CX171" s="12">
        <f>'Balance Sheet'!BY42/1000</f>
        <v>373.45299999999997</v>
      </c>
      <c r="CY171" s="12">
        <f>'Balance Sheet'!BZ42/1000</f>
        <v>372.81700000000001</v>
      </c>
      <c r="CZ171" s="12">
        <f>'Balance Sheet'!CA42/1000</f>
        <v>368.35500000000002</v>
      </c>
      <c r="DA171" s="12">
        <f>'Balance Sheet'!CB42/1000</f>
        <v>413.06700000000001</v>
      </c>
      <c r="DB171" s="12">
        <f>'Balance Sheet'!CC42/1000</f>
        <v>413.06700000000001</v>
      </c>
      <c r="DC171" s="12">
        <f>'Balance Sheet'!CD42/1000</f>
        <v>420.303</v>
      </c>
      <c r="DD171" s="12">
        <f>'Balance Sheet'!CE42/1000</f>
        <v>444.101</v>
      </c>
      <c r="DE171" s="12">
        <f>'Balance Sheet'!CF42/1000</f>
        <v>285.46100000000001</v>
      </c>
      <c r="DF171" s="12">
        <f>'Balance Sheet'!CG42/1000</f>
        <v>291.89499999999998</v>
      </c>
      <c r="DG171" s="12">
        <f>'Balance Sheet'!CH42/1000</f>
        <v>291.89499999999998</v>
      </c>
      <c r="DH171" s="12">
        <f>'Balance Sheet'!CI42/1000</f>
        <v>304.875</v>
      </c>
      <c r="DI171" s="12">
        <f>'Balance Sheet'!CJ42/1000</f>
        <v>330.82400000000001</v>
      </c>
      <c r="DJ171" s="12">
        <f>'Balance Sheet'!CK42/1000</f>
        <v>405.85</v>
      </c>
      <c r="DK171" s="12">
        <f>'Balance Sheet'!CL42/1000</f>
        <v>603.87199999999996</v>
      </c>
      <c r="DL171" s="12">
        <f>'Balance Sheet'!CM42/1000</f>
        <v>603.87199999999996</v>
      </c>
      <c r="DM171" s="12">
        <f>'Balance Sheet'!CN42/1000</f>
        <v>628.41600000000005</v>
      </c>
      <c r="DN171" s="12">
        <f>'Balance Sheet'!CO42/1000</f>
        <v>590.08799999999997</v>
      </c>
      <c r="DO171" s="12">
        <f>'Balance Sheet'!CP42/1000</f>
        <v>633.56700000000001</v>
      </c>
      <c r="DP171" s="12">
        <f>'Balance Sheet'!CQ42/1000</f>
        <v>577.58699999999999</v>
      </c>
      <c r="DQ171" s="12">
        <f>'Balance Sheet'!CR42/1000</f>
        <v>577.58699999999999</v>
      </c>
      <c r="DR171" s="12">
        <f>'Balance Sheet'!CS42/1000</f>
        <v>648.62199999999996</v>
      </c>
      <c r="DS171" s="12">
        <f>'Balance Sheet'!CT42/1000</f>
        <v>723.72500000000002</v>
      </c>
      <c r="DT171" s="12">
        <f>'Balance Sheet'!CU42/1000</f>
        <v>757.58799999999997</v>
      </c>
      <c r="DU171" s="12">
        <f>'Balance Sheet'!CV42/1000</f>
        <v>809.48500000000001</v>
      </c>
      <c r="DV171" s="12">
        <f>'Balance Sheet'!CW42/1000</f>
        <v>809.48500000000001</v>
      </c>
      <c r="DW171" s="12">
        <f>'Balance Sheet'!CX42/1000</f>
        <v>821.38800000000003</v>
      </c>
      <c r="DX171" s="12">
        <f>'Balance Sheet'!CY42/1000</f>
        <v>735.10299999999995</v>
      </c>
      <c r="DY171" s="12">
        <f>'Balance Sheet'!CZ42/1000</f>
        <v>906.77499999999998</v>
      </c>
      <c r="DZ171" s="12">
        <f>'Balance Sheet'!DA42/1000</f>
        <v>1054.6120000000001</v>
      </c>
      <c r="EA171" s="12">
        <f>'Balance Sheet'!DB42/1000</f>
        <v>1054.6120000000001</v>
      </c>
      <c r="EB171" s="417"/>
    </row>
    <row r="172" spans="1:132" s="7" customFormat="1">
      <c r="A172" s="17" t="s">
        <v>370</v>
      </c>
      <c r="B172" s="433"/>
      <c r="C172" s="433"/>
      <c r="D172" s="433"/>
      <c r="E172" s="433"/>
      <c r="F172" s="433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417"/>
    </row>
    <row r="173" spans="1:132" s="7" customFormat="1">
      <c r="A173" s="11" t="s">
        <v>371</v>
      </c>
      <c r="B173" s="418"/>
      <c r="C173" s="418"/>
      <c r="D173" s="418"/>
      <c r="E173" s="418"/>
      <c r="F173" s="418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>
        <f>'Balance Sheet'!B43/1000</f>
        <v>306.72500000000002</v>
      </c>
      <c r="AB173" s="12">
        <f>'Balance Sheet'!C43/1000</f>
        <v>315.49299999999999</v>
      </c>
      <c r="AC173" s="12">
        <f>'Balance Sheet'!D43/1000</f>
        <v>324.95800000000003</v>
      </c>
      <c r="AD173" s="12">
        <f>'Balance Sheet'!E43/1000</f>
        <v>442.35300000000001</v>
      </c>
      <c r="AE173" s="12">
        <f>'Balance Sheet'!F43/1000</f>
        <v>442.35300000000001</v>
      </c>
      <c r="AF173" s="12">
        <f>'Balance Sheet'!G43/1000</f>
        <v>490.40100000000001</v>
      </c>
      <c r="AG173" s="12">
        <f>'Balance Sheet'!H43/1000</f>
        <v>485.35</v>
      </c>
      <c r="AH173" s="12">
        <f>'Balance Sheet'!I43/1000</f>
        <v>1023.659</v>
      </c>
      <c r="AI173" s="12">
        <f>'Balance Sheet'!J43/1000</f>
        <v>1018.793</v>
      </c>
      <c r="AJ173" s="12">
        <f>'Balance Sheet'!K43/1000</f>
        <v>1018.793</v>
      </c>
      <c r="AK173" s="12">
        <f>'Balance Sheet'!L43/1000</f>
        <v>1076.1959999999999</v>
      </c>
      <c r="AL173" s="12">
        <f>'Balance Sheet'!M43/1000</f>
        <v>1170.171</v>
      </c>
      <c r="AM173" s="12">
        <f>'Balance Sheet'!N43/1000</f>
        <v>1930.106</v>
      </c>
      <c r="AN173" s="12">
        <f>'Balance Sheet'!O43/1000</f>
        <v>1948.549</v>
      </c>
      <c r="AO173" s="12">
        <f>'Balance Sheet'!P43/1000</f>
        <v>1948.549</v>
      </c>
      <c r="AP173" s="12">
        <f>'Balance Sheet'!Q43/1000</f>
        <v>2005.4079999999999</v>
      </c>
      <c r="AQ173" s="12">
        <f>'Balance Sheet'!R43/1000</f>
        <v>1963.877</v>
      </c>
      <c r="AR173" s="12">
        <f>'Balance Sheet'!S43/1000</f>
        <v>1993.9590000000001</v>
      </c>
      <c r="AS173" s="12">
        <f>'Balance Sheet'!T43/1000</f>
        <v>2070.7539999999999</v>
      </c>
      <c r="AT173" s="12">
        <f>'Balance Sheet'!U43/1000</f>
        <v>2070.7539999999999</v>
      </c>
      <c r="AU173" s="12">
        <f>'Balance Sheet'!V43/1000</f>
        <v>2156.6019999999999</v>
      </c>
      <c r="AV173" s="12">
        <f>'Balance Sheet'!W43/1000</f>
        <v>2276.6819999999998</v>
      </c>
      <c r="AW173" s="12">
        <f>'Balance Sheet'!X43/1000</f>
        <v>2349.0680000000002</v>
      </c>
      <c r="AX173" s="12">
        <f>'Balance Sheet'!Y43/1000</f>
        <v>2120.9499999999998</v>
      </c>
      <c r="AY173" s="12">
        <f>'Balance Sheet'!Z43/1000</f>
        <v>2120.9499999999998</v>
      </c>
      <c r="AZ173" s="12">
        <f>'Balance Sheet'!AA43/1000</f>
        <v>2224.0169999999998</v>
      </c>
      <c r="BA173" s="12">
        <f>'Balance Sheet'!AB43/1000</f>
        <v>2425.3159999999998</v>
      </c>
      <c r="BB173" s="12">
        <f>'Balance Sheet'!AC43/1000</f>
        <v>2694.636</v>
      </c>
      <c r="BC173" s="12">
        <f>'Balance Sheet'!AD43/1000</f>
        <v>3852.8040000000001</v>
      </c>
      <c r="BD173" s="12">
        <f>'Balance Sheet'!AE43/1000</f>
        <v>3852.8040000000001</v>
      </c>
      <c r="BE173" s="12">
        <f>'Balance Sheet'!AF43/1000</f>
        <v>4030.9459999999999</v>
      </c>
      <c r="BF173" s="12">
        <f>'Balance Sheet'!AG43/1000</f>
        <v>4201.7349999999997</v>
      </c>
      <c r="BG173" s="12">
        <f>'Balance Sheet'!AH43/1000</f>
        <v>4380.7309999999998</v>
      </c>
      <c r="BH173" s="12">
        <f>'Balance Sheet'!AI43/1000</f>
        <v>4326.4799999999996</v>
      </c>
      <c r="BI173" s="12">
        <f>'Balance Sheet'!AJ43/1000</f>
        <v>4326.4799999999996</v>
      </c>
      <c r="BJ173" s="12">
        <f>'Balance Sheet'!AK43/1000</f>
        <v>4395.0259999999998</v>
      </c>
      <c r="BK173" s="12">
        <f>'Balance Sheet'!AL43/1000</f>
        <v>4482.8310000000001</v>
      </c>
      <c r="BL173" s="12">
        <f>'Balance Sheet'!AM43/1000</f>
        <v>4504.1679999999997</v>
      </c>
      <c r="BM173" s="12">
        <f>'Balance Sheet'!AN43/1000</f>
        <v>4544.7190000000001</v>
      </c>
      <c r="BN173" s="12">
        <f>'Balance Sheet'!AO43/1000</f>
        <v>4544.7190000000001</v>
      </c>
      <c r="BO173" s="12">
        <f>'Balance Sheet'!AP43/1000</f>
        <v>4669.4780000000001</v>
      </c>
      <c r="BP173" s="12">
        <f>'Balance Sheet'!AQ43/1000</f>
        <v>4826.5569999999998</v>
      </c>
      <c r="BQ173" s="12">
        <f>'Balance Sheet'!AR43/1000</f>
        <v>4983.1440000000002</v>
      </c>
      <c r="BR173" s="12">
        <f>'Balance Sheet'!AS43/1000</f>
        <v>5062.2489999999998</v>
      </c>
      <c r="BS173" s="12">
        <f>'Balance Sheet'!AT43/1000</f>
        <v>5062.2489999999998</v>
      </c>
      <c r="BT173" s="12">
        <f>'Balance Sheet'!AU43/1000</f>
        <v>5246.4750000000004</v>
      </c>
      <c r="BU173" s="12">
        <f>'Balance Sheet'!AV43/1000</f>
        <v>5376.67</v>
      </c>
      <c r="BV173" s="12">
        <f>'Balance Sheet'!AW43/1000</f>
        <v>5554.5609999999997</v>
      </c>
      <c r="BW173" s="12">
        <f>'Balance Sheet'!AX43/1000</f>
        <v>5461.6220000000003</v>
      </c>
      <c r="BX173" s="12">
        <f>'Balance Sheet'!AY43/1000</f>
        <v>5461.6220000000003</v>
      </c>
      <c r="BY173" s="12">
        <f>'Balance Sheet'!AZ43/1000</f>
        <v>5580.3850000000002</v>
      </c>
      <c r="BZ173" s="12">
        <f>'Balance Sheet'!BA43/1000</f>
        <v>5651.6940000000004</v>
      </c>
      <c r="CA173" s="12">
        <f>'Balance Sheet'!BB43/1000</f>
        <v>5753.4679999999998</v>
      </c>
      <c r="CB173" s="12">
        <f>'Balance Sheet'!BC43/1000</f>
        <v>5659.0910000000003</v>
      </c>
      <c r="CC173" s="12">
        <f>'Balance Sheet'!BD43/1000</f>
        <v>5659.0910000000003</v>
      </c>
      <c r="CD173" s="12">
        <f>'Balance Sheet'!BE43/1000</f>
        <v>5698.8770000000004</v>
      </c>
      <c r="CE173" s="12">
        <f>'Balance Sheet'!BF43/1000</f>
        <v>5576.3779999999997</v>
      </c>
      <c r="CF173" s="12">
        <f>'Balance Sheet'!BG43/1000</f>
        <v>5927.7160000000003</v>
      </c>
      <c r="CG173" s="12">
        <f>'Balance Sheet'!BH43/1000</f>
        <v>5887.0429999999997</v>
      </c>
      <c r="CH173" s="12">
        <f>'Balance Sheet'!BI43/1000</f>
        <v>5887.0429999999997</v>
      </c>
      <c r="CI173" s="12">
        <f>'Balance Sheet'!BJ43/1000</f>
        <v>5952.4989999999998</v>
      </c>
      <c r="CJ173" s="12">
        <f>'Balance Sheet'!BK43/1000</f>
        <v>6000.8919999999998</v>
      </c>
      <c r="CK173" s="12">
        <f>'Balance Sheet'!BL43/1000</f>
        <v>6016.6769999999997</v>
      </c>
      <c r="CL173" s="12">
        <f>'Balance Sheet'!BM43/1000</f>
        <v>6013.5559999999996</v>
      </c>
      <c r="CM173" s="12">
        <f>'Balance Sheet'!BN43/1000</f>
        <v>6013.5559999999996</v>
      </c>
      <c r="CN173" s="12">
        <f>'Balance Sheet'!BO43/1000</f>
        <v>6019.29</v>
      </c>
      <c r="CO173" s="12">
        <f>'Balance Sheet'!BP43/1000</f>
        <v>5879.8689999999997</v>
      </c>
      <c r="CP173" s="12">
        <f>'Balance Sheet'!BQ43/1000</f>
        <v>5874.3829999999998</v>
      </c>
      <c r="CQ173" s="12">
        <f>'Balance Sheet'!BR43/1000</f>
        <v>5924.5910000000003</v>
      </c>
      <c r="CR173" s="12">
        <f>'Balance Sheet'!BS43/1000</f>
        <v>5924.5910000000003</v>
      </c>
      <c r="CS173" s="12">
        <f>'Balance Sheet'!BT43/1000</f>
        <v>5678.4889999999996</v>
      </c>
      <c r="CT173" s="12">
        <f>'Balance Sheet'!BU43/1000</f>
        <v>5443.2790000000005</v>
      </c>
      <c r="CU173" s="12">
        <f>'Balance Sheet'!BV43/1000</f>
        <v>5321.9210000000003</v>
      </c>
      <c r="CV173" s="12">
        <f>'Balance Sheet'!BW43/1000</f>
        <v>5148.5479999999998</v>
      </c>
      <c r="CW173" s="12">
        <f>'Balance Sheet'!BX43/1000</f>
        <v>5148.5479999999998</v>
      </c>
      <c r="CX173" s="12">
        <f>'Balance Sheet'!BY43/1000</f>
        <v>5194.5360000000001</v>
      </c>
      <c r="CY173" s="12">
        <f>'Balance Sheet'!BZ43/1000</f>
        <v>5145.5330000000004</v>
      </c>
      <c r="CZ173" s="12">
        <f>'Balance Sheet'!CA43/1000</f>
        <v>5112.1850000000004</v>
      </c>
      <c r="DA173" s="12">
        <f>'Balance Sheet'!CB43/1000</f>
        <v>4762.3760000000002</v>
      </c>
      <c r="DB173" s="12">
        <f>'Balance Sheet'!CC43/1000</f>
        <v>4762.3760000000002</v>
      </c>
      <c r="DC173" s="12">
        <f>'Balance Sheet'!CD43/1000</f>
        <v>4790.3969999999999</v>
      </c>
      <c r="DD173" s="12">
        <f>'Balance Sheet'!CE43/1000</f>
        <v>4857.6750000000002</v>
      </c>
      <c r="DE173" s="12">
        <f>'Balance Sheet'!CF43/1000</f>
        <v>6261.1959999999999</v>
      </c>
      <c r="DF173" s="12">
        <f>'Balance Sheet'!CG43/1000</f>
        <v>5504.7330000000002</v>
      </c>
      <c r="DG173" s="12">
        <f>'Balance Sheet'!CH43/1000</f>
        <v>5504.7330000000002</v>
      </c>
      <c r="DH173" s="12">
        <f>'Balance Sheet'!CI43/1000</f>
        <v>5696.1729999999998</v>
      </c>
      <c r="DI173" s="12">
        <f>'Balance Sheet'!CJ43/1000</f>
        <v>5962.2139999999999</v>
      </c>
      <c r="DJ173" s="12">
        <f>'Balance Sheet'!CK43/1000</f>
        <v>6198.6850000000004</v>
      </c>
      <c r="DK173" s="12">
        <f>'Balance Sheet'!CL43/1000</f>
        <v>6198.0519999999997</v>
      </c>
      <c r="DL173" s="12">
        <f>'Balance Sheet'!CM43/1000</f>
        <v>6198.0519999999997</v>
      </c>
      <c r="DM173" s="12">
        <f>'Balance Sheet'!CN43/1000</f>
        <v>6357.0950000000003</v>
      </c>
      <c r="DN173" s="12">
        <f>'Balance Sheet'!CO43/1000</f>
        <v>6484.3990000000003</v>
      </c>
      <c r="DO173" s="12">
        <f>'Balance Sheet'!CP43/1000</f>
        <v>6131.6109999999999</v>
      </c>
      <c r="DP173" s="12">
        <f>'Balance Sheet'!CQ43/1000</f>
        <v>7121.7439999999997</v>
      </c>
      <c r="DQ173" s="12">
        <f>'Balance Sheet'!CR43/1000</f>
        <v>7121.7439999999997</v>
      </c>
      <c r="DR173" s="12">
        <f>'Balance Sheet'!CS43/1000</f>
        <v>7222.2830000000004</v>
      </c>
      <c r="DS173" s="12">
        <f>'Balance Sheet'!CT43/1000</f>
        <v>7519.98</v>
      </c>
      <c r="DT173" s="12">
        <f>'Balance Sheet'!CU43/1000</f>
        <v>7782.3559999999998</v>
      </c>
      <c r="DU173" s="12">
        <f>'Balance Sheet'!CV43/1000</f>
        <v>7690.3410000000003</v>
      </c>
      <c r="DV173" s="12">
        <f>'Balance Sheet'!CW43/1000</f>
        <v>7690.3410000000003</v>
      </c>
      <c r="DW173" s="12">
        <f>'Balance Sheet'!CX43/1000</f>
        <v>7718.4949999999999</v>
      </c>
      <c r="DX173" s="12">
        <f>'Balance Sheet'!CY43/1000</f>
        <v>8498.7759999999998</v>
      </c>
      <c r="DY173" s="12">
        <f>'Balance Sheet'!CZ43/1000</f>
        <v>8944.6910000000007</v>
      </c>
      <c r="DZ173" s="12">
        <f>'Balance Sheet'!DA43/1000</f>
        <v>8894.6620000000003</v>
      </c>
      <c r="EA173" s="12">
        <f>'Balance Sheet'!DB43/1000</f>
        <v>8894.6620000000003</v>
      </c>
      <c r="EB173" s="417"/>
    </row>
    <row r="174" spans="1:132" s="7" customFormat="1" ht="13.5" thickBot="1">
      <c r="A174" s="13" t="s">
        <v>372</v>
      </c>
      <c r="B174" s="439"/>
      <c r="C174" s="439"/>
      <c r="D174" s="439"/>
      <c r="E174" s="439"/>
      <c r="F174" s="439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417"/>
    </row>
    <row r="175" spans="1:132" s="7" customFormat="1">
      <c r="A175" s="17"/>
      <c r="B175" s="424"/>
      <c r="C175" s="424"/>
      <c r="D175" s="424"/>
      <c r="E175" s="424"/>
      <c r="F175" s="424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417"/>
    </row>
    <row r="176" spans="1:132" s="7" customFormat="1" ht="15">
      <c r="A176" s="22" t="s">
        <v>373</v>
      </c>
      <c r="B176" s="435"/>
      <c r="C176" s="435"/>
      <c r="D176" s="435"/>
      <c r="E176" s="435"/>
      <c r="F176" s="435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417"/>
    </row>
    <row r="177" spans="1:132" s="7" customFormat="1">
      <c r="A177" s="11" t="s">
        <v>374</v>
      </c>
      <c r="B177" s="418"/>
      <c r="C177" s="418"/>
      <c r="D177" s="418"/>
      <c r="E177" s="418"/>
      <c r="F177" s="418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0</v>
      </c>
      <c r="CF177" s="12">
        <v>0</v>
      </c>
      <c r="CG177" s="12">
        <v>0</v>
      </c>
      <c r="CH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2">
        <v>0</v>
      </c>
      <c r="CO177" s="12">
        <v>0</v>
      </c>
      <c r="CP177" s="12">
        <v>0</v>
      </c>
      <c r="CQ177" s="12">
        <v>0</v>
      </c>
      <c r="CR177" s="12">
        <v>0</v>
      </c>
      <c r="CS177" s="12">
        <v>0</v>
      </c>
      <c r="CT177" s="12">
        <v>0</v>
      </c>
      <c r="CU177" s="12">
        <v>0</v>
      </c>
      <c r="CV177" s="12">
        <v>0</v>
      </c>
      <c r="CW177" s="12">
        <v>0</v>
      </c>
      <c r="CX177" s="12">
        <v>0</v>
      </c>
      <c r="CY177" s="12">
        <v>0</v>
      </c>
      <c r="CZ177" s="12">
        <v>0</v>
      </c>
      <c r="DA177" s="12">
        <v>0</v>
      </c>
      <c r="DB177" s="12">
        <v>0</v>
      </c>
      <c r="DC177" s="12">
        <v>0</v>
      </c>
      <c r="DD177" s="12">
        <v>0</v>
      </c>
      <c r="DE177" s="12">
        <v>0</v>
      </c>
      <c r="DF177" s="12">
        <v>0</v>
      </c>
      <c r="DG177" s="12">
        <v>0</v>
      </c>
      <c r="DH177" s="12">
        <v>0</v>
      </c>
      <c r="DI177" s="12">
        <v>0</v>
      </c>
      <c r="DJ177" s="12">
        <v>0</v>
      </c>
      <c r="DK177" s="12">
        <v>0</v>
      </c>
      <c r="DL177" s="12">
        <v>0</v>
      </c>
      <c r="DM177" s="12">
        <v>0</v>
      </c>
      <c r="DN177" s="12">
        <v>0</v>
      </c>
      <c r="DO177" s="12">
        <v>0</v>
      </c>
      <c r="DP177" s="12">
        <v>0</v>
      </c>
      <c r="DQ177" s="12">
        <v>0</v>
      </c>
      <c r="DR177" s="12">
        <v>0</v>
      </c>
      <c r="DS177" s="12">
        <v>0</v>
      </c>
      <c r="DT177" s="12">
        <v>0</v>
      </c>
      <c r="DU177" s="12">
        <v>0</v>
      </c>
      <c r="DV177" s="12">
        <v>0</v>
      </c>
      <c r="DW177" s="12">
        <v>0</v>
      </c>
      <c r="DX177" s="12">
        <v>0</v>
      </c>
      <c r="DY177" s="12">
        <v>0</v>
      </c>
      <c r="DZ177" s="12">
        <v>0</v>
      </c>
      <c r="EA177" s="12">
        <v>0</v>
      </c>
      <c r="EB177" s="417"/>
    </row>
    <row r="178" spans="1:132" s="7" customFormat="1">
      <c r="A178" s="17" t="s">
        <v>375</v>
      </c>
      <c r="B178" s="434"/>
      <c r="C178" s="434"/>
      <c r="D178" s="434"/>
      <c r="E178" s="434"/>
      <c r="F178" s="43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417"/>
    </row>
    <row r="179" spans="1:132" s="7" customFormat="1" ht="13.5" thickBot="1">
      <c r="A179" s="17" t="s">
        <v>376</v>
      </c>
      <c r="B179" s="439"/>
      <c r="C179" s="439"/>
      <c r="D179" s="439"/>
      <c r="E179" s="439"/>
      <c r="F179" s="439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417"/>
    </row>
    <row r="180" spans="1:132" s="7" customFormat="1">
      <c r="A180" s="17"/>
      <c r="B180" s="424"/>
      <c r="C180" s="424"/>
      <c r="D180" s="424"/>
      <c r="E180" s="424"/>
      <c r="F180" s="424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417"/>
    </row>
    <row r="181" spans="1:132" s="7" customFormat="1" ht="15">
      <c r="A181" s="22" t="s">
        <v>377</v>
      </c>
      <c r="B181" s="435"/>
      <c r="C181" s="435"/>
      <c r="D181" s="435"/>
      <c r="E181" s="435"/>
      <c r="F181" s="435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417"/>
    </row>
    <row r="182" spans="1:132" s="7" customFormat="1">
      <c r="A182" s="17" t="s">
        <v>378</v>
      </c>
      <c r="B182" s="434"/>
      <c r="C182" s="434"/>
      <c r="D182" s="434"/>
      <c r="E182" s="434"/>
      <c r="F182" s="43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417"/>
    </row>
    <row r="183" spans="1:132" s="7" customFormat="1">
      <c r="A183" s="17" t="s">
        <v>363</v>
      </c>
      <c r="B183" s="434"/>
      <c r="C183" s="434"/>
      <c r="D183" s="434"/>
      <c r="E183" s="434"/>
      <c r="F183" s="43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417"/>
    </row>
    <row r="184" spans="1:132" s="7" customFormat="1">
      <c r="A184" s="17" t="s">
        <v>365</v>
      </c>
      <c r="B184" s="434"/>
      <c r="C184" s="434"/>
      <c r="D184" s="434"/>
      <c r="E184" s="434"/>
      <c r="F184" s="43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417"/>
    </row>
    <row r="185" spans="1:132" s="7" customFormat="1">
      <c r="A185" s="17" t="s">
        <v>369</v>
      </c>
      <c r="B185" s="434"/>
      <c r="C185" s="434"/>
      <c r="D185" s="434"/>
      <c r="E185" s="434"/>
      <c r="F185" s="43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417"/>
    </row>
    <row r="186" spans="1:132" s="7" customFormat="1" ht="13.5" thickBot="1">
      <c r="A186" s="17" t="s">
        <v>377</v>
      </c>
      <c r="B186" s="439"/>
      <c r="C186" s="439"/>
      <c r="D186" s="439"/>
      <c r="E186" s="439"/>
      <c r="F186" s="439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417"/>
    </row>
    <row r="187" spans="1:132" s="7" customFormat="1">
      <c r="A187" s="17"/>
      <c r="B187" s="424"/>
      <c r="C187" s="424"/>
      <c r="D187" s="424"/>
      <c r="E187" s="424"/>
      <c r="F187" s="424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417"/>
    </row>
    <row r="188" spans="1:132" s="7" customFormat="1" ht="15">
      <c r="A188" s="22" t="s">
        <v>379</v>
      </c>
      <c r="B188" s="435"/>
      <c r="C188" s="435"/>
      <c r="D188" s="435"/>
      <c r="E188" s="435"/>
      <c r="F188" s="435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417"/>
    </row>
    <row r="189" spans="1:132" s="7" customFormat="1">
      <c r="A189" s="17" t="s">
        <v>374</v>
      </c>
      <c r="B189" s="434"/>
      <c r="C189" s="434"/>
      <c r="D189" s="434"/>
      <c r="E189" s="434"/>
      <c r="F189" s="43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417"/>
    </row>
    <row r="190" spans="1:132" s="7" customFormat="1">
      <c r="A190" s="17" t="s">
        <v>346</v>
      </c>
      <c r="B190" s="434"/>
      <c r="C190" s="434"/>
      <c r="D190" s="434"/>
      <c r="E190" s="434"/>
      <c r="F190" s="43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417"/>
    </row>
    <row r="191" spans="1:132" s="7" customFormat="1">
      <c r="A191" s="17" t="s">
        <v>162</v>
      </c>
      <c r="B191" s="434"/>
      <c r="C191" s="434"/>
      <c r="D191" s="434"/>
      <c r="E191" s="434"/>
      <c r="F191" s="43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417"/>
    </row>
    <row r="192" spans="1:132" s="7" customFormat="1">
      <c r="A192" s="17" t="s">
        <v>347</v>
      </c>
      <c r="B192" s="434"/>
      <c r="C192" s="434"/>
      <c r="D192" s="434"/>
      <c r="E192" s="434"/>
      <c r="F192" s="43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417"/>
    </row>
    <row r="193" spans="1:132" s="7" customFormat="1">
      <c r="A193" s="17" t="s">
        <v>361</v>
      </c>
      <c r="B193" s="434"/>
      <c r="C193" s="434"/>
      <c r="D193" s="434"/>
      <c r="E193" s="434"/>
      <c r="F193" s="43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417"/>
    </row>
    <row r="194" spans="1:132" s="7" customFormat="1">
      <c r="A194" s="17" t="s">
        <v>362</v>
      </c>
      <c r="B194" s="434"/>
      <c r="C194" s="434"/>
      <c r="D194" s="434"/>
      <c r="E194" s="434"/>
      <c r="F194" s="43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417"/>
    </row>
    <row r="195" spans="1:132" s="7" customFormat="1" ht="13.5" thickBot="1">
      <c r="A195" s="17" t="s">
        <v>379</v>
      </c>
      <c r="B195" s="439"/>
      <c r="C195" s="439"/>
      <c r="D195" s="439"/>
      <c r="E195" s="439"/>
      <c r="F195" s="439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  <c r="DC195" s="18"/>
      <c r="DD195" s="18"/>
      <c r="DE195" s="18"/>
      <c r="DF195" s="18"/>
      <c r="DG195" s="18"/>
      <c r="DH195" s="18"/>
      <c r="DI195" s="18"/>
      <c r="DJ195" s="18"/>
      <c r="DK195" s="18"/>
      <c r="DL195" s="18"/>
      <c r="DM195" s="18"/>
      <c r="DN195" s="18"/>
      <c r="DO195" s="18"/>
      <c r="DP195" s="18"/>
      <c r="DQ195" s="18"/>
      <c r="DR195" s="18"/>
      <c r="DS195" s="18"/>
      <c r="DT195" s="18"/>
      <c r="DU195" s="18"/>
      <c r="DV195" s="18"/>
      <c r="DW195" s="18"/>
      <c r="DX195" s="18"/>
      <c r="DY195" s="18"/>
      <c r="DZ195" s="18"/>
      <c r="EA195" s="18"/>
      <c r="EB195" s="417"/>
    </row>
    <row r="196" spans="1:132" s="7" customFormat="1">
      <c r="A196" s="17"/>
      <c r="B196" s="424"/>
      <c r="C196" s="424"/>
      <c r="D196" s="424"/>
      <c r="E196" s="424"/>
      <c r="F196" s="424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417"/>
    </row>
    <row r="197" spans="1:132" s="7" customFormat="1" ht="15.75">
      <c r="A197" s="25" t="s">
        <v>380</v>
      </c>
      <c r="B197" s="431"/>
      <c r="C197" s="431"/>
      <c r="D197" s="431"/>
      <c r="E197" s="431"/>
      <c r="F197" s="431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  <c r="DV197" s="26"/>
      <c r="DW197" s="26"/>
      <c r="DX197" s="26"/>
      <c r="DY197" s="26"/>
      <c r="DZ197" s="26"/>
      <c r="EA197" s="26"/>
      <c r="EB197" s="417"/>
    </row>
    <row r="198" spans="1:132" s="7" customFormat="1">
      <c r="A198" s="17" t="s">
        <v>349</v>
      </c>
      <c r="B198" s="434"/>
      <c r="C198" s="434"/>
      <c r="D198" s="434"/>
      <c r="E198" s="434"/>
      <c r="F198" s="43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417"/>
    </row>
    <row r="199" spans="1:132" s="7" customFormat="1">
      <c r="A199" s="17" t="s">
        <v>350</v>
      </c>
      <c r="B199" s="434"/>
      <c r="C199" s="434"/>
      <c r="D199" s="434"/>
      <c r="E199" s="434"/>
      <c r="F199" s="43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417"/>
    </row>
    <row r="200" spans="1:132" s="7" customFormat="1">
      <c r="A200" s="17" t="s">
        <v>351</v>
      </c>
      <c r="B200" s="433"/>
      <c r="C200" s="433"/>
      <c r="D200" s="433"/>
      <c r="E200" s="433"/>
      <c r="F200" s="433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417"/>
    </row>
    <row r="201" spans="1:132" s="7" customFormat="1">
      <c r="A201" s="17" t="s">
        <v>352</v>
      </c>
      <c r="B201" s="434"/>
      <c r="C201" s="434"/>
      <c r="D201" s="434"/>
      <c r="E201" s="434"/>
      <c r="F201" s="43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417"/>
    </row>
    <row r="202" spans="1:132" s="7" customFormat="1">
      <c r="A202" s="17" t="s">
        <v>353</v>
      </c>
      <c r="B202" s="434"/>
      <c r="C202" s="434"/>
      <c r="D202" s="434"/>
      <c r="E202" s="434"/>
      <c r="F202" s="43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417"/>
    </row>
    <row r="203" spans="1:132" s="7" customFormat="1">
      <c r="A203" s="17" t="s">
        <v>354</v>
      </c>
      <c r="B203" s="433"/>
      <c r="C203" s="433"/>
      <c r="D203" s="433"/>
      <c r="E203" s="433"/>
      <c r="F203" s="433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417"/>
    </row>
    <row r="204" spans="1:132" s="7" customFormat="1">
      <c r="A204" s="17" t="s">
        <v>381</v>
      </c>
      <c r="B204" s="434"/>
      <c r="C204" s="434"/>
      <c r="D204" s="434"/>
      <c r="E204" s="434"/>
      <c r="F204" s="43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417"/>
    </row>
    <row r="205" spans="1:132" s="7" customFormat="1">
      <c r="A205" s="17" t="s">
        <v>356</v>
      </c>
      <c r="B205" s="434"/>
      <c r="C205" s="434"/>
      <c r="D205" s="434"/>
      <c r="E205" s="434"/>
      <c r="F205" s="43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417"/>
    </row>
    <row r="206" spans="1:132" s="7" customFormat="1">
      <c r="A206" s="17" t="s">
        <v>357</v>
      </c>
      <c r="B206" s="434"/>
      <c r="C206" s="434"/>
      <c r="D206" s="434"/>
      <c r="E206" s="434"/>
      <c r="F206" s="43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417"/>
    </row>
    <row r="207" spans="1:132" s="7" customFormat="1">
      <c r="A207" s="17" t="s">
        <v>358</v>
      </c>
      <c r="B207" s="434"/>
      <c r="C207" s="434"/>
      <c r="D207" s="434"/>
      <c r="E207" s="434"/>
      <c r="F207" s="43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417"/>
    </row>
    <row r="208" spans="1:132" s="7" customFormat="1">
      <c r="A208" s="17" t="s">
        <v>359</v>
      </c>
      <c r="B208" s="433"/>
      <c r="C208" s="433"/>
      <c r="D208" s="433"/>
      <c r="E208" s="433"/>
      <c r="F208" s="433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417"/>
    </row>
    <row r="209" spans="1:132" s="7" customFormat="1">
      <c r="A209" s="17" t="s">
        <v>382</v>
      </c>
      <c r="B209" s="434"/>
      <c r="C209" s="434"/>
      <c r="D209" s="434"/>
      <c r="E209" s="434"/>
      <c r="F209" s="43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417"/>
    </row>
    <row r="210" spans="1:132" s="7" customFormat="1">
      <c r="A210" s="17" t="s">
        <v>346</v>
      </c>
      <c r="B210" s="434"/>
      <c r="C210" s="434"/>
      <c r="D210" s="434"/>
      <c r="E210" s="434"/>
      <c r="F210" s="43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417"/>
    </row>
    <row r="211" spans="1:132" s="7" customFormat="1">
      <c r="A211" s="17" t="s">
        <v>162</v>
      </c>
      <c r="B211" s="434"/>
      <c r="C211" s="434"/>
      <c r="D211" s="434"/>
      <c r="E211" s="434"/>
      <c r="F211" s="43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417"/>
    </row>
    <row r="212" spans="1:132" s="7" customFormat="1">
      <c r="A212" s="17" t="s">
        <v>347</v>
      </c>
      <c r="B212" s="434"/>
      <c r="C212" s="434"/>
      <c r="D212" s="434"/>
      <c r="E212" s="434"/>
      <c r="F212" s="43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417"/>
    </row>
    <row r="213" spans="1:132" s="7" customFormat="1">
      <c r="A213" s="17" t="s">
        <v>361</v>
      </c>
      <c r="B213" s="434"/>
      <c r="C213" s="434"/>
      <c r="D213" s="434"/>
      <c r="E213" s="434"/>
      <c r="F213" s="43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417"/>
    </row>
    <row r="214" spans="1:132" s="7" customFormat="1">
      <c r="A214" s="17" t="s">
        <v>362</v>
      </c>
      <c r="B214" s="434"/>
      <c r="C214" s="434"/>
      <c r="D214" s="434"/>
      <c r="E214" s="434"/>
      <c r="F214" s="43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417"/>
    </row>
    <row r="215" spans="1:132" s="7" customFormat="1">
      <c r="A215" s="17" t="s">
        <v>379</v>
      </c>
      <c r="B215" s="433"/>
      <c r="C215" s="433"/>
      <c r="D215" s="433"/>
      <c r="E215" s="433"/>
      <c r="F215" s="433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417"/>
    </row>
    <row r="216" spans="1:132" s="7" customFormat="1">
      <c r="A216" s="17" t="s">
        <v>369</v>
      </c>
      <c r="B216" s="434"/>
      <c r="C216" s="434"/>
      <c r="D216" s="434"/>
      <c r="E216" s="434"/>
      <c r="F216" s="43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417"/>
    </row>
    <row r="217" spans="1:132" s="7" customFormat="1">
      <c r="A217" s="17" t="s">
        <v>365</v>
      </c>
      <c r="B217" s="434"/>
      <c r="C217" s="434"/>
      <c r="D217" s="434"/>
      <c r="E217" s="434"/>
      <c r="F217" s="43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417"/>
    </row>
    <row r="218" spans="1:132" s="7" customFormat="1">
      <c r="A218" s="17" t="s">
        <v>363</v>
      </c>
      <c r="B218" s="434"/>
      <c r="C218" s="434"/>
      <c r="D218" s="434"/>
      <c r="E218" s="434"/>
      <c r="F218" s="43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417"/>
    </row>
    <row r="219" spans="1:132" s="7" customFormat="1">
      <c r="A219" s="17" t="s">
        <v>383</v>
      </c>
      <c r="B219" s="434"/>
      <c r="C219" s="434"/>
      <c r="D219" s="434"/>
      <c r="E219" s="434"/>
      <c r="F219" s="43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417"/>
    </row>
    <row r="220" spans="1:132" s="7" customFormat="1">
      <c r="A220" s="17" t="s">
        <v>384</v>
      </c>
      <c r="B220" s="433"/>
      <c r="C220" s="433"/>
      <c r="D220" s="433"/>
      <c r="E220" s="433"/>
      <c r="F220" s="433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417"/>
    </row>
    <row r="221" spans="1:132" s="7" customFormat="1">
      <c r="A221" s="17" t="s">
        <v>385</v>
      </c>
      <c r="B221" s="434"/>
      <c r="C221" s="434"/>
      <c r="D221" s="434"/>
      <c r="E221" s="434"/>
      <c r="F221" s="43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417"/>
    </row>
    <row r="222" spans="1:132" s="7" customFormat="1">
      <c r="A222" s="17" t="s">
        <v>386</v>
      </c>
      <c r="B222" s="434"/>
      <c r="C222" s="434"/>
      <c r="D222" s="434"/>
      <c r="E222" s="434"/>
      <c r="F222" s="43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417"/>
    </row>
    <row r="223" spans="1:132" s="7" customFormat="1">
      <c r="A223" s="17" t="s">
        <v>245</v>
      </c>
      <c r="B223" s="434"/>
      <c r="C223" s="434"/>
      <c r="D223" s="434"/>
      <c r="E223" s="434"/>
      <c r="F223" s="43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417"/>
    </row>
    <row r="224" spans="1:132" s="7" customFormat="1">
      <c r="A224" s="17" t="s">
        <v>371</v>
      </c>
      <c r="B224" s="441"/>
      <c r="C224" s="441"/>
      <c r="D224" s="441"/>
      <c r="E224" s="441"/>
      <c r="F224" s="441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39"/>
      <c r="DR224" s="39"/>
      <c r="DS224" s="39"/>
      <c r="DT224" s="39"/>
      <c r="DU224" s="39"/>
      <c r="DV224" s="39"/>
      <c r="DW224" s="39"/>
      <c r="DX224" s="39"/>
      <c r="DY224" s="39"/>
      <c r="DZ224" s="39"/>
      <c r="EA224" s="39"/>
      <c r="EB224" s="417"/>
    </row>
    <row r="225" spans="1:132" s="7" customFormat="1">
      <c r="A225" s="17"/>
      <c r="B225" s="440"/>
      <c r="C225" s="440"/>
      <c r="D225" s="440"/>
      <c r="E225" s="440"/>
      <c r="F225" s="4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  <c r="DD225" s="40"/>
      <c r="DE225" s="40"/>
      <c r="DF225" s="40"/>
      <c r="DG225" s="40"/>
      <c r="DH225" s="40"/>
      <c r="DI225" s="40"/>
      <c r="DJ225" s="40"/>
      <c r="DK225" s="40"/>
      <c r="DL225" s="40"/>
      <c r="DM225" s="40"/>
      <c r="DN225" s="40"/>
      <c r="DO225" s="40"/>
      <c r="DP225" s="40"/>
      <c r="DQ225" s="40"/>
      <c r="DR225" s="40"/>
      <c r="DS225" s="40"/>
      <c r="DT225" s="40"/>
      <c r="DU225" s="40"/>
      <c r="DV225" s="40"/>
      <c r="DW225" s="40"/>
      <c r="DX225" s="40"/>
      <c r="DY225" s="40"/>
      <c r="DZ225" s="40"/>
      <c r="EA225" s="40"/>
      <c r="EB225" s="417"/>
    </row>
    <row r="226" spans="1:132" s="7" customFormat="1" ht="15.75">
      <c r="A226" s="25" t="s">
        <v>387</v>
      </c>
      <c r="B226" s="431"/>
      <c r="C226" s="431"/>
      <c r="D226" s="431"/>
      <c r="E226" s="431"/>
      <c r="F226" s="431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417"/>
    </row>
    <row r="227" spans="1:132" s="7" customFormat="1">
      <c r="A227" s="11" t="s">
        <v>388</v>
      </c>
      <c r="B227" s="418"/>
      <c r="C227" s="418"/>
      <c r="D227" s="418"/>
      <c r="E227" s="418"/>
      <c r="F227" s="418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</v>
      </c>
      <c r="CD227" s="12">
        <v>0</v>
      </c>
      <c r="CE227" s="12">
        <v>0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0</v>
      </c>
      <c r="CO227" s="12">
        <v>0</v>
      </c>
      <c r="CP227" s="12">
        <v>0</v>
      </c>
      <c r="CQ227" s="12">
        <v>0</v>
      </c>
      <c r="CR227" s="12">
        <v>0</v>
      </c>
      <c r="CS227" s="12">
        <v>0</v>
      </c>
      <c r="CT227" s="12">
        <v>0</v>
      </c>
      <c r="CU227" s="12">
        <v>0</v>
      </c>
      <c r="CV227" s="12">
        <v>0</v>
      </c>
      <c r="CW227" s="12">
        <v>0</v>
      </c>
      <c r="CX227" s="12">
        <v>0</v>
      </c>
      <c r="CY227" s="12">
        <v>0</v>
      </c>
      <c r="CZ227" s="12">
        <v>0</v>
      </c>
      <c r="DA227" s="12">
        <v>0</v>
      </c>
      <c r="DB227" s="12">
        <v>0</v>
      </c>
      <c r="DC227" s="12">
        <v>0</v>
      </c>
      <c r="DD227" s="12">
        <v>0</v>
      </c>
      <c r="DE227" s="12">
        <v>0</v>
      </c>
      <c r="DF227" s="12">
        <v>0</v>
      </c>
      <c r="DG227" s="12">
        <v>0</v>
      </c>
      <c r="DH227" s="12">
        <v>0</v>
      </c>
      <c r="DI227" s="12">
        <v>0</v>
      </c>
      <c r="DJ227" s="12">
        <v>0</v>
      </c>
      <c r="DK227" s="12">
        <v>0</v>
      </c>
      <c r="DL227" s="12">
        <v>0</v>
      </c>
      <c r="DM227" s="12">
        <v>0</v>
      </c>
      <c r="DN227" s="12">
        <v>0</v>
      </c>
      <c r="DO227" s="12">
        <v>0</v>
      </c>
      <c r="DP227" s="12">
        <v>0</v>
      </c>
      <c r="DQ227" s="12">
        <v>0</v>
      </c>
      <c r="DR227" s="12">
        <v>0</v>
      </c>
      <c r="DS227" s="12">
        <v>0</v>
      </c>
      <c r="DT227" s="12">
        <v>0</v>
      </c>
      <c r="DU227" s="12">
        <v>0</v>
      </c>
      <c r="DV227" s="12">
        <v>0</v>
      </c>
      <c r="DW227" s="12">
        <v>0</v>
      </c>
      <c r="DX227" s="12">
        <v>0</v>
      </c>
      <c r="DY227" s="12">
        <v>0</v>
      </c>
      <c r="DZ227" s="12">
        <v>0</v>
      </c>
      <c r="EA227" s="12">
        <v>0</v>
      </c>
      <c r="EB227" s="417"/>
    </row>
    <row r="228" spans="1:132" s="7" customFormat="1">
      <c r="A228" s="11" t="s">
        <v>389</v>
      </c>
      <c r="B228" s="418"/>
      <c r="C228" s="418"/>
      <c r="D228" s="418"/>
      <c r="E228" s="418"/>
      <c r="F228" s="418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2">
        <v>0</v>
      </c>
      <c r="CP228" s="12">
        <v>0</v>
      </c>
      <c r="CQ228" s="12">
        <v>0</v>
      </c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0</v>
      </c>
      <c r="CZ228" s="12">
        <v>0</v>
      </c>
      <c r="DA228" s="12">
        <v>0</v>
      </c>
      <c r="DB228" s="12">
        <v>0</v>
      </c>
      <c r="DC228" s="12">
        <v>0</v>
      </c>
      <c r="DD228" s="12">
        <v>0</v>
      </c>
      <c r="DE228" s="12">
        <v>0</v>
      </c>
      <c r="DF228" s="12">
        <v>0</v>
      </c>
      <c r="DG228" s="12">
        <v>0</v>
      </c>
      <c r="DH228" s="12">
        <v>0</v>
      </c>
      <c r="DI228" s="12">
        <v>0</v>
      </c>
      <c r="DJ228" s="12">
        <v>0</v>
      </c>
      <c r="DK228" s="12">
        <v>0</v>
      </c>
      <c r="DL228" s="12">
        <v>0</v>
      </c>
      <c r="DM228" s="12">
        <v>0</v>
      </c>
      <c r="DN228" s="12">
        <v>0</v>
      </c>
      <c r="DO228" s="12">
        <v>0</v>
      </c>
      <c r="DP228" s="12">
        <v>0</v>
      </c>
      <c r="DQ228" s="12">
        <v>0</v>
      </c>
      <c r="DR228" s="12">
        <v>0</v>
      </c>
      <c r="DS228" s="12">
        <v>0</v>
      </c>
      <c r="DT228" s="12">
        <v>0</v>
      </c>
      <c r="DU228" s="12">
        <v>0</v>
      </c>
      <c r="DV228" s="12">
        <v>0</v>
      </c>
      <c r="DW228" s="12">
        <v>0</v>
      </c>
      <c r="DX228" s="12">
        <v>0</v>
      </c>
      <c r="DY228" s="12">
        <v>0</v>
      </c>
      <c r="DZ228" s="12">
        <v>0</v>
      </c>
      <c r="EA228" s="12">
        <v>0</v>
      </c>
      <c r="EB228" s="417"/>
    </row>
    <row r="229" spans="1:132" s="7" customFormat="1">
      <c r="A229" s="17" t="s">
        <v>390</v>
      </c>
      <c r="B229" s="433"/>
      <c r="C229" s="433"/>
      <c r="D229" s="433"/>
      <c r="E229" s="433"/>
      <c r="F229" s="433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417"/>
    </row>
    <row r="230" spans="1:132" s="7" customFormat="1">
      <c r="A230" s="11" t="s">
        <v>391</v>
      </c>
      <c r="B230" s="418"/>
      <c r="C230" s="418"/>
      <c r="D230" s="418"/>
      <c r="E230" s="418"/>
      <c r="F230" s="418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0</v>
      </c>
      <c r="CO230" s="12">
        <v>0</v>
      </c>
      <c r="CP230" s="12">
        <v>0</v>
      </c>
      <c r="CQ230" s="12">
        <v>0</v>
      </c>
      <c r="CR230" s="12">
        <v>0</v>
      </c>
      <c r="CS230" s="12">
        <v>0</v>
      </c>
      <c r="CT230" s="12">
        <v>0</v>
      </c>
      <c r="CU230" s="12">
        <v>0</v>
      </c>
      <c r="CV230" s="12">
        <v>0</v>
      </c>
      <c r="CW230" s="12">
        <v>0</v>
      </c>
      <c r="CX230" s="12">
        <v>0</v>
      </c>
      <c r="CY230" s="12">
        <v>0</v>
      </c>
      <c r="CZ230" s="12">
        <v>0</v>
      </c>
      <c r="DA230" s="12">
        <v>0</v>
      </c>
      <c r="DB230" s="12">
        <v>0</v>
      </c>
      <c r="DC230" s="12">
        <v>0</v>
      </c>
      <c r="DD230" s="12">
        <v>0</v>
      </c>
      <c r="DE230" s="12">
        <v>0</v>
      </c>
      <c r="DF230" s="12">
        <v>0</v>
      </c>
      <c r="DG230" s="12">
        <v>0</v>
      </c>
      <c r="DH230" s="12">
        <v>0</v>
      </c>
      <c r="DI230" s="12">
        <v>0</v>
      </c>
      <c r="DJ230" s="12">
        <v>0</v>
      </c>
      <c r="DK230" s="12">
        <v>0</v>
      </c>
      <c r="DL230" s="12">
        <v>0</v>
      </c>
      <c r="DM230" s="12">
        <v>0</v>
      </c>
      <c r="DN230" s="12">
        <v>0</v>
      </c>
      <c r="DO230" s="12">
        <v>0</v>
      </c>
      <c r="DP230" s="12">
        <v>0</v>
      </c>
      <c r="DQ230" s="12">
        <v>0</v>
      </c>
      <c r="DR230" s="12">
        <v>0</v>
      </c>
      <c r="DS230" s="12">
        <v>0</v>
      </c>
      <c r="DT230" s="12">
        <v>0</v>
      </c>
      <c r="DU230" s="12">
        <v>0</v>
      </c>
      <c r="DV230" s="12">
        <v>0</v>
      </c>
      <c r="DW230" s="12">
        <v>0</v>
      </c>
      <c r="DX230" s="12">
        <v>0</v>
      </c>
      <c r="DY230" s="12">
        <v>0</v>
      </c>
      <c r="DZ230" s="12">
        <v>0</v>
      </c>
      <c r="EA230" s="12">
        <v>0</v>
      </c>
      <c r="EB230" s="417"/>
    </row>
    <row r="231" spans="1:132" s="7" customFormat="1">
      <c r="A231" s="11" t="s">
        <v>392</v>
      </c>
      <c r="B231" s="418"/>
      <c r="C231" s="418"/>
      <c r="D231" s="418"/>
      <c r="E231" s="418"/>
      <c r="F231" s="418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0</v>
      </c>
      <c r="CS231" s="12">
        <v>0</v>
      </c>
      <c r="CT231" s="12">
        <v>0</v>
      </c>
      <c r="CU231" s="12">
        <v>0</v>
      </c>
      <c r="CV231" s="12">
        <v>0</v>
      </c>
      <c r="CW231" s="12">
        <v>0</v>
      </c>
      <c r="CX231" s="12">
        <v>0</v>
      </c>
      <c r="CY231" s="12">
        <v>0</v>
      </c>
      <c r="CZ231" s="12">
        <v>0</v>
      </c>
      <c r="DA231" s="12">
        <v>0</v>
      </c>
      <c r="DB231" s="12">
        <v>0</v>
      </c>
      <c r="DC231" s="12">
        <v>0</v>
      </c>
      <c r="DD231" s="12">
        <v>0</v>
      </c>
      <c r="DE231" s="12">
        <v>0</v>
      </c>
      <c r="DF231" s="12">
        <v>0</v>
      </c>
      <c r="DG231" s="12">
        <v>0</v>
      </c>
      <c r="DH231" s="12">
        <v>0</v>
      </c>
      <c r="DI231" s="12">
        <v>0</v>
      </c>
      <c r="DJ231" s="12">
        <v>0</v>
      </c>
      <c r="DK231" s="12">
        <v>0</v>
      </c>
      <c r="DL231" s="12">
        <v>0</v>
      </c>
      <c r="DM231" s="12">
        <v>0</v>
      </c>
      <c r="DN231" s="12">
        <v>0</v>
      </c>
      <c r="DO231" s="12">
        <v>0</v>
      </c>
      <c r="DP231" s="12">
        <v>0</v>
      </c>
      <c r="DQ231" s="12">
        <v>0</v>
      </c>
      <c r="DR231" s="12">
        <v>0</v>
      </c>
      <c r="DS231" s="12">
        <v>0</v>
      </c>
      <c r="DT231" s="12">
        <v>0</v>
      </c>
      <c r="DU231" s="12">
        <v>0</v>
      </c>
      <c r="DV231" s="12">
        <v>0</v>
      </c>
      <c r="DW231" s="12">
        <v>0</v>
      </c>
      <c r="DX231" s="12">
        <v>0</v>
      </c>
      <c r="DY231" s="12">
        <v>0</v>
      </c>
      <c r="DZ231" s="12">
        <v>0</v>
      </c>
      <c r="EA231" s="12">
        <v>0</v>
      </c>
      <c r="EB231" s="417"/>
    </row>
    <row r="232" spans="1:132" s="7" customFormat="1" ht="13.5" thickBot="1">
      <c r="A232" s="17" t="s">
        <v>393</v>
      </c>
      <c r="B232" s="439"/>
      <c r="C232" s="439"/>
      <c r="D232" s="439"/>
      <c r="E232" s="439"/>
      <c r="F232" s="43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  <c r="DC232" s="18"/>
      <c r="DD232" s="18"/>
      <c r="DE232" s="18"/>
      <c r="DF232" s="18"/>
      <c r="DG232" s="18"/>
      <c r="DH232" s="18"/>
      <c r="DI232" s="18"/>
      <c r="DJ232" s="18"/>
      <c r="DK232" s="18"/>
      <c r="DL232" s="18"/>
      <c r="DM232" s="18"/>
      <c r="DN232" s="18"/>
      <c r="DO232" s="18"/>
      <c r="DP232" s="18"/>
      <c r="DQ232" s="18"/>
      <c r="DR232" s="18"/>
      <c r="DS232" s="18"/>
      <c r="DT232" s="18"/>
      <c r="DU232" s="18"/>
      <c r="DV232" s="18"/>
      <c r="DW232" s="18"/>
      <c r="DX232" s="18"/>
      <c r="DY232" s="18"/>
      <c r="DZ232" s="18"/>
      <c r="EA232" s="18"/>
      <c r="EB232" s="417"/>
    </row>
    <row r="233" spans="1:132" s="7" customFormat="1">
      <c r="A233" s="17"/>
      <c r="B233" s="424"/>
      <c r="C233" s="424"/>
      <c r="D233" s="424"/>
      <c r="E233" s="424"/>
      <c r="F233" s="424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417"/>
    </row>
    <row r="234" spans="1:132" s="7" customFormat="1">
      <c r="A234" s="11" t="s">
        <v>394</v>
      </c>
      <c r="B234" s="418"/>
      <c r="C234" s="418"/>
      <c r="D234" s="418"/>
      <c r="E234" s="418"/>
      <c r="F234" s="418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</v>
      </c>
      <c r="CY234" s="12">
        <v>0</v>
      </c>
      <c r="CZ234" s="12">
        <v>0</v>
      </c>
      <c r="DA234" s="12">
        <v>0</v>
      </c>
      <c r="DB234" s="12">
        <v>0</v>
      </c>
      <c r="DC234" s="12">
        <v>0</v>
      </c>
      <c r="DD234" s="12">
        <v>0</v>
      </c>
      <c r="DE234" s="12">
        <v>0</v>
      </c>
      <c r="DF234" s="12">
        <v>0</v>
      </c>
      <c r="DG234" s="12">
        <v>0</v>
      </c>
      <c r="DH234" s="12">
        <v>0</v>
      </c>
      <c r="DI234" s="12">
        <v>0</v>
      </c>
      <c r="DJ234" s="12">
        <v>0</v>
      </c>
      <c r="DK234" s="12">
        <v>0</v>
      </c>
      <c r="DL234" s="12">
        <v>0</v>
      </c>
      <c r="DM234" s="12">
        <v>0</v>
      </c>
      <c r="DN234" s="12">
        <v>0</v>
      </c>
      <c r="DO234" s="12">
        <v>0</v>
      </c>
      <c r="DP234" s="12">
        <v>0</v>
      </c>
      <c r="DQ234" s="12">
        <v>0</v>
      </c>
      <c r="DR234" s="12">
        <v>0</v>
      </c>
      <c r="DS234" s="12">
        <v>0</v>
      </c>
      <c r="DT234" s="12">
        <v>0</v>
      </c>
      <c r="DU234" s="12">
        <v>0</v>
      </c>
      <c r="DV234" s="12">
        <v>0</v>
      </c>
      <c r="DW234" s="12">
        <v>0</v>
      </c>
      <c r="DX234" s="12">
        <v>0</v>
      </c>
      <c r="DY234" s="12">
        <v>0</v>
      </c>
      <c r="DZ234" s="12">
        <v>0</v>
      </c>
      <c r="EA234" s="12">
        <v>0</v>
      </c>
      <c r="EB234" s="417"/>
    </row>
    <row r="235" spans="1:132" s="7" customFormat="1" ht="13.5" thickBot="1">
      <c r="A235" s="11" t="s">
        <v>395</v>
      </c>
      <c r="B235" s="418"/>
      <c r="C235" s="418"/>
      <c r="D235" s="418"/>
      <c r="E235" s="418"/>
      <c r="F235" s="418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</v>
      </c>
      <c r="CO235" s="12">
        <v>0</v>
      </c>
      <c r="CP235" s="12">
        <v>0</v>
      </c>
      <c r="CQ235" s="12">
        <v>0</v>
      </c>
      <c r="CR235" s="12">
        <v>0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0</v>
      </c>
      <c r="CZ235" s="12">
        <v>0</v>
      </c>
      <c r="DA235" s="12">
        <v>0</v>
      </c>
      <c r="DB235" s="12">
        <v>0</v>
      </c>
      <c r="DC235" s="12">
        <v>0</v>
      </c>
      <c r="DD235" s="12">
        <v>0</v>
      </c>
      <c r="DE235" s="12">
        <v>0</v>
      </c>
      <c r="DF235" s="12">
        <v>0</v>
      </c>
      <c r="DG235" s="12">
        <v>0</v>
      </c>
      <c r="DH235" s="12">
        <v>0</v>
      </c>
      <c r="DI235" s="12">
        <v>0</v>
      </c>
      <c r="DJ235" s="12">
        <v>0</v>
      </c>
      <c r="DK235" s="12">
        <v>0</v>
      </c>
      <c r="DL235" s="12">
        <v>0</v>
      </c>
      <c r="DM235" s="12">
        <v>0</v>
      </c>
      <c r="DN235" s="12">
        <v>0</v>
      </c>
      <c r="DO235" s="12">
        <v>0</v>
      </c>
      <c r="DP235" s="12">
        <v>0</v>
      </c>
      <c r="DQ235" s="12">
        <v>0</v>
      </c>
      <c r="DR235" s="12">
        <v>0</v>
      </c>
      <c r="DS235" s="12">
        <v>0</v>
      </c>
      <c r="DT235" s="12">
        <v>0</v>
      </c>
      <c r="DU235" s="12">
        <v>0</v>
      </c>
      <c r="DV235" s="12">
        <v>0</v>
      </c>
      <c r="DW235" s="12">
        <v>0</v>
      </c>
      <c r="DX235" s="12">
        <v>0</v>
      </c>
      <c r="DY235" s="12">
        <v>0</v>
      </c>
      <c r="DZ235" s="12">
        <v>0</v>
      </c>
      <c r="EA235" s="12">
        <v>0</v>
      </c>
      <c r="EB235" s="417"/>
    </row>
    <row r="236" spans="1:132" s="7" customFormat="1">
      <c r="A236" s="17"/>
      <c r="B236" s="424"/>
      <c r="C236" s="424"/>
      <c r="D236" s="424"/>
      <c r="E236" s="424"/>
      <c r="F236" s="424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417"/>
    </row>
    <row r="237" spans="1:132" s="7" customFormat="1" ht="15.75">
      <c r="A237" s="25" t="s">
        <v>396</v>
      </c>
      <c r="B237" s="431"/>
      <c r="C237" s="431"/>
      <c r="D237" s="431"/>
      <c r="E237" s="431"/>
      <c r="F237" s="431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  <c r="DV237" s="26"/>
      <c r="DW237" s="26"/>
      <c r="DX237" s="26"/>
      <c r="DY237" s="26"/>
      <c r="DZ237" s="26"/>
      <c r="EA237" s="26"/>
      <c r="EB237" s="417"/>
    </row>
    <row r="238" spans="1:132" s="7" customFormat="1">
      <c r="A238" s="17" t="s">
        <v>351</v>
      </c>
      <c r="B238" s="434"/>
      <c r="C238" s="434"/>
      <c r="D238" s="434"/>
      <c r="E238" s="434"/>
      <c r="F238" s="43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417"/>
    </row>
    <row r="239" spans="1:132" s="7" customFormat="1">
      <c r="A239" s="17" t="s">
        <v>352</v>
      </c>
      <c r="B239" s="434"/>
      <c r="C239" s="434"/>
      <c r="D239" s="434"/>
      <c r="E239" s="434"/>
      <c r="F239" s="43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417"/>
    </row>
    <row r="240" spans="1:132" s="7" customFormat="1">
      <c r="A240" s="17" t="s">
        <v>353</v>
      </c>
      <c r="B240" s="434"/>
      <c r="C240" s="434"/>
      <c r="D240" s="434"/>
      <c r="E240" s="434"/>
      <c r="F240" s="43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417"/>
    </row>
    <row r="241" spans="1:132" s="7" customFormat="1">
      <c r="A241" s="17" t="s">
        <v>357</v>
      </c>
      <c r="B241" s="434"/>
      <c r="C241" s="434"/>
      <c r="D241" s="434"/>
      <c r="E241" s="434"/>
      <c r="F241" s="43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417"/>
    </row>
    <row r="242" spans="1:132" s="7" customFormat="1">
      <c r="A242" s="17" t="s">
        <v>379</v>
      </c>
      <c r="B242" s="434"/>
      <c r="C242" s="434"/>
      <c r="D242" s="434"/>
      <c r="E242" s="434"/>
      <c r="F242" s="43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417"/>
    </row>
    <row r="243" spans="1:132" s="7" customFormat="1">
      <c r="A243" s="17" t="s">
        <v>397</v>
      </c>
      <c r="B243" s="434"/>
      <c r="C243" s="434"/>
      <c r="D243" s="434"/>
      <c r="E243" s="434"/>
      <c r="F243" s="43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417"/>
    </row>
    <row r="244" spans="1:132" s="7" customFormat="1">
      <c r="A244" s="13" t="s">
        <v>398</v>
      </c>
      <c r="B244" s="433"/>
      <c r="C244" s="433"/>
      <c r="D244" s="433"/>
      <c r="E244" s="433"/>
      <c r="F244" s="433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417"/>
    </row>
    <row r="245" spans="1:132" s="7" customFormat="1">
      <c r="A245" s="17" t="s">
        <v>399</v>
      </c>
      <c r="B245" s="434"/>
      <c r="C245" s="434"/>
      <c r="D245" s="434"/>
      <c r="E245" s="434"/>
      <c r="F245" s="43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417"/>
    </row>
    <row r="246" spans="1:132" s="7" customFormat="1">
      <c r="A246" s="17" t="s">
        <v>356</v>
      </c>
      <c r="B246" s="434"/>
      <c r="C246" s="434"/>
      <c r="D246" s="434"/>
      <c r="E246" s="434"/>
      <c r="F246" s="43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417"/>
    </row>
    <row r="247" spans="1:132" s="7" customFormat="1" ht="13.5" thickBot="1">
      <c r="A247" s="13" t="s">
        <v>400</v>
      </c>
      <c r="B247" s="439"/>
      <c r="C247" s="439"/>
      <c r="D247" s="439"/>
      <c r="E247" s="439"/>
      <c r="F247" s="439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  <c r="DC247" s="18"/>
      <c r="DD247" s="18"/>
      <c r="DE247" s="18"/>
      <c r="DF247" s="18"/>
      <c r="DG247" s="18"/>
      <c r="DH247" s="18"/>
      <c r="DI247" s="18"/>
      <c r="DJ247" s="18"/>
      <c r="DK247" s="18"/>
      <c r="DL247" s="18"/>
      <c r="DM247" s="18"/>
      <c r="DN247" s="18"/>
      <c r="DO247" s="18"/>
      <c r="DP247" s="18"/>
      <c r="DQ247" s="18"/>
      <c r="DR247" s="18"/>
      <c r="DS247" s="18"/>
      <c r="DT247" s="18"/>
      <c r="DU247" s="18"/>
      <c r="DV247" s="18"/>
      <c r="DW247" s="18"/>
      <c r="DX247" s="18"/>
      <c r="DY247" s="18"/>
      <c r="DZ247" s="18"/>
      <c r="EA247" s="18"/>
      <c r="EB247" s="417"/>
    </row>
    <row r="248" spans="1:132" s="7" customFormat="1">
      <c r="A248" s="17"/>
      <c r="B248" s="424"/>
      <c r="C248" s="424"/>
      <c r="D248" s="424"/>
      <c r="E248" s="424"/>
      <c r="F248" s="424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417"/>
    </row>
    <row r="249" spans="1:132" s="7" customFormat="1" ht="15">
      <c r="A249" s="22" t="s">
        <v>401</v>
      </c>
      <c r="B249" s="435"/>
      <c r="C249" s="435"/>
      <c r="D249" s="435"/>
      <c r="E249" s="435"/>
      <c r="F249" s="435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417"/>
    </row>
    <row r="250" spans="1:132" s="7" customFormat="1">
      <c r="A250" s="17" t="s">
        <v>371</v>
      </c>
      <c r="B250" s="434"/>
      <c r="C250" s="434"/>
      <c r="D250" s="434"/>
      <c r="E250" s="434"/>
      <c r="F250" s="43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417"/>
    </row>
    <row r="251" spans="1:132" s="7" customFormat="1">
      <c r="A251" s="17" t="s">
        <v>245</v>
      </c>
      <c r="B251" s="434"/>
      <c r="C251" s="434"/>
      <c r="D251" s="434"/>
      <c r="E251" s="434"/>
      <c r="F251" s="43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417"/>
    </row>
    <row r="252" spans="1:132" s="7" customFormat="1">
      <c r="A252" s="17" t="s">
        <v>402</v>
      </c>
      <c r="B252" s="434"/>
      <c r="C252" s="434"/>
      <c r="D252" s="434"/>
      <c r="E252" s="434"/>
      <c r="F252" s="43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417"/>
    </row>
    <row r="253" spans="1:132" s="7" customFormat="1">
      <c r="A253" s="17" t="s">
        <v>366</v>
      </c>
      <c r="B253" s="434"/>
      <c r="C253" s="434"/>
      <c r="D253" s="434"/>
      <c r="E253" s="434"/>
      <c r="F253" s="43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417"/>
    </row>
    <row r="254" spans="1:132" s="7" customFormat="1">
      <c r="A254" s="17" t="s">
        <v>358</v>
      </c>
      <c r="B254" s="434"/>
      <c r="C254" s="434"/>
      <c r="D254" s="434"/>
      <c r="E254" s="434"/>
      <c r="F254" s="43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417"/>
    </row>
    <row r="255" spans="1:132" s="7" customFormat="1" ht="13.5" thickBot="1">
      <c r="A255" s="13" t="s">
        <v>400</v>
      </c>
      <c r="B255" s="439"/>
      <c r="C255" s="439"/>
      <c r="D255" s="439"/>
      <c r="E255" s="439"/>
      <c r="F255" s="439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  <c r="DC255" s="18"/>
      <c r="DD255" s="18"/>
      <c r="DE255" s="18"/>
      <c r="DF255" s="18"/>
      <c r="DG255" s="18"/>
      <c r="DH255" s="18"/>
      <c r="DI255" s="18"/>
      <c r="DJ255" s="18"/>
      <c r="DK255" s="18"/>
      <c r="DL255" s="18"/>
      <c r="DM255" s="18"/>
      <c r="DN255" s="18"/>
      <c r="DO255" s="18"/>
      <c r="DP255" s="18"/>
      <c r="DQ255" s="18"/>
      <c r="DR255" s="18"/>
      <c r="DS255" s="18"/>
      <c r="DT255" s="18"/>
      <c r="DU255" s="18"/>
      <c r="DV255" s="18"/>
      <c r="DW255" s="18"/>
      <c r="DX255" s="18"/>
      <c r="DY255" s="18"/>
      <c r="DZ255" s="18"/>
      <c r="EA255" s="18"/>
      <c r="EB255" s="417"/>
    </row>
    <row r="256" spans="1:132" s="7" customFormat="1">
      <c r="A256" s="17"/>
      <c r="B256" s="424"/>
      <c r="C256" s="424"/>
      <c r="D256" s="424"/>
      <c r="E256" s="424"/>
      <c r="F256" s="424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417"/>
    </row>
    <row r="257" spans="1:132" s="7" customFormat="1">
      <c r="A257" s="17" t="s">
        <v>398</v>
      </c>
      <c r="B257" s="434"/>
      <c r="C257" s="434"/>
      <c r="D257" s="434"/>
      <c r="E257" s="434"/>
      <c r="F257" s="43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417"/>
    </row>
    <row r="258" spans="1:132" s="7" customFormat="1">
      <c r="A258" s="17" t="s">
        <v>403</v>
      </c>
      <c r="B258" s="434"/>
      <c r="C258" s="434"/>
      <c r="D258" s="434"/>
      <c r="E258" s="434"/>
      <c r="F258" s="43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417"/>
    </row>
    <row r="259" spans="1:132" s="7" customFormat="1" ht="13.5" thickBot="1">
      <c r="A259" s="17" t="s">
        <v>404</v>
      </c>
      <c r="B259" s="439"/>
      <c r="C259" s="439"/>
      <c r="D259" s="439"/>
      <c r="E259" s="439"/>
      <c r="F259" s="439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  <c r="DC259" s="18"/>
      <c r="DD259" s="18"/>
      <c r="DE259" s="18"/>
      <c r="DF259" s="18"/>
      <c r="DG259" s="18"/>
      <c r="DH259" s="18"/>
      <c r="DI259" s="18"/>
      <c r="DJ259" s="18"/>
      <c r="DK259" s="18"/>
      <c r="DL259" s="18"/>
      <c r="DM259" s="18"/>
      <c r="DN259" s="18"/>
      <c r="DO259" s="18"/>
      <c r="DP259" s="18"/>
      <c r="DQ259" s="18"/>
      <c r="DR259" s="18"/>
      <c r="DS259" s="18"/>
      <c r="DT259" s="18"/>
      <c r="DU259" s="18"/>
      <c r="DV259" s="18"/>
      <c r="DW259" s="18"/>
      <c r="DX259" s="18"/>
      <c r="DY259" s="18"/>
      <c r="DZ259" s="18"/>
      <c r="EA259" s="18"/>
      <c r="EB259" s="417"/>
    </row>
    <row r="260" spans="1:132" s="7" customFormat="1">
      <c r="A260" s="17"/>
      <c r="B260" s="424"/>
      <c r="C260" s="424"/>
      <c r="D260" s="424"/>
      <c r="E260" s="424"/>
      <c r="F260" s="424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417"/>
    </row>
    <row r="261" spans="1:132" s="7" customFormat="1" ht="15.75">
      <c r="A261" s="25" t="s">
        <v>405</v>
      </c>
      <c r="B261" s="431"/>
      <c r="C261" s="431"/>
      <c r="D261" s="431"/>
      <c r="E261" s="431"/>
      <c r="F261" s="431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417"/>
    </row>
    <row r="262" spans="1:132" s="7" customFormat="1">
      <c r="A262" s="17" t="s">
        <v>406</v>
      </c>
      <c r="B262" s="434"/>
      <c r="C262" s="434"/>
      <c r="D262" s="434"/>
      <c r="E262" s="434"/>
      <c r="F262" s="43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417"/>
    </row>
    <row r="263" spans="1:132" s="7" customFormat="1">
      <c r="A263" s="17"/>
      <c r="B263" s="429"/>
      <c r="C263" s="429"/>
      <c r="D263" s="429"/>
      <c r="E263" s="429"/>
      <c r="F263" s="429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417"/>
    </row>
    <row r="264" spans="1:132" s="7" customFormat="1">
      <c r="A264" s="17" t="s">
        <v>407</v>
      </c>
      <c r="B264" s="432"/>
      <c r="C264" s="432"/>
      <c r="D264" s="432"/>
      <c r="E264" s="432"/>
      <c r="F264" s="432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417"/>
    </row>
    <row r="265" spans="1:132" s="7" customFormat="1">
      <c r="A265" s="17" t="s">
        <v>408</v>
      </c>
      <c r="B265" s="432"/>
      <c r="C265" s="432"/>
      <c r="D265" s="432"/>
      <c r="E265" s="432"/>
      <c r="F265" s="432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417"/>
    </row>
    <row r="266" spans="1:132" s="7" customFormat="1">
      <c r="A266" s="17" t="s">
        <v>409</v>
      </c>
      <c r="B266" s="432"/>
      <c r="C266" s="432"/>
      <c r="D266" s="432"/>
      <c r="E266" s="432"/>
      <c r="F266" s="432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417"/>
    </row>
    <row r="267" spans="1:132" s="7" customFormat="1">
      <c r="A267" s="17" t="s">
        <v>410</v>
      </c>
      <c r="B267" s="432"/>
      <c r="C267" s="432"/>
      <c r="D267" s="432"/>
      <c r="E267" s="432"/>
      <c r="F267" s="432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417"/>
    </row>
    <row r="268" spans="1:132" s="7" customFormat="1">
      <c r="A268" s="17" t="s">
        <v>411</v>
      </c>
      <c r="B268" s="432"/>
      <c r="C268" s="432"/>
      <c r="D268" s="432"/>
      <c r="E268" s="432"/>
      <c r="F268" s="432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417"/>
    </row>
    <row r="269" spans="1:132" s="7" customFormat="1">
      <c r="A269" s="17" t="s">
        <v>412</v>
      </c>
      <c r="B269" s="432"/>
      <c r="C269" s="432"/>
      <c r="D269" s="432"/>
      <c r="E269" s="432"/>
      <c r="F269" s="432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417"/>
    </row>
    <row r="270" spans="1:132" s="7" customFormat="1">
      <c r="A270" s="17" t="s">
        <v>413</v>
      </c>
      <c r="B270" s="432"/>
      <c r="C270" s="432"/>
      <c r="D270" s="432"/>
      <c r="E270" s="432"/>
      <c r="F270" s="432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417"/>
    </row>
    <row r="271" spans="1:132" s="7" customFormat="1">
      <c r="A271" s="17"/>
      <c r="B271" s="429"/>
      <c r="C271" s="429"/>
      <c r="D271" s="429"/>
      <c r="E271" s="429"/>
      <c r="F271" s="429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417"/>
    </row>
    <row r="272" spans="1:132" s="7" customFormat="1" ht="15.75">
      <c r="A272" s="25" t="s">
        <v>414</v>
      </c>
      <c r="B272" s="431"/>
      <c r="C272" s="431"/>
      <c r="D272" s="431"/>
      <c r="E272" s="431"/>
      <c r="F272" s="431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417"/>
    </row>
    <row r="273" spans="1:132" s="7" customFormat="1">
      <c r="A273" s="17" t="s">
        <v>415</v>
      </c>
      <c r="B273" s="432"/>
      <c r="C273" s="432"/>
      <c r="D273" s="432"/>
      <c r="E273" s="432"/>
      <c r="F273" s="432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417"/>
    </row>
    <row r="274" spans="1:132" s="7" customFormat="1">
      <c r="A274" s="17" t="s">
        <v>416</v>
      </c>
      <c r="B274" s="432"/>
      <c r="C274" s="432"/>
      <c r="D274" s="432"/>
      <c r="E274" s="432"/>
      <c r="F274" s="432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417"/>
    </row>
    <row r="275" spans="1:132" s="7" customFormat="1">
      <c r="A275" s="17" t="s">
        <v>417</v>
      </c>
      <c r="B275" s="432"/>
      <c r="C275" s="432"/>
      <c r="D275" s="432"/>
      <c r="E275" s="432"/>
      <c r="F275" s="432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417"/>
    </row>
    <row r="276" spans="1:132" s="7" customFormat="1">
      <c r="A276" s="17" t="s">
        <v>418</v>
      </c>
      <c r="B276" s="430"/>
      <c r="C276" s="430"/>
      <c r="D276" s="430"/>
      <c r="E276" s="430"/>
      <c r="F276" s="430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DZ276" s="29"/>
      <c r="EA276" s="29"/>
      <c r="EB276" s="417"/>
    </row>
    <row r="277" spans="1:132" s="7" customFormat="1">
      <c r="A277" s="17" t="s">
        <v>419</v>
      </c>
      <c r="B277" s="430"/>
      <c r="C277" s="430"/>
      <c r="D277" s="430"/>
      <c r="E277" s="430"/>
      <c r="F277" s="430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417"/>
    </row>
    <row r="278" spans="1:132" s="7" customFormat="1">
      <c r="A278" s="17" t="s">
        <v>420</v>
      </c>
      <c r="B278" s="430"/>
      <c r="C278" s="430"/>
      <c r="D278" s="430"/>
      <c r="E278" s="430"/>
      <c r="F278" s="430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/>
      <c r="EA278" s="29"/>
      <c r="EB278" s="417"/>
    </row>
    <row r="279" spans="1:132" s="7" customFormat="1">
      <c r="A279" s="17" t="s">
        <v>421</v>
      </c>
      <c r="B279" s="430"/>
      <c r="C279" s="430"/>
      <c r="D279" s="430"/>
      <c r="E279" s="430"/>
      <c r="F279" s="430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/>
      <c r="EA279" s="29"/>
      <c r="EB279" s="417"/>
    </row>
    <row r="280" spans="1:132" s="7" customFormat="1">
      <c r="A280" s="17" t="s">
        <v>422</v>
      </c>
      <c r="B280" s="434"/>
      <c r="C280" s="434"/>
      <c r="D280" s="434"/>
      <c r="E280" s="434"/>
      <c r="F280" s="43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417"/>
    </row>
    <row r="281" spans="1:132" s="7" customFormat="1">
      <c r="A281" s="17" t="s">
        <v>423</v>
      </c>
      <c r="B281" s="430"/>
      <c r="C281" s="430"/>
      <c r="D281" s="430"/>
      <c r="E281" s="430"/>
      <c r="F281" s="430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/>
      <c r="EA281" s="29"/>
      <c r="EB281" s="417"/>
    </row>
    <row r="282" spans="1:132" s="7" customFormat="1">
      <c r="A282" s="17" t="s">
        <v>424</v>
      </c>
      <c r="B282" s="430"/>
      <c r="C282" s="430"/>
      <c r="D282" s="430"/>
      <c r="E282" s="430"/>
      <c r="F282" s="430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/>
      <c r="EA282" s="29"/>
      <c r="EB282" s="417"/>
    </row>
    <row r="283" spans="1:132" s="7" customFormat="1">
      <c r="A283" s="17"/>
      <c r="B283" s="429"/>
      <c r="C283" s="429"/>
      <c r="D283" s="429"/>
      <c r="E283" s="429"/>
      <c r="F283" s="429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417"/>
    </row>
    <row r="284" spans="1:132" s="7" customFormat="1" ht="15.75">
      <c r="A284" s="25" t="s">
        <v>305</v>
      </c>
      <c r="B284" s="431"/>
      <c r="C284" s="431"/>
      <c r="D284" s="431"/>
      <c r="E284" s="431"/>
      <c r="F284" s="431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417"/>
    </row>
    <row r="285" spans="1:132" s="7" customFormat="1">
      <c r="A285" s="17" t="s">
        <v>425</v>
      </c>
      <c r="B285" s="432"/>
      <c r="C285" s="432"/>
      <c r="D285" s="432"/>
      <c r="E285" s="432"/>
      <c r="F285" s="432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417"/>
    </row>
    <row r="286" spans="1:132" s="7" customFormat="1">
      <c r="A286" s="17" t="s">
        <v>426</v>
      </c>
      <c r="B286" s="432"/>
      <c r="C286" s="432"/>
      <c r="D286" s="432"/>
      <c r="E286" s="432"/>
      <c r="F286" s="432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417"/>
    </row>
    <row r="287" spans="1:132" s="7" customFormat="1">
      <c r="A287" s="17" t="s">
        <v>427</v>
      </c>
      <c r="B287" s="432"/>
      <c r="C287" s="432"/>
      <c r="D287" s="432"/>
      <c r="E287" s="432"/>
      <c r="F287" s="432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417"/>
    </row>
    <row r="288" spans="1:132" s="7" customFormat="1">
      <c r="A288" s="17" t="s">
        <v>428</v>
      </c>
      <c r="B288" s="432"/>
      <c r="C288" s="432"/>
      <c r="D288" s="432"/>
      <c r="E288" s="432"/>
      <c r="F288" s="432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417"/>
    </row>
    <row r="289" spans="1:132" s="7" customFormat="1">
      <c r="A289" s="17"/>
      <c r="B289" s="429"/>
      <c r="C289" s="429"/>
      <c r="D289" s="429"/>
      <c r="E289" s="429"/>
      <c r="F289" s="429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417"/>
    </row>
    <row r="290" spans="1:132" s="7" customFormat="1" ht="15.75">
      <c r="A290" s="25" t="s">
        <v>429</v>
      </c>
      <c r="B290" s="431"/>
      <c r="C290" s="431"/>
      <c r="D290" s="431"/>
      <c r="E290" s="431"/>
      <c r="F290" s="431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417"/>
    </row>
    <row r="291" spans="1:132" s="7" customFormat="1">
      <c r="A291" s="17" t="s">
        <v>430</v>
      </c>
      <c r="B291" s="432"/>
      <c r="C291" s="432"/>
      <c r="D291" s="432"/>
      <c r="E291" s="432"/>
      <c r="F291" s="432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417"/>
    </row>
    <row r="292" spans="1:132" s="7" customFormat="1">
      <c r="A292" s="17" t="s">
        <v>431</v>
      </c>
      <c r="B292" s="434"/>
      <c r="C292" s="434"/>
      <c r="D292" s="434"/>
      <c r="E292" s="434"/>
      <c r="F292" s="43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417"/>
    </row>
    <row r="293" spans="1:132" s="7" customFormat="1">
      <c r="A293" s="17" t="s">
        <v>432</v>
      </c>
      <c r="B293" s="442"/>
      <c r="C293" s="442"/>
      <c r="D293" s="442"/>
      <c r="E293" s="442"/>
      <c r="F293" s="442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  <c r="BZ293" s="41"/>
      <c r="CA293" s="41"/>
      <c r="CB293" s="41"/>
      <c r="CC293" s="41"/>
      <c r="CD293" s="41"/>
      <c r="CE293" s="41"/>
      <c r="CF293" s="41"/>
      <c r="CG293" s="41"/>
      <c r="CH293" s="41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  <c r="CS293" s="41"/>
      <c r="CT293" s="41"/>
      <c r="CU293" s="41"/>
      <c r="CV293" s="41"/>
      <c r="CW293" s="41"/>
      <c r="CX293" s="41"/>
      <c r="CY293" s="41"/>
      <c r="CZ293" s="41"/>
      <c r="DA293" s="41"/>
      <c r="DB293" s="41"/>
      <c r="DC293" s="41"/>
      <c r="DD293" s="41"/>
      <c r="DE293" s="41"/>
      <c r="DF293" s="41"/>
      <c r="DG293" s="41"/>
      <c r="DH293" s="41"/>
      <c r="DI293" s="41"/>
      <c r="DJ293" s="41"/>
      <c r="DK293" s="41"/>
      <c r="DL293" s="41"/>
      <c r="DM293" s="41"/>
      <c r="DN293" s="41"/>
      <c r="DO293" s="41"/>
      <c r="DP293" s="41"/>
      <c r="DQ293" s="41"/>
      <c r="DR293" s="41"/>
      <c r="DS293" s="41"/>
      <c r="DT293" s="41"/>
      <c r="DU293" s="41"/>
      <c r="DV293" s="41"/>
      <c r="DW293" s="41"/>
      <c r="DX293" s="41"/>
      <c r="DY293" s="41"/>
      <c r="DZ293" s="41"/>
      <c r="EA293" s="41"/>
      <c r="EB293" s="417"/>
    </row>
    <row r="294" spans="1:132" s="7" customFormat="1">
      <c r="A294" s="17" t="s">
        <v>433</v>
      </c>
      <c r="B294" s="434"/>
      <c r="C294" s="434"/>
      <c r="D294" s="434"/>
      <c r="E294" s="434"/>
      <c r="F294" s="43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417"/>
    </row>
    <row r="295" spans="1:132" s="7" customFormat="1">
      <c r="A295" s="17" t="s">
        <v>434</v>
      </c>
      <c r="B295" s="442"/>
      <c r="C295" s="442"/>
      <c r="D295" s="442"/>
      <c r="E295" s="442"/>
      <c r="F295" s="442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  <c r="BZ295" s="41"/>
      <c r="CA295" s="41"/>
      <c r="CB295" s="41"/>
      <c r="CC295" s="41"/>
      <c r="CD295" s="41"/>
      <c r="CE295" s="41"/>
      <c r="CF295" s="41"/>
      <c r="CG295" s="41"/>
      <c r="CH295" s="41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  <c r="CS295" s="41"/>
      <c r="CT295" s="41"/>
      <c r="CU295" s="41"/>
      <c r="CV295" s="41"/>
      <c r="CW295" s="41"/>
      <c r="CX295" s="41"/>
      <c r="CY295" s="41"/>
      <c r="CZ295" s="41"/>
      <c r="DA295" s="41"/>
      <c r="DB295" s="41"/>
      <c r="DC295" s="41"/>
      <c r="DD295" s="41"/>
      <c r="DE295" s="41"/>
      <c r="DF295" s="41"/>
      <c r="DG295" s="41"/>
      <c r="DH295" s="41"/>
      <c r="DI295" s="41"/>
      <c r="DJ295" s="41"/>
      <c r="DK295" s="41"/>
      <c r="DL295" s="41"/>
      <c r="DM295" s="41"/>
      <c r="DN295" s="41"/>
      <c r="DO295" s="41"/>
      <c r="DP295" s="41"/>
      <c r="DQ295" s="41"/>
      <c r="DR295" s="41"/>
      <c r="DS295" s="41"/>
      <c r="DT295" s="41"/>
      <c r="DU295" s="41"/>
      <c r="DV295" s="41"/>
      <c r="DW295" s="41"/>
      <c r="DX295" s="41"/>
      <c r="DY295" s="41"/>
      <c r="DZ295" s="41"/>
      <c r="EA295" s="41"/>
      <c r="EB295" s="417"/>
    </row>
    <row r="296" spans="1:132" s="7" customFormat="1">
      <c r="A296" s="17" t="s">
        <v>435</v>
      </c>
      <c r="B296" s="434"/>
      <c r="C296" s="434"/>
      <c r="D296" s="434"/>
      <c r="E296" s="434"/>
      <c r="F296" s="43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417"/>
    </row>
    <row r="297" spans="1:132" s="7" customFormat="1">
      <c r="A297" s="17" t="s">
        <v>436</v>
      </c>
      <c r="B297" s="442"/>
      <c r="C297" s="442"/>
      <c r="D297" s="442"/>
      <c r="E297" s="442"/>
      <c r="F297" s="442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  <c r="BZ297" s="41"/>
      <c r="CA297" s="41"/>
      <c r="CB297" s="41"/>
      <c r="CC297" s="41"/>
      <c r="CD297" s="41"/>
      <c r="CE297" s="41"/>
      <c r="CF297" s="41"/>
      <c r="CG297" s="41"/>
      <c r="CH297" s="41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  <c r="CS297" s="41"/>
      <c r="CT297" s="41"/>
      <c r="CU297" s="41"/>
      <c r="CV297" s="41"/>
      <c r="CW297" s="41"/>
      <c r="CX297" s="41"/>
      <c r="CY297" s="41"/>
      <c r="CZ297" s="41"/>
      <c r="DA297" s="41"/>
      <c r="DB297" s="41"/>
      <c r="DC297" s="41"/>
      <c r="DD297" s="41"/>
      <c r="DE297" s="41"/>
      <c r="DF297" s="41"/>
      <c r="DG297" s="41"/>
      <c r="DH297" s="41"/>
      <c r="DI297" s="41"/>
      <c r="DJ297" s="41"/>
      <c r="DK297" s="41"/>
      <c r="DL297" s="41"/>
      <c r="DM297" s="41"/>
      <c r="DN297" s="41"/>
      <c r="DO297" s="41"/>
      <c r="DP297" s="41"/>
      <c r="DQ297" s="41"/>
      <c r="DR297" s="41"/>
      <c r="DS297" s="41"/>
      <c r="DT297" s="41"/>
      <c r="DU297" s="41"/>
      <c r="DV297" s="41"/>
      <c r="DW297" s="41"/>
      <c r="DX297" s="41"/>
      <c r="DY297" s="41"/>
      <c r="DZ297" s="41"/>
      <c r="EA297" s="41"/>
      <c r="EB297" s="417"/>
    </row>
    <row r="298" spans="1:132" s="7" customFormat="1">
      <c r="A298" s="17" t="s">
        <v>437</v>
      </c>
      <c r="B298" s="434"/>
      <c r="C298" s="434"/>
      <c r="D298" s="434"/>
      <c r="E298" s="434"/>
      <c r="F298" s="43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417"/>
    </row>
    <row r="299" spans="1:132" s="7" customFormat="1">
      <c r="A299" s="17" t="s">
        <v>438</v>
      </c>
      <c r="B299" s="443"/>
      <c r="C299" s="443"/>
      <c r="D299" s="443"/>
      <c r="E299" s="443"/>
      <c r="F299" s="443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  <c r="BO299" s="42"/>
      <c r="BP299" s="42"/>
      <c r="BQ299" s="42"/>
      <c r="BR299" s="42"/>
      <c r="BS299" s="42"/>
      <c r="BT299" s="42"/>
      <c r="BU299" s="42"/>
      <c r="BV299" s="42"/>
      <c r="BW299" s="42"/>
      <c r="BX299" s="42"/>
      <c r="BY299" s="42"/>
      <c r="BZ299" s="42"/>
      <c r="CA299" s="42"/>
      <c r="CB299" s="42"/>
      <c r="CC299" s="42"/>
      <c r="CD299" s="42"/>
      <c r="CE299" s="42"/>
      <c r="CF299" s="42"/>
      <c r="CG299" s="42"/>
      <c r="CH299" s="42"/>
      <c r="CI299" s="42"/>
      <c r="CJ299" s="42"/>
      <c r="CK299" s="42"/>
      <c r="CL299" s="42"/>
      <c r="CM299" s="42"/>
      <c r="CN299" s="42"/>
      <c r="CO299" s="42"/>
      <c r="CP299" s="42"/>
      <c r="CQ299" s="42"/>
      <c r="CR299" s="42"/>
      <c r="CS299" s="42"/>
      <c r="CT299" s="42"/>
      <c r="CU299" s="42"/>
      <c r="CV299" s="42"/>
      <c r="CW299" s="42"/>
      <c r="CX299" s="42"/>
      <c r="CY299" s="42"/>
      <c r="CZ299" s="42"/>
      <c r="DA299" s="42"/>
      <c r="DB299" s="42"/>
      <c r="DC299" s="42"/>
      <c r="DD299" s="42"/>
      <c r="DE299" s="42"/>
      <c r="DF299" s="42"/>
      <c r="DG299" s="42"/>
      <c r="DH299" s="42"/>
      <c r="DI299" s="42"/>
      <c r="DJ299" s="42"/>
      <c r="DK299" s="42"/>
      <c r="DL299" s="42"/>
      <c r="DM299" s="42"/>
      <c r="DN299" s="42"/>
      <c r="DO299" s="42"/>
      <c r="DP299" s="42"/>
      <c r="DQ299" s="42"/>
      <c r="DR299" s="42"/>
      <c r="DS299" s="42"/>
      <c r="DT299" s="42"/>
      <c r="DU299" s="42"/>
      <c r="DV299" s="42"/>
      <c r="DW299" s="42"/>
      <c r="DX299" s="42"/>
      <c r="DY299" s="42"/>
      <c r="DZ299" s="42"/>
      <c r="EA299" s="42"/>
      <c r="EB299" s="417"/>
    </row>
    <row r="300" spans="1:132" s="7" customFormat="1">
      <c r="A300" s="17" t="s">
        <v>439</v>
      </c>
      <c r="B300" s="433"/>
      <c r="C300" s="433"/>
      <c r="D300" s="433"/>
      <c r="E300" s="433"/>
      <c r="F300" s="433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417"/>
    </row>
    <row r="301" spans="1:132" s="7" customFormat="1">
      <c r="A301" s="17" t="s">
        <v>440</v>
      </c>
      <c r="B301" s="434"/>
      <c r="C301" s="434"/>
      <c r="D301" s="434"/>
      <c r="E301" s="434"/>
      <c r="F301" s="43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417"/>
    </row>
    <row r="302" spans="1:132" s="7" customFormat="1">
      <c r="A302" s="17" t="s">
        <v>441</v>
      </c>
      <c r="B302" s="433"/>
      <c r="C302" s="433"/>
      <c r="D302" s="433"/>
      <c r="E302" s="433"/>
      <c r="F302" s="433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417"/>
    </row>
    <row r="303" spans="1:132" s="7" customFormat="1">
      <c r="A303" s="17" t="s">
        <v>442</v>
      </c>
      <c r="B303" s="434"/>
      <c r="C303" s="434"/>
      <c r="D303" s="434"/>
      <c r="E303" s="434"/>
      <c r="F303" s="43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417"/>
    </row>
    <row r="304" spans="1:132" s="7" customFormat="1" ht="13.5" thickBot="1">
      <c r="A304" s="17" t="s">
        <v>443</v>
      </c>
      <c r="B304" s="442"/>
      <c r="C304" s="442"/>
      <c r="D304" s="442"/>
      <c r="E304" s="442"/>
      <c r="F304" s="442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  <c r="BZ304" s="41"/>
      <c r="CA304" s="41"/>
      <c r="CB304" s="41"/>
      <c r="CC304" s="41"/>
      <c r="CD304" s="41"/>
      <c r="CE304" s="41"/>
      <c r="CF304" s="41"/>
      <c r="CG304" s="41"/>
      <c r="CH304" s="41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  <c r="CS304" s="41"/>
      <c r="CT304" s="41"/>
      <c r="CU304" s="41"/>
      <c r="CV304" s="41"/>
      <c r="CW304" s="41"/>
      <c r="CX304" s="41"/>
      <c r="CY304" s="41"/>
      <c r="CZ304" s="41"/>
      <c r="DA304" s="41"/>
      <c r="DB304" s="41"/>
      <c r="DC304" s="41"/>
      <c r="DD304" s="41"/>
      <c r="DE304" s="41"/>
      <c r="DF304" s="41"/>
      <c r="DG304" s="41"/>
      <c r="DH304" s="41"/>
      <c r="DI304" s="41"/>
      <c r="DJ304" s="41"/>
      <c r="DK304" s="41"/>
      <c r="DL304" s="41"/>
      <c r="DM304" s="41"/>
      <c r="DN304" s="41"/>
      <c r="DO304" s="41"/>
      <c r="DP304" s="41"/>
      <c r="DQ304" s="41"/>
      <c r="DR304" s="41"/>
      <c r="DS304" s="41"/>
      <c r="DT304" s="41"/>
      <c r="DU304" s="41"/>
      <c r="DV304" s="41"/>
      <c r="DW304" s="41"/>
      <c r="DX304" s="41"/>
      <c r="DY304" s="41"/>
      <c r="DZ304" s="41"/>
      <c r="EA304" s="41"/>
      <c r="EB304" s="417"/>
    </row>
    <row r="305" spans="1:132" s="7" customFormat="1" ht="15.75">
      <c r="A305" s="31" t="s">
        <v>444</v>
      </c>
      <c r="B305" s="438"/>
      <c r="C305" s="438"/>
      <c r="D305" s="438"/>
      <c r="E305" s="438"/>
      <c r="F305" s="438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  <c r="CU305" s="32"/>
      <c r="CV305" s="32"/>
      <c r="CW305" s="32"/>
      <c r="CX305" s="32"/>
      <c r="CY305" s="32"/>
      <c r="CZ305" s="32"/>
      <c r="DA305" s="32"/>
      <c r="DB305" s="32"/>
      <c r="DC305" s="32"/>
      <c r="DD305" s="32"/>
      <c r="DE305" s="32"/>
      <c r="DF305" s="32"/>
      <c r="DG305" s="32"/>
      <c r="DH305" s="32"/>
      <c r="DI305" s="32"/>
      <c r="DJ305" s="32"/>
      <c r="DK305" s="32"/>
      <c r="DL305" s="32"/>
      <c r="DM305" s="32"/>
      <c r="DN305" s="32"/>
      <c r="DO305" s="32"/>
      <c r="DP305" s="32"/>
      <c r="DQ305" s="32"/>
      <c r="DR305" s="32"/>
      <c r="DS305" s="32"/>
      <c r="DT305" s="32"/>
      <c r="DU305" s="32"/>
      <c r="DV305" s="32"/>
      <c r="DW305" s="32"/>
      <c r="DX305" s="32"/>
      <c r="DY305" s="32"/>
      <c r="DZ305" s="32"/>
      <c r="EA305" s="32"/>
      <c r="EB305" s="417"/>
    </row>
    <row r="306" spans="1:132" s="7" customFormat="1" ht="15.75">
      <c r="A306" s="25" t="s">
        <v>445</v>
      </c>
      <c r="B306" s="431"/>
      <c r="C306" s="431"/>
      <c r="D306" s="431"/>
      <c r="E306" s="431"/>
      <c r="F306" s="431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  <c r="DV306" s="26"/>
      <c r="DW306" s="26"/>
      <c r="DX306" s="26"/>
      <c r="DY306" s="26"/>
      <c r="DZ306" s="26"/>
      <c r="EA306" s="26"/>
      <c r="EB306" s="417"/>
    </row>
    <row r="307" spans="1:132" s="7" customFormat="1">
      <c r="A307" s="17" t="s">
        <v>446</v>
      </c>
      <c r="B307" s="434"/>
      <c r="C307" s="434"/>
      <c r="D307" s="434"/>
      <c r="E307" s="434"/>
      <c r="F307" s="43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417"/>
    </row>
    <row r="308" spans="1:132" s="7" customFormat="1">
      <c r="A308" s="17" t="s">
        <v>447</v>
      </c>
      <c r="B308" s="434"/>
      <c r="C308" s="434"/>
      <c r="D308" s="434"/>
      <c r="E308" s="434"/>
      <c r="F308" s="43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417"/>
    </row>
    <row r="309" spans="1:132" s="7" customFormat="1">
      <c r="A309" s="17" t="s">
        <v>238</v>
      </c>
      <c r="B309" s="434"/>
      <c r="C309" s="434"/>
      <c r="D309" s="434"/>
      <c r="E309" s="434"/>
      <c r="F309" s="43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417"/>
    </row>
    <row r="310" spans="1:132" s="7" customFormat="1">
      <c r="A310" s="11" t="s">
        <v>448</v>
      </c>
      <c r="B310" s="418"/>
      <c r="C310" s="418"/>
      <c r="D310" s="418"/>
      <c r="E310" s="418"/>
      <c r="F310" s="418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 t="e">
        <f>'Cash Flow'!B6/1000</f>
        <v>#VALUE!</v>
      </c>
      <c r="AB310" s="12">
        <f>'Cash Flow'!C6/1000</f>
        <v>-2.7330000000000001</v>
      </c>
      <c r="AC310" s="12">
        <f>'Cash Flow'!D6/1000</f>
        <v>-30.388000000000002</v>
      </c>
      <c r="AD310" s="12">
        <f>'Cash Flow'!E6/1000</f>
        <v>-288.97300000000001</v>
      </c>
      <c r="AE310" s="12" t="e">
        <f>'Cash Flow'!F6/1000</f>
        <v>#VALUE!</v>
      </c>
      <c r="AF310" s="12">
        <f>'Cash Flow'!G6/1000</f>
        <v>57.271500000000003</v>
      </c>
      <c r="AG310" s="12">
        <f>'Cash Flow'!H6/1000</f>
        <v>-81.490499999999997</v>
      </c>
      <c r="AH310" s="12">
        <f>'Cash Flow'!I6/1000</f>
        <v>-92.436999999999998</v>
      </c>
      <c r="AI310" s="12">
        <f>'Cash Flow'!J6/1000</f>
        <v>-47.612000000000002</v>
      </c>
      <c r="AJ310" s="12">
        <f>'Cash Flow'!K6/1000</f>
        <v>-164.268</v>
      </c>
      <c r="AK310" s="12">
        <f>'Cash Flow'!L6/1000</f>
        <v>-153.101</v>
      </c>
      <c r="AL310" s="12">
        <f>'Cash Flow'!M6/1000</f>
        <v>-190.14400000000001</v>
      </c>
      <c r="AM310" s="12">
        <f>'Cash Flow'!N6/1000</f>
        <v>-116.232</v>
      </c>
      <c r="AN310" s="12">
        <f>'Cash Flow'!O6/1000</f>
        <v>-189.554</v>
      </c>
      <c r="AO310" s="12">
        <f>'Cash Flow'!P6/1000</f>
        <v>-649.03099999999995</v>
      </c>
      <c r="AP310" s="12">
        <f>'Cash Flow'!Q6/1000</f>
        <v>-100.386</v>
      </c>
      <c r="AQ310" s="12">
        <f>'Cash Flow'!R6/1000</f>
        <v>-130.43700000000001</v>
      </c>
      <c r="AR310" s="12">
        <f>'Cash Flow'!S6/1000</f>
        <v>-142.517</v>
      </c>
      <c r="AS310" s="12">
        <f>'Cash Flow'!T6/1000</f>
        <v>-283.63200000000001</v>
      </c>
      <c r="AT310" s="12">
        <f>'Cash Flow'!U6/1000</f>
        <v>-656.97199999999998</v>
      </c>
      <c r="AU310" s="12">
        <f>'Cash Flow'!V6/1000</f>
        <v>-366.48099999999999</v>
      </c>
      <c r="AV310" s="12">
        <f>'Cash Flow'!W6/1000</f>
        <v>-374.33300000000003</v>
      </c>
      <c r="AW310" s="12">
        <f>'Cash Flow'!X6/1000</f>
        <v>-379.892</v>
      </c>
      <c r="AX310" s="12">
        <f>'Cash Flow'!Y6/1000</f>
        <v>13.087999999999999</v>
      </c>
      <c r="AY310" s="12">
        <f>'Cash Flow'!Z6/1000</f>
        <v>-1107.6179999999999</v>
      </c>
      <c r="AZ310" s="12">
        <f>'Cash Flow'!AA6/1000</f>
        <v>-174.41200000000001</v>
      </c>
      <c r="BA310" s="12">
        <f>'Cash Flow'!AB6/1000</f>
        <v>-509.23</v>
      </c>
      <c r="BB310" s="12">
        <f>'Cash Flow'!AC6/1000</f>
        <v>-533.98900000000003</v>
      </c>
      <c r="BC310" s="12">
        <f>'Cash Flow'!AD6/1000</f>
        <v>-451.16</v>
      </c>
      <c r="BD310" s="12">
        <f>'Cash Flow'!AE6/1000</f>
        <v>-1668.7909999999999</v>
      </c>
      <c r="BE310" s="12">
        <f>'Cash Flow'!AF6/1000</f>
        <v>-504.08</v>
      </c>
      <c r="BF310" s="12">
        <f>'Cash Flow'!AG6/1000</f>
        <v>-404.25900000000001</v>
      </c>
      <c r="BG310" s="12">
        <f>'Cash Flow'!AH6/1000</f>
        <v>-439.072</v>
      </c>
      <c r="BH310" s="12">
        <f>'Cash Flow'!AI6/1000</f>
        <v>-483.30200000000002</v>
      </c>
      <c r="BI310" s="12">
        <f>'Cash Flow'!AJ6/1000</f>
        <v>-1830.713</v>
      </c>
      <c r="BJ310" s="12">
        <f>'Cash Flow'!AK6/1000</f>
        <v>-226.13900000000001</v>
      </c>
      <c r="BK310" s="12">
        <f>'Cash Flow'!AL6/1000</f>
        <v>-120.002</v>
      </c>
      <c r="BL310" s="12">
        <f>'Cash Flow'!AM6/1000</f>
        <v>-260.89400000000001</v>
      </c>
      <c r="BM310" s="12">
        <f>'Cash Flow'!AN6/1000</f>
        <v>0.33600000000000002</v>
      </c>
      <c r="BN310" s="12">
        <f>'Cash Flow'!AO6/1000</f>
        <v>-606.69899999999996</v>
      </c>
      <c r="BO310" s="12">
        <f>'Cash Flow'!AP6/1000</f>
        <v>-60.429000000000002</v>
      </c>
      <c r="BP310" s="12">
        <f>'Cash Flow'!AQ6/1000</f>
        <v>-122.396</v>
      </c>
      <c r="BQ310" s="12">
        <f>'Cash Flow'!AR6/1000</f>
        <v>-62.639000000000003</v>
      </c>
      <c r="BR310" s="12">
        <f>'Cash Flow'!AS6/1000</f>
        <v>312.37299999999999</v>
      </c>
      <c r="BS310" s="12">
        <f>'Cash Flow'!AT6/1000</f>
        <v>66.909000000000006</v>
      </c>
      <c r="BT310" s="12">
        <f>'Cash Flow'!AU6/1000</f>
        <v>48.069000000000003</v>
      </c>
      <c r="BU310" s="12">
        <f>'Cash Flow'!AV6/1000</f>
        <v>-236.34700000000001</v>
      </c>
      <c r="BV310" s="12">
        <f>'Cash Flow'!AW6/1000</f>
        <v>-259.36700000000002</v>
      </c>
      <c r="BW310" s="12">
        <f>'Cash Flow'!AX6/1000</f>
        <v>-250.08600000000001</v>
      </c>
      <c r="BX310" s="12">
        <f>'Cash Flow'!AY6/1000</f>
        <v>-697.73099999999999</v>
      </c>
      <c r="BY310" s="12">
        <f>'Cash Flow'!AZ6/1000</f>
        <v>59.837000000000003</v>
      </c>
      <c r="BZ310" s="12">
        <f>'Cash Flow'!BA6/1000</f>
        <v>-61.962000000000003</v>
      </c>
      <c r="CA310" s="12">
        <f>'Cash Flow'!BB6/1000</f>
        <v>-45.558999999999997</v>
      </c>
      <c r="CB310" s="12">
        <f>'Cash Flow'!BC6/1000</f>
        <v>248.458</v>
      </c>
      <c r="CC310" s="12">
        <f>'Cash Flow'!BD6/1000</f>
        <v>200.774</v>
      </c>
      <c r="CD310" s="12">
        <f>'Cash Flow'!BE6/1000</f>
        <v>252.70599999999999</v>
      </c>
      <c r="CE310" s="12">
        <f>'Cash Flow'!BF6/1000</f>
        <v>367.18</v>
      </c>
      <c r="CF310" s="12">
        <f>'Cash Flow'!BG6/1000</f>
        <v>-215.553</v>
      </c>
      <c r="CG310" s="12">
        <f>'Cash Flow'!BH6/1000</f>
        <v>-5.9180000000000001</v>
      </c>
      <c r="CH310" s="12">
        <f>'Cash Flow'!BI6/1000</f>
        <v>398.41500000000002</v>
      </c>
      <c r="CI310" s="12">
        <f>'Cash Flow'!BJ6/1000</f>
        <v>-77.861000000000004</v>
      </c>
      <c r="CJ310" s="12">
        <f>'Cash Flow'!BK6/1000</f>
        <v>-17.370999999999999</v>
      </c>
      <c r="CK310" s="12">
        <f>'Cash Flow'!BL6/1000</f>
        <v>-193.72200000000001</v>
      </c>
      <c r="CL310" s="12">
        <f>'Cash Flow'!BM6/1000</f>
        <v>331.03899999999999</v>
      </c>
      <c r="CM310" s="12">
        <f>'Cash Flow'!BN6/1000</f>
        <v>42.085000000000001</v>
      </c>
      <c r="CN310" s="12">
        <f>'Cash Flow'!BO6/1000</f>
        <v>94.49</v>
      </c>
      <c r="CO310" s="12">
        <f>'Cash Flow'!BP6/1000</f>
        <v>295.92399999999998</v>
      </c>
      <c r="CP310" s="12">
        <f>'Cash Flow'!BQ6/1000</f>
        <v>166.39599999999999</v>
      </c>
      <c r="CQ310" s="12">
        <f>'Cash Flow'!BR6/1000</f>
        <v>300.73700000000002</v>
      </c>
      <c r="CR310" s="12">
        <f>'Cash Flow'!BS6/1000</f>
        <v>857.54700000000003</v>
      </c>
      <c r="CS310" s="12">
        <f>'Cash Flow'!BT6/1000</f>
        <v>633.10500000000002</v>
      </c>
      <c r="CT310" s="12">
        <f>'Cash Flow'!BU6/1000</f>
        <v>175.179</v>
      </c>
      <c r="CU310" s="12">
        <f>'Cash Flow'!BV6/1000</f>
        <v>289.57</v>
      </c>
      <c r="CV310" s="12">
        <f>'Cash Flow'!BW6/1000</f>
        <v>112.747</v>
      </c>
      <c r="CW310" s="12">
        <f>'Cash Flow'!BX6/1000</f>
        <v>1210.6010000000001</v>
      </c>
      <c r="CX310" s="12">
        <f>'Cash Flow'!BY6/1000</f>
        <v>44.177</v>
      </c>
      <c r="CY310" s="12">
        <f>'Cash Flow'!BZ6/1000</f>
        <v>242.61799999999999</v>
      </c>
      <c r="CZ310" s="12">
        <f>'Cash Flow'!CA6/1000</f>
        <v>-81.799000000000007</v>
      </c>
      <c r="DA310" s="12">
        <f>'Cash Flow'!CB6/1000</f>
        <v>100.557</v>
      </c>
      <c r="DB310" s="12">
        <f>'Cash Flow'!CC6/1000</f>
        <v>305.553</v>
      </c>
      <c r="DC310" s="12">
        <f>'Cash Flow'!CD6/1000</f>
        <v>12.475</v>
      </c>
      <c r="DD310" s="12">
        <f>'Cash Flow'!CE6/1000</f>
        <v>-139.67699999999999</v>
      </c>
      <c r="DE310" s="12">
        <f>'Cash Flow'!CF6/1000</f>
        <v>943.95</v>
      </c>
      <c r="DF310" s="12">
        <f>'Cash Flow'!CG6/1000</f>
        <v>-55.543999999999997</v>
      </c>
      <c r="DG310" s="12">
        <f>'Cash Flow'!CH6/1000</f>
        <v>761.20399999999995</v>
      </c>
      <c r="DH310" s="12">
        <f>'Cash Flow'!CI6/1000</f>
        <v>-117.03700000000001</v>
      </c>
      <c r="DI310" s="12">
        <f>'Cash Flow'!CJ6/1000</f>
        <v>-140.13499999999999</v>
      </c>
      <c r="DJ310" s="12">
        <f>'Cash Flow'!CK6/1000</f>
        <v>-65.144000000000005</v>
      </c>
      <c r="DK310" s="12">
        <f>'Cash Flow'!CL6/1000</f>
        <v>-296.18700000000001</v>
      </c>
      <c r="DL310" s="12">
        <f>'Cash Flow'!CM6/1000</f>
        <v>-618.50300000000004</v>
      </c>
      <c r="DM310" s="12">
        <f>'Cash Flow'!CN6/1000</f>
        <v>-186.41</v>
      </c>
      <c r="DN310" s="12">
        <f>'Cash Flow'!CO6/1000</f>
        <v>83.781999999999996</v>
      </c>
      <c r="DO310" s="12">
        <f>'Cash Flow'!CP6/1000</f>
        <v>293.798</v>
      </c>
      <c r="DP310" s="12">
        <f>'Cash Flow'!CQ6/1000</f>
        <v>-745.40200000000004</v>
      </c>
      <c r="DQ310" s="12">
        <f>'Cash Flow'!CR6/1000</f>
        <v>-554.23199999999997</v>
      </c>
      <c r="DR310" s="12">
        <f>'Cash Flow'!CS6/1000</f>
        <v>-177.60300000000001</v>
      </c>
      <c r="DS310" s="12">
        <f>'Cash Flow'!CT6/1000</f>
        <v>-264.94900000000001</v>
      </c>
      <c r="DT310" s="12">
        <f>'Cash Flow'!CU6/1000</f>
        <v>-123.236</v>
      </c>
      <c r="DU310" s="12">
        <f>'Cash Flow'!CV6/1000</f>
        <v>-324.21699999999998</v>
      </c>
      <c r="DV310" s="12">
        <f>'Cash Flow'!CW6/1000</f>
        <v>-890.005</v>
      </c>
      <c r="DW310" s="12">
        <f>'Cash Flow'!CX6/1000</f>
        <v>3.13</v>
      </c>
      <c r="DX310" s="12">
        <f>'Cash Flow'!CY6/1000</f>
        <v>-482.57</v>
      </c>
      <c r="DY310" s="12">
        <f>'Cash Flow'!CZ6/1000</f>
        <v>-475.798</v>
      </c>
      <c r="DZ310" s="12">
        <f>'Cash Flow'!DA6/1000</f>
        <v>-391.30900000000003</v>
      </c>
      <c r="EA310" s="12">
        <f>'Cash Flow'!DB6/1000</f>
        <v>-1346.547</v>
      </c>
      <c r="EB310" s="417"/>
    </row>
    <row r="311" spans="1:132" s="7" customFormat="1">
      <c r="A311" s="11" t="s">
        <v>449</v>
      </c>
      <c r="B311" s="418"/>
      <c r="C311" s="418"/>
      <c r="D311" s="418"/>
      <c r="E311" s="418"/>
      <c r="F311" s="418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2">
        <v>0</v>
      </c>
      <c r="BG311" s="12">
        <v>0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0</v>
      </c>
      <c r="BO311" s="12">
        <v>0</v>
      </c>
      <c r="BP311" s="12">
        <v>0</v>
      </c>
      <c r="BQ311" s="12">
        <v>0</v>
      </c>
      <c r="BR311" s="12">
        <v>0</v>
      </c>
      <c r="BS311" s="12">
        <v>0</v>
      </c>
      <c r="BT311" s="12">
        <v>0</v>
      </c>
      <c r="BU311" s="12">
        <v>0</v>
      </c>
      <c r="BV311" s="12">
        <v>0</v>
      </c>
      <c r="BW311" s="12">
        <v>0</v>
      </c>
      <c r="BX311" s="12">
        <v>0</v>
      </c>
      <c r="BY311" s="12">
        <v>0</v>
      </c>
      <c r="BZ311" s="12">
        <v>0</v>
      </c>
      <c r="CA311" s="12">
        <v>0</v>
      </c>
      <c r="CB311" s="12">
        <v>0</v>
      </c>
      <c r="CC311" s="12">
        <v>0</v>
      </c>
      <c r="CD311" s="12">
        <v>0</v>
      </c>
      <c r="CE311" s="12">
        <v>0</v>
      </c>
      <c r="CF311" s="12">
        <v>0</v>
      </c>
      <c r="CG311" s="12">
        <v>0</v>
      </c>
      <c r="CH311" s="12">
        <v>0</v>
      </c>
      <c r="CI311" s="12">
        <v>0</v>
      </c>
      <c r="CJ311" s="12">
        <v>0</v>
      </c>
      <c r="CK311" s="12">
        <v>0</v>
      </c>
      <c r="CL311" s="12">
        <v>0</v>
      </c>
      <c r="CM311" s="12">
        <v>0</v>
      </c>
      <c r="CN311" s="12">
        <v>0</v>
      </c>
      <c r="CO311" s="12">
        <v>0</v>
      </c>
      <c r="CP311" s="12">
        <v>0</v>
      </c>
      <c r="CQ311" s="12">
        <v>0</v>
      </c>
      <c r="CR311" s="12">
        <v>0</v>
      </c>
      <c r="CS311" s="12">
        <v>0</v>
      </c>
      <c r="CT311" s="12">
        <v>0</v>
      </c>
      <c r="CU311" s="12">
        <v>0</v>
      </c>
      <c r="CV311" s="12">
        <v>0</v>
      </c>
      <c r="CW311" s="12">
        <v>0</v>
      </c>
      <c r="CX311" s="12">
        <v>0</v>
      </c>
      <c r="CY311" s="12">
        <v>0</v>
      </c>
      <c r="CZ311" s="12">
        <v>0</v>
      </c>
      <c r="DA311" s="12">
        <v>0</v>
      </c>
      <c r="DB311" s="12">
        <v>0</v>
      </c>
      <c r="DC311" s="12">
        <v>0</v>
      </c>
      <c r="DD311" s="12">
        <v>0</v>
      </c>
      <c r="DE311" s="12">
        <v>0</v>
      </c>
      <c r="DF311" s="12">
        <v>0</v>
      </c>
      <c r="DG311" s="12">
        <v>0</v>
      </c>
      <c r="DH311" s="12">
        <v>0</v>
      </c>
      <c r="DI311" s="12">
        <v>0</v>
      </c>
      <c r="DJ311" s="12">
        <v>0</v>
      </c>
      <c r="DK311" s="12">
        <v>0</v>
      </c>
      <c r="DL311" s="12">
        <v>0</v>
      </c>
      <c r="DM311" s="12">
        <v>0</v>
      </c>
      <c r="DN311" s="12">
        <v>0</v>
      </c>
      <c r="DO311" s="12">
        <v>0</v>
      </c>
      <c r="DP311" s="12">
        <v>0</v>
      </c>
      <c r="DQ311" s="12">
        <v>0</v>
      </c>
      <c r="DR311" s="12">
        <v>0</v>
      </c>
      <c r="DS311" s="12">
        <v>0</v>
      </c>
      <c r="DT311" s="12">
        <v>0</v>
      </c>
      <c r="DU311" s="12">
        <v>0</v>
      </c>
      <c r="DV311" s="12">
        <v>0</v>
      </c>
      <c r="DW311" s="12">
        <v>0</v>
      </c>
      <c r="DX311" s="12">
        <v>0</v>
      </c>
      <c r="DY311" s="12">
        <v>0</v>
      </c>
      <c r="DZ311" s="12">
        <v>0</v>
      </c>
      <c r="EA311" s="12">
        <v>0</v>
      </c>
      <c r="EB311" s="417"/>
    </row>
    <row r="312" spans="1:132" s="7" customFormat="1" ht="13.5" thickBot="1">
      <c r="A312" s="13" t="s">
        <v>450</v>
      </c>
      <c r="B312" s="439"/>
      <c r="C312" s="439"/>
      <c r="D312" s="439"/>
      <c r="E312" s="439"/>
      <c r="F312" s="439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  <c r="DC312" s="18"/>
      <c r="DD312" s="18"/>
      <c r="DE312" s="18"/>
      <c r="DF312" s="18"/>
      <c r="DG312" s="18"/>
      <c r="DH312" s="18"/>
      <c r="DI312" s="18"/>
      <c r="DJ312" s="18"/>
      <c r="DK312" s="18"/>
      <c r="DL312" s="18"/>
      <c r="DM312" s="18"/>
      <c r="DN312" s="18"/>
      <c r="DO312" s="18"/>
      <c r="DP312" s="18"/>
      <c r="DQ312" s="18"/>
      <c r="DR312" s="18"/>
      <c r="DS312" s="18"/>
      <c r="DT312" s="18"/>
      <c r="DU312" s="18"/>
      <c r="DV312" s="18"/>
      <c r="DW312" s="18"/>
      <c r="DX312" s="18"/>
      <c r="DY312" s="18"/>
      <c r="DZ312" s="18"/>
      <c r="EA312" s="18"/>
      <c r="EB312" s="417"/>
    </row>
    <row r="313" spans="1:132" s="7" customFormat="1">
      <c r="A313" s="11" t="s">
        <v>451</v>
      </c>
      <c r="B313" s="418"/>
      <c r="C313" s="418"/>
      <c r="D313" s="418"/>
      <c r="E313" s="418"/>
      <c r="F313" s="418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 t="e">
        <f>('Income Statement'!B41+'Income Statement'!B43+'Income Statement'!B7+('Balance Sheet'!B37+'Balance Sheet'!B36-'Balance Sheet'!#REF!-'Balance Sheet'!#REF!)-('Balance Sheet'!B16+'Balance Sheet'!B17-'Balance Sheet'!#REF!-'Balance Sheet'!#REF!))/1000</f>
        <v>#REF!</v>
      </c>
      <c r="AB313" s="12" t="e">
        <f>('Income Statement'!C41+'Income Statement'!C43+'Income Statement'!C7+('Balance Sheet'!C37+'Balance Sheet'!C36-'Balance Sheet'!#REF!-'Balance Sheet'!#REF!)-('Balance Sheet'!C16+'Balance Sheet'!C17-'Balance Sheet'!#REF!-'Balance Sheet'!#REF!))/1000</f>
        <v>#REF!</v>
      </c>
      <c r="AC313" s="12" t="e">
        <f>('Income Statement'!D41+'Income Statement'!D43+'Income Statement'!D7+('Balance Sheet'!D37+'Balance Sheet'!D36-'Balance Sheet'!#REF!-'Balance Sheet'!#REF!)-('Balance Sheet'!D16+'Balance Sheet'!D17-'Balance Sheet'!#REF!-'Balance Sheet'!#REF!))/1000</f>
        <v>#REF!</v>
      </c>
      <c r="AD313" s="12" t="e">
        <f>('Income Statement'!E41+'Income Statement'!E43+'Income Statement'!E7+('Balance Sheet'!E37+'Balance Sheet'!E36-'Balance Sheet'!#REF!-'Balance Sheet'!#REF!)-('Balance Sheet'!E16+'Balance Sheet'!E17-'Balance Sheet'!#REF!-'Balance Sheet'!#REF!))/1000</f>
        <v>#REF!</v>
      </c>
      <c r="AE313" s="12" t="e">
        <f>('Income Statement'!F41+'Income Statement'!F43+'Income Statement'!F7+('Balance Sheet'!F37+'Balance Sheet'!F36-'Balance Sheet'!A36-'Balance Sheet'!A37)-('Balance Sheet'!F16+'Balance Sheet'!F17-'Balance Sheet'!A16-'Balance Sheet'!A17))/1000</f>
        <v>#VALUE!</v>
      </c>
      <c r="AF313" s="12">
        <f>('Income Statement'!G41+'Income Statement'!G43+'Income Statement'!G7+('Balance Sheet'!G37+'Balance Sheet'!G36-'Balance Sheet'!B36-'Balance Sheet'!B37)-('Balance Sheet'!G16+'Balance Sheet'!G17-'Balance Sheet'!B16-'Balance Sheet'!B17))/1000</f>
        <v>42.624499999999998</v>
      </c>
      <c r="AG313" s="12">
        <f>('Income Statement'!H41+'Income Statement'!H43+'Income Statement'!H7+('Balance Sheet'!H37+'Balance Sheet'!H36-'Balance Sheet'!C36-'Balance Sheet'!C37)-('Balance Sheet'!H16+'Balance Sheet'!H17-'Balance Sheet'!C16-'Balance Sheet'!C17))/1000</f>
        <v>55.31</v>
      </c>
      <c r="AH313" s="12">
        <f>('Income Statement'!I41+'Income Statement'!I43+'Income Statement'!I7+('Balance Sheet'!I37+'Balance Sheet'!I36-'Balance Sheet'!D36-'Balance Sheet'!D37)-('Balance Sheet'!I16+'Balance Sheet'!I17-'Balance Sheet'!D16-'Balance Sheet'!D17))/1000</f>
        <v>59.694000000000003</v>
      </c>
      <c r="AI313" s="12">
        <f>('Income Statement'!J41+'Income Statement'!J43+'Income Statement'!J7+('Balance Sheet'!J37+'Balance Sheet'!J36-'Balance Sheet'!E36-'Balance Sheet'!E37)-('Balance Sheet'!J16+'Balance Sheet'!J17-'Balance Sheet'!E16-'Balance Sheet'!E17))/1000</f>
        <v>-27.114999999999998</v>
      </c>
      <c r="AJ313" s="12">
        <f>('Income Statement'!K41+'Income Statement'!K43+'Income Statement'!K7+('Balance Sheet'!K37+'Balance Sheet'!K36-'Balance Sheet'!F36-'Balance Sheet'!F37)-('Balance Sheet'!K16+'Balance Sheet'!K17-'Balance Sheet'!F16-'Balance Sheet'!F17))/1000</f>
        <v>-73.814999999999998</v>
      </c>
      <c r="AK313" s="12">
        <f>('Income Statement'!L41+'Income Statement'!L43+'Income Statement'!L7+('Balance Sheet'!L37+'Balance Sheet'!L36-'Balance Sheet'!G36-'Balance Sheet'!G37)-('Balance Sheet'!L16+'Balance Sheet'!L17-'Balance Sheet'!G16-'Balance Sheet'!G17))/1000</f>
        <v>2.0985</v>
      </c>
      <c r="AL313" s="12">
        <f>('Income Statement'!M41+'Income Statement'!M43+'Income Statement'!M7+('Balance Sheet'!M37+'Balance Sheet'!M36-'Balance Sheet'!H36-'Balance Sheet'!H37)-('Balance Sheet'!M16+'Balance Sheet'!M17-'Balance Sheet'!H16-'Balance Sheet'!H17))/1000</f>
        <v>-15.111000000000001</v>
      </c>
      <c r="AM313" s="12">
        <f>('Income Statement'!N41+'Income Statement'!N43+'Income Statement'!N7+('Balance Sheet'!N37+'Balance Sheet'!N36-'Balance Sheet'!I36-'Balance Sheet'!I37)-('Balance Sheet'!N16+'Balance Sheet'!N17-'Balance Sheet'!I16-'Balance Sheet'!I17))/1000</f>
        <v>-10.148</v>
      </c>
      <c r="AN313" s="12">
        <f>('Income Statement'!O41+'Income Statement'!O43+'Income Statement'!O7+('Balance Sheet'!O37+'Balance Sheet'!O36-'Balance Sheet'!J36-'Balance Sheet'!J37)-('Balance Sheet'!O16+'Balance Sheet'!O17-'Balance Sheet'!J16-'Balance Sheet'!J17))/1000</f>
        <v>7.2030000000000003</v>
      </c>
      <c r="AO313" s="12">
        <f>('Income Statement'!P41+'Income Statement'!P43+'Income Statement'!P7+('Balance Sheet'!P37+'Balance Sheet'!P36-'Balance Sheet'!K36-'Balance Sheet'!K37)-('Balance Sheet'!P16+'Balance Sheet'!P17-'Balance Sheet'!K16-'Balance Sheet'!K17))/1000</f>
        <v>-38.798999999999999</v>
      </c>
      <c r="AP313" s="12">
        <f>('Income Statement'!Q41+'Income Statement'!Q43+'Income Statement'!Q7+('Balance Sheet'!Q37+'Balance Sheet'!Q36-'Balance Sheet'!L36-'Balance Sheet'!L37)-('Balance Sheet'!Q16+'Balance Sheet'!Q17-'Balance Sheet'!L16-'Balance Sheet'!L17))/1000</f>
        <v>-4.51</v>
      </c>
      <c r="AQ313" s="12">
        <f>('Income Statement'!R41+'Income Statement'!R43+'Income Statement'!R7+('Balance Sheet'!R37+'Balance Sheet'!R36-'Balance Sheet'!M36-'Balance Sheet'!M37)-('Balance Sheet'!R16+'Balance Sheet'!R17-'Balance Sheet'!M16-'Balance Sheet'!M17))/1000</f>
        <v>-26.606999999999999</v>
      </c>
      <c r="AR313" s="12">
        <f>('Income Statement'!S41+'Income Statement'!S43+'Income Statement'!S7+('Balance Sheet'!S37+'Balance Sheet'!S36-'Balance Sheet'!N36-'Balance Sheet'!N37)-('Balance Sheet'!S16+'Balance Sheet'!S17-'Balance Sheet'!N16-'Balance Sheet'!N17))/1000</f>
        <v>-27.268000000000001</v>
      </c>
      <c r="AS313" s="12">
        <f>('Income Statement'!T41+'Income Statement'!T43+'Income Statement'!T7+('Balance Sheet'!T37+'Balance Sheet'!T36-'Balance Sheet'!O36-'Balance Sheet'!O37)-('Balance Sheet'!T16+'Balance Sheet'!T17-'Balance Sheet'!O16-'Balance Sheet'!O17))/1000</f>
        <v>6.19</v>
      </c>
      <c r="AT313" s="12">
        <f>('Income Statement'!U41+'Income Statement'!U43+'Income Statement'!U7+('Balance Sheet'!U37+'Balance Sheet'!U36-'Balance Sheet'!P36-'Balance Sheet'!P37)-('Balance Sheet'!U16+'Balance Sheet'!U17-'Balance Sheet'!P16-'Balance Sheet'!P17))/1000</f>
        <v>-57.540999999999997</v>
      </c>
      <c r="AU313" s="12">
        <f>('Income Statement'!V41+'Income Statement'!V43+'Income Statement'!V7+('Balance Sheet'!V37+'Balance Sheet'!V36-'Balance Sheet'!Q36-'Balance Sheet'!Q37)-('Balance Sheet'!V16+'Balance Sheet'!V17-'Balance Sheet'!Q16-'Balance Sheet'!Q17))/1000</f>
        <v>37.018000000000001</v>
      </c>
      <c r="AV313" s="12">
        <f>('Income Statement'!W41+'Income Statement'!W43+'Income Statement'!W7+('Balance Sheet'!W37+'Balance Sheet'!W36-'Balance Sheet'!R36-'Balance Sheet'!R37)-('Balance Sheet'!W16+'Balance Sheet'!W17-'Balance Sheet'!R16-'Balance Sheet'!R17))/1000</f>
        <v>23.094000000000001</v>
      </c>
      <c r="AW313" s="12">
        <f>('Income Statement'!X41+'Income Statement'!X43+'Income Statement'!X7+('Balance Sheet'!X37+'Balance Sheet'!X36-'Balance Sheet'!S36-'Balance Sheet'!S37)-('Balance Sheet'!X16+'Balance Sheet'!X17-'Balance Sheet'!S16-'Balance Sheet'!S17))/1000</f>
        <v>58.496000000000002</v>
      </c>
      <c r="AX313" s="12">
        <f>('Income Statement'!Y41+'Income Statement'!Y43+'Income Statement'!Y7+('Balance Sheet'!Y37+'Balance Sheet'!Y36-'Balance Sheet'!T36-'Balance Sheet'!T37)-('Balance Sheet'!Y16+'Balance Sheet'!Y17-'Balance Sheet'!T16-'Balance Sheet'!T17))/1000</f>
        <v>29.945</v>
      </c>
      <c r="AY313" s="12">
        <f>('Income Statement'!Z41+'Income Statement'!Z43+'Income Statement'!Z7+('Balance Sheet'!Z37+'Balance Sheet'!Z36-'Balance Sheet'!U36-'Balance Sheet'!U37)-('Balance Sheet'!Z16+'Balance Sheet'!Z17-'Balance Sheet'!U16-'Balance Sheet'!U17))/1000</f>
        <v>-82.448999999999998</v>
      </c>
      <c r="AZ313" s="12">
        <f>('Income Statement'!AA41+'Income Statement'!AA43+'Income Statement'!AA7+('Balance Sheet'!AA37+'Balance Sheet'!AA36-'Balance Sheet'!V36-'Balance Sheet'!V37)-('Balance Sheet'!AA16+'Balance Sheet'!AA17-'Balance Sheet'!V16-'Balance Sheet'!V17))/1000</f>
        <v>48.914999999999999</v>
      </c>
      <c r="BA313" s="12">
        <f>('Income Statement'!AB41+'Income Statement'!AB43+'Income Statement'!AB7+('Balance Sheet'!AB37+'Balance Sheet'!AB36-'Balance Sheet'!W36-'Balance Sheet'!W37)-('Balance Sheet'!AB16+'Balance Sheet'!AB17-'Balance Sheet'!W16-'Balance Sheet'!W17))/1000</f>
        <v>34.435000000000002</v>
      </c>
      <c r="BB313" s="12">
        <f>('Income Statement'!AC41+'Income Statement'!AC43+'Income Statement'!AC7+('Balance Sheet'!AC37+'Balance Sheet'!AC36-'Balance Sheet'!X36-'Balance Sheet'!X37)-('Balance Sheet'!AC16+'Balance Sheet'!AC17-'Balance Sheet'!X16-'Balance Sheet'!X17))/1000</f>
        <v>21.236999999999998</v>
      </c>
      <c r="BC313" s="12">
        <f>('Income Statement'!AD41+'Income Statement'!AD43+'Income Statement'!AD7+('Balance Sheet'!AD37+'Balance Sheet'!AD36-'Balance Sheet'!Y36-'Balance Sheet'!Y37)-('Balance Sheet'!AD16+'Balance Sheet'!AD17-'Balance Sheet'!Y16-'Balance Sheet'!Y17))/1000</f>
        <v>72.721000000000004</v>
      </c>
      <c r="BD313" s="12">
        <f>('Income Statement'!AE41+'Income Statement'!AE43+'Income Statement'!AE7+('Balance Sheet'!AE37+'Balance Sheet'!AE36-'Balance Sheet'!Z36-'Balance Sheet'!Z37)-('Balance Sheet'!AE16+'Balance Sheet'!AE17-'Balance Sheet'!Z16-'Balance Sheet'!Z17))/1000</f>
        <v>-87.453999999999994</v>
      </c>
      <c r="BE313" s="12">
        <f>('Income Statement'!AF41+'Income Statement'!AF43+'Income Statement'!AF7+('Balance Sheet'!AF37+'Balance Sheet'!AF36-'Balance Sheet'!AA36-'Balance Sheet'!AA37)-('Balance Sheet'!AF16+'Balance Sheet'!AF17-'Balance Sheet'!AA16-'Balance Sheet'!AA17))/1000</f>
        <v>84.757999999999996</v>
      </c>
      <c r="BF313" s="12">
        <f>('Income Statement'!AG41+'Income Statement'!AG43+'Income Statement'!AG7+('Balance Sheet'!AG37+'Balance Sheet'!AG36-'Balance Sheet'!AB36-'Balance Sheet'!AB37)-('Balance Sheet'!AG16+'Balance Sheet'!AG17-'Balance Sheet'!AB16-'Balance Sheet'!AB17))/1000</f>
        <v>84.875</v>
      </c>
      <c r="BG313" s="12">
        <f>('Income Statement'!AH41+'Income Statement'!AH43+'Income Statement'!AH7+('Balance Sheet'!AH37+'Balance Sheet'!AH36-'Balance Sheet'!AC36-'Balance Sheet'!AC37)-('Balance Sheet'!AH16+'Balance Sheet'!AH17-'Balance Sheet'!AC16-'Balance Sheet'!AC17))/1000</f>
        <v>36.116999999999997</v>
      </c>
      <c r="BH313" s="12">
        <f>('Income Statement'!AI41+'Income Statement'!AI43+'Income Statement'!AI7+('Balance Sheet'!AI37+'Balance Sheet'!AI36-'Balance Sheet'!AD36-'Balance Sheet'!AD37)-('Balance Sheet'!AI16+'Balance Sheet'!AI17-'Balance Sheet'!AD16-'Balance Sheet'!AD17))/1000</f>
        <v>-5.4640000000000004</v>
      </c>
      <c r="BI313" s="12">
        <f>('Income Statement'!AJ41+'Income Statement'!AJ43+'Income Statement'!AJ7+('Balance Sheet'!AJ37+'Balance Sheet'!AJ36-'Balance Sheet'!AE36-'Balance Sheet'!AE37)-('Balance Sheet'!AJ16+'Balance Sheet'!AJ17-'Balance Sheet'!AE16-'Balance Sheet'!AE17))/1000</f>
        <v>-152.416</v>
      </c>
      <c r="BJ313" s="12">
        <f>('Income Statement'!AK41+'Income Statement'!AK43+'Income Statement'!AK7+('Balance Sheet'!AK37+'Balance Sheet'!AK36-'Balance Sheet'!AF36-'Balance Sheet'!AF37)-('Balance Sheet'!AK16+'Balance Sheet'!AK17-'Balance Sheet'!AF16-'Balance Sheet'!AF17))/1000</f>
        <v>-16.696000000000002</v>
      </c>
      <c r="BK313" s="12">
        <f>('Income Statement'!AL41+'Income Statement'!AL43+'Income Statement'!AL7+('Balance Sheet'!AL37+'Balance Sheet'!AL36-'Balance Sheet'!AG36-'Balance Sheet'!AG37)-('Balance Sheet'!AL16+'Balance Sheet'!AL17-'Balance Sheet'!AG16-'Balance Sheet'!AG17))/1000</f>
        <v>-20.577000000000002</v>
      </c>
      <c r="BL313" s="12">
        <f>('Income Statement'!AM41+'Income Statement'!AM43+'Income Statement'!AM7+('Balance Sheet'!AM37+'Balance Sheet'!AM36-'Balance Sheet'!AH36-'Balance Sheet'!AH37)-('Balance Sheet'!AM16+'Balance Sheet'!AM17-'Balance Sheet'!AH16-'Balance Sheet'!AH17))/1000</f>
        <v>-23.315000000000001</v>
      </c>
      <c r="BM313" s="12">
        <f>('Income Statement'!AN41+'Income Statement'!AN43+'Income Statement'!AN7+('Balance Sheet'!AN37+'Balance Sheet'!AN36-'Balance Sheet'!AI36-'Balance Sheet'!AI37)-('Balance Sheet'!AN16+'Balance Sheet'!AN17-'Balance Sheet'!AI16-'Balance Sheet'!AI17))/1000</f>
        <v>-53.38</v>
      </c>
      <c r="BN313" s="12">
        <f>('Income Statement'!AO41+'Income Statement'!AO43+'Income Statement'!AO7+('Balance Sheet'!AO37+'Balance Sheet'!AO36-'Balance Sheet'!AJ36-'Balance Sheet'!AJ37)-('Balance Sheet'!AO16+'Balance Sheet'!AO17-'Balance Sheet'!AJ16-'Balance Sheet'!AJ17))/1000</f>
        <v>-216.78899999999999</v>
      </c>
      <c r="BO313" s="12">
        <f>('Income Statement'!AP41+'Income Statement'!AP43+'Income Statement'!AP7+('Balance Sheet'!AP37+'Balance Sheet'!AP36-'Balance Sheet'!AK36-'Balance Sheet'!AK37)-('Balance Sheet'!AP16+'Balance Sheet'!AP17-'Balance Sheet'!AK16-'Balance Sheet'!AK17))/1000</f>
        <v>-41.71</v>
      </c>
      <c r="BP313" s="12">
        <f>('Income Statement'!AQ41+'Income Statement'!AQ43+'Income Statement'!AQ7+('Balance Sheet'!AQ37+'Balance Sheet'!AQ36-'Balance Sheet'!AL36-'Balance Sheet'!AL37)-('Balance Sheet'!AQ16+'Balance Sheet'!AQ17-'Balance Sheet'!AL16-'Balance Sheet'!AL17))/1000</f>
        <v>-44.381999999999998</v>
      </c>
      <c r="BQ313" s="12">
        <f>('Income Statement'!AR41+'Income Statement'!AR43+'Income Statement'!AR7+('Balance Sheet'!AR37+'Balance Sheet'!AR36-'Balance Sheet'!AM36-'Balance Sheet'!AM37)-('Balance Sheet'!AR16+'Balance Sheet'!AR17-'Balance Sheet'!AM16-'Balance Sheet'!AM17))/1000</f>
        <v>-33.613999999999997</v>
      </c>
      <c r="BR313" s="12">
        <f>('Income Statement'!AS41+'Income Statement'!AS43+'Income Statement'!AS7+('Balance Sheet'!AS37+'Balance Sheet'!AS36-'Balance Sheet'!AN36-'Balance Sheet'!AN37)-('Balance Sheet'!AS16+'Balance Sheet'!AS17-'Balance Sheet'!AN16-'Balance Sheet'!AN17))/1000</f>
        <v>-73.256</v>
      </c>
      <c r="BS313" s="12">
        <f>('Income Statement'!AT41+'Income Statement'!AT43+'Income Statement'!AT7+('Balance Sheet'!AT37+'Balance Sheet'!AT36-'Balance Sheet'!AO36-'Balance Sheet'!AO37)-('Balance Sheet'!AT16+'Balance Sheet'!AT17-'Balance Sheet'!AO16-'Balance Sheet'!AO17))/1000</f>
        <v>-269.41199999999998</v>
      </c>
      <c r="BT313" s="12">
        <f>('Income Statement'!AU41+'Income Statement'!AU43+'Income Statement'!AU7+('Balance Sheet'!AU37+'Balance Sheet'!AU36-'Balance Sheet'!AP36-'Balance Sheet'!AP37)-('Balance Sheet'!AU16+'Balance Sheet'!AU17-'Balance Sheet'!AP16-'Balance Sheet'!AP17))/1000</f>
        <v>-146.887</v>
      </c>
      <c r="BU313" s="12">
        <f>('Income Statement'!AV41+'Income Statement'!AV43+'Income Statement'!AV7+('Balance Sheet'!AV37+'Balance Sheet'!AV36-'Balance Sheet'!AQ36-'Balance Sheet'!AQ37)-('Balance Sheet'!AV16+'Balance Sheet'!AV17-'Balance Sheet'!AQ16-'Balance Sheet'!AQ17))/1000</f>
        <v>-188.95500000000001</v>
      </c>
      <c r="BV313" s="12">
        <f>('Income Statement'!AW41+'Income Statement'!AW43+'Income Statement'!AW7+('Balance Sheet'!AW37+'Balance Sheet'!AW36-'Balance Sheet'!AR36-'Balance Sheet'!AR37)-('Balance Sheet'!AW16+'Balance Sheet'!AW17-'Balance Sheet'!AR16-'Balance Sheet'!AR17))/1000</f>
        <v>-214.51400000000001</v>
      </c>
      <c r="BW313" s="12">
        <f>('Income Statement'!AX41+'Income Statement'!AX43+'Income Statement'!AX7+('Balance Sheet'!AX37+'Balance Sheet'!AX36-'Balance Sheet'!AS36-'Balance Sheet'!AS37)-('Balance Sheet'!AX16+'Balance Sheet'!AX17-'Balance Sheet'!AS16-'Balance Sheet'!AS17))/1000</f>
        <v>-69.778999999999996</v>
      </c>
      <c r="BX313" s="12">
        <f>('Income Statement'!AY41+'Income Statement'!AY43+'Income Statement'!AY7+('Balance Sheet'!AY37+'Balance Sheet'!AY36-'Balance Sheet'!AT36-'Balance Sheet'!AT37)-('Balance Sheet'!AY16+'Balance Sheet'!AY17-'Balance Sheet'!AT16-'Balance Sheet'!AT17))/1000</f>
        <v>-177.602</v>
      </c>
      <c r="BY313" s="12">
        <f>('Income Statement'!AZ41+'Income Statement'!AZ43+'Income Statement'!AZ7+('Balance Sheet'!AZ37+'Balance Sheet'!AZ36-'Balance Sheet'!AU36-'Balance Sheet'!AU37)-('Balance Sheet'!AZ16+'Balance Sheet'!AZ17-'Balance Sheet'!AU16-'Balance Sheet'!AU17))/1000</f>
        <v>-73.436000000000007</v>
      </c>
      <c r="BZ313" s="12">
        <f>('Income Statement'!BA41+'Income Statement'!BA43+'Income Statement'!BA7+('Balance Sheet'!BA37+'Balance Sheet'!BA36-'Balance Sheet'!AV36-'Balance Sheet'!AV37)-('Balance Sheet'!BA16+'Balance Sheet'!BA17-'Balance Sheet'!AV16-'Balance Sheet'!AV17))/1000</f>
        <v>-67.712999999999994</v>
      </c>
      <c r="CA313" s="12">
        <f>('Income Statement'!BB41+'Income Statement'!BB43+'Income Statement'!BB7+('Balance Sheet'!BB37+'Balance Sheet'!BB36-'Balance Sheet'!AW36-'Balance Sheet'!AW37)-('Balance Sheet'!BB16+'Balance Sheet'!BB17-'Balance Sheet'!AW16-'Balance Sheet'!AW17))/1000</f>
        <v>-32.167999999999999</v>
      </c>
      <c r="CB313" s="12">
        <f>('Income Statement'!BC41+'Income Statement'!BC43+'Income Statement'!BC7+('Balance Sheet'!BC37+'Balance Sheet'!BC36-'Balance Sheet'!AX36-'Balance Sheet'!AX37)-('Balance Sheet'!BC16+'Balance Sheet'!BC17-'Balance Sheet'!AX16-'Balance Sheet'!AX17))/1000</f>
        <v>-93.957999999999998</v>
      </c>
      <c r="CC313" s="12">
        <f>('Income Statement'!BD41+'Income Statement'!BD43+'Income Statement'!BD7+('Balance Sheet'!BD37+'Balance Sheet'!BD36-'Balance Sheet'!AY36-'Balance Sheet'!AY37)-('Balance Sheet'!BD16+'Balance Sheet'!BD17-'Balance Sheet'!AY16-'Balance Sheet'!AY17))/1000</f>
        <v>-190.42599999999999</v>
      </c>
      <c r="CD313" s="12">
        <f>('Income Statement'!BE41+'Income Statement'!BE43+'Income Statement'!BE7+('Balance Sheet'!BE37+'Balance Sheet'!BE36-'Balance Sheet'!AZ36-'Balance Sheet'!AZ37)-('Balance Sheet'!BE16+'Balance Sheet'!BE17-'Balance Sheet'!AZ16-'Balance Sheet'!AZ17))/1000</f>
        <v>-74.634</v>
      </c>
      <c r="CE313" s="12">
        <f>('Income Statement'!BF41+'Income Statement'!BF43+'Income Statement'!BF7+('Balance Sheet'!BF37+'Balance Sheet'!BF36-'Balance Sheet'!BA36-'Balance Sheet'!BA37)-('Balance Sheet'!BF16+'Balance Sheet'!BF17-'Balance Sheet'!BA16-'Balance Sheet'!BA17))/1000</f>
        <v>-100.369</v>
      </c>
      <c r="CF313" s="12">
        <f>('Income Statement'!BG41+'Income Statement'!BG43+'Income Statement'!BG7+('Balance Sheet'!BG37+'Balance Sheet'!BG36-'Balance Sheet'!BB36-'Balance Sheet'!BB37)-('Balance Sheet'!BG16+'Balance Sheet'!BG17-'Balance Sheet'!BB16-'Balance Sheet'!BB17))/1000</f>
        <v>-99.340999999999994</v>
      </c>
      <c r="CG313" s="12">
        <f>('Income Statement'!BH41+'Income Statement'!BH43+'Income Statement'!BH7+('Balance Sheet'!BH37+'Balance Sheet'!BH36-'Balance Sheet'!BC36-'Balance Sheet'!BC37)-('Balance Sheet'!BH16+'Balance Sheet'!BH17-'Balance Sheet'!BC16-'Balance Sheet'!BC17))/1000</f>
        <v>-61.787999999999997</v>
      </c>
      <c r="CH313" s="12">
        <f>('Income Statement'!BI41+'Income Statement'!BI43+'Income Statement'!BI7+('Balance Sheet'!BI37+'Balance Sheet'!BI36-'Balance Sheet'!BD36-'Balance Sheet'!BD37)-('Balance Sheet'!BI16+'Balance Sheet'!BI17-'Balance Sheet'!BD16-'Balance Sheet'!BD17))/1000</f>
        <v>-141.26300000000001</v>
      </c>
      <c r="CI313" s="12">
        <f>('Income Statement'!BJ41+'Income Statement'!BJ43+'Income Statement'!BJ7+('Balance Sheet'!BJ37+'Balance Sheet'!BJ36-'Balance Sheet'!BE36-'Balance Sheet'!BE37)-('Balance Sheet'!BJ16+'Balance Sheet'!BJ17-'Balance Sheet'!BE16-'Balance Sheet'!BE17))/1000</f>
        <v>-55.283999999999999</v>
      </c>
      <c r="CJ313" s="12">
        <f>('Income Statement'!BK41+'Income Statement'!BK43+'Income Statement'!BK7+('Balance Sheet'!BK37+'Balance Sheet'!BK36-'Balance Sheet'!BF36-'Balance Sheet'!BF37)-('Balance Sheet'!BK16+'Balance Sheet'!BK17-'Balance Sheet'!BF16-'Balance Sheet'!BF17))/1000</f>
        <v>-19.724</v>
      </c>
      <c r="CK313" s="12">
        <f>('Income Statement'!BL41+'Income Statement'!BL43+'Income Statement'!BL7+('Balance Sheet'!BL37+'Balance Sheet'!BL36-'Balance Sheet'!BG36-'Balance Sheet'!BG37)-('Balance Sheet'!BL16+'Balance Sheet'!BL17-'Balance Sheet'!BG16-'Balance Sheet'!BG17))/1000</f>
        <v>-28.736999999999998</v>
      </c>
      <c r="CL313" s="12">
        <f>('Income Statement'!BM41+'Income Statement'!BM43+'Income Statement'!BM7+('Balance Sheet'!BM37+'Balance Sheet'!BM36-'Balance Sheet'!BH36-'Balance Sheet'!BH37)-('Balance Sheet'!BM16+'Balance Sheet'!BM17-'Balance Sheet'!BH16-'Balance Sheet'!BH17))/1000</f>
        <v>-63.920999999999999</v>
      </c>
      <c r="CM313" s="12">
        <f>('Income Statement'!BN41+'Income Statement'!BN43+'Income Statement'!BN7+('Balance Sheet'!BN37+'Balance Sheet'!BN36-'Balance Sheet'!BI36-'Balance Sheet'!BI37)-('Balance Sheet'!BN16+'Balance Sheet'!BN17-'Balance Sheet'!BI16-'Balance Sheet'!BI17))/1000</f>
        <v>-122.66800000000001</v>
      </c>
      <c r="CN313" s="12">
        <f>('Income Statement'!BO41+'Income Statement'!BO43+'Income Statement'!BO7+('Balance Sheet'!BO37+'Balance Sheet'!BO36-'Balance Sheet'!BJ36-'Balance Sheet'!BJ37)-('Balance Sheet'!BO16+'Balance Sheet'!BO17-'Balance Sheet'!BJ16-'Balance Sheet'!BJ17))/1000</f>
        <v>-40.829000000000001</v>
      </c>
      <c r="CO313" s="12">
        <f>('Income Statement'!BP41+'Income Statement'!BP43+'Income Statement'!BP7+('Balance Sheet'!BP37+'Balance Sheet'!BP36-'Balance Sheet'!BK36-'Balance Sheet'!BK37)-('Balance Sheet'!BP16+'Balance Sheet'!BP17-'Balance Sheet'!BK16-'Balance Sheet'!BK17))/1000</f>
        <v>-69.644999999999996</v>
      </c>
      <c r="CP313" s="12">
        <f>('Income Statement'!BQ41+'Income Statement'!BQ43+'Income Statement'!BQ7+('Balance Sheet'!BQ37+'Balance Sheet'!BQ36-'Balance Sheet'!BL36-'Balance Sheet'!BL37)-('Balance Sheet'!BQ16+'Balance Sheet'!BQ17-'Balance Sheet'!BL16-'Balance Sheet'!BL17))/1000</f>
        <v>-93.293999999999997</v>
      </c>
      <c r="CQ313" s="12">
        <f>('Income Statement'!BR41+'Income Statement'!BR43+'Income Statement'!BR7+('Balance Sheet'!BR37+'Balance Sheet'!BR36-'Balance Sheet'!BM36-'Balance Sheet'!BM37)-('Balance Sheet'!BR16+'Balance Sheet'!BR17-'Balance Sheet'!BM16-'Balance Sheet'!BM17))/1000</f>
        <v>-109</v>
      </c>
      <c r="CR313" s="12">
        <f>('Income Statement'!BS41+'Income Statement'!BS43+'Income Statement'!BS7+('Balance Sheet'!BS37+'Balance Sheet'!BS36-'Balance Sheet'!BN36-'Balance Sheet'!BN37)-('Balance Sheet'!BS16+'Balance Sheet'!BS17-'Balance Sheet'!BN16-'Balance Sheet'!BN17))/1000</f>
        <v>-144.732</v>
      </c>
      <c r="CS313" s="12">
        <f>('Income Statement'!BT41+'Income Statement'!BT43+'Income Statement'!BT7+('Balance Sheet'!BT37+'Balance Sheet'!BT36-'Balance Sheet'!BO36-'Balance Sheet'!BO37)-('Balance Sheet'!BT16+'Balance Sheet'!BT17-'Balance Sheet'!BO16-'Balance Sheet'!BO17))/1000</f>
        <v>-132.006</v>
      </c>
      <c r="CT313" s="12">
        <f>('Income Statement'!BU41+'Income Statement'!BU43+'Income Statement'!BU7+('Balance Sheet'!BU37+'Balance Sheet'!BU36-'Balance Sheet'!BP36-'Balance Sheet'!BP37)-('Balance Sheet'!BU16+'Balance Sheet'!BU17-'Balance Sheet'!BP16-'Balance Sheet'!BP17))/1000</f>
        <v>-85.367999999999995</v>
      </c>
      <c r="CU313" s="12">
        <f>('Income Statement'!BV41+'Income Statement'!BV43+'Income Statement'!BV7+('Balance Sheet'!BV37+'Balance Sheet'!BV36-'Balance Sheet'!BQ36-'Balance Sheet'!BQ37)-('Balance Sheet'!BV16+'Balance Sheet'!BV17-'Balance Sheet'!BQ16-'Balance Sheet'!BQ17))/1000</f>
        <v>-62.936999999999998</v>
      </c>
      <c r="CV313" s="12">
        <f>('Income Statement'!BW41+'Income Statement'!BW43+'Income Statement'!BW7+('Balance Sheet'!BW37+'Balance Sheet'!BW36-'Balance Sheet'!BR36-'Balance Sheet'!BR37)-('Balance Sheet'!BW16+'Balance Sheet'!BW17-'Balance Sheet'!BR16-'Balance Sheet'!BR17))/1000</f>
        <v>-87.423000000000002</v>
      </c>
      <c r="CW313" s="12">
        <f>('Income Statement'!BX41+'Income Statement'!BX43+'Income Statement'!BX7+('Balance Sheet'!BX37+'Balance Sheet'!BX36-'Balance Sheet'!BS36-'Balance Sheet'!BS37)-('Balance Sheet'!BX16+'Balance Sheet'!BX17-'Balance Sheet'!BS16-'Balance Sheet'!BS17))/1000</f>
        <v>-131.33099999999999</v>
      </c>
      <c r="CX313" s="12">
        <f>('Income Statement'!BY41+'Income Statement'!BY43+'Income Statement'!BY7+('Balance Sheet'!BY37+'Balance Sheet'!BY36-'Balance Sheet'!BT36-'Balance Sheet'!BT37)-('Balance Sheet'!BY16+'Balance Sheet'!BY17-'Balance Sheet'!BT16-'Balance Sheet'!BT17))/1000</f>
        <v>-52.713999999999999</v>
      </c>
      <c r="CY313" s="12">
        <f>('Income Statement'!BZ41+'Income Statement'!BZ43+'Income Statement'!BZ7+('Balance Sheet'!BZ37+'Balance Sheet'!BZ36-'Balance Sheet'!BU36-'Balance Sheet'!BU37)-('Balance Sheet'!BZ16+'Balance Sheet'!BZ17-'Balance Sheet'!BU16-'Balance Sheet'!BU17))/1000</f>
        <v>-62.350999999999999</v>
      </c>
      <c r="CZ313" s="12">
        <f>('Income Statement'!CA41+'Income Statement'!CA43+'Income Statement'!CA7+('Balance Sheet'!CA37+'Balance Sheet'!CA36-'Balance Sheet'!BV36-'Balance Sheet'!BV37)-('Balance Sheet'!CA16+'Balance Sheet'!CA17-'Balance Sheet'!BV16-'Balance Sheet'!BV17))/1000</f>
        <v>-51.966999999999999</v>
      </c>
      <c r="DA313" s="12">
        <f>('Income Statement'!CB41+'Income Statement'!CB43+'Income Statement'!CB7+('Balance Sheet'!CB37+'Balance Sheet'!CB36-'Balance Sheet'!BW36-'Balance Sheet'!BW37)-('Balance Sheet'!CB16+'Balance Sheet'!CB17-'Balance Sheet'!BW16-'Balance Sheet'!BW17))/1000</f>
        <v>15.462</v>
      </c>
      <c r="DB313" s="12">
        <f>('Income Statement'!CC41+'Income Statement'!CC43+'Income Statement'!CC7+('Balance Sheet'!CC37+'Balance Sheet'!CC36-'Balance Sheet'!BX36-'Balance Sheet'!BX37)-('Balance Sheet'!CC16+'Balance Sheet'!CC17-'Balance Sheet'!BX16-'Balance Sheet'!BX17))/1000</f>
        <v>-91.686999999999998</v>
      </c>
      <c r="DC313" s="12">
        <f>('Income Statement'!CD41+'Income Statement'!CD43+'Income Statement'!CD7+('Balance Sheet'!CD37+'Balance Sheet'!CD36-'Balance Sheet'!BY36-'Balance Sheet'!BY37)-('Balance Sheet'!CD16+'Balance Sheet'!CD17-'Balance Sheet'!BY16-'Balance Sheet'!BY17))/1000</f>
        <v>9.2230000000000008</v>
      </c>
      <c r="DD313" s="12">
        <f>('Income Statement'!CE41+'Income Statement'!CE43+'Income Statement'!CE7+('Balance Sheet'!CE37+'Balance Sheet'!CE36-'Balance Sheet'!BZ36-'Balance Sheet'!BZ37)-('Balance Sheet'!CE16+'Balance Sheet'!CE17-'Balance Sheet'!BZ16-'Balance Sheet'!BZ17))/1000</f>
        <v>14.361000000000001</v>
      </c>
      <c r="DE313" s="12">
        <f>('Income Statement'!CF41+'Income Statement'!CF43+'Income Statement'!CF7+('Balance Sheet'!CF37+'Balance Sheet'!CF36-'Balance Sheet'!CA36-'Balance Sheet'!CA37)-('Balance Sheet'!CF16+'Balance Sheet'!CF17-'Balance Sheet'!CA16-'Balance Sheet'!CA17))/1000</f>
        <v>391.68700000000001</v>
      </c>
      <c r="DF313" s="12">
        <f>('Income Statement'!CG41+'Income Statement'!CG43+'Income Statement'!CG7+('Balance Sheet'!CG37+'Balance Sheet'!CG36-'Balance Sheet'!CB36-'Balance Sheet'!CB37)-('Balance Sheet'!CG16+'Balance Sheet'!CG17-'Balance Sheet'!CB16-'Balance Sheet'!CB17))/1000</f>
        <v>269.74099999999999</v>
      </c>
      <c r="DG313" s="12">
        <f>('Income Statement'!CH41+'Income Statement'!CH43+'Income Statement'!CH7+('Balance Sheet'!CH37+'Balance Sheet'!CH36-'Balance Sheet'!CC36-'Balance Sheet'!CC37)-('Balance Sheet'!CH16+'Balance Sheet'!CH17-'Balance Sheet'!CC16-'Balance Sheet'!CC17))/1000</f>
        <v>196.9</v>
      </c>
      <c r="DH313" s="12">
        <f>('Income Statement'!CI41+'Income Statement'!CI43+'Income Statement'!CI7+('Balance Sheet'!CI37+'Balance Sheet'!CI36-'Balance Sheet'!CD36-'Balance Sheet'!CD37)-('Balance Sheet'!CI16+'Balance Sheet'!CI17-'Balance Sheet'!CD16-'Balance Sheet'!CD17))/1000</f>
        <v>261.67700000000002</v>
      </c>
      <c r="DI313" s="12">
        <f>('Income Statement'!CJ41+'Income Statement'!CJ43+'Income Statement'!CJ7+('Balance Sheet'!CJ37+'Balance Sheet'!CJ36-'Balance Sheet'!CE36-'Balance Sheet'!CE37)-('Balance Sheet'!CJ16+'Balance Sheet'!CJ17-'Balance Sheet'!CE16-'Balance Sheet'!CE17))/1000</f>
        <v>252.59</v>
      </c>
      <c r="DJ313" s="12">
        <f>('Income Statement'!CK41+'Income Statement'!CK43+'Income Statement'!CK7+('Balance Sheet'!CK37+'Balance Sheet'!CK36-'Balance Sheet'!CF36-'Balance Sheet'!CF37)-('Balance Sheet'!CK16+'Balance Sheet'!CK17-'Balance Sheet'!CF16-'Balance Sheet'!CF17))/1000</f>
        <v>-111.363</v>
      </c>
      <c r="DK313" s="12">
        <f>('Income Statement'!CL41+'Income Statement'!CL43+'Income Statement'!CL7+('Balance Sheet'!CL37+'Balance Sheet'!CL36-'Balance Sheet'!CG36-'Balance Sheet'!CG37)-('Balance Sheet'!CL16+'Balance Sheet'!CL17-'Balance Sheet'!CG16-'Balance Sheet'!CG17))/1000</f>
        <v>-0.94699999999999995</v>
      </c>
      <c r="DL313" s="12">
        <f>('Income Statement'!CM41+'Income Statement'!CM43+'Income Statement'!CM7+('Balance Sheet'!CM37+'Balance Sheet'!CM36-'Balance Sheet'!CH36-'Balance Sheet'!CH37)-('Balance Sheet'!CM16+'Balance Sheet'!CM17-'Balance Sheet'!CH16-'Balance Sheet'!CH17))/1000</f>
        <v>-91.912999999999997</v>
      </c>
      <c r="DM313" s="12">
        <f>('Income Statement'!CN41+'Income Statement'!CN43+'Income Statement'!CN7+('Balance Sheet'!CN37+'Balance Sheet'!CN36-'Balance Sheet'!CI36-'Balance Sheet'!CI37)-('Balance Sheet'!CN16+'Balance Sheet'!CN17-'Balance Sheet'!CI16-'Balance Sheet'!CI17))/1000</f>
        <v>12.141999999999999</v>
      </c>
      <c r="DN313" s="12">
        <f>('Income Statement'!CO41+'Income Statement'!CO43+'Income Statement'!CO7+('Balance Sheet'!CO37+'Balance Sheet'!CO36-'Balance Sheet'!CJ36-'Balance Sheet'!CJ37)-('Balance Sheet'!CO16+'Balance Sheet'!CO17-'Balance Sheet'!CJ16-'Balance Sheet'!CJ17))/1000</f>
        <v>-1.2210000000000001</v>
      </c>
      <c r="DO313" s="12">
        <f>('Income Statement'!CP41+'Income Statement'!CP43+'Income Statement'!CP7+('Balance Sheet'!CP37+'Balance Sheet'!CP36-'Balance Sheet'!CK36-'Balance Sheet'!CK37)-('Balance Sheet'!CP16+'Balance Sheet'!CP17-'Balance Sheet'!CK16-'Balance Sheet'!CK17))/1000</f>
        <v>-35.173000000000002</v>
      </c>
      <c r="DP313" s="12">
        <f>('Income Statement'!CQ41+'Income Statement'!CQ43+'Income Statement'!CQ7+('Balance Sheet'!CQ37+'Balance Sheet'!CQ36-'Balance Sheet'!CL36-'Balance Sheet'!CL37)-('Balance Sheet'!CQ16+'Balance Sheet'!CQ17-'Balance Sheet'!CL16-'Balance Sheet'!CL17))/1000</f>
        <v>-30.379000000000001</v>
      </c>
      <c r="DQ313" s="12">
        <f>('Income Statement'!CR41+'Income Statement'!CR43+'Income Statement'!CR7+('Balance Sheet'!CR37+'Balance Sheet'!CR36-'Balance Sheet'!CM36-'Balance Sheet'!CM37)-('Balance Sheet'!CR16+'Balance Sheet'!CR17-'Balance Sheet'!CM16-'Balance Sheet'!CM17))/1000</f>
        <v>-133.291</v>
      </c>
      <c r="DR313" s="12">
        <f>('Income Statement'!CS41+'Income Statement'!CS43+'Income Statement'!CS7+('Balance Sheet'!CS37+'Balance Sheet'!CS36-'Balance Sheet'!CN36-'Balance Sheet'!CN37)-('Balance Sheet'!CS16+'Balance Sheet'!CS17-'Balance Sheet'!CN16-'Balance Sheet'!CN17))/1000</f>
        <v>-39.097999999999999</v>
      </c>
      <c r="DS313" s="12">
        <f>('Income Statement'!CT41+'Income Statement'!CT43+'Income Statement'!CT7+('Balance Sheet'!CT37+'Balance Sheet'!CT36-'Balance Sheet'!CO36-'Balance Sheet'!CO37)-('Balance Sheet'!CT16+'Balance Sheet'!CT17-'Balance Sheet'!CO16-'Balance Sheet'!CO17))/1000</f>
        <v>-51.375</v>
      </c>
      <c r="DT313" s="12">
        <f>('Income Statement'!CU41+'Income Statement'!CU43+'Income Statement'!CU7+('Balance Sheet'!CU37+'Balance Sheet'!CU36-'Balance Sheet'!CP36-'Balance Sheet'!CP37)-('Balance Sheet'!CU16+'Balance Sheet'!CU17-'Balance Sheet'!CP16-'Balance Sheet'!CP17))/1000</f>
        <v>-36.732999999999997</v>
      </c>
      <c r="DU313" s="12">
        <f>('Income Statement'!CV41+'Income Statement'!CV43+'Income Statement'!CV7+('Balance Sheet'!CV37+'Balance Sheet'!CV36-'Balance Sheet'!CQ36-'Balance Sheet'!CQ37)-('Balance Sheet'!CV16+'Balance Sheet'!CV17-'Balance Sheet'!CQ16-'Balance Sheet'!CQ17))/1000</f>
        <v>-66.207999999999998</v>
      </c>
      <c r="DV313" s="12">
        <f>('Income Statement'!CW41+'Income Statement'!CW43+'Income Statement'!CW7+('Balance Sheet'!CW37+'Balance Sheet'!CW36-'Balance Sheet'!CR36-'Balance Sheet'!CR37)-('Balance Sheet'!CW16+'Balance Sheet'!CW17-'Balance Sheet'!CR16-'Balance Sheet'!CR17))/1000</f>
        <v>-199.434</v>
      </c>
      <c r="DW313" s="12">
        <f>('Income Statement'!CX41+'Income Statement'!CX43+'Income Statement'!CX7+('Balance Sheet'!CX37+'Balance Sheet'!CX36-'Balance Sheet'!CS36-'Balance Sheet'!CS37)-('Balance Sheet'!CX16+'Balance Sheet'!CX17-'Balance Sheet'!CS16-'Balance Sheet'!CS17))/1000</f>
        <v>-51.963000000000001</v>
      </c>
      <c r="DX313" s="12">
        <f>('Income Statement'!CY41+'Income Statement'!CY43+'Income Statement'!CY7+('Balance Sheet'!CY37+'Balance Sheet'!CY36-'Balance Sheet'!CT36-'Balance Sheet'!CT37)-('Balance Sheet'!CY16+'Balance Sheet'!CY17-'Balance Sheet'!CT16-'Balance Sheet'!CT17))/1000</f>
        <v>-51.277000000000001</v>
      </c>
      <c r="DY313" s="12">
        <f>('Income Statement'!CZ41+'Income Statement'!CZ43+'Income Statement'!CZ7+('Balance Sheet'!CZ37+'Balance Sheet'!CZ36-'Balance Sheet'!CU36-'Balance Sheet'!CU37)-('Balance Sheet'!CZ16+'Balance Sheet'!CZ17-'Balance Sheet'!CU16-'Balance Sheet'!CU17))/1000</f>
        <v>-27.754000000000001</v>
      </c>
      <c r="DZ313" s="12">
        <f>('Income Statement'!DA41+'Income Statement'!DA43+'Income Statement'!DA7+('Balance Sheet'!DA37+'Balance Sheet'!DA36-'Balance Sheet'!CV36-'Balance Sheet'!CV37)-('Balance Sheet'!DA16+'Balance Sheet'!DA17-'Balance Sheet'!CV16-'Balance Sheet'!CV17))/1000</f>
        <v>-22.672999999999998</v>
      </c>
      <c r="EA313" s="12">
        <f>('Income Statement'!DB41+'Income Statement'!DB43+'Income Statement'!DB7+('Balance Sheet'!DB37+'Balance Sheet'!DB36-'Balance Sheet'!CW36-'Balance Sheet'!CW37)-('Balance Sheet'!DB16+'Balance Sheet'!DB17-'Balance Sheet'!CW16-'Balance Sheet'!CW17))/1000</f>
        <v>-191.19900000000001</v>
      </c>
      <c r="EB313" s="417"/>
    </row>
    <row r="314" spans="1:132" s="7" customFormat="1">
      <c r="A314" s="17"/>
      <c r="B314" s="429"/>
      <c r="C314" s="429"/>
      <c r="D314" s="429"/>
      <c r="E314" s="429"/>
      <c r="F314" s="429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417"/>
    </row>
    <row r="315" spans="1:132" s="7" customFormat="1" ht="15.75">
      <c r="A315" s="25" t="s">
        <v>452</v>
      </c>
      <c r="B315" s="431"/>
      <c r="C315" s="431"/>
      <c r="D315" s="431"/>
      <c r="E315" s="431"/>
      <c r="F315" s="431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417"/>
    </row>
    <row r="316" spans="1:132" s="7" customFormat="1">
      <c r="A316" s="17" t="s">
        <v>233</v>
      </c>
      <c r="B316" s="434"/>
      <c r="C316" s="434"/>
      <c r="D316" s="434"/>
      <c r="E316" s="434"/>
      <c r="F316" s="43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417"/>
    </row>
    <row r="317" spans="1:132" s="7" customFormat="1">
      <c r="A317" s="17" t="s">
        <v>447</v>
      </c>
      <c r="B317" s="434"/>
      <c r="C317" s="434"/>
      <c r="D317" s="434"/>
      <c r="E317" s="434"/>
      <c r="F317" s="43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417"/>
    </row>
    <row r="318" spans="1:132" s="7" customFormat="1">
      <c r="A318" s="17" t="s">
        <v>448</v>
      </c>
      <c r="B318" s="434"/>
      <c r="C318" s="434"/>
      <c r="D318" s="434"/>
      <c r="E318" s="434"/>
      <c r="F318" s="43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417"/>
    </row>
    <row r="319" spans="1:132" s="7" customFormat="1">
      <c r="A319" s="17" t="s">
        <v>449</v>
      </c>
      <c r="B319" s="434"/>
      <c r="C319" s="434"/>
      <c r="D319" s="434"/>
      <c r="E319" s="434"/>
      <c r="F319" s="43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417"/>
    </row>
    <row r="320" spans="1:132" s="7" customFormat="1">
      <c r="A320" s="17" t="s">
        <v>453</v>
      </c>
      <c r="B320" s="433"/>
      <c r="C320" s="433"/>
      <c r="D320" s="433"/>
      <c r="E320" s="433"/>
      <c r="F320" s="433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417"/>
    </row>
    <row r="321" spans="1:132" s="7" customFormat="1">
      <c r="A321" s="17" t="s">
        <v>454</v>
      </c>
      <c r="B321" s="434"/>
      <c r="C321" s="434"/>
      <c r="D321" s="434"/>
      <c r="E321" s="434"/>
      <c r="F321" s="43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417"/>
    </row>
    <row r="322" spans="1:132" s="7" customFormat="1">
      <c r="A322" s="17" t="s">
        <v>455</v>
      </c>
      <c r="B322" s="434"/>
      <c r="C322" s="434"/>
      <c r="D322" s="434"/>
      <c r="E322" s="434"/>
      <c r="F322" s="43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417"/>
    </row>
    <row r="323" spans="1:132" s="7" customFormat="1">
      <c r="A323" s="17" t="s">
        <v>456</v>
      </c>
      <c r="B323" s="434"/>
      <c r="C323" s="434"/>
      <c r="D323" s="434"/>
      <c r="E323" s="434"/>
      <c r="F323" s="43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417"/>
    </row>
    <row r="324" spans="1:132" s="7" customFormat="1" ht="13.5" thickBot="1">
      <c r="A324" s="13" t="s">
        <v>450</v>
      </c>
      <c r="B324" s="439"/>
      <c r="C324" s="439"/>
      <c r="D324" s="439"/>
      <c r="E324" s="439"/>
      <c r="F324" s="439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  <c r="DC324" s="18"/>
      <c r="DD324" s="18"/>
      <c r="DE324" s="18"/>
      <c r="DF324" s="18"/>
      <c r="DG324" s="18"/>
      <c r="DH324" s="18"/>
      <c r="DI324" s="18"/>
      <c r="DJ324" s="18"/>
      <c r="DK324" s="18"/>
      <c r="DL324" s="18"/>
      <c r="DM324" s="18"/>
      <c r="DN324" s="18"/>
      <c r="DO324" s="18"/>
      <c r="DP324" s="18"/>
      <c r="DQ324" s="18"/>
      <c r="DR324" s="18"/>
      <c r="DS324" s="18"/>
      <c r="DT324" s="18"/>
      <c r="DU324" s="18"/>
      <c r="DV324" s="18"/>
      <c r="DW324" s="18"/>
      <c r="DX324" s="18"/>
      <c r="DY324" s="18"/>
      <c r="DZ324" s="18"/>
      <c r="EA324" s="18"/>
      <c r="EB324" s="417"/>
    </row>
    <row r="325" spans="1:132" s="7" customFormat="1">
      <c r="A325" s="17"/>
      <c r="B325" s="424"/>
      <c r="C325" s="424"/>
      <c r="D325" s="424"/>
      <c r="E325" s="424"/>
      <c r="F325" s="424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20"/>
      <c r="CH325" s="20"/>
      <c r="CI325" s="20"/>
      <c r="CJ325" s="20"/>
      <c r="CK325" s="20"/>
      <c r="CL325" s="20"/>
      <c r="CM325" s="20"/>
      <c r="CN325" s="20"/>
      <c r="CO325" s="20"/>
      <c r="CP325" s="20"/>
      <c r="CQ325" s="20"/>
      <c r="CR325" s="20"/>
      <c r="CS325" s="20"/>
      <c r="CT325" s="20"/>
      <c r="CU325" s="20"/>
      <c r="CV325" s="20"/>
      <c r="CW325" s="20"/>
      <c r="CX325" s="20"/>
      <c r="CY325" s="20"/>
      <c r="CZ325" s="20"/>
      <c r="DA325" s="20"/>
      <c r="DB325" s="20"/>
      <c r="DC325" s="20"/>
      <c r="DD325" s="20"/>
      <c r="DE325" s="20"/>
      <c r="DF325" s="20"/>
      <c r="DG325" s="20"/>
      <c r="DH325" s="20"/>
      <c r="DI325" s="20"/>
      <c r="DJ325" s="20"/>
      <c r="DK325" s="20"/>
      <c r="DL325" s="20"/>
      <c r="DM325" s="20"/>
      <c r="DN325" s="20"/>
      <c r="DO325" s="20"/>
      <c r="DP325" s="20"/>
      <c r="DQ325" s="20"/>
      <c r="DR325" s="20"/>
      <c r="DS325" s="20"/>
      <c r="DT325" s="20"/>
      <c r="DU325" s="20"/>
      <c r="DV325" s="20"/>
      <c r="DW325" s="20"/>
      <c r="DX325" s="20"/>
      <c r="DY325" s="20"/>
      <c r="DZ325" s="20"/>
      <c r="EA325" s="20"/>
      <c r="EB325" s="417"/>
    </row>
    <row r="326" spans="1:132" s="7" customFormat="1" ht="15.75">
      <c r="A326" s="25" t="s">
        <v>457</v>
      </c>
      <c r="B326" s="431"/>
      <c r="C326" s="431"/>
      <c r="D326" s="431"/>
      <c r="E326" s="431"/>
      <c r="F326" s="431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417"/>
    </row>
    <row r="327" spans="1:132" s="7" customFormat="1">
      <c r="A327" s="11" t="s">
        <v>458</v>
      </c>
      <c r="B327" s="418"/>
      <c r="C327" s="418"/>
      <c r="D327" s="418"/>
      <c r="E327" s="418"/>
      <c r="F327" s="418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 t="e">
        <f>'Cash Flow'!B9/1000</f>
        <v>#VALUE!</v>
      </c>
      <c r="AB327" s="12">
        <f>'Cash Flow'!C9/1000</f>
        <v>-0.72899999999999998</v>
      </c>
      <c r="AC327" s="12">
        <f>'Cash Flow'!D9/1000</f>
        <v>1.33</v>
      </c>
      <c r="AD327" s="12">
        <f>'Cash Flow'!E9/1000</f>
        <v>-13.731</v>
      </c>
      <c r="AE327" s="12" t="e">
        <f>'Cash Flow'!F9/1000</f>
        <v>#VALUE!</v>
      </c>
      <c r="AF327" s="12">
        <f>'Cash Flow'!G9/1000</f>
        <v>-12.410500000000001</v>
      </c>
      <c r="AG327" s="12">
        <f>'Cash Flow'!H9/1000</f>
        <v>-11.955500000000001</v>
      </c>
      <c r="AH327" s="12">
        <f>'Cash Flow'!I9/1000</f>
        <v>6.7000000000000004E-2</v>
      </c>
      <c r="AI327" s="12">
        <f>'Cash Flow'!J9/1000</f>
        <v>-1.8819999999999999</v>
      </c>
      <c r="AJ327" s="12">
        <f>'Cash Flow'!K9/1000</f>
        <v>-26.181000000000001</v>
      </c>
      <c r="AK327" s="12">
        <f>'Cash Flow'!L9/1000</f>
        <v>-3.649</v>
      </c>
      <c r="AL327" s="12">
        <f>'Cash Flow'!M9/1000</f>
        <v>-71.100999999999999</v>
      </c>
      <c r="AM327" s="12">
        <f>'Cash Flow'!N9/1000</f>
        <v>-0.46500000000000002</v>
      </c>
      <c r="AN327" s="12">
        <f>'Cash Flow'!O9/1000</f>
        <v>-30.143999999999998</v>
      </c>
      <c r="AO327" s="12">
        <f>'Cash Flow'!P9/1000</f>
        <v>-105.35899999999999</v>
      </c>
      <c r="AP327" s="12">
        <f>'Cash Flow'!Q9/1000</f>
        <v>-306.911</v>
      </c>
      <c r="AQ327" s="12">
        <f>'Cash Flow'!R9/1000</f>
        <v>308.06400000000002</v>
      </c>
      <c r="AR327" s="12">
        <f>'Cash Flow'!S9/1000</f>
        <v>-12.122999999999999</v>
      </c>
      <c r="AS327" s="12">
        <f>'Cash Flow'!T9/1000</f>
        <v>-24.870999999999999</v>
      </c>
      <c r="AT327" s="12">
        <f>'Cash Flow'!U9/1000</f>
        <v>-35.841000000000001</v>
      </c>
      <c r="AU327" s="12">
        <f>'Cash Flow'!V9/1000</f>
        <v>-20.893999999999998</v>
      </c>
      <c r="AV327" s="12">
        <f>'Cash Flow'!W9/1000</f>
        <v>-16.931000000000001</v>
      </c>
      <c r="AW327" s="12">
        <f>'Cash Flow'!X9/1000</f>
        <v>-12.366</v>
      </c>
      <c r="AX327" s="12">
        <f>'Cash Flow'!Y9/1000</f>
        <v>-144.922</v>
      </c>
      <c r="AY327" s="12">
        <f>'Cash Flow'!Z9/1000</f>
        <v>-195.113</v>
      </c>
      <c r="AZ327" s="12">
        <f>'Cash Flow'!AA9/1000</f>
        <v>-12.888</v>
      </c>
      <c r="BA327" s="12">
        <f>'Cash Flow'!AB9/1000</f>
        <v>-32.920999999999999</v>
      </c>
      <c r="BB327" s="12">
        <f>'Cash Flow'!AC9/1000</f>
        <v>177.24600000000001</v>
      </c>
      <c r="BC327" s="12">
        <f>'Cash Flow'!AD9/1000</f>
        <v>-16.023</v>
      </c>
      <c r="BD327" s="12">
        <f>'Cash Flow'!AE9/1000</f>
        <v>115.414</v>
      </c>
      <c r="BE327" s="12">
        <f>'Cash Flow'!AF9/1000</f>
        <v>-21.167000000000002</v>
      </c>
      <c r="BF327" s="12">
        <f>'Cash Flow'!AG9/1000</f>
        <v>-20.414000000000001</v>
      </c>
      <c r="BG327" s="12">
        <f>'Cash Flow'!AH9/1000</f>
        <v>-15.836</v>
      </c>
      <c r="BH327" s="12">
        <f>'Cash Flow'!AI9/1000</f>
        <v>-14.180999999999999</v>
      </c>
      <c r="BI327" s="12">
        <f>'Cash Flow'!AJ9/1000</f>
        <v>-71.597999999999999</v>
      </c>
      <c r="BJ327" s="12">
        <f>'Cash Flow'!AK9/1000</f>
        <v>-3.2000000000000001E-2</v>
      </c>
      <c r="BK327" s="12">
        <f>'Cash Flow'!AL9/1000</f>
        <v>-5.181</v>
      </c>
      <c r="BL327" s="12">
        <f>'Cash Flow'!AM9/1000</f>
        <v>-32.146000000000001</v>
      </c>
      <c r="BM327" s="12">
        <f>'Cash Flow'!AN9/1000</f>
        <v>-22.795000000000002</v>
      </c>
      <c r="BN327" s="12">
        <f>'Cash Flow'!AO9/1000</f>
        <v>-60.154000000000003</v>
      </c>
      <c r="BO327" s="12">
        <f>'Cash Flow'!AP9/1000</f>
        <v>-14.916</v>
      </c>
      <c r="BP327" s="12">
        <f>'Cash Flow'!AQ9/1000</f>
        <v>-28.518000000000001</v>
      </c>
      <c r="BQ327" s="12">
        <f>'Cash Flow'!AR9/1000</f>
        <v>-17.614000000000001</v>
      </c>
      <c r="BR327" s="12">
        <f>'Cash Flow'!AS9/1000</f>
        <v>-583.81200000000001</v>
      </c>
      <c r="BS327" s="12">
        <f>'Cash Flow'!AT9/1000</f>
        <v>-644.86</v>
      </c>
      <c r="BT327" s="12">
        <f>'Cash Flow'!AU9/1000</f>
        <v>-406.298</v>
      </c>
      <c r="BU327" s="12">
        <f>'Cash Flow'!AV9/1000</f>
        <v>356.625</v>
      </c>
      <c r="BV327" s="12">
        <f>'Cash Flow'!AW9/1000</f>
        <v>-38.624000000000002</v>
      </c>
      <c r="BW327" s="12">
        <f>'Cash Flow'!AX9/1000</f>
        <v>-45.360999999999997</v>
      </c>
      <c r="BX327" s="12">
        <f>'Cash Flow'!AY9/1000</f>
        <v>-133.65799999999999</v>
      </c>
      <c r="BY327" s="12">
        <f>'Cash Flow'!AZ9/1000</f>
        <v>-40.64</v>
      </c>
      <c r="BZ327" s="12">
        <f>'Cash Flow'!BA9/1000</f>
        <v>-25.640999999999998</v>
      </c>
      <c r="CA327" s="12">
        <f>'Cash Flow'!BB9/1000</f>
        <v>-37.295000000000002</v>
      </c>
      <c r="CB327" s="12">
        <f>'Cash Flow'!BC9/1000</f>
        <v>11.925000000000001</v>
      </c>
      <c r="CC327" s="12">
        <f>'Cash Flow'!BD9/1000</f>
        <v>-91.650999999999996</v>
      </c>
      <c r="CD327" s="12">
        <f>'Cash Flow'!BE9/1000</f>
        <v>29.088000000000001</v>
      </c>
      <c r="CE327" s="12">
        <f>'Cash Flow'!BF9/1000</f>
        <v>-121.867</v>
      </c>
      <c r="CF327" s="12">
        <f>'Cash Flow'!BG9/1000</f>
        <v>5.6390000000000002</v>
      </c>
      <c r="CG327" s="12">
        <f>'Cash Flow'!BH9/1000</f>
        <v>16.172999999999998</v>
      </c>
      <c r="CH327" s="12">
        <f>'Cash Flow'!BI9/1000</f>
        <v>-70.966999999999999</v>
      </c>
      <c r="CI327" s="12">
        <f>'Cash Flow'!BJ9/1000</f>
        <v>30.763999999999999</v>
      </c>
      <c r="CJ327" s="12">
        <f>'Cash Flow'!BK9/1000</f>
        <v>-4.3719999999999999</v>
      </c>
      <c r="CK327" s="12">
        <f>'Cash Flow'!BL9/1000</f>
        <v>-60.558</v>
      </c>
      <c r="CL327" s="12">
        <f>'Cash Flow'!BM9/1000</f>
        <v>-138.96199999999999</v>
      </c>
      <c r="CM327" s="12">
        <f>'Cash Flow'!BN9/1000</f>
        <v>-173.12799999999999</v>
      </c>
      <c r="CN327" s="12">
        <f>'Cash Flow'!BO9/1000</f>
        <v>-9.3160000000000007</v>
      </c>
      <c r="CO327" s="12">
        <f>'Cash Flow'!BP9/1000</f>
        <v>-9.6890000000000001</v>
      </c>
      <c r="CP327" s="12">
        <f>'Cash Flow'!BQ9/1000</f>
        <v>104.087</v>
      </c>
      <c r="CQ327" s="12">
        <f>'Cash Flow'!BR9/1000</f>
        <v>-12.23</v>
      </c>
      <c r="CR327" s="12">
        <f>'Cash Flow'!BS9/1000</f>
        <v>72.852000000000004</v>
      </c>
      <c r="CS327" s="12">
        <f>'Cash Flow'!BT9/1000</f>
        <v>-96.423000000000002</v>
      </c>
      <c r="CT327" s="12">
        <f>'Cash Flow'!BU9/1000</f>
        <v>30.446000000000002</v>
      </c>
      <c r="CU327" s="12">
        <f>'Cash Flow'!BV9/1000</f>
        <v>-3.677</v>
      </c>
      <c r="CV327" s="12">
        <f>'Cash Flow'!BW9/1000</f>
        <v>-26.295999999999999</v>
      </c>
      <c r="CW327" s="12">
        <f>'Cash Flow'!BX9/1000</f>
        <v>-95.95</v>
      </c>
      <c r="CX327" s="12">
        <f>'Cash Flow'!BY9/1000</f>
        <v>63.981000000000002</v>
      </c>
      <c r="CY327" s="12">
        <f>'Cash Flow'!BZ9/1000</f>
        <v>7.8810000000000002</v>
      </c>
      <c r="CZ327" s="12">
        <f>'Cash Flow'!CA9/1000</f>
        <v>-94.950999999999993</v>
      </c>
      <c r="DA327" s="12">
        <f>'Cash Flow'!CB9/1000</f>
        <v>-14.319000000000001</v>
      </c>
      <c r="DB327" s="12">
        <f>'Cash Flow'!CC9/1000</f>
        <v>-37.408000000000001</v>
      </c>
      <c r="DC327" s="12">
        <f>'Cash Flow'!CD9/1000</f>
        <v>14.22</v>
      </c>
      <c r="DD327" s="12">
        <f>'Cash Flow'!CE9/1000</f>
        <v>-4.274</v>
      </c>
      <c r="DE327" s="12">
        <f>'Cash Flow'!CF9/1000</f>
        <v>-1285.989</v>
      </c>
      <c r="DF327" s="12">
        <f>'Cash Flow'!CG9/1000</f>
        <v>-0.441</v>
      </c>
      <c r="DG327" s="12">
        <f>'Cash Flow'!CH9/1000</f>
        <v>-1276.4839999999999</v>
      </c>
      <c r="DH327" s="12">
        <f>'Cash Flow'!CI9/1000</f>
        <v>-85.543999999999997</v>
      </c>
      <c r="DI327" s="12">
        <f>'Cash Flow'!CJ9/1000</f>
        <v>8.3979999999999997</v>
      </c>
      <c r="DJ327" s="12">
        <f>'Cash Flow'!CK9/1000</f>
        <v>-69.158000000000001</v>
      </c>
      <c r="DK327" s="12">
        <f>'Cash Flow'!CL9/1000</f>
        <v>36.445</v>
      </c>
      <c r="DL327" s="12">
        <f>'Cash Flow'!CM9/1000</f>
        <v>-109.85899999999999</v>
      </c>
      <c r="DM327" s="12">
        <f>'Cash Flow'!CN9/1000</f>
        <v>-130.79300000000001</v>
      </c>
      <c r="DN327" s="12">
        <f>'Cash Flow'!CO9/1000</f>
        <v>-145.63399999999999</v>
      </c>
      <c r="DO327" s="12">
        <f>'Cash Flow'!CP9/1000</f>
        <v>-169.34399999999999</v>
      </c>
      <c r="DP327" s="12">
        <f>'Cash Flow'!CQ9/1000</f>
        <v>22.555</v>
      </c>
      <c r="DQ327" s="12">
        <f>'Cash Flow'!CR9/1000</f>
        <v>-423.21600000000001</v>
      </c>
      <c r="DR327" s="12">
        <f>'Cash Flow'!CS9/1000</f>
        <v>-78.091999999999999</v>
      </c>
      <c r="DS327" s="12">
        <f>'Cash Flow'!CT9/1000</f>
        <v>-40.777000000000001</v>
      </c>
      <c r="DT327" s="12">
        <f>'Cash Flow'!CU9/1000</f>
        <v>-83.998000000000005</v>
      </c>
      <c r="DU327" s="12">
        <f>'Cash Flow'!CV9/1000</f>
        <v>-71.353999999999999</v>
      </c>
      <c r="DV327" s="12">
        <f>'Cash Flow'!CW9/1000</f>
        <v>-274.221</v>
      </c>
      <c r="DW327" s="12">
        <f>'Cash Flow'!CX9/1000</f>
        <v>-135.238</v>
      </c>
      <c r="DX327" s="12">
        <f>'Cash Flow'!CY9/1000</f>
        <v>-200.184</v>
      </c>
      <c r="DY327" s="12">
        <f>'Cash Flow'!CZ9/1000</f>
        <v>-168.90100000000001</v>
      </c>
      <c r="DZ327" s="12">
        <f>'Cash Flow'!DA9/1000</f>
        <v>-256.60300000000001</v>
      </c>
      <c r="EA327" s="12">
        <f>'Cash Flow'!DB9/1000</f>
        <v>-760.92600000000004</v>
      </c>
      <c r="EB327" s="417"/>
    </row>
    <row r="328" spans="1:132" s="7" customFormat="1">
      <c r="A328" s="11" t="s">
        <v>459</v>
      </c>
      <c r="B328" s="418"/>
      <c r="C328" s="418"/>
      <c r="D328" s="418"/>
      <c r="E328" s="418"/>
      <c r="F328" s="418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0</v>
      </c>
      <c r="BO328" s="12">
        <v>0</v>
      </c>
      <c r="BP328" s="12">
        <v>0</v>
      </c>
      <c r="BQ328" s="12">
        <v>0</v>
      </c>
      <c r="BR328" s="12">
        <v>0</v>
      </c>
      <c r="BS328" s="12">
        <v>0</v>
      </c>
      <c r="BT328" s="12">
        <v>0</v>
      </c>
      <c r="BU328" s="12">
        <v>0</v>
      </c>
      <c r="BV328" s="12">
        <v>0</v>
      </c>
      <c r="BW328" s="12">
        <v>0</v>
      </c>
      <c r="BX328" s="12">
        <v>0</v>
      </c>
      <c r="BY328" s="12">
        <v>0</v>
      </c>
      <c r="BZ328" s="12">
        <v>0</v>
      </c>
      <c r="CA328" s="12">
        <v>0</v>
      </c>
      <c r="CB328" s="12">
        <v>0</v>
      </c>
      <c r="CC328" s="12">
        <v>0</v>
      </c>
      <c r="CD328" s="12">
        <v>0</v>
      </c>
      <c r="CE328" s="12">
        <v>0</v>
      </c>
      <c r="CF328" s="12">
        <v>0</v>
      </c>
      <c r="CG328" s="12">
        <v>0</v>
      </c>
      <c r="CH328" s="12">
        <v>0</v>
      </c>
      <c r="CI328" s="12">
        <v>0</v>
      </c>
      <c r="CJ328" s="12">
        <v>0</v>
      </c>
      <c r="CK328" s="12">
        <v>0</v>
      </c>
      <c r="CL328" s="12">
        <v>0</v>
      </c>
      <c r="CM328" s="12">
        <v>0</v>
      </c>
      <c r="CN328" s="12">
        <v>0</v>
      </c>
      <c r="CO328" s="12">
        <v>0</v>
      </c>
      <c r="CP328" s="12">
        <v>0</v>
      </c>
      <c r="CQ328" s="12">
        <v>0</v>
      </c>
      <c r="CR328" s="12">
        <v>0</v>
      </c>
      <c r="CS328" s="12">
        <v>0</v>
      </c>
      <c r="CT328" s="12">
        <v>0</v>
      </c>
      <c r="CU328" s="12">
        <v>0</v>
      </c>
      <c r="CV328" s="12">
        <v>0</v>
      </c>
      <c r="CW328" s="12">
        <v>0</v>
      </c>
      <c r="CX328" s="12">
        <v>0</v>
      </c>
      <c r="CY328" s="12">
        <v>0</v>
      </c>
      <c r="CZ328" s="12">
        <v>0</v>
      </c>
      <c r="DA328" s="12">
        <v>0</v>
      </c>
      <c r="DB328" s="12">
        <v>0</v>
      </c>
      <c r="DC328" s="12">
        <v>0</v>
      </c>
      <c r="DD328" s="12">
        <v>0</v>
      </c>
      <c r="DE328" s="12">
        <v>0</v>
      </c>
      <c r="DF328" s="12">
        <v>0</v>
      </c>
      <c r="DG328" s="12">
        <v>0</v>
      </c>
      <c r="DH328" s="12">
        <v>0</v>
      </c>
      <c r="DI328" s="12">
        <v>0</v>
      </c>
      <c r="DJ328" s="12">
        <v>0</v>
      </c>
      <c r="DK328" s="12">
        <v>0</v>
      </c>
      <c r="DL328" s="12">
        <v>0</v>
      </c>
      <c r="DM328" s="12">
        <v>0</v>
      </c>
      <c r="DN328" s="12">
        <v>0</v>
      </c>
      <c r="DO328" s="12">
        <v>0</v>
      </c>
      <c r="DP328" s="12">
        <v>0</v>
      </c>
      <c r="DQ328" s="12">
        <v>0</v>
      </c>
      <c r="DR328" s="12">
        <v>0</v>
      </c>
      <c r="DS328" s="12">
        <v>0</v>
      </c>
      <c r="DT328" s="12">
        <v>0</v>
      </c>
      <c r="DU328" s="12">
        <v>0</v>
      </c>
      <c r="DV328" s="12">
        <v>0</v>
      </c>
      <c r="DW328" s="12">
        <v>0</v>
      </c>
      <c r="DX328" s="12">
        <v>0</v>
      </c>
      <c r="DY328" s="12">
        <v>0</v>
      </c>
      <c r="DZ328" s="12">
        <v>0</v>
      </c>
      <c r="EA328" s="12">
        <v>0</v>
      </c>
      <c r="EB328" s="417"/>
    </row>
    <row r="329" spans="1:132" s="7" customFormat="1">
      <c r="A329" s="11" t="s">
        <v>399</v>
      </c>
      <c r="B329" s="418"/>
      <c r="C329" s="418"/>
      <c r="D329" s="418"/>
      <c r="E329" s="418"/>
      <c r="F329" s="418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0</v>
      </c>
      <c r="BE329" s="12">
        <v>0</v>
      </c>
      <c r="BF329" s="12">
        <v>0</v>
      </c>
      <c r="BG329" s="12">
        <v>0</v>
      </c>
      <c r="BH329" s="12">
        <v>0</v>
      </c>
      <c r="BI329" s="12">
        <v>0</v>
      </c>
      <c r="BJ329" s="12">
        <v>0</v>
      </c>
      <c r="BK329" s="12">
        <v>0</v>
      </c>
      <c r="BL329" s="12">
        <v>0</v>
      </c>
      <c r="BM329" s="12">
        <v>0</v>
      </c>
      <c r="BN329" s="12">
        <v>0</v>
      </c>
      <c r="BO329" s="12">
        <v>0</v>
      </c>
      <c r="BP329" s="12">
        <v>0</v>
      </c>
      <c r="BQ329" s="12">
        <v>0</v>
      </c>
      <c r="BR329" s="12">
        <v>0</v>
      </c>
      <c r="BS329" s="12">
        <v>0</v>
      </c>
      <c r="BT329" s="12">
        <v>0</v>
      </c>
      <c r="BU329" s="12">
        <v>0</v>
      </c>
      <c r="BV329" s="12">
        <v>0</v>
      </c>
      <c r="BW329" s="12">
        <v>0</v>
      </c>
      <c r="BX329" s="12">
        <v>0</v>
      </c>
      <c r="BY329" s="12">
        <v>0</v>
      </c>
      <c r="BZ329" s="12">
        <v>0</v>
      </c>
      <c r="CA329" s="12">
        <v>0</v>
      </c>
      <c r="CB329" s="12">
        <v>0</v>
      </c>
      <c r="CC329" s="12">
        <v>0</v>
      </c>
      <c r="CD329" s="12">
        <v>0</v>
      </c>
      <c r="CE329" s="12">
        <v>0</v>
      </c>
      <c r="CF329" s="12">
        <v>0</v>
      </c>
      <c r="CG329" s="12">
        <v>0</v>
      </c>
      <c r="CH329" s="12">
        <v>0</v>
      </c>
      <c r="CI329" s="12">
        <v>0</v>
      </c>
      <c r="CJ329" s="12">
        <v>0</v>
      </c>
      <c r="CK329" s="12">
        <v>0</v>
      </c>
      <c r="CL329" s="12">
        <v>0</v>
      </c>
      <c r="CM329" s="12">
        <v>0</v>
      </c>
      <c r="CN329" s="12">
        <v>0</v>
      </c>
      <c r="CO329" s="12">
        <v>0</v>
      </c>
      <c r="CP329" s="12">
        <v>0</v>
      </c>
      <c r="CQ329" s="12">
        <v>0</v>
      </c>
      <c r="CR329" s="12">
        <v>0</v>
      </c>
      <c r="CS329" s="12">
        <v>0</v>
      </c>
      <c r="CT329" s="12">
        <v>0</v>
      </c>
      <c r="CU329" s="12">
        <v>0</v>
      </c>
      <c r="CV329" s="12">
        <v>0</v>
      </c>
      <c r="CW329" s="12">
        <v>0</v>
      </c>
      <c r="CX329" s="12">
        <v>0</v>
      </c>
      <c r="CY329" s="12">
        <v>0</v>
      </c>
      <c r="CZ329" s="12">
        <v>0</v>
      </c>
      <c r="DA329" s="12">
        <v>0</v>
      </c>
      <c r="DB329" s="12">
        <v>0</v>
      </c>
      <c r="DC329" s="12">
        <v>0</v>
      </c>
      <c r="DD329" s="12">
        <v>0</v>
      </c>
      <c r="DE329" s="12">
        <v>0</v>
      </c>
      <c r="DF329" s="12">
        <v>0</v>
      </c>
      <c r="DG329" s="12">
        <v>0</v>
      </c>
      <c r="DH329" s="12">
        <v>0</v>
      </c>
      <c r="DI329" s="12">
        <v>0</v>
      </c>
      <c r="DJ329" s="12">
        <v>0</v>
      </c>
      <c r="DK329" s="12">
        <v>0</v>
      </c>
      <c r="DL329" s="12">
        <v>0</v>
      </c>
      <c r="DM329" s="12">
        <v>0</v>
      </c>
      <c r="DN329" s="12">
        <v>0</v>
      </c>
      <c r="DO329" s="12">
        <v>0</v>
      </c>
      <c r="DP329" s="12">
        <v>0</v>
      </c>
      <c r="DQ329" s="12">
        <v>0</v>
      </c>
      <c r="DR329" s="12">
        <v>0</v>
      </c>
      <c r="DS329" s="12">
        <v>0</v>
      </c>
      <c r="DT329" s="12">
        <v>0</v>
      </c>
      <c r="DU329" s="12">
        <v>0</v>
      </c>
      <c r="DV329" s="12">
        <v>0</v>
      </c>
      <c r="DW329" s="12">
        <v>0</v>
      </c>
      <c r="DX329" s="12">
        <v>0</v>
      </c>
      <c r="DY329" s="12">
        <v>0</v>
      </c>
      <c r="DZ329" s="12">
        <v>0</v>
      </c>
      <c r="EA329" s="12">
        <v>0</v>
      </c>
      <c r="EB329" s="417"/>
    </row>
    <row r="330" spans="1:132" s="7" customFormat="1">
      <c r="A330" s="11" t="s">
        <v>460</v>
      </c>
      <c r="B330" s="418"/>
      <c r="C330" s="418"/>
      <c r="D330" s="418"/>
      <c r="E330" s="418"/>
      <c r="F330" s="418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0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2">
        <v>0</v>
      </c>
      <c r="BI330" s="12">
        <v>0</v>
      </c>
      <c r="BJ330" s="12">
        <v>0</v>
      </c>
      <c r="BK330" s="12">
        <v>0</v>
      </c>
      <c r="BL330" s="12">
        <v>0</v>
      </c>
      <c r="BM330" s="12">
        <v>0</v>
      </c>
      <c r="BN330" s="12">
        <v>0</v>
      </c>
      <c r="BO330" s="12">
        <v>0</v>
      </c>
      <c r="BP330" s="12">
        <v>0</v>
      </c>
      <c r="BQ330" s="12">
        <v>0</v>
      </c>
      <c r="BR330" s="12">
        <v>0</v>
      </c>
      <c r="BS330" s="12">
        <v>0</v>
      </c>
      <c r="BT330" s="12">
        <v>0</v>
      </c>
      <c r="BU330" s="12">
        <v>0</v>
      </c>
      <c r="BV330" s="12">
        <v>0</v>
      </c>
      <c r="BW330" s="12">
        <v>0</v>
      </c>
      <c r="BX330" s="12">
        <v>0</v>
      </c>
      <c r="BY330" s="12">
        <v>0</v>
      </c>
      <c r="BZ330" s="12">
        <v>0</v>
      </c>
      <c r="CA330" s="12">
        <v>0</v>
      </c>
      <c r="CB330" s="12">
        <v>0</v>
      </c>
      <c r="CC330" s="12">
        <v>0</v>
      </c>
      <c r="CD330" s="12">
        <v>0</v>
      </c>
      <c r="CE330" s="12">
        <v>0</v>
      </c>
      <c r="CF330" s="12">
        <v>0</v>
      </c>
      <c r="CG330" s="12">
        <v>0</v>
      </c>
      <c r="CH330" s="12">
        <v>0</v>
      </c>
      <c r="CI330" s="12">
        <v>0</v>
      </c>
      <c r="CJ330" s="12">
        <v>0</v>
      </c>
      <c r="CK330" s="12">
        <v>0</v>
      </c>
      <c r="CL330" s="12">
        <v>0</v>
      </c>
      <c r="CM330" s="12">
        <v>0</v>
      </c>
      <c r="CN330" s="12">
        <v>0</v>
      </c>
      <c r="CO330" s="12">
        <v>0</v>
      </c>
      <c r="CP330" s="12">
        <v>0</v>
      </c>
      <c r="CQ330" s="12">
        <v>0</v>
      </c>
      <c r="CR330" s="12">
        <v>0</v>
      </c>
      <c r="CS330" s="12">
        <v>0</v>
      </c>
      <c r="CT330" s="12">
        <v>0</v>
      </c>
      <c r="CU330" s="12">
        <v>0</v>
      </c>
      <c r="CV330" s="12">
        <v>0</v>
      </c>
      <c r="CW330" s="12">
        <v>0</v>
      </c>
      <c r="CX330" s="12">
        <v>0</v>
      </c>
      <c r="CY330" s="12">
        <v>0</v>
      </c>
      <c r="CZ330" s="12">
        <v>0</v>
      </c>
      <c r="DA330" s="12">
        <v>0</v>
      </c>
      <c r="DB330" s="12">
        <v>0</v>
      </c>
      <c r="DC330" s="12">
        <v>0</v>
      </c>
      <c r="DD330" s="12">
        <v>0</v>
      </c>
      <c r="DE330" s="12">
        <v>0</v>
      </c>
      <c r="DF330" s="12">
        <v>0</v>
      </c>
      <c r="DG330" s="12">
        <v>0</v>
      </c>
      <c r="DH330" s="12">
        <v>0</v>
      </c>
      <c r="DI330" s="12">
        <v>0</v>
      </c>
      <c r="DJ330" s="12">
        <v>0</v>
      </c>
      <c r="DK330" s="12">
        <v>0</v>
      </c>
      <c r="DL330" s="12">
        <v>0</v>
      </c>
      <c r="DM330" s="12">
        <v>0</v>
      </c>
      <c r="DN330" s="12">
        <v>0</v>
      </c>
      <c r="DO330" s="12">
        <v>0</v>
      </c>
      <c r="DP330" s="12">
        <v>0</v>
      </c>
      <c r="DQ330" s="12">
        <v>0</v>
      </c>
      <c r="DR330" s="12">
        <v>0</v>
      </c>
      <c r="DS330" s="12">
        <v>0</v>
      </c>
      <c r="DT330" s="12">
        <v>0</v>
      </c>
      <c r="DU330" s="12">
        <v>0</v>
      </c>
      <c r="DV330" s="12">
        <v>0</v>
      </c>
      <c r="DW330" s="12">
        <v>0</v>
      </c>
      <c r="DX330" s="12">
        <v>0</v>
      </c>
      <c r="DY330" s="12">
        <v>0</v>
      </c>
      <c r="DZ330" s="12">
        <v>0</v>
      </c>
      <c r="EA330" s="12">
        <v>0</v>
      </c>
      <c r="EB330" s="417"/>
    </row>
    <row r="331" spans="1:132" s="7" customFormat="1">
      <c r="A331" s="11" t="s">
        <v>461</v>
      </c>
      <c r="B331" s="418"/>
      <c r="C331" s="418"/>
      <c r="D331" s="418"/>
      <c r="E331" s="418"/>
      <c r="F331" s="418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0</v>
      </c>
      <c r="BB331" s="12">
        <v>0</v>
      </c>
      <c r="BC331" s="12">
        <v>0</v>
      </c>
      <c r="BD331" s="12">
        <v>0</v>
      </c>
      <c r="BE331" s="12">
        <v>0</v>
      </c>
      <c r="BF331" s="12">
        <v>0</v>
      </c>
      <c r="BG331" s="12">
        <v>0</v>
      </c>
      <c r="BH331" s="12">
        <v>0</v>
      </c>
      <c r="BI331" s="12">
        <v>0</v>
      </c>
      <c r="BJ331" s="12">
        <v>0</v>
      </c>
      <c r="BK331" s="12">
        <v>0</v>
      </c>
      <c r="BL331" s="12">
        <v>0</v>
      </c>
      <c r="BM331" s="12">
        <v>0</v>
      </c>
      <c r="BN331" s="12">
        <v>0</v>
      </c>
      <c r="BO331" s="12">
        <v>0</v>
      </c>
      <c r="BP331" s="12">
        <v>0</v>
      </c>
      <c r="BQ331" s="12">
        <v>0</v>
      </c>
      <c r="BR331" s="12">
        <v>0</v>
      </c>
      <c r="BS331" s="12">
        <v>0</v>
      </c>
      <c r="BT331" s="12">
        <v>0</v>
      </c>
      <c r="BU331" s="12">
        <v>0</v>
      </c>
      <c r="BV331" s="12">
        <v>0</v>
      </c>
      <c r="BW331" s="12">
        <v>0</v>
      </c>
      <c r="BX331" s="12">
        <v>0</v>
      </c>
      <c r="BY331" s="12">
        <v>0</v>
      </c>
      <c r="BZ331" s="12">
        <v>0</v>
      </c>
      <c r="CA331" s="12">
        <v>0</v>
      </c>
      <c r="CB331" s="12">
        <v>0</v>
      </c>
      <c r="CC331" s="12">
        <v>0</v>
      </c>
      <c r="CD331" s="12">
        <v>0</v>
      </c>
      <c r="CE331" s="12">
        <v>0</v>
      </c>
      <c r="CF331" s="12">
        <v>0</v>
      </c>
      <c r="CG331" s="12">
        <v>0</v>
      </c>
      <c r="CH331" s="12">
        <v>0</v>
      </c>
      <c r="CI331" s="12">
        <v>0</v>
      </c>
      <c r="CJ331" s="12">
        <v>0</v>
      </c>
      <c r="CK331" s="12">
        <v>0</v>
      </c>
      <c r="CL331" s="12">
        <v>0</v>
      </c>
      <c r="CM331" s="12">
        <v>0</v>
      </c>
      <c r="CN331" s="12">
        <v>0</v>
      </c>
      <c r="CO331" s="12">
        <v>0</v>
      </c>
      <c r="CP331" s="12">
        <v>0</v>
      </c>
      <c r="CQ331" s="12">
        <v>0</v>
      </c>
      <c r="CR331" s="12">
        <v>0</v>
      </c>
      <c r="CS331" s="12">
        <v>0</v>
      </c>
      <c r="CT331" s="12">
        <v>0</v>
      </c>
      <c r="CU331" s="12">
        <v>0</v>
      </c>
      <c r="CV331" s="12">
        <v>0</v>
      </c>
      <c r="CW331" s="12">
        <v>0</v>
      </c>
      <c r="CX331" s="12">
        <v>0</v>
      </c>
      <c r="CY331" s="12">
        <v>0</v>
      </c>
      <c r="CZ331" s="12">
        <v>0</v>
      </c>
      <c r="DA331" s="12">
        <v>0</v>
      </c>
      <c r="DB331" s="12">
        <v>0</v>
      </c>
      <c r="DC331" s="12">
        <v>0</v>
      </c>
      <c r="DD331" s="12">
        <v>0</v>
      </c>
      <c r="DE331" s="12">
        <v>0</v>
      </c>
      <c r="DF331" s="12">
        <v>0</v>
      </c>
      <c r="DG331" s="12">
        <v>0</v>
      </c>
      <c r="DH331" s="12">
        <v>0</v>
      </c>
      <c r="DI331" s="12">
        <v>0</v>
      </c>
      <c r="DJ331" s="12">
        <v>0</v>
      </c>
      <c r="DK331" s="12">
        <v>0</v>
      </c>
      <c r="DL331" s="12">
        <v>0</v>
      </c>
      <c r="DM331" s="12">
        <v>0</v>
      </c>
      <c r="DN331" s="12">
        <v>0</v>
      </c>
      <c r="DO331" s="12">
        <v>0</v>
      </c>
      <c r="DP331" s="12">
        <v>0</v>
      </c>
      <c r="DQ331" s="12">
        <v>0</v>
      </c>
      <c r="DR331" s="12">
        <v>0</v>
      </c>
      <c r="DS331" s="12">
        <v>0</v>
      </c>
      <c r="DT331" s="12">
        <v>0</v>
      </c>
      <c r="DU331" s="12">
        <v>0</v>
      </c>
      <c r="DV331" s="12">
        <v>0</v>
      </c>
      <c r="DW331" s="12">
        <v>0</v>
      </c>
      <c r="DX331" s="12">
        <v>0</v>
      </c>
      <c r="DY331" s="12">
        <v>0</v>
      </c>
      <c r="DZ331" s="12">
        <v>0</v>
      </c>
      <c r="EA331" s="12">
        <v>0</v>
      </c>
      <c r="EB331" s="417"/>
    </row>
    <row r="332" spans="1:132" s="7" customFormat="1" ht="13.5" thickBot="1">
      <c r="A332" s="13" t="s">
        <v>462</v>
      </c>
      <c r="B332" s="439"/>
      <c r="C332" s="439"/>
      <c r="D332" s="439"/>
      <c r="E332" s="439"/>
      <c r="F332" s="439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  <c r="DC332" s="18"/>
      <c r="DD332" s="18"/>
      <c r="DE332" s="18"/>
      <c r="DF332" s="18"/>
      <c r="DG332" s="18"/>
      <c r="DH332" s="18"/>
      <c r="DI332" s="18"/>
      <c r="DJ332" s="18"/>
      <c r="DK332" s="18"/>
      <c r="DL332" s="18"/>
      <c r="DM332" s="18"/>
      <c r="DN332" s="18"/>
      <c r="DO332" s="18"/>
      <c r="DP332" s="18"/>
      <c r="DQ332" s="18"/>
      <c r="DR332" s="18"/>
      <c r="DS332" s="18"/>
      <c r="DT332" s="18"/>
      <c r="DU332" s="18"/>
      <c r="DV332" s="18"/>
      <c r="DW332" s="18"/>
      <c r="DX332" s="18"/>
      <c r="DY332" s="18"/>
      <c r="DZ332" s="18"/>
      <c r="EA332" s="18"/>
      <c r="EB332" s="417"/>
    </row>
    <row r="333" spans="1:132" s="7" customFormat="1">
      <c r="A333" s="17"/>
      <c r="B333" s="424"/>
      <c r="C333" s="424"/>
      <c r="D333" s="424"/>
      <c r="E333" s="424"/>
      <c r="F333" s="424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417"/>
    </row>
    <row r="334" spans="1:132" s="7" customFormat="1" ht="15.75">
      <c r="A334" s="25" t="s">
        <v>463</v>
      </c>
      <c r="B334" s="431"/>
      <c r="C334" s="431"/>
      <c r="D334" s="431"/>
      <c r="E334" s="431"/>
      <c r="F334" s="431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/>
      <c r="DX334" s="26"/>
      <c r="DY334" s="26"/>
      <c r="DZ334" s="26"/>
      <c r="EA334" s="26"/>
      <c r="EB334" s="417"/>
    </row>
    <row r="335" spans="1:132" s="7" customFormat="1">
      <c r="A335" s="11" t="s">
        <v>464</v>
      </c>
      <c r="B335" s="418"/>
      <c r="C335" s="418"/>
      <c r="D335" s="418"/>
      <c r="E335" s="418"/>
      <c r="F335" s="418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 t="e">
        <f>'Cash Flow'!B10/1000</f>
        <v>#VALUE!</v>
      </c>
      <c r="AB335" s="12">
        <f>'Cash Flow'!C10/1000</f>
        <v>7.5019999999999998</v>
      </c>
      <c r="AC335" s="12">
        <f>'Cash Flow'!D10/1000</f>
        <v>10.625</v>
      </c>
      <c r="AD335" s="12">
        <f>'Cash Flow'!E10/1000</f>
        <v>160.571</v>
      </c>
      <c r="AE335" s="12" t="e">
        <f>'Cash Flow'!F10/1000</f>
        <v>#VALUE!</v>
      </c>
      <c r="AF335" s="12">
        <f>'Cash Flow'!G10/1000</f>
        <v>289.95699999999999</v>
      </c>
      <c r="AG335" s="12">
        <f>'Cash Flow'!H10/1000</f>
        <v>-259.31400000000002</v>
      </c>
      <c r="AH335" s="12">
        <f>'Cash Flow'!I10/1000</f>
        <v>-109.242</v>
      </c>
      <c r="AI335" s="12">
        <f>'Cash Flow'!J10/1000</f>
        <v>8.4749999999999996</v>
      </c>
      <c r="AJ335" s="12">
        <f>'Cash Flow'!K10/1000</f>
        <v>-70.123999999999995</v>
      </c>
      <c r="AK335" s="12">
        <f>'Cash Flow'!L10/1000</f>
        <v>-3.004</v>
      </c>
      <c r="AL335" s="12">
        <f>'Cash Flow'!M10/1000</f>
        <v>32.231000000000002</v>
      </c>
      <c r="AM335" s="12">
        <f>'Cash Flow'!N10/1000</f>
        <v>-111.82</v>
      </c>
      <c r="AN335" s="12">
        <f>'Cash Flow'!O10/1000</f>
        <v>-82.001999999999995</v>
      </c>
      <c r="AO335" s="12">
        <f>'Cash Flow'!P10/1000</f>
        <v>-164.595</v>
      </c>
      <c r="AP335" s="12">
        <f>'Cash Flow'!Q10/1000</f>
        <v>87.129000000000005</v>
      </c>
      <c r="AQ335" s="12">
        <f>'Cash Flow'!R10/1000</f>
        <v>205.47200000000001</v>
      </c>
      <c r="AR335" s="12">
        <f>'Cash Flow'!S10/1000</f>
        <v>252.44900000000001</v>
      </c>
      <c r="AS335" s="12">
        <f>'Cash Flow'!T10/1000</f>
        <v>48.837000000000003</v>
      </c>
      <c r="AT335" s="12">
        <f>'Cash Flow'!U10/1000</f>
        <v>593.88699999999994</v>
      </c>
      <c r="AU335" s="12">
        <f>'Cash Flow'!V10/1000</f>
        <v>660.745</v>
      </c>
      <c r="AV335" s="12">
        <f>'Cash Flow'!W10/1000</f>
        <v>145.66800000000001</v>
      </c>
      <c r="AW335" s="12">
        <f>'Cash Flow'!X10/1000</f>
        <v>154.21299999999999</v>
      </c>
      <c r="AX335" s="12">
        <f>'Cash Flow'!Y10/1000</f>
        <v>309.572</v>
      </c>
      <c r="AY335" s="12">
        <f>'Cash Flow'!Z10/1000</f>
        <v>1270.1980000000001</v>
      </c>
      <c r="AZ335" s="12">
        <f>'Cash Flow'!AA10/1000</f>
        <v>79.712000000000003</v>
      </c>
      <c r="BA335" s="12">
        <f>'Cash Flow'!AB10/1000</f>
        <v>154.506</v>
      </c>
      <c r="BB335" s="12">
        <f>'Cash Flow'!AC10/1000</f>
        <v>429.38400000000001</v>
      </c>
      <c r="BC335" s="12">
        <f>'Cash Flow'!AD10/1000</f>
        <v>-173.15100000000001</v>
      </c>
      <c r="BD335" s="12">
        <f>'Cash Flow'!AE10/1000</f>
        <v>490.45100000000002</v>
      </c>
      <c r="BE335" s="12">
        <f>'Cash Flow'!AF10/1000</f>
        <v>-61.65</v>
      </c>
      <c r="BF335" s="12">
        <f>'Cash Flow'!AG10/1000</f>
        <v>140.42699999999999</v>
      </c>
      <c r="BG335" s="12">
        <f>'Cash Flow'!AH10/1000</f>
        <v>208.90799999999999</v>
      </c>
      <c r="BH335" s="12">
        <f>'Cash Flow'!AI10/1000</f>
        <v>523.726</v>
      </c>
      <c r="BI335" s="12">
        <f>'Cash Flow'!AJ10/1000</f>
        <v>811.41099999999994</v>
      </c>
      <c r="BJ335" s="12">
        <f>'Cash Flow'!AK10/1000</f>
        <v>182.90100000000001</v>
      </c>
      <c r="BK335" s="12">
        <f>'Cash Flow'!AL10/1000</f>
        <v>545.11500000000001</v>
      </c>
      <c r="BL335" s="12">
        <f>'Cash Flow'!AM10/1000</f>
        <v>476.83800000000002</v>
      </c>
      <c r="BM335" s="12">
        <f>'Cash Flow'!AN10/1000</f>
        <v>-114.634</v>
      </c>
      <c r="BN335" s="12">
        <f>'Cash Flow'!AO10/1000</f>
        <v>1090.22</v>
      </c>
      <c r="BO335" s="12">
        <f>'Cash Flow'!AP10/1000</f>
        <v>98.613</v>
      </c>
      <c r="BP335" s="12">
        <f>'Cash Flow'!AQ10/1000</f>
        <v>-250.77</v>
      </c>
      <c r="BQ335" s="12">
        <f>'Cash Flow'!AR10/1000</f>
        <v>-120.49299999999999</v>
      </c>
      <c r="BR335" s="12">
        <f>'Cash Flow'!AS10/1000</f>
        <v>-29.094999999999999</v>
      </c>
      <c r="BS335" s="12">
        <f>'Cash Flow'!AT10/1000</f>
        <v>-301.745</v>
      </c>
      <c r="BT335" s="12">
        <f>'Cash Flow'!AU10/1000</f>
        <v>-307.69499999999999</v>
      </c>
      <c r="BU335" s="12">
        <f>'Cash Flow'!AV10/1000</f>
        <v>-22.222999999999999</v>
      </c>
      <c r="BV335" s="12">
        <f>'Cash Flow'!AW10/1000</f>
        <v>121.023</v>
      </c>
      <c r="BW335" s="12">
        <f>'Cash Flow'!AX10/1000</f>
        <v>380.06900000000002</v>
      </c>
      <c r="BX335" s="12">
        <f>'Cash Flow'!AY10/1000</f>
        <v>171.17400000000001</v>
      </c>
      <c r="BY335" s="12">
        <f>'Cash Flow'!AZ10/1000</f>
        <v>399.488</v>
      </c>
      <c r="BZ335" s="12">
        <f>'Cash Flow'!BA10/1000</f>
        <v>-303.291</v>
      </c>
      <c r="CA335" s="12">
        <f>'Cash Flow'!BB10/1000</f>
        <v>-36.293999999999997</v>
      </c>
      <c r="CB335" s="12">
        <f>'Cash Flow'!BC10/1000</f>
        <v>-382.53699999999998</v>
      </c>
      <c r="CC335" s="12">
        <f>'Cash Flow'!BD10/1000</f>
        <v>-322.63400000000001</v>
      </c>
      <c r="CD335" s="12">
        <f>'Cash Flow'!BE10/1000</f>
        <v>-81.923000000000002</v>
      </c>
      <c r="CE335" s="12">
        <f>'Cash Flow'!BF10/1000</f>
        <v>114.33799999999999</v>
      </c>
      <c r="CF335" s="12">
        <f>'Cash Flow'!BG10/1000</f>
        <v>85.388999999999996</v>
      </c>
      <c r="CG335" s="12">
        <f>'Cash Flow'!BH10/1000</f>
        <v>-293.53500000000003</v>
      </c>
      <c r="CH335" s="12">
        <f>'Cash Flow'!BI10/1000</f>
        <v>-175.73099999999999</v>
      </c>
      <c r="CI335" s="12">
        <f>'Cash Flow'!BJ10/1000</f>
        <v>-130.71600000000001</v>
      </c>
      <c r="CJ335" s="12">
        <f>'Cash Flow'!BK10/1000</f>
        <v>-175.23599999999999</v>
      </c>
      <c r="CK335" s="12">
        <f>'Cash Flow'!BL10/1000</f>
        <v>-66.47</v>
      </c>
      <c r="CL335" s="12">
        <f>'Cash Flow'!BM10/1000</f>
        <v>-137.60499999999999</v>
      </c>
      <c r="CM335" s="12">
        <f>'Cash Flow'!BN10/1000</f>
        <v>-510.02699999999999</v>
      </c>
      <c r="CN335" s="12">
        <f>'Cash Flow'!BO10/1000</f>
        <v>159.24700000000001</v>
      </c>
      <c r="CO335" s="12">
        <f>'Cash Flow'!BP10/1000</f>
        <v>-159.25800000000001</v>
      </c>
      <c r="CP335" s="12">
        <f>'Cash Flow'!BQ10/1000</f>
        <v>-293.98899999999998</v>
      </c>
      <c r="CQ335" s="12">
        <f>'Cash Flow'!BR10/1000</f>
        <v>-579.19500000000005</v>
      </c>
      <c r="CR335" s="12">
        <f>'Cash Flow'!BS10/1000</f>
        <v>-873.19500000000005</v>
      </c>
      <c r="CS335" s="12">
        <f>'Cash Flow'!BT10/1000</f>
        <v>-469.41500000000002</v>
      </c>
      <c r="CT335" s="12">
        <f>'Cash Flow'!BU10/1000</f>
        <v>249.917</v>
      </c>
      <c r="CU335" s="12">
        <f>'Cash Flow'!BV10/1000</f>
        <v>636.87300000000005</v>
      </c>
      <c r="CV335" s="12">
        <f>'Cash Flow'!BW10/1000</f>
        <v>-579.81200000000001</v>
      </c>
      <c r="CW335" s="12">
        <f>'Cash Flow'!BX10/1000</f>
        <v>-162.43700000000001</v>
      </c>
      <c r="CX335" s="12">
        <f>'Cash Flow'!BY10/1000</f>
        <v>-275.15699999999998</v>
      </c>
      <c r="CY335" s="12">
        <f>'Cash Flow'!BZ10/1000</f>
        <v>-101.05800000000001</v>
      </c>
      <c r="CZ335" s="12">
        <f>'Cash Flow'!CA10/1000</f>
        <v>416.31900000000002</v>
      </c>
      <c r="DA335" s="12">
        <f>'Cash Flow'!CB10/1000</f>
        <v>93.951999999999998</v>
      </c>
      <c r="DB335" s="12">
        <f>'Cash Flow'!CC10/1000</f>
        <v>134.05600000000001</v>
      </c>
      <c r="DC335" s="12">
        <f>'Cash Flow'!CD10/1000</f>
        <v>-69.948999999999998</v>
      </c>
      <c r="DD335" s="12">
        <f>'Cash Flow'!CE10/1000</f>
        <v>360.72399999999999</v>
      </c>
      <c r="DE335" s="12">
        <f>'Cash Flow'!CF10/1000</f>
        <v>-509.55200000000002</v>
      </c>
      <c r="DF335" s="12">
        <f>'Cash Flow'!CG10/1000</f>
        <v>381.81700000000001</v>
      </c>
      <c r="DG335" s="12">
        <f>'Cash Flow'!CH10/1000</f>
        <v>163.04</v>
      </c>
      <c r="DH335" s="12">
        <f>'Cash Flow'!CI10/1000</f>
        <v>29.861000000000001</v>
      </c>
      <c r="DI335" s="12">
        <f>'Cash Flow'!CJ10/1000</f>
        <v>584.32500000000005</v>
      </c>
      <c r="DJ335" s="12">
        <f>'Cash Flow'!CK10/1000</f>
        <v>25.332999999999998</v>
      </c>
      <c r="DK335" s="12">
        <f>'Cash Flow'!CL10/1000</f>
        <v>141.732</v>
      </c>
      <c r="DL335" s="12">
        <f>'Cash Flow'!CM10/1000</f>
        <v>781.25099999999998</v>
      </c>
      <c r="DM335" s="12">
        <f>'Cash Flow'!CN10/1000</f>
        <v>67.724999999999994</v>
      </c>
      <c r="DN335" s="12">
        <f>'Cash Flow'!CO10/1000</f>
        <v>286.101</v>
      </c>
      <c r="DO335" s="12">
        <f>'Cash Flow'!CP10/1000</f>
        <v>578.42200000000003</v>
      </c>
      <c r="DP335" s="12">
        <f>'Cash Flow'!CQ10/1000</f>
        <v>426.51299999999998</v>
      </c>
      <c r="DQ335" s="12">
        <f>'Cash Flow'!CR10/1000</f>
        <v>1358.761</v>
      </c>
      <c r="DR335" s="12">
        <f>'Cash Flow'!CS10/1000</f>
        <v>-142.17699999999999</v>
      </c>
      <c r="DS335" s="12">
        <f>'Cash Flow'!CT10/1000</f>
        <v>144.38499999999999</v>
      </c>
      <c r="DT335" s="12">
        <f>'Cash Flow'!CU10/1000</f>
        <v>-31.652000000000001</v>
      </c>
      <c r="DU335" s="12">
        <f>'Cash Flow'!CV10/1000</f>
        <v>257.45999999999998</v>
      </c>
      <c r="DV335" s="12">
        <f>'Cash Flow'!CW10/1000</f>
        <v>228.01599999999999</v>
      </c>
      <c r="DW335" s="12">
        <f>'Cash Flow'!CX10/1000</f>
        <v>-56.21</v>
      </c>
      <c r="DX335" s="12">
        <f>'Cash Flow'!CY10/1000</f>
        <v>329.625</v>
      </c>
      <c r="DY335" s="12">
        <f>'Cash Flow'!CZ10/1000</f>
        <v>258.62099999999998</v>
      </c>
      <c r="DZ335" s="12">
        <f>'Cash Flow'!DA10/1000</f>
        <v>564.48900000000003</v>
      </c>
      <c r="EA335" s="12">
        <f>'Cash Flow'!DB10/1000</f>
        <v>1096.5250000000001</v>
      </c>
      <c r="EB335" s="417"/>
    </row>
    <row r="336" spans="1:132" s="7" customFormat="1">
      <c r="A336" s="11" t="s">
        <v>465</v>
      </c>
      <c r="B336" s="418"/>
      <c r="C336" s="418"/>
      <c r="D336" s="418"/>
      <c r="E336" s="418"/>
      <c r="F336" s="418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2">
        <v>0</v>
      </c>
      <c r="BJ336" s="12">
        <v>0</v>
      </c>
      <c r="BK336" s="12">
        <v>0</v>
      </c>
      <c r="BL336" s="12">
        <v>0</v>
      </c>
      <c r="BM336" s="12">
        <v>0</v>
      </c>
      <c r="BN336" s="12">
        <v>0</v>
      </c>
      <c r="BO336" s="12">
        <v>0</v>
      </c>
      <c r="BP336" s="12">
        <v>0</v>
      </c>
      <c r="BQ336" s="12">
        <v>0</v>
      </c>
      <c r="BR336" s="12">
        <v>0</v>
      </c>
      <c r="BS336" s="12">
        <v>0</v>
      </c>
      <c r="BT336" s="12">
        <v>0</v>
      </c>
      <c r="BU336" s="12">
        <v>0</v>
      </c>
      <c r="BV336" s="12">
        <v>0</v>
      </c>
      <c r="BW336" s="12">
        <v>0</v>
      </c>
      <c r="BX336" s="12">
        <v>0</v>
      </c>
      <c r="BY336" s="12">
        <v>0</v>
      </c>
      <c r="BZ336" s="12">
        <v>0</v>
      </c>
      <c r="CA336" s="12">
        <v>0</v>
      </c>
      <c r="CB336" s="12">
        <v>0</v>
      </c>
      <c r="CC336" s="12">
        <v>0</v>
      </c>
      <c r="CD336" s="12">
        <v>0</v>
      </c>
      <c r="CE336" s="12">
        <v>0</v>
      </c>
      <c r="CF336" s="12">
        <v>0</v>
      </c>
      <c r="CG336" s="12">
        <v>0</v>
      </c>
      <c r="CH336" s="12">
        <v>0</v>
      </c>
      <c r="CI336" s="12">
        <v>0</v>
      </c>
      <c r="CJ336" s="12">
        <v>0</v>
      </c>
      <c r="CK336" s="12">
        <v>0</v>
      </c>
      <c r="CL336" s="12">
        <v>0</v>
      </c>
      <c r="CM336" s="12">
        <v>0</v>
      </c>
      <c r="CN336" s="12">
        <v>0</v>
      </c>
      <c r="CO336" s="12">
        <v>0</v>
      </c>
      <c r="CP336" s="12">
        <v>0</v>
      </c>
      <c r="CQ336" s="12">
        <v>0</v>
      </c>
      <c r="CR336" s="12">
        <v>0</v>
      </c>
      <c r="CS336" s="12">
        <v>0</v>
      </c>
      <c r="CT336" s="12">
        <v>0</v>
      </c>
      <c r="CU336" s="12">
        <v>0</v>
      </c>
      <c r="CV336" s="12">
        <v>0</v>
      </c>
      <c r="CW336" s="12">
        <v>0</v>
      </c>
      <c r="CX336" s="12">
        <v>0</v>
      </c>
      <c r="CY336" s="12">
        <v>0</v>
      </c>
      <c r="CZ336" s="12">
        <v>0</v>
      </c>
      <c r="DA336" s="12">
        <v>0</v>
      </c>
      <c r="DB336" s="12">
        <v>0</v>
      </c>
      <c r="DC336" s="12">
        <v>0</v>
      </c>
      <c r="DD336" s="12">
        <v>0</v>
      </c>
      <c r="DE336" s="12">
        <v>0</v>
      </c>
      <c r="DF336" s="12">
        <v>0</v>
      </c>
      <c r="DG336" s="12">
        <v>0</v>
      </c>
      <c r="DH336" s="12">
        <v>0</v>
      </c>
      <c r="DI336" s="12">
        <v>0</v>
      </c>
      <c r="DJ336" s="12">
        <v>0</v>
      </c>
      <c r="DK336" s="12">
        <v>0</v>
      </c>
      <c r="DL336" s="12">
        <v>0</v>
      </c>
      <c r="DM336" s="12">
        <v>0</v>
      </c>
      <c r="DN336" s="12">
        <v>0</v>
      </c>
      <c r="DO336" s="12">
        <v>0</v>
      </c>
      <c r="DP336" s="12">
        <v>0</v>
      </c>
      <c r="DQ336" s="12">
        <v>0</v>
      </c>
      <c r="DR336" s="12">
        <v>0</v>
      </c>
      <c r="DS336" s="12">
        <v>0</v>
      </c>
      <c r="DT336" s="12">
        <v>0</v>
      </c>
      <c r="DU336" s="12">
        <v>0</v>
      </c>
      <c r="DV336" s="12">
        <v>0</v>
      </c>
      <c r="DW336" s="12">
        <v>0</v>
      </c>
      <c r="DX336" s="12">
        <v>0</v>
      </c>
      <c r="DY336" s="12">
        <v>0</v>
      </c>
      <c r="DZ336" s="12">
        <v>0</v>
      </c>
      <c r="EA336" s="12">
        <v>0</v>
      </c>
      <c r="EB336" s="417"/>
    </row>
    <row r="337" spans="1:132" s="7" customFormat="1">
      <c r="A337" s="11" t="s">
        <v>466</v>
      </c>
      <c r="B337" s="418"/>
      <c r="C337" s="418"/>
      <c r="D337" s="418"/>
      <c r="E337" s="418"/>
      <c r="F337" s="418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0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0</v>
      </c>
      <c r="BH337" s="12">
        <v>0</v>
      </c>
      <c r="BI337" s="12">
        <v>0</v>
      </c>
      <c r="BJ337" s="12">
        <v>0</v>
      </c>
      <c r="BK337" s="12">
        <v>0</v>
      </c>
      <c r="BL337" s="12">
        <v>0</v>
      </c>
      <c r="BM337" s="12">
        <v>0</v>
      </c>
      <c r="BN337" s="12">
        <v>0</v>
      </c>
      <c r="BO337" s="12">
        <v>0</v>
      </c>
      <c r="BP337" s="12">
        <v>0</v>
      </c>
      <c r="BQ337" s="12">
        <v>0</v>
      </c>
      <c r="BR337" s="12">
        <v>0</v>
      </c>
      <c r="BS337" s="12">
        <v>0</v>
      </c>
      <c r="BT337" s="12">
        <v>0</v>
      </c>
      <c r="BU337" s="12">
        <v>0</v>
      </c>
      <c r="BV337" s="12">
        <v>0</v>
      </c>
      <c r="BW337" s="12">
        <v>0</v>
      </c>
      <c r="BX337" s="12">
        <v>0</v>
      </c>
      <c r="BY337" s="12">
        <v>0</v>
      </c>
      <c r="BZ337" s="12">
        <v>0</v>
      </c>
      <c r="CA337" s="12">
        <v>0</v>
      </c>
      <c r="CB337" s="12">
        <v>0</v>
      </c>
      <c r="CC337" s="12">
        <v>0</v>
      </c>
      <c r="CD337" s="12">
        <v>0</v>
      </c>
      <c r="CE337" s="12">
        <v>0</v>
      </c>
      <c r="CF337" s="12">
        <v>0</v>
      </c>
      <c r="CG337" s="12">
        <v>0</v>
      </c>
      <c r="CH337" s="12">
        <v>0</v>
      </c>
      <c r="CI337" s="12">
        <v>0</v>
      </c>
      <c r="CJ337" s="12">
        <v>0</v>
      </c>
      <c r="CK337" s="12">
        <v>0</v>
      </c>
      <c r="CL337" s="12">
        <v>0</v>
      </c>
      <c r="CM337" s="12">
        <v>0</v>
      </c>
      <c r="CN337" s="12">
        <v>0</v>
      </c>
      <c r="CO337" s="12">
        <v>0</v>
      </c>
      <c r="CP337" s="12">
        <v>0</v>
      </c>
      <c r="CQ337" s="12">
        <v>0</v>
      </c>
      <c r="CR337" s="12">
        <v>0</v>
      </c>
      <c r="CS337" s="12">
        <v>0</v>
      </c>
      <c r="CT337" s="12">
        <v>0</v>
      </c>
      <c r="CU337" s="12">
        <v>0</v>
      </c>
      <c r="CV337" s="12">
        <v>0</v>
      </c>
      <c r="CW337" s="12">
        <v>0</v>
      </c>
      <c r="CX337" s="12">
        <v>0</v>
      </c>
      <c r="CY337" s="12">
        <v>0</v>
      </c>
      <c r="CZ337" s="12">
        <v>0</v>
      </c>
      <c r="DA337" s="12">
        <v>0</v>
      </c>
      <c r="DB337" s="12">
        <v>0</v>
      </c>
      <c r="DC337" s="12">
        <v>0</v>
      </c>
      <c r="DD337" s="12">
        <v>0</v>
      </c>
      <c r="DE337" s="12">
        <v>0</v>
      </c>
      <c r="DF337" s="12">
        <v>0</v>
      </c>
      <c r="DG337" s="12">
        <v>0</v>
      </c>
      <c r="DH337" s="12">
        <v>0</v>
      </c>
      <c r="DI337" s="12">
        <v>0</v>
      </c>
      <c r="DJ337" s="12">
        <v>0</v>
      </c>
      <c r="DK337" s="12">
        <v>0</v>
      </c>
      <c r="DL337" s="12">
        <v>0</v>
      </c>
      <c r="DM337" s="12">
        <v>0</v>
      </c>
      <c r="DN337" s="12">
        <v>0</v>
      </c>
      <c r="DO337" s="12">
        <v>0</v>
      </c>
      <c r="DP337" s="12">
        <v>0</v>
      </c>
      <c r="DQ337" s="12">
        <v>0</v>
      </c>
      <c r="DR337" s="12">
        <v>0</v>
      </c>
      <c r="DS337" s="12">
        <v>0</v>
      </c>
      <c r="DT337" s="12">
        <v>0</v>
      </c>
      <c r="DU337" s="12">
        <v>0</v>
      </c>
      <c r="DV337" s="12">
        <v>0</v>
      </c>
      <c r="DW337" s="12">
        <v>0</v>
      </c>
      <c r="DX337" s="12">
        <v>0</v>
      </c>
      <c r="DY337" s="12">
        <v>0</v>
      </c>
      <c r="DZ337" s="12">
        <v>0</v>
      </c>
      <c r="EA337" s="12">
        <v>0</v>
      </c>
      <c r="EB337" s="417"/>
    </row>
    <row r="338" spans="1:132" s="7" customFormat="1">
      <c r="A338" s="11" t="s">
        <v>467</v>
      </c>
      <c r="B338" s="418"/>
      <c r="C338" s="418"/>
      <c r="D338" s="418"/>
      <c r="E338" s="418"/>
      <c r="F338" s="418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 t="e">
        <f>('Balance Sheet'!B42+'Balance Sheet'!B44+'Balance Sheet'!B45+'Balance Sheet'!B46-'Balance Sheet'!#REF!-'Balance Sheet'!#REF!-'Balance Sheet'!#REF!-'Balance Sheet'!#REF!)/1000</f>
        <v>#REF!</v>
      </c>
      <c r="AB338" s="12" t="e">
        <f>('Balance Sheet'!C42+'Balance Sheet'!C44+'Balance Sheet'!C45+'Balance Sheet'!C46-'Balance Sheet'!#REF!-'Balance Sheet'!#REF!-'Balance Sheet'!#REF!-'Balance Sheet'!#REF!)/1000</f>
        <v>#REF!</v>
      </c>
      <c r="AC338" s="12" t="e">
        <f>('Balance Sheet'!D42+'Balance Sheet'!D44+'Balance Sheet'!D45+'Balance Sheet'!D46-'Balance Sheet'!#REF!-'Balance Sheet'!#REF!-'Balance Sheet'!#REF!-'Balance Sheet'!#REF!)/1000</f>
        <v>#REF!</v>
      </c>
      <c r="AD338" s="12" t="e">
        <f>('Balance Sheet'!E42+'Balance Sheet'!E44+'Balance Sheet'!E45+'Balance Sheet'!E46-'Balance Sheet'!#REF!-'Balance Sheet'!#REF!-'Balance Sheet'!#REF!-'Balance Sheet'!#REF!)/1000</f>
        <v>#REF!</v>
      </c>
      <c r="AE338" s="12" t="e">
        <f>('Balance Sheet'!F42+'Balance Sheet'!F44+'Balance Sheet'!F45+'Balance Sheet'!F46-'Balance Sheet'!A42-'Balance Sheet'!A44-'Balance Sheet'!A45-'Balance Sheet'!A46)/1000</f>
        <v>#VALUE!</v>
      </c>
      <c r="AF338" s="12">
        <f>('Balance Sheet'!G42+'Balance Sheet'!G44+'Balance Sheet'!G45+'Balance Sheet'!G46-'Balance Sheet'!B42-'Balance Sheet'!B44-'Balance Sheet'!B45-'Balance Sheet'!B46)/1000</f>
        <v>215.40049999999999</v>
      </c>
      <c r="AG338" s="12">
        <f>('Balance Sheet'!H42+'Balance Sheet'!H44+'Balance Sheet'!H45+'Balance Sheet'!H46-'Balance Sheet'!C42-'Balance Sheet'!C44-'Balance Sheet'!C45-'Balance Sheet'!C46)/1000</f>
        <v>219.24799999999999</v>
      </c>
      <c r="AH338" s="12">
        <f>('Balance Sheet'!I42+'Balance Sheet'!I44+'Balance Sheet'!I45+'Balance Sheet'!I46-'Balance Sheet'!D42-'Balance Sheet'!D44-'Balance Sheet'!D45-'Balance Sheet'!D46)/1000</f>
        <v>742.81500000000005</v>
      </c>
      <c r="AI338" s="12">
        <f>('Balance Sheet'!J42+'Balance Sheet'!J44+'Balance Sheet'!J45+'Balance Sheet'!J46-'Balance Sheet'!E42-'Balance Sheet'!E44-'Balance Sheet'!E45-'Balance Sheet'!E46)/1000</f>
        <v>513.87800000000004</v>
      </c>
      <c r="AJ338" s="12">
        <f>('Balance Sheet'!K42+'Balance Sheet'!K44+'Balance Sheet'!K45+'Balance Sheet'!K46-'Balance Sheet'!F42-'Balance Sheet'!F44-'Balance Sheet'!F45-'Balance Sheet'!F46)/1000</f>
        <v>513.87800000000004</v>
      </c>
      <c r="AK338" s="12">
        <f>('Balance Sheet'!L42+'Balance Sheet'!L44+'Balance Sheet'!L45+'Balance Sheet'!L46-'Balance Sheet'!G42-'Balance Sheet'!G44-'Balance Sheet'!G45-'Balance Sheet'!G46)/1000</f>
        <v>520.75850000000003</v>
      </c>
      <c r="AL338" s="12">
        <f>('Balance Sheet'!M42+'Balance Sheet'!M44+'Balance Sheet'!M45+'Balance Sheet'!M46-'Balance Sheet'!H42-'Balance Sheet'!H44-'Balance Sheet'!H45-'Balance Sheet'!H46)/1000</f>
        <v>582.1</v>
      </c>
      <c r="AM338" s="12">
        <f>('Balance Sheet'!N42+'Balance Sheet'!N44+'Balance Sheet'!N45+'Balance Sheet'!N46-'Balance Sheet'!I42-'Balance Sheet'!I44-'Balance Sheet'!I45-'Balance Sheet'!I46)/1000</f>
        <v>788.52599999999995</v>
      </c>
      <c r="AN338" s="12">
        <f>('Balance Sheet'!O42+'Balance Sheet'!O44+'Balance Sheet'!O45+'Balance Sheet'!O46-'Balance Sheet'!J42-'Balance Sheet'!J44-'Balance Sheet'!J45-'Balance Sheet'!J46)/1000</f>
        <v>784.25</v>
      </c>
      <c r="AO338" s="12">
        <f>('Balance Sheet'!P42+'Balance Sheet'!P44+'Balance Sheet'!P45+'Balance Sheet'!P46-'Balance Sheet'!K42-'Balance Sheet'!K44-'Balance Sheet'!K45-'Balance Sheet'!K46)/1000</f>
        <v>784.25</v>
      </c>
      <c r="AP338" s="12">
        <f>('Balance Sheet'!Q42+'Balance Sheet'!Q44+'Balance Sheet'!Q45+'Balance Sheet'!Q46-'Balance Sheet'!L42-'Balance Sheet'!L44-'Balance Sheet'!L45-'Balance Sheet'!L46)/1000</f>
        <v>810.48900000000003</v>
      </c>
      <c r="AQ338" s="12">
        <f>('Balance Sheet'!R42+'Balance Sheet'!R44+'Balance Sheet'!R45+'Balance Sheet'!R46-'Balance Sheet'!M42-'Balance Sheet'!M44-'Balance Sheet'!M45-'Balance Sheet'!M46)/1000</f>
        <v>499.97</v>
      </c>
      <c r="AR338" s="12">
        <f>('Balance Sheet'!S42+'Balance Sheet'!S44+'Balance Sheet'!S45+'Balance Sheet'!S46-'Balance Sheet'!N42-'Balance Sheet'!N44-'Balance Sheet'!N45-'Balance Sheet'!N46)/1000</f>
        <v>-194.846</v>
      </c>
      <c r="AS338" s="12">
        <f>('Balance Sheet'!T42+'Balance Sheet'!T44+'Balance Sheet'!T45+'Balance Sheet'!T46-'Balance Sheet'!O42-'Balance Sheet'!O44-'Balance Sheet'!O45-'Balance Sheet'!O46)/1000</f>
        <v>-126.904</v>
      </c>
      <c r="AT338" s="12">
        <f>('Balance Sheet'!U42+'Balance Sheet'!U44+'Balance Sheet'!U45+'Balance Sheet'!U46-'Balance Sheet'!P42-'Balance Sheet'!P44-'Balance Sheet'!P45-'Balance Sheet'!P46)/1000</f>
        <v>-126.904</v>
      </c>
      <c r="AU338" s="12">
        <f>('Balance Sheet'!V42+'Balance Sheet'!V44+'Balance Sheet'!V45+'Balance Sheet'!V46-'Balance Sheet'!Q42-'Balance Sheet'!Q44-'Balance Sheet'!Q45-'Balance Sheet'!Q46)/1000</f>
        <v>-141.98400000000001</v>
      </c>
      <c r="AV338" s="12">
        <f>('Balance Sheet'!W42+'Balance Sheet'!W44+'Balance Sheet'!W45+'Balance Sheet'!W46-'Balance Sheet'!R42-'Balance Sheet'!R44-'Balance Sheet'!R45-'Balance Sheet'!R46)/1000</f>
        <v>134.702</v>
      </c>
      <c r="AW338" s="12">
        <f>('Balance Sheet'!X42+'Balance Sheet'!X44+'Balance Sheet'!X45+'Balance Sheet'!X46-'Balance Sheet'!S42-'Balance Sheet'!S44-'Balance Sheet'!S45-'Balance Sheet'!S46)/1000</f>
        <v>114.514</v>
      </c>
      <c r="AX338" s="12">
        <f>('Balance Sheet'!Y42+'Balance Sheet'!Y44+'Balance Sheet'!Y45+'Balance Sheet'!Y46-'Balance Sheet'!T42-'Balance Sheet'!T44-'Balance Sheet'!T45-'Balance Sheet'!T46)/1000</f>
        <v>114.68</v>
      </c>
      <c r="AY338" s="12">
        <f>('Balance Sheet'!Z42+'Balance Sheet'!Z44+'Balance Sheet'!Z45+'Balance Sheet'!Z46-'Balance Sheet'!U42-'Balance Sheet'!U44-'Balance Sheet'!U45-'Balance Sheet'!U46)/1000</f>
        <v>114.68</v>
      </c>
      <c r="AZ338" s="12">
        <f>('Balance Sheet'!AA42+'Balance Sheet'!AA44+'Balance Sheet'!AA45+'Balance Sheet'!AA46-'Balance Sheet'!V42-'Balance Sheet'!V44-'Balance Sheet'!V45-'Balance Sheet'!V46)/1000</f>
        <v>-39.500999999999998</v>
      </c>
      <c r="BA338" s="12">
        <f>('Balance Sheet'!AB42+'Balance Sheet'!AB44+'Balance Sheet'!AB45+'Balance Sheet'!AB46-'Balance Sheet'!W42-'Balance Sheet'!W44-'Balance Sheet'!W45-'Balance Sheet'!W46)/1000</f>
        <v>-3.6</v>
      </c>
      <c r="BB338" s="12">
        <f>('Balance Sheet'!AC42+'Balance Sheet'!AC44+'Balance Sheet'!AC45+'Balance Sheet'!AC46-'Balance Sheet'!X42-'Balance Sheet'!X44-'Balance Sheet'!X45-'Balance Sheet'!X46)/1000</f>
        <v>12.023999999999999</v>
      </c>
      <c r="BC338" s="12">
        <f>('Balance Sheet'!AD42+'Balance Sheet'!AD44+'Balance Sheet'!AD45+'Balance Sheet'!AD46-'Balance Sheet'!Y42-'Balance Sheet'!Y44-'Balance Sheet'!Y45-'Balance Sheet'!Y46)/1000</f>
        <v>1172.4749999999999</v>
      </c>
      <c r="BD338" s="12">
        <f>('Balance Sheet'!AE42+'Balance Sheet'!AE44+'Balance Sheet'!AE45+'Balance Sheet'!AE46-'Balance Sheet'!Z42-'Balance Sheet'!Z44-'Balance Sheet'!Z45-'Balance Sheet'!Z46)/1000</f>
        <v>1172.4749999999999</v>
      </c>
      <c r="BE338" s="12">
        <f>('Balance Sheet'!AF42+'Balance Sheet'!AF44+'Balance Sheet'!AF45+'Balance Sheet'!AF46-'Balance Sheet'!AA42-'Balance Sheet'!AA44-'Balance Sheet'!AA45-'Balance Sheet'!AA46)/1000</f>
        <v>1319.3330000000001</v>
      </c>
      <c r="BF338" s="12">
        <f>('Balance Sheet'!AG42+'Balance Sheet'!AG44+'Balance Sheet'!AG45+'Balance Sheet'!AG46-'Balance Sheet'!AB42-'Balance Sheet'!AB44-'Balance Sheet'!AB45-'Balance Sheet'!AB46)/1000</f>
        <v>1269.242</v>
      </c>
      <c r="BG338" s="12">
        <f>('Balance Sheet'!AH42+'Balance Sheet'!AH44+'Balance Sheet'!AH45+'Balance Sheet'!AH46-'Balance Sheet'!AC42-'Balance Sheet'!AC44-'Balance Sheet'!AC45-'Balance Sheet'!AC46)/1000</f>
        <v>1292.268</v>
      </c>
      <c r="BH338" s="12">
        <f>('Balance Sheet'!AI42+'Balance Sheet'!AI44+'Balance Sheet'!AI45+'Balance Sheet'!AI46-'Balance Sheet'!AD42-'Balance Sheet'!AD44-'Balance Sheet'!AD45-'Balance Sheet'!AD46)/1000</f>
        <v>122.322</v>
      </c>
      <c r="BI338" s="12">
        <f>('Balance Sheet'!AJ42+'Balance Sheet'!AJ44+'Balance Sheet'!AJ45+'Balance Sheet'!AJ46-'Balance Sheet'!AE42-'Balance Sheet'!AE44-'Balance Sheet'!AE45-'Balance Sheet'!AE46)/1000</f>
        <v>122.322</v>
      </c>
      <c r="BJ338" s="12">
        <f>('Balance Sheet'!AK42+'Balance Sheet'!AK44+'Balance Sheet'!AK45+'Balance Sheet'!AK46-'Balance Sheet'!AF42-'Balance Sheet'!AF44-'Balance Sheet'!AF45-'Balance Sheet'!AF46)/1000</f>
        <v>134.976</v>
      </c>
      <c r="BK338" s="12">
        <f>('Balance Sheet'!AL42+'Balance Sheet'!AL44+'Balance Sheet'!AL45+'Balance Sheet'!AL46-'Balance Sheet'!AG42-'Balance Sheet'!AG44-'Balance Sheet'!AG45-'Balance Sheet'!AG46)/1000</f>
        <v>103.706</v>
      </c>
      <c r="BL338" s="12">
        <f>('Balance Sheet'!AM42+'Balance Sheet'!AM44+'Balance Sheet'!AM45+'Balance Sheet'!AM46-'Balance Sheet'!AH42-'Balance Sheet'!AH44-'Balance Sheet'!AH45-'Balance Sheet'!AH46)/1000</f>
        <v>-77.546000000000006</v>
      </c>
      <c r="BM338" s="12">
        <f>('Balance Sheet'!AN42+'Balance Sheet'!AN44+'Balance Sheet'!AN45+'Balance Sheet'!AN46-'Balance Sheet'!AI42-'Balance Sheet'!AI44-'Balance Sheet'!AI45-'Balance Sheet'!AI46)/1000</f>
        <v>-116.121</v>
      </c>
      <c r="BN338" s="12">
        <f>('Balance Sheet'!AO42+'Balance Sheet'!AO44+'Balance Sheet'!AO45+'Balance Sheet'!AO46-'Balance Sheet'!AJ42-'Balance Sheet'!AJ44-'Balance Sheet'!AJ45-'Balance Sheet'!AJ46)/1000</f>
        <v>-116.121</v>
      </c>
      <c r="BO338" s="12">
        <f>('Balance Sheet'!AP42+'Balance Sheet'!AP44+'Balance Sheet'!AP45+'Balance Sheet'!AP46-'Balance Sheet'!AK42-'Balance Sheet'!AK44-'Balance Sheet'!AK45-'Balance Sheet'!AK46)/1000</f>
        <v>-158.63300000000001</v>
      </c>
      <c r="BP338" s="12">
        <f>('Balance Sheet'!AQ42+'Balance Sheet'!AQ44+'Balance Sheet'!AQ45+'Balance Sheet'!AQ46-'Balance Sheet'!AL42-'Balance Sheet'!AL44-'Balance Sheet'!AL45-'Balance Sheet'!AL46)/1000</f>
        <v>-147.517</v>
      </c>
      <c r="BQ338" s="12">
        <f>('Balance Sheet'!AR42+'Balance Sheet'!AR44+'Balance Sheet'!AR45+'Balance Sheet'!AR46-'Balance Sheet'!AM42-'Balance Sheet'!AM44-'Balance Sheet'!AM45-'Balance Sheet'!AM46)/1000</f>
        <v>22.425999999999998</v>
      </c>
      <c r="BR338" s="12">
        <f>('Balance Sheet'!AS42+'Balance Sheet'!AS44+'Balance Sheet'!AS45+'Balance Sheet'!AS46-'Balance Sheet'!AN42-'Balance Sheet'!AN44-'Balance Sheet'!AN45-'Balance Sheet'!AN46)/1000</f>
        <v>204.42500000000001</v>
      </c>
      <c r="BS338" s="12">
        <f>('Balance Sheet'!AT42+'Balance Sheet'!AT44+'Balance Sheet'!AT45+'Balance Sheet'!AT46-'Balance Sheet'!AO42-'Balance Sheet'!AO44-'Balance Sheet'!AO45-'Balance Sheet'!AO46)/1000</f>
        <v>204.42500000000001</v>
      </c>
      <c r="BT338" s="12">
        <f>('Balance Sheet'!AU42+'Balance Sheet'!AU44+'Balance Sheet'!AU45+'Balance Sheet'!AU46-'Balance Sheet'!AP42-'Balance Sheet'!AP44-'Balance Sheet'!AP45-'Balance Sheet'!AP46)/1000</f>
        <v>608.69399999999996</v>
      </c>
      <c r="BU338" s="12">
        <f>('Balance Sheet'!AV42+'Balance Sheet'!AV44+'Balance Sheet'!AV45+'Balance Sheet'!AV46-'Balance Sheet'!AQ42-'Balance Sheet'!AQ44-'Balance Sheet'!AQ45-'Balance Sheet'!AQ46)/1000</f>
        <v>402.03199999999998</v>
      </c>
      <c r="BV338" s="12">
        <f>('Balance Sheet'!AW42+'Balance Sheet'!AW44+'Balance Sheet'!AW45+'Balance Sheet'!AW46-'Balance Sheet'!AR42-'Balance Sheet'!AR44-'Balance Sheet'!AR45-'Balance Sheet'!AR46)/1000</f>
        <v>398.69200000000001</v>
      </c>
      <c r="BW338" s="12">
        <f>('Balance Sheet'!AX42+'Balance Sheet'!AX44+'Balance Sheet'!AX45+'Balance Sheet'!AX46-'Balance Sheet'!AS42-'Balance Sheet'!AS44-'Balance Sheet'!AS45-'Balance Sheet'!AS46)/1000</f>
        <v>75.709999999999994</v>
      </c>
      <c r="BX338" s="12">
        <f>('Balance Sheet'!AY42+'Balance Sheet'!AY44+'Balance Sheet'!AY45+'Balance Sheet'!AY46-'Balance Sheet'!AT42-'Balance Sheet'!AT44-'Balance Sheet'!AT45-'Balance Sheet'!AT46)/1000</f>
        <v>75.709999999999994</v>
      </c>
      <c r="BY338" s="12">
        <f>('Balance Sheet'!AZ42+'Balance Sheet'!AZ44+'Balance Sheet'!AZ45+'Balance Sheet'!AZ46-'Balance Sheet'!AU42-'Balance Sheet'!AU44-'Balance Sheet'!AU45-'Balance Sheet'!AU46)/1000</f>
        <v>-462.05</v>
      </c>
      <c r="BZ338" s="12">
        <f>('Balance Sheet'!BA42+'Balance Sheet'!BA44+'Balance Sheet'!BA45+'Balance Sheet'!BA46-'Balance Sheet'!AV42-'Balance Sheet'!AV44-'Balance Sheet'!AV45-'Balance Sheet'!AV46)/1000</f>
        <v>520.94399999999996</v>
      </c>
      <c r="CA338" s="12">
        <f>('Balance Sheet'!BB42+'Balance Sheet'!BB44+'Balance Sheet'!BB45+'Balance Sheet'!BB46-'Balance Sheet'!AW42-'Balance Sheet'!AW44-'Balance Sheet'!AW45-'Balance Sheet'!AW46)/1000</f>
        <v>427.08600000000001</v>
      </c>
      <c r="CB338" s="12">
        <f>('Balance Sheet'!BC42+'Balance Sheet'!BC44+'Balance Sheet'!BC45+'Balance Sheet'!BC46-'Balance Sheet'!AX42-'Balance Sheet'!AX44-'Balance Sheet'!AX45-'Balance Sheet'!AX46)/1000</f>
        <v>525.62099999999998</v>
      </c>
      <c r="CC338" s="12">
        <f>('Balance Sheet'!BD42+'Balance Sheet'!BD44+'Balance Sheet'!BD45+'Balance Sheet'!BD46-'Balance Sheet'!AY42-'Balance Sheet'!AY44-'Balance Sheet'!AY45-'Balance Sheet'!AY46)/1000</f>
        <v>525.62099999999998</v>
      </c>
      <c r="CD338" s="12">
        <f>('Balance Sheet'!BE42+'Balance Sheet'!BE44+'Balance Sheet'!BE45+'Balance Sheet'!BE46-'Balance Sheet'!AZ42-'Balance Sheet'!AZ44-'Balance Sheet'!AZ45-'Balance Sheet'!AZ46)/1000</f>
        <v>637.65599999999995</v>
      </c>
      <c r="CE338" s="12">
        <f>('Balance Sheet'!BF42+'Balance Sheet'!BF44+'Balance Sheet'!BF45+'Balance Sheet'!BF46-'Balance Sheet'!BA42-'Balance Sheet'!BA44-'Balance Sheet'!BA45-'Balance Sheet'!BA46)/1000</f>
        <v>-58.643999999999998</v>
      </c>
      <c r="CF338" s="12">
        <f>('Balance Sheet'!BG42+'Balance Sheet'!BG44+'Balance Sheet'!BG45+'Balance Sheet'!BG46-'Balance Sheet'!BB42-'Balance Sheet'!BB44-'Balance Sheet'!BB45-'Balance Sheet'!BB46)/1000</f>
        <v>36.521000000000001</v>
      </c>
      <c r="CG338" s="12">
        <f>('Balance Sheet'!BH42+'Balance Sheet'!BH44+'Balance Sheet'!BH45+'Balance Sheet'!BH46-'Balance Sheet'!BC42-'Balance Sheet'!BC44-'Balance Sheet'!BC45-'Balance Sheet'!BC46)/1000</f>
        <v>-38.987000000000002</v>
      </c>
      <c r="CH338" s="12">
        <f>('Balance Sheet'!BI42+'Balance Sheet'!BI44+'Balance Sheet'!BI45+'Balance Sheet'!BI46-'Balance Sheet'!BD42-'Balance Sheet'!BD44-'Balance Sheet'!BD45-'Balance Sheet'!BD46)/1000</f>
        <v>-38.987000000000002</v>
      </c>
      <c r="CI338" s="12">
        <f>('Balance Sheet'!BJ42+'Balance Sheet'!BJ44+'Balance Sheet'!BJ45+'Balance Sheet'!BJ46-'Balance Sheet'!BE42-'Balance Sheet'!BE44-'Balance Sheet'!BE45-'Balance Sheet'!BE46)/1000</f>
        <v>-9.3190000000000008</v>
      </c>
      <c r="CJ338" s="12">
        <f>('Balance Sheet'!BK42+'Balance Sheet'!BK44+'Balance Sheet'!BK45+'Balance Sheet'!BK46-'Balance Sheet'!BF42-'Balance Sheet'!BF44-'Balance Sheet'!BF45-'Balance Sheet'!BF46)/1000</f>
        <v>192.57599999999999</v>
      </c>
      <c r="CK338" s="12">
        <f>('Balance Sheet'!BL42+'Balance Sheet'!BL44+'Balance Sheet'!BL45+'Balance Sheet'!BL46-'Balance Sheet'!BG42-'Balance Sheet'!BG44-'Balance Sheet'!BG45-'Balance Sheet'!BG46)/1000</f>
        <v>139.012</v>
      </c>
      <c r="CL338" s="12">
        <f>('Balance Sheet'!BM42+'Balance Sheet'!BM44+'Balance Sheet'!BM45+'Balance Sheet'!BM46-'Balance Sheet'!BH42-'Balance Sheet'!BH44-'Balance Sheet'!BH45-'Balance Sheet'!BH46)/1000</f>
        <v>269.786</v>
      </c>
      <c r="CM338" s="12">
        <f>('Balance Sheet'!BN42+'Balance Sheet'!BN44+'Balance Sheet'!BN45+'Balance Sheet'!BN46-'Balance Sheet'!BI42-'Balance Sheet'!BI44-'Balance Sheet'!BI45-'Balance Sheet'!BI46)/1000</f>
        <v>269.786</v>
      </c>
      <c r="CN338" s="12">
        <f>('Balance Sheet'!BO42+'Balance Sheet'!BO44+'Balance Sheet'!BO45+'Balance Sheet'!BO46-'Balance Sheet'!BJ42-'Balance Sheet'!BJ44-'Balance Sheet'!BJ45-'Balance Sheet'!BJ46)/1000</f>
        <v>285.72899999999998</v>
      </c>
      <c r="CO338" s="12">
        <f>('Balance Sheet'!BP42+'Balance Sheet'!BP44+'Balance Sheet'!BP45+'Balance Sheet'!BP46-'Balance Sheet'!BK42-'Balance Sheet'!BK44-'Balance Sheet'!BK45-'Balance Sheet'!BK46)/1000</f>
        <v>-316.76100000000002</v>
      </c>
      <c r="CP338" s="12">
        <f>('Balance Sheet'!BQ42+'Balance Sheet'!BQ44+'Balance Sheet'!BQ45+'Balance Sheet'!BQ46-'Balance Sheet'!BL42-'Balance Sheet'!BL44-'Balance Sheet'!BL45-'Balance Sheet'!BL46)/1000</f>
        <v>-287.76900000000001</v>
      </c>
      <c r="CQ338" s="12">
        <f>('Balance Sheet'!BR42+'Balance Sheet'!BR44+'Balance Sheet'!BR45+'Balance Sheet'!BR46-'Balance Sheet'!BM42-'Balance Sheet'!BM44-'Balance Sheet'!BM45-'Balance Sheet'!BM46)/1000</f>
        <v>-305.81200000000001</v>
      </c>
      <c r="CR338" s="12">
        <f>('Balance Sheet'!BS42+'Balance Sheet'!BS44+'Balance Sheet'!BS45+'Balance Sheet'!BS46-'Balance Sheet'!BN42-'Balance Sheet'!BN44-'Balance Sheet'!BN45-'Balance Sheet'!BN46)/1000</f>
        <v>-305.81200000000001</v>
      </c>
      <c r="CS338" s="12">
        <f>('Balance Sheet'!BT42+'Balance Sheet'!BT44+'Balance Sheet'!BT45+'Balance Sheet'!BT46-'Balance Sheet'!BO42-'Balance Sheet'!BO44-'Balance Sheet'!BO45-'Balance Sheet'!BO46)/1000</f>
        <v>-397.64</v>
      </c>
      <c r="CT338" s="12">
        <f>('Balance Sheet'!BU42+'Balance Sheet'!BU44+'Balance Sheet'!BU45+'Balance Sheet'!BU46-'Balance Sheet'!BP42-'Balance Sheet'!BP44-'Balance Sheet'!BP45-'Balance Sheet'!BP46)/1000</f>
        <v>-98.638999999999996</v>
      </c>
      <c r="CU338" s="12">
        <f>('Balance Sheet'!BV42+'Balance Sheet'!BV44+'Balance Sheet'!BV45+'Balance Sheet'!BV46-'Balance Sheet'!BQ42-'Balance Sheet'!BQ44-'Balance Sheet'!BQ45-'Balance Sheet'!BQ46)/1000</f>
        <v>-121.60899999999999</v>
      </c>
      <c r="CV338" s="12">
        <f>('Balance Sheet'!BW42+'Balance Sheet'!BW44+'Balance Sheet'!BW45+'Balance Sheet'!BW46-'Balance Sheet'!BR42-'Balance Sheet'!BR44-'Balance Sheet'!BR45-'Balance Sheet'!BR46)/1000</f>
        <v>-55.978999999999999</v>
      </c>
      <c r="CW338" s="12">
        <f>('Balance Sheet'!BX42+'Balance Sheet'!BX44+'Balance Sheet'!BX45+'Balance Sheet'!BX46-'Balance Sheet'!BS42-'Balance Sheet'!BS44-'Balance Sheet'!BS45-'Balance Sheet'!BS46)/1000</f>
        <v>-55.978999999999999</v>
      </c>
      <c r="CX338" s="12">
        <f>('Balance Sheet'!BY42+'Balance Sheet'!BY44+'Balance Sheet'!BY45+'Balance Sheet'!BY46-'Balance Sheet'!BT42-'Balance Sheet'!BT44-'Balance Sheet'!BT45-'Balance Sheet'!BT46)/1000</f>
        <v>8.75</v>
      </c>
      <c r="CY338" s="12">
        <f>('Balance Sheet'!BZ42+'Balance Sheet'!BZ44+'Balance Sheet'!BZ45+'Balance Sheet'!BZ46-'Balance Sheet'!BU42-'Balance Sheet'!BU44-'Balance Sheet'!BU45-'Balance Sheet'!BU46)/1000</f>
        <v>31.972000000000001</v>
      </c>
      <c r="CZ338" s="12">
        <f>('Balance Sheet'!CA42+'Balance Sheet'!CA44+'Balance Sheet'!CA45+'Balance Sheet'!CA46-'Balance Sheet'!BV42-'Balance Sheet'!BV44-'Balance Sheet'!BV45-'Balance Sheet'!BV46)/1000</f>
        <v>38.813000000000002</v>
      </c>
      <c r="DA338" s="12">
        <f>('Balance Sheet'!CB42+'Balance Sheet'!CB44+'Balance Sheet'!CB45+'Balance Sheet'!CB46-'Balance Sheet'!BW42-'Balance Sheet'!BW44-'Balance Sheet'!BW45-'Balance Sheet'!BW46)/1000</f>
        <v>20.738</v>
      </c>
      <c r="DB338" s="12">
        <f>('Balance Sheet'!CC42+'Balance Sheet'!CC44+'Balance Sheet'!CC45+'Balance Sheet'!CC46-'Balance Sheet'!BX42-'Balance Sheet'!BX44-'Balance Sheet'!BX45-'Balance Sheet'!BX46)/1000</f>
        <v>20.738</v>
      </c>
      <c r="DC338" s="12">
        <f>('Balance Sheet'!CD42+'Balance Sheet'!CD44+'Balance Sheet'!CD45+'Balance Sheet'!CD46-'Balance Sheet'!BY42-'Balance Sheet'!BY44-'Balance Sheet'!BY45-'Balance Sheet'!BY46)/1000</f>
        <v>46.231000000000002</v>
      </c>
      <c r="DD338" s="12">
        <f>('Balance Sheet'!CE42+'Balance Sheet'!CE44+'Balance Sheet'!CE45+'Balance Sheet'!CE46-'Balance Sheet'!BZ42-'Balance Sheet'!BZ44-'Balance Sheet'!BZ45-'Balance Sheet'!BZ46)/1000</f>
        <v>71.385999999999996</v>
      </c>
      <c r="DE338" s="12">
        <f>('Balance Sheet'!CF42+'Balance Sheet'!CF44+'Balance Sheet'!CF45+'Balance Sheet'!CF46-'Balance Sheet'!CA42-'Balance Sheet'!CA44-'Balance Sheet'!CA45-'Balance Sheet'!CA46)/1000</f>
        <v>-82.808999999999997</v>
      </c>
      <c r="DF338" s="12">
        <f>('Balance Sheet'!CG42+'Balance Sheet'!CG44+'Balance Sheet'!CG45+'Balance Sheet'!CG46-'Balance Sheet'!CB42-'Balance Sheet'!CB44-'Balance Sheet'!CB45-'Balance Sheet'!CB46)/1000</f>
        <v>-121.11199999999999</v>
      </c>
      <c r="DG338" s="12">
        <f>('Balance Sheet'!CH42+'Balance Sheet'!CH44+'Balance Sheet'!CH45+'Balance Sheet'!CH46-'Balance Sheet'!CC42-'Balance Sheet'!CC44-'Balance Sheet'!CC45-'Balance Sheet'!CC46)/1000</f>
        <v>-121.11199999999999</v>
      </c>
      <c r="DH338" s="12">
        <f>('Balance Sheet'!CI42+'Balance Sheet'!CI44+'Balance Sheet'!CI45+'Balance Sheet'!CI46-'Balance Sheet'!CD42-'Balance Sheet'!CD44-'Balance Sheet'!CD45-'Balance Sheet'!CD46)/1000</f>
        <v>-115.39400000000001</v>
      </c>
      <c r="DI338" s="12">
        <f>('Balance Sheet'!CJ42+'Balance Sheet'!CJ44+'Balance Sheet'!CJ45+'Balance Sheet'!CJ46-'Balance Sheet'!CE42-'Balance Sheet'!CE44-'Balance Sheet'!CE45-'Balance Sheet'!CE46)/1000</f>
        <v>-113.268</v>
      </c>
      <c r="DJ338" s="12">
        <f>('Balance Sheet'!CK42+'Balance Sheet'!CK44+'Balance Sheet'!CK45+'Balance Sheet'!CK46-'Balance Sheet'!CF42-'Balance Sheet'!CF44-'Balance Sheet'!CF45-'Balance Sheet'!CF46)/1000</f>
        <v>120.389</v>
      </c>
      <c r="DK338" s="12">
        <f>('Balance Sheet'!CL42+'Balance Sheet'!CL44+'Balance Sheet'!CL45+'Balance Sheet'!CL46-'Balance Sheet'!CG42-'Balance Sheet'!CG44-'Balance Sheet'!CG45-'Balance Sheet'!CG46)/1000</f>
        <v>311.97699999999998</v>
      </c>
      <c r="DL338" s="12">
        <f>('Balance Sheet'!CM42+'Balance Sheet'!CM44+'Balance Sheet'!CM45+'Balance Sheet'!CM46-'Balance Sheet'!CH42-'Balance Sheet'!CH44-'Balance Sheet'!CH45-'Balance Sheet'!CH46)/1000</f>
        <v>311.97699999999998</v>
      </c>
      <c r="DM338" s="12">
        <f>('Balance Sheet'!CN42+'Balance Sheet'!CN44+'Balance Sheet'!CN45+'Balance Sheet'!CN46-'Balance Sheet'!CI42-'Balance Sheet'!CI44-'Balance Sheet'!CI45-'Balance Sheet'!CI46)/1000</f>
        <v>323.541</v>
      </c>
      <c r="DN338" s="12">
        <f>('Balance Sheet'!CO42+'Balance Sheet'!CO44+'Balance Sheet'!CO45+'Balance Sheet'!CO46-'Balance Sheet'!CJ42-'Balance Sheet'!CJ44-'Balance Sheet'!CJ45-'Balance Sheet'!CJ46)/1000</f>
        <v>239.26400000000001</v>
      </c>
      <c r="DO338" s="12">
        <f>('Balance Sheet'!CP42+'Balance Sheet'!CP44+'Balance Sheet'!CP45+'Balance Sheet'!CP46-'Balance Sheet'!CK42-'Balance Sheet'!CK44-'Balance Sheet'!CK45-'Balance Sheet'!CK46)/1000</f>
        <v>161.05500000000001</v>
      </c>
      <c r="DP338" s="12">
        <f>('Balance Sheet'!CQ42+'Balance Sheet'!CQ44+'Balance Sheet'!CQ45+'Balance Sheet'!CQ46-'Balance Sheet'!CL42-'Balance Sheet'!CL44-'Balance Sheet'!CL45-'Balance Sheet'!CL46)/1000</f>
        <v>-132.14599999999999</v>
      </c>
      <c r="DQ338" s="12">
        <f>('Balance Sheet'!CR42+'Balance Sheet'!CR44+'Balance Sheet'!CR45+'Balance Sheet'!CR46-'Balance Sheet'!CM42-'Balance Sheet'!CM44-'Balance Sheet'!CM45-'Balance Sheet'!CM46)/1000</f>
        <v>-132.14599999999999</v>
      </c>
      <c r="DR338" s="12">
        <f>('Balance Sheet'!CS42+'Balance Sheet'!CS44+'Balance Sheet'!CS45+'Balance Sheet'!CS46-'Balance Sheet'!CN42-'Balance Sheet'!CN44-'Balance Sheet'!CN45-'Balance Sheet'!CN46)/1000</f>
        <v>-96.307000000000002</v>
      </c>
      <c r="DS338" s="12">
        <f>('Balance Sheet'!CT42+'Balance Sheet'!CT44+'Balance Sheet'!CT45+'Balance Sheet'!CT46-'Balance Sheet'!CO42-'Balance Sheet'!CO44-'Balance Sheet'!CO45-'Balance Sheet'!CO46)/1000</f>
        <v>37.124000000000002</v>
      </c>
      <c r="DT338" s="12">
        <f>('Balance Sheet'!CU42+'Balance Sheet'!CU44+'Balance Sheet'!CU45+'Balance Sheet'!CU46-'Balance Sheet'!CP42-'Balance Sheet'!CP44-'Balance Sheet'!CP45-'Balance Sheet'!CP46)/1000</f>
        <v>74.17</v>
      </c>
      <c r="DU338" s="12">
        <f>('Balance Sheet'!CV42+'Balance Sheet'!CV44+'Balance Sheet'!CV45+'Balance Sheet'!CV46-'Balance Sheet'!CQ42-'Balance Sheet'!CQ44-'Balance Sheet'!CQ45-'Balance Sheet'!CQ46)/1000</f>
        <v>221.24600000000001</v>
      </c>
      <c r="DV338" s="12">
        <f>('Balance Sheet'!CW42+'Balance Sheet'!CW44+'Balance Sheet'!CW45+'Balance Sheet'!CW46-'Balance Sheet'!CR42-'Balance Sheet'!CR44-'Balance Sheet'!CR45-'Balance Sheet'!CR46)/1000</f>
        <v>221.24600000000001</v>
      </c>
      <c r="DW338" s="12">
        <f>('Balance Sheet'!CX42+'Balance Sheet'!CX44+'Balance Sheet'!CX45+'Balance Sheet'!CX46-'Balance Sheet'!CS42-'Balance Sheet'!CS44-'Balance Sheet'!CS45-'Balance Sheet'!CS46)/1000</f>
        <v>172.76599999999999</v>
      </c>
      <c r="DX338" s="12">
        <f>('Balance Sheet'!CY42+'Balance Sheet'!CY44+'Balance Sheet'!CY45+'Balance Sheet'!CY46-'Balance Sheet'!CT42-'Balance Sheet'!CT44-'Balance Sheet'!CT45-'Balance Sheet'!CT46)/1000</f>
        <v>391.95299999999997</v>
      </c>
      <c r="DY338" s="12">
        <f>('Balance Sheet'!CZ42+'Balance Sheet'!CZ44+'Balance Sheet'!CZ45+'Balance Sheet'!CZ46-'Balance Sheet'!CU42-'Balance Sheet'!CU44-'Balance Sheet'!CU45-'Balance Sheet'!CU46)/1000</f>
        <v>529.76199999999994</v>
      </c>
      <c r="DZ338" s="12">
        <f>('Balance Sheet'!DA42+'Balance Sheet'!DA44+'Balance Sheet'!DA45+'Balance Sheet'!DA46-'Balance Sheet'!CV42-'Balance Sheet'!CV44-'Balance Sheet'!CV45-'Balance Sheet'!CV46)/1000</f>
        <v>669.13</v>
      </c>
      <c r="EA338" s="12">
        <f>('Balance Sheet'!DB42+'Balance Sheet'!DB44+'Balance Sheet'!DB45+'Balance Sheet'!DB46-'Balance Sheet'!CW42-'Balance Sheet'!CW44-'Balance Sheet'!CW45-'Balance Sheet'!CW46)/1000</f>
        <v>669.13</v>
      </c>
      <c r="EB338" s="417"/>
    </row>
    <row r="339" spans="1:132" s="7" customFormat="1">
      <c r="A339" s="11" t="s">
        <v>246</v>
      </c>
      <c r="B339" s="418"/>
      <c r="C339" s="418"/>
      <c r="D339" s="418"/>
      <c r="E339" s="418"/>
      <c r="F339" s="418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  <c r="BJ339" s="12">
        <v>0</v>
      </c>
      <c r="BK339" s="12">
        <v>0</v>
      </c>
      <c r="BL339" s="12">
        <v>0</v>
      </c>
      <c r="BM339" s="12">
        <v>0</v>
      </c>
      <c r="BN339" s="12">
        <v>0</v>
      </c>
      <c r="BO339" s="12">
        <v>0</v>
      </c>
      <c r="BP339" s="12">
        <v>0</v>
      </c>
      <c r="BQ339" s="12">
        <v>0</v>
      </c>
      <c r="BR339" s="12">
        <v>0</v>
      </c>
      <c r="BS339" s="12">
        <v>0</v>
      </c>
      <c r="BT339" s="12">
        <v>0</v>
      </c>
      <c r="BU339" s="12">
        <v>0</v>
      </c>
      <c r="BV339" s="12">
        <v>0</v>
      </c>
      <c r="BW339" s="12">
        <v>0</v>
      </c>
      <c r="BX339" s="12">
        <v>0</v>
      </c>
      <c r="BY339" s="12">
        <v>0</v>
      </c>
      <c r="BZ339" s="12">
        <v>0</v>
      </c>
      <c r="CA339" s="12">
        <v>0</v>
      </c>
      <c r="CB339" s="12">
        <v>0</v>
      </c>
      <c r="CC339" s="12">
        <v>0</v>
      </c>
      <c r="CD339" s="12">
        <v>0</v>
      </c>
      <c r="CE339" s="12">
        <v>0</v>
      </c>
      <c r="CF339" s="12">
        <v>0</v>
      </c>
      <c r="CG339" s="12">
        <v>0</v>
      </c>
      <c r="CH339" s="12">
        <v>0</v>
      </c>
      <c r="CI339" s="12">
        <v>0</v>
      </c>
      <c r="CJ339" s="12">
        <v>0</v>
      </c>
      <c r="CK339" s="12">
        <v>0</v>
      </c>
      <c r="CL339" s="12">
        <v>0</v>
      </c>
      <c r="CM339" s="12">
        <v>0</v>
      </c>
      <c r="CN339" s="12">
        <v>0</v>
      </c>
      <c r="CO339" s="12">
        <v>0</v>
      </c>
      <c r="CP339" s="12">
        <v>0</v>
      </c>
      <c r="CQ339" s="12">
        <v>0</v>
      </c>
      <c r="CR339" s="12">
        <v>0</v>
      </c>
      <c r="CS339" s="12">
        <v>0</v>
      </c>
      <c r="CT339" s="12">
        <v>0</v>
      </c>
      <c r="CU339" s="12">
        <v>0</v>
      </c>
      <c r="CV339" s="12">
        <v>0</v>
      </c>
      <c r="CW339" s="12">
        <v>0</v>
      </c>
      <c r="CX339" s="12">
        <v>0</v>
      </c>
      <c r="CY339" s="12">
        <v>0</v>
      </c>
      <c r="CZ339" s="12">
        <v>0</v>
      </c>
      <c r="DA339" s="12">
        <v>0</v>
      </c>
      <c r="DB339" s="12">
        <v>0</v>
      </c>
      <c r="DC339" s="12">
        <v>0</v>
      </c>
      <c r="DD339" s="12">
        <v>0</v>
      </c>
      <c r="DE339" s="12">
        <v>0</v>
      </c>
      <c r="DF339" s="12">
        <v>0</v>
      </c>
      <c r="DG339" s="12">
        <v>0</v>
      </c>
      <c r="DH339" s="12">
        <v>0</v>
      </c>
      <c r="DI339" s="12">
        <v>0</v>
      </c>
      <c r="DJ339" s="12">
        <v>0</v>
      </c>
      <c r="DK339" s="12">
        <v>0</v>
      </c>
      <c r="DL339" s="12">
        <v>0</v>
      </c>
      <c r="DM339" s="12">
        <v>0</v>
      </c>
      <c r="DN339" s="12">
        <v>0</v>
      </c>
      <c r="DO339" s="12">
        <v>0</v>
      </c>
      <c r="DP339" s="12">
        <v>0</v>
      </c>
      <c r="DQ339" s="12">
        <v>0</v>
      </c>
      <c r="DR339" s="12">
        <v>0</v>
      </c>
      <c r="DS339" s="12">
        <v>0</v>
      </c>
      <c r="DT339" s="12">
        <v>0</v>
      </c>
      <c r="DU339" s="12">
        <v>0</v>
      </c>
      <c r="DV339" s="12">
        <v>0</v>
      </c>
      <c r="DW339" s="12">
        <v>0</v>
      </c>
      <c r="DX339" s="12">
        <v>0</v>
      </c>
      <c r="DY339" s="12">
        <v>0</v>
      </c>
      <c r="DZ339" s="12">
        <v>0</v>
      </c>
      <c r="EA339" s="12">
        <v>0</v>
      </c>
      <c r="EB339" s="417"/>
    </row>
    <row r="340" spans="1:132" s="7" customFormat="1">
      <c r="A340" s="11" t="s">
        <v>468</v>
      </c>
      <c r="B340" s="418"/>
      <c r="C340" s="418"/>
      <c r="D340" s="418"/>
      <c r="E340" s="418"/>
      <c r="F340" s="418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 t="e">
        <f>-('Income Statement'!B47-('Balance Sheet'!B47-'Balance Sheet'!#REF!))/1000+('Balance Sheet'!B38-'Balance Sheet'!#REF!)/1000</f>
        <v>#REF!</v>
      </c>
      <c r="AB340" s="12" t="e">
        <f>-('Income Statement'!C47-('Balance Sheet'!C47-'Balance Sheet'!#REF!))/1000+('Balance Sheet'!C38-'Balance Sheet'!#REF!)/1000</f>
        <v>#REF!</v>
      </c>
      <c r="AC340" s="12" t="e">
        <f>-('Income Statement'!D47-('Balance Sheet'!D47-'Balance Sheet'!#REF!))/1000+('Balance Sheet'!D38-'Balance Sheet'!#REF!)/1000</f>
        <v>#REF!</v>
      </c>
      <c r="AD340" s="12" t="e">
        <f>-('Income Statement'!E47-('Balance Sheet'!E47-'Balance Sheet'!#REF!))/1000+('Balance Sheet'!E38-'Balance Sheet'!#REF!)/1000</f>
        <v>#REF!</v>
      </c>
      <c r="AE340" s="12" t="e">
        <f>-('Income Statement'!F47-('Balance Sheet'!F47-'Balance Sheet'!A47))/1000+('Balance Sheet'!F38-'Balance Sheet'!A38)/1000</f>
        <v>#VALUE!</v>
      </c>
      <c r="AF340" s="12">
        <f>-('Income Statement'!G47-('Balance Sheet'!G47-'Balance Sheet'!B47))/1000+('Balance Sheet'!G38-'Balance Sheet'!B38)/1000</f>
        <v>5.3409999999999993</v>
      </c>
      <c r="AG340" s="12">
        <f>-('Income Statement'!H47-('Balance Sheet'!H47-'Balance Sheet'!C47))/1000+('Balance Sheet'!H38-'Balance Sheet'!C38)/1000</f>
        <v>22.229999999999997</v>
      </c>
      <c r="AH340" s="12">
        <f>-('Income Statement'!I47-('Balance Sheet'!I47-'Balance Sheet'!D47))/1000+('Balance Sheet'!I38-'Balance Sheet'!D38)/1000</f>
        <v>15.29</v>
      </c>
      <c r="AI340" s="12">
        <f>-('Income Statement'!J47-('Balance Sheet'!J47-'Balance Sheet'!E47))/1000+('Balance Sheet'!J38-'Balance Sheet'!E38)/1000</f>
        <v>73.501999999999995</v>
      </c>
      <c r="AJ340" s="12">
        <f>-('Income Statement'!K47-('Balance Sheet'!K47-'Balance Sheet'!F47))/1000+('Balance Sheet'!K38-'Balance Sheet'!F38)/1000</f>
        <v>-31.99</v>
      </c>
      <c r="AK340" s="12">
        <f>-('Income Statement'!L47-('Balance Sheet'!L47-'Balance Sheet'!G47))/1000+('Balance Sheet'!L38-'Balance Sheet'!G38)/1000</f>
        <v>30.054000000000002</v>
      </c>
      <c r="AL340" s="12">
        <f>-('Income Statement'!M47-('Balance Sheet'!M47-'Balance Sheet'!H47))/1000+('Balance Sheet'!M38-'Balance Sheet'!H38)/1000</f>
        <v>34.807999999999993</v>
      </c>
      <c r="AM340" s="12">
        <f>-('Income Statement'!N47-('Balance Sheet'!N47-'Balance Sheet'!I47))/1000+('Balance Sheet'!N38-'Balance Sheet'!I38)/1000</f>
        <v>109.486</v>
      </c>
      <c r="AN340" s="12">
        <f>-('Income Statement'!O47-('Balance Sheet'!O47-'Balance Sheet'!J47))/1000+('Balance Sheet'!O38-'Balance Sheet'!J38)/1000</f>
        <v>89.64500000000001</v>
      </c>
      <c r="AO340" s="12">
        <f>-('Income Statement'!P47-('Balance Sheet'!P47-'Balance Sheet'!K47))/1000+('Balance Sheet'!P38-'Balance Sheet'!K38)/1000</f>
        <v>-71.733999999999995</v>
      </c>
      <c r="AP340" s="12">
        <f>-('Income Statement'!Q47-('Balance Sheet'!Q47-'Balance Sheet'!L47))/1000+('Balance Sheet'!Q38-'Balance Sheet'!L38)/1000</f>
        <v>126.41500000000001</v>
      </c>
      <c r="AQ340" s="12">
        <f>-('Income Statement'!R47-('Balance Sheet'!R47-'Balance Sheet'!M47))/1000+('Balance Sheet'!R38-'Balance Sheet'!M38)/1000</f>
        <v>93.042000000000002</v>
      </c>
      <c r="AR340" s="12">
        <f>-('Income Statement'!S47-('Balance Sheet'!S47-'Balance Sheet'!N47))/1000+('Balance Sheet'!S38-'Balance Sheet'!N38)/1000</f>
        <v>199.21100000000001</v>
      </c>
      <c r="AS340" s="12">
        <f>-('Income Statement'!T47-('Balance Sheet'!T47-'Balance Sheet'!O47))/1000+('Balance Sheet'!T38-'Balance Sheet'!O38)/1000</f>
        <v>248.06300000000002</v>
      </c>
      <c r="AT340" s="12">
        <f>-('Income Statement'!U47-('Balance Sheet'!U47-'Balance Sheet'!P47))/1000+('Balance Sheet'!U38-'Balance Sheet'!P38)/1000</f>
        <v>-82.72</v>
      </c>
      <c r="AU340" s="12">
        <f>-('Income Statement'!V47-('Balance Sheet'!V47-'Balance Sheet'!Q47))/1000+('Balance Sheet'!V38-'Balance Sheet'!Q38)/1000</f>
        <v>292.44600000000003</v>
      </c>
      <c r="AV340" s="12">
        <f>-('Income Statement'!W47-('Balance Sheet'!W47-'Balance Sheet'!R47))/1000+('Balance Sheet'!W38-'Balance Sheet'!R38)/1000</f>
        <v>217.82900000000001</v>
      </c>
      <c r="AW340" s="12">
        <f>-('Income Statement'!X47-('Balance Sheet'!X47-'Balance Sheet'!S47))/1000+('Balance Sheet'!X38-'Balance Sheet'!S38)/1000</f>
        <v>276.33300000000003</v>
      </c>
      <c r="AX340" s="12">
        <f>-('Income Statement'!Y47-('Balance Sheet'!Y47-'Balance Sheet'!T47))/1000+('Balance Sheet'!Y38-'Balance Sheet'!T38)/1000</f>
        <v>39.586999999999996</v>
      </c>
      <c r="AY340" s="12">
        <f>-('Income Statement'!Z47-('Balance Sheet'!Z47-'Balance Sheet'!U47))/1000+('Balance Sheet'!Z38-'Balance Sheet'!U38)/1000</f>
        <v>-200.84899999999999</v>
      </c>
      <c r="AZ340" s="12">
        <f>-('Income Statement'!AA47-('Balance Sheet'!AA47-'Balance Sheet'!V47))/1000+('Balance Sheet'!AA38-'Balance Sheet'!V38)/1000</f>
        <v>-10.451000000000001</v>
      </c>
      <c r="BA340" s="12">
        <f>-('Income Statement'!AB47-('Balance Sheet'!AB47-'Balance Sheet'!W47))/1000+('Balance Sheet'!AB38-'Balance Sheet'!W38)/1000</f>
        <v>-81.933000000000007</v>
      </c>
      <c r="BB340" s="12">
        <f>-('Income Statement'!AC47-('Balance Sheet'!AC47-'Balance Sheet'!X47))/1000+('Balance Sheet'!AC38-'Balance Sheet'!X38)/1000</f>
        <v>2.8530000000000002</v>
      </c>
      <c r="BC340" s="12">
        <f>-('Income Statement'!AD47-('Balance Sheet'!AD47-'Balance Sheet'!Y47))/1000+('Balance Sheet'!AD38-'Balance Sheet'!Y38)/1000</f>
        <v>448.46299999999997</v>
      </c>
      <c r="BD340" s="12">
        <f>-('Income Statement'!AE47-('Balance Sheet'!AE47-'Balance Sheet'!Z47))/1000+('Balance Sheet'!AE38-'Balance Sheet'!Z38)/1000</f>
        <v>-73.168000000000006</v>
      </c>
      <c r="BE340" s="12">
        <f>-('Income Statement'!AF47-('Balance Sheet'!AF47-'Balance Sheet'!AA47))/1000+('Balance Sheet'!AF38-'Balance Sheet'!AA38)/1000</f>
        <v>557.30899999999997</v>
      </c>
      <c r="BF340" s="12">
        <f>-('Income Statement'!AG47-('Balance Sheet'!AG47-'Balance Sheet'!AB47))/1000+('Balance Sheet'!AG38-'Balance Sheet'!AB38)/1000</f>
        <v>441.16399999999999</v>
      </c>
      <c r="BG340" s="12">
        <f>-('Income Statement'!AH47-('Balance Sheet'!AH47-'Balance Sheet'!AC47))/1000+('Balance Sheet'!AH38-'Balance Sheet'!AC38)/1000</f>
        <v>342.88299999999998</v>
      </c>
      <c r="BH340" s="12">
        <f>-('Income Statement'!AI47-('Balance Sheet'!AI47-'Balance Sheet'!AD47))/1000+('Balance Sheet'!AI38-'Balance Sheet'!AD38)/1000</f>
        <v>315.358</v>
      </c>
      <c r="BI340" s="12">
        <f>-('Income Statement'!AJ47-('Balance Sheet'!AJ47-'Balance Sheet'!AE47))/1000+('Balance Sheet'!AJ38-'Balance Sheet'!AE38)/1000</f>
        <v>-202.70999999999998</v>
      </c>
      <c r="BJ340" s="12">
        <f>-('Income Statement'!AK47-('Balance Sheet'!AK47-'Balance Sheet'!AF47))/1000+('Balance Sheet'!AK38-'Balance Sheet'!AF38)/1000</f>
        <v>213.98599999999999</v>
      </c>
      <c r="BK340" s="12">
        <f>-('Income Statement'!AL47-('Balance Sheet'!AL47-'Balance Sheet'!AG47))/1000+('Balance Sheet'!AL38-'Balance Sheet'!AG38)/1000</f>
        <v>167.83500000000001</v>
      </c>
      <c r="BL340" s="12">
        <f>-('Income Statement'!AM47-('Balance Sheet'!AM47-'Balance Sheet'!AH47))/1000+('Balance Sheet'!AM38-'Balance Sheet'!AH38)/1000</f>
        <v>89.813999999999993</v>
      </c>
      <c r="BM340" s="12">
        <f>-('Income Statement'!AN47-('Balance Sheet'!AN47-'Balance Sheet'!AI47))/1000+('Balance Sheet'!AN38-'Balance Sheet'!AI38)/1000</f>
        <v>151.34100000000001</v>
      </c>
      <c r="BN340" s="12">
        <f>-('Income Statement'!AO47-('Balance Sheet'!AO47-'Balance Sheet'!AJ47))/1000+('Balance Sheet'!AO38-'Balance Sheet'!AJ38)/1000</f>
        <v>-165.465</v>
      </c>
      <c r="BO340" s="12">
        <f>-('Income Statement'!AP47-('Balance Sheet'!AP47-'Balance Sheet'!AK47))/1000+('Balance Sheet'!AP38-'Balance Sheet'!AK38)/1000</f>
        <v>148.60400000000001</v>
      </c>
      <c r="BP340" s="12">
        <f>-('Income Statement'!AQ47-('Balance Sheet'!AQ47-'Balance Sheet'!AL47))/1000+('Balance Sheet'!AQ38-'Balance Sheet'!AL38)/1000</f>
        <v>330.05700000000002</v>
      </c>
      <c r="BQ340" s="12">
        <f>-('Income Statement'!AR47-('Balance Sheet'!AR47-'Balance Sheet'!AM47))/1000+('Balance Sheet'!AR38-'Balance Sheet'!AM38)/1000</f>
        <v>325.673</v>
      </c>
      <c r="BR340" s="12">
        <f>-('Income Statement'!AS47-('Balance Sheet'!AS47-'Balance Sheet'!AN47))/1000+('Balance Sheet'!AS38-'Balance Sheet'!AN38)/1000</f>
        <v>290.97199999999998</v>
      </c>
      <c r="BS340" s="12">
        <f>-('Income Statement'!AT47-('Balance Sheet'!AT47-'Balance Sheet'!AO47))/1000+('Balance Sheet'!AT38-'Balance Sheet'!AO38)/1000</f>
        <v>-120.074</v>
      </c>
      <c r="BT340" s="12">
        <f>-('Income Statement'!AU47-('Balance Sheet'!AU47-'Balance Sheet'!AP47))/1000+('Balance Sheet'!AU38-'Balance Sheet'!AP38)/1000</f>
        <v>547.71199999999999</v>
      </c>
      <c r="BU340" s="12">
        <f>-('Income Statement'!AV47-('Balance Sheet'!AV47-'Balance Sheet'!AQ47))/1000+('Balance Sheet'!AV38-'Balance Sheet'!AQ38)/1000</f>
        <v>358.63</v>
      </c>
      <c r="BV340" s="12">
        <f>-('Income Statement'!AW47-('Balance Sheet'!AW47-'Balance Sheet'!AR47))/1000+('Balance Sheet'!AW38-'Balance Sheet'!AR38)/1000</f>
        <v>390.27300000000002</v>
      </c>
      <c r="BW340" s="12">
        <f>-('Income Statement'!AX47-('Balance Sheet'!AX47-'Balance Sheet'!AS47))/1000+('Balance Sheet'!AX38-'Balance Sheet'!AS38)/1000</f>
        <v>321.06199999999995</v>
      </c>
      <c r="BX340" s="12">
        <f>-('Income Statement'!AY47-('Balance Sheet'!AY47-'Balance Sheet'!AT47))/1000+('Balance Sheet'!AY38-'Balance Sheet'!AT38)/1000</f>
        <v>-209.24799999999999</v>
      </c>
      <c r="BY340" s="12">
        <f>-('Income Statement'!AZ47-('Balance Sheet'!AZ47-'Balance Sheet'!AU47))/1000+('Balance Sheet'!AZ38-'Balance Sheet'!AU38)/1000</f>
        <v>327.99899999999997</v>
      </c>
      <c r="BZ340" s="12">
        <f>-('Income Statement'!BA47-('Balance Sheet'!BA47-'Balance Sheet'!AV47))/1000+('Balance Sheet'!BA38-'Balance Sheet'!AV38)/1000</f>
        <v>-483.05599999999998</v>
      </c>
      <c r="CA340" s="12">
        <f>-('Income Statement'!BB47-('Balance Sheet'!BB47-'Balance Sheet'!AW47))/1000+('Balance Sheet'!BB38-'Balance Sheet'!AW38)/1000</f>
        <v>-484.57800000000003</v>
      </c>
      <c r="CB340" s="12">
        <f>-('Income Statement'!BC47-('Balance Sheet'!BC47-'Balance Sheet'!AX47))/1000+('Balance Sheet'!BC38-'Balance Sheet'!AX38)/1000</f>
        <v>-515.38900000000001</v>
      </c>
      <c r="CC340" s="12">
        <f>-('Income Statement'!BD47-('Balance Sheet'!BD47-'Balance Sheet'!AY47))/1000+('Balance Sheet'!BD38-'Balance Sheet'!AY38)/1000</f>
        <v>-1026.865</v>
      </c>
      <c r="CD340" s="12">
        <f>-('Income Statement'!BE47-('Balance Sheet'!BE47-'Balance Sheet'!AZ47))/1000+('Balance Sheet'!BE38-'Balance Sheet'!AZ38)/1000</f>
        <v>-547.29200000000003</v>
      </c>
      <c r="CE340" s="12">
        <f>-('Income Statement'!BF47-('Balance Sheet'!BF47-'Balance Sheet'!BA47))/1000+('Balance Sheet'!BF38-'Balance Sheet'!BA38)/1000</f>
        <v>36.466000000000001</v>
      </c>
      <c r="CF340" s="12">
        <f>-('Income Statement'!BG47-('Balance Sheet'!BG47-'Balance Sheet'!BB47))/1000+('Balance Sheet'!BG38-'Balance Sheet'!BB38)/1000</f>
        <v>190.965</v>
      </c>
      <c r="CG340" s="12">
        <f>-('Income Statement'!BH47-('Balance Sheet'!BH47-'Balance Sheet'!BC47))/1000+('Balance Sheet'!BH38-'Balance Sheet'!BC38)/1000</f>
        <v>201.381</v>
      </c>
      <c r="CH340" s="12">
        <f>-('Income Statement'!BI47-('Balance Sheet'!BI47-'Balance Sheet'!BD47))/1000+('Balance Sheet'!BI38-'Balance Sheet'!BD38)/1000</f>
        <v>-148.398</v>
      </c>
      <c r="CI340" s="12">
        <f>-('Income Statement'!BJ47-('Balance Sheet'!BJ47-'Balance Sheet'!BE47))/1000+('Balance Sheet'!BJ38-'Balance Sheet'!BE38)/1000</f>
        <v>214.92100000000002</v>
      </c>
      <c r="CJ340" s="12">
        <f>-('Income Statement'!BK47-('Balance Sheet'!BK47-'Balance Sheet'!BF47))/1000+('Balance Sheet'!BK38-'Balance Sheet'!BF38)/1000</f>
        <v>106.113</v>
      </c>
      <c r="CK340" s="12">
        <f>-('Income Statement'!BL47-('Balance Sheet'!BL47-'Balance Sheet'!BG47))/1000+('Balance Sheet'!BL38-'Balance Sheet'!BG38)/1000</f>
        <v>-199.69200000000001</v>
      </c>
      <c r="CL340" s="12">
        <f>-('Income Statement'!BM47-('Balance Sheet'!BM47-'Balance Sheet'!BH47))/1000+('Balance Sheet'!BM38-'Balance Sheet'!BH38)/1000</f>
        <v>-283.57499999999999</v>
      </c>
      <c r="CM340" s="12">
        <f>-('Income Statement'!BN47-('Balance Sheet'!BN47-'Balance Sheet'!BI47))/1000+('Balance Sheet'!BN38-'Balance Sheet'!BI38)/1000</f>
        <v>-403.99400000000003</v>
      </c>
      <c r="CN340" s="12">
        <f>-('Income Statement'!BO47-('Balance Sheet'!BO47-'Balance Sheet'!BJ47))/1000+('Balance Sheet'!BO38-'Balance Sheet'!BJ38)/1000</f>
        <v>-314.935</v>
      </c>
      <c r="CO340" s="12">
        <f>-('Income Statement'!BP47-('Balance Sheet'!BP47-'Balance Sheet'!BK47))/1000+('Balance Sheet'!BP38-'Balance Sheet'!BK38)/1000</f>
        <v>12.993</v>
      </c>
      <c r="CP340" s="12">
        <f>-('Income Statement'!BQ47-('Balance Sheet'!BQ47-'Balance Sheet'!BL47))/1000+('Balance Sheet'!BQ38-'Balance Sheet'!BL38)/1000</f>
        <v>-142.22</v>
      </c>
      <c r="CQ340" s="12">
        <f>-('Income Statement'!BR47-('Balance Sheet'!BR47-'Balance Sheet'!BM47))/1000+('Balance Sheet'!BR38-'Balance Sheet'!BM38)/1000</f>
        <v>-180.14</v>
      </c>
      <c r="CR340" s="12">
        <f>-('Income Statement'!BS47-('Balance Sheet'!BS47-'Balance Sheet'!BN47))/1000+('Balance Sheet'!BS38-'Balance Sheet'!BN38)/1000</f>
        <v>-36.373999999999995</v>
      </c>
      <c r="CS340" s="12">
        <f>-('Income Statement'!BT47-('Balance Sheet'!BT47-'Balance Sheet'!BO47))/1000+('Balance Sheet'!BT38-'Balance Sheet'!BO38)/1000</f>
        <v>-331.51400000000001</v>
      </c>
      <c r="CT340" s="12">
        <f>-('Income Statement'!BU47-('Balance Sheet'!BU47-'Balance Sheet'!BP47))/1000+('Balance Sheet'!BU38-'Balance Sheet'!BP38)/1000</f>
        <v>-206.22399999999999</v>
      </c>
      <c r="CU340" s="12">
        <f>-('Income Statement'!BV47-('Balance Sheet'!BV47-'Balance Sheet'!BQ47))/1000+('Balance Sheet'!BV38-'Balance Sheet'!BQ38)/1000</f>
        <v>-428.77199999999999</v>
      </c>
      <c r="CV340" s="12">
        <f>-('Income Statement'!BW47-('Balance Sheet'!BW47-'Balance Sheet'!BR47))/1000+('Balance Sheet'!BW38-'Balance Sheet'!BR38)/1000</f>
        <v>-887.81899999999996</v>
      </c>
      <c r="CW340" s="12">
        <f>-('Income Statement'!BX47-('Balance Sheet'!BX47-'Balance Sheet'!BS47))/1000+('Balance Sheet'!BX38-'Balance Sheet'!BS38)/1000</f>
        <v>-687.34500000000003</v>
      </c>
      <c r="CX340" s="12">
        <f>-('Income Statement'!BY47-('Balance Sheet'!BY47-'Balance Sheet'!BT47))/1000+('Balance Sheet'!BY38-'Balance Sheet'!BT38)/1000</f>
        <v>-524.31399999999996</v>
      </c>
      <c r="CY340" s="12">
        <f>-('Income Statement'!BZ47-('Balance Sheet'!BZ47-'Balance Sheet'!BU47))/1000+('Balance Sheet'!BZ38-'Balance Sheet'!BU38)/1000</f>
        <v>-609.05799999999999</v>
      </c>
      <c r="CZ340" s="12">
        <f>-('Income Statement'!CA47-('Balance Sheet'!CA47-'Balance Sheet'!BV47))/1000+('Balance Sheet'!CA38-'Balance Sheet'!BV38)/1000</f>
        <v>-311.30099999999999</v>
      </c>
      <c r="DA340" s="12">
        <f>-('Income Statement'!CB47-('Balance Sheet'!CB47-'Balance Sheet'!BW47))/1000+('Balance Sheet'!CB38-'Balance Sheet'!BW38)/1000</f>
        <v>-532.32100000000003</v>
      </c>
      <c r="DB340" s="12">
        <f>-('Income Statement'!CC47-('Balance Sheet'!CC47-'Balance Sheet'!BX47))/1000+('Balance Sheet'!CC38-'Balance Sheet'!BX38)/1000</f>
        <v>-798.94899999999996</v>
      </c>
      <c r="DC340" s="12">
        <f>-('Income Statement'!CD47-('Balance Sheet'!CD47-'Balance Sheet'!BY47))/1000+('Balance Sheet'!CD38-'Balance Sheet'!BY38)/1000</f>
        <v>-431.45499999999998</v>
      </c>
      <c r="DD340" s="12">
        <f>-('Income Statement'!CE47-('Balance Sheet'!CE47-'Balance Sheet'!BZ47))/1000+('Balance Sheet'!CE38-'Balance Sheet'!BZ38)/1000</f>
        <v>-355.77100000000002</v>
      </c>
      <c r="DE340" s="12">
        <f>-('Income Statement'!CF47-('Balance Sheet'!CF47-'Balance Sheet'!CA47))/1000+('Balance Sheet'!CF38-'Balance Sheet'!CA38)/1000</f>
        <v>-254.35499999999999</v>
      </c>
      <c r="DF340" s="12">
        <f>-('Income Statement'!CG47-('Balance Sheet'!CG47-'Balance Sheet'!CB47))/1000+('Balance Sheet'!CG38-'Balance Sheet'!CB38)/1000</f>
        <v>899.12799999999993</v>
      </c>
      <c r="DG340" s="12">
        <f>-('Income Statement'!CH47-('Balance Sheet'!CH47-'Balance Sheet'!CC47))/1000+('Balance Sheet'!CH38-'Balance Sheet'!CC38)/1000</f>
        <v>-599.899</v>
      </c>
      <c r="DH340" s="12">
        <f>-('Income Statement'!CI47-('Balance Sheet'!CI47-'Balance Sheet'!CD47))/1000+('Balance Sheet'!CI38-'Balance Sheet'!CD38)/1000</f>
        <v>1131.519</v>
      </c>
      <c r="DI340" s="12">
        <f>-('Income Statement'!CJ47-('Balance Sheet'!CJ47-'Balance Sheet'!CE47))/1000+('Balance Sheet'!CJ38-'Balance Sheet'!CE38)/1000</f>
        <v>837.55600000000004</v>
      </c>
      <c r="DJ340" s="12">
        <f>-('Income Statement'!CK47-('Balance Sheet'!CK47-'Balance Sheet'!CF47))/1000+('Balance Sheet'!CK38-'Balance Sheet'!CF38)/1000</f>
        <v>-300.05799999999999</v>
      </c>
      <c r="DK340" s="12">
        <f>-('Income Statement'!CL47-('Balance Sheet'!CL47-'Balance Sheet'!CG47))/1000+('Balance Sheet'!CL38-'Balance Sheet'!CG38)/1000</f>
        <v>274.86799999999999</v>
      </c>
      <c r="DL340" s="12">
        <f>-('Income Statement'!CM47-('Balance Sheet'!CM47-'Balance Sheet'!CH47))/1000+('Balance Sheet'!CM38-'Balance Sheet'!CH38)/1000</f>
        <v>-421.93799999999999</v>
      </c>
      <c r="DM340" s="12">
        <f>-('Income Statement'!CN47-('Balance Sheet'!CN47-'Balance Sheet'!CI47))/1000+('Balance Sheet'!CN38-'Balance Sheet'!CI38)/1000</f>
        <v>298.26900000000001</v>
      </c>
      <c r="DN340" s="12">
        <f>-('Income Statement'!CO47-('Balance Sheet'!CO47-'Balance Sheet'!CJ47))/1000+('Balance Sheet'!CO38-'Balance Sheet'!CJ38)/1000</f>
        <v>608.548</v>
      </c>
      <c r="DO340" s="12">
        <f>-('Income Statement'!CP47-('Balance Sheet'!CP47-'Balance Sheet'!CK47))/1000+('Balance Sheet'!CP38-'Balance Sheet'!CK38)/1000</f>
        <v>-71.880000000000024</v>
      </c>
      <c r="DP340" s="12">
        <f>-('Income Statement'!CQ47-('Balance Sheet'!CQ47-'Balance Sheet'!CL47))/1000+('Balance Sheet'!CQ38-'Balance Sheet'!CL38)/1000</f>
        <v>796.81500000000005</v>
      </c>
      <c r="DQ340" s="12">
        <f>-('Income Statement'!CR47-('Balance Sheet'!CR47-'Balance Sheet'!CM47))/1000+('Balance Sheet'!CR38-'Balance Sheet'!CM38)/1000</f>
        <v>195.63900000000001</v>
      </c>
      <c r="DR340" s="12">
        <f>-('Income Statement'!CS47-('Balance Sheet'!CS47-'Balance Sheet'!CN47))/1000+('Balance Sheet'!CS38-'Balance Sheet'!CN38)/1000</f>
        <v>793.07399999999996</v>
      </c>
      <c r="DS340" s="12">
        <f>-('Income Statement'!CT47-('Balance Sheet'!CT47-'Balance Sheet'!CO47))/1000+('Balance Sheet'!CT38-'Balance Sheet'!CO38)/1000</f>
        <v>827.6579999999999</v>
      </c>
      <c r="DT340" s="12">
        <f>-('Income Statement'!CU47-('Balance Sheet'!CU47-'Balance Sheet'!CP47))/1000+('Balance Sheet'!CU38-'Balance Sheet'!CP38)/1000</f>
        <v>1232.117</v>
      </c>
      <c r="DU340" s="12">
        <f>-('Income Statement'!CV47-('Balance Sheet'!CV47-'Balance Sheet'!CQ47))/1000+('Balance Sheet'!CV38-'Balance Sheet'!CQ38)/1000</f>
        <v>363.05900000000003</v>
      </c>
      <c r="DV340" s="12">
        <f>-('Income Statement'!CW47-('Balance Sheet'!CW47-'Balance Sheet'!CR47))/1000+('Balance Sheet'!CW38-'Balance Sheet'!CR38)/1000</f>
        <v>-331.221</v>
      </c>
      <c r="DW340" s="12">
        <f>-('Income Statement'!CX47-('Balance Sheet'!CX47-'Balance Sheet'!CS47))/1000+('Balance Sheet'!CX38-'Balance Sheet'!CS38)/1000</f>
        <v>260.59100000000001</v>
      </c>
      <c r="DX340" s="12">
        <f>-('Income Statement'!CY47-('Balance Sheet'!CY47-'Balance Sheet'!CT47))/1000+('Balance Sheet'!CY38-'Balance Sheet'!CT38)/1000</f>
        <v>217.85300000000001</v>
      </c>
      <c r="DY340" s="12">
        <f>-('Income Statement'!CZ47-('Balance Sheet'!CZ47-'Balance Sheet'!CU47))/1000+('Balance Sheet'!CZ38-'Balance Sheet'!CU38)/1000</f>
        <v>532.40499999999997</v>
      </c>
      <c r="DZ340" s="12">
        <f>-('Income Statement'!DA47-('Balance Sheet'!DA47-'Balance Sheet'!CV47))/1000+('Balance Sheet'!DA38-'Balance Sheet'!CV38)/1000</f>
        <v>451.577</v>
      </c>
      <c r="EA340" s="12">
        <f>-('Income Statement'!DB47-('Balance Sheet'!DB47-'Balance Sheet'!CW47))/1000+('Balance Sheet'!DB38-'Balance Sheet'!CW38)/1000</f>
        <v>-700.78700000000003</v>
      </c>
      <c r="EB340" s="417"/>
    </row>
    <row r="341" spans="1:132" s="7" customFormat="1">
      <c r="A341" s="11" t="s">
        <v>469</v>
      </c>
      <c r="B341" s="418"/>
      <c r="C341" s="418"/>
      <c r="D341" s="418"/>
      <c r="E341" s="418"/>
      <c r="F341" s="418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>
        <v>0</v>
      </c>
      <c r="AB341" s="12">
        <v>0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2">
        <v>0</v>
      </c>
      <c r="BJ341" s="12">
        <v>0</v>
      </c>
      <c r="BK341" s="12">
        <v>0</v>
      </c>
      <c r="BL341" s="12">
        <v>0</v>
      </c>
      <c r="BM341" s="12">
        <v>0</v>
      </c>
      <c r="BN341" s="12">
        <v>0</v>
      </c>
      <c r="BO341" s="12">
        <v>0</v>
      </c>
      <c r="BP341" s="12">
        <v>0</v>
      </c>
      <c r="BQ341" s="12">
        <v>0</v>
      </c>
      <c r="BR341" s="12">
        <v>0</v>
      </c>
      <c r="BS341" s="12">
        <v>0</v>
      </c>
      <c r="BT341" s="12">
        <v>0</v>
      </c>
      <c r="BU341" s="12">
        <v>0</v>
      </c>
      <c r="BV341" s="12">
        <v>0</v>
      </c>
      <c r="BW341" s="12">
        <v>0</v>
      </c>
      <c r="BX341" s="12">
        <v>0</v>
      </c>
      <c r="BY341" s="12">
        <v>0</v>
      </c>
      <c r="BZ341" s="12">
        <v>0</v>
      </c>
      <c r="CA341" s="12">
        <v>0</v>
      </c>
      <c r="CB341" s="12">
        <v>0</v>
      </c>
      <c r="CC341" s="12">
        <v>0</v>
      </c>
      <c r="CD341" s="12">
        <v>0</v>
      </c>
      <c r="CE341" s="12">
        <v>0</v>
      </c>
      <c r="CF341" s="12">
        <v>0</v>
      </c>
      <c r="CG341" s="12">
        <v>0</v>
      </c>
      <c r="CH341" s="12">
        <v>0</v>
      </c>
      <c r="CI341" s="12">
        <v>0</v>
      </c>
      <c r="CJ341" s="12">
        <v>0</v>
      </c>
      <c r="CK341" s="12">
        <v>0</v>
      </c>
      <c r="CL341" s="12">
        <v>0</v>
      </c>
      <c r="CM341" s="12">
        <v>0</v>
      </c>
      <c r="CN341" s="12">
        <v>0</v>
      </c>
      <c r="CO341" s="12">
        <v>0</v>
      </c>
      <c r="CP341" s="12">
        <v>0</v>
      </c>
      <c r="CQ341" s="12">
        <v>0</v>
      </c>
      <c r="CR341" s="12">
        <v>0</v>
      </c>
      <c r="CS341" s="12">
        <v>0</v>
      </c>
      <c r="CT341" s="12">
        <v>0</v>
      </c>
      <c r="CU341" s="12">
        <v>0</v>
      </c>
      <c r="CV341" s="12">
        <v>0</v>
      </c>
      <c r="CW341" s="12">
        <v>0</v>
      </c>
      <c r="CX341" s="12">
        <v>0</v>
      </c>
      <c r="CY341" s="12">
        <v>0</v>
      </c>
      <c r="CZ341" s="12">
        <v>0</v>
      </c>
      <c r="DA341" s="12">
        <v>0</v>
      </c>
      <c r="DB341" s="12">
        <v>0</v>
      </c>
      <c r="DC341" s="12">
        <v>0</v>
      </c>
      <c r="DD341" s="12">
        <v>0</v>
      </c>
      <c r="DE341" s="12">
        <v>0</v>
      </c>
      <c r="DF341" s="12">
        <v>0</v>
      </c>
      <c r="DG341" s="12">
        <v>0</v>
      </c>
      <c r="DH341" s="12">
        <v>0</v>
      </c>
      <c r="DI341" s="12">
        <v>0</v>
      </c>
      <c r="DJ341" s="12">
        <v>0</v>
      </c>
      <c r="DK341" s="12">
        <v>0</v>
      </c>
      <c r="DL341" s="12">
        <v>0</v>
      </c>
      <c r="DM341" s="12">
        <v>0</v>
      </c>
      <c r="DN341" s="12">
        <v>0</v>
      </c>
      <c r="DO341" s="12">
        <v>0</v>
      </c>
      <c r="DP341" s="12">
        <v>0</v>
      </c>
      <c r="DQ341" s="12">
        <v>0</v>
      </c>
      <c r="DR341" s="12">
        <v>0</v>
      </c>
      <c r="DS341" s="12">
        <v>0</v>
      </c>
      <c r="DT341" s="12">
        <v>0</v>
      </c>
      <c r="DU341" s="12">
        <v>0</v>
      </c>
      <c r="DV341" s="12">
        <v>0</v>
      </c>
      <c r="DW341" s="12">
        <v>0</v>
      </c>
      <c r="DX341" s="12">
        <v>0</v>
      </c>
      <c r="DY341" s="12">
        <v>0</v>
      </c>
      <c r="DZ341" s="12">
        <v>0</v>
      </c>
      <c r="EA341" s="12">
        <v>0</v>
      </c>
      <c r="EB341" s="417"/>
    </row>
    <row r="342" spans="1:132" s="7" customFormat="1" ht="13.5" thickBot="1">
      <c r="A342" s="13" t="s">
        <v>470</v>
      </c>
      <c r="B342" s="439"/>
      <c r="C342" s="439"/>
      <c r="D342" s="439"/>
      <c r="E342" s="439"/>
      <c r="F342" s="439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  <c r="DC342" s="18"/>
      <c r="DD342" s="18"/>
      <c r="DE342" s="18"/>
      <c r="DF342" s="18"/>
      <c r="DG342" s="18"/>
      <c r="DH342" s="18"/>
      <c r="DI342" s="18"/>
      <c r="DJ342" s="18"/>
      <c r="DK342" s="18"/>
      <c r="DL342" s="18"/>
      <c r="DM342" s="18"/>
      <c r="DN342" s="18"/>
      <c r="DO342" s="18"/>
      <c r="DP342" s="18"/>
      <c r="DQ342" s="18"/>
      <c r="DR342" s="18"/>
      <c r="DS342" s="18"/>
      <c r="DT342" s="18"/>
      <c r="DU342" s="18"/>
      <c r="DV342" s="18"/>
      <c r="DW342" s="18"/>
      <c r="DX342" s="18"/>
      <c r="DY342" s="18"/>
      <c r="DZ342" s="18"/>
      <c r="EA342" s="18"/>
      <c r="EB342" s="417"/>
    </row>
    <row r="343" spans="1:132" s="7" customFormat="1">
      <c r="A343" s="17"/>
      <c r="B343" s="424"/>
      <c r="C343" s="424"/>
      <c r="D343" s="424"/>
      <c r="E343" s="424"/>
      <c r="F343" s="424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20"/>
      <c r="CH343" s="20"/>
      <c r="CI343" s="20"/>
      <c r="CJ343" s="20"/>
      <c r="CK343" s="20"/>
      <c r="CL343" s="20"/>
      <c r="CM343" s="20"/>
      <c r="CN343" s="20"/>
      <c r="CO343" s="20"/>
      <c r="CP343" s="20"/>
      <c r="CQ343" s="20"/>
      <c r="CR343" s="20"/>
      <c r="CS343" s="20"/>
      <c r="CT343" s="20"/>
      <c r="CU343" s="20"/>
      <c r="CV343" s="20"/>
      <c r="CW343" s="20"/>
      <c r="CX343" s="20"/>
      <c r="CY343" s="20"/>
      <c r="CZ343" s="20"/>
      <c r="DA343" s="20"/>
      <c r="DB343" s="20"/>
      <c r="DC343" s="20"/>
      <c r="DD343" s="20"/>
      <c r="DE343" s="20"/>
      <c r="DF343" s="20"/>
      <c r="DG343" s="20"/>
      <c r="DH343" s="20"/>
      <c r="DI343" s="20"/>
      <c r="DJ343" s="20"/>
      <c r="DK343" s="20"/>
      <c r="DL343" s="20"/>
      <c r="DM343" s="20"/>
      <c r="DN343" s="20"/>
      <c r="DO343" s="20"/>
      <c r="DP343" s="20"/>
      <c r="DQ343" s="20"/>
      <c r="DR343" s="20"/>
      <c r="DS343" s="20"/>
      <c r="DT343" s="20"/>
      <c r="DU343" s="20"/>
      <c r="DV343" s="20"/>
      <c r="DW343" s="20"/>
      <c r="DX343" s="20"/>
      <c r="DY343" s="20"/>
      <c r="DZ343" s="20"/>
      <c r="EA343" s="20"/>
      <c r="EB343" s="417"/>
    </row>
    <row r="344" spans="1:132" s="7" customFormat="1" ht="15.75">
      <c r="A344" s="25" t="s">
        <v>471</v>
      </c>
      <c r="B344" s="431"/>
      <c r="C344" s="431"/>
      <c r="D344" s="431"/>
      <c r="E344" s="431"/>
      <c r="F344" s="431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  <c r="DV344" s="26"/>
      <c r="DW344" s="26"/>
      <c r="DX344" s="26"/>
      <c r="DY344" s="26"/>
      <c r="DZ344" s="26"/>
      <c r="EA344" s="26"/>
      <c r="EB344" s="417"/>
    </row>
    <row r="345" spans="1:132" s="7" customFormat="1">
      <c r="A345" s="17" t="s">
        <v>472</v>
      </c>
      <c r="B345" s="434"/>
      <c r="C345" s="434"/>
      <c r="D345" s="434"/>
      <c r="E345" s="434"/>
      <c r="F345" s="43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417"/>
    </row>
    <row r="346" spans="1:132" s="7" customFormat="1">
      <c r="A346" s="17" t="s">
        <v>473</v>
      </c>
      <c r="B346" s="434"/>
      <c r="C346" s="434"/>
      <c r="D346" s="434"/>
      <c r="E346" s="434"/>
      <c r="F346" s="43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417"/>
    </row>
    <row r="347" spans="1:132" s="7" customFormat="1">
      <c r="A347" s="17" t="s">
        <v>474</v>
      </c>
      <c r="B347" s="441"/>
      <c r="C347" s="441"/>
      <c r="D347" s="441"/>
      <c r="E347" s="441"/>
      <c r="F347" s="441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  <c r="DI347" s="39"/>
      <c r="DJ347" s="39"/>
      <c r="DK347" s="39"/>
      <c r="DL347" s="39"/>
      <c r="DM347" s="39"/>
      <c r="DN347" s="39"/>
      <c r="DO347" s="39"/>
      <c r="DP347" s="39"/>
      <c r="DQ347" s="39"/>
      <c r="DR347" s="39"/>
      <c r="DS347" s="39"/>
      <c r="DT347" s="39"/>
      <c r="DU347" s="39"/>
      <c r="DV347" s="39"/>
      <c r="DW347" s="39"/>
      <c r="DX347" s="39"/>
      <c r="DY347" s="39"/>
      <c r="DZ347" s="39"/>
      <c r="EA347" s="39"/>
      <c r="EB347" s="417"/>
    </row>
    <row r="348" spans="1:132" s="7" customFormat="1">
      <c r="A348" s="17"/>
      <c r="B348" s="440"/>
      <c r="C348" s="440"/>
      <c r="D348" s="440"/>
      <c r="E348" s="440"/>
      <c r="F348" s="4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  <c r="CI348" s="40"/>
      <c r="CJ348" s="40"/>
      <c r="CK348" s="40"/>
      <c r="CL348" s="40"/>
      <c r="CM348" s="40"/>
      <c r="CN348" s="40"/>
      <c r="CO348" s="40"/>
      <c r="CP348" s="40"/>
      <c r="CQ348" s="40"/>
      <c r="CR348" s="40"/>
      <c r="CS348" s="40"/>
      <c r="CT348" s="40"/>
      <c r="CU348" s="40"/>
      <c r="CV348" s="40"/>
      <c r="CW348" s="40"/>
      <c r="CX348" s="40"/>
      <c r="CY348" s="40"/>
      <c r="CZ348" s="40"/>
      <c r="DA348" s="40"/>
      <c r="DB348" s="40"/>
      <c r="DC348" s="40"/>
      <c r="DD348" s="40"/>
      <c r="DE348" s="40"/>
      <c r="DF348" s="40"/>
      <c r="DG348" s="40"/>
      <c r="DH348" s="40"/>
      <c r="DI348" s="40"/>
      <c r="DJ348" s="40"/>
      <c r="DK348" s="40"/>
      <c r="DL348" s="40"/>
      <c r="DM348" s="40"/>
      <c r="DN348" s="40"/>
      <c r="DO348" s="40"/>
      <c r="DP348" s="40"/>
      <c r="DQ348" s="40"/>
      <c r="DR348" s="40"/>
      <c r="DS348" s="40"/>
      <c r="DT348" s="40"/>
      <c r="DU348" s="40"/>
      <c r="DV348" s="40"/>
      <c r="DW348" s="40"/>
      <c r="DX348" s="40"/>
      <c r="DY348" s="40"/>
      <c r="DZ348" s="40"/>
      <c r="EA348" s="40"/>
      <c r="EB348" s="417"/>
    </row>
    <row r="349" spans="1:132" s="7" customFormat="1" ht="15.75">
      <c r="A349" s="25" t="s">
        <v>475</v>
      </c>
      <c r="B349" s="431"/>
      <c r="C349" s="431"/>
      <c r="D349" s="431"/>
      <c r="E349" s="431"/>
      <c r="F349" s="431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  <c r="DV349" s="26"/>
      <c r="DW349" s="26"/>
      <c r="DX349" s="26"/>
      <c r="DY349" s="26"/>
      <c r="DZ349" s="26"/>
      <c r="EA349" s="26"/>
      <c r="EB349" s="417"/>
    </row>
    <row r="350" spans="1:132" s="7" customFormat="1">
      <c r="A350" s="17" t="s">
        <v>467</v>
      </c>
      <c r="B350" s="434"/>
      <c r="C350" s="434"/>
      <c r="D350" s="434"/>
      <c r="E350" s="434"/>
      <c r="F350" s="43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417"/>
    </row>
    <row r="351" spans="1:132" s="7" customFormat="1">
      <c r="A351" s="17" t="s">
        <v>246</v>
      </c>
      <c r="B351" s="434"/>
      <c r="C351" s="434"/>
      <c r="D351" s="434"/>
      <c r="E351" s="434"/>
      <c r="F351" s="43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417"/>
    </row>
    <row r="352" spans="1:132" s="7" customFormat="1">
      <c r="A352" s="17" t="s">
        <v>468</v>
      </c>
      <c r="B352" s="434"/>
      <c r="C352" s="434"/>
      <c r="D352" s="434"/>
      <c r="E352" s="434"/>
      <c r="F352" s="43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417"/>
    </row>
    <row r="353" spans="1:132" s="7" customFormat="1">
      <c r="A353" s="17" t="s">
        <v>469</v>
      </c>
      <c r="B353" s="434"/>
      <c r="C353" s="434"/>
      <c r="D353" s="434"/>
      <c r="E353" s="434"/>
      <c r="F353" s="43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417"/>
    </row>
    <row r="354" spans="1:132" s="7" customFormat="1" ht="13.5" thickBot="1">
      <c r="A354" s="13" t="s">
        <v>476</v>
      </c>
      <c r="B354" s="439"/>
      <c r="C354" s="439"/>
      <c r="D354" s="439"/>
      <c r="E354" s="439"/>
      <c r="F354" s="439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  <c r="DC354" s="18"/>
      <c r="DD354" s="18"/>
      <c r="DE354" s="18"/>
      <c r="DF354" s="18"/>
      <c r="DG354" s="18"/>
      <c r="DH354" s="18"/>
      <c r="DI354" s="18"/>
      <c r="DJ354" s="18"/>
      <c r="DK354" s="18"/>
      <c r="DL354" s="18"/>
      <c r="DM354" s="18"/>
      <c r="DN354" s="18"/>
      <c r="DO354" s="18"/>
      <c r="DP354" s="18"/>
      <c r="DQ354" s="18"/>
      <c r="DR354" s="18"/>
      <c r="DS354" s="18"/>
      <c r="DT354" s="18"/>
      <c r="DU354" s="18"/>
      <c r="DV354" s="18"/>
      <c r="DW354" s="18"/>
      <c r="DX354" s="18"/>
      <c r="DY354" s="18"/>
      <c r="DZ354" s="18"/>
      <c r="EA354" s="18"/>
      <c r="EB354" s="417"/>
    </row>
    <row r="355" spans="1:132" s="7" customFormat="1">
      <c r="A355" s="17"/>
      <c r="B355" s="424"/>
      <c r="C355" s="424"/>
      <c r="D355" s="424"/>
      <c r="E355" s="424"/>
      <c r="F355" s="424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20"/>
      <c r="CH355" s="20"/>
      <c r="CI355" s="20"/>
      <c r="CJ355" s="20"/>
      <c r="CK355" s="20"/>
      <c r="CL355" s="20"/>
      <c r="CM355" s="20"/>
      <c r="CN355" s="20"/>
      <c r="CO355" s="20"/>
      <c r="CP355" s="20"/>
      <c r="CQ355" s="20"/>
      <c r="CR355" s="20"/>
      <c r="CS355" s="20"/>
      <c r="CT355" s="20"/>
      <c r="CU355" s="20"/>
      <c r="CV355" s="20"/>
      <c r="CW355" s="20"/>
      <c r="CX355" s="20"/>
      <c r="CY355" s="20"/>
      <c r="CZ355" s="20"/>
      <c r="DA355" s="20"/>
      <c r="DB355" s="20"/>
      <c r="DC355" s="20"/>
      <c r="DD355" s="20"/>
      <c r="DE355" s="20"/>
      <c r="DF355" s="20"/>
      <c r="DG355" s="20"/>
      <c r="DH355" s="20"/>
      <c r="DI355" s="20"/>
      <c r="DJ355" s="20"/>
      <c r="DK355" s="20"/>
      <c r="DL355" s="20"/>
      <c r="DM355" s="20"/>
      <c r="DN355" s="20"/>
      <c r="DO355" s="20"/>
      <c r="DP355" s="20"/>
      <c r="DQ355" s="20"/>
      <c r="DR355" s="20"/>
      <c r="DS355" s="20"/>
      <c r="DT355" s="20"/>
      <c r="DU355" s="20"/>
      <c r="DV355" s="20"/>
      <c r="DW355" s="20"/>
      <c r="DX355" s="20"/>
      <c r="DY355" s="20"/>
      <c r="DZ355" s="20"/>
      <c r="EA355" s="20"/>
      <c r="EB355" s="417"/>
    </row>
    <row r="356" spans="1:132" s="7" customFormat="1" ht="15.75">
      <c r="A356" s="25" t="s">
        <v>477</v>
      </c>
      <c r="B356" s="431"/>
      <c r="C356" s="431"/>
      <c r="D356" s="431"/>
      <c r="E356" s="431"/>
      <c r="F356" s="431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417"/>
    </row>
    <row r="357" spans="1:132" s="7" customFormat="1">
      <c r="A357" s="17" t="s">
        <v>478</v>
      </c>
      <c r="B357" s="434"/>
      <c r="C357" s="434"/>
      <c r="D357" s="434"/>
      <c r="E357" s="434"/>
      <c r="F357" s="43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24"/>
      <c r="DJ357" s="24"/>
      <c r="DK357" s="24"/>
      <c r="DL357" s="24"/>
      <c r="DM357" s="24"/>
      <c r="DN357" s="24"/>
      <c r="DO357" s="24"/>
      <c r="DP357" s="24"/>
      <c r="DQ357" s="24"/>
      <c r="DR357" s="24"/>
      <c r="DS357" s="24"/>
      <c r="DT357" s="24"/>
      <c r="DU357" s="24"/>
      <c r="DV357" s="24"/>
      <c r="DW357" s="24"/>
      <c r="DX357" s="24"/>
      <c r="DY357" s="24"/>
      <c r="DZ357" s="24"/>
      <c r="EA357" s="24"/>
      <c r="EB357" s="417"/>
    </row>
    <row r="358" spans="1:132" s="7" customFormat="1">
      <c r="A358" s="17" t="s">
        <v>479</v>
      </c>
      <c r="B358" s="434"/>
      <c r="C358" s="434"/>
      <c r="D358" s="434"/>
      <c r="E358" s="434"/>
      <c r="F358" s="43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24"/>
      <c r="DJ358" s="24"/>
      <c r="DK358" s="24"/>
      <c r="DL358" s="24"/>
      <c r="DM358" s="24"/>
      <c r="DN358" s="24"/>
      <c r="DO358" s="24"/>
      <c r="DP358" s="24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417"/>
    </row>
    <row r="359" spans="1:132" s="7" customFormat="1">
      <c r="A359" s="17" t="s">
        <v>480</v>
      </c>
      <c r="B359" s="441"/>
      <c r="C359" s="441"/>
      <c r="D359" s="441"/>
      <c r="E359" s="441"/>
      <c r="F359" s="441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  <c r="DI359" s="39"/>
      <c r="DJ359" s="39"/>
      <c r="DK359" s="39"/>
      <c r="DL359" s="39"/>
      <c r="DM359" s="39"/>
      <c r="DN359" s="39"/>
      <c r="DO359" s="39"/>
      <c r="DP359" s="39"/>
      <c r="DQ359" s="39"/>
      <c r="DR359" s="39"/>
      <c r="DS359" s="39"/>
      <c r="DT359" s="39"/>
      <c r="DU359" s="39"/>
      <c r="DV359" s="39"/>
      <c r="DW359" s="39"/>
      <c r="DX359" s="39"/>
      <c r="DY359" s="39"/>
      <c r="DZ359" s="39"/>
      <c r="EA359" s="39"/>
      <c r="EB359" s="417"/>
    </row>
    <row r="360" spans="1:132" s="7" customFormat="1">
      <c r="A360" s="17"/>
      <c r="B360" s="440"/>
      <c r="C360" s="440"/>
      <c r="D360" s="440"/>
      <c r="E360" s="440"/>
      <c r="F360" s="4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  <c r="CW360" s="40"/>
      <c r="CX360" s="40"/>
      <c r="CY360" s="40"/>
      <c r="CZ360" s="40"/>
      <c r="DA360" s="40"/>
      <c r="DB360" s="40"/>
      <c r="DC360" s="40"/>
      <c r="DD360" s="40"/>
      <c r="DE360" s="40"/>
      <c r="DF360" s="40"/>
      <c r="DG360" s="40"/>
      <c r="DH360" s="40"/>
      <c r="DI360" s="40"/>
      <c r="DJ360" s="40"/>
      <c r="DK360" s="40"/>
      <c r="DL360" s="40"/>
      <c r="DM360" s="40"/>
      <c r="DN360" s="40"/>
      <c r="DO360" s="40"/>
      <c r="DP360" s="40"/>
      <c r="DQ360" s="40"/>
      <c r="DR360" s="40"/>
      <c r="DS360" s="40"/>
      <c r="DT360" s="40"/>
      <c r="DU360" s="40"/>
      <c r="DV360" s="40"/>
      <c r="DW360" s="40"/>
      <c r="DX360" s="40"/>
      <c r="DY360" s="40"/>
      <c r="DZ360" s="40"/>
      <c r="EA360" s="40"/>
      <c r="EB360" s="417"/>
    </row>
    <row r="361" spans="1:132" s="7" customFormat="1" ht="15.75">
      <c r="A361" s="25" t="s">
        <v>481</v>
      </c>
      <c r="B361" s="431"/>
      <c r="C361" s="431"/>
      <c r="D361" s="431"/>
      <c r="E361" s="431"/>
      <c r="F361" s="431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  <c r="DV361" s="26"/>
      <c r="DW361" s="26"/>
      <c r="DX361" s="26"/>
      <c r="DY361" s="26"/>
      <c r="DZ361" s="26"/>
      <c r="EA361" s="26"/>
      <c r="EB361" s="417"/>
    </row>
    <row r="362" spans="1:132" s="7" customFormat="1">
      <c r="A362" s="11" t="s">
        <v>482</v>
      </c>
      <c r="B362" s="418"/>
      <c r="C362" s="418"/>
      <c r="D362" s="418"/>
      <c r="E362" s="418"/>
      <c r="F362" s="418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  <c r="AK362" s="12">
        <v>0</v>
      </c>
      <c r="AL362" s="12">
        <v>0</v>
      </c>
      <c r="AM362" s="12">
        <v>0</v>
      </c>
      <c r="AN362" s="12">
        <v>0</v>
      </c>
      <c r="AO362" s="12">
        <v>0</v>
      </c>
      <c r="AP362" s="12">
        <v>0</v>
      </c>
      <c r="AQ362" s="12">
        <v>0</v>
      </c>
      <c r="AR362" s="12">
        <v>0</v>
      </c>
      <c r="AS362" s="12">
        <v>0</v>
      </c>
      <c r="AT362" s="12">
        <v>0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0</v>
      </c>
      <c r="BB362" s="12">
        <v>0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2">
        <v>0</v>
      </c>
      <c r="BJ362" s="12">
        <v>0</v>
      </c>
      <c r="BK362" s="12">
        <v>0</v>
      </c>
      <c r="BL362" s="12">
        <v>0</v>
      </c>
      <c r="BM362" s="12">
        <v>0</v>
      </c>
      <c r="BN362" s="12">
        <v>0</v>
      </c>
      <c r="BO362" s="12">
        <v>0</v>
      </c>
      <c r="BP362" s="12">
        <v>0</v>
      </c>
      <c r="BQ362" s="12">
        <v>0</v>
      </c>
      <c r="BR362" s="12">
        <v>0</v>
      </c>
      <c r="BS362" s="12">
        <v>0</v>
      </c>
      <c r="BT362" s="12">
        <v>0</v>
      </c>
      <c r="BU362" s="12">
        <v>0</v>
      </c>
      <c r="BV362" s="12">
        <v>0</v>
      </c>
      <c r="BW362" s="12">
        <v>0</v>
      </c>
      <c r="BX362" s="12">
        <v>0</v>
      </c>
      <c r="BY362" s="12">
        <v>0</v>
      </c>
      <c r="BZ362" s="12">
        <v>0</v>
      </c>
      <c r="CA362" s="12">
        <v>0</v>
      </c>
      <c r="CB362" s="12">
        <v>0</v>
      </c>
      <c r="CC362" s="12">
        <v>0</v>
      </c>
      <c r="CD362" s="12">
        <v>0</v>
      </c>
      <c r="CE362" s="12">
        <v>0</v>
      </c>
      <c r="CF362" s="12">
        <v>0</v>
      </c>
      <c r="CG362" s="12">
        <v>0</v>
      </c>
      <c r="CH362" s="12">
        <v>0</v>
      </c>
      <c r="CI362" s="12">
        <v>0</v>
      </c>
      <c r="CJ362" s="12">
        <v>0</v>
      </c>
      <c r="CK362" s="12">
        <v>0</v>
      </c>
      <c r="CL362" s="12">
        <v>0</v>
      </c>
      <c r="CM362" s="12">
        <v>0</v>
      </c>
      <c r="CN362" s="12">
        <v>0</v>
      </c>
      <c r="CO362" s="12">
        <v>0</v>
      </c>
      <c r="CP362" s="12">
        <v>0</v>
      </c>
      <c r="CQ362" s="12">
        <v>0</v>
      </c>
      <c r="CR362" s="12">
        <v>0</v>
      </c>
      <c r="CS362" s="12">
        <v>0</v>
      </c>
      <c r="CT362" s="12">
        <v>0</v>
      </c>
      <c r="CU362" s="12">
        <v>0</v>
      </c>
      <c r="CV362" s="12">
        <v>0</v>
      </c>
      <c r="CW362" s="12">
        <v>0</v>
      </c>
      <c r="CX362" s="12">
        <v>0</v>
      </c>
      <c r="CY362" s="12">
        <v>0</v>
      </c>
      <c r="CZ362" s="12">
        <v>0</v>
      </c>
      <c r="DA362" s="12">
        <v>0</v>
      </c>
      <c r="DB362" s="12">
        <v>0</v>
      </c>
      <c r="DC362" s="12">
        <v>0</v>
      </c>
      <c r="DD362" s="12">
        <v>0</v>
      </c>
      <c r="DE362" s="12">
        <v>0</v>
      </c>
      <c r="DF362" s="12">
        <v>0</v>
      </c>
      <c r="DG362" s="12">
        <v>0</v>
      </c>
      <c r="DH362" s="12">
        <v>0</v>
      </c>
      <c r="DI362" s="12">
        <v>0</v>
      </c>
      <c r="DJ362" s="12">
        <v>0</v>
      </c>
      <c r="DK362" s="12">
        <v>0</v>
      </c>
      <c r="DL362" s="12">
        <v>0</v>
      </c>
      <c r="DM362" s="12">
        <v>0</v>
      </c>
      <c r="DN362" s="12">
        <v>0</v>
      </c>
      <c r="DO362" s="12">
        <v>0</v>
      </c>
      <c r="DP362" s="12">
        <v>0</v>
      </c>
      <c r="DQ362" s="12">
        <v>0</v>
      </c>
      <c r="DR362" s="12">
        <v>0</v>
      </c>
      <c r="DS362" s="12">
        <v>0</v>
      </c>
      <c r="DT362" s="12">
        <v>0</v>
      </c>
      <c r="DU362" s="12">
        <v>0</v>
      </c>
      <c r="DV362" s="12">
        <v>0</v>
      </c>
      <c r="DW362" s="12">
        <v>0</v>
      </c>
      <c r="DX362" s="12">
        <v>0</v>
      </c>
      <c r="DY362" s="12">
        <v>0</v>
      </c>
      <c r="DZ362" s="12">
        <v>0</v>
      </c>
      <c r="EA362" s="12">
        <v>0</v>
      </c>
      <c r="EB362" s="417"/>
    </row>
    <row r="363" spans="1:132" s="7" customFormat="1">
      <c r="A363" s="11" t="s">
        <v>483</v>
      </c>
      <c r="B363" s="418"/>
      <c r="C363" s="418"/>
      <c r="D363" s="418"/>
      <c r="E363" s="418"/>
      <c r="F363" s="418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0</v>
      </c>
      <c r="BO363" s="12">
        <v>0</v>
      </c>
      <c r="BP363" s="12">
        <v>0</v>
      </c>
      <c r="BQ363" s="12">
        <v>0</v>
      </c>
      <c r="BR363" s="12">
        <v>0</v>
      </c>
      <c r="BS363" s="12">
        <v>0</v>
      </c>
      <c r="BT363" s="12">
        <v>0</v>
      </c>
      <c r="BU363" s="12">
        <v>0</v>
      </c>
      <c r="BV363" s="12">
        <v>0</v>
      </c>
      <c r="BW363" s="12">
        <v>0</v>
      </c>
      <c r="BX363" s="12">
        <v>0</v>
      </c>
      <c r="BY363" s="12">
        <v>0</v>
      </c>
      <c r="BZ363" s="12">
        <v>0</v>
      </c>
      <c r="CA363" s="12">
        <v>0</v>
      </c>
      <c r="CB363" s="12">
        <v>0</v>
      </c>
      <c r="CC363" s="12">
        <v>0</v>
      </c>
      <c r="CD363" s="12">
        <v>0</v>
      </c>
      <c r="CE363" s="12">
        <v>0</v>
      </c>
      <c r="CF363" s="12">
        <v>0</v>
      </c>
      <c r="CG363" s="12">
        <v>0</v>
      </c>
      <c r="CH363" s="12">
        <v>0</v>
      </c>
      <c r="CI363" s="12">
        <v>0</v>
      </c>
      <c r="CJ363" s="12">
        <v>0</v>
      </c>
      <c r="CK363" s="12">
        <v>0</v>
      </c>
      <c r="CL363" s="12">
        <v>0</v>
      </c>
      <c r="CM363" s="12">
        <v>0</v>
      </c>
      <c r="CN363" s="12">
        <v>0</v>
      </c>
      <c r="CO363" s="12">
        <v>0</v>
      </c>
      <c r="CP363" s="12">
        <v>0</v>
      </c>
      <c r="CQ363" s="12">
        <v>0</v>
      </c>
      <c r="CR363" s="12">
        <v>0</v>
      </c>
      <c r="CS363" s="12">
        <v>0</v>
      </c>
      <c r="CT363" s="12">
        <v>0</v>
      </c>
      <c r="CU363" s="12">
        <v>0</v>
      </c>
      <c r="CV363" s="12">
        <v>0</v>
      </c>
      <c r="CW363" s="12">
        <v>0</v>
      </c>
      <c r="CX363" s="12">
        <v>0</v>
      </c>
      <c r="CY363" s="12">
        <v>0</v>
      </c>
      <c r="CZ363" s="12">
        <v>0</v>
      </c>
      <c r="DA363" s="12">
        <v>0</v>
      </c>
      <c r="DB363" s="12">
        <v>0</v>
      </c>
      <c r="DC363" s="12">
        <v>0</v>
      </c>
      <c r="DD363" s="12">
        <v>0</v>
      </c>
      <c r="DE363" s="12">
        <v>0</v>
      </c>
      <c r="DF363" s="12">
        <v>0</v>
      </c>
      <c r="DG363" s="12">
        <v>0</v>
      </c>
      <c r="DH363" s="12">
        <v>0</v>
      </c>
      <c r="DI363" s="12">
        <v>0</v>
      </c>
      <c r="DJ363" s="12">
        <v>0</v>
      </c>
      <c r="DK363" s="12">
        <v>0</v>
      </c>
      <c r="DL363" s="12">
        <v>0</v>
      </c>
      <c r="DM363" s="12">
        <v>0</v>
      </c>
      <c r="DN363" s="12">
        <v>0</v>
      </c>
      <c r="DO363" s="12">
        <v>0</v>
      </c>
      <c r="DP363" s="12">
        <v>0</v>
      </c>
      <c r="DQ363" s="12">
        <v>0</v>
      </c>
      <c r="DR363" s="12">
        <v>0</v>
      </c>
      <c r="DS363" s="12">
        <v>0</v>
      </c>
      <c r="DT363" s="12">
        <v>0</v>
      </c>
      <c r="DU363" s="12">
        <v>0</v>
      </c>
      <c r="DV363" s="12">
        <v>0</v>
      </c>
      <c r="DW363" s="12">
        <v>0</v>
      </c>
      <c r="DX363" s="12">
        <v>0</v>
      </c>
      <c r="DY363" s="12">
        <v>0</v>
      </c>
      <c r="DZ363" s="12">
        <v>0</v>
      </c>
      <c r="EA363" s="12">
        <v>0</v>
      </c>
      <c r="EB363" s="417"/>
    </row>
    <row r="364" spans="1:132" s="7" customFormat="1">
      <c r="A364" s="17"/>
      <c r="B364" s="429"/>
      <c r="C364" s="429"/>
      <c r="D364" s="429"/>
      <c r="E364" s="429"/>
      <c r="F364" s="429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417"/>
    </row>
    <row r="365" spans="1:132" s="7" customFormat="1" ht="15.75">
      <c r="A365" s="25" t="s">
        <v>484</v>
      </c>
      <c r="B365" s="431"/>
      <c r="C365" s="431"/>
      <c r="D365" s="431"/>
      <c r="E365" s="431"/>
      <c r="F365" s="431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  <c r="DV365" s="26"/>
      <c r="DW365" s="26"/>
      <c r="DX365" s="26"/>
      <c r="DY365" s="26"/>
      <c r="DZ365" s="26"/>
      <c r="EA365" s="26"/>
      <c r="EB365" s="417"/>
    </row>
    <row r="366" spans="1:132" s="7" customFormat="1">
      <c r="A366" s="17" t="s">
        <v>485</v>
      </c>
      <c r="B366" s="434"/>
      <c r="C366" s="434"/>
      <c r="D366" s="434"/>
      <c r="E366" s="434"/>
      <c r="F366" s="43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24"/>
      <c r="DJ366" s="24"/>
      <c r="DK366" s="24"/>
      <c r="DL366" s="24"/>
      <c r="DM366" s="24"/>
      <c r="DN366" s="24"/>
      <c r="DO366" s="24"/>
      <c r="DP366" s="24"/>
      <c r="DQ366" s="24"/>
      <c r="DR366" s="24"/>
      <c r="DS366" s="24"/>
      <c r="DT366" s="24"/>
      <c r="DU366" s="24"/>
      <c r="DV366" s="24"/>
      <c r="DW366" s="24"/>
      <c r="DX366" s="24"/>
      <c r="DY366" s="24"/>
      <c r="DZ366" s="24"/>
      <c r="EA366" s="24"/>
      <c r="EB366" s="417"/>
    </row>
    <row r="367" spans="1:132" s="7" customFormat="1">
      <c r="A367" s="11" t="s">
        <v>486</v>
      </c>
      <c r="B367" s="418"/>
      <c r="C367" s="418"/>
      <c r="D367" s="418"/>
      <c r="E367" s="418"/>
      <c r="F367" s="418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 t="e">
        <f>'Cash Flow'!B9/1000</f>
        <v>#VALUE!</v>
      </c>
      <c r="AB367" s="12">
        <f>'Cash Flow'!C9/1000</f>
        <v>-0.72899999999999998</v>
      </c>
      <c r="AC367" s="12">
        <f>'Cash Flow'!D9/1000</f>
        <v>1.33</v>
      </c>
      <c r="AD367" s="12">
        <f>'Cash Flow'!E9/1000</f>
        <v>-13.731</v>
      </c>
      <c r="AE367" s="12" t="e">
        <f>'Cash Flow'!F9/1000</f>
        <v>#VALUE!</v>
      </c>
      <c r="AF367" s="12">
        <f>'Cash Flow'!G9/1000</f>
        <v>-12.410500000000001</v>
      </c>
      <c r="AG367" s="12">
        <f>'Cash Flow'!H9/1000</f>
        <v>-11.955500000000001</v>
      </c>
      <c r="AH367" s="12">
        <f>'Cash Flow'!I9/1000</f>
        <v>6.7000000000000004E-2</v>
      </c>
      <c r="AI367" s="12">
        <f>'Cash Flow'!J9/1000</f>
        <v>-1.8819999999999999</v>
      </c>
      <c r="AJ367" s="12">
        <f>'Cash Flow'!K9/1000</f>
        <v>-26.181000000000001</v>
      </c>
      <c r="AK367" s="12">
        <f>'Cash Flow'!L9/1000</f>
        <v>-3.649</v>
      </c>
      <c r="AL367" s="12">
        <f>'Cash Flow'!M9/1000</f>
        <v>-71.100999999999999</v>
      </c>
      <c r="AM367" s="12">
        <f>'Cash Flow'!N9/1000</f>
        <v>-0.46500000000000002</v>
      </c>
      <c r="AN367" s="12">
        <f>'Cash Flow'!O9/1000</f>
        <v>-30.143999999999998</v>
      </c>
      <c r="AO367" s="12">
        <f>'Cash Flow'!P9/1000</f>
        <v>-105.35899999999999</v>
      </c>
      <c r="AP367" s="12">
        <f>'Cash Flow'!Q9/1000</f>
        <v>-306.911</v>
      </c>
      <c r="AQ367" s="12">
        <f>'Cash Flow'!R9/1000</f>
        <v>308.06400000000002</v>
      </c>
      <c r="AR367" s="12">
        <f>'Cash Flow'!S9/1000</f>
        <v>-12.122999999999999</v>
      </c>
      <c r="AS367" s="12">
        <f>'Cash Flow'!T9/1000</f>
        <v>-24.870999999999999</v>
      </c>
      <c r="AT367" s="12">
        <f>'Cash Flow'!U9/1000</f>
        <v>-35.841000000000001</v>
      </c>
      <c r="AU367" s="12">
        <f>'Cash Flow'!V9/1000</f>
        <v>-20.893999999999998</v>
      </c>
      <c r="AV367" s="12">
        <f>'Cash Flow'!W9/1000</f>
        <v>-16.931000000000001</v>
      </c>
      <c r="AW367" s="12">
        <f>'Cash Flow'!X9/1000</f>
        <v>-12.366</v>
      </c>
      <c r="AX367" s="12">
        <f>'Cash Flow'!Y9/1000</f>
        <v>-144.922</v>
      </c>
      <c r="AY367" s="12">
        <f>'Cash Flow'!Z9/1000</f>
        <v>-195.113</v>
      </c>
      <c r="AZ367" s="12">
        <f>'Cash Flow'!AA9/1000</f>
        <v>-12.888</v>
      </c>
      <c r="BA367" s="12">
        <f>'Cash Flow'!AB9/1000</f>
        <v>-32.920999999999999</v>
      </c>
      <c r="BB367" s="12">
        <f>'Cash Flow'!AC9/1000</f>
        <v>177.24600000000001</v>
      </c>
      <c r="BC367" s="12">
        <f>'Cash Flow'!AD9/1000</f>
        <v>-16.023</v>
      </c>
      <c r="BD367" s="12">
        <f>'Cash Flow'!AE9/1000</f>
        <v>115.414</v>
      </c>
      <c r="BE367" s="12">
        <f>'Cash Flow'!AF9/1000</f>
        <v>-21.167000000000002</v>
      </c>
      <c r="BF367" s="12">
        <f>'Cash Flow'!AG9/1000</f>
        <v>-20.414000000000001</v>
      </c>
      <c r="BG367" s="12">
        <f>'Cash Flow'!AH9/1000</f>
        <v>-15.836</v>
      </c>
      <c r="BH367" s="12">
        <f>'Cash Flow'!AI9/1000</f>
        <v>-14.180999999999999</v>
      </c>
      <c r="BI367" s="12">
        <f>'Cash Flow'!AJ9/1000</f>
        <v>-71.597999999999999</v>
      </c>
      <c r="BJ367" s="12">
        <f>'Cash Flow'!AK9/1000</f>
        <v>-3.2000000000000001E-2</v>
      </c>
      <c r="BK367" s="12">
        <f>'Cash Flow'!AL9/1000</f>
        <v>-5.181</v>
      </c>
      <c r="BL367" s="12">
        <f>'Cash Flow'!AM9/1000</f>
        <v>-32.146000000000001</v>
      </c>
      <c r="BM367" s="12">
        <f>'Cash Flow'!AN9/1000</f>
        <v>-22.795000000000002</v>
      </c>
      <c r="BN367" s="12">
        <f>'Cash Flow'!AO9/1000</f>
        <v>-60.154000000000003</v>
      </c>
      <c r="BO367" s="12">
        <f>'Cash Flow'!AP9/1000</f>
        <v>-14.916</v>
      </c>
      <c r="BP367" s="12">
        <f>'Cash Flow'!AQ9/1000</f>
        <v>-28.518000000000001</v>
      </c>
      <c r="BQ367" s="12">
        <f>'Cash Flow'!AR9/1000</f>
        <v>-17.614000000000001</v>
      </c>
      <c r="BR367" s="12">
        <f>'Cash Flow'!AS9/1000</f>
        <v>-583.81200000000001</v>
      </c>
      <c r="BS367" s="12">
        <f>'Cash Flow'!AT9/1000</f>
        <v>-644.86</v>
      </c>
      <c r="BT367" s="12">
        <f>'Cash Flow'!AU9/1000</f>
        <v>-406.298</v>
      </c>
      <c r="BU367" s="12">
        <f>'Cash Flow'!AV9/1000</f>
        <v>356.625</v>
      </c>
      <c r="BV367" s="12">
        <f>'Cash Flow'!AW9/1000</f>
        <v>-38.624000000000002</v>
      </c>
      <c r="BW367" s="12">
        <f>'Cash Flow'!AX9/1000</f>
        <v>-45.360999999999997</v>
      </c>
      <c r="BX367" s="12">
        <f>'Cash Flow'!AY9/1000</f>
        <v>-133.65799999999999</v>
      </c>
      <c r="BY367" s="12">
        <f>'Cash Flow'!AZ9/1000</f>
        <v>-40.64</v>
      </c>
      <c r="BZ367" s="12">
        <f>'Cash Flow'!BA9/1000</f>
        <v>-25.640999999999998</v>
      </c>
      <c r="CA367" s="12">
        <f>'Cash Flow'!BB9/1000</f>
        <v>-37.295000000000002</v>
      </c>
      <c r="CB367" s="12">
        <f>'Cash Flow'!BC9/1000</f>
        <v>11.925000000000001</v>
      </c>
      <c r="CC367" s="12">
        <f>'Cash Flow'!BD9/1000</f>
        <v>-91.650999999999996</v>
      </c>
      <c r="CD367" s="12">
        <f>'Cash Flow'!BE9/1000</f>
        <v>29.088000000000001</v>
      </c>
      <c r="CE367" s="12">
        <f>'Cash Flow'!BF9/1000</f>
        <v>-121.867</v>
      </c>
      <c r="CF367" s="12">
        <f>'Cash Flow'!BG9/1000</f>
        <v>5.6390000000000002</v>
      </c>
      <c r="CG367" s="12">
        <f>'Cash Flow'!BH9/1000</f>
        <v>16.172999999999998</v>
      </c>
      <c r="CH367" s="12">
        <f>'Cash Flow'!BI9/1000</f>
        <v>-70.966999999999999</v>
      </c>
      <c r="CI367" s="12">
        <f>'Cash Flow'!BJ9/1000</f>
        <v>30.763999999999999</v>
      </c>
      <c r="CJ367" s="12">
        <f>'Cash Flow'!BK9/1000</f>
        <v>-4.3719999999999999</v>
      </c>
      <c r="CK367" s="12">
        <f>'Cash Flow'!BL9/1000</f>
        <v>-60.558</v>
      </c>
      <c r="CL367" s="12">
        <f>'Cash Flow'!BM9/1000</f>
        <v>-138.96199999999999</v>
      </c>
      <c r="CM367" s="12">
        <f>'Cash Flow'!BN9/1000</f>
        <v>-173.12799999999999</v>
      </c>
      <c r="CN367" s="12">
        <f>'Cash Flow'!BO9/1000</f>
        <v>-9.3160000000000007</v>
      </c>
      <c r="CO367" s="12">
        <f>'Cash Flow'!BP9/1000</f>
        <v>-9.6890000000000001</v>
      </c>
      <c r="CP367" s="12">
        <f>'Cash Flow'!BQ9/1000</f>
        <v>104.087</v>
      </c>
      <c r="CQ367" s="12">
        <f>'Cash Flow'!BR9/1000</f>
        <v>-12.23</v>
      </c>
      <c r="CR367" s="12">
        <f>'Cash Flow'!BS9/1000</f>
        <v>72.852000000000004</v>
      </c>
      <c r="CS367" s="12">
        <f>'Cash Flow'!BT9/1000</f>
        <v>-96.423000000000002</v>
      </c>
      <c r="CT367" s="12">
        <f>'Cash Flow'!BU9/1000</f>
        <v>30.446000000000002</v>
      </c>
      <c r="CU367" s="12">
        <f>'Cash Flow'!BV9/1000</f>
        <v>-3.677</v>
      </c>
      <c r="CV367" s="12">
        <f>'Cash Flow'!BW9/1000</f>
        <v>-26.295999999999999</v>
      </c>
      <c r="CW367" s="12">
        <f>'Cash Flow'!BX9/1000</f>
        <v>-95.95</v>
      </c>
      <c r="CX367" s="12">
        <f>'Cash Flow'!BY9/1000</f>
        <v>63.981000000000002</v>
      </c>
      <c r="CY367" s="12">
        <f>'Cash Flow'!BZ9/1000</f>
        <v>7.8810000000000002</v>
      </c>
      <c r="CZ367" s="12">
        <f>'Cash Flow'!CA9/1000</f>
        <v>-94.950999999999993</v>
      </c>
      <c r="DA367" s="12">
        <f>'Cash Flow'!CB9/1000</f>
        <v>-14.319000000000001</v>
      </c>
      <c r="DB367" s="12">
        <f>'Cash Flow'!CC9/1000</f>
        <v>-37.408000000000001</v>
      </c>
      <c r="DC367" s="12">
        <f>'Cash Flow'!CD9/1000</f>
        <v>14.22</v>
      </c>
      <c r="DD367" s="12">
        <f>'Cash Flow'!CE9/1000</f>
        <v>-4.274</v>
      </c>
      <c r="DE367" s="12">
        <f>'Cash Flow'!CF9/1000</f>
        <v>-1285.989</v>
      </c>
      <c r="DF367" s="12">
        <f>'Cash Flow'!CG9/1000</f>
        <v>-0.441</v>
      </c>
      <c r="DG367" s="12">
        <f>'Cash Flow'!CH9/1000</f>
        <v>-1276.4839999999999</v>
      </c>
      <c r="DH367" s="12">
        <f>'Cash Flow'!CI9/1000</f>
        <v>-85.543999999999997</v>
      </c>
      <c r="DI367" s="12">
        <f>'Cash Flow'!CJ9/1000</f>
        <v>8.3979999999999997</v>
      </c>
      <c r="DJ367" s="12">
        <f>'Cash Flow'!CK9/1000</f>
        <v>-69.158000000000001</v>
      </c>
      <c r="DK367" s="12">
        <f>'Cash Flow'!CL9/1000</f>
        <v>36.445</v>
      </c>
      <c r="DL367" s="12">
        <f>'Cash Flow'!CM9/1000</f>
        <v>-109.85899999999999</v>
      </c>
      <c r="DM367" s="12">
        <f>'Cash Flow'!CN9/1000</f>
        <v>-130.79300000000001</v>
      </c>
      <c r="DN367" s="12">
        <f>'Cash Flow'!CO9/1000</f>
        <v>-145.63399999999999</v>
      </c>
      <c r="DO367" s="12">
        <f>'Cash Flow'!CP9/1000</f>
        <v>-169.34399999999999</v>
      </c>
      <c r="DP367" s="12">
        <f>'Cash Flow'!CQ9/1000</f>
        <v>22.555</v>
      </c>
      <c r="DQ367" s="12">
        <f>'Cash Flow'!CR9/1000</f>
        <v>-423.21600000000001</v>
      </c>
      <c r="DR367" s="12">
        <f>'Cash Flow'!CS9/1000</f>
        <v>-78.091999999999999</v>
      </c>
      <c r="DS367" s="12">
        <f>'Cash Flow'!CT9/1000</f>
        <v>-40.777000000000001</v>
      </c>
      <c r="DT367" s="12">
        <f>'Cash Flow'!CU9/1000</f>
        <v>-83.998000000000005</v>
      </c>
      <c r="DU367" s="12">
        <f>'Cash Flow'!CV9/1000</f>
        <v>-71.353999999999999</v>
      </c>
      <c r="DV367" s="12">
        <f>'Cash Flow'!CW9/1000</f>
        <v>-274.221</v>
      </c>
      <c r="DW367" s="12">
        <f>'Cash Flow'!CX9/1000</f>
        <v>-135.238</v>
      </c>
      <c r="DX367" s="12">
        <f>'Cash Flow'!CY9/1000</f>
        <v>-200.184</v>
      </c>
      <c r="DY367" s="12">
        <f>'Cash Flow'!CZ9/1000</f>
        <v>-168.90100000000001</v>
      </c>
      <c r="DZ367" s="12">
        <f>'Cash Flow'!DA9/1000</f>
        <v>-256.60300000000001</v>
      </c>
      <c r="EA367" s="12">
        <f>'Cash Flow'!DB9/1000</f>
        <v>-760.92600000000004</v>
      </c>
      <c r="EB367" s="417"/>
    </row>
    <row r="368" spans="1:132" s="7" customFormat="1">
      <c r="A368" s="11" t="s">
        <v>487</v>
      </c>
      <c r="B368" s="418"/>
      <c r="C368" s="418"/>
      <c r="D368" s="418"/>
      <c r="E368" s="418"/>
      <c r="F368" s="418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 t="e">
        <f>'Cash Flow'!B6/1000</f>
        <v>#VALUE!</v>
      </c>
      <c r="AB368" s="12">
        <f>'Cash Flow'!C6/1000</f>
        <v>-2.7330000000000001</v>
      </c>
      <c r="AC368" s="12">
        <f>'Cash Flow'!D6/1000</f>
        <v>-30.388000000000002</v>
      </c>
      <c r="AD368" s="12">
        <f>'Cash Flow'!E6/1000</f>
        <v>-288.97300000000001</v>
      </c>
      <c r="AE368" s="12" t="e">
        <f>'Cash Flow'!F6/1000</f>
        <v>#VALUE!</v>
      </c>
      <c r="AF368" s="12">
        <f>'Cash Flow'!G6/1000</f>
        <v>57.271500000000003</v>
      </c>
      <c r="AG368" s="12">
        <f>'Cash Flow'!H6/1000</f>
        <v>-81.490499999999997</v>
      </c>
      <c r="AH368" s="12">
        <f>'Cash Flow'!I6/1000</f>
        <v>-92.436999999999998</v>
      </c>
      <c r="AI368" s="12">
        <f>'Cash Flow'!J6/1000</f>
        <v>-47.612000000000002</v>
      </c>
      <c r="AJ368" s="12">
        <f>'Cash Flow'!K6/1000</f>
        <v>-164.268</v>
      </c>
      <c r="AK368" s="12">
        <f>'Cash Flow'!L6/1000</f>
        <v>-153.101</v>
      </c>
      <c r="AL368" s="12">
        <f>'Cash Flow'!M6/1000</f>
        <v>-190.14400000000001</v>
      </c>
      <c r="AM368" s="12">
        <f>'Cash Flow'!N6/1000</f>
        <v>-116.232</v>
      </c>
      <c r="AN368" s="12">
        <f>'Cash Flow'!O6/1000</f>
        <v>-189.554</v>
      </c>
      <c r="AO368" s="12">
        <f>'Cash Flow'!P6/1000</f>
        <v>-649.03099999999995</v>
      </c>
      <c r="AP368" s="12">
        <f>'Cash Flow'!Q6/1000</f>
        <v>-100.386</v>
      </c>
      <c r="AQ368" s="12">
        <f>'Cash Flow'!R6/1000</f>
        <v>-130.43700000000001</v>
      </c>
      <c r="AR368" s="12">
        <f>'Cash Flow'!S6/1000</f>
        <v>-142.517</v>
      </c>
      <c r="AS368" s="12">
        <f>'Cash Flow'!T6/1000</f>
        <v>-283.63200000000001</v>
      </c>
      <c r="AT368" s="12">
        <f>'Cash Flow'!U6/1000</f>
        <v>-656.97199999999998</v>
      </c>
      <c r="AU368" s="12">
        <f>'Cash Flow'!V6/1000</f>
        <v>-366.48099999999999</v>
      </c>
      <c r="AV368" s="12">
        <f>'Cash Flow'!W6/1000</f>
        <v>-374.33300000000003</v>
      </c>
      <c r="AW368" s="12">
        <f>'Cash Flow'!X6/1000</f>
        <v>-379.892</v>
      </c>
      <c r="AX368" s="12">
        <f>'Cash Flow'!Y6/1000</f>
        <v>13.087999999999999</v>
      </c>
      <c r="AY368" s="12">
        <f>'Cash Flow'!Z6/1000</f>
        <v>-1107.6179999999999</v>
      </c>
      <c r="AZ368" s="12">
        <f>'Cash Flow'!AA6/1000</f>
        <v>-174.41200000000001</v>
      </c>
      <c r="BA368" s="12">
        <f>'Cash Flow'!AB6/1000</f>
        <v>-509.23</v>
      </c>
      <c r="BB368" s="12">
        <f>'Cash Flow'!AC6/1000</f>
        <v>-533.98900000000003</v>
      </c>
      <c r="BC368" s="12">
        <f>'Cash Flow'!AD6/1000</f>
        <v>-451.16</v>
      </c>
      <c r="BD368" s="12">
        <f>'Cash Flow'!AE6/1000</f>
        <v>-1668.7909999999999</v>
      </c>
      <c r="BE368" s="12">
        <f>'Cash Flow'!AF6/1000</f>
        <v>-504.08</v>
      </c>
      <c r="BF368" s="12">
        <f>'Cash Flow'!AG6/1000</f>
        <v>-404.25900000000001</v>
      </c>
      <c r="BG368" s="12">
        <f>'Cash Flow'!AH6/1000</f>
        <v>-439.072</v>
      </c>
      <c r="BH368" s="12">
        <f>'Cash Flow'!AI6/1000</f>
        <v>-483.30200000000002</v>
      </c>
      <c r="BI368" s="12">
        <f>'Cash Flow'!AJ6/1000</f>
        <v>-1830.713</v>
      </c>
      <c r="BJ368" s="12">
        <f>'Cash Flow'!AK6/1000</f>
        <v>-226.13900000000001</v>
      </c>
      <c r="BK368" s="12">
        <f>'Cash Flow'!AL6/1000</f>
        <v>-120.002</v>
      </c>
      <c r="BL368" s="12">
        <f>'Cash Flow'!AM6/1000</f>
        <v>-260.89400000000001</v>
      </c>
      <c r="BM368" s="12">
        <f>'Cash Flow'!AN6/1000</f>
        <v>0.33600000000000002</v>
      </c>
      <c r="BN368" s="12">
        <f>'Cash Flow'!AO6/1000</f>
        <v>-606.69899999999996</v>
      </c>
      <c r="BO368" s="12">
        <f>'Cash Flow'!AP6/1000</f>
        <v>-60.429000000000002</v>
      </c>
      <c r="BP368" s="12">
        <f>'Cash Flow'!AQ6/1000</f>
        <v>-122.396</v>
      </c>
      <c r="BQ368" s="12">
        <f>'Cash Flow'!AR6/1000</f>
        <v>-62.639000000000003</v>
      </c>
      <c r="BR368" s="12">
        <f>'Cash Flow'!AS6/1000</f>
        <v>312.37299999999999</v>
      </c>
      <c r="BS368" s="12">
        <f>'Cash Flow'!AT6/1000</f>
        <v>66.909000000000006</v>
      </c>
      <c r="BT368" s="12">
        <f>'Cash Flow'!AU6/1000</f>
        <v>48.069000000000003</v>
      </c>
      <c r="BU368" s="12">
        <f>'Cash Flow'!AV6/1000</f>
        <v>-236.34700000000001</v>
      </c>
      <c r="BV368" s="12">
        <f>'Cash Flow'!AW6/1000</f>
        <v>-259.36700000000002</v>
      </c>
      <c r="BW368" s="12">
        <f>'Cash Flow'!AX6/1000</f>
        <v>-250.08600000000001</v>
      </c>
      <c r="BX368" s="12">
        <f>'Cash Flow'!AY6/1000</f>
        <v>-697.73099999999999</v>
      </c>
      <c r="BY368" s="12">
        <f>'Cash Flow'!AZ6/1000</f>
        <v>59.837000000000003</v>
      </c>
      <c r="BZ368" s="12">
        <f>'Cash Flow'!BA6/1000</f>
        <v>-61.962000000000003</v>
      </c>
      <c r="CA368" s="12">
        <f>'Cash Flow'!BB6/1000</f>
        <v>-45.558999999999997</v>
      </c>
      <c r="CB368" s="12">
        <f>'Cash Flow'!BC6/1000</f>
        <v>248.458</v>
      </c>
      <c r="CC368" s="12">
        <f>'Cash Flow'!BD6/1000</f>
        <v>200.774</v>
      </c>
      <c r="CD368" s="12">
        <f>'Cash Flow'!BE6/1000</f>
        <v>252.70599999999999</v>
      </c>
      <c r="CE368" s="12">
        <f>'Cash Flow'!BF6/1000</f>
        <v>367.18</v>
      </c>
      <c r="CF368" s="12">
        <f>'Cash Flow'!BG6/1000</f>
        <v>-215.553</v>
      </c>
      <c r="CG368" s="12">
        <f>'Cash Flow'!BH6/1000</f>
        <v>-5.9180000000000001</v>
      </c>
      <c r="CH368" s="12">
        <f>'Cash Flow'!BI6/1000</f>
        <v>398.41500000000002</v>
      </c>
      <c r="CI368" s="12">
        <f>'Cash Flow'!BJ6/1000</f>
        <v>-77.861000000000004</v>
      </c>
      <c r="CJ368" s="12">
        <f>'Cash Flow'!BK6/1000</f>
        <v>-17.370999999999999</v>
      </c>
      <c r="CK368" s="12">
        <f>'Cash Flow'!BL6/1000</f>
        <v>-193.72200000000001</v>
      </c>
      <c r="CL368" s="12">
        <f>'Cash Flow'!BM6/1000</f>
        <v>331.03899999999999</v>
      </c>
      <c r="CM368" s="12">
        <f>'Cash Flow'!BN6/1000</f>
        <v>42.085000000000001</v>
      </c>
      <c r="CN368" s="12">
        <f>'Cash Flow'!BO6/1000</f>
        <v>94.49</v>
      </c>
      <c r="CO368" s="12">
        <f>'Cash Flow'!BP6/1000</f>
        <v>295.92399999999998</v>
      </c>
      <c r="CP368" s="12">
        <f>'Cash Flow'!BQ6/1000</f>
        <v>166.39599999999999</v>
      </c>
      <c r="CQ368" s="12">
        <f>'Cash Flow'!BR6/1000</f>
        <v>300.73700000000002</v>
      </c>
      <c r="CR368" s="12">
        <f>'Cash Flow'!BS6/1000</f>
        <v>857.54700000000003</v>
      </c>
      <c r="CS368" s="12">
        <f>'Cash Flow'!BT6/1000</f>
        <v>633.10500000000002</v>
      </c>
      <c r="CT368" s="12">
        <f>'Cash Flow'!BU6/1000</f>
        <v>175.179</v>
      </c>
      <c r="CU368" s="12">
        <f>'Cash Flow'!BV6/1000</f>
        <v>289.57</v>
      </c>
      <c r="CV368" s="12">
        <f>'Cash Flow'!BW6/1000</f>
        <v>112.747</v>
      </c>
      <c r="CW368" s="12">
        <f>'Cash Flow'!BX6/1000</f>
        <v>1210.6010000000001</v>
      </c>
      <c r="CX368" s="12">
        <f>'Cash Flow'!BY6/1000</f>
        <v>44.177</v>
      </c>
      <c r="CY368" s="12">
        <f>'Cash Flow'!BZ6/1000</f>
        <v>242.61799999999999</v>
      </c>
      <c r="CZ368" s="12">
        <f>'Cash Flow'!CA6/1000</f>
        <v>-81.799000000000007</v>
      </c>
      <c r="DA368" s="12">
        <f>'Cash Flow'!CB6/1000</f>
        <v>100.557</v>
      </c>
      <c r="DB368" s="12">
        <f>'Cash Flow'!CC6/1000</f>
        <v>305.553</v>
      </c>
      <c r="DC368" s="12">
        <f>'Cash Flow'!CD6/1000</f>
        <v>12.475</v>
      </c>
      <c r="DD368" s="12">
        <f>'Cash Flow'!CE6/1000</f>
        <v>-139.67699999999999</v>
      </c>
      <c r="DE368" s="12">
        <f>'Cash Flow'!CF6/1000</f>
        <v>943.95</v>
      </c>
      <c r="DF368" s="12">
        <f>'Cash Flow'!CG6/1000</f>
        <v>-55.543999999999997</v>
      </c>
      <c r="DG368" s="12">
        <f>'Cash Flow'!CH6/1000</f>
        <v>761.20399999999995</v>
      </c>
      <c r="DH368" s="12">
        <f>'Cash Flow'!CI6/1000</f>
        <v>-117.03700000000001</v>
      </c>
      <c r="DI368" s="12">
        <f>'Cash Flow'!CJ6/1000</f>
        <v>-140.13499999999999</v>
      </c>
      <c r="DJ368" s="12">
        <f>'Cash Flow'!CK6/1000</f>
        <v>-65.144000000000005</v>
      </c>
      <c r="DK368" s="12">
        <f>'Cash Flow'!CL6/1000</f>
        <v>-296.18700000000001</v>
      </c>
      <c r="DL368" s="12">
        <f>'Cash Flow'!CM6/1000</f>
        <v>-618.50300000000004</v>
      </c>
      <c r="DM368" s="12">
        <f>'Cash Flow'!CN6/1000</f>
        <v>-186.41</v>
      </c>
      <c r="DN368" s="12">
        <f>'Cash Flow'!CO6/1000</f>
        <v>83.781999999999996</v>
      </c>
      <c r="DO368" s="12">
        <f>'Cash Flow'!CP6/1000</f>
        <v>293.798</v>
      </c>
      <c r="DP368" s="12">
        <f>'Cash Flow'!CQ6/1000</f>
        <v>-745.40200000000004</v>
      </c>
      <c r="DQ368" s="12">
        <f>'Cash Flow'!CR6/1000</f>
        <v>-554.23199999999997</v>
      </c>
      <c r="DR368" s="12">
        <f>'Cash Flow'!CS6/1000</f>
        <v>-177.60300000000001</v>
      </c>
      <c r="DS368" s="12">
        <f>'Cash Flow'!CT6/1000</f>
        <v>-264.94900000000001</v>
      </c>
      <c r="DT368" s="12">
        <f>'Cash Flow'!CU6/1000</f>
        <v>-123.236</v>
      </c>
      <c r="DU368" s="12">
        <f>'Cash Flow'!CV6/1000</f>
        <v>-324.21699999999998</v>
      </c>
      <c r="DV368" s="12">
        <f>'Cash Flow'!CW6/1000</f>
        <v>-890.005</v>
      </c>
      <c r="DW368" s="12">
        <f>'Cash Flow'!CX6/1000</f>
        <v>3.13</v>
      </c>
      <c r="DX368" s="12">
        <f>'Cash Flow'!CY6/1000</f>
        <v>-482.57</v>
      </c>
      <c r="DY368" s="12">
        <f>'Cash Flow'!CZ6/1000</f>
        <v>-475.798</v>
      </c>
      <c r="DZ368" s="12">
        <f>'Cash Flow'!DA6/1000</f>
        <v>-391.30900000000003</v>
      </c>
      <c r="EA368" s="12">
        <f>'Cash Flow'!DB6/1000</f>
        <v>-1346.547</v>
      </c>
      <c r="EB368" s="417"/>
    </row>
    <row r="369" spans="1:132" s="7" customFormat="1">
      <c r="A369" s="17" t="s">
        <v>488</v>
      </c>
      <c r="B369" s="433"/>
      <c r="C369" s="433"/>
      <c r="D369" s="433"/>
      <c r="E369" s="433"/>
      <c r="F369" s="433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4"/>
      <c r="DJ369" s="14"/>
      <c r="DK369" s="14"/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417"/>
    </row>
    <row r="370" spans="1:132" s="7" customFormat="1">
      <c r="A370" s="17" t="s">
        <v>489</v>
      </c>
      <c r="B370" s="434"/>
      <c r="C370" s="434"/>
      <c r="D370" s="434"/>
      <c r="E370" s="434"/>
      <c r="F370" s="43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  <c r="DI370" s="24"/>
      <c r="DJ370" s="24"/>
      <c r="DK370" s="24"/>
      <c r="DL370" s="24"/>
      <c r="DM370" s="24"/>
      <c r="DN370" s="24"/>
      <c r="DO370" s="24"/>
      <c r="DP370" s="24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/>
      <c r="EB370" s="417"/>
    </row>
    <row r="371" spans="1:132" s="7" customFormat="1" ht="13.5" thickBot="1">
      <c r="A371" s="17" t="s">
        <v>490</v>
      </c>
      <c r="B371" s="439"/>
      <c r="C371" s="439"/>
      <c r="D371" s="439"/>
      <c r="E371" s="439"/>
      <c r="F371" s="439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  <c r="DC371" s="18"/>
      <c r="DD371" s="18"/>
      <c r="DE371" s="18"/>
      <c r="DF371" s="18"/>
      <c r="DG371" s="18"/>
      <c r="DH371" s="18"/>
      <c r="DI371" s="18"/>
      <c r="DJ371" s="18"/>
      <c r="DK371" s="18"/>
      <c r="DL371" s="18"/>
      <c r="DM371" s="18"/>
      <c r="DN371" s="18"/>
      <c r="DO371" s="18"/>
      <c r="DP371" s="18"/>
      <c r="DQ371" s="18"/>
      <c r="DR371" s="18"/>
      <c r="DS371" s="18"/>
      <c r="DT371" s="18"/>
      <c r="DU371" s="18"/>
      <c r="DV371" s="18"/>
      <c r="DW371" s="18"/>
      <c r="DX371" s="18"/>
      <c r="DY371" s="18"/>
      <c r="DZ371" s="18"/>
      <c r="EA371" s="18"/>
      <c r="EB371" s="417"/>
    </row>
    <row r="372" spans="1:132" s="7" customFormat="1">
      <c r="A372" s="17"/>
      <c r="B372" s="424"/>
      <c r="C372" s="424"/>
      <c r="D372" s="424"/>
      <c r="E372" s="424"/>
      <c r="F372" s="424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20"/>
      <c r="CH372" s="20"/>
      <c r="CI372" s="20"/>
      <c r="CJ372" s="20"/>
      <c r="CK372" s="20"/>
      <c r="CL372" s="20"/>
      <c r="CM372" s="20"/>
      <c r="CN372" s="20"/>
      <c r="CO372" s="20"/>
      <c r="CP372" s="20"/>
      <c r="CQ372" s="20"/>
      <c r="CR372" s="20"/>
      <c r="CS372" s="20"/>
      <c r="CT372" s="20"/>
      <c r="CU372" s="20"/>
      <c r="CV372" s="20"/>
      <c r="CW372" s="20"/>
      <c r="CX372" s="20"/>
      <c r="CY372" s="20"/>
      <c r="CZ372" s="20"/>
      <c r="DA372" s="20"/>
      <c r="DB372" s="20"/>
      <c r="DC372" s="20"/>
      <c r="DD372" s="20"/>
      <c r="DE372" s="20"/>
      <c r="DF372" s="20"/>
      <c r="DG372" s="20"/>
      <c r="DH372" s="20"/>
      <c r="DI372" s="20"/>
      <c r="DJ372" s="20"/>
      <c r="DK372" s="20"/>
      <c r="DL372" s="20"/>
      <c r="DM372" s="20"/>
      <c r="DN372" s="20"/>
      <c r="DO372" s="20"/>
      <c r="DP372" s="20"/>
      <c r="DQ372" s="20"/>
      <c r="DR372" s="20"/>
      <c r="DS372" s="20"/>
      <c r="DT372" s="20"/>
      <c r="DU372" s="20"/>
      <c r="DV372" s="20"/>
      <c r="DW372" s="20"/>
      <c r="DX372" s="20"/>
      <c r="DY372" s="20"/>
      <c r="DZ372" s="20"/>
      <c r="EA372" s="20"/>
      <c r="EB372" s="417"/>
    </row>
    <row r="373" spans="1:132" s="7" customFormat="1" ht="15.75">
      <c r="A373" s="25" t="s">
        <v>491</v>
      </c>
      <c r="B373" s="431"/>
      <c r="C373" s="431"/>
      <c r="D373" s="431"/>
      <c r="E373" s="431"/>
      <c r="F373" s="431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  <c r="DJ373" s="26"/>
      <c r="DK373" s="26"/>
      <c r="DL373" s="26"/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/>
      <c r="EB373" s="417"/>
    </row>
    <row r="374" spans="1:132" s="7" customFormat="1">
      <c r="A374" s="17" t="s">
        <v>281</v>
      </c>
      <c r="B374" s="434"/>
      <c r="C374" s="434"/>
      <c r="D374" s="434"/>
      <c r="E374" s="434"/>
      <c r="F374" s="43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  <c r="DI374" s="24"/>
      <c r="DJ374" s="24"/>
      <c r="DK374" s="24"/>
      <c r="DL374" s="24"/>
      <c r="DM374" s="24"/>
      <c r="DN374" s="24"/>
      <c r="DO374" s="24"/>
      <c r="DP374" s="24"/>
      <c r="DQ374" s="24"/>
      <c r="DR374" s="24"/>
      <c r="DS374" s="24"/>
      <c r="DT374" s="24"/>
      <c r="DU374" s="24"/>
      <c r="DV374" s="24"/>
      <c r="DW374" s="24"/>
      <c r="DX374" s="24"/>
      <c r="DY374" s="24"/>
      <c r="DZ374" s="24"/>
      <c r="EA374" s="24"/>
      <c r="EB374" s="417"/>
    </row>
    <row r="375" spans="1:132" s="7" customFormat="1">
      <c r="A375" s="17" t="s">
        <v>492</v>
      </c>
      <c r="B375" s="434"/>
      <c r="C375" s="434"/>
      <c r="D375" s="434"/>
      <c r="E375" s="434"/>
      <c r="F375" s="43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  <c r="DI375" s="24"/>
      <c r="DJ375" s="24"/>
      <c r="DK375" s="24"/>
      <c r="DL375" s="24"/>
      <c r="DM375" s="24"/>
      <c r="DN375" s="24"/>
      <c r="DO375" s="24"/>
      <c r="DP375" s="24"/>
      <c r="DQ375" s="24"/>
      <c r="DR375" s="24"/>
      <c r="DS375" s="24"/>
      <c r="DT375" s="24"/>
      <c r="DU375" s="24"/>
      <c r="DV375" s="24"/>
      <c r="DW375" s="24"/>
      <c r="DX375" s="24"/>
      <c r="DY375" s="24"/>
      <c r="DZ375" s="24"/>
      <c r="EA375" s="24"/>
      <c r="EB375" s="417"/>
    </row>
    <row r="376" spans="1:132" s="7" customFormat="1">
      <c r="A376" s="17" t="s">
        <v>493</v>
      </c>
      <c r="B376" s="433"/>
      <c r="C376" s="433"/>
      <c r="D376" s="433"/>
      <c r="E376" s="433"/>
      <c r="F376" s="433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417"/>
    </row>
    <row r="377" spans="1:132" s="7" customFormat="1">
      <c r="A377" s="17" t="s">
        <v>494</v>
      </c>
      <c r="B377" s="434"/>
      <c r="C377" s="434"/>
      <c r="D377" s="434"/>
      <c r="E377" s="434"/>
      <c r="F377" s="43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  <c r="DI377" s="24"/>
      <c r="DJ377" s="24"/>
      <c r="DK377" s="24"/>
      <c r="DL377" s="24"/>
      <c r="DM377" s="24"/>
      <c r="DN377" s="24"/>
      <c r="DO377" s="24"/>
      <c r="DP377" s="24"/>
      <c r="DQ377" s="24"/>
      <c r="DR377" s="24"/>
      <c r="DS377" s="24"/>
      <c r="DT377" s="24"/>
      <c r="DU377" s="24"/>
      <c r="DV377" s="24"/>
      <c r="DW377" s="24"/>
      <c r="DX377" s="24"/>
      <c r="DY377" s="24"/>
      <c r="DZ377" s="24"/>
      <c r="EA377" s="24"/>
      <c r="EB377" s="417"/>
    </row>
    <row r="378" spans="1:132" s="7" customFormat="1">
      <c r="A378" s="17" t="s">
        <v>495</v>
      </c>
      <c r="B378" s="434"/>
      <c r="C378" s="434"/>
      <c r="D378" s="434"/>
      <c r="E378" s="434"/>
      <c r="F378" s="43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  <c r="DI378" s="24"/>
      <c r="DJ378" s="24"/>
      <c r="DK378" s="24"/>
      <c r="DL378" s="24"/>
      <c r="DM378" s="24"/>
      <c r="DN378" s="24"/>
      <c r="DO378" s="24"/>
      <c r="DP378" s="24"/>
      <c r="DQ378" s="24"/>
      <c r="DR378" s="24"/>
      <c r="DS378" s="24"/>
      <c r="DT378" s="24"/>
      <c r="DU378" s="24"/>
      <c r="DV378" s="24"/>
      <c r="DW378" s="24"/>
      <c r="DX378" s="24"/>
      <c r="DY378" s="24"/>
      <c r="DZ378" s="24"/>
      <c r="EA378" s="24"/>
      <c r="EB378" s="417"/>
    </row>
    <row r="379" spans="1:132" s="7" customFormat="1">
      <c r="A379" s="17" t="s">
        <v>496</v>
      </c>
      <c r="B379" s="433"/>
      <c r="C379" s="433"/>
      <c r="D379" s="433"/>
      <c r="E379" s="433"/>
      <c r="F379" s="433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4"/>
      <c r="DJ379" s="14"/>
      <c r="DK379" s="14"/>
      <c r="DL379" s="14"/>
      <c r="DM379" s="14"/>
      <c r="DN379" s="14"/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417"/>
    </row>
    <row r="380" spans="1:132" s="7" customFormat="1">
      <c r="A380" s="11" t="s">
        <v>497</v>
      </c>
      <c r="B380" s="418"/>
      <c r="C380" s="418"/>
      <c r="D380" s="418"/>
      <c r="E380" s="418"/>
      <c r="F380" s="418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>
        <v>0</v>
      </c>
      <c r="AN380" s="12">
        <v>0</v>
      </c>
      <c r="AO380" s="12">
        <v>0</v>
      </c>
      <c r="AP380" s="12">
        <v>0</v>
      </c>
      <c r="AQ380" s="12">
        <v>0</v>
      </c>
      <c r="AR380" s="12">
        <v>0</v>
      </c>
      <c r="AS380" s="12">
        <v>0</v>
      </c>
      <c r="AT380" s="12">
        <v>0</v>
      </c>
      <c r="AU380" s="12">
        <v>0</v>
      </c>
      <c r="AV380" s="12">
        <v>0</v>
      </c>
      <c r="AW380" s="12">
        <v>0</v>
      </c>
      <c r="AX380" s="12">
        <v>0</v>
      </c>
      <c r="AY380" s="12">
        <v>0</v>
      </c>
      <c r="AZ380" s="12">
        <v>0</v>
      </c>
      <c r="BA380" s="12">
        <v>0</v>
      </c>
      <c r="BB380" s="12">
        <v>0</v>
      </c>
      <c r="BC380" s="12">
        <v>0</v>
      </c>
      <c r="BD380" s="12">
        <v>0</v>
      </c>
      <c r="BE380" s="12">
        <v>0</v>
      </c>
      <c r="BF380" s="12">
        <v>0</v>
      </c>
      <c r="BG380" s="12">
        <v>0</v>
      </c>
      <c r="BH380" s="12">
        <v>0</v>
      </c>
      <c r="BI380" s="12">
        <v>0</v>
      </c>
      <c r="BJ380" s="12">
        <v>0</v>
      </c>
      <c r="BK380" s="12">
        <v>0</v>
      </c>
      <c r="BL380" s="12">
        <v>0</v>
      </c>
      <c r="BM380" s="12">
        <v>0</v>
      </c>
      <c r="BN380" s="12">
        <v>0</v>
      </c>
      <c r="BO380" s="12">
        <v>0</v>
      </c>
      <c r="BP380" s="12">
        <v>0</v>
      </c>
      <c r="BQ380" s="12">
        <v>0</v>
      </c>
      <c r="BR380" s="12">
        <v>0</v>
      </c>
      <c r="BS380" s="12">
        <v>0</v>
      </c>
      <c r="BT380" s="12">
        <v>0</v>
      </c>
      <c r="BU380" s="12">
        <v>0</v>
      </c>
      <c r="BV380" s="12">
        <v>0</v>
      </c>
      <c r="BW380" s="12">
        <v>0</v>
      </c>
      <c r="BX380" s="12">
        <v>0</v>
      </c>
      <c r="BY380" s="12">
        <v>0</v>
      </c>
      <c r="BZ380" s="12">
        <v>0</v>
      </c>
      <c r="CA380" s="12">
        <v>0</v>
      </c>
      <c r="CB380" s="12">
        <v>0</v>
      </c>
      <c r="CC380" s="12">
        <v>0</v>
      </c>
      <c r="CD380" s="12">
        <v>0</v>
      </c>
      <c r="CE380" s="12">
        <v>0</v>
      </c>
      <c r="CF380" s="12">
        <v>0</v>
      </c>
      <c r="CG380" s="12">
        <v>0</v>
      </c>
      <c r="CH380" s="12">
        <v>0</v>
      </c>
      <c r="CI380" s="12">
        <v>0</v>
      </c>
      <c r="CJ380" s="12">
        <v>0</v>
      </c>
      <c r="CK380" s="12">
        <v>0</v>
      </c>
      <c r="CL380" s="12">
        <v>0</v>
      </c>
      <c r="CM380" s="12">
        <v>0</v>
      </c>
      <c r="CN380" s="12">
        <v>0</v>
      </c>
      <c r="CO380" s="12">
        <v>0</v>
      </c>
      <c r="CP380" s="12">
        <v>0</v>
      </c>
      <c r="CQ380" s="12">
        <v>0</v>
      </c>
      <c r="CR380" s="12">
        <v>0</v>
      </c>
      <c r="CS380" s="12">
        <v>0</v>
      </c>
      <c r="CT380" s="12">
        <v>0</v>
      </c>
      <c r="CU380" s="12">
        <v>0</v>
      </c>
      <c r="CV380" s="12">
        <v>0</v>
      </c>
      <c r="CW380" s="12">
        <v>0</v>
      </c>
      <c r="CX380" s="12">
        <v>0</v>
      </c>
      <c r="CY380" s="12">
        <v>0</v>
      </c>
      <c r="CZ380" s="12">
        <v>0</v>
      </c>
      <c r="DA380" s="12">
        <v>0</v>
      </c>
      <c r="DB380" s="12">
        <v>0</v>
      </c>
      <c r="DC380" s="12">
        <v>0</v>
      </c>
      <c r="DD380" s="12">
        <v>0</v>
      </c>
      <c r="DE380" s="12">
        <v>0</v>
      </c>
      <c r="DF380" s="12">
        <v>0</v>
      </c>
      <c r="DG380" s="12">
        <v>0</v>
      </c>
      <c r="DH380" s="12">
        <v>0</v>
      </c>
      <c r="DI380" s="12">
        <v>0</v>
      </c>
      <c r="DJ380" s="12">
        <v>0</v>
      </c>
      <c r="DK380" s="12">
        <v>0</v>
      </c>
      <c r="DL380" s="12">
        <v>0</v>
      </c>
      <c r="DM380" s="12">
        <v>0</v>
      </c>
      <c r="DN380" s="12">
        <v>0</v>
      </c>
      <c r="DO380" s="12">
        <v>0</v>
      </c>
      <c r="DP380" s="12">
        <v>0</v>
      </c>
      <c r="DQ380" s="12">
        <v>0</v>
      </c>
      <c r="DR380" s="12">
        <v>0</v>
      </c>
      <c r="DS380" s="12">
        <v>0</v>
      </c>
      <c r="DT380" s="12">
        <v>0</v>
      </c>
      <c r="DU380" s="12">
        <v>0</v>
      </c>
      <c r="DV380" s="12">
        <v>0</v>
      </c>
      <c r="DW380" s="12">
        <v>0</v>
      </c>
      <c r="DX380" s="12">
        <v>0</v>
      </c>
      <c r="DY380" s="12">
        <v>0</v>
      </c>
      <c r="DZ380" s="12">
        <v>0</v>
      </c>
      <c r="EA380" s="12">
        <v>0</v>
      </c>
      <c r="EB380" s="417"/>
    </row>
    <row r="381" spans="1:132" s="7" customFormat="1" ht="13.5" thickBot="1">
      <c r="A381" s="17" t="s">
        <v>498</v>
      </c>
      <c r="B381" s="439"/>
      <c r="C381" s="439"/>
      <c r="D381" s="439"/>
      <c r="E381" s="439"/>
      <c r="F381" s="439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  <c r="DC381" s="18"/>
      <c r="DD381" s="18"/>
      <c r="DE381" s="18"/>
      <c r="DF381" s="18"/>
      <c r="DG381" s="18"/>
      <c r="DH381" s="18"/>
      <c r="DI381" s="18"/>
      <c r="DJ381" s="18"/>
      <c r="DK381" s="18"/>
      <c r="DL381" s="18"/>
      <c r="DM381" s="18"/>
      <c r="DN381" s="18"/>
      <c r="DO381" s="18"/>
      <c r="DP381" s="18"/>
      <c r="DQ381" s="18"/>
      <c r="DR381" s="18"/>
      <c r="DS381" s="18"/>
      <c r="DT381" s="18"/>
      <c r="DU381" s="18"/>
      <c r="DV381" s="18"/>
      <c r="DW381" s="18"/>
      <c r="DX381" s="18"/>
      <c r="DY381" s="18"/>
      <c r="DZ381" s="18"/>
      <c r="EA381" s="18"/>
      <c r="EB381" s="417"/>
    </row>
    <row r="382" spans="1:132" s="7" customFormat="1">
      <c r="A382" s="17"/>
      <c r="B382" s="424"/>
      <c r="C382" s="424"/>
      <c r="D382" s="424"/>
      <c r="E382" s="424"/>
      <c r="F382" s="424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20"/>
      <c r="CH382" s="20"/>
      <c r="CI382" s="20"/>
      <c r="CJ382" s="20"/>
      <c r="CK382" s="20"/>
      <c r="CL382" s="20"/>
      <c r="CM382" s="20"/>
      <c r="CN382" s="20"/>
      <c r="CO382" s="20"/>
      <c r="CP382" s="20"/>
      <c r="CQ382" s="20"/>
      <c r="CR382" s="20"/>
      <c r="CS382" s="20"/>
      <c r="CT382" s="20"/>
      <c r="CU382" s="20"/>
      <c r="CV382" s="20"/>
      <c r="CW382" s="20"/>
      <c r="CX382" s="20"/>
      <c r="CY382" s="20"/>
      <c r="CZ382" s="20"/>
      <c r="DA382" s="20"/>
      <c r="DB382" s="20"/>
      <c r="DC382" s="20"/>
      <c r="DD382" s="20"/>
      <c r="DE382" s="20"/>
      <c r="DF382" s="20"/>
      <c r="DG382" s="20"/>
      <c r="DH382" s="20"/>
      <c r="DI382" s="20"/>
      <c r="DJ382" s="20"/>
      <c r="DK382" s="20"/>
      <c r="DL382" s="20"/>
      <c r="DM382" s="20"/>
      <c r="DN382" s="20"/>
      <c r="DO382" s="20"/>
      <c r="DP382" s="20"/>
      <c r="DQ382" s="20"/>
      <c r="DR382" s="20"/>
      <c r="DS382" s="20"/>
      <c r="DT382" s="20"/>
      <c r="DU382" s="20"/>
      <c r="DV382" s="20"/>
      <c r="DW382" s="20"/>
      <c r="DX382" s="20"/>
      <c r="DY382" s="20"/>
      <c r="DZ382" s="20"/>
      <c r="EA382" s="20"/>
      <c r="EB382" s="417"/>
    </row>
    <row r="383" spans="1:132" s="7" customFormat="1" ht="15.75">
      <c r="A383" s="25" t="s">
        <v>499</v>
      </c>
      <c r="B383" s="431"/>
      <c r="C383" s="431"/>
      <c r="D383" s="431"/>
      <c r="E383" s="431"/>
      <c r="F383" s="431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/>
      <c r="DO383" s="26"/>
      <c r="DP383" s="26"/>
      <c r="DQ383" s="26"/>
      <c r="DR383" s="26"/>
      <c r="DS383" s="26"/>
      <c r="DT383" s="26"/>
      <c r="DU383" s="26"/>
      <c r="DV383" s="26"/>
      <c r="DW383" s="26"/>
      <c r="DX383" s="26"/>
      <c r="DY383" s="26"/>
      <c r="DZ383" s="26"/>
      <c r="EA383" s="26"/>
      <c r="EB383" s="417"/>
    </row>
    <row r="384" spans="1:132" s="7" customFormat="1">
      <c r="A384" s="17" t="s">
        <v>500</v>
      </c>
      <c r="B384" s="434"/>
      <c r="C384" s="434"/>
      <c r="D384" s="434"/>
      <c r="E384" s="434"/>
      <c r="F384" s="43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4"/>
      <c r="CC384" s="24"/>
      <c r="CD384" s="24"/>
      <c r="CE384" s="24"/>
      <c r="CF384" s="24"/>
      <c r="CG384" s="24"/>
      <c r="CH384" s="24"/>
      <c r="CI384" s="24"/>
      <c r="CJ384" s="24"/>
      <c r="CK384" s="24"/>
      <c r="CL384" s="24"/>
      <c r="CM384" s="24"/>
      <c r="CN384" s="24"/>
      <c r="CO384" s="24"/>
      <c r="CP384" s="24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  <c r="DB384" s="24"/>
      <c r="DC384" s="24"/>
      <c r="DD384" s="24"/>
      <c r="DE384" s="24"/>
      <c r="DF384" s="24"/>
      <c r="DG384" s="24"/>
      <c r="DH384" s="24"/>
      <c r="DI384" s="24"/>
      <c r="DJ384" s="24"/>
      <c r="DK384" s="24"/>
      <c r="DL384" s="24"/>
      <c r="DM384" s="24"/>
      <c r="DN384" s="24"/>
      <c r="DO384" s="24"/>
      <c r="DP384" s="24"/>
      <c r="DQ384" s="24"/>
      <c r="DR384" s="24"/>
      <c r="DS384" s="24"/>
      <c r="DT384" s="24"/>
      <c r="DU384" s="24"/>
      <c r="DV384" s="24"/>
      <c r="DW384" s="24"/>
      <c r="DX384" s="24"/>
      <c r="DY384" s="24"/>
      <c r="DZ384" s="24"/>
      <c r="EA384" s="24"/>
      <c r="EB384" s="417"/>
    </row>
    <row r="385" spans="1:132" s="7" customFormat="1">
      <c r="A385" s="17" t="s">
        <v>492</v>
      </c>
      <c r="B385" s="434"/>
      <c r="C385" s="434"/>
      <c r="D385" s="434"/>
      <c r="E385" s="434"/>
      <c r="F385" s="43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  <c r="BD385" s="24"/>
      <c r="BE385" s="24"/>
      <c r="BF385" s="24"/>
      <c r="BG385" s="24"/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BT385" s="24"/>
      <c r="BU385" s="24"/>
      <c r="BV385" s="24"/>
      <c r="BW385" s="24"/>
      <c r="BX385" s="24"/>
      <c r="BY385" s="24"/>
      <c r="BZ385" s="24"/>
      <c r="CA385" s="24"/>
      <c r="CB385" s="24"/>
      <c r="CC385" s="24"/>
      <c r="CD385" s="24"/>
      <c r="CE385" s="24"/>
      <c r="CF385" s="24"/>
      <c r="CG385" s="24"/>
      <c r="CH385" s="24"/>
      <c r="CI385" s="24"/>
      <c r="CJ385" s="24"/>
      <c r="CK385" s="24"/>
      <c r="CL385" s="24"/>
      <c r="CM385" s="24"/>
      <c r="CN385" s="24"/>
      <c r="CO385" s="24"/>
      <c r="CP385" s="24"/>
      <c r="CQ385" s="24"/>
      <c r="CR385" s="24"/>
      <c r="CS385" s="24"/>
      <c r="CT385" s="24"/>
      <c r="CU385" s="24"/>
      <c r="CV385" s="24"/>
      <c r="CW385" s="24"/>
      <c r="CX385" s="24"/>
      <c r="CY385" s="24"/>
      <c r="CZ385" s="24"/>
      <c r="DA385" s="24"/>
      <c r="DB385" s="24"/>
      <c r="DC385" s="24"/>
      <c r="DD385" s="24"/>
      <c r="DE385" s="24"/>
      <c r="DF385" s="24"/>
      <c r="DG385" s="24"/>
      <c r="DH385" s="24"/>
      <c r="DI385" s="24"/>
      <c r="DJ385" s="24"/>
      <c r="DK385" s="24"/>
      <c r="DL385" s="24"/>
      <c r="DM385" s="24"/>
      <c r="DN385" s="24"/>
      <c r="DO385" s="24"/>
      <c r="DP385" s="24"/>
      <c r="DQ385" s="24"/>
      <c r="DR385" s="24"/>
      <c r="DS385" s="24"/>
      <c r="DT385" s="24"/>
      <c r="DU385" s="24"/>
      <c r="DV385" s="24"/>
      <c r="DW385" s="24"/>
      <c r="DX385" s="24"/>
      <c r="DY385" s="24"/>
      <c r="DZ385" s="24"/>
      <c r="EA385" s="24"/>
      <c r="EB385" s="417"/>
    </row>
    <row r="386" spans="1:132" s="7" customFormat="1">
      <c r="A386" s="17" t="s">
        <v>501</v>
      </c>
      <c r="B386" s="433"/>
      <c r="C386" s="433"/>
      <c r="D386" s="433"/>
      <c r="E386" s="433"/>
      <c r="F386" s="433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417"/>
    </row>
    <row r="387" spans="1:132" s="7" customFormat="1">
      <c r="A387" s="17" t="s">
        <v>494</v>
      </c>
      <c r="B387" s="434"/>
      <c r="C387" s="434"/>
      <c r="D387" s="434"/>
      <c r="E387" s="434"/>
      <c r="F387" s="43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  <c r="BD387" s="24"/>
      <c r="BE387" s="24"/>
      <c r="BF387" s="24"/>
      <c r="BG387" s="24"/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BT387" s="24"/>
      <c r="BU387" s="24"/>
      <c r="BV387" s="24"/>
      <c r="BW387" s="24"/>
      <c r="BX387" s="24"/>
      <c r="BY387" s="24"/>
      <c r="BZ387" s="24"/>
      <c r="CA387" s="24"/>
      <c r="CB387" s="24"/>
      <c r="CC387" s="24"/>
      <c r="CD387" s="24"/>
      <c r="CE387" s="24"/>
      <c r="CF387" s="24"/>
      <c r="CG387" s="24"/>
      <c r="CH387" s="24"/>
      <c r="CI387" s="24"/>
      <c r="CJ387" s="24"/>
      <c r="CK387" s="24"/>
      <c r="CL387" s="24"/>
      <c r="CM387" s="24"/>
      <c r="CN387" s="24"/>
      <c r="CO387" s="24"/>
      <c r="CP387" s="24"/>
      <c r="CQ387" s="24"/>
      <c r="CR387" s="24"/>
      <c r="CS387" s="24"/>
      <c r="CT387" s="24"/>
      <c r="CU387" s="24"/>
      <c r="CV387" s="24"/>
      <c r="CW387" s="24"/>
      <c r="CX387" s="24"/>
      <c r="CY387" s="24"/>
      <c r="CZ387" s="24"/>
      <c r="DA387" s="24"/>
      <c r="DB387" s="24"/>
      <c r="DC387" s="24"/>
      <c r="DD387" s="24"/>
      <c r="DE387" s="24"/>
      <c r="DF387" s="24"/>
      <c r="DG387" s="24"/>
      <c r="DH387" s="24"/>
      <c r="DI387" s="24"/>
      <c r="DJ387" s="24"/>
      <c r="DK387" s="24"/>
      <c r="DL387" s="24"/>
      <c r="DM387" s="24"/>
      <c r="DN387" s="24"/>
      <c r="DO387" s="24"/>
      <c r="DP387" s="24"/>
      <c r="DQ387" s="24"/>
      <c r="DR387" s="24"/>
      <c r="DS387" s="24"/>
      <c r="DT387" s="24"/>
      <c r="DU387" s="24"/>
      <c r="DV387" s="24"/>
      <c r="DW387" s="24"/>
      <c r="DX387" s="24"/>
      <c r="DY387" s="24"/>
      <c r="DZ387" s="24"/>
      <c r="EA387" s="24"/>
      <c r="EB387" s="417"/>
    </row>
    <row r="388" spans="1:132" s="7" customFormat="1">
      <c r="A388" s="17" t="s">
        <v>495</v>
      </c>
      <c r="B388" s="434"/>
      <c r="C388" s="434"/>
      <c r="D388" s="434"/>
      <c r="E388" s="434"/>
      <c r="F388" s="43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4"/>
      <c r="BP388" s="24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4"/>
      <c r="CC388" s="24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4"/>
      <c r="CP388" s="24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4"/>
      <c r="DC388" s="24"/>
      <c r="DD388" s="24"/>
      <c r="DE388" s="24"/>
      <c r="DF388" s="24"/>
      <c r="DG388" s="24"/>
      <c r="DH388" s="24"/>
      <c r="DI388" s="24"/>
      <c r="DJ388" s="24"/>
      <c r="DK388" s="24"/>
      <c r="DL388" s="24"/>
      <c r="DM388" s="24"/>
      <c r="DN388" s="24"/>
      <c r="DO388" s="24"/>
      <c r="DP388" s="24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/>
      <c r="EB388" s="417"/>
    </row>
    <row r="389" spans="1:132" s="7" customFormat="1">
      <c r="A389" s="17" t="s">
        <v>502</v>
      </c>
      <c r="B389" s="433"/>
      <c r="C389" s="433"/>
      <c r="D389" s="433"/>
      <c r="E389" s="433"/>
      <c r="F389" s="433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  <c r="DJ389" s="14"/>
      <c r="DK389" s="14"/>
      <c r="DL389" s="14"/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417"/>
    </row>
    <row r="390" spans="1:132" s="7" customFormat="1">
      <c r="A390" s="11" t="s">
        <v>503</v>
      </c>
      <c r="B390" s="418"/>
      <c r="C390" s="418"/>
      <c r="D390" s="418"/>
      <c r="E390" s="418"/>
      <c r="F390" s="418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0</v>
      </c>
      <c r="AY390" s="12">
        <v>0</v>
      </c>
      <c r="AZ390" s="12">
        <v>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F390" s="12">
        <v>0</v>
      </c>
      <c r="BG390" s="12">
        <v>0</v>
      </c>
      <c r="BH390" s="12">
        <v>0</v>
      </c>
      <c r="BI390" s="12">
        <v>0</v>
      </c>
      <c r="BJ390" s="12">
        <v>0</v>
      </c>
      <c r="BK390" s="12">
        <v>0</v>
      </c>
      <c r="BL390" s="12">
        <v>0</v>
      </c>
      <c r="BM390" s="12">
        <v>0</v>
      </c>
      <c r="BN390" s="12">
        <v>0</v>
      </c>
      <c r="BO390" s="12">
        <v>0</v>
      </c>
      <c r="BP390" s="12">
        <v>0</v>
      </c>
      <c r="BQ390" s="12">
        <v>0</v>
      </c>
      <c r="BR390" s="12">
        <v>0</v>
      </c>
      <c r="BS390" s="12">
        <v>0</v>
      </c>
      <c r="BT390" s="12">
        <v>0</v>
      </c>
      <c r="BU390" s="12">
        <v>0</v>
      </c>
      <c r="BV390" s="12">
        <v>0</v>
      </c>
      <c r="BW390" s="12">
        <v>0</v>
      </c>
      <c r="BX390" s="12">
        <v>0</v>
      </c>
      <c r="BY390" s="12">
        <v>0</v>
      </c>
      <c r="BZ390" s="12">
        <v>0</v>
      </c>
      <c r="CA390" s="12">
        <v>0</v>
      </c>
      <c r="CB390" s="12">
        <v>0</v>
      </c>
      <c r="CC390" s="12">
        <v>0</v>
      </c>
      <c r="CD390" s="12">
        <v>0</v>
      </c>
      <c r="CE390" s="12">
        <v>0</v>
      </c>
      <c r="CF390" s="12">
        <v>0</v>
      </c>
      <c r="CG390" s="12">
        <v>0</v>
      </c>
      <c r="CH390" s="12">
        <v>0</v>
      </c>
      <c r="CI390" s="12">
        <v>0</v>
      </c>
      <c r="CJ390" s="12">
        <v>0</v>
      </c>
      <c r="CK390" s="12">
        <v>0</v>
      </c>
      <c r="CL390" s="12">
        <v>0</v>
      </c>
      <c r="CM390" s="12">
        <v>0</v>
      </c>
      <c r="CN390" s="12">
        <v>0</v>
      </c>
      <c r="CO390" s="12">
        <v>0</v>
      </c>
      <c r="CP390" s="12">
        <v>0</v>
      </c>
      <c r="CQ390" s="12">
        <v>0</v>
      </c>
      <c r="CR390" s="12">
        <v>0</v>
      </c>
      <c r="CS390" s="12">
        <v>0</v>
      </c>
      <c r="CT390" s="12">
        <v>0</v>
      </c>
      <c r="CU390" s="12">
        <v>0</v>
      </c>
      <c r="CV390" s="12">
        <v>0</v>
      </c>
      <c r="CW390" s="12">
        <v>0</v>
      </c>
      <c r="CX390" s="12">
        <v>0</v>
      </c>
      <c r="CY390" s="12">
        <v>0</v>
      </c>
      <c r="CZ390" s="12">
        <v>0</v>
      </c>
      <c r="DA390" s="12">
        <v>0</v>
      </c>
      <c r="DB390" s="12">
        <v>0</v>
      </c>
      <c r="DC390" s="12">
        <v>0</v>
      </c>
      <c r="DD390" s="12">
        <v>0</v>
      </c>
      <c r="DE390" s="12">
        <v>0</v>
      </c>
      <c r="DF390" s="12">
        <v>0</v>
      </c>
      <c r="DG390" s="12">
        <v>0</v>
      </c>
      <c r="DH390" s="12">
        <v>0</v>
      </c>
      <c r="DI390" s="12">
        <v>0</v>
      </c>
      <c r="DJ390" s="12">
        <v>0</v>
      </c>
      <c r="DK390" s="12">
        <v>0</v>
      </c>
      <c r="DL390" s="12">
        <v>0</v>
      </c>
      <c r="DM390" s="12">
        <v>0</v>
      </c>
      <c r="DN390" s="12">
        <v>0</v>
      </c>
      <c r="DO390" s="12">
        <v>0</v>
      </c>
      <c r="DP390" s="12">
        <v>0</v>
      </c>
      <c r="DQ390" s="12">
        <v>0</v>
      </c>
      <c r="DR390" s="12">
        <v>0</v>
      </c>
      <c r="DS390" s="12">
        <v>0</v>
      </c>
      <c r="DT390" s="12">
        <v>0</v>
      </c>
      <c r="DU390" s="12">
        <v>0</v>
      </c>
      <c r="DV390" s="12">
        <v>0</v>
      </c>
      <c r="DW390" s="12">
        <v>0</v>
      </c>
      <c r="DX390" s="12">
        <v>0</v>
      </c>
      <c r="DY390" s="12">
        <v>0</v>
      </c>
      <c r="DZ390" s="12">
        <v>0</v>
      </c>
      <c r="EA390" s="12">
        <v>0</v>
      </c>
      <c r="EB390" s="417"/>
    </row>
    <row r="391" spans="1:132" s="7" customFormat="1" ht="13.5" thickBot="1">
      <c r="A391" s="17" t="s">
        <v>504</v>
      </c>
      <c r="B391" s="439"/>
      <c r="C391" s="439"/>
      <c r="D391" s="439"/>
      <c r="E391" s="439"/>
      <c r="F391" s="439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  <c r="DC391" s="18"/>
      <c r="DD391" s="18"/>
      <c r="DE391" s="18"/>
      <c r="DF391" s="18"/>
      <c r="DG391" s="18"/>
      <c r="DH391" s="18"/>
      <c r="DI391" s="18"/>
      <c r="DJ391" s="18"/>
      <c r="DK391" s="18"/>
      <c r="DL391" s="18"/>
      <c r="DM391" s="18"/>
      <c r="DN391" s="18"/>
      <c r="DO391" s="18"/>
      <c r="DP391" s="18"/>
      <c r="DQ391" s="18"/>
      <c r="DR391" s="18"/>
      <c r="DS391" s="18"/>
      <c r="DT391" s="18"/>
      <c r="DU391" s="18"/>
      <c r="DV391" s="18"/>
      <c r="DW391" s="18"/>
      <c r="DX391" s="18"/>
      <c r="DY391" s="18"/>
      <c r="DZ391" s="18"/>
      <c r="EA391" s="18"/>
      <c r="EB391" s="417"/>
    </row>
    <row r="392" spans="1:132" s="7" customFormat="1">
      <c r="A392" s="17"/>
      <c r="B392" s="424"/>
      <c r="C392" s="424"/>
      <c r="D392" s="424"/>
      <c r="E392" s="424"/>
      <c r="F392" s="424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20"/>
      <c r="CH392" s="20"/>
      <c r="CI392" s="20"/>
      <c r="CJ392" s="20"/>
      <c r="CK392" s="20"/>
      <c r="CL392" s="20"/>
      <c r="CM392" s="20"/>
      <c r="CN392" s="20"/>
      <c r="CO392" s="20"/>
      <c r="CP392" s="20"/>
      <c r="CQ392" s="20"/>
      <c r="CR392" s="20"/>
      <c r="CS392" s="20"/>
      <c r="CT392" s="20"/>
      <c r="CU392" s="20"/>
      <c r="CV392" s="20"/>
      <c r="CW392" s="20"/>
      <c r="CX392" s="20"/>
      <c r="CY392" s="20"/>
      <c r="CZ392" s="20"/>
      <c r="DA392" s="20"/>
      <c r="DB392" s="20"/>
      <c r="DC392" s="20"/>
      <c r="DD392" s="20"/>
      <c r="DE392" s="20"/>
      <c r="DF392" s="20"/>
      <c r="DG392" s="20"/>
      <c r="DH392" s="20"/>
      <c r="DI392" s="20"/>
      <c r="DJ392" s="20"/>
      <c r="DK392" s="20"/>
      <c r="DL392" s="20"/>
      <c r="DM392" s="20"/>
      <c r="DN392" s="20"/>
      <c r="DO392" s="20"/>
      <c r="DP392" s="20"/>
      <c r="DQ392" s="20"/>
      <c r="DR392" s="20"/>
      <c r="DS392" s="20"/>
      <c r="DT392" s="20"/>
      <c r="DU392" s="20"/>
      <c r="DV392" s="20"/>
      <c r="DW392" s="20"/>
      <c r="DX392" s="20"/>
      <c r="DY392" s="20"/>
      <c r="DZ392" s="20"/>
      <c r="EA392" s="20"/>
      <c r="EB392" s="417"/>
    </row>
    <row r="393" spans="1:132" s="7" customFormat="1" ht="15.75">
      <c r="A393" s="25" t="s">
        <v>505</v>
      </c>
      <c r="B393" s="431"/>
      <c r="C393" s="431"/>
      <c r="D393" s="431"/>
      <c r="E393" s="431"/>
      <c r="F393" s="431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417"/>
    </row>
    <row r="394" spans="1:132" s="7" customFormat="1">
      <c r="A394" s="17" t="s">
        <v>506</v>
      </c>
      <c r="B394" s="432"/>
      <c r="C394" s="432"/>
      <c r="D394" s="432"/>
      <c r="E394" s="432"/>
      <c r="F394" s="432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417"/>
    </row>
    <row r="395" spans="1:132" s="7" customFormat="1">
      <c r="A395" s="17" t="s">
        <v>507</v>
      </c>
      <c r="B395" s="432"/>
      <c r="C395" s="432"/>
      <c r="D395" s="432"/>
      <c r="E395" s="432"/>
      <c r="F395" s="432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417"/>
    </row>
    <row r="396" spans="1:132" s="7" customFormat="1" ht="13.5" thickBot="1">
      <c r="A396" s="17" t="s">
        <v>508</v>
      </c>
      <c r="B396" s="432"/>
      <c r="C396" s="432"/>
      <c r="D396" s="432"/>
      <c r="E396" s="432"/>
      <c r="F396" s="432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417"/>
    </row>
    <row r="397" spans="1:132" s="7" customFormat="1" ht="15.75">
      <c r="A397" s="31" t="s">
        <v>509</v>
      </c>
      <c r="B397" s="438"/>
      <c r="C397" s="438"/>
      <c r="D397" s="438"/>
      <c r="E397" s="438"/>
      <c r="F397" s="438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  <c r="CU397" s="32"/>
      <c r="CV397" s="32"/>
      <c r="CW397" s="32"/>
      <c r="CX397" s="32"/>
      <c r="CY397" s="32"/>
      <c r="CZ397" s="32"/>
      <c r="DA397" s="32"/>
      <c r="DB397" s="32"/>
      <c r="DC397" s="32"/>
      <c r="DD397" s="32"/>
      <c r="DE397" s="32"/>
      <c r="DF397" s="32"/>
      <c r="DG397" s="32"/>
      <c r="DH397" s="32"/>
      <c r="DI397" s="32"/>
      <c r="DJ397" s="32"/>
      <c r="DK397" s="32"/>
      <c r="DL397" s="32"/>
      <c r="DM397" s="32"/>
      <c r="DN397" s="32"/>
      <c r="DO397" s="32"/>
      <c r="DP397" s="32"/>
      <c r="DQ397" s="32"/>
      <c r="DR397" s="32"/>
      <c r="DS397" s="32"/>
      <c r="DT397" s="32"/>
      <c r="DU397" s="32"/>
      <c r="DV397" s="32"/>
      <c r="DW397" s="32"/>
      <c r="DX397" s="32"/>
      <c r="DY397" s="32"/>
      <c r="DZ397" s="32"/>
      <c r="EA397" s="32"/>
      <c r="EB397" s="417"/>
    </row>
    <row r="398" spans="1:132" s="7" customFormat="1" ht="15.75">
      <c r="A398" s="25" t="s">
        <v>510</v>
      </c>
      <c r="B398" s="431"/>
      <c r="C398" s="431"/>
      <c r="D398" s="431"/>
      <c r="E398" s="431"/>
      <c r="F398" s="431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/>
      <c r="DV398" s="26"/>
      <c r="DW398" s="26"/>
      <c r="DX398" s="26"/>
      <c r="DY398" s="26"/>
      <c r="DZ398" s="26"/>
      <c r="EA398" s="26"/>
      <c r="EB398" s="417"/>
    </row>
    <row r="399" spans="1:132" s="7" customFormat="1">
      <c r="A399" s="17" t="s">
        <v>511</v>
      </c>
      <c r="B399" s="437"/>
      <c r="C399" s="437"/>
      <c r="D399" s="437"/>
      <c r="E399" s="437"/>
      <c r="F399" s="437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  <c r="CS399" s="43"/>
      <c r="CT399" s="43"/>
      <c r="CU399" s="43"/>
      <c r="CV399" s="43"/>
      <c r="CW399" s="43"/>
      <c r="CX399" s="43"/>
      <c r="CY399" s="43"/>
      <c r="CZ399" s="43"/>
      <c r="DA399" s="43"/>
      <c r="DB399" s="43"/>
      <c r="DC399" s="43"/>
      <c r="DD399" s="43"/>
      <c r="DE399" s="43"/>
      <c r="DF399" s="43"/>
      <c r="DG399" s="43"/>
      <c r="DH399" s="43"/>
      <c r="DI399" s="43"/>
      <c r="DJ399" s="43"/>
      <c r="DK399" s="43"/>
      <c r="DL399" s="43"/>
      <c r="DM399" s="43"/>
      <c r="DN399" s="43"/>
      <c r="DO399" s="43"/>
      <c r="DP399" s="43"/>
      <c r="DQ399" s="43"/>
      <c r="DR399" s="43"/>
      <c r="DS399" s="43"/>
      <c r="DT399" s="43"/>
      <c r="DU399" s="43"/>
      <c r="DV399" s="43"/>
      <c r="DW399" s="43"/>
      <c r="DX399" s="43"/>
      <c r="DY399" s="43"/>
      <c r="DZ399" s="43"/>
      <c r="EA399" s="43"/>
      <c r="EB399" s="417"/>
    </row>
    <row r="400" spans="1:132" s="7" customFormat="1">
      <c r="A400" s="17" t="s">
        <v>512</v>
      </c>
      <c r="B400" s="437"/>
      <c r="C400" s="437"/>
      <c r="D400" s="437"/>
      <c r="E400" s="437"/>
      <c r="F400" s="437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  <c r="CS400" s="43"/>
      <c r="CT400" s="43"/>
      <c r="CU400" s="43"/>
      <c r="CV400" s="43"/>
      <c r="CW400" s="43"/>
      <c r="CX400" s="43"/>
      <c r="CY400" s="43"/>
      <c r="CZ400" s="43"/>
      <c r="DA400" s="43"/>
      <c r="DB400" s="43"/>
      <c r="DC400" s="43"/>
      <c r="DD400" s="43"/>
      <c r="DE400" s="43"/>
      <c r="DF400" s="43"/>
      <c r="DG400" s="43"/>
      <c r="DH400" s="43"/>
      <c r="DI400" s="43"/>
      <c r="DJ400" s="43"/>
      <c r="DK400" s="43"/>
      <c r="DL400" s="43"/>
      <c r="DM400" s="43"/>
      <c r="DN400" s="43"/>
      <c r="DO400" s="43"/>
      <c r="DP400" s="43"/>
      <c r="DQ400" s="43"/>
      <c r="DR400" s="43"/>
      <c r="DS400" s="43"/>
      <c r="DT400" s="43"/>
      <c r="DU400" s="43"/>
      <c r="DV400" s="43"/>
      <c r="DW400" s="43"/>
      <c r="DX400" s="43"/>
      <c r="DY400" s="43"/>
      <c r="DZ400" s="43"/>
      <c r="EA400" s="43"/>
      <c r="EB400" s="417"/>
    </row>
    <row r="401" spans="1:132" s="7" customFormat="1">
      <c r="A401" s="17" t="s">
        <v>513</v>
      </c>
      <c r="B401" s="437"/>
      <c r="C401" s="437"/>
      <c r="D401" s="437"/>
      <c r="E401" s="437"/>
      <c r="F401" s="437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  <c r="CS401" s="43"/>
      <c r="CT401" s="43"/>
      <c r="CU401" s="43"/>
      <c r="CV401" s="43"/>
      <c r="CW401" s="43"/>
      <c r="CX401" s="43"/>
      <c r="CY401" s="43"/>
      <c r="CZ401" s="43"/>
      <c r="DA401" s="43"/>
      <c r="DB401" s="43"/>
      <c r="DC401" s="43"/>
      <c r="DD401" s="43"/>
      <c r="DE401" s="43"/>
      <c r="DF401" s="43"/>
      <c r="DG401" s="43"/>
      <c r="DH401" s="43"/>
      <c r="DI401" s="43"/>
      <c r="DJ401" s="43"/>
      <c r="DK401" s="43"/>
      <c r="DL401" s="43"/>
      <c r="DM401" s="43"/>
      <c r="DN401" s="43"/>
      <c r="DO401" s="43"/>
      <c r="DP401" s="43"/>
      <c r="DQ401" s="43"/>
      <c r="DR401" s="43"/>
      <c r="DS401" s="43"/>
      <c r="DT401" s="43"/>
      <c r="DU401" s="43"/>
      <c r="DV401" s="43"/>
      <c r="DW401" s="43"/>
      <c r="DX401" s="43"/>
      <c r="DY401" s="43"/>
      <c r="DZ401" s="43"/>
      <c r="EA401" s="43"/>
      <c r="EB401" s="417"/>
    </row>
    <row r="402" spans="1:132" s="7" customFormat="1">
      <c r="A402" s="17" t="s">
        <v>514</v>
      </c>
      <c r="B402" s="437"/>
      <c r="C402" s="437"/>
      <c r="D402" s="437"/>
      <c r="E402" s="437"/>
      <c r="F402" s="437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  <c r="CS402" s="43"/>
      <c r="CT402" s="43"/>
      <c r="CU402" s="43"/>
      <c r="CV402" s="43"/>
      <c r="CW402" s="43"/>
      <c r="CX402" s="43"/>
      <c r="CY402" s="43"/>
      <c r="CZ402" s="43"/>
      <c r="DA402" s="43"/>
      <c r="DB402" s="43"/>
      <c r="DC402" s="43"/>
      <c r="DD402" s="43"/>
      <c r="DE402" s="43"/>
      <c r="DF402" s="43"/>
      <c r="DG402" s="43"/>
      <c r="DH402" s="43"/>
      <c r="DI402" s="43"/>
      <c r="DJ402" s="43"/>
      <c r="DK402" s="43"/>
      <c r="DL402" s="43"/>
      <c r="DM402" s="43"/>
      <c r="DN402" s="43"/>
      <c r="DO402" s="43"/>
      <c r="DP402" s="43"/>
      <c r="DQ402" s="43"/>
      <c r="DR402" s="43"/>
      <c r="DS402" s="43"/>
      <c r="DT402" s="43"/>
      <c r="DU402" s="43"/>
      <c r="DV402" s="43"/>
      <c r="DW402" s="43"/>
      <c r="DX402" s="43"/>
      <c r="DY402" s="43"/>
      <c r="DZ402" s="43"/>
      <c r="EA402" s="43"/>
      <c r="EB402" s="417"/>
    </row>
    <row r="403" spans="1:132" s="7" customFormat="1">
      <c r="A403" s="17" t="s">
        <v>515</v>
      </c>
      <c r="B403" s="437"/>
      <c r="C403" s="437"/>
      <c r="D403" s="437"/>
      <c r="E403" s="437"/>
      <c r="F403" s="437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  <c r="CS403" s="43"/>
      <c r="CT403" s="43"/>
      <c r="CU403" s="43"/>
      <c r="CV403" s="43"/>
      <c r="CW403" s="43"/>
      <c r="CX403" s="43"/>
      <c r="CY403" s="43"/>
      <c r="CZ403" s="43"/>
      <c r="DA403" s="43"/>
      <c r="DB403" s="43"/>
      <c r="DC403" s="43"/>
      <c r="DD403" s="43"/>
      <c r="DE403" s="43"/>
      <c r="DF403" s="43"/>
      <c r="DG403" s="43"/>
      <c r="DH403" s="43"/>
      <c r="DI403" s="43"/>
      <c r="DJ403" s="43"/>
      <c r="DK403" s="43"/>
      <c r="DL403" s="43"/>
      <c r="DM403" s="43"/>
      <c r="DN403" s="43"/>
      <c r="DO403" s="43"/>
      <c r="DP403" s="43"/>
      <c r="DQ403" s="43"/>
      <c r="DR403" s="43"/>
      <c r="DS403" s="43"/>
      <c r="DT403" s="43"/>
      <c r="DU403" s="43"/>
      <c r="DV403" s="43"/>
      <c r="DW403" s="43"/>
      <c r="DX403" s="43"/>
      <c r="DY403" s="43"/>
      <c r="DZ403" s="43"/>
      <c r="EA403" s="43"/>
      <c r="EB403" s="417"/>
    </row>
    <row r="404" spans="1:132" s="7" customFormat="1">
      <c r="A404" s="17" t="s">
        <v>516</v>
      </c>
      <c r="B404" s="437"/>
      <c r="C404" s="437"/>
      <c r="D404" s="437"/>
      <c r="E404" s="437"/>
      <c r="F404" s="437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43"/>
      <c r="CZ404" s="43"/>
      <c r="DA404" s="43"/>
      <c r="DB404" s="43"/>
      <c r="DC404" s="43"/>
      <c r="DD404" s="43"/>
      <c r="DE404" s="43"/>
      <c r="DF404" s="43"/>
      <c r="DG404" s="43"/>
      <c r="DH404" s="43"/>
      <c r="DI404" s="43"/>
      <c r="DJ404" s="43"/>
      <c r="DK404" s="43"/>
      <c r="DL404" s="43"/>
      <c r="DM404" s="43"/>
      <c r="DN404" s="43"/>
      <c r="DO404" s="43"/>
      <c r="DP404" s="43"/>
      <c r="DQ404" s="43"/>
      <c r="DR404" s="43"/>
      <c r="DS404" s="43"/>
      <c r="DT404" s="43"/>
      <c r="DU404" s="43"/>
      <c r="DV404" s="43"/>
      <c r="DW404" s="43"/>
      <c r="DX404" s="43"/>
      <c r="DY404" s="43"/>
      <c r="DZ404" s="43"/>
      <c r="EA404" s="43"/>
      <c r="EB404" s="417"/>
    </row>
    <row r="405" spans="1:132" s="7" customFormat="1">
      <c r="A405" s="17" t="s">
        <v>517</v>
      </c>
      <c r="B405" s="437"/>
      <c r="C405" s="437"/>
      <c r="D405" s="437"/>
      <c r="E405" s="437"/>
      <c r="F405" s="437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  <c r="CS405" s="43"/>
      <c r="CT405" s="43"/>
      <c r="CU405" s="43"/>
      <c r="CV405" s="43"/>
      <c r="CW405" s="43"/>
      <c r="CX405" s="43"/>
      <c r="CY405" s="43"/>
      <c r="CZ405" s="43"/>
      <c r="DA405" s="43"/>
      <c r="DB405" s="43"/>
      <c r="DC405" s="43"/>
      <c r="DD405" s="43"/>
      <c r="DE405" s="43"/>
      <c r="DF405" s="43"/>
      <c r="DG405" s="43"/>
      <c r="DH405" s="43"/>
      <c r="DI405" s="43"/>
      <c r="DJ405" s="43"/>
      <c r="DK405" s="43"/>
      <c r="DL405" s="43"/>
      <c r="DM405" s="43"/>
      <c r="DN405" s="43"/>
      <c r="DO405" s="43"/>
      <c r="DP405" s="43"/>
      <c r="DQ405" s="43"/>
      <c r="DR405" s="43"/>
      <c r="DS405" s="43"/>
      <c r="DT405" s="43"/>
      <c r="DU405" s="43"/>
      <c r="DV405" s="43"/>
      <c r="DW405" s="43"/>
      <c r="DX405" s="43"/>
      <c r="DY405" s="43"/>
      <c r="DZ405" s="43"/>
      <c r="EA405" s="43"/>
      <c r="EB405" s="417"/>
    </row>
    <row r="406" spans="1:132" s="7" customFormat="1">
      <c r="A406" s="17" t="s">
        <v>518</v>
      </c>
      <c r="B406" s="437"/>
      <c r="C406" s="437"/>
      <c r="D406" s="437"/>
      <c r="E406" s="437"/>
      <c r="F406" s="437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  <c r="CS406" s="43"/>
      <c r="CT406" s="43"/>
      <c r="CU406" s="43"/>
      <c r="CV406" s="43"/>
      <c r="CW406" s="43"/>
      <c r="CX406" s="43"/>
      <c r="CY406" s="43"/>
      <c r="CZ406" s="43"/>
      <c r="DA406" s="43"/>
      <c r="DB406" s="43"/>
      <c r="DC406" s="43"/>
      <c r="DD406" s="43"/>
      <c r="DE406" s="43"/>
      <c r="DF406" s="43"/>
      <c r="DG406" s="43"/>
      <c r="DH406" s="43"/>
      <c r="DI406" s="43"/>
      <c r="DJ406" s="43"/>
      <c r="DK406" s="43"/>
      <c r="DL406" s="43"/>
      <c r="DM406" s="43"/>
      <c r="DN406" s="43"/>
      <c r="DO406" s="43"/>
      <c r="DP406" s="43"/>
      <c r="DQ406" s="43"/>
      <c r="DR406" s="43"/>
      <c r="DS406" s="43"/>
      <c r="DT406" s="43"/>
      <c r="DU406" s="43"/>
      <c r="DV406" s="43"/>
      <c r="DW406" s="43"/>
      <c r="DX406" s="43"/>
      <c r="DY406" s="43"/>
      <c r="DZ406" s="43"/>
      <c r="EA406" s="43"/>
      <c r="EB406" s="417"/>
    </row>
    <row r="407" spans="1:132" s="7" customFormat="1">
      <c r="A407" s="17"/>
      <c r="B407" s="429"/>
      <c r="C407" s="429"/>
      <c r="D407" s="429"/>
      <c r="E407" s="429"/>
      <c r="F407" s="429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417"/>
    </row>
    <row r="408" spans="1:132" s="7" customFormat="1" ht="15.75">
      <c r="A408" s="25" t="s">
        <v>519</v>
      </c>
      <c r="B408" s="431"/>
      <c r="C408" s="431"/>
      <c r="D408" s="431"/>
      <c r="E408" s="431"/>
      <c r="F408" s="431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/>
      <c r="DV408" s="26"/>
      <c r="DW408" s="26"/>
      <c r="DX408" s="26"/>
      <c r="DY408" s="26"/>
      <c r="DZ408" s="26"/>
      <c r="EA408" s="26"/>
      <c r="EB408" s="417"/>
    </row>
    <row r="409" spans="1:132" s="7" customFormat="1">
      <c r="A409" s="11" t="s">
        <v>520</v>
      </c>
      <c r="B409" s="418"/>
      <c r="C409" s="418"/>
      <c r="D409" s="418"/>
      <c r="E409" s="418"/>
      <c r="F409" s="418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0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2">
        <v>0</v>
      </c>
      <c r="BN409" s="12">
        <v>0</v>
      </c>
      <c r="BO409" s="12">
        <v>0</v>
      </c>
      <c r="BP409" s="12">
        <v>0</v>
      </c>
      <c r="BQ409" s="12">
        <v>0</v>
      </c>
      <c r="BR409" s="12">
        <v>0</v>
      </c>
      <c r="BS409" s="12">
        <v>0</v>
      </c>
      <c r="BT409" s="12">
        <v>0</v>
      </c>
      <c r="BU409" s="12">
        <v>0</v>
      </c>
      <c r="BV409" s="12">
        <v>0</v>
      </c>
      <c r="BW409" s="12">
        <v>0</v>
      </c>
      <c r="BX409" s="12">
        <v>0</v>
      </c>
      <c r="BY409" s="12">
        <v>0</v>
      </c>
      <c r="BZ409" s="12">
        <v>0</v>
      </c>
      <c r="CA409" s="12">
        <v>0</v>
      </c>
      <c r="CB409" s="12">
        <v>0</v>
      </c>
      <c r="CC409" s="12">
        <v>0</v>
      </c>
      <c r="CD409" s="12">
        <v>0</v>
      </c>
      <c r="CE409" s="12">
        <v>0</v>
      </c>
      <c r="CF409" s="12">
        <v>0</v>
      </c>
      <c r="CG409" s="12">
        <v>0</v>
      </c>
      <c r="CH409" s="12">
        <v>0</v>
      </c>
      <c r="CI409" s="12">
        <v>0</v>
      </c>
      <c r="CJ409" s="12">
        <v>0</v>
      </c>
      <c r="CK409" s="12">
        <v>0</v>
      </c>
      <c r="CL409" s="12">
        <v>0</v>
      </c>
      <c r="CM409" s="12">
        <v>0</v>
      </c>
      <c r="CN409" s="12">
        <v>0</v>
      </c>
      <c r="CO409" s="12">
        <v>0</v>
      </c>
      <c r="CP409" s="12">
        <v>0</v>
      </c>
      <c r="CQ409" s="12">
        <v>0</v>
      </c>
      <c r="CR409" s="12">
        <v>0</v>
      </c>
      <c r="CS409" s="12">
        <v>0</v>
      </c>
      <c r="CT409" s="12">
        <v>0</v>
      </c>
      <c r="CU409" s="12">
        <v>0</v>
      </c>
      <c r="CV409" s="12">
        <v>0</v>
      </c>
      <c r="CW409" s="12">
        <v>0</v>
      </c>
      <c r="CX409" s="12">
        <v>0</v>
      </c>
      <c r="CY409" s="12">
        <v>0</v>
      </c>
      <c r="CZ409" s="12">
        <v>0</v>
      </c>
      <c r="DA409" s="12">
        <v>0</v>
      </c>
      <c r="DB409" s="12">
        <v>0</v>
      </c>
      <c r="DC409" s="12">
        <v>0</v>
      </c>
      <c r="DD409" s="12">
        <v>0</v>
      </c>
      <c r="DE409" s="12">
        <v>0</v>
      </c>
      <c r="DF409" s="12">
        <v>0</v>
      </c>
      <c r="DG409" s="12">
        <v>0</v>
      </c>
      <c r="DH409" s="12">
        <v>0</v>
      </c>
      <c r="DI409" s="12">
        <v>0</v>
      </c>
      <c r="DJ409" s="12">
        <v>0</v>
      </c>
      <c r="DK409" s="12">
        <v>0</v>
      </c>
      <c r="DL409" s="12">
        <v>0</v>
      </c>
      <c r="DM409" s="12">
        <v>0</v>
      </c>
      <c r="DN409" s="12">
        <v>0</v>
      </c>
      <c r="DO409" s="12">
        <v>0</v>
      </c>
      <c r="DP409" s="12">
        <v>0</v>
      </c>
      <c r="DQ409" s="12">
        <v>0</v>
      </c>
      <c r="DR409" s="12">
        <v>0</v>
      </c>
      <c r="DS409" s="12">
        <v>0</v>
      </c>
      <c r="DT409" s="12">
        <v>0</v>
      </c>
      <c r="DU409" s="12">
        <v>0</v>
      </c>
      <c r="DV409" s="12">
        <v>0</v>
      </c>
      <c r="DW409" s="12">
        <v>0</v>
      </c>
      <c r="DX409" s="12">
        <v>0</v>
      </c>
      <c r="DY409" s="12">
        <v>0</v>
      </c>
      <c r="DZ409" s="12">
        <v>0</v>
      </c>
      <c r="EA409" s="12">
        <v>0</v>
      </c>
      <c r="EB409" s="417"/>
    </row>
    <row r="410" spans="1:132" s="7" customFormat="1">
      <c r="A410" s="11" t="s">
        <v>521</v>
      </c>
      <c r="B410" s="436"/>
      <c r="C410" s="436"/>
      <c r="D410" s="436"/>
      <c r="E410" s="436"/>
      <c r="F410" s="436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>
        <f>-'Balance Sheet'!B53/1000</f>
        <v>43.673000000000002</v>
      </c>
      <c r="AB410" s="12">
        <f>-'Balance Sheet'!C53/1000</f>
        <v>43.218000000000004</v>
      </c>
      <c r="AC410" s="12">
        <f>-'Balance Sheet'!D53/1000</f>
        <v>20.652999999999999</v>
      </c>
      <c r="AD410" s="12">
        <f>-'Balance Sheet'!E53/1000</f>
        <v>-97.177000000000007</v>
      </c>
      <c r="AE410" s="12">
        <f>-'Balance Sheet'!F53/1000</f>
        <v>-97.177000000000007</v>
      </c>
      <c r="AF410" s="12">
        <f>-'Balance Sheet'!G53/1000</f>
        <v>-343.98849999999999</v>
      </c>
      <c r="AG410" s="12">
        <f>-'Balance Sheet'!H53/1000</f>
        <v>-44.011000000000003</v>
      </c>
      <c r="AH410" s="12">
        <f>-'Balance Sheet'!I53/1000</f>
        <v>366.59100000000001</v>
      </c>
      <c r="AI410" s="12">
        <f>-'Balance Sheet'!J53/1000</f>
        <v>316.20999999999998</v>
      </c>
      <c r="AJ410" s="12">
        <f>-'Balance Sheet'!K53/1000</f>
        <v>305.94299999999998</v>
      </c>
      <c r="AK410" s="12">
        <f>-'Balance Sheet'!L53/1000</f>
        <v>197.30099999999999</v>
      </c>
      <c r="AL410" s="12">
        <f>-'Balance Sheet'!M53/1000</f>
        <v>42.731999999999999</v>
      </c>
      <c r="AM410" s="12">
        <f>-'Balance Sheet'!N53/1000</f>
        <v>660.245</v>
      </c>
      <c r="AN410" s="12">
        <f>-'Balance Sheet'!O53/1000</f>
        <v>412.49400000000003</v>
      </c>
      <c r="AO410" s="12">
        <f>-'Balance Sheet'!P53/1000</f>
        <v>412.49400000000003</v>
      </c>
      <c r="AP410" s="12">
        <f>-'Balance Sheet'!Q53/1000</f>
        <v>66.364999999999995</v>
      </c>
      <c r="AQ410" s="12">
        <f>-'Balance Sheet'!R53/1000</f>
        <v>-61.698</v>
      </c>
      <c r="AR410" s="12">
        <f>-'Balance Sheet'!S53/1000</f>
        <v>55.844000000000001</v>
      </c>
      <c r="AS410" s="12">
        <f>-'Balance Sheet'!T53/1000</f>
        <v>-216.94399999999999</v>
      </c>
      <c r="AT410" s="12">
        <f>-'Balance Sheet'!U53/1000</f>
        <v>-216.94399999999999</v>
      </c>
      <c r="AU410" s="12">
        <f>-'Balance Sheet'!V53/1000</f>
        <v>-426.81200000000001</v>
      </c>
      <c r="AV410" s="12">
        <f>-'Balance Sheet'!W53/1000</f>
        <v>-726.14700000000005</v>
      </c>
      <c r="AW410" s="12">
        <f>-'Balance Sheet'!X53/1000</f>
        <v>-992.26</v>
      </c>
      <c r="AX410" s="12">
        <f>-'Balance Sheet'!Y53/1000</f>
        <v>-1343.5139999999999</v>
      </c>
      <c r="AY410" s="12">
        <f>-'Balance Sheet'!Z53/1000</f>
        <v>-1343.5139999999999</v>
      </c>
      <c r="AZ410" s="12">
        <f>-'Balance Sheet'!AA53/1000</f>
        <v>-1612.5630000000001</v>
      </c>
      <c r="BA410" s="12">
        <f>-'Balance Sheet'!AB53/1000</f>
        <v>-2019.941</v>
      </c>
      <c r="BB410" s="12">
        <f>-'Balance Sheet'!AC53/1000</f>
        <v>-2165.335</v>
      </c>
      <c r="BC410" s="12">
        <f>-'Balance Sheet'!AD53/1000</f>
        <v>-1081.846</v>
      </c>
      <c r="BD410" s="12">
        <f>-'Balance Sheet'!AE53/1000</f>
        <v>-1081.846</v>
      </c>
      <c r="BE410" s="12">
        <f>-'Balance Sheet'!AF53/1000</f>
        <v>-1448.83</v>
      </c>
      <c r="BF410" s="12">
        <f>-'Balance Sheet'!AG53/1000</f>
        <v>-1919.2080000000001</v>
      </c>
      <c r="BG410" s="12">
        <f>-'Balance Sheet'!AH53/1000</f>
        <v>-2123.6060000000002</v>
      </c>
      <c r="BH410" s="12">
        <f>-'Balance Sheet'!AI53/1000</f>
        <v>-2408.5129999999999</v>
      </c>
      <c r="BI410" s="12">
        <f>-'Balance Sheet'!AJ53/1000</f>
        <v>-2408.5129999999999</v>
      </c>
      <c r="BJ410" s="12">
        <f>-'Balance Sheet'!AK53/1000</f>
        <v>-2589.4059999999999</v>
      </c>
      <c r="BK410" s="12">
        <f>-'Balance Sheet'!AL53/1000</f>
        <v>-2759.2979999999998</v>
      </c>
      <c r="BL410" s="12">
        <f>-'Balance Sheet'!AM53/1000</f>
        <v>-3004.203</v>
      </c>
      <c r="BM410" s="12">
        <f>-'Balance Sheet'!AN53/1000</f>
        <v>-2940.7350000000001</v>
      </c>
      <c r="BN410" s="12">
        <f>-'Balance Sheet'!AO53/1000</f>
        <v>-2940.7350000000001</v>
      </c>
      <c r="BO410" s="12">
        <f>-'Balance Sheet'!AP53/1000</f>
        <v>-2968.4090000000001</v>
      </c>
      <c r="BP410" s="12">
        <f>-'Balance Sheet'!AQ53/1000</f>
        <v>-3019.1219999999998</v>
      </c>
      <c r="BQ410" s="12">
        <f>-'Balance Sheet'!AR53/1000</f>
        <v>-2876.085</v>
      </c>
      <c r="BR410" s="12">
        <f>-'Balance Sheet'!AS53/1000</f>
        <v>-2622.3589999999999</v>
      </c>
      <c r="BS410" s="12">
        <f>-'Balance Sheet'!AT53/1000</f>
        <v>-2622.3589999999999</v>
      </c>
      <c r="BT410" s="12">
        <f>-'Balance Sheet'!AU53/1000</f>
        <v>-2481.1439999999998</v>
      </c>
      <c r="BU410" s="12">
        <f>-'Balance Sheet'!AV53/1000</f>
        <v>-2498.6909999999998</v>
      </c>
      <c r="BV410" s="12">
        <f>-'Balance Sheet'!AW53/1000</f>
        <v>-2562.3739999999998</v>
      </c>
      <c r="BW410" s="12">
        <f>-'Balance Sheet'!AX53/1000</f>
        <v>-2655.6489999999999</v>
      </c>
      <c r="BX410" s="12">
        <f>-'Balance Sheet'!AY53/1000</f>
        <v>-2655.6489999999999</v>
      </c>
      <c r="BY410" s="12">
        <f>-'Balance Sheet'!AZ53/1000</f>
        <v>-2565.12</v>
      </c>
      <c r="BZ410" s="12">
        <f>-'Balance Sheet'!BA53/1000</f>
        <v>-2672.7429999999999</v>
      </c>
      <c r="CA410" s="12">
        <f>-'Balance Sheet'!BB53/1000</f>
        <v>-2596.3150000000001</v>
      </c>
      <c r="CB410" s="12">
        <f>-'Balance Sheet'!BC53/1000</f>
        <v>-2269.4380000000001</v>
      </c>
      <c r="CC410" s="12">
        <f>-'Balance Sheet'!BD53/1000</f>
        <v>-2269.4380000000001</v>
      </c>
      <c r="CD410" s="12">
        <f>-'Balance Sheet'!BE53/1000</f>
        <v>-1931.287</v>
      </c>
      <c r="CE410" s="12">
        <f>-'Balance Sheet'!BF53/1000</f>
        <v>-1833.5989999999999</v>
      </c>
      <c r="CF410" s="12">
        <f>-'Balance Sheet'!BG53/1000</f>
        <v>-1628.021</v>
      </c>
      <c r="CG410" s="12">
        <f>-'Balance Sheet'!BH53/1000</f>
        <v>-1640.838</v>
      </c>
      <c r="CH410" s="12">
        <f>-'Balance Sheet'!BI53/1000</f>
        <v>-1640.838</v>
      </c>
      <c r="CI410" s="12">
        <f>-'Balance Sheet'!BJ53/1000</f>
        <v>-1682.2280000000001</v>
      </c>
      <c r="CJ410" s="12">
        <f>-'Balance Sheet'!BK53/1000</f>
        <v>-1763.018</v>
      </c>
      <c r="CK410" s="12">
        <f>-'Balance Sheet'!BL53/1000</f>
        <v>-2010.7650000000001</v>
      </c>
      <c r="CL410" s="12">
        <f>-'Balance Sheet'!BM53/1000</f>
        <v>-1790.1849999999999</v>
      </c>
      <c r="CM410" s="12">
        <f>-'Balance Sheet'!BN53/1000</f>
        <v>-1790.1849999999999</v>
      </c>
      <c r="CN410" s="12">
        <f>-'Balance Sheet'!BO53/1000</f>
        <v>-1652.6690000000001</v>
      </c>
      <c r="CO410" s="12">
        <f>-'Balance Sheet'!BP53/1000</f>
        <v>-1816.7180000000001</v>
      </c>
      <c r="CP410" s="12">
        <f>-'Balance Sheet'!BQ53/1000</f>
        <v>-1524.5709999999999</v>
      </c>
      <c r="CQ410" s="12">
        <f>-'Balance Sheet'!BR53/1000</f>
        <v>-1261.461</v>
      </c>
      <c r="CR410" s="12">
        <f>-'Balance Sheet'!BS53/1000</f>
        <v>-1261.461</v>
      </c>
      <c r="CS410" s="12">
        <f>-'Balance Sheet'!BT53/1000</f>
        <v>-1054.625</v>
      </c>
      <c r="CT410" s="12">
        <f>-'Balance Sheet'!BU53/1000</f>
        <v>-866.51400000000001</v>
      </c>
      <c r="CU410" s="12">
        <f>-'Balance Sheet'!BV53/1000</f>
        <v>-799.68100000000004</v>
      </c>
      <c r="CV410" s="12">
        <f>-'Balance Sheet'!BW53/1000</f>
        <v>-852.21400000000006</v>
      </c>
      <c r="CW410" s="12">
        <f>-'Balance Sheet'!BX53/1000</f>
        <v>-852.21400000000006</v>
      </c>
      <c r="CX410" s="12">
        <f>-'Balance Sheet'!BY53/1000</f>
        <v>-733.4</v>
      </c>
      <c r="CY410" s="12">
        <f>-'Balance Sheet'!BZ53/1000</f>
        <v>-540.88300000000004</v>
      </c>
      <c r="CZ410" s="12">
        <f>-'Balance Sheet'!CA53/1000</f>
        <v>-737.56600000000003</v>
      </c>
      <c r="DA410" s="12">
        <f>-'Balance Sheet'!CB53/1000</f>
        <v>-951.75400000000002</v>
      </c>
      <c r="DB410" s="12">
        <f>-'Balance Sheet'!CC53/1000</f>
        <v>-951.75400000000002</v>
      </c>
      <c r="DC410" s="12">
        <f>-'Balance Sheet'!CD53/1000</f>
        <v>-924.55700000000002</v>
      </c>
      <c r="DD410" s="12">
        <f>-'Balance Sheet'!CE53/1000</f>
        <v>-1008.519</v>
      </c>
      <c r="DE410" s="12">
        <f>-'Balance Sheet'!CF53/1000</f>
        <v>-125.42</v>
      </c>
      <c r="DF410" s="12">
        <f>-'Balance Sheet'!CG53/1000</f>
        <v>-391.46</v>
      </c>
      <c r="DG410" s="12">
        <f>-'Balance Sheet'!CH53/1000</f>
        <v>-391.46</v>
      </c>
      <c r="DH410" s="12">
        <f>-'Balance Sheet'!CI53/1000</f>
        <v>-378.87900000000002</v>
      </c>
      <c r="DI410" s="12">
        <f>-'Balance Sheet'!CJ53/1000</f>
        <v>-654.80200000000002</v>
      </c>
      <c r="DJ410" s="12">
        <f>-'Balance Sheet'!CK53/1000</f>
        <v>-481.125</v>
      </c>
      <c r="DK410" s="12">
        <f>-'Balance Sheet'!CL53/1000</f>
        <v>-445.495</v>
      </c>
      <c r="DL410" s="12">
        <f>-'Balance Sheet'!CM53/1000</f>
        <v>-445.495</v>
      </c>
      <c r="DM410" s="12">
        <f>-'Balance Sheet'!CN53/1000</f>
        <v>-530.15499999999997</v>
      </c>
      <c r="DN410" s="12">
        <f>-'Balance Sheet'!CO53/1000</f>
        <v>-578.12800000000004</v>
      </c>
      <c r="DO410" s="12">
        <f>-'Balance Sheet'!CP53/1000</f>
        <v>-565.27499999999998</v>
      </c>
      <c r="DP410" s="12">
        <f>-'Balance Sheet'!CQ53/1000</f>
        <v>-468.16300000000001</v>
      </c>
      <c r="DQ410" s="12">
        <f>-'Balance Sheet'!CR53/1000</f>
        <v>-468.16300000000001</v>
      </c>
      <c r="DR410" s="12">
        <f>-'Balance Sheet'!CS53/1000</f>
        <v>-477.14100000000002</v>
      </c>
      <c r="DS410" s="12">
        <f>-'Balance Sheet'!CT53/1000</f>
        <v>-397.10399999999998</v>
      </c>
      <c r="DT410" s="12">
        <f>-'Balance Sheet'!CU53/1000</f>
        <v>-500.48599999999999</v>
      </c>
      <c r="DU410" s="12">
        <f>-'Balance Sheet'!CV53/1000</f>
        <v>-610.87900000000002</v>
      </c>
      <c r="DV410" s="12">
        <f>-'Balance Sheet'!CW53/1000</f>
        <v>-610.87900000000002</v>
      </c>
      <c r="DW410" s="12">
        <f>-'Balance Sheet'!CX53/1000</f>
        <v>-536.423</v>
      </c>
      <c r="DX410" s="12">
        <f>-'Balance Sheet'!CY53/1000</f>
        <v>-516.85599999999999</v>
      </c>
      <c r="DY410" s="12">
        <f>-'Balance Sheet'!CZ53/1000</f>
        <v>-442.4</v>
      </c>
      <c r="DZ410" s="12">
        <f>-'Balance Sheet'!DA53/1000</f>
        <v>-794.68</v>
      </c>
      <c r="EA410" s="12">
        <f>-'Balance Sheet'!DB53/1000</f>
        <v>-794.68</v>
      </c>
      <c r="EB410" s="417"/>
    </row>
    <row r="411" spans="1:132" s="7" customFormat="1">
      <c r="A411" s="11" t="s">
        <v>522</v>
      </c>
      <c r="B411" s="418"/>
      <c r="C411" s="418"/>
      <c r="D411" s="418"/>
      <c r="E411" s="418"/>
      <c r="F411" s="418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>
        <f>-'Balance Sheet'!B42/1000</f>
        <v>-8.5890000000000004</v>
      </c>
      <c r="AB411" s="12">
        <f>-'Balance Sheet'!C42/1000</f>
        <v>-8.5850000000000009</v>
      </c>
      <c r="AC411" s="12">
        <f>-'Balance Sheet'!D42/1000</f>
        <v>-4.5529999999999999</v>
      </c>
      <c r="AD411" s="12">
        <f>-'Balance Sheet'!E42/1000</f>
        <v>-72.47</v>
      </c>
      <c r="AE411" s="12">
        <f>-'Balance Sheet'!F42/1000</f>
        <v>-72.47</v>
      </c>
      <c r="AF411" s="12">
        <f>-'Balance Sheet'!G42/1000</f>
        <v>-76.313500000000005</v>
      </c>
      <c r="AG411" s="12">
        <f>-'Balance Sheet'!H42/1000</f>
        <v>-80.156999999999996</v>
      </c>
      <c r="AH411" s="12">
        <f>-'Balance Sheet'!I42/1000</f>
        <v>-91.878</v>
      </c>
      <c r="AI411" s="12">
        <f>-'Balance Sheet'!J42/1000</f>
        <v>-78.534000000000006</v>
      </c>
      <c r="AJ411" s="12">
        <f>-'Balance Sheet'!K42/1000</f>
        <v>-78.534000000000006</v>
      </c>
      <c r="AK411" s="12">
        <f>-'Balance Sheet'!L42/1000</f>
        <v>-89.269000000000005</v>
      </c>
      <c r="AL411" s="12">
        <f>-'Balance Sheet'!M42/1000</f>
        <v>-120.622</v>
      </c>
      <c r="AM411" s="12">
        <f>-'Balance Sheet'!N42/1000</f>
        <v>-117.93300000000001</v>
      </c>
      <c r="AN411" s="12">
        <f>-'Balance Sheet'!O42/1000</f>
        <v>-100.30200000000001</v>
      </c>
      <c r="AO411" s="12">
        <f>-'Balance Sheet'!P42/1000</f>
        <v>-100.30200000000001</v>
      </c>
      <c r="AP411" s="12">
        <f>-'Balance Sheet'!Q42/1000</f>
        <v>-137.27600000000001</v>
      </c>
      <c r="AQ411" s="12">
        <f>-'Balance Sheet'!R42/1000</f>
        <v>-117.38500000000001</v>
      </c>
      <c r="AR411" s="12">
        <f>-'Balance Sheet'!S42/1000</f>
        <v>-148.458</v>
      </c>
      <c r="AS411" s="12">
        <f>-'Balance Sheet'!T42/1000</f>
        <v>-198.76900000000001</v>
      </c>
      <c r="AT411" s="12">
        <f>-'Balance Sheet'!U42/1000</f>
        <v>-198.76900000000001</v>
      </c>
      <c r="AU411" s="12">
        <f>-'Balance Sheet'!V42/1000</f>
        <v>-220.66300000000001</v>
      </c>
      <c r="AV411" s="12">
        <f>-'Balance Sheet'!W42/1000</f>
        <v>-251.13800000000001</v>
      </c>
      <c r="AW411" s="12">
        <f>-'Balance Sheet'!X42/1000</f>
        <v>-262.09500000000003</v>
      </c>
      <c r="AX411" s="12">
        <f>-'Balance Sheet'!Y42/1000</f>
        <v>-288.72800000000001</v>
      </c>
      <c r="AY411" s="12">
        <f>-'Balance Sheet'!Z42/1000</f>
        <v>-288.72800000000001</v>
      </c>
      <c r="AZ411" s="12">
        <f>-'Balance Sheet'!AA42/1000</f>
        <v>-152.37100000000001</v>
      </c>
      <c r="BA411" s="12">
        <f>-'Balance Sheet'!AB42/1000</f>
        <v>-174.042</v>
      </c>
      <c r="BB411" s="12">
        <f>-'Balance Sheet'!AC42/1000</f>
        <v>-195.50700000000001</v>
      </c>
      <c r="BC411" s="12">
        <f>-'Balance Sheet'!AD42/1000</f>
        <v>-252.57900000000001</v>
      </c>
      <c r="BD411" s="12">
        <f>-'Balance Sheet'!AE42/1000</f>
        <v>-252.57900000000001</v>
      </c>
      <c r="BE411" s="12">
        <f>-'Balance Sheet'!AF42/1000</f>
        <v>-263.37299999999999</v>
      </c>
      <c r="BF411" s="12">
        <f>-'Balance Sheet'!AG42/1000</f>
        <v>-275.82299999999998</v>
      </c>
      <c r="BG411" s="12">
        <f>-'Balance Sheet'!AH42/1000</f>
        <v>-320.59699999999998</v>
      </c>
      <c r="BH411" s="12">
        <f>-'Balance Sheet'!AI42/1000</f>
        <v>-355.45699999999999</v>
      </c>
      <c r="BI411" s="12">
        <f>-'Balance Sheet'!AJ42/1000</f>
        <v>-355.45699999999999</v>
      </c>
      <c r="BJ411" s="12">
        <f>-'Balance Sheet'!AK42/1000</f>
        <v>-378.78399999999999</v>
      </c>
      <c r="BK411" s="12">
        <f>-'Balance Sheet'!AL42/1000</f>
        <v>-362.14</v>
      </c>
      <c r="BL411" s="12">
        <f>-'Balance Sheet'!AM42/1000</f>
        <v>-356.18099999999998</v>
      </c>
      <c r="BM411" s="12">
        <f>-'Balance Sheet'!AN42/1000</f>
        <v>-378.04700000000003</v>
      </c>
      <c r="BN411" s="12">
        <f>-'Balance Sheet'!AO42/1000</f>
        <v>-378.04700000000003</v>
      </c>
      <c r="BO411" s="12">
        <f>-'Balance Sheet'!AP42/1000</f>
        <v>-354.76799999999997</v>
      </c>
      <c r="BP411" s="12">
        <f>-'Balance Sheet'!AQ42/1000</f>
        <v>-343.69900000000001</v>
      </c>
      <c r="BQ411" s="12">
        <f>-'Balance Sheet'!AR42/1000</f>
        <v>-375.66699999999997</v>
      </c>
      <c r="BR411" s="12">
        <f>-'Balance Sheet'!AS42/1000</f>
        <v>-566.51300000000003</v>
      </c>
      <c r="BS411" s="12">
        <f>-'Balance Sheet'!AT42/1000</f>
        <v>-566.51300000000003</v>
      </c>
      <c r="BT411" s="12">
        <f>-'Balance Sheet'!AU42/1000</f>
        <v>-950.28800000000001</v>
      </c>
      <c r="BU411" s="12">
        <f>-'Balance Sheet'!AV42/1000</f>
        <v>-736.48599999999999</v>
      </c>
      <c r="BV411" s="12">
        <f>-'Balance Sheet'!AW42/1000</f>
        <v>-767.74300000000005</v>
      </c>
      <c r="BW411" s="12">
        <f>-'Balance Sheet'!AX42/1000</f>
        <v>-732.42600000000004</v>
      </c>
      <c r="BX411" s="12">
        <f>-'Balance Sheet'!AY42/1000</f>
        <v>-732.42600000000004</v>
      </c>
      <c r="BY411" s="12">
        <f>-'Balance Sheet'!AZ42/1000</f>
        <v>-631.77200000000005</v>
      </c>
      <c r="BZ411" s="12">
        <f>-'Balance Sheet'!BA42/1000</f>
        <v>-668.62699999999995</v>
      </c>
      <c r="CA411" s="12">
        <f>-'Balance Sheet'!BB42/1000</f>
        <v>-690.58100000000002</v>
      </c>
      <c r="CB411" s="12">
        <f>-'Balance Sheet'!BC42/1000</f>
        <v>-708.75400000000002</v>
      </c>
      <c r="CC411" s="12">
        <f>-'Balance Sheet'!BD42/1000</f>
        <v>-708.75400000000002</v>
      </c>
      <c r="CD411" s="12">
        <f>-'Balance Sheet'!BE42/1000</f>
        <v>-717.72699999999998</v>
      </c>
      <c r="CE411" s="12">
        <f>-'Balance Sheet'!BF42/1000</f>
        <v>-839.92700000000002</v>
      </c>
      <c r="CF411" s="12">
        <f>-'Balance Sheet'!BG42/1000</f>
        <v>-875.05100000000004</v>
      </c>
      <c r="CG411" s="12">
        <f>-'Balance Sheet'!BH42/1000</f>
        <v>-791.84400000000005</v>
      </c>
      <c r="CH411" s="12">
        <f>-'Balance Sheet'!BI42/1000</f>
        <v>-791.84400000000005</v>
      </c>
      <c r="CI411" s="12">
        <f>-'Balance Sheet'!BJ42/1000</f>
        <v>-780.58399999999995</v>
      </c>
      <c r="CJ411" s="12">
        <f>-'Balance Sheet'!BK42/1000</f>
        <v>-758.80499999999995</v>
      </c>
      <c r="CK411" s="12">
        <f>-'Balance Sheet'!BL42/1000</f>
        <v>-739.85400000000004</v>
      </c>
      <c r="CL411" s="12">
        <f>-'Balance Sheet'!BM42/1000</f>
        <v>-753.18600000000004</v>
      </c>
      <c r="CM411" s="12">
        <f>-'Balance Sheet'!BN42/1000</f>
        <v>-753.18600000000004</v>
      </c>
      <c r="CN411" s="12">
        <f>-'Balance Sheet'!BO42/1000</f>
        <v>-760.34500000000003</v>
      </c>
      <c r="CO411" s="12">
        <f>-'Balance Sheet'!BP42/1000</f>
        <v>-435.03199999999998</v>
      </c>
      <c r="CP411" s="12">
        <f>-'Balance Sheet'!BQ42/1000</f>
        <v>-445.39600000000002</v>
      </c>
      <c r="CQ411" s="12">
        <f>-'Balance Sheet'!BR42/1000</f>
        <v>-440.90699999999998</v>
      </c>
      <c r="CR411" s="12">
        <f>-'Balance Sheet'!BS42/1000</f>
        <v>-440.90699999999998</v>
      </c>
      <c r="CS411" s="12">
        <f>-'Balance Sheet'!BT42/1000</f>
        <v>-356.654</v>
      </c>
      <c r="CT411" s="12">
        <f>-'Balance Sheet'!BU42/1000</f>
        <v>-338.322</v>
      </c>
      <c r="CU411" s="12">
        <f>-'Balance Sheet'!BV42/1000</f>
        <v>-326.72399999999999</v>
      </c>
      <c r="CV411" s="12">
        <f>-'Balance Sheet'!BW42/1000</f>
        <v>-389.26299999999998</v>
      </c>
      <c r="CW411" s="12">
        <f>-'Balance Sheet'!BX42/1000</f>
        <v>-389.26299999999998</v>
      </c>
      <c r="CX411" s="12">
        <f>-'Balance Sheet'!BY42/1000</f>
        <v>-373.45299999999997</v>
      </c>
      <c r="CY411" s="12">
        <f>-'Balance Sheet'!BZ42/1000</f>
        <v>-372.81700000000001</v>
      </c>
      <c r="CZ411" s="12">
        <f>-'Balance Sheet'!CA42/1000</f>
        <v>-368.35500000000002</v>
      </c>
      <c r="DA411" s="12">
        <f>-'Balance Sheet'!CB42/1000</f>
        <v>-413.06700000000001</v>
      </c>
      <c r="DB411" s="12">
        <f>-'Balance Sheet'!CC42/1000</f>
        <v>-413.06700000000001</v>
      </c>
      <c r="DC411" s="12">
        <f>-'Balance Sheet'!CD42/1000</f>
        <v>-420.303</v>
      </c>
      <c r="DD411" s="12">
        <f>-'Balance Sheet'!CE42/1000</f>
        <v>-444.101</v>
      </c>
      <c r="DE411" s="12">
        <f>-'Balance Sheet'!CF42/1000</f>
        <v>-285.46100000000001</v>
      </c>
      <c r="DF411" s="12">
        <f>-'Balance Sheet'!CG42/1000</f>
        <v>-291.89499999999998</v>
      </c>
      <c r="DG411" s="12">
        <f>-'Balance Sheet'!CH42/1000</f>
        <v>-291.89499999999998</v>
      </c>
      <c r="DH411" s="12">
        <f>-'Balance Sheet'!CI42/1000</f>
        <v>-304.875</v>
      </c>
      <c r="DI411" s="12">
        <f>-'Balance Sheet'!CJ42/1000</f>
        <v>-330.82400000000001</v>
      </c>
      <c r="DJ411" s="12">
        <f>-'Balance Sheet'!CK42/1000</f>
        <v>-405.85</v>
      </c>
      <c r="DK411" s="12">
        <f>-'Balance Sheet'!CL42/1000</f>
        <v>-603.87199999999996</v>
      </c>
      <c r="DL411" s="12">
        <f>-'Balance Sheet'!CM42/1000</f>
        <v>-603.87199999999996</v>
      </c>
      <c r="DM411" s="12">
        <f>-'Balance Sheet'!CN42/1000</f>
        <v>-628.41600000000005</v>
      </c>
      <c r="DN411" s="12">
        <f>-'Balance Sheet'!CO42/1000</f>
        <v>-590.08799999999997</v>
      </c>
      <c r="DO411" s="12">
        <f>-'Balance Sheet'!CP42/1000</f>
        <v>-633.56700000000001</v>
      </c>
      <c r="DP411" s="12">
        <f>-'Balance Sheet'!CQ42/1000</f>
        <v>-577.58699999999999</v>
      </c>
      <c r="DQ411" s="12">
        <f>-'Balance Sheet'!CR42/1000</f>
        <v>-577.58699999999999</v>
      </c>
      <c r="DR411" s="12">
        <f>-'Balance Sheet'!CS42/1000</f>
        <v>-648.62199999999996</v>
      </c>
      <c r="DS411" s="12">
        <f>-'Balance Sheet'!CT42/1000</f>
        <v>-723.72500000000002</v>
      </c>
      <c r="DT411" s="12">
        <f>-'Balance Sheet'!CU42/1000</f>
        <v>-757.58799999999997</v>
      </c>
      <c r="DU411" s="12">
        <f>-'Balance Sheet'!CV42/1000</f>
        <v>-809.48500000000001</v>
      </c>
      <c r="DV411" s="12">
        <f>-'Balance Sheet'!CW42/1000</f>
        <v>-809.48500000000001</v>
      </c>
      <c r="DW411" s="12">
        <f>-'Balance Sheet'!CX42/1000</f>
        <v>-821.38800000000003</v>
      </c>
      <c r="DX411" s="12">
        <f>-'Balance Sheet'!CY42/1000</f>
        <v>-735.10299999999995</v>
      </c>
      <c r="DY411" s="12">
        <f>-'Balance Sheet'!CZ42/1000</f>
        <v>-906.77499999999998</v>
      </c>
      <c r="DZ411" s="12">
        <f>-'Balance Sheet'!DA42/1000</f>
        <v>-1054.6120000000001</v>
      </c>
      <c r="EA411" s="12">
        <f>-'Balance Sheet'!DB42/1000</f>
        <v>-1054.6120000000001</v>
      </c>
      <c r="EB411" s="417"/>
    </row>
    <row r="412" spans="1:132" s="7" customFormat="1">
      <c r="A412" s="11" t="s">
        <v>523</v>
      </c>
      <c r="B412" s="418"/>
      <c r="C412" s="418"/>
      <c r="D412" s="418"/>
      <c r="E412" s="418"/>
      <c r="F412" s="418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2">
        <v>0</v>
      </c>
      <c r="AK412" s="12">
        <v>0</v>
      </c>
      <c r="AL412" s="12">
        <v>0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2">
        <v>0</v>
      </c>
      <c r="BJ412" s="12">
        <v>0</v>
      </c>
      <c r="BK412" s="12">
        <v>0</v>
      </c>
      <c r="BL412" s="12">
        <v>0</v>
      </c>
      <c r="BM412" s="12">
        <v>0</v>
      </c>
      <c r="BN412" s="12">
        <v>0</v>
      </c>
      <c r="BO412" s="12">
        <v>0</v>
      </c>
      <c r="BP412" s="12">
        <v>0</v>
      </c>
      <c r="BQ412" s="12">
        <v>0</v>
      </c>
      <c r="BR412" s="12">
        <v>0</v>
      </c>
      <c r="BS412" s="12">
        <v>0</v>
      </c>
      <c r="BT412" s="12">
        <v>0</v>
      </c>
      <c r="BU412" s="12">
        <v>0</v>
      </c>
      <c r="BV412" s="12">
        <v>0</v>
      </c>
      <c r="BW412" s="12">
        <v>0</v>
      </c>
      <c r="BX412" s="12">
        <v>0</v>
      </c>
      <c r="BY412" s="12">
        <v>0</v>
      </c>
      <c r="BZ412" s="12">
        <v>0</v>
      </c>
      <c r="CA412" s="12">
        <v>0</v>
      </c>
      <c r="CB412" s="12">
        <v>0</v>
      </c>
      <c r="CC412" s="12">
        <v>0</v>
      </c>
      <c r="CD412" s="12">
        <v>0</v>
      </c>
      <c r="CE412" s="12">
        <v>0</v>
      </c>
      <c r="CF412" s="12">
        <v>0</v>
      </c>
      <c r="CG412" s="12">
        <v>0</v>
      </c>
      <c r="CH412" s="12">
        <v>0</v>
      </c>
      <c r="CI412" s="12">
        <v>0</v>
      </c>
      <c r="CJ412" s="12">
        <v>0</v>
      </c>
      <c r="CK412" s="12">
        <v>0</v>
      </c>
      <c r="CL412" s="12">
        <v>0</v>
      </c>
      <c r="CM412" s="12">
        <v>0</v>
      </c>
      <c r="CN412" s="12">
        <v>0</v>
      </c>
      <c r="CO412" s="12">
        <v>0</v>
      </c>
      <c r="CP412" s="12">
        <v>0</v>
      </c>
      <c r="CQ412" s="12">
        <v>0</v>
      </c>
      <c r="CR412" s="12">
        <v>0</v>
      </c>
      <c r="CS412" s="12">
        <v>0</v>
      </c>
      <c r="CT412" s="12">
        <v>0</v>
      </c>
      <c r="CU412" s="12">
        <v>0</v>
      </c>
      <c r="CV412" s="12">
        <v>0</v>
      </c>
      <c r="CW412" s="12">
        <v>0</v>
      </c>
      <c r="CX412" s="12">
        <v>0</v>
      </c>
      <c r="CY412" s="12">
        <v>0</v>
      </c>
      <c r="CZ412" s="12">
        <v>0</v>
      </c>
      <c r="DA412" s="12">
        <v>0</v>
      </c>
      <c r="DB412" s="12">
        <v>0</v>
      </c>
      <c r="DC412" s="12">
        <v>0</v>
      </c>
      <c r="DD412" s="12">
        <v>0</v>
      </c>
      <c r="DE412" s="12">
        <v>0</v>
      </c>
      <c r="DF412" s="12">
        <v>0</v>
      </c>
      <c r="DG412" s="12">
        <v>0</v>
      </c>
      <c r="DH412" s="12">
        <v>0</v>
      </c>
      <c r="DI412" s="12">
        <v>0</v>
      </c>
      <c r="DJ412" s="12">
        <v>0</v>
      </c>
      <c r="DK412" s="12">
        <v>0</v>
      </c>
      <c r="DL412" s="12">
        <v>0</v>
      </c>
      <c r="DM412" s="12">
        <v>0</v>
      </c>
      <c r="DN412" s="12">
        <v>0</v>
      </c>
      <c r="DO412" s="12">
        <v>0</v>
      </c>
      <c r="DP412" s="12">
        <v>0</v>
      </c>
      <c r="DQ412" s="12">
        <v>0</v>
      </c>
      <c r="DR412" s="12">
        <v>0</v>
      </c>
      <c r="DS412" s="12">
        <v>0</v>
      </c>
      <c r="DT412" s="12">
        <v>0</v>
      </c>
      <c r="DU412" s="12">
        <v>0</v>
      </c>
      <c r="DV412" s="12">
        <v>0</v>
      </c>
      <c r="DW412" s="12">
        <v>0</v>
      </c>
      <c r="DX412" s="12">
        <v>0</v>
      </c>
      <c r="DY412" s="12">
        <v>0</v>
      </c>
      <c r="DZ412" s="12">
        <v>0</v>
      </c>
      <c r="EA412" s="12">
        <v>0</v>
      </c>
      <c r="EB412" s="417"/>
    </row>
    <row r="413" spans="1:132" s="7" customFormat="1">
      <c r="A413" s="11" t="s">
        <v>524</v>
      </c>
      <c r="B413" s="436"/>
      <c r="C413" s="436"/>
      <c r="D413" s="436"/>
      <c r="E413" s="436"/>
      <c r="F413" s="436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>
        <v>0</v>
      </c>
      <c r="AJ413" s="12">
        <v>0</v>
      </c>
      <c r="AK413" s="12">
        <v>0</v>
      </c>
      <c r="AL413" s="12">
        <v>0</v>
      </c>
      <c r="AM413" s="12">
        <v>0</v>
      </c>
      <c r="AN413" s="12">
        <v>0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2">
        <v>0</v>
      </c>
      <c r="BJ413" s="12">
        <v>0</v>
      </c>
      <c r="BK413" s="12">
        <v>0</v>
      </c>
      <c r="BL413" s="12">
        <v>0</v>
      </c>
      <c r="BM413" s="12">
        <v>0</v>
      </c>
      <c r="BN413" s="12">
        <v>0</v>
      </c>
      <c r="BO413" s="12">
        <v>0</v>
      </c>
      <c r="BP413" s="12">
        <v>0</v>
      </c>
      <c r="BQ413" s="12">
        <v>0</v>
      </c>
      <c r="BR413" s="12">
        <v>0</v>
      </c>
      <c r="BS413" s="12">
        <v>0</v>
      </c>
      <c r="BT413" s="12">
        <v>0</v>
      </c>
      <c r="BU413" s="12">
        <v>0</v>
      </c>
      <c r="BV413" s="12">
        <v>0</v>
      </c>
      <c r="BW413" s="12">
        <v>0</v>
      </c>
      <c r="BX413" s="12">
        <v>0</v>
      </c>
      <c r="BY413" s="12">
        <v>0</v>
      </c>
      <c r="BZ413" s="12">
        <v>0</v>
      </c>
      <c r="CA413" s="12">
        <v>0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>
        <v>0</v>
      </c>
      <c r="CH413" s="12">
        <v>0</v>
      </c>
      <c r="CI413" s="12">
        <v>0</v>
      </c>
      <c r="CJ413" s="12">
        <v>0</v>
      </c>
      <c r="CK413" s="12">
        <v>0</v>
      </c>
      <c r="CL413" s="12">
        <v>0</v>
      </c>
      <c r="CM413" s="12">
        <v>0</v>
      </c>
      <c r="CN413" s="12">
        <v>0</v>
      </c>
      <c r="CO413" s="12">
        <v>0</v>
      </c>
      <c r="CP413" s="12">
        <v>0</v>
      </c>
      <c r="CQ413" s="12">
        <v>0</v>
      </c>
      <c r="CR413" s="12">
        <v>0</v>
      </c>
      <c r="CS413" s="12">
        <v>0</v>
      </c>
      <c r="CT413" s="12">
        <v>0</v>
      </c>
      <c r="CU413" s="12">
        <v>0</v>
      </c>
      <c r="CV413" s="12">
        <v>0</v>
      </c>
      <c r="CW413" s="12">
        <v>0</v>
      </c>
      <c r="CX413" s="12">
        <v>0</v>
      </c>
      <c r="CY413" s="12">
        <v>0</v>
      </c>
      <c r="CZ413" s="12">
        <v>0</v>
      </c>
      <c r="DA413" s="12">
        <v>0</v>
      </c>
      <c r="DB413" s="12">
        <v>0</v>
      </c>
      <c r="DC413" s="12">
        <v>0</v>
      </c>
      <c r="DD413" s="12">
        <v>0</v>
      </c>
      <c r="DE413" s="12">
        <v>0</v>
      </c>
      <c r="DF413" s="12">
        <v>0</v>
      </c>
      <c r="DG413" s="12">
        <v>0</v>
      </c>
      <c r="DH413" s="12">
        <v>0</v>
      </c>
      <c r="DI413" s="12">
        <v>0</v>
      </c>
      <c r="DJ413" s="12">
        <v>0</v>
      </c>
      <c r="DK413" s="12">
        <v>0</v>
      </c>
      <c r="DL413" s="12">
        <v>0</v>
      </c>
      <c r="DM413" s="12">
        <v>0</v>
      </c>
      <c r="DN413" s="12">
        <v>0</v>
      </c>
      <c r="DO413" s="12">
        <v>0</v>
      </c>
      <c r="DP413" s="12">
        <v>0</v>
      </c>
      <c r="DQ413" s="12">
        <v>0</v>
      </c>
      <c r="DR413" s="12">
        <v>0</v>
      </c>
      <c r="DS413" s="12">
        <v>0</v>
      </c>
      <c r="DT413" s="12">
        <v>0</v>
      </c>
      <c r="DU413" s="12">
        <v>0</v>
      </c>
      <c r="DV413" s="12">
        <v>0</v>
      </c>
      <c r="DW413" s="12">
        <v>0</v>
      </c>
      <c r="DX413" s="12">
        <v>0</v>
      </c>
      <c r="DY413" s="12">
        <v>0</v>
      </c>
      <c r="DZ413" s="12">
        <v>0</v>
      </c>
      <c r="EA413" s="12">
        <v>0</v>
      </c>
      <c r="EB413" s="417"/>
    </row>
    <row r="414" spans="1:132" s="7" customFormat="1">
      <c r="A414" s="17"/>
      <c r="B414" s="429"/>
      <c r="C414" s="429"/>
      <c r="D414" s="429"/>
      <c r="E414" s="429"/>
      <c r="F414" s="429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417"/>
    </row>
    <row r="415" spans="1:132" s="7" customFormat="1" ht="15">
      <c r="A415" s="22" t="s">
        <v>525</v>
      </c>
      <c r="B415" s="435"/>
      <c r="C415" s="435"/>
      <c r="D415" s="435"/>
      <c r="E415" s="435"/>
      <c r="F415" s="435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417"/>
    </row>
    <row r="416" spans="1:132" s="7" customFormat="1">
      <c r="A416" s="17" t="s">
        <v>526</v>
      </c>
      <c r="B416" s="434"/>
      <c r="C416" s="434"/>
      <c r="D416" s="434"/>
      <c r="E416" s="434"/>
      <c r="F416" s="43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4"/>
      <c r="BP416" s="24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4"/>
      <c r="CC416" s="24"/>
      <c r="CD416" s="24"/>
      <c r="CE416" s="24"/>
      <c r="CF416" s="24"/>
      <c r="CG416" s="24"/>
      <c r="CH416" s="24"/>
      <c r="CI416" s="24"/>
      <c r="CJ416" s="24"/>
      <c r="CK416" s="24"/>
      <c r="CL416" s="24"/>
      <c r="CM416" s="24"/>
      <c r="CN416" s="24"/>
      <c r="CO416" s="24"/>
      <c r="CP416" s="24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  <c r="DB416" s="24"/>
      <c r="DC416" s="24"/>
      <c r="DD416" s="24"/>
      <c r="DE416" s="24"/>
      <c r="DF416" s="24"/>
      <c r="DG416" s="24"/>
      <c r="DH416" s="24"/>
      <c r="DI416" s="24"/>
      <c r="DJ416" s="24"/>
      <c r="DK416" s="24"/>
      <c r="DL416" s="24"/>
      <c r="DM416" s="24"/>
      <c r="DN416" s="24"/>
      <c r="DO416" s="24"/>
      <c r="DP416" s="24"/>
      <c r="DQ416" s="24"/>
      <c r="DR416" s="24"/>
      <c r="DS416" s="24"/>
      <c r="DT416" s="24"/>
      <c r="DU416" s="24"/>
      <c r="DV416" s="24"/>
      <c r="DW416" s="24"/>
      <c r="DX416" s="24"/>
      <c r="DY416" s="24"/>
      <c r="DZ416" s="24"/>
      <c r="EA416" s="24"/>
      <c r="EB416" s="417"/>
    </row>
    <row r="417" spans="1:132" s="7" customFormat="1">
      <c r="A417" s="17" t="s">
        <v>520</v>
      </c>
      <c r="B417" s="434"/>
      <c r="C417" s="434"/>
      <c r="D417" s="434"/>
      <c r="E417" s="434"/>
      <c r="F417" s="43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  <c r="BD417" s="24"/>
      <c r="BE417" s="24"/>
      <c r="BF417" s="24"/>
      <c r="BG417" s="24"/>
      <c r="BH417" s="24"/>
      <c r="BI417" s="24"/>
      <c r="BJ417" s="24"/>
      <c r="BK417" s="24"/>
      <c r="BL417" s="24"/>
      <c r="BM417" s="24"/>
      <c r="BN417" s="24"/>
      <c r="BO417" s="24"/>
      <c r="BP417" s="24"/>
      <c r="BQ417" s="24"/>
      <c r="BR417" s="24"/>
      <c r="BS417" s="24"/>
      <c r="BT417" s="24"/>
      <c r="BU417" s="24"/>
      <c r="BV417" s="24"/>
      <c r="BW417" s="24"/>
      <c r="BX417" s="24"/>
      <c r="BY417" s="24"/>
      <c r="BZ417" s="24"/>
      <c r="CA417" s="24"/>
      <c r="CB417" s="24"/>
      <c r="CC417" s="24"/>
      <c r="CD417" s="24"/>
      <c r="CE417" s="24"/>
      <c r="CF417" s="24"/>
      <c r="CG417" s="24"/>
      <c r="CH417" s="24"/>
      <c r="CI417" s="24"/>
      <c r="CJ417" s="24"/>
      <c r="CK417" s="24"/>
      <c r="CL417" s="24"/>
      <c r="CM417" s="24"/>
      <c r="CN417" s="24"/>
      <c r="CO417" s="24"/>
      <c r="CP417" s="24"/>
      <c r="CQ417" s="24"/>
      <c r="CR417" s="24"/>
      <c r="CS417" s="24"/>
      <c r="CT417" s="24"/>
      <c r="CU417" s="24"/>
      <c r="CV417" s="24"/>
      <c r="CW417" s="24"/>
      <c r="CX417" s="24"/>
      <c r="CY417" s="24"/>
      <c r="CZ417" s="24"/>
      <c r="DA417" s="24"/>
      <c r="DB417" s="24"/>
      <c r="DC417" s="24"/>
      <c r="DD417" s="24"/>
      <c r="DE417" s="24"/>
      <c r="DF417" s="24"/>
      <c r="DG417" s="24"/>
      <c r="DH417" s="24"/>
      <c r="DI417" s="24"/>
      <c r="DJ417" s="24"/>
      <c r="DK417" s="24"/>
      <c r="DL417" s="24"/>
      <c r="DM417" s="24"/>
      <c r="DN417" s="24"/>
      <c r="DO417" s="24"/>
      <c r="DP417" s="24"/>
      <c r="DQ417" s="24"/>
      <c r="DR417" s="24"/>
      <c r="DS417" s="24"/>
      <c r="DT417" s="24"/>
      <c r="DU417" s="24"/>
      <c r="DV417" s="24"/>
      <c r="DW417" s="24"/>
      <c r="DX417" s="24"/>
      <c r="DY417" s="24"/>
      <c r="DZ417" s="24"/>
      <c r="EA417" s="24"/>
      <c r="EB417" s="417"/>
    </row>
    <row r="418" spans="1:132" s="7" customFormat="1">
      <c r="A418" s="17" t="s">
        <v>527</v>
      </c>
      <c r="B418" s="434"/>
      <c r="C418" s="434"/>
      <c r="D418" s="434"/>
      <c r="E418" s="434"/>
      <c r="F418" s="43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4"/>
      <c r="BP418" s="24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4"/>
      <c r="CC418" s="24"/>
      <c r="CD418" s="24"/>
      <c r="CE418" s="24"/>
      <c r="CF418" s="24"/>
      <c r="CG418" s="24"/>
      <c r="CH418" s="24"/>
      <c r="CI418" s="24"/>
      <c r="CJ418" s="24"/>
      <c r="CK418" s="24"/>
      <c r="CL418" s="24"/>
      <c r="CM418" s="24"/>
      <c r="CN418" s="24"/>
      <c r="CO418" s="24"/>
      <c r="CP418" s="24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4"/>
      <c r="DC418" s="24"/>
      <c r="DD418" s="24"/>
      <c r="DE418" s="24"/>
      <c r="DF418" s="24"/>
      <c r="DG418" s="24"/>
      <c r="DH418" s="24"/>
      <c r="DI418" s="24"/>
      <c r="DJ418" s="24"/>
      <c r="DK418" s="24"/>
      <c r="DL418" s="24"/>
      <c r="DM418" s="24"/>
      <c r="DN418" s="24"/>
      <c r="DO418" s="24"/>
      <c r="DP418" s="24"/>
      <c r="DQ418" s="24"/>
      <c r="DR418" s="24"/>
      <c r="DS418" s="24"/>
      <c r="DT418" s="24"/>
      <c r="DU418" s="24"/>
      <c r="DV418" s="24"/>
      <c r="DW418" s="24"/>
      <c r="DX418" s="24"/>
      <c r="DY418" s="24"/>
      <c r="DZ418" s="24"/>
      <c r="EA418" s="24"/>
      <c r="EB418" s="417"/>
    </row>
    <row r="419" spans="1:132" s="7" customFormat="1">
      <c r="A419" s="17" t="s">
        <v>522</v>
      </c>
      <c r="B419" s="434"/>
      <c r="C419" s="434"/>
      <c r="D419" s="434"/>
      <c r="E419" s="434"/>
      <c r="F419" s="43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  <c r="BD419" s="24"/>
      <c r="BE419" s="24"/>
      <c r="BF419" s="24"/>
      <c r="BG419" s="24"/>
      <c r="BH419" s="24"/>
      <c r="BI419" s="24"/>
      <c r="BJ419" s="24"/>
      <c r="BK419" s="24"/>
      <c r="BL419" s="24"/>
      <c r="BM419" s="24"/>
      <c r="BN419" s="24"/>
      <c r="BO419" s="24"/>
      <c r="BP419" s="24"/>
      <c r="BQ419" s="24"/>
      <c r="BR419" s="24"/>
      <c r="BS419" s="24"/>
      <c r="BT419" s="24"/>
      <c r="BU419" s="24"/>
      <c r="BV419" s="24"/>
      <c r="BW419" s="24"/>
      <c r="BX419" s="24"/>
      <c r="BY419" s="24"/>
      <c r="BZ419" s="24"/>
      <c r="CA419" s="24"/>
      <c r="CB419" s="24"/>
      <c r="CC419" s="24"/>
      <c r="CD419" s="24"/>
      <c r="CE419" s="24"/>
      <c r="CF419" s="24"/>
      <c r="CG419" s="24"/>
      <c r="CH419" s="24"/>
      <c r="CI419" s="24"/>
      <c r="CJ419" s="24"/>
      <c r="CK419" s="24"/>
      <c r="CL419" s="24"/>
      <c r="CM419" s="24"/>
      <c r="CN419" s="24"/>
      <c r="CO419" s="24"/>
      <c r="CP419" s="24"/>
      <c r="CQ419" s="24"/>
      <c r="CR419" s="24"/>
      <c r="CS419" s="24"/>
      <c r="CT419" s="24"/>
      <c r="CU419" s="24"/>
      <c r="CV419" s="24"/>
      <c r="CW419" s="24"/>
      <c r="CX419" s="24"/>
      <c r="CY419" s="24"/>
      <c r="CZ419" s="24"/>
      <c r="DA419" s="24"/>
      <c r="DB419" s="24"/>
      <c r="DC419" s="24"/>
      <c r="DD419" s="24"/>
      <c r="DE419" s="24"/>
      <c r="DF419" s="24"/>
      <c r="DG419" s="24"/>
      <c r="DH419" s="24"/>
      <c r="DI419" s="24"/>
      <c r="DJ419" s="24"/>
      <c r="DK419" s="24"/>
      <c r="DL419" s="24"/>
      <c r="DM419" s="24"/>
      <c r="DN419" s="24"/>
      <c r="DO419" s="24"/>
      <c r="DP419" s="24"/>
      <c r="DQ419" s="24"/>
      <c r="DR419" s="24"/>
      <c r="DS419" s="24"/>
      <c r="DT419" s="24"/>
      <c r="DU419" s="24"/>
      <c r="DV419" s="24"/>
      <c r="DW419" s="24"/>
      <c r="DX419" s="24"/>
      <c r="DY419" s="24"/>
      <c r="DZ419" s="24"/>
      <c r="EA419" s="24"/>
      <c r="EB419" s="417"/>
    </row>
    <row r="420" spans="1:132" s="7" customFormat="1">
      <c r="A420" s="17" t="s">
        <v>528</v>
      </c>
      <c r="B420" s="434"/>
      <c r="C420" s="434"/>
      <c r="D420" s="434"/>
      <c r="E420" s="434"/>
      <c r="F420" s="43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4"/>
      <c r="BP420" s="24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4"/>
      <c r="CC420" s="24"/>
      <c r="CD420" s="24"/>
      <c r="CE420" s="24"/>
      <c r="CF420" s="24"/>
      <c r="CG420" s="24"/>
      <c r="CH420" s="24"/>
      <c r="CI420" s="24"/>
      <c r="CJ420" s="24"/>
      <c r="CK420" s="24"/>
      <c r="CL420" s="24"/>
      <c r="CM420" s="24"/>
      <c r="CN420" s="24"/>
      <c r="CO420" s="24"/>
      <c r="CP420" s="24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  <c r="DB420" s="24"/>
      <c r="DC420" s="24"/>
      <c r="DD420" s="24"/>
      <c r="DE420" s="24"/>
      <c r="DF420" s="24"/>
      <c r="DG420" s="24"/>
      <c r="DH420" s="24"/>
      <c r="DI420" s="24"/>
      <c r="DJ420" s="24"/>
      <c r="DK420" s="24"/>
      <c r="DL420" s="24"/>
      <c r="DM420" s="24"/>
      <c r="DN420" s="24"/>
      <c r="DO420" s="24"/>
      <c r="DP420" s="24"/>
      <c r="DQ420" s="24"/>
      <c r="DR420" s="24"/>
      <c r="DS420" s="24"/>
      <c r="DT420" s="24"/>
      <c r="DU420" s="24"/>
      <c r="DV420" s="24"/>
      <c r="DW420" s="24"/>
      <c r="DX420" s="24"/>
      <c r="DY420" s="24"/>
      <c r="DZ420" s="24"/>
      <c r="EA420" s="24"/>
      <c r="EB420" s="417"/>
    </row>
    <row r="421" spans="1:132" s="7" customFormat="1">
      <c r="A421" s="17" t="s">
        <v>529</v>
      </c>
      <c r="B421" s="433"/>
      <c r="C421" s="433"/>
      <c r="D421" s="433"/>
      <c r="E421" s="433"/>
      <c r="F421" s="433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417"/>
    </row>
    <row r="422" spans="1:132" s="7" customFormat="1">
      <c r="A422" s="17" t="s">
        <v>524</v>
      </c>
      <c r="B422" s="434"/>
      <c r="C422" s="434"/>
      <c r="D422" s="434"/>
      <c r="E422" s="434"/>
      <c r="F422" s="43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4"/>
      <c r="BP422" s="24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4"/>
      <c r="CC422" s="24"/>
      <c r="CD422" s="24"/>
      <c r="CE422" s="24"/>
      <c r="CF422" s="24"/>
      <c r="CG422" s="24"/>
      <c r="CH422" s="24"/>
      <c r="CI422" s="24"/>
      <c r="CJ422" s="24"/>
      <c r="CK422" s="24"/>
      <c r="CL422" s="24"/>
      <c r="CM422" s="24"/>
      <c r="CN422" s="24"/>
      <c r="CO422" s="24"/>
      <c r="CP422" s="24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  <c r="DB422" s="24"/>
      <c r="DC422" s="24"/>
      <c r="DD422" s="24"/>
      <c r="DE422" s="24"/>
      <c r="DF422" s="24"/>
      <c r="DG422" s="24"/>
      <c r="DH422" s="24"/>
      <c r="DI422" s="24"/>
      <c r="DJ422" s="24"/>
      <c r="DK422" s="24"/>
      <c r="DL422" s="24"/>
      <c r="DM422" s="24"/>
      <c r="DN422" s="24"/>
      <c r="DO422" s="24"/>
      <c r="DP422" s="24"/>
      <c r="DQ422" s="24"/>
      <c r="DR422" s="24"/>
      <c r="DS422" s="24"/>
      <c r="DT422" s="24"/>
      <c r="DU422" s="24"/>
      <c r="DV422" s="24"/>
      <c r="DW422" s="24"/>
      <c r="DX422" s="24"/>
      <c r="DY422" s="24"/>
      <c r="DZ422" s="24"/>
      <c r="EA422" s="24"/>
      <c r="EB422" s="417"/>
    </row>
    <row r="423" spans="1:132" s="7" customFormat="1" ht="13.5" thickBot="1">
      <c r="A423" s="17" t="s">
        <v>530</v>
      </c>
      <c r="B423" s="433"/>
      <c r="C423" s="433"/>
      <c r="D423" s="433"/>
      <c r="E423" s="433"/>
      <c r="F423" s="433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417"/>
    </row>
    <row r="424" spans="1:132" s="7" customFormat="1">
      <c r="A424" s="17"/>
      <c r="B424" s="424"/>
      <c r="C424" s="424"/>
      <c r="D424" s="424"/>
      <c r="E424" s="424"/>
      <c r="F424" s="424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20"/>
      <c r="CH424" s="20"/>
      <c r="CI424" s="20"/>
      <c r="CJ424" s="20"/>
      <c r="CK424" s="20"/>
      <c r="CL424" s="20"/>
      <c r="CM424" s="20"/>
      <c r="CN424" s="20"/>
      <c r="CO424" s="20"/>
      <c r="CP424" s="20"/>
      <c r="CQ424" s="20"/>
      <c r="CR424" s="20"/>
      <c r="CS424" s="20"/>
      <c r="CT424" s="20"/>
      <c r="CU424" s="20"/>
      <c r="CV424" s="20"/>
      <c r="CW424" s="20"/>
      <c r="CX424" s="20"/>
      <c r="CY424" s="20"/>
      <c r="CZ424" s="20"/>
      <c r="DA424" s="20"/>
      <c r="DB424" s="20"/>
      <c r="DC424" s="20"/>
      <c r="DD424" s="20"/>
      <c r="DE424" s="20"/>
      <c r="DF424" s="20"/>
      <c r="DG424" s="20"/>
      <c r="DH424" s="20"/>
      <c r="DI424" s="20"/>
      <c r="DJ424" s="20"/>
      <c r="DK424" s="20"/>
      <c r="DL424" s="20"/>
      <c r="DM424" s="20"/>
      <c r="DN424" s="20"/>
      <c r="DO424" s="20"/>
      <c r="DP424" s="20"/>
      <c r="DQ424" s="20"/>
      <c r="DR424" s="20"/>
      <c r="DS424" s="20"/>
      <c r="DT424" s="20"/>
      <c r="DU424" s="20"/>
      <c r="DV424" s="20"/>
      <c r="DW424" s="20"/>
      <c r="DX424" s="20"/>
      <c r="DY424" s="20"/>
      <c r="DZ424" s="20"/>
      <c r="EA424" s="20"/>
      <c r="EB424" s="417"/>
    </row>
    <row r="425" spans="1:132" s="7" customFormat="1" ht="15.75">
      <c r="A425" s="25" t="s">
        <v>531</v>
      </c>
      <c r="B425" s="431"/>
      <c r="C425" s="431"/>
      <c r="D425" s="431"/>
      <c r="E425" s="431"/>
      <c r="F425" s="431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  <c r="DV425" s="26"/>
      <c r="DW425" s="26"/>
      <c r="DX425" s="26"/>
      <c r="DY425" s="26"/>
      <c r="DZ425" s="26"/>
      <c r="EA425" s="26"/>
      <c r="EB425" s="417"/>
    </row>
    <row r="426" spans="1:132" s="7" customFormat="1">
      <c r="A426" s="17" t="s">
        <v>532</v>
      </c>
      <c r="B426" s="430"/>
      <c r="C426" s="430"/>
      <c r="D426" s="430"/>
      <c r="E426" s="430"/>
      <c r="F426" s="430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  <c r="DM426" s="29"/>
      <c r="DN426" s="29"/>
      <c r="DO426" s="29"/>
      <c r="DP426" s="29"/>
      <c r="DQ426" s="29"/>
      <c r="DR426" s="29"/>
      <c r="DS426" s="29"/>
      <c r="DT426" s="29"/>
      <c r="DU426" s="29"/>
      <c r="DV426" s="29"/>
      <c r="DW426" s="29"/>
      <c r="DX426" s="29"/>
      <c r="DY426" s="29"/>
      <c r="DZ426" s="29"/>
      <c r="EA426" s="29"/>
      <c r="EB426" s="417"/>
    </row>
    <row r="427" spans="1:132" s="7" customFormat="1">
      <c r="A427" s="17" t="s">
        <v>533</v>
      </c>
      <c r="B427" s="430"/>
      <c r="C427" s="430"/>
      <c r="D427" s="430"/>
      <c r="E427" s="430"/>
      <c r="F427" s="430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  <c r="DJ427" s="29"/>
      <c r="DK427" s="29"/>
      <c r="DL427" s="29"/>
      <c r="DM427" s="29"/>
      <c r="DN427" s="29"/>
      <c r="DO427" s="29"/>
      <c r="DP427" s="29"/>
      <c r="DQ427" s="29"/>
      <c r="DR427" s="29"/>
      <c r="DS427" s="29"/>
      <c r="DT427" s="29"/>
      <c r="DU427" s="29"/>
      <c r="DV427" s="29"/>
      <c r="DW427" s="29"/>
      <c r="DX427" s="29"/>
      <c r="DY427" s="29"/>
      <c r="DZ427" s="29"/>
      <c r="EA427" s="29"/>
      <c r="EB427" s="417"/>
    </row>
    <row r="428" spans="1:132" s="7" customFormat="1">
      <c r="A428" s="17" t="s">
        <v>534</v>
      </c>
      <c r="B428" s="430"/>
      <c r="C428" s="430"/>
      <c r="D428" s="430"/>
      <c r="E428" s="430"/>
      <c r="F428" s="430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  <c r="DJ428" s="29"/>
      <c r="DK428" s="29"/>
      <c r="DL428" s="29"/>
      <c r="DM428" s="29"/>
      <c r="DN428" s="29"/>
      <c r="DO428" s="29"/>
      <c r="DP428" s="29"/>
      <c r="DQ428" s="29"/>
      <c r="DR428" s="29"/>
      <c r="DS428" s="29"/>
      <c r="DT428" s="29"/>
      <c r="DU428" s="29"/>
      <c r="DV428" s="29"/>
      <c r="DW428" s="29"/>
      <c r="DX428" s="29"/>
      <c r="DY428" s="29"/>
      <c r="DZ428" s="29"/>
      <c r="EA428" s="29"/>
      <c r="EB428" s="417"/>
    </row>
    <row r="429" spans="1:132" s="7" customFormat="1">
      <c r="A429" s="17" t="s">
        <v>535</v>
      </c>
      <c r="B429" s="430"/>
      <c r="C429" s="430"/>
      <c r="D429" s="430"/>
      <c r="E429" s="430"/>
      <c r="F429" s="430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  <c r="DM429" s="29"/>
      <c r="DN429" s="29"/>
      <c r="DO429" s="29"/>
      <c r="DP429" s="29"/>
      <c r="DQ429" s="29"/>
      <c r="DR429" s="29"/>
      <c r="DS429" s="29"/>
      <c r="DT429" s="29"/>
      <c r="DU429" s="29"/>
      <c r="DV429" s="29"/>
      <c r="DW429" s="29"/>
      <c r="DX429" s="29"/>
      <c r="DY429" s="29"/>
      <c r="DZ429" s="29"/>
      <c r="EA429" s="29"/>
      <c r="EB429" s="417"/>
    </row>
    <row r="430" spans="1:132" s="7" customFormat="1">
      <c r="A430" s="17" t="s">
        <v>61</v>
      </c>
      <c r="B430" s="430"/>
      <c r="C430" s="430"/>
      <c r="D430" s="430"/>
      <c r="E430" s="430"/>
      <c r="F430" s="430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  <c r="DJ430" s="29"/>
      <c r="DK430" s="29"/>
      <c r="DL430" s="29"/>
      <c r="DM430" s="29"/>
      <c r="DN430" s="29"/>
      <c r="DO430" s="29"/>
      <c r="DP430" s="29"/>
      <c r="DQ430" s="29"/>
      <c r="DR430" s="29"/>
      <c r="DS430" s="29"/>
      <c r="DT430" s="29"/>
      <c r="DU430" s="29"/>
      <c r="DV430" s="29"/>
      <c r="DW430" s="29"/>
      <c r="DX430" s="29"/>
      <c r="DY430" s="29"/>
      <c r="DZ430" s="29"/>
      <c r="EA430" s="29"/>
      <c r="EB430" s="417"/>
    </row>
    <row r="431" spans="1:132" s="7" customFormat="1">
      <c r="A431" s="17" t="s">
        <v>536</v>
      </c>
      <c r="B431" s="432"/>
      <c r="C431" s="432"/>
      <c r="D431" s="432"/>
      <c r="E431" s="432"/>
      <c r="F431" s="432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417"/>
    </row>
    <row r="432" spans="1:132" s="7" customFormat="1">
      <c r="A432" s="17"/>
      <c r="B432" s="429"/>
      <c r="C432" s="429"/>
      <c r="D432" s="429"/>
      <c r="E432" s="429"/>
      <c r="F432" s="429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417"/>
    </row>
    <row r="433" spans="1:132" s="7" customFormat="1" ht="15.75">
      <c r="A433" s="25" t="s">
        <v>537</v>
      </c>
      <c r="B433" s="431"/>
      <c r="C433" s="431"/>
      <c r="D433" s="431"/>
      <c r="E433" s="431"/>
      <c r="F433" s="431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/>
      <c r="DO433" s="26"/>
      <c r="DP433" s="26"/>
      <c r="DQ433" s="26"/>
      <c r="DR433" s="26"/>
      <c r="DS433" s="26"/>
      <c r="DT433" s="26"/>
      <c r="DU433" s="26"/>
      <c r="DV433" s="26"/>
      <c r="DW433" s="26"/>
      <c r="DX433" s="26"/>
      <c r="DY433" s="26"/>
      <c r="DZ433" s="26"/>
      <c r="EA433" s="26"/>
      <c r="EB433" s="417"/>
    </row>
    <row r="434" spans="1:132" s="7" customFormat="1">
      <c r="A434" s="17" t="s">
        <v>538</v>
      </c>
      <c r="B434" s="430"/>
      <c r="C434" s="430"/>
      <c r="D434" s="430"/>
      <c r="E434" s="430"/>
      <c r="F434" s="430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  <c r="DM434" s="29"/>
      <c r="DN434" s="29"/>
      <c r="DO434" s="29"/>
      <c r="DP434" s="29"/>
      <c r="DQ434" s="29"/>
      <c r="DR434" s="29"/>
      <c r="DS434" s="29"/>
      <c r="DT434" s="29"/>
      <c r="DU434" s="29"/>
      <c r="DV434" s="29"/>
      <c r="DW434" s="29"/>
      <c r="DX434" s="29"/>
      <c r="DY434" s="29"/>
      <c r="DZ434" s="29"/>
      <c r="EA434" s="29"/>
      <c r="EB434" s="417"/>
    </row>
    <row r="435" spans="1:132" s="7" customFormat="1">
      <c r="A435" s="17" t="s">
        <v>539</v>
      </c>
      <c r="B435" s="430"/>
      <c r="C435" s="430"/>
      <c r="D435" s="430"/>
      <c r="E435" s="430"/>
      <c r="F435" s="430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/>
      <c r="DM435" s="29"/>
      <c r="DN435" s="29"/>
      <c r="DO435" s="29"/>
      <c r="DP435" s="29"/>
      <c r="DQ435" s="29"/>
      <c r="DR435" s="29"/>
      <c r="DS435" s="29"/>
      <c r="DT435" s="29"/>
      <c r="DU435" s="29"/>
      <c r="DV435" s="29"/>
      <c r="DW435" s="29"/>
      <c r="DX435" s="29"/>
      <c r="DY435" s="29"/>
      <c r="DZ435" s="29"/>
      <c r="EA435" s="29"/>
      <c r="EB435" s="417"/>
    </row>
    <row r="436" spans="1:132" s="7" customFormat="1">
      <c r="A436" s="17" t="s">
        <v>540</v>
      </c>
      <c r="B436" s="430"/>
      <c r="C436" s="430"/>
      <c r="D436" s="430"/>
      <c r="E436" s="430"/>
      <c r="F436" s="430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  <c r="DM436" s="29"/>
      <c r="DN436" s="29"/>
      <c r="DO436" s="29"/>
      <c r="DP436" s="29"/>
      <c r="DQ436" s="29"/>
      <c r="DR436" s="29"/>
      <c r="DS436" s="29"/>
      <c r="DT436" s="29"/>
      <c r="DU436" s="29"/>
      <c r="DV436" s="29"/>
      <c r="DW436" s="29"/>
      <c r="DX436" s="29"/>
      <c r="DY436" s="29"/>
      <c r="DZ436" s="29"/>
      <c r="EA436" s="29"/>
      <c r="EB436" s="417"/>
    </row>
    <row r="437" spans="1:132" s="7" customFormat="1">
      <c r="A437" s="17" t="s">
        <v>541</v>
      </c>
      <c r="B437" s="430"/>
      <c r="C437" s="430"/>
      <c r="D437" s="430"/>
      <c r="E437" s="430"/>
      <c r="F437" s="430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  <c r="DM437" s="29"/>
      <c r="DN437" s="29"/>
      <c r="DO437" s="29"/>
      <c r="DP437" s="29"/>
      <c r="DQ437" s="29"/>
      <c r="DR437" s="29"/>
      <c r="DS437" s="29"/>
      <c r="DT437" s="29"/>
      <c r="DU437" s="29"/>
      <c r="DV437" s="29"/>
      <c r="DW437" s="29"/>
      <c r="DX437" s="29"/>
      <c r="DY437" s="29"/>
      <c r="DZ437" s="29"/>
      <c r="EA437" s="29"/>
      <c r="EB437" s="417"/>
    </row>
    <row r="438" spans="1:132" s="7" customFormat="1">
      <c r="A438" s="17" t="s">
        <v>542</v>
      </c>
      <c r="B438" s="430"/>
      <c r="C438" s="430"/>
      <c r="D438" s="430"/>
      <c r="E438" s="430"/>
      <c r="F438" s="430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  <c r="DJ438" s="29"/>
      <c r="DK438" s="29"/>
      <c r="DL438" s="29"/>
      <c r="DM438" s="29"/>
      <c r="DN438" s="29"/>
      <c r="DO438" s="29"/>
      <c r="DP438" s="29"/>
      <c r="DQ438" s="29"/>
      <c r="DR438" s="29"/>
      <c r="DS438" s="29"/>
      <c r="DT438" s="29"/>
      <c r="DU438" s="29"/>
      <c r="DV438" s="29"/>
      <c r="DW438" s="29"/>
      <c r="DX438" s="29"/>
      <c r="DY438" s="29"/>
      <c r="DZ438" s="29"/>
      <c r="EA438" s="29"/>
      <c r="EB438" s="417"/>
    </row>
    <row r="439" spans="1:132" s="7" customFormat="1">
      <c r="A439" s="17" t="s">
        <v>543</v>
      </c>
      <c r="B439" s="430"/>
      <c r="C439" s="430"/>
      <c r="D439" s="430"/>
      <c r="E439" s="430"/>
      <c r="F439" s="430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  <c r="DJ439" s="29"/>
      <c r="DK439" s="29"/>
      <c r="DL439" s="29"/>
      <c r="DM439" s="29"/>
      <c r="DN439" s="29"/>
      <c r="DO439" s="29"/>
      <c r="DP439" s="29"/>
      <c r="DQ439" s="29"/>
      <c r="DR439" s="29"/>
      <c r="DS439" s="29"/>
      <c r="DT439" s="29"/>
      <c r="DU439" s="29"/>
      <c r="DV439" s="29"/>
      <c r="DW439" s="29"/>
      <c r="DX439" s="29"/>
      <c r="DY439" s="29"/>
      <c r="DZ439" s="29"/>
      <c r="EA439" s="29"/>
      <c r="EB439" s="417"/>
    </row>
    <row r="440" spans="1:132" s="7" customFormat="1">
      <c r="A440" s="17" t="s">
        <v>544</v>
      </c>
      <c r="B440" s="430"/>
      <c r="C440" s="430"/>
      <c r="D440" s="430"/>
      <c r="E440" s="430"/>
      <c r="F440" s="430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  <c r="DJ440" s="29"/>
      <c r="DK440" s="29"/>
      <c r="DL440" s="29"/>
      <c r="DM440" s="29"/>
      <c r="DN440" s="29"/>
      <c r="DO440" s="29"/>
      <c r="DP440" s="29"/>
      <c r="DQ440" s="29"/>
      <c r="DR440" s="29"/>
      <c r="DS440" s="29"/>
      <c r="DT440" s="29"/>
      <c r="DU440" s="29"/>
      <c r="DV440" s="29"/>
      <c r="DW440" s="29"/>
      <c r="DX440" s="29"/>
      <c r="DY440" s="29"/>
      <c r="DZ440" s="29"/>
      <c r="EA440" s="29"/>
      <c r="EB440" s="417"/>
    </row>
    <row r="441" spans="1:132" s="7" customFormat="1" ht="13.5" thickBot="1">
      <c r="A441" s="17" t="s">
        <v>545</v>
      </c>
      <c r="B441" s="430"/>
      <c r="C441" s="430"/>
      <c r="D441" s="430"/>
      <c r="E441" s="430"/>
      <c r="F441" s="430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  <c r="DJ441" s="29"/>
      <c r="DK441" s="29"/>
      <c r="DL441" s="29"/>
      <c r="DM441" s="29"/>
      <c r="DN441" s="29"/>
      <c r="DO441" s="29"/>
      <c r="DP441" s="29"/>
      <c r="DQ441" s="29"/>
      <c r="DR441" s="29"/>
      <c r="DS441" s="29"/>
      <c r="DT441" s="29"/>
      <c r="DU441" s="29"/>
      <c r="DV441" s="29"/>
      <c r="DW441" s="29"/>
      <c r="DX441" s="29"/>
      <c r="DY441" s="29"/>
      <c r="DZ441" s="29"/>
      <c r="EA441" s="29"/>
      <c r="EB441" s="417"/>
    </row>
    <row r="442" spans="1:132" s="7" customFormat="1" ht="15.75">
      <c r="A442" s="44" t="s">
        <v>546</v>
      </c>
      <c r="B442" s="426"/>
      <c r="C442" s="426"/>
      <c r="D442" s="426"/>
      <c r="E442" s="426"/>
      <c r="F442" s="426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45"/>
      <c r="BE442" s="45"/>
      <c r="BF442" s="45"/>
      <c r="BG442" s="45"/>
      <c r="BH442" s="45"/>
      <c r="BI442" s="45"/>
      <c r="BJ442" s="45"/>
      <c r="BK442" s="45"/>
      <c r="BL442" s="45"/>
      <c r="BM442" s="45"/>
      <c r="BN442" s="45"/>
      <c r="BO442" s="45"/>
      <c r="BP442" s="45"/>
      <c r="BQ442" s="45"/>
      <c r="BR442" s="45"/>
      <c r="BS442" s="45"/>
      <c r="BT442" s="45"/>
      <c r="BU442" s="45"/>
      <c r="BV442" s="45"/>
      <c r="BW442" s="45"/>
      <c r="BX442" s="45"/>
      <c r="BY442" s="45"/>
      <c r="BZ442" s="45"/>
      <c r="CA442" s="45"/>
      <c r="CB442" s="45"/>
      <c r="CC442" s="45"/>
      <c r="CD442" s="45"/>
      <c r="CE442" s="45"/>
      <c r="CF442" s="45"/>
      <c r="CG442" s="45"/>
      <c r="CH442" s="45"/>
      <c r="CI442" s="45"/>
      <c r="CJ442" s="45"/>
      <c r="CK442" s="45"/>
      <c r="CL442" s="45"/>
      <c r="CM442" s="45"/>
      <c r="CN442" s="45"/>
      <c r="CO442" s="45"/>
      <c r="CP442" s="45"/>
      <c r="CQ442" s="45"/>
      <c r="CR442" s="45"/>
      <c r="CS442" s="45"/>
      <c r="CT442" s="45"/>
      <c r="CU442" s="45"/>
      <c r="CV442" s="45"/>
      <c r="CW442" s="45"/>
      <c r="CX442" s="45"/>
      <c r="CY442" s="45"/>
      <c r="CZ442" s="45"/>
      <c r="DA442" s="45"/>
      <c r="DB442" s="45"/>
      <c r="DC442" s="45"/>
      <c r="DD442" s="45"/>
      <c r="DE442" s="45"/>
      <c r="DF442" s="45"/>
      <c r="DG442" s="45"/>
      <c r="DH442" s="45"/>
      <c r="DI442" s="45"/>
      <c r="DJ442" s="45"/>
      <c r="DK442" s="45"/>
      <c r="DL442" s="45"/>
      <c r="DM442" s="45"/>
      <c r="DN442" s="45"/>
      <c r="DO442" s="45"/>
      <c r="DP442" s="45"/>
      <c r="DQ442" s="45"/>
      <c r="DR442" s="45"/>
      <c r="DS442" s="45"/>
      <c r="DT442" s="45"/>
      <c r="DU442" s="45"/>
      <c r="DV442" s="45"/>
      <c r="DW442" s="45"/>
      <c r="DX442" s="45"/>
      <c r="DY442" s="45"/>
      <c r="DZ442" s="45"/>
      <c r="EA442" s="45"/>
      <c r="EB442" s="417"/>
    </row>
    <row r="443" spans="1:132" s="7" customFormat="1" ht="15.75">
      <c r="A443" s="47" t="s">
        <v>547</v>
      </c>
      <c r="B443" s="423"/>
      <c r="C443" s="423"/>
      <c r="D443" s="423"/>
      <c r="E443" s="423"/>
      <c r="F443" s="423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  <c r="CE443" s="48"/>
      <c r="CF443" s="48"/>
      <c r="CG443" s="48"/>
      <c r="CH443" s="48"/>
      <c r="CI443" s="48"/>
      <c r="CJ443" s="48"/>
      <c r="CK443" s="48"/>
      <c r="CL443" s="48"/>
      <c r="CM443" s="48"/>
      <c r="CN443" s="48"/>
      <c r="CO443" s="48"/>
      <c r="CP443" s="48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  <c r="DD443" s="48"/>
      <c r="DE443" s="48"/>
      <c r="DF443" s="48"/>
      <c r="DG443" s="48"/>
      <c r="DH443" s="48"/>
      <c r="DI443" s="48"/>
      <c r="DJ443" s="48"/>
      <c r="DK443" s="48"/>
      <c r="DL443" s="48"/>
      <c r="DM443" s="48"/>
      <c r="DN443" s="48"/>
      <c r="DO443" s="48"/>
      <c r="DP443" s="48"/>
      <c r="DQ443" s="48"/>
      <c r="DR443" s="48"/>
      <c r="DS443" s="48"/>
      <c r="DT443" s="48"/>
      <c r="DU443" s="48"/>
      <c r="DV443" s="48"/>
      <c r="DW443" s="48"/>
      <c r="DX443" s="48"/>
      <c r="DY443" s="48"/>
      <c r="DZ443" s="48"/>
      <c r="EA443" s="48"/>
      <c r="EB443" s="417"/>
    </row>
    <row r="444" spans="1:132" s="7" customFormat="1" ht="15">
      <c r="A444" s="49" t="s">
        <v>548</v>
      </c>
      <c r="B444" s="429"/>
      <c r="C444" s="429"/>
      <c r="D444" s="429"/>
      <c r="E444" s="429"/>
      <c r="F444" s="429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417"/>
    </row>
    <row r="445" spans="1:132" s="7" customFormat="1">
      <c r="A445" s="50" t="s">
        <v>549</v>
      </c>
      <c r="B445" s="428"/>
      <c r="C445" s="428"/>
      <c r="D445" s="428"/>
      <c r="E445" s="428"/>
      <c r="F445" s="428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1"/>
      <c r="CA445" s="51"/>
      <c r="CB445" s="51"/>
      <c r="CC445" s="51"/>
      <c r="CD445" s="51"/>
      <c r="CE445" s="51"/>
      <c r="CF445" s="51"/>
      <c r="CG445" s="51"/>
      <c r="CH445" s="51"/>
      <c r="CI445" s="51"/>
      <c r="CJ445" s="51"/>
      <c r="CK445" s="51"/>
      <c r="CL445" s="51"/>
      <c r="CM445" s="51"/>
      <c r="CN445" s="51"/>
      <c r="CO445" s="51"/>
      <c r="CP445" s="51"/>
      <c r="CQ445" s="51"/>
      <c r="CR445" s="51"/>
      <c r="CS445" s="51"/>
      <c r="CT445" s="51"/>
      <c r="CU445" s="51"/>
      <c r="CV445" s="51"/>
      <c r="CW445" s="51"/>
      <c r="CX445" s="51"/>
      <c r="CY445" s="51"/>
      <c r="CZ445" s="51"/>
      <c r="DA445" s="51"/>
      <c r="DB445" s="51"/>
      <c r="DC445" s="51"/>
      <c r="DD445" s="51"/>
      <c r="DE445" s="51"/>
      <c r="DF445" s="51"/>
      <c r="DG445" s="51"/>
      <c r="DH445" s="51"/>
      <c r="DI445" s="51"/>
      <c r="DJ445" s="51"/>
      <c r="DK445" s="51"/>
      <c r="DL445" s="51"/>
      <c r="DM445" s="51"/>
      <c r="DN445" s="51"/>
      <c r="DO445" s="51"/>
      <c r="DP445" s="51"/>
      <c r="DQ445" s="51"/>
      <c r="DR445" s="51"/>
      <c r="DS445" s="51"/>
      <c r="DT445" s="51"/>
      <c r="DU445" s="51"/>
      <c r="DV445" s="51"/>
      <c r="DW445" s="51"/>
      <c r="DX445" s="51"/>
      <c r="DY445" s="51"/>
      <c r="DZ445" s="51"/>
      <c r="EA445" s="51"/>
      <c r="EB445" s="417"/>
    </row>
    <row r="446" spans="1:132" s="7" customFormat="1">
      <c r="A446" s="50" t="s">
        <v>550</v>
      </c>
      <c r="B446" s="428"/>
      <c r="C446" s="428"/>
      <c r="D446" s="428"/>
      <c r="E446" s="428"/>
      <c r="F446" s="428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  <c r="CC446" s="51"/>
      <c r="CD446" s="51"/>
      <c r="CE446" s="51"/>
      <c r="CF446" s="51"/>
      <c r="CG446" s="51"/>
      <c r="CH446" s="51"/>
      <c r="CI446" s="51"/>
      <c r="CJ446" s="51"/>
      <c r="CK446" s="51"/>
      <c r="CL446" s="51"/>
      <c r="CM446" s="51"/>
      <c r="CN446" s="51"/>
      <c r="CO446" s="51"/>
      <c r="CP446" s="51"/>
      <c r="CQ446" s="51"/>
      <c r="CR446" s="51"/>
      <c r="CS446" s="51"/>
      <c r="CT446" s="51"/>
      <c r="CU446" s="51"/>
      <c r="CV446" s="51"/>
      <c r="CW446" s="51"/>
      <c r="CX446" s="51"/>
      <c r="CY446" s="51"/>
      <c r="CZ446" s="51"/>
      <c r="DA446" s="51"/>
      <c r="DB446" s="51"/>
      <c r="DC446" s="51"/>
      <c r="DD446" s="51"/>
      <c r="DE446" s="51"/>
      <c r="DF446" s="51"/>
      <c r="DG446" s="51"/>
      <c r="DH446" s="51"/>
      <c r="DI446" s="51"/>
      <c r="DJ446" s="51"/>
      <c r="DK446" s="51"/>
      <c r="DL446" s="51"/>
      <c r="DM446" s="51"/>
      <c r="DN446" s="51"/>
      <c r="DO446" s="51"/>
      <c r="DP446" s="51"/>
      <c r="DQ446" s="51"/>
      <c r="DR446" s="51"/>
      <c r="DS446" s="51"/>
      <c r="DT446" s="51"/>
      <c r="DU446" s="51"/>
      <c r="DV446" s="51"/>
      <c r="DW446" s="51"/>
      <c r="DX446" s="51"/>
      <c r="DY446" s="51"/>
      <c r="DZ446" s="51"/>
      <c r="EA446" s="51"/>
      <c r="EB446" s="417"/>
    </row>
    <row r="447" spans="1:132" s="7" customFormat="1">
      <c r="A447" s="50" t="s">
        <v>551</v>
      </c>
      <c r="B447" s="428"/>
      <c r="C447" s="428"/>
      <c r="D447" s="428"/>
      <c r="E447" s="428"/>
      <c r="F447" s="428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1"/>
      <c r="CA447" s="51"/>
      <c r="CB447" s="51"/>
      <c r="CC447" s="51"/>
      <c r="CD447" s="51"/>
      <c r="CE447" s="51"/>
      <c r="CF447" s="51"/>
      <c r="CG447" s="51"/>
      <c r="CH447" s="51"/>
      <c r="CI447" s="51"/>
      <c r="CJ447" s="51"/>
      <c r="CK447" s="51"/>
      <c r="CL447" s="51"/>
      <c r="CM447" s="51"/>
      <c r="CN447" s="51"/>
      <c r="CO447" s="51"/>
      <c r="CP447" s="51"/>
      <c r="CQ447" s="51"/>
      <c r="CR447" s="51"/>
      <c r="CS447" s="51"/>
      <c r="CT447" s="51"/>
      <c r="CU447" s="51"/>
      <c r="CV447" s="51"/>
      <c r="CW447" s="51"/>
      <c r="CX447" s="51"/>
      <c r="CY447" s="51"/>
      <c r="CZ447" s="51"/>
      <c r="DA447" s="51"/>
      <c r="DB447" s="51"/>
      <c r="DC447" s="51"/>
      <c r="DD447" s="51"/>
      <c r="DE447" s="51"/>
      <c r="DF447" s="51"/>
      <c r="DG447" s="51"/>
      <c r="DH447" s="51"/>
      <c r="DI447" s="51"/>
      <c r="DJ447" s="51"/>
      <c r="DK447" s="51"/>
      <c r="DL447" s="51"/>
      <c r="DM447" s="51"/>
      <c r="DN447" s="51"/>
      <c r="DO447" s="51"/>
      <c r="DP447" s="51"/>
      <c r="DQ447" s="51"/>
      <c r="DR447" s="51"/>
      <c r="DS447" s="51"/>
      <c r="DT447" s="51"/>
      <c r="DU447" s="51"/>
      <c r="DV447" s="51"/>
      <c r="DW447" s="51"/>
      <c r="DX447" s="51"/>
      <c r="DY447" s="51"/>
      <c r="DZ447" s="51"/>
      <c r="EA447" s="51"/>
      <c r="EB447" s="417"/>
    </row>
    <row r="448" spans="1:132" s="7" customFormat="1">
      <c r="A448" s="50" t="s">
        <v>552</v>
      </c>
      <c r="B448" s="428"/>
      <c r="C448" s="428"/>
      <c r="D448" s="428"/>
      <c r="E448" s="428"/>
      <c r="F448" s="428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1"/>
      <c r="CA448" s="51"/>
      <c r="CB448" s="51"/>
      <c r="CC448" s="51"/>
      <c r="CD448" s="51"/>
      <c r="CE448" s="51"/>
      <c r="CF448" s="51"/>
      <c r="CG448" s="51"/>
      <c r="CH448" s="51"/>
      <c r="CI448" s="51"/>
      <c r="CJ448" s="51"/>
      <c r="CK448" s="51"/>
      <c r="CL448" s="51"/>
      <c r="CM448" s="51"/>
      <c r="CN448" s="51"/>
      <c r="CO448" s="51"/>
      <c r="CP448" s="51"/>
      <c r="CQ448" s="51"/>
      <c r="CR448" s="51"/>
      <c r="CS448" s="51"/>
      <c r="CT448" s="51"/>
      <c r="CU448" s="51"/>
      <c r="CV448" s="51"/>
      <c r="CW448" s="51"/>
      <c r="CX448" s="51"/>
      <c r="CY448" s="51"/>
      <c r="CZ448" s="51"/>
      <c r="DA448" s="51"/>
      <c r="DB448" s="51"/>
      <c r="DC448" s="51"/>
      <c r="DD448" s="51"/>
      <c r="DE448" s="51"/>
      <c r="DF448" s="51"/>
      <c r="DG448" s="51"/>
      <c r="DH448" s="51"/>
      <c r="DI448" s="51"/>
      <c r="DJ448" s="51"/>
      <c r="DK448" s="51"/>
      <c r="DL448" s="51"/>
      <c r="DM448" s="51"/>
      <c r="DN448" s="51"/>
      <c r="DO448" s="51"/>
      <c r="DP448" s="51"/>
      <c r="DQ448" s="51"/>
      <c r="DR448" s="51"/>
      <c r="DS448" s="51"/>
      <c r="DT448" s="51"/>
      <c r="DU448" s="51"/>
      <c r="DV448" s="51"/>
      <c r="DW448" s="51"/>
      <c r="DX448" s="51"/>
      <c r="DY448" s="51"/>
      <c r="DZ448" s="51"/>
      <c r="EA448" s="51"/>
      <c r="EB448" s="417"/>
    </row>
    <row r="449" spans="1:132" s="7" customFormat="1">
      <c r="A449" s="50" t="s">
        <v>553</v>
      </c>
      <c r="B449" s="428"/>
      <c r="C449" s="428"/>
      <c r="D449" s="428"/>
      <c r="E449" s="428"/>
      <c r="F449" s="428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1"/>
      <c r="CA449" s="51"/>
      <c r="CB449" s="51"/>
      <c r="CC449" s="51"/>
      <c r="CD449" s="51"/>
      <c r="CE449" s="51"/>
      <c r="CF449" s="51"/>
      <c r="CG449" s="51"/>
      <c r="CH449" s="51"/>
      <c r="CI449" s="51"/>
      <c r="CJ449" s="51"/>
      <c r="CK449" s="51"/>
      <c r="CL449" s="51"/>
      <c r="CM449" s="51"/>
      <c r="CN449" s="51"/>
      <c r="CO449" s="51"/>
      <c r="CP449" s="51"/>
      <c r="CQ449" s="51"/>
      <c r="CR449" s="51"/>
      <c r="CS449" s="51"/>
      <c r="CT449" s="51"/>
      <c r="CU449" s="51"/>
      <c r="CV449" s="51"/>
      <c r="CW449" s="51"/>
      <c r="CX449" s="51"/>
      <c r="CY449" s="51"/>
      <c r="CZ449" s="51"/>
      <c r="DA449" s="51"/>
      <c r="DB449" s="51"/>
      <c r="DC449" s="51"/>
      <c r="DD449" s="51"/>
      <c r="DE449" s="51"/>
      <c r="DF449" s="51"/>
      <c r="DG449" s="51"/>
      <c r="DH449" s="51"/>
      <c r="DI449" s="51"/>
      <c r="DJ449" s="51"/>
      <c r="DK449" s="51"/>
      <c r="DL449" s="51"/>
      <c r="DM449" s="51"/>
      <c r="DN449" s="51"/>
      <c r="DO449" s="51"/>
      <c r="DP449" s="51"/>
      <c r="DQ449" s="51"/>
      <c r="DR449" s="51"/>
      <c r="DS449" s="51"/>
      <c r="DT449" s="51"/>
      <c r="DU449" s="51"/>
      <c r="DV449" s="51"/>
      <c r="DW449" s="51"/>
      <c r="DX449" s="51"/>
      <c r="DY449" s="51"/>
      <c r="DZ449" s="51"/>
      <c r="EA449" s="51"/>
      <c r="EB449" s="417"/>
    </row>
    <row r="450" spans="1:132" s="7" customFormat="1">
      <c r="A450" s="50" t="s">
        <v>554</v>
      </c>
      <c r="B450" s="428"/>
      <c r="C450" s="428"/>
      <c r="D450" s="428"/>
      <c r="E450" s="428"/>
      <c r="F450" s="428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1"/>
      <c r="CA450" s="51"/>
      <c r="CB450" s="51"/>
      <c r="CC450" s="51"/>
      <c r="CD450" s="51"/>
      <c r="CE450" s="51"/>
      <c r="CF450" s="51"/>
      <c r="CG450" s="51"/>
      <c r="CH450" s="51"/>
      <c r="CI450" s="51"/>
      <c r="CJ450" s="51"/>
      <c r="CK450" s="51"/>
      <c r="CL450" s="51"/>
      <c r="CM450" s="51"/>
      <c r="CN450" s="51"/>
      <c r="CO450" s="51"/>
      <c r="CP450" s="51"/>
      <c r="CQ450" s="51"/>
      <c r="CR450" s="51"/>
      <c r="CS450" s="51"/>
      <c r="CT450" s="51"/>
      <c r="CU450" s="51"/>
      <c r="CV450" s="51"/>
      <c r="CW450" s="51"/>
      <c r="CX450" s="51"/>
      <c r="CY450" s="51"/>
      <c r="CZ450" s="51"/>
      <c r="DA450" s="51"/>
      <c r="DB450" s="51"/>
      <c r="DC450" s="51"/>
      <c r="DD450" s="51"/>
      <c r="DE450" s="51"/>
      <c r="DF450" s="51"/>
      <c r="DG450" s="51"/>
      <c r="DH450" s="51"/>
      <c r="DI450" s="51"/>
      <c r="DJ450" s="51"/>
      <c r="DK450" s="51"/>
      <c r="DL450" s="51"/>
      <c r="DM450" s="51"/>
      <c r="DN450" s="51"/>
      <c r="DO450" s="51"/>
      <c r="DP450" s="51"/>
      <c r="DQ450" s="51"/>
      <c r="DR450" s="51"/>
      <c r="DS450" s="51"/>
      <c r="DT450" s="51"/>
      <c r="DU450" s="51"/>
      <c r="DV450" s="51"/>
      <c r="DW450" s="51"/>
      <c r="DX450" s="51"/>
      <c r="DY450" s="51"/>
      <c r="DZ450" s="51"/>
      <c r="EA450" s="51"/>
      <c r="EB450" s="417"/>
    </row>
    <row r="451" spans="1:132" s="7" customFormat="1">
      <c r="A451" s="50" t="s">
        <v>555</v>
      </c>
      <c r="B451" s="428"/>
      <c r="C451" s="428"/>
      <c r="D451" s="428"/>
      <c r="E451" s="428"/>
      <c r="F451" s="428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1"/>
      <c r="CA451" s="51"/>
      <c r="CB451" s="51"/>
      <c r="CC451" s="51"/>
      <c r="CD451" s="51"/>
      <c r="CE451" s="51"/>
      <c r="CF451" s="51"/>
      <c r="CG451" s="51"/>
      <c r="CH451" s="51"/>
      <c r="CI451" s="51"/>
      <c r="CJ451" s="51"/>
      <c r="CK451" s="51"/>
      <c r="CL451" s="51"/>
      <c r="CM451" s="51"/>
      <c r="CN451" s="51"/>
      <c r="CO451" s="51"/>
      <c r="CP451" s="51"/>
      <c r="CQ451" s="51"/>
      <c r="CR451" s="51"/>
      <c r="CS451" s="51"/>
      <c r="CT451" s="51"/>
      <c r="CU451" s="51"/>
      <c r="CV451" s="51"/>
      <c r="CW451" s="51"/>
      <c r="CX451" s="51"/>
      <c r="CY451" s="51"/>
      <c r="CZ451" s="51"/>
      <c r="DA451" s="51"/>
      <c r="DB451" s="51"/>
      <c r="DC451" s="51"/>
      <c r="DD451" s="51"/>
      <c r="DE451" s="51"/>
      <c r="DF451" s="51"/>
      <c r="DG451" s="51"/>
      <c r="DH451" s="51"/>
      <c r="DI451" s="51"/>
      <c r="DJ451" s="51"/>
      <c r="DK451" s="51"/>
      <c r="DL451" s="51"/>
      <c r="DM451" s="51"/>
      <c r="DN451" s="51"/>
      <c r="DO451" s="51"/>
      <c r="DP451" s="51"/>
      <c r="DQ451" s="51"/>
      <c r="DR451" s="51"/>
      <c r="DS451" s="51"/>
      <c r="DT451" s="51"/>
      <c r="DU451" s="51"/>
      <c r="DV451" s="51"/>
      <c r="DW451" s="51"/>
      <c r="DX451" s="51"/>
      <c r="DY451" s="51"/>
      <c r="DZ451" s="51"/>
      <c r="EA451" s="51"/>
      <c r="EB451" s="417"/>
    </row>
    <row r="452" spans="1:132" s="7" customFormat="1">
      <c r="A452" s="50" t="s">
        <v>556</v>
      </c>
      <c r="B452" s="428"/>
      <c r="C452" s="428"/>
      <c r="D452" s="428"/>
      <c r="E452" s="428"/>
      <c r="F452" s="428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1"/>
      <c r="CA452" s="51"/>
      <c r="CB452" s="51"/>
      <c r="CC452" s="51"/>
      <c r="CD452" s="51"/>
      <c r="CE452" s="51"/>
      <c r="CF452" s="51"/>
      <c r="CG452" s="51"/>
      <c r="CH452" s="51"/>
      <c r="CI452" s="51"/>
      <c r="CJ452" s="51"/>
      <c r="CK452" s="51"/>
      <c r="CL452" s="51"/>
      <c r="CM452" s="51"/>
      <c r="CN452" s="51"/>
      <c r="CO452" s="51"/>
      <c r="CP452" s="51"/>
      <c r="CQ452" s="51"/>
      <c r="CR452" s="51"/>
      <c r="CS452" s="51"/>
      <c r="CT452" s="51"/>
      <c r="CU452" s="51"/>
      <c r="CV452" s="51"/>
      <c r="CW452" s="51"/>
      <c r="CX452" s="51"/>
      <c r="CY452" s="51"/>
      <c r="CZ452" s="51"/>
      <c r="DA452" s="51"/>
      <c r="DB452" s="51"/>
      <c r="DC452" s="51"/>
      <c r="DD452" s="51"/>
      <c r="DE452" s="51"/>
      <c r="DF452" s="51"/>
      <c r="DG452" s="51"/>
      <c r="DH452" s="51"/>
      <c r="DI452" s="51"/>
      <c r="DJ452" s="51"/>
      <c r="DK452" s="51"/>
      <c r="DL452" s="51"/>
      <c r="DM452" s="51"/>
      <c r="DN452" s="51"/>
      <c r="DO452" s="51"/>
      <c r="DP452" s="51"/>
      <c r="DQ452" s="51"/>
      <c r="DR452" s="51"/>
      <c r="DS452" s="51"/>
      <c r="DT452" s="51"/>
      <c r="DU452" s="51"/>
      <c r="DV452" s="51"/>
      <c r="DW452" s="51"/>
      <c r="DX452" s="51"/>
      <c r="DY452" s="51"/>
      <c r="DZ452" s="51"/>
      <c r="EA452" s="51"/>
      <c r="EB452" s="417"/>
    </row>
    <row r="453" spans="1:132" s="7" customFormat="1">
      <c r="A453" s="50" t="s">
        <v>557</v>
      </c>
      <c r="B453" s="428"/>
      <c r="C453" s="428"/>
      <c r="D453" s="428"/>
      <c r="E453" s="428"/>
      <c r="F453" s="428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1"/>
      <c r="CA453" s="51"/>
      <c r="CB453" s="51"/>
      <c r="CC453" s="51"/>
      <c r="CD453" s="51"/>
      <c r="CE453" s="51"/>
      <c r="CF453" s="51"/>
      <c r="CG453" s="51"/>
      <c r="CH453" s="51"/>
      <c r="CI453" s="51"/>
      <c r="CJ453" s="51"/>
      <c r="CK453" s="51"/>
      <c r="CL453" s="51"/>
      <c r="CM453" s="51"/>
      <c r="CN453" s="51"/>
      <c r="CO453" s="51"/>
      <c r="CP453" s="51"/>
      <c r="CQ453" s="51"/>
      <c r="CR453" s="51"/>
      <c r="CS453" s="51"/>
      <c r="CT453" s="51"/>
      <c r="CU453" s="51"/>
      <c r="CV453" s="51"/>
      <c r="CW453" s="51"/>
      <c r="CX453" s="51"/>
      <c r="CY453" s="51"/>
      <c r="CZ453" s="51"/>
      <c r="DA453" s="51"/>
      <c r="DB453" s="51"/>
      <c r="DC453" s="51"/>
      <c r="DD453" s="51"/>
      <c r="DE453" s="51"/>
      <c r="DF453" s="51"/>
      <c r="DG453" s="51"/>
      <c r="DH453" s="51"/>
      <c r="DI453" s="51"/>
      <c r="DJ453" s="51"/>
      <c r="DK453" s="51"/>
      <c r="DL453" s="51"/>
      <c r="DM453" s="51"/>
      <c r="DN453" s="51"/>
      <c r="DO453" s="51"/>
      <c r="DP453" s="51"/>
      <c r="DQ453" s="51"/>
      <c r="DR453" s="51"/>
      <c r="DS453" s="51"/>
      <c r="DT453" s="51"/>
      <c r="DU453" s="51"/>
      <c r="DV453" s="51"/>
      <c r="DW453" s="51"/>
      <c r="DX453" s="51"/>
      <c r="DY453" s="51"/>
      <c r="DZ453" s="51"/>
      <c r="EA453" s="51"/>
      <c r="EB453" s="417"/>
    </row>
    <row r="454" spans="1:132" s="7" customFormat="1">
      <c r="A454" s="50" t="s">
        <v>558</v>
      </c>
      <c r="B454" s="428"/>
      <c r="C454" s="428"/>
      <c r="D454" s="428"/>
      <c r="E454" s="428"/>
      <c r="F454" s="428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1"/>
      <c r="CA454" s="51"/>
      <c r="CB454" s="51"/>
      <c r="CC454" s="51"/>
      <c r="CD454" s="51"/>
      <c r="CE454" s="51"/>
      <c r="CF454" s="51"/>
      <c r="CG454" s="51"/>
      <c r="CH454" s="51"/>
      <c r="CI454" s="51"/>
      <c r="CJ454" s="51"/>
      <c r="CK454" s="51"/>
      <c r="CL454" s="51"/>
      <c r="CM454" s="51"/>
      <c r="CN454" s="51"/>
      <c r="CO454" s="51"/>
      <c r="CP454" s="51"/>
      <c r="CQ454" s="51"/>
      <c r="CR454" s="51"/>
      <c r="CS454" s="51"/>
      <c r="CT454" s="51"/>
      <c r="CU454" s="51"/>
      <c r="CV454" s="51"/>
      <c r="CW454" s="51"/>
      <c r="CX454" s="51"/>
      <c r="CY454" s="51"/>
      <c r="CZ454" s="51"/>
      <c r="DA454" s="51"/>
      <c r="DB454" s="51"/>
      <c r="DC454" s="51"/>
      <c r="DD454" s="51"/>
      <c r="DE454" s="51"/>
      <c r="DF454" s="51"/>
      <c r="DG454" s="51"/>
      <c r="DH454" s="51"/>
      <c r="DI454" s="51"/>
      <c r="DJ454" s="51"/>
      <c r="DK454" s="51"/>
      <c r="DL454" s="51"/>
      <c r="DM454" s="51"/>
      <c r="DN454" s="51"/>
      <c r="DO454" s="51"/>
      <c r="DP454" s="51"/>
      <c r="DQ454" s="51"/>
      <c r="DR454" s="51"/>
      <c r="DS454" s="51"/>
      <c r="DT454" s="51"/>
      <c r="DU454" s="51"/>
      <c r="DV454" s="51"/>
      <c r="DW454" s="51"/>
      <c r="DX454" s="51"/>
      <c r="DY454" s="51"/>
      <c r="DZ454" s="51"/>
      <c r="EA454" s="51"/>
      <c r="EB454" s="417"/>
    </row>
    <row r="455" spans="1:132" s="7" customFormat="1">
      <c r="A455" s="52" t="s">
        <v>559</v>
      </c>
      <c r="B455" s="422"/>
      <c r="C455" s="422"/>
      <c r="D455" s="422"/>
      <c r="E455" s="422"/>
      <c r="F455" s="422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  <c r="CD455" s="53"/>
      <c r="CE455" s="53"/>
      <c r="CF455" s="53"/>
      <c r="CG455" s="53"/>
      <c r="CH455" s="53"/>
      <c r="CI455" s="53"/>
      <c r="CJ455" s="53"/>
      <c r="CK455" s="53"/>
      <c r="CL455" s="53"/>
      <c r="CM455" s="53"/>
      <c r="CN455" s="53"/>
      <c r="CO455" s="53"/>
      <c r="CP455" s="53"/>
      <c r="CQ455" s="53"/>
      <c r="CR455" s="53"/>
      <c r="CS455" s="53"/>
      <c r="CT455" s="53"/>
      <c r="CU455" s="53"/>
      <c r="CV455" s="53"/>
      <c r="CW455" s="53"/>
      <c r="CX455" s="53"/>
      <c r="CY455" s="53"/>
      <c r="CZ455" s="53"/>
      <c r="DA455" s="53"/>
      <c r="DB455" s="53"/>
      <c r="DC455" s="53"/>
      <c r="DD455" s="53"/>
      <c r="DE455" s="53"/>
      <c r="DF455" s="53"/>
      <c r="DG455" s="53"/>
      <c r="DH455" s="53"/>
      <c r="DI455" s="53"/>
      <c r="DJ455" s="53"/>
      <c r="DK455" s="53"/>
      <c r="DL455" s="53"/>
      <c r="DM455" s="53"/>
      <c r="DN455" s="53"/>
      <c r="DO455" s="53"/>
      <c r="DP455" s="53"/>
      <c r="DQ455" s="53"/>
      <c r="DR455" s="53"/>
      <c r="DS455" s="53"/>
      <c r="DT455" s="53"/>
      <c r="DU455" s="53"/>
      <c r="DV455" s="53"/>
      <c r="DW455" s="53"/>
      <c r="DX455" s="53"/>
      <c r="DY455" s="53"/>
      <c r="DZ455" s="53"/>
      <c r="EA455" s="53"/>
      <c r="EB455" s="417"/>
    </row>
    <row r="456" spans="1:132" s="7" customFormat="1">
      <c r="A456" s="52" t="s">
        <v>560</v>
      </c>
      <c r="B456" s="421"/>
      <c r="C456" s="421"/>
      <c r="D456" s="421"/>
      <c r="E456" s="421"/>
      <c r="F456" s="421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  <c r="BI456" s="54"/>
      <c r="BJ456" s="54"/>
      <c r="BK456" s="54"/>
      <c r="BL456" s="54"/>
      <c r="BM456" s="54"/>
      <c r="BN456" s="54"/>
      <c r="BO456" s="54"/>
      <c r="BP456" s="54"/>
      <c r="BQ456" s="54"/>
      <c r="BR456" s="54"/>
      <c r="BS456" s="54"/>
      <c r="BT456" s="54"/>
      <c r="BU456" s="54"/>
      <c r="BV456" s="54"/>
      <c r="BW456" s="54"/>
      <c r="BX456" s="54"/>
      <c r="BY456" s="54"/>
      <c r="BZ456" s="54"/>
      <c r="CA456" s="54"/>
      <c r="CB456" s="54"/>
      <c r="CC456" s="54"/>
      <c r="CD456" s="54"/>
      <c r="CE456" s="54"/>
      <c r="CF456" s="54"/>
      <c r="CG456" s="54"/>
      <c r="CH456" s="54"/>
      <c r="CI456" s="54"/>
      <c r="CJ456" s="54"/>
      <c r="CK456" s="54"/>
      <c r="CL456" s="54"/>
      <c r="CM456" s="54"/>
      <c r="CN456" s="54"/>
      <c r="CO456" s="54"/>
      <c r="CP456" s="54"/>
      <c r="CQ456" s="54"/>
      <c r="CR456" s="54"/>
      <c r="CS456" s="54"/>
      <c r="CT456" s="54"/>
      <c r="CU456" s="54"/>
      <c r="CV456" s="54"/>
      <c r="CW456" s="54"/>
      <c r="CX456" s="54"/>
      <c r="CY456" s="54"/>
      <c r="CZ456" s="54"/>
      <c r="DA456" s="54"/>
      <c r="DB456" s="54"/>
      <c r="DC456" s="54"/>
      <c r="DD456" s="54"/>
      <c r="DE456" s="54"/>
      <c r="DF456" s="54"/>
      <c r="DG456" s="54"/>
      <c r="DH456" s="54"/>
      <c r="DI456" s="54"/>
      <c r="DJ456" s="54"/>
      <c r="DK456" s="54"/>
      <c r="DL456" s="54"/>
      <c r="DM456" s="54"/>
      <c r="DN456" s="54"/>
      <c r="DO456" s="54"/>
      <c r="DP456" s="54"/>
      <c r="DQ456" s="54"/>
      <c r="DR456" s="54"/>
      <c r="DS456" s="54"/>
      <c r="DT456" s="54"/>
      <c r="DU456" s="54"/>
      <c r="DV456" s="54"/>
      <c r="DW456" s="54"/>
      <c r="DX456" s="54"/>
      <c r="DY456" s="54"/>
      <c r="DZ456" s="54"/>
      <c r="EA456" s="54"/>
      <c r="EB456" s="417"/>
    </row>
    <row r="457" spans="1:132" s="7" customFormat="1">
      <c r="A457" s="52"/>
      <c r="B457" s="429"/>
      <c r="C457" s="429"/>
      <c r="D457" s="429"/>
      <c r="E457" s="429"/>
      <c r="F457" s="429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417"/>
    </row>
    <row r="458" spans="1:132" s="7" customFormat="1" ht="15">
      <c r="A458" s="49" t="s">
        <v>561</v>
      </c>
      <c r="B458" s="429"/>
      <c r="C458" s="429"/>
      <c r="D458" s="429"/>
      <c r="E458" s="429"/>
      <c r="F458" s="429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417"/>
    </row>
    <row r="459" spans="1:132" s="7" customFormat="1">
      <c r="A459" s="50" t="s">
        <v>549</v>
      </c>
      <c r="B459" s="428"/>
      <c r="C459" s="428"/>
      <c r="D459" s="428"/>
      <c r="E459" s="428"/>
      <c r="F459" s="428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1"/>
      <c r="CA459" s="51"/>
      <c r="CB459" s="51"/>
      <c r="CC459" s="51"/>
      <c r="CD459" s="51"/>
      <c r="CE459" s="51"/>
      <c r="CF459" s="51"/>
      <c r="CG459" s="51"/>
      <c r="CH459" s="51"/>
      <c r="CI459" s="51"/>
      <c r="CJ459" s="51"/>
      <c r="CK459" s="51"/>
      <c r="CL459" s="51"/>
      <c r="CM459" s="51"/>
      <c r="CN459" s="51"/>
      <c r="CO459" s="51"/>
      <c r="CP459" s="51"/>
      <c r="CQ459" s="51"/>
      <c r="CR459" s="51"/>
      <c r="CS459" s="51"/>
      <c r="CT459" s="51"/>
      <c r="CU459" s="51"/>
      <c r="CV459" s="51"/>
      <c r="CW459" s="51"/>
      <c r="CX459" s="51"/>
      <c r="CY459" s="51"/>
      <c r="CZ459" s="51"/>
      <c r="DA459" s="51"/>
      <c r="DB459" s="51"/>
      <c r="DC459" s="51"/>
      <c r="DD459" s="51"/>
      <c r="DE459" s="51"/>
      <c r="DF459" s="51"/>
      <c r="DG459" s="51"/>
      <c r="DH459" s="51"/>
      <c r="DI459" s="51"/>
      <c r="DJ459" s="51"/>
      <c r="DK459" s="51"/>
      <c r="DL459" s="51"/>
      <c r="DM459" s="51"/>
      <c r="DN459" s="51"/>
      <c r="DO459" s="51"/>
      <c r="DP459" s="51"/>
      <c r="DQ459" s="51"/>
      <c r="DR459" s="51"/>
      <c r="DS459" s="51"/>
      <c r="DT459" s="51"/>
      <c r="DU459" s="51"/>
      <c r="DV459" s="51"/>
      <c r="DW459" s="51"/>
      <c r="DX459" s="51"/>
      <c r="DY459" s="51"/>
      <c r="DZ459" s="51"/>
      <c r="EA459" s="51"/>
      <c r="EB459" s="417"/>
    </row>
    <row r="460" spans="1:132" s="7" customFormat="1">
      <c r="A460" s="50" t="s">
        <v>550</v>
      </c>
      <c r="B460" s="428"/>
      <c r="C460" s="428"/>
      <c r="D460" s="428"/>
      <c r="E460" s="428"/>
      <c r="F460" s="428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1"/>
      <c r="CA460" s="51"/>
      <c r="CB460" s="51"/>
      <c r="CC460" s="51"/>
      <c r="CD460" s="51"/>
      <c r="CE460" s="51"/>
      <c r="CF460" s="51"/>
      <c r="CG460" s="51"/>
      <c r="CH460" s="51"/>
      <c r="CI460" s="51"/>
      <c r="CJ460" s="51"/>
      <c r="CK460" s="51"/>
      <c r="CL460" s="51"/>
      <c r="CM460" s="51"/>
      <c r="CN460" s="51"/>
      <c r="CO460" s="51"/>
      <c r="CP460" s="51"/>
      <c r="CQ460" s="51"/>
      <c r="CR460" s="51"/>
      <c r="CS460" s="51"/>
      <c r="CT460" s="51"/>
      <c r="CU460" s="51"/>
      <c r="CV460" s="51"/>
      <c r="CW460" s="51"/>
      <c r="CX460" s="51"/>
      <c r="CY460" s="51"/>
      <c r="CZ460" s="51"/>
      <c r="DA460" s="51"/>
      <c r="DB460" s="51"/>
      <c r="DC460" s="51"/>
      <c r="DD460" s="51"/>
      <c r="DE460" s="51"/>
      <c r="DF460" s="51"/>
      <c r="DG460" s="51"/>
      <c r="DH460" s="51"/>
      <c r="DI460" s="51"/>
      <c r="DJ460" s="51"/>
      <c r="DK460" s="51"/>
      <c r="DL460" s="51"/>
      <c r="DM460" s="51"/>
      <c r="DN460" s="51"/>
      <c r="DO460" s="51"/>
      <c r="DP460" s="51"/>
      <c r="DQ460" s="51"/>
      <c r="DR460" s="51"/>
      <c r="DS460" s="51"/>
      <c r="DT460" s="51"/>
      <c r="DU460" s="51"/>
      <c r="DV460" s="51"/>
      <c r="DW460" s="51"/>
      <c r="DX460" s="51"/>
      <c r="DY460" s="51"/>
      <c r="DZ460" s="51"/>
      <c r="EA460" s="51"/>
      <c r="EB460" s="417"/>
    </row>
    <row r="461" spans="1:132" s="7" customFormat="1">
      <c r="A461" s="50" t="s">
        <v>551</v>
      </c>
      <c r="B461" s="428"/>
      <c r="C461" s="428"/>
      <c r="D461" s="428"/>
      <c r="E461" s="428"/>
      <c r="F461" s="428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1"/>
      <c r="CA461" s="51"/>
      <c r="CB461" s="51"/>
      <c r="CC461" s="51"/>
      <c r="CD461" s="51"/>
      <c r="CE461" s="51"/>
      <c r="CF461" s="51"/>
      <c r="CG461" s="51"/>
      <c r="CH461" s="51"/>
      <c r="CI461" s="51"/>
      <c r="CJ461" s="51"/>
      <c r="CK461" s="51"/>
      <c r="CL461" s="51"/>
      <c r="CM461" s="51"/>
      <c r="CN461" s="51"/>
      <c r="CO461" s="51"/>
      <c r="CP461" s="51"/>
      <c r="CQ461" s="51"/>
      <c r="CR461" s="51"/>
      <c r="CS461" s="51"/>
      <c r="CT461" s="51"/>
      <c r="CU461" s="51"/>
      <c r="CV461" s="51"/>
      <c r="CW461" s="51"/>
      <c r="CX461" s="51"/>
      <c r="CY461" s="51"/>
      <c r="CZ461" s="51"/>
      <c r="DA461" s="51"/>
      <c r="DB461" s="51"/>
      <c r="DC461" s="51"/>
      <c r="DD461" s="51"/>
      <c r="DE461" s="51"/>
      <c r="DF461" s="51"/>
      <c r="DG461" s="51"/>
      <c r="DH461" s="51"/>
      <c r="DI461" s="51"/>
      <c r="DJ461" s="51"/>
      <c r="DK461" s="51"/>
      <c r="DL461" s="51"/>
      <c r="DM461" s="51"/>
      <c r="DN461" s="51"/>
      <c r="DO461" s="51"/>
      <c r="DP461" s="51"/>
      <c r="DQ461" s="51"/>
      <c r="DR461" s="51"/>
      <c r="DS461" s="51"/>
      <c r="DT461" s="51"/>
      <c r="DU461" s="51"/>
      <c r="DV461" s="51"/>
      <c r="DW461" s="51"/>
      <c r="DX461" s="51"/>
      <c r="DY461" s="51"/>
      <c r="DZ461" s="51"/>
      <c r="EA461" s="51"/>
      <c r="EB461" s="417"/>
    </row>
    <row r="462" spans="1:132" s="7" customFormat="1">
      <c r="A462" s="50" t="s">
        <v>552</v>
      </c>
      <c r="B462" s="428"/>
      <c r="C462" s="428"/>
      <c r="D462" s="428"/>
      <c r="E462" s="428"/>
      <c r="F462" s="428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1"/>
      <c r="CA462" s="51"/>
      <c r="CB462" s="51"/>
      <c r="CC462" s="51"/>
      <c r="CD462" s="51"/>
      <c r="CE462" s="51"/>
      <c r="CF462" s="51"/>
      <c r="CG462" s="51"/>
      <c r="CH462" s="51"/>
      <c r="CI462" s="51"/>
      <c r="CJ462" s="51"/>
      <c r="CK462" s="51"/>
      <c r="CL462" s="51"/>
      <c r="CM462" s="51"/>
      <c r="CN462" s="51"/>
      <c r="CO462" s="51"/>
      <c r="CP462" s="51"/>
      <c r="CQ462" s="51"/>
      <c r="CR462" s="51"/>
      <c r="CS462" s="51"/>
      <c r="CT462" s="51"/>
      <c r="CU462" s="51"/>
      <c r="CV462" s="51"/>
      <c r="CW462" s="51"/>
      <c r="CX462" s="51"/>
      <c r="CY462" s="51"/>
      <c r="CZ462" s="51"/>
      <c r="DA462" s="51"/>
      <c r="DB462" s="51"/>
      <c r="DC462" s="51"/>
      <c r="DD462" s="51"/>
      <c r="DE462" s="51"/>
      <c r="DF462" s="51"/>
      <c r="DG462" s="51"/>
      <c r="DH462" s="51"/>
      <c r="DI462" s="51"/>
      <c r="DJ462" s="51"/>
      <c r="DK462" s="51"/>
      <c r="DL462" s="51"/>
      <c r="DM462" s="51"/>
      <c r="DN462" s="51"/>
      <c r="DO462" s="51"/>
      <c r="DP462" s="51"/>
      <c r="DQ462" s="51"/>
      <c r="DR462" s="51"/>
      <c r="DS462" s="51"/>
      <c r="DT462" s="51"/>
      <c r="DU462" s="51"/>
      <c r="DV462" s="51"/>
      <c r="DW462" s="51"/>
      <c r="DX462" s="51"/>
      <c r="DY462" s="51"/>
      <c r="DZ462" s="51"/>
      <c r="EA462" s="51"/>
      <c r="EB462" s="417"/>
    </row>
    <row r="463" spans="1:132" s="7" customFormat="1">
      <c r="A463" s="50" t="s">
        <v>553</v>
      </c>
      <c r="B463" s="428"/>
      <c r="C463" s="428"/>
      <c r="D463" s="428"/>
      <c r="E463" s="428"/>
      <c r="F463" s="428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1"/>
      <c r="CA463" s="51"/>
      <c r="CB463" s="51"/>
      <c r="CC463" s="51"/>
      <c r="CD463" s="51"/>
      <c r="CE463" s="51"/>
      <c r="CF463" s="51"/>
      <c r="CG463" s="51"/>
      <c r="CH463" s="51"/>
      <c r="CI463" s="51"/>
      <c r="CJ463" s="51"/>
      <c r="CK463" s="51"/>
      <c r="CL463" s="51"/>
      <c r="CM463" s="51"/>
      <c r="CN463" s="51"/>
      <c r="CO463" s="51"/>
      <c r="CP463" s="51"/>
      <c r="CQ463" s="51"/>
      <c r="CR463" s="51"/>
      <c r="CS463" s="51"/>
      <c r="CT463" s="51"/>
      <c r="CU463" s="51"/>
      <c r="CV463" s="51"/>
      <c r="CW463" s="51"/>
      <c r="CX463" s="51"/>
      <c r="CY463" s="51"/>
      <c r="CZ463" s="51"/>
      <c r="DA463" s="51"/>
      <c r="DB463" s="51"/>
      <c r="DC463" s="51"/>
      <c r="DD463" s="51"/>
      <c r="DE463" s="51"/>
      <c r="DF463" s="51"/>
      <c r="DG463" s="51"/>
      <c r="DH463" s="51"/>
      <c r="DI463" s="51"/>
      <c r="DJ463" s="51"/>
      <c r="DK463" s="51"/>
      <c r="DL463" s="51"/>
      <c r="DM463" s="51"/>
      <c r="DN463" s="51"/>
      <c r="DO463" s="51"/>
      <c r="DP463" s="51"/>
      <c r="DQ463" s="51"/>
      <c r="DR463" s="51"/>
      <c r="DS463" s="51"/>
      <c r="DT463" s="51"/>
      <c r="DU463" s="51"/>
      <c r="DV463" s="51"/>
      <c r="DW463" s="51"/>
      <c r="DX463" s="51"/>
      <c r="DY463" s="51"/>
      <c r="DZ463" s="51"/>
      <c r="EA463" s="51"/>
      <c r="EB463" s="417"/>
    </row>
    <row r="464" spans="1:132" s="7" customFormat="1">
      <c r="A464" s="50" t="s">
        <v>554</v>
      </c>
      <c r="B464" s="428"/>
      <c r="C464" s="428"/>
      <c r="D464" s="428"/>
      <c r="E464" s="428"/>
      <c r="F464" s="428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1"/>
      <c r="CA464" s="51"/>
      <c r="CB464" s="51"/>
      <c r="CC464" s="51"/>
      <c r="CD464" s="51"/>
      <c r="CE464" s="51"/>
      <c r="CF464" s="51"/>
      <c r="CG464" s="51"/>
      <c r="CH464" s="51"/>
      <c r="CI464" s="51"/>
      <c r="CJ464" s="51"/>
      <c r="CK464" s="51"/>
      <c r="CL464" s="51"/>
      <c r="CM464" s="51"/>
      <c r="CN464" s="51"/>
      <c r="CO464" s="51"/>
      <c r="CP464" s="51"/>
      <c r="CQ464" s="51"/>
      <c r="CR464" s="51"/>
      <c r="CS464" s="51"/>
      <c r="CT464" s="51"/>
      <c r="CU464" s="51"/>
      <c r="CV464" s="51"/>
      <c r="CW464" s="51"/>
      <c r="CX464" s="51"/>
      <c r="CY464" s="51"/>
      <c r="CZ464" s="51"/>
      <c r="DA464" s="51"/>
      <c r="DB464" s="51"/>
      <c r="DC464" s="51"/>
      <c r="DD464" s="51"/>
      <c r="DE464" s="51"/>
      <c r="DF464" s="51"/>
      <c r="DG464" s="51"/>
      <c r="DH464" s="51"/>
      <c r="DI464" s="51"/>
      <c r="DJ464" s="51"/>
      <c r="DK464" s="51"/>
      <c r="DL464" s="51"/>
      <c r="DM464" s="51"/>
      <c r="DN464" s="51"/>
      <c r="DO464" s="51"/>
      <c r="DP464" s="51"/>
      <c r="DQ464" s="51"/>
      <c r="DR464" s="51"/>
      <c r="DS464" s="51"/>
      <c r="DT464" s="51"/>
      <c r="DU464" s="51"/>
      <c r="DV464" s="51"/>
      <c r="DW464" s="51"/>
      <c r="DX464" s="51"/>
      <c r="DY464" s="51"/>
      <c r="DZ464" s="51"/>
      <c r="EA464" s="51"/>
      <c r="EB464" s="417"/>
    </row>
    <row r="465" spans="1:132" s="7" customFormat="1">
      <c r="A465" s="50" t="s">
        <v>555</v>
      </c>
      <c r="B465" s="428"/>
      <c r="C465" s="428"/>
      <c r="D465" s="428"/>
      <c r="E465" s="428"/>
      <c r="F465" s="428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  <c r="CC465" s="51"/>
      <c r="CD465" s="51"/>
      <c r="CE465" s="51"/>
      <c r="CF465" s="51"/>
      <c r="CG465" s="51"/>
      <c r="CH465" s="51"/>
      <c r="CI465" s="51"/>
      <c r="CJ465" s="51"/>
      <c r="CK465" s="51"/>
      <c r="CL465" s="51"/>
      <c r="CM465" s="51"/>
      <c r="CN465" s="51"/>
      <c r="CO465" s="51"/>
      <c r="CP465" s="51"/>
      <c r="CQ465" s="51"/>
      <c r="CR465" s="51"/>
      <c r="CS465" s="51"/>
      <c r="CT465" s="51"/>
      <c r="CU465" s="51"/>
      <c r="CV465" s="51"/>
      <c r="CW465" s="51"/>
      <c r="CX465" s="51"/>
      <c r="CY465" s="51"/>
      <c r="CZ465" s="51"/>
      <c r="DA465" s="51"/>
      <c r="DB465" s="51"/>
      <c r="DC465" s="51"/>
      <c r="DD465" s="51"/>
      <c r="DE465" s="51"/>
      <c r="DF465" s="51"/>
      <c r="DG465" s="51"/>
      <c r="DH465" s="51"/>
      <c r="DI465" s="51"/>
      <c r="DJ465" s="51"/>
      <c r="DK465" s="51"/>
      <c r="DL465" s="51"/>
      <c r="DM465" s="51"/>
      <c r="DN465" s="51"/>
      <c r="DO465" s="51"/>
      <c r="DP465" s="51"/>
      <c r="DQ465" s="51"/>
      <c r="DR465" s="51"/>
      <c r="DS465" s="51"/>
      <c r="DT465" s="51"/>
      <c r="DU465" s="51"/>
      <c r="DV465" s="51"/>
      <c r="DW465" s="51"/>
      <c r="DX465" s="51"/>
      <c r="DY465" s="51"/>
      <c r="DZ465" s="51"/>
      <c r="EA465" s="51"/>
      <c r="EB465" s="417"/>
    </row>
    <row r="466" spans="1:132" s="7" customFormat="1">
      <c r="A466" s="50" t="s">
        <v>556</v>
      </c>
      <c r="B466" s="428"/>
      <c r="C466" s="428"/>
      <c r="D466" s="428"/>
      <c r="E466" s="428"/>
      <c r="F466" s="428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1"/>
      <c r="CA466" s="51"/>
      <c r="CB466" s="51"/>
      <c r="CC466" s="51"/>
      <c r="CD466" s="51"/>
      <c r="CE466" s="51"/>
      <c r="CF466" s="51"/>
      <c r="CG466" s="51"/>
      <c r="CH466" s="51"/>
      <c r="CI466" s="51"/>
      <c r="CJ466" s="51"/>
      <c r="CK466" s="51"/>
      <c r="CL466" s="51"/>
      <c r="CM466" s="51"/>
      <c r="CN466" s="51"/>
      <c r="CO466" s="51"/>
      <c r="CP466" s="51"/>
      <c r="CQ466" s="51"/>
      <c r="CR466" s="51"/>
      <c r="CS466" s="51"/>
      <c r="CT466" s="51"/>
      <c r="CU466" s="51"/>
      <c r="CV466" s="51"/>
      <c r="CW466" s="51"/>
      <c r="CX466" s="51"/>
      <c r="CY466" s="51"/>
      <c r="CZ466" s="51"/>
      <c r="DA466" s="51"/>
      <c r="DB466" s="51"/>
      <c r="DC466" s="51"/>
      <c r="DD466" s="51"/>
      <c r="DE466" s="51"/>
      <c r="DF466" s="51"/>
      <c r="DG466" s="51"/>
      <c r="DH466" s="51"/>
      <c r="DI466" s="51"/>
      <c r="DJ466" s="51"/>
      <c r="DK466" s="51"/>
      <c r="DL466" s="51"/>
      <c r="DM466" s="51"/>
      <c r="DN466" s="51"/>
      <c r="DO466" s="51"/>
      <c r="DP466" s="51"/>
      <c r="DQ466" s="51"/>
      <c r="DR466" s="51"/>
      <c r="DS466" s="51"/>
      <c r="DT466" s="51"/>
      <c r="DU466" s="51"/>
      <c r="DV466" s="51"/>
      <c r="DW466" s="51"/>
      <c r="DX466" s="51"/>
      <c r="DY466" s="51"/>
      <c r="DZ466" s="51"/>
      <c r="EA466" s="51"/>
      <c r="EB466" s="417"/>
    </row>
    <row r="467" spans="1:132" s="7" customFormat="1">
      <c r="A467" s="50" t="s">
        <v>557</v>
      </c>
      <c r="B467" s="428"/>
      <c r="C467" s="428"/>
      <c r="D467" s="428"/>
      <c r="E467" s="428"/>
      <c r="F467" s="428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1"/>
      <c r="CA467" s="51"/>
      <c r="CB467" s="51"/>
      <c r="CC467" s="51"/>
      <c r="CD467" s="51"/>
      <c r="CE467" s="51"/>
      <c r="CF467" s="51"/>
      <c r="CG467" s="51"/>
      <c r="CH467" s="51"/>
      <c r="CI467" s="51"/>
      <c r="CJ467" s="51"/>
      <c r="CK467" s="51"/>
      <c r="CL467" s="51"/>
      <c r="CM467" s="51"/>
      <c r="CN467" s="51"/>
      <c r="CO467" s="51"/>
      <c r="CP467" s="51"/>
      <c r="CQ467" s="51"/>
      <c r="CR467" s="51"/>
      <c r="CS467" s="51"/>
      <c r="CT467" s="51"/>
      <c r="CU467" s="51"/>
      <c r="CV467" s="51"/>
      <c r="CW467" s="51"/>
      <c r="CX467" s="51"/>
      <c r="CY467" s="51"/>
      <c r="CZ467" s="51"/>
      <c r="DA467" s="51"/>
      <c r="DB467" s="51"/>
      <c r="DC467" s="51"/>
      <c r="DD467" s="51"/>
      <c r="DE467" s="51"/>
      <c r="DF467" s="51"/>
      <c r="DG467" s="51"/>
      <c r="DH467" s="51"/>
      <c r="DI467" s="51"/>
      <c r="DJ467" s="51"/>
      <c r="DK467" s="51"/>
      <c r="DL467" s="51"/>
      <c r="DM467" s="51"/>
      <c r="DN467" s="51"/>
      <c r="DO467" s="51"/>
      <c r="DP467" s="51"/>
      <c r="DQ467" s="51"/>
      <c r="DR467" s="51"/>
      <c r="DS467" s="51"/>
      <c r="DT467" s="51"/>
      <c r="DU467" s="51"/>
      <c r="DV467" s="51"/>
      <c r="DW467" s="51"/>
      <c r="DX467" s="51"/>
      <c r="DY467" s="51"/>
      <c r="DZ467" s="51"/>
      <c r="EA467" s="51"/>
      <c r="EB467" s="417"/>
    </row>
    <row r="468" spans="1:132" s="7" customFormat="1">
      <c r="A468" s="50" t="s">
        <v>558</v>
      </c>
      <c r="B468" s="428"/>
      <c r="C468" s="428"/>
      <c r="D468" s="428"/>
      <c r="E468" s="428"/>
      <c r="F468" s="428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  <c r="CC468" s="51"/>
      <c r="CD468" s="51"/>
      <c r="CE468" s="51"/>
      <c r="CF468" s="51"/>
      <c r="CG468" s="51"/>
      <c r="CH468" s="51"/>
      <c r="CI468" s="51"/>
      <c r="CJ468" s="51"/>
      <c r="CK468" s="51"/>
      <c r="CL468" s="51"/>
      <c r="CM468" s="51"/>
      <c r="CN468" s="51"/>
      <c r="CO468" s="51"/>
      <c r="CP468" s="51"/>
      <c r="CQ468" s="51"/>
      <c r="CR468" s="51"/>
      <c r="CS468" s="51"/>
      <c r="CT468" s="51"/>
      <c r="CU468" s="51"/>
      <c r="CV468" s="51"/>
      <c r="CW468" s="51"/>
      <c r="CX468" s="51"/>
      <c r="CY468" s="51"/>
      <c r="CZ468" s="51"/>
      <c r="DA468" s="51"/>
      <c r="DB468" s="51"/>
      <c r="DC468" s="51"/>
      <c r="DD468" s="51"/>
      <c r="DE468" s="51"/>
      <c r="DF468" s="51"/>
      <c r="DG468" s="51"/>
      <c r="DH468" s="51"/>
      <c r="DI468" s="51"/>
      <c r="DJ468" s="51"/>
      <c r="DK468" s="51"/>
      <c r="DL468" s="51"/>
      <c r="DM468" s="51"/>
      <c r="DN468" s="51"/>
      <c r="DO468" s="51"/>
      <c r="DP468" s="51"/>
      <c r="DQ468" s="51"/>
      <c r="DR468" s="51"/>
      <c r="DS468" s="51"/>
      <c r="DT468" s="51"/>
      <c r="DU468" s="51"/>
      <c r="DV468" s="51"/>
      <c r="DW468" s="51"/>
      <c r="DX468" s="51"/>
      <c r="DY468" s="51"/>
      <c r="DZ468" s="51"/>
      <c r="EA468" s="51"/>
      <c r="EB468" s="417"/>
    </row>
    <row r="469" spans="1:132" s="7" customFormat="1">
      <c r="A469" s="52" t="s">
        <v>559</v>
      </c>
      <c r="B469" s="422"/>
      <c r="C469" s="422"/>
      <c r="D469" s="422"/>
      <c r="E469" s="422"/>
      <c r="F469" s="422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  <c r="CG469" s="53"/>
      <c r="CH469" s="53"/>
      <c r="CI469" s="53"/>
      <c r="CJ469" s="53"/>
      <c r="CK469" s="53"/>
      <c r="CL469" s="53"/>
      <c r="CM469" s="53"/>
      <c r="CN469" s="53"/>
      <c r="CO469" s="53"/>
      <c r="CP469" s="53"/>
      <c r="CQ469" s="53"/>
      <c r="CR469" s="53"/>
      <c r="CS469" s="53"/>
      <c r="CT469" s="53"/>
      <c r="CU469" s="53"/>
      <c r="CV469" s="53"/>
      <c r="CW469" s="53"/>
      <c r="CX469" s="53"/>
      <c r="CY469" s="53"/>
      <c r="CZ469" s="53"/>
      <c r="DA469" s="53"/>
      <c r="DB469" s="53"/>
      <c r="DC469" s="53"/>
      <c r="DD469" s="53"/>
      <c r="DE469" s="53"/>
      <c r="DF469" s="53"/>
      <c r="DG469" s="53"/>
      <c r="DH469" s="53"/>
      <c r="DI469" s="53"/>
      <c r="DJ469" s="53"/>
      <c r="DK469" s="53"/>
      <c r="DL469" s="53"/>
      <c r="DM469" s="53"/>
      <c r="DN469" s="53"/>
      <c r="DO469" s="53"/>
      <c r="DP469" s="53"/>
      <c r="DQ469" s="53"/>
      <c r="DR469" s="53"/>
      <c r="DS469" s="53"/>
      <c r="DT469" s="53"/>
      <c r="DU469" s="53"/>
      <c r="DV469" s="53"/>
      <c r="DW469" s="53"/>
      <c r="DX469" s="53"/>
      <c r="DY469" s="53"/>
      <c r="DZ469" s="53"/>
      <c r="EA469" s="53"/>
      <c r="EB469" s="417"/>
    </row>
    <row r="470" spans="1:132" s="7" customFormat="1">
      <c r="A470" s="52" t="s">
        <v>17</v>
      </c>
      <c r="B470" s="421"/>
      <c r="C470" s="421"/>
      <c r="D470" s="421"/>
      <c r="E470" s="421"/>
      <c r="F470" s="421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54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  <c r="DK470" s="54"/>
      <c r="DL470" s="54"/>
      <c r="DM470" s="54"/>
      <c r="DN470" s="54"/>
      <c r="DO470" s="54"/>
      <c r="DP470" s="54"/>
      <c r="DQ470" s="54"/>
      <c r="DR470" s="54"/>
      <c r="DS470" s="54"/>
      <c r="DT470" s="54"/>
      <c r="DU470" s="54"/>
      <c r="DV470" s="54"/>
      <c r="DW470" s="54"/>
      <c r="DX470" s="54"/>
      <c r="DY470" s="54"/>
      <c r="DZ470" s="54"/>
      <c r="EA470" s="54"/>
      <c r="EB470" s="417"/>
    </row>
    <row r="471" spans="1:132" s="7" customFormat="1">
      <c r="A471" s="52"/>
      <c r="B471" s="429"/>
      <c r="C471" s="429"/>
      <c r="D471" s="429"/>
      <c r="E471" s="429"/>
      <c r="F471" s="429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417"/>
    </row>
    <row r="472" spans="1:132" s="7" customFormat="1" ht="15.75">
      <c r="A472" s="47" t="s">
        <v>562</v>
      </c>
      <c r="B472" s="423"/>
      <c r="C472" s="423"/>
      <c r="D472" s="423"/>
      <c r="E472" s="423"/>
      <c r="F472" s="423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H472" s="48"/>
      <c r="CI472" s="48"/>
      <c r="CJ472" s="48"/>
      <c r="CK472" s="48"/>
      <c r="CL472" s="48"/>
      <c r="CM472" s="48"/>
      <c r="CN472" s="48"/>
      <c r="CO472" s="48"/>
      <c r="CP472" s="48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  <c r="DE472" s="48"/>
      <c r="DF472" s="48"/>
      <c r="DG472" s="48"/>
      <c r="DH472" s="48"/>
      <c r="DI472" s="48"/>
      <c r="DJ472" s="48"/>
      <c r="DK472" s="48"/>
      <c r="DL472" s="48"/>
      <c r="DM472" s="48"/>
      <c r="DN472" s="48"/>
      <c r="DO472" s="48"/>
      <c r="DP472" s="48"/>
      <c r="DQ472" s="48"/>
      <c r="DR472" s="48"/>
      <c r="DS472" s="48"/>
      <c r="DT472" s="48"/>
      <c r="DU472" s="48"/>
      <c r="DV472" s="48"/>
      <c r="DW472" s="48"/>
      <c r="DX472" s="48"/>
      <c r="DY472" s="48"/>
      <c r="DZ472" s="48"/>
      <c r="EA472" s="48"/>
      <c r="EB472" s="417"/>
    </row>
    <row r="473" spans="1:132" s="7" customFormat="1" ht="15">
      <c r="A473" s="49" t="s">
        <v>563</v>
      </c>
      <c r="B473" s="429"/>
      <c r="C473" s="429"/>
      <c r="D473" s="429"/>
      <c r="E473" s="429"/>
      <c r="F473" s="429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417"/>
    </row>
    <row r="474" spans="1:132" s="7" customFormat="1">
      <c r="A474" s="55" t="s">
        <v>564</v>
      </c>
      <c r="B474" s="429"/>
      <c r="C474" s="429"/>
      <c r="D474" s="429"/>
      <c r="E474" s="429"/>
      <c r="F474" s="429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417"/>
    </row>
    <row r="475" spans="1:132" s="7" customFormat="1">
      <c r="A475" s="50" t="s">
        <v>565</v>
      </c>
      <c r="B475" s="428"/>
      <c r="C475" s="428"/>
      <c r="D475" s="428"/>
      <c r="E475" s="428"/>
      <c r="F475" s="428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1"/>
      <c r="CA475" s="51"/>
      <c r="CB475" s="51"/>
      <c r="CC475" s="51"/>
      <c r="CD475" s="51"/>
      <c r="CE475" s="51"/>
      <c r="CF475" s="51"/>
      <c r="CG475" s="51"/>
      <c r="CH475" s="51"/>
      <c r="CI475" s="51"/>
      <c r="CJ475" s="51"/>
      <c r="CK475" s="51"/>
      <c r="CL475" s="51"/>
      <c r="CM475" s="51"/>
      <c r="CN475" s="51"/>
      <c r="CO475" s="51"/>
      <c r="CP475" s="51"/>
      <c r="CQ475" s="51"/>
      <c r="CR475" s="51"/>
      <c r="CS475" s="51"/>
      <c r="CT475" s="51"/>
      <c r="CU475" s="51"/>
      <c r="CV475" s="51"/>
      <c r="CW475" s="51"/>
      <c r="CX475" s="51"/>
      <c r="CY475" s="51"/>
      <c r="CZ475" s="51"/>
      <c r="DA475" s="51"/>
      <c r="DB475" s="51"/>
      <c r="DC475" s="51"/>
      <c r="DD475" s="51"/>
      <c r="DE475" s="51"/>
      <c r="DF475" s="51"/>
      <c r="DG475" s="51"/>
      <c r="DH475" s="51"/>
      <c r="DI475" s="51"/>
      <c r="DJ475" s="51"/>
      <c r="DK475" s="51"/>
      <c r="DL475" s="51"/>
      <c r="DM475" s="51"/>
      <c r="DN475" s="51"/>
      <c r="DO475" s="51"/>
      <c r="DP475" s="51"/>
      <c r="DQ475" s="51"/>
      <c r="DR475" s="51"/>
      <c r="DS475" s="51"/>
      <c r="DT475" s="51"/>
      <c r="DU475" s="51"/>
      <c r="DV475" s="51"/>
      <c r="DW475" s="51"/>
      <c r="DX475" s="51"/>
      <c r="DY475" s="51"/>
      <c r="DZ475" s="51"/>
      <c r="EA475" s="51"/>
      <c r="EB475" s="417"/>
    </row>
    <row r="476" spans="1:132" s="7" customFormat="1">
      <c r="A476" s="50" t="s">
        <v>566</v>
      </c>
      <c r="B476" s="428"/>
      <c r="C476" s="428"/>
      <c r="D476" s="428"/>
      <c r="E476" s="428"/>
      <c r="F476" s="428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  <c r="CC476" s="51"/>
      <c r="CD476" s="51"/>
      <c r="CE476" s="51"/>
      <c r="CF476" s="51"/>
      <c r="CG476" s="51"/>
      <c r="CH476" s="51"/>
      <c r="CI476" s="51"/>
      <c r="CJ476" s="51"/>
      <c r="CK476" s="51"/>
      <c r="CL476" s="51"/>
      <c r="CM476" s="51"/>
      <c r="CN476" s="51"/>
      <c r="CO476" s="51"/>
      <c r="CP476" s="51"/>
      <c r="CQ476" s="51"/>
      <c r="CR476" s="51"/>
      <c r="CS476" s="51"/>
      <c r="CT476" s="51"/>
      <c r="CU476" s="51"/>
      <c r="CV476" s="51"/>
      <c r="CW476" s="51"/>
      <c r="CX476" s="51"/>
      <c r="CY476" s="51"/>
      <c r="CZ476" s="51"/>
      <c r="DA476" s="51"/>
      <c r="DB476" s="51"/>
      <c r="DC476" s="51"/>
      <c r="DD476" s="51"/>
      <c r="DE476" s="51"/>
      <c r="DF476" s="51"/>
      <c r="DG476" s="51"/>
      <c r="DH476" s="51"/>
      <c r="DI476" s="51"/>
      <c r="DJ476" s="51"/>
      <c r="DK476" s="51"/>
      <c r="DL476" s="51"/>
      <c r="DM476" s="51"/>
      <c r="DN476" s="51"/>
      <c r="DO476" s="51"/>
      <c r="DP476" s="51"/>
      <c r="DQ476" s="51"/>
      <c r="DR476" s="51"/>
      <c r="DS476" s="51"/>
      <c r="DT476" s="51"/>
      <c r="DU476" s="51"/>
      <c r="DV476" s="51"/>
      <c r="DW476" s="51"/>
      <c r="DX476" s="51"/>
      <c r="DY476" s="51"/>
      <c r="DZ476" s="51"/>
      <c r="EA476" s="51"/>
      <c r="EB476" s="417"/>
    </row>
    <row r="477" spans="1:132" s="7" customFormat="1">
      <c r="A477" s="50" t="s">
        <v>567</v>
      </c>
      <c r="B477" s="428"/>
      <c r="C477" s="428"/>
      <c r="D477" s="428"/>
      <c r="E477" s="428"/>
      <c r="F477" s="428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1"/>
      <c r="CA477" s="51"/>
      <c r="CB477" s="51"/>
      <c r="CC477" s="51"/>
      <c r="CD477" s="51"/>
      <c r="CE477" s="51"/>
      <c r="CF477" s="51"/>
      <c r="CG477" s="51"/>
      <c r="CH477" s="51"/>
      <c r="CI477" s="51"/>
      <c r="CJ477" s="51"/>
      <c r="CK477" s="51"/>
      <c r="CL477" s="51"/>
      <c r="CM477" s="51"/>
      <c r="CN477" s="51"/>
      <c r="CO477" s="51"/>
      <c r="CP477" s="51"/>
      <c r="CQ477" s="51"/>
      <c r="CR477" s="51"/>
      <c r="CS477" s="51"/>
      <c r="CT477" s="51"/>
      <c r="CU477" s="51"/>
      <c r="CV477" s="51"/>
      <c r="CW477" s="51"/>
      <c r="CX477" s="51"/>
      <c r="CY477" s="51"/>
      <c r="CZ477" s="51"/>
      <c r="DA477" s="51"/>
      <c r="DB477" s="51"/>
      <c r="DC477" s="51"/>
      <c r="DD477" s="51"/>
      <c r="DE477" s="51"/>
      <c r="DF477" s="51"/>
      <c r="DG477" s="51"/>
      <c r="DH477" s="51"/>
      <c r="DI477" s="51"/>
      <c r="DJ477" s="51"/>
      <c r="DK477" s="51"/>
      <c r="DL477" s="51"/>
      <c r="DM477" s="51"/>
      <c r="DN477" s="51"/>
      <c r="DO477" s="51"/>
      <c r="DP477" s="51"/>
      <c r="DQ477" s="51"/>
      <c r="DR477" s="51"/>
      <c r="DS477" s="51"/>
      <c r="DT477" s="51"/>
      <c r="DU477" s="51"/>
      <c r="DV477" s="51"/>
      <c r="DW477" s="51"/>
      <c r="DX477" s="51"/>
      <c r="DY477" s="51"/>
      <c r="DZ477" s="51"/>
      <c r="EA477" s="51"/>
      <c r="EB477" s="417"/>
    </row>
    <row r="478" spans="1:132" s="7" customFormat="1">
      <c r="A478" s="50" t="s">
        <v>568</v>
      </c>
      <c r="B478" s="428"/>
      <c r="C478" s="428"/>
      <c r="D478" s="428"/>
      <c r="E478" s="428"/>
      <c r="F478" s="428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1"/>
      <c r="CA478" s="51"/>
      <c r="CB478" s="51"/>
      <c r="CC478" s="51"/>
      <c r="CD478" s="51"/>
      <c r="CE478" s="51"/>
      <c r="CF478" s="51"/>
      <c r="CG478" s="51"/>
      <c r="CH478" s="51"/>
      <c r="CI478" s="51"/>
      <c r="CJ478" s="51"/>
      <c r="CK478" s="51"/>
      <c r="CL478" s="51"/>
      <c r="CM478" s="51"/>
      <c r="CN478" s="51"/>
      <c r="CO478" s="51"/>
      <c r="CP478" s="51"/>
      <c r="CQ478" s="51"/>
      <c r="CR478" s="51"/>
      <c r="CS478" s="51"/>
      <c r="CT478" s="51"/>
      <c r="CU478" s="51"/>
      <c r="CV478" s="51"/>
      <c r="CW478" s="51"/>
      <c r="CX478" s="51"/>
      <c r="CY478" s="51"/>
      <c r="CZ478" s="51"/>
      <c r="DA478" s="51"/>
      <c r="DB478" s="51"/>
      <c r="DC478" s="51"/>
      <c r="DD478" s="51"/>
      <c r="DE478" s="51"/>
      <c r="DF478" s="51"/>
      <c r="DG478" s="51"/>
      <c r="DH478" s="51"/>
      <c r="DI478" s="51"/>
      <c r="DJ478" s="51"/>
      <c r="DK478" s="51"/>
      <c r="DL478" s="51"/>
      <c r="DM478" s="51"/>
      <c r="DN478" s="51"/>
      <c r="DO478" s="51"/>
      <c r="DP478" s="51"/>
      <c r="DQ478" s="51"/>
      <c r="DR478" s="51"/>
      <c r="DS478" s="51"/>
      <c r="DT478" s="51"/>
      <c r="DU478" s="51"/>
      <c r="DV478" s="51"/>
      <c r="DW478" s="51"/>
      <c r="DX478" s="51"/>
      <c r="DY478" s="51"/>
      <c r="DZ478" s="51"/>
      <c r="EA478" s="51"/>
      <c r="EB478" s="417"/>
    </row>
    <row r="479" spans="1:132" s="7" customFormat="1">
      <c r="A479" s="52" t="s">
        <v>569</v>
      </c>
      <c r="B479" s="421"/>
      <c r="C479" s="421"/>
      <c r="D479" s="421"/>
      <c r="E479" s="421"/>
      <c r="F479" s="421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  <c r="BI479" s="54"/>
      <c r="BJ479" s="54"/>
      <c r="BK479" s="54"/>
      <c r="BL479" s="54"/>
      <c r="BM479" s="54"/>
      <c r="BN479" s="54"/>
      <c r="BO479" s="54"/>
      <c r="BP479" s="54"/>
      <c r="BQ479" s="54"/>
      <c r="BR479" s="54"/>
      <c r="BS479" s="54"/>
      <c r="BT479" s="54"/>
      <c r="BU479" s="54"/>
      <c r="BV479" s="54"/>
      <c r="BW479" s="54"/>
      <c r="BX479" s="54"/>
      <c r="BY479" s="54"/>
      <c r="BZ479" s="54"/>
      <c r="CA479" s="54"/>
      <c r="CB479" s="54"/>
      <c r="CC479" s="54"/>
      <c r="CD479" s="54"/>
      <c r="CE479" s="54"/>
      <c r="CF479" s="54"/>
      <c r="CG479" s="54"/>
      <c r="CH479" s="54"/>
      <c r="CI479" s="54"/>
      <c r="CJ479" s="54"/>
      <c r="CK479" s="54"/>
      <c r="CL479" s="54"/>
      <c r="CM479" s="54"/>
      <c r="CN479" s="54"/>
      <c r="CO479" s="54"/>
      <c r="CP479" s="54"/>
      <c r="CQ479" s="54"/>
      <c r="CR479" s="54"/>
      <c r="CS479" s="54"/>
      <c r="CT479" s="54"/>
      <c r="CU479" s="54"/>
      <c r="CV479" s="54"/>
      <c r="CW479" s="54"/>
      <c r="CX479" s="54"/>
      <c r="CY479" s="54"/>
      <c r="CZ479" s="54"/>
      <c r="DA479" s="54"/>
      <c r="DB479" s="54"/>
      <c r="DC479" s="54"/>
      <c r="DD479" s="54"/>
      <c r="DE479" s="54"/>
      <c r="DF479" s="54"/>
      <c r="DG479" s="54"/>
      <c r="DH479" s="54"/>
      <c r="DI479" s="54"/>
      <c r="DJ479" s="54"/>
      <c r="DK479" s="54"/>
      <c r="DL479" s="54"/>
      <c r="DM479" s="54"/>
      <c r="DN479" s="54"/>
      <c r="DO479" s="54"/>
      <c r="DP479" s="54"/>
      <c r="DQ479" s="54"/>
      <c r="DR479" s="54"/>
      <c r="DS479" s="54"/>
      <c r="DT479" s="54"/>
      <c r="DU479" s="54"/>
      <c r="DV479" s="54"/>
      <c r="DW479" s="54"/>
      <c r="DX479" s="54"/>
      <c r="DY479" s="54"/>
      <c r="DZ479" s="54"/>
      <c r="EA479" s="54"/>
      <c r="EB479" s="417"/>
    </row>
    <row r="480" spans="1:132" s="7" customFormat="1">
      <c r="A480" s="55" t="s">
        <v>570</v>
      </c>
      <c r="B480" s="429"/>
      <c r="C480" s="429"/>
      <c r="D480" s="429"/>
      <c r="E480" s="429"/>
      <c r="F480" s="429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417"/>
    </row>
    <row r="481" spans="1:132" s="7" customFormat="1">
      <c r="A481" s="50" t="s">
        <v>571</v>
      </c>
      <c r="B481" s="428"/>
      <c r="C481" s="428"/>
      <c r="D481" s="428"/>
      <c r="E481" s="428"/>
      <c r="F481" s="428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  <c r="CC481" s="51"/>
      <c r="CD481" s="51"/>
      <c r="CE481" s="51"/>
      <c r="CF481" s="51"/>
      <c r="CG481" s="51"/>
      <c r="CH481" s="51"/>
      <c r="CI481" s="51"/>
      <c r="CJ481" s="51"/>
      <c r="CK481" s="51"/>
      <c r="CL481" s="51"/>
      <c r="CM481" s="51"/>
      <c r="CN481" s="51"/>
      <c r="CO481" s="51"/>
      <c r="CP481" s="51"/>
      <c r="CQ481" s="51"/>
      <c r="CR481" s="51"/>
      <c r="CS481" s="51"/>
      <c r="CT481" s="51"/>
      <c r="CU481" s="51"/>
      <c r="CV481" s="51"/>
      <c r="CW481" s="51"/>
      <c r="CX481" s="51"/>
      <c r="CY481" s="51"/>
      <c r="CZ481" s="51"/>
      <c r="DA481" s="51"/>
      <c r="DB481" s="51"/>
      <c r="DC481" s="51"/>
      <c r="DD481" s="51"/>
      <c r="DE481" s="51"/>
      <c r="DF481" s="51"/>
      <c r="DG481" s="51"/>
      <c r="DH481" s="51"/>
      <c r="DI481" s="51"/>
      <c r="DJ481" s="51"/>
      <c r="DK481" s="51"/>
      <c r="DL481" s="51"/>
      <c r="DM481" s="51"/>
      <c r="DN481" s="51"/>
      <c r="DO481" s="51"/>
      <c r="DP481" s="51"/>
      <c r="DQ481" s="51"/>
      <c r="DR481" s="51"/>
      <c r="DS481" s="51"/>
      <c r="DT481" s="51"/>
      <c r="DU481" s="51"/>
      <c r="DV481" s="51"/>
      <c r="DW481" s="51"/>
      <c r="DX481" s="51"/>
      <c r="DY481" s="51"/>
      <c r="DZ481" s="51"/>
      <c r="EA481" s="51"/>
      <c r="EB481" s="417"/>
    </row>
    <row r="482" spans="1:132" s="7" customFormat="1">
      <c r="A482" s="50" t="s">
        <v>572</v>
      </c>
      <c r="B482" s="428"/>
      <c r="C482" s="428"/>
      <c r="D482" s="428"/>
      <c r="E482" s="428"/>
      <c r="F482" s="428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  <c r="CC482" s="51"/>
      <c r="CD482" s="51"/>
      <c r="CE482" s="51"/>
      <c r="CF482" s="51"/>
      <c r="CG482" s="51"/>
      <c r="CH482" s="51"/>
      <c r="CI482" s="51"/>
      <c r="CJ482" s="51"/>
      <c r="CK482" s="51"/>
      <c r="CL482" s="51"/>
      <c r="CM482" s="51"/>
      <c r="CN482" s="51"/>
      <c r="CO482" s="51"/>
      <c r="CP482" s="51"/>
      <c r="CQ482" s="51"/>
      <c r="CR482" s="51"/>
      <c r="CS482" s="51"/>
      <c r="CT482" s="51"/>
      <c r="CU482" s="51"/>
      <c r="CV482" s="51"/>
      <c r="CW482" s="51"/>
      <c r="CX482" s="51"/>
      <c r="CY482" s="51"/>
      <c r="CZ482" s="51"/>
      <c r="DA482" s="51"/>
      <c r="DB482" s="51"/>
      <c r="DC482" s="51"/>
      <c r="DD482" s="51"/>
      <c r="DE482" s="51"/>
      <c r="DF482" s="51"/>
      <c r="DG482" s="51"/>
      <c r="DH482" s="51"/>
      <c r="DI482" s="51"/>
      <c r="DJ482" s="51"/>
      <c r="DK482" s="51"/>
      <c r="DL482" s="51"/>
      <c r="DM482" s="51"/>
      <c r="DN482" s="51"/>
      <c r="DO482" s="51"/>
      <c r="DP482" s="51"/>
      <c r="DQ482" s="51"/>
      <c r="DR482" s="51"/>
      <c r="DS482" s="51"/>
      <c r="DT482" s="51"/>
      <c r="DU482" s="51"/>
      <c r="DV482" s="51"/>
      <c r="DW482" s="51"/>
      <c r="DX482" s="51"/>
      <c r="DY482" s="51"/>
      <c r="DZ482" s="51"/>
      <c r="EA482" s="51"/>
      <c r="EB482" s="417"/>
    </row>
    <row r="483" spans="1:132" s="7" customFormat="1">
      <c r="A483" s="50" t="s">
        <v>573</v>
      </c>
      <c r="B483" s="428"/>
      <c r="C483" s="428"/>
      <c r="D483" s="428"/>
      <c r="E483" s="428"/>
      <c r="F483" s="428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1"/>
      <c r="CA483" s="51"/>
      <c r="CB483" s="51"/>
      <c r="CC483" s="51"/>
      <c r="CD483" s="51"/>
      <c r="CE483" s="51"/>
      <c r="CF483" s="51"/>
      <c r="CG483" s="51"/>
      <c r="CH483" s="51"/>
      <c r="CI483" s="51"/>
      <c r="CJ483" s="51"/>
      <c r="CK483" s="51"/>
      <c r="CL483" s="51"/>
      <c r="CM483" s="51"/>
      <c r="CN483" s="51"/>
      <c r="CO483" s="51"/>
      <c r="CP483" s="51"/>
      <c r="CQ483" s="51"/>
      <c r="CR483" s="51"/>
      <c r="CS483" s="51"/>
      <c r="CT483" s="51"/>
      <c r="CU483" s="51"/>
      <c r="CV483" s="51"/>
      <c r="CW483" s="51"/>
      <c r="CX483" s="51"/>
      <c r="CY483" s="51"/>
      <c r="CZ483" s="51"/>
      <c r="DA483" s="51"/>
      <c r="DB483" s="51"/>
      <c r="DC483" s="51"/>
      <c r="DD483" s="51"/>
      <c r="DE483" s="51"/>
      <c r="DF483" s="51"/>
      <c r="DG483" s="51"/>
      <c r="DH483" s="51"/>
      <c r="DI483" s="51"/>
      <c r="DJ483" s="51"/>
      <c r="DK483" s="51"/>
      <c r="DL483" s="51"/>
      <c r="DM483" s="51"/>
      <c r="DN483" s="51"/>
      <c r="DO483" s="51"/>
      <c r="DP483" s="51"/>
      <c r="DQ483" s="51"/>
      <c r="DR483" s="51"/>
      <c r="DS483" s="51"/>
      <c r="DT483" s="51"/>
      <c r="DU483" s="51"/>
      <c r="DV483" s="51"/>
      <c r="DW483" s="51"/>
      <c r="DX483" s="51"/>
      <c r="DY483" s="51"/>
      <c r="DZ483" s="51"/>
      <c r="EA483" s="51"/>
      <c r="EB483" s="417"/>
    </row>
    <row r="484" spans="1:132" s="7" customFormat="1">
      <c r="A484" s="50" t="s">
        <v>574</v>
      </c>
      <c r="B484" s="428"/>
      <c r="C484" s="428"/>
      <c r="D484" s="428"/>
      <c r="E484" s="428"/>
      <c r="F484" s="428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1"/>
      <c r="CA484" s="51"/>
      <c r="CB484" s="51"/>
      <c r="CC484" s="51"/>
      <c r="CD484" s="51"/>
      <c r="CE484" s="51"/>
      <c r="CF484" s="51"/>
      <c r="CG484" s="51"/>
      <c r="CH484" s="51"/>
      <c r="CI484" s="51"/>
      <c r="CJ484" s="51"/>
      <c r="CK484" s="51"/>
      <c r="CL484" s="51"/>
      <c r="CM484" s="51"/>
      <c r="CN484" s="51"/>
      <c r="CO484" s="51"/>
      <c r="CP484" s="51"/>
      <c r="CQ484" s="51"/>
      <c r="CR484" s="51"/>
      <c r="CS484" s="51"/>
      <c r="CT484" s="51"/>
      <c r="CU484" s="51"/>
      <c r="CV484" s="51"/>
      <c r="CW484" s="51"/>
      <c r="CX484" s="51"/>
      <c r="CY484" s="51"/>
      <c r="CZ484" s="51"/>
      <c r="DA484" s="51"/>
      <c r="DB484" s="51"/>
      <c r="DC484" s="51"/>
      <c r="DD484" s="51"/>
      <c r="DE484" s="51"/>
      <c r="DF484" s="51"/>
      <c r="DG484" s="51"/>
      <c r="DH484" s="51"/>
      <c r="DI484" s="51"/>
      <c r="DJ484" s="51"/>
      <c r="DK484" s="51"/>
      <c r="DL484" s="51"/>
      <c r="DM484" s="51"/>
      <c r="DN484" s="51"/>
      <c r="DO484" s="51"/>
      <c r="DP484" s="51"/>
      <c r="DQ484" s="51"/>
      <c r="DR484" s="51"/>
      <c r="DS484" s="51"/>
      <c r="DT484" s="51"/>
      <c r="DU484" s="51"/>
      <c r="DV484" s="51"/>
      <c r="DW484" s="51"/>
      <c r="DX484" s="51"/>
      <c r="DY484" s="51"/>
      <c r="DZ484" s="51"/>
      <c r="EA484" s="51"/>
      <c r="EB484" s="417"/>
    </row>
    <row r="485" spans="1:132" s="7" customFormat="1">
      <c r="A485" s="52" t="s">
        <v>575</v>
      </c>
      <c r="B485" s="421"/>
      <c r="C485" s="421"/>
      <c r="D485" s="421"/>
      <c r="E485" s="421"/>
      <c r="F485" s="421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  <c r="BI485" s="54"/>
      <c r="BJ485" s="54"/>
      <c r="BK485" s="54"/>
      <c r="BL485" s="54"/>
      <c r="BM485" s="54"/>
      <c r="BN485" s="54"/>
      <c r="BO485" s="54"/>
      <c r="BP485" s="54"/>
      <c r="BQ485" s="54"/>
      <c r="BR485" s="54"/>
      <c r="BS485" s="54"/>
      <c r="BT485" s="54"/>
      <c r="BU485" s="54"/>
      <c r="BV485" s="54"/>
      <c r="BW485" s="54"/>
      <c r="BX485" s="54"/>
      <c r="BY485" s="54"/>
      <c r="BZ485" s="54"/>
      <c r="CA485" s="54"/>
      <c r="CB485" s="54"/>
      <c r="CC485" s="54"/>
      <c r="CD485" s="54"/>
      <c r="CE485" s="54"/>
      <c r="CF485" s="54"/>
      <c r="CG485" s="54"/>
      <c r="CH485" s="54"/>
      <c r="CI485" s="54"/>
      <c r="CJ485" s="54"/>
      <c r="CK485" s="54"/>
      <c r="CL485" s="54"/>
      <c r="CM485" s="54"/>
      <c r="CN485" s="54"/>
      <c r="CO485" s="54"/>
      <c r="CP485" s="54"/>
      <c r="CQ485" s="54"/>
      <c r="CR485" s="54"/>
      <c r="CS485" s="54"/>
      <c r="CT485" s="54"/>
      <c r="CU485" s="54"/>
      <c r="CV485" s="54"/>
      <c r="CW485" s="54"/>
      <c r="CX485" s="54"/>
      <c r="CY485" s="54"/>
      <c r="CZ485" s="54"/>
      <c r="DA485" s="54"/>
      <c r="DB485" s="54"/>
      <c r="DC485" s="54"/>
      <c r="DD485" s="54"/>
      <c r="DE485" s="54"/>
      <c r="DF485" s="54"/>
      <c r="DG485" s="54"/>
      <c r="DH485" s="54"/>
      <c r="DI485" s="54"/>
      <c r="DJ485" s="54"/>
      <c r="DK485" s="54"/>
      <c r="DL485" s="54"/>
      <c r="DM485" s="54"/>
      <c r="DN485" s="54"/>
      <c r="DO485" s="54"/>
      <c r="DP485" s="54"/>
      <c r="DQ485" s="54"/>
      <c r="DR485" s="54"/>
      <c r="DS485" s="54"/>
      <c r="DT485" s="54"/>
      <c r="DU485" s="54"/>
      <c r="DV485" s="54"/>
      <c r="DW485" s="54"/>
      <c r="DX485" s="54"/>
      <c r="DY485" s="54"/>
      <c r="DZ485" s="54"/>
      <c r="EA485" s="54"/>
      <c r="EB485" s="417"/>
    </row>
    <row r="486" spans="1:132" s="7" customFormat="1">
      <c r="A486" s="55" t="s">
        <v>576</v>
      </c>
      <c r="B486" s="429"/>
      <c r="C486" s="429"/>
      <c r="D486" s="429"/>
      <c r="E486" s="429"/>
      <c r="F486" s="429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/>
      <c r="DG486" s="21"/>
      <c r="DH486" s="21"/>
      <c r="DI486" s="21"/>
      <c r="DJ486" s="21"/>
      <c r="DK486" s="21"/>
      <c r="DL486" s="21"/>
      <c r="DM486" s="21"/>
      <c r="DN486" s="21"/>
      <c r="DO486" s="21"/>
      <c r="DP486" s="21"/>
      <c r="DQ486" s="21"/>
      <c r="DR486" s="21"/>
      <c r="DS486" s="21"/>
      <c r="DT486" s="21"/>
      <c r="DU486" s="21"/>
      <c r="DV486" s="21"/>
      <c r="DW486" s="21"/>
      <c r="DX486" s="21"/>
      <c r="DY486" s="21"/>
      <c r="DZ486" s="21"/>
      <c r="EA486" s="21"/>
      <c r="EB486" s="417"/>
    </row>
    <row r="487" spans="1:132" s="7" customFormat="1">
      <c r="A487" s="50" t="s">
        <v>577</v>
      </c>
      <c r="B487" s="428"/>
      <c r="C487" s="428"/>
      <c r="D487" s="428"/>
      <c r="E487" s="428"/>
      <c r="F487" s="428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  <c r="CC487" s="51"/>
      <c r="CD487" s="51"/>
      <c r="CE487" s="51"/>
      <c r="CF487" s="51"/>
      <c r="CG487" s="51"/>
      <c r="CH487" s="51"/>
      <c r="CI487" s="51"/>
      <c r="CJ487" s="51"/>
      <c r="CK487" s="51"/>
      <c r="CL487" s="51"/>
      <c r="CM487" s="51"/>
      <c r="CN487" s="51"/>
      <c r="CO487" s="51"/>
      <c r="CP487" s="51"/>
      <c r="CQ487" s="51"/>
      <c r="CR487" s="51"/>
      <c r="CS487" s="51"/>
      <c r="CT487" s="51"/>
      <c r="CU487" s="51"/>
      <c r="CV487" s="51"/>
      <c r="CW487" s="51"/>
      <c r="CX487" s="51"/>
      <c r="CY487" s="51"/>
      <c r="CZ487" s="51"/>
      <c r="DA487" s="51"/>
      <c r="DB487" s="51"/>
      <c r="DC487" s="51"/>
      <c r="DD487" s="51"/>
      <c r="DE487" s="51"/>
      <c r="DF487" s="51"/>
      <c r="DG487" s="51"/>
      <c r="DH487" s="51"/>
      <c r="DI487" s="51"/>
      <c r="DJ487" s="51"/>
      <c r="DK487" s="51"/>
      <c r="DL487" s="51"/>
      <c r="DM487" s="51"/>
      <c r="DN487" s="51"/>
      <c r="DO487" s="51"/>
      <c r="DP487" s="51"/>
      <c r="DQ487" s="51"/>
      <c r="DR487" s="51"/>
      <c r="DS487" s="51"/>
      <c r="DT487" s="51"/>
      <c r="DU487" s="51"/>
      <c r="DV487" s="51"/>
      <c r="DW487" s="51"/>
      <c r="DX487" s="51"/>
      <c r="DY487" s="51"/>
      <c r="DZ487" s="51"/>
      <c r="EA487" s="51"/>
      <c r="EB487" s="417"/>
    </row>
    <row r="488" spans="1:132" s="7" customFormat="1">
      <c r="A488" s="50" t="s">
        <v>578</v>
      </c>
      <c r="B488" s="428"/>
      <c r="C488" s="428"/>
      <c r="D488" s="428"/>
      <c r="E488" s="428"/>
      <c r="F488" s="428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  <c r="CC488" s="51"/>
      <c r="CD488" s="51"/>
      <c r="CE488" s="51"/>
      <c r="CF488" s="51"/>
      <c r="CG488" s="51"/>
      <c r="CH488" s="51"/>
      <c r="CI488" s="51"/>
      <c r="CJ488" s="51"/>
      <c r="CK488" s="51"/>
      <c r="CL488" s="51"/>
      <c r="CM488" s="51"/>
      <c r="CN488" s="51"/>
      <c r="CO488" s="51"/>
      <c r="CP488" s="51"/>
      <c r="CQ488" s="51"/>
      <c r="CR488" s="51"/>
      <c r="CS488" s="51"/>
      <c r="CT488" s="51"/>
      <c r="CU488" s="51"/>
      <c r="CV488" s="51"/>
      <c r="CW488" s="51"/>
      <c r="CX488" s="51"/>
      <c r="CY488" s="51"/>
      <c r="CZ488" s="51"/>
      <c r="DA488" s="51"/>
      <c r="DB488" s="51"/>
      <c r="DC488" s="51"/>
      <c r="DD488" s="51"/>
      <c r="DE488" s="51"/>
      <c r="DF488" s="51"/>
      <c r="DG488" s="51"/>
      <c r="DH488" s="51"/>
      <c r="DI488" s="51"/>
      <c r="DJ488" s="51"/>
      <c r="DK488" s="51"/>
      <c r="DL488" s="51"/>
      <c r="DM488" s="51"/>
      <c r="DN488" s="51"/>
      <c r="DO488" s="51"/>
      <c r="DP488" s="51"/>
      <c r="DQ488" s="51"/>
      <c r="DR488" s="51"/>
      <c r="DS488" s="51"/>
      <c r="DT488" s="51"/>
      <c r="DU488" s="51"/>
      <c r="DV488" s="51"/>
      <c r="DW488" s="51"/>
      <c r="DX488" s="51"/>
      <c r="DY488" s="51"/>
      <c r="DZ488" s="51"/>
      <c r="EA488" s="51"/>
      <c r="EB488" s="417"/>
    </row>
    <row r="489" spans="1:132" s="7" customFormat="1">
      <c r="A489" s="50" t="s">
        <v>579</v>
      </c>
      <c r="B489" s="428"/>
      <c r="C489" s="428"/>
      <c r="D489" s="428"/>
      <c r="E489" s="428"/>
      <c r="F489" s="428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  <c r="CC489" s="51"/>
      <c r="CD489" s="51"/>
      <c r="CE489" s="51"/>
      <c r="CF489" s="51"/>
      <c r="CG489" s="51"/>
      <c r="CH489" s="51"/>
      <c r="CI489" s="51"/>
      <c r="CJ489" s="51"/>
      <c r="CK489" s="51"/>
      <c r="CL489" s="51"/>
      <c r="CM489" s="51"/>
      <c r="CN489" s="51"/>
      <c r="CO489" s="51"/>
      <c r="CP489" s="51"/>
      <c r="CQ489" s="51"/>
      <c r="CR489" s="51"/>
      <c r="CS489" s="51"/>
      <c r="CT489" s="51"/>
      <c r="CU489" s="51"/>
      <c r="CV489" s="51"/>
      <c r="CW489" s="51"/>
      <c r="CX489" s="51"/>
      <c r="CY489" s="51"/>
      <c r="CZ489" s="51"/>
      <c r="DA489" s="51"/>
      <c r="DB489" s="51"/>
      <c r="DC489" s="51"/>
      <c r="DD489" s="51"/>
      <c r="DE489" s="51"/>
      <c r="DF489" s="51"/>
      <c r="DG489" s="51"/>
      <c r="DH489" s="51"/>
      <c r="DI489" s="51"/>
      <c r="DJ489" s="51"/>
      <c r="DK489" s="51"/>
      <c r="DL489" s="51"/>
      <c r="DM489" s="51"/>
      <c r="DN489" s="51"/>
      <c r="DO489" s="51"/>
      <c r="DP489" s="51"/>
      <c r="DQ489" s="51"/>
      <c r="DR489" s="51"/>
      <c r="DS489" s="51"/>
      <c r="DT489" s="51"/>
      <c r="DU489" s="51"/>
      <c r="DV489" s="51"/>
      <c r="DW489" s="51"/>
      <c r="DX489" s="51"/>
      <c r="DY489" s="51"/>
      <c r="DZ489" s="51"/>
      <c r="EA489" s="51"/>
      <c r="EB489" s="417"/>
    </row>
    <row r="490" spans="1:132" s="7" customFormat="1">
      <c r="A490" s="50" t="s">
        <v>580</v>
      </c>
      <c r="B490" s="428"/>
      <c r="C490" s="428"/>
      <c r="D490" s="428"/>
      <c r="E490" s="428"/>
      <c r="F490" s="428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  <c r="CC490" s="51"/>
      <c r="CD490" s="51"/>
      <c r="CE490" s="51"/>
      <c r="CF490" s="51"/>
      <c r="CG490" s="51"/>
      <c r="CH490" s="51"/>
      <c r="CI490" s="51"/>
      <c r="CJ490" s="51"/>
      <c r="CK490" s="51"/>
      <c r="CL490" s="51"/>
      <c r="CM490" s="51"/>
      <c r="CN490" s="51"/>
      <c r="CO490" s="51"/>
      <c r="CP490" s="51"/>
      <c r="CQ490" s="51"/>
      <c r="CR490" s="51"/>
      <c r="CS490" s="51"/>
      <c r="CT490" s="51"/>
      <c r="CU490" s="51"/>
      <c r="CV490" s="51"/>
      <c r="CW490" s="51"/>
      <c r="CX490" s="51"/>
      <c r="CY490" s="51"/>
      <c r="CZ490" s="51"/>
      <c r="DA490" s="51"/>
      <c r="DB490" s="51"/>
      <c r="DC490" s="51"/>
      <c r="DD490" s="51"/>
      <c r="DE490" s="51"/>
      <c r="DF490" s="51"/>
      <c r="DG490" s="51"/>
      <c r="DH490" s="51"/>
      <c r="DI490" s="51"/>
      <c r="DJ490" s="51"/>
      <c r="DK490" s="51"/>
      <c r="DL490" s="51"/>
      <c r="DM490" s="51"/>
      <c r="DN490" s="51"/>
      <c r="DO490" s="51"/>
      <c r="DP490" s="51"/>
      <c r="DQ490" s="51"/>
      <c r="DR490" s="51"/>
      <c r="DS490" s="51"/>
      <c r="DT490" s="51"/>
      <c r="DU490" s="51"/>
      <c r="DV490" s="51"/>
      <c r="DW490" s="51"/>
      <c r="DX490" s="51"/>
      <c r="DY490" s="51"/>
      <c r="DZ490" s="51"/>
      <c r="EA490" s="51"/>
      <c r="EB490" s="417"/>
    </row>
    <row r="491" spans="1:132" s="7" customFormat="1">
      <c r="A491" s="52" t="s">
        <v>581</v>
      </c>
      <c r="B491" s="421"/>
      <c r="C491" s="421"/>
      <c r="D491" s="421"/>
      <c r="E491" s="421"/>
      <c r="F491" s="421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  <c r="BI491" s="54"/>
      <c r="BJ491" s="54"/>
      <c r="BK491" s="54"/>
      <c r="BL491" s="54"/>
      <c r="BM491" s="54"/>
      <c r="BN491" s="54"/>
      <c r="BO491" s="54"/>
      <c r="BP491" s="54"/>
      <c r="BQ491" s="54"/>
      <c r="BR491" s="54"/>
      <c r="BS491" s="54"/>
      <c r="BT491" s="54"/>
      <c r="BU491" s="54"/>
      <c r="BV491" s="54"/>
      <c r="BW491" s="54"/>
      <c r="BX491" s="54"/>
      <c r="BY491" s="54"/>
      <c r="BZ491" s="54"/>
      <c r="CA491" s="54"/>
      <c r="CB491" s="54"/>
      <c r="CC491" s="54"/>
      <c r="CD491" s="54"/>
      <c r="CE491" s="54"/>
      <c r="CF491" s="54"/>
      <c r="CG491" s="54"/>
      <c r="CH491" s="54"/>
      <c r="CI491" s="54"/>
      <c r="CJ491" s="54"/>
      <c r="CK491" s="54"/>
      <c r="CL491" s="54"/>
      <c r="CM491" s="54"/>
      <c r="CN491" s="54"/>
      <c r="CO491" s="54"/>
      <c r="CP491" s="54"/>
      <c r="CQ491" s="54"/>
      <c r="CR491" s="54"/>
      <c r="CS491" s="54"/>
      <c r="CT491" s="54"/>
      <c r="CU491" s="54"/>
      <c r="CV491" s="54"/>
      <c r="CW491" s="54"/>
      <c r="CX491" s="54"/>
      <c r="CY491" s="54"/>
      <c r="CZ491" s="54"/>
      <c r="DA491" s="54"/>
      <c r="DB491" s="54"/>
      <c r="DC491" s="54"/>
      <c r="DD491" s="54"/>
      <c r="DE491" s="54"/>
      <c r="DF491" s="54"/>
      <c r="DG491" s="54"/>
      <c r="DH491" s="54"/>
      <c r="DI491" s="54"/>
      <c r="DJ491" s="54"/>
      <c r="DK491" s="54"/>
      <c r="DL491" s="54"/>
      <c r="DM491" s="54"/>
      <c r="DN491" s="54"/>
      <c r="DO491" s="54"/>
      <c r="DP491" s="54"/>
      <c r="DQ491" s="54"/>
      <c r="DR491" s="54"/>
      <c r="DS491" s="54"/>
      <c r="DT491" s="54"/>
      <c r="DU491" s="54"/>
      <c r="DV491" s="54"/>
      <c r="DW491" s="54"/>
      <c r="DX491" s="54"/>
      <c r="DY491" s="54"/>
      <c r="DZ491" s="54"/>
      <c r="EA491" s="54"/>
      <c r="EB491" s="417"/>
    </row>
    <row r="492" spans="1:132" s="7" customFormat="1">
      <c r="A492" s="55" t="s">
        <v>582</v>
      </c>
      <c r="B492" s="429"/>
      <c r="C492" s="429"/>
      <c r="D492" s="429"/>
      <c r="E492" s="429"/>
      <c r="F492" s="429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  <c r="DG492" s="21"/>
      <c r="DH492" s="21"/>
      <c r="DI492" s="21"/>
      <c r="DJ492" s="21"/>
      <c r="DK492" s="21"/>
      <c r="DL492" s="21"/>
      <c r="DM492" s="21"/>
      <c r="DN492" s="21"/>
      <c r="DO492" s="21"/>
      <c r="DP492" s="21"/>
      <c r="DQ492" s="21"/>
      <c r="DR492" s="21"/>
      <c r="DS492" s="21"/>
      <c r="DT492" s="21"/>
      <c r="DU492" s="21"/>
      <c r="DV492" s="21"/>
      <c r="DW492" s="21"/>
      <c r="DX492" s="21"/>
      <c r="DY492" s="21"/>
      <c r="DZ492" s="21"/>
      <c r="EA492" s="21"/>
      <c r="EB492" s="417"/>
    </row>
    <row r="493" spans="1:132" s="7" customFormat="1">
      <c r="A493" s="50" t="s">
        <v>583</v>
      </c>
      <c r="B493" s="428"/>
      <c r="C493" s="428"/>
      <c r="D493" s="428"/>
      <c r="E493" s="428"/>
      <c r="F493" s="428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  <c r="CC493" s="51"/>
      <c r="CD493" s="51"/>
      <c r="CE493" s="51"/>
      <c r="CF493" s="51"/>
      <c r="CG493" s="51"/>
      <c r="CH493" s="51"/>
      <c r="CI493" s="51"/>
      <c r="CJ493" s="51"/>
      <c r="CK493" s="51"/>
      <c r="CL493" s="51"/>
      <c r="CM493" s="51"/>
      <c r="CN493" s="51"/>
      <c r="CO493" s="51"/>
      <c r="CP493" s="51"/>
      <c r="CQ493" s="51"/>
      <c r="CR493" s="51"/>
      <c r="CS493" s="51"/>
      <c r="CT493" s="51"/>
      <c r="CU493" s="51"/>
      <c r="CV493" s="51"/>
      <c r="CW493" s="51"/>
      <c r="CX493" s="51"/>
      <c r="CY493" s="51"/>
      <c r="CZ493" s="51"/>
      <c r="DA493" s="51"/>
      <c r="DB493" s="51"/>
      <c r="DC493" s="51"/>
      <c r="DD493" s="51"/>
      <c r="DE493" s="51"/>
      <c r="DF493" s="51"/>
      <c r="DG493" s="51"/>
      <c r="DH493" s="51"/>
      <c r="DI493" s="51"/>
      <c r="DJ493" s="51"/>
      <c r="DK493" s="51"/>
      <c r="DL493" s="51"/>
      <c r="DM493" s="51"/>
      <c r="DN493" s="51"/>
      <c r="DO493" s="51"/>
      <c r="DP493" s="51"/>
      <c r="DQ493" s="51"/>
      <c r="DR493" s="51"/>
      <c r="DS493" s="51"/>
      <c r="DT493" s="51"/>
      <c r="DU493" s="51"/>
      <c r="DV493" s="51"/>
      <c r="DW493" s="51"/>
      <c r="DX493" s="51"/>
      <c r="DY493" s="51"/>
      <c r="DZ493" s="51"/>
      <c r="EA493" s="51"/>
      <c r="EB493" s="417"/>
    </row>
    <row r="494" spans="1:132" s="7" customFormat="1">
      <c r="A494" s="50" t="s">
        <v>584</v>
      </c>
      <c r="B494" s="428"/>
      <c r="C494" s="428"/>
      <c r="D494" s="428"/>
      <c r="E494" s="428"/>
      <c r="F494" s="428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  <c r="CC494" s="51"/>
      <c r="CD494" s="51"/>
      <c r="CE494" s="51"/>
      <c r="CF494" s="51"/>
      <c r="CG494" s="51"/>
      <c r="CH494" s="51"/>
      <c r="CI494" s="51"/>
      <c r="CJ494" s="51"/>
      <c r="CK494" s="51"/>
      <c r="CL494" s="51"/>
      <c r="CM494" s="51"/>
      <c r="CN494" s="51"/>
      <c r="CO494" s="51"/>
      <c r="CP494" s="51"/>
      <c r="CQ494" s="51"/>
      <c r="CR494" s="51"/>
      <c r="CS494" s="51"/>
      <c r="CT494" s="51"/>
      <c r="CU494" s="51"/>
      <c r="CV494" s="51"/>
      <c r="CW494" s="51"/>
      <c r="CX494" s="51"/>
      <c r="CY494" s="51"/>
      <c r="CZ494" s="51"/>
      <c r="DA494" s="51"/>
      <c r="DB494" s="51"/>
      <c r="DC494" s="51"/>
      <c r="DD494" s="51"/>
      <c r="DE494" s="51"/>
      <c r="DF494" s="51"/>
      <c r="DG494" s="51"/>
      <c r="DH494" s="51"/>
      <c r="DI494" s="51"/>
      <c r="DJ494" s="51"/>
      <c r="DK494" s="51"/>
      <c r="DL494" s="51"/>
      <c r="DM494" s="51"/>
      <c r="DN494" s="51"/>
      <c r="DO494" s="51"/>
      <c r="DP494" s="51"/>
      <c r="DQ494" s="51"/>
      <c r="DR494" s="51"/>
      <c r="DS494" s="51"/>
      <c r="DT494" s="51"/>
      <c r="DU494" s="51"/>
      <c r="DV494" s="51"/>
      <c r="DW494" s="51"/>
      <c r="DX494" s="51"/>
      <c r="DY494" s="51"/>
      <c r="DZ494" s="51"/>
      <c r="EA494" s="51"/>
      <c r="EB494" s="417"/>
    </row>
    <row r="495" spans="1:132" s="7" customFormat="1">
      <c r="A495" s="50" t="s">
        <v>585</v>
      </c>
      <c r="B495" s="428"/>
      <c r="C495" s="428"/>
      <c r="D495" s="428"/>
      <c r="E495" s="428"/>
      <c r="F495" s="428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  <c r="CC495" s="51"/>
      <c r="CD495" s="51"/>
      <c r="CE495" s="51"/>
      <c r="CF495" s="51"/>
      <c r="CG495" s="51"/>
      <c r="CH495" s="51"/>
      <c r="CI495" s="51"/>
      <c r="CJ495" s="51"/>
      <c r="CK495" s="51"/>
      <c r="CL495" s="51"/>
      <c r="CM495" s="51"/>
      <c r="CN495" s="51"/>
      <c r="CO495" s="51"/>
      <c r="CP495" s="51"/>
      <c r="CQ495" s="51"/>
      <c r="CR495" s="51"/>
      <c r="CS495" s="51"/>
      <c r="CT495" s="51"/>
      <c r="CU495" s="51"/>
      <c r="CV495" s="51"/>
      <c r="CW495" s="51"/>
      <c r="CX495" s="51"/>
      <c r="CY495" s="51"/>
      <c r="CZ495" s="51"/>
      <c r="DA495" s="51"/>
      <c r="DB495" s="51"/>
      <c r="DC495" s="51"/>
      <c r="DD495" s="51"/>
      <c r="DE495" s="51"/>
      <c r="DF495" s="51"/>
      <c r="DG495" s="51"/>
      <c r="DH495" s="51"/>
      <c r="DI495" s="51"/>
      <c r="DJ495" s="51"/>
      <c r="DK495" s="51"/>
      <c r="DL495" s="51"/>
      <c r="DM495" s="51"/>
      <c r="DN495" s="51"/>
      <c r="DO495" s="51"/>
      <c r="DP495" s="51"/>
      <c r="DQ495" s="51"/>
      <c r="DR495" s="51"/>
      <c r="DS495" s="51"/>
      <c r="DT495" s="51"/>
      <c r="DU495" s="51"/>
      <c r="DV495" s="51"/>
      <c r="DW495" s="51"/>
      <c r="DX495" s="51"/>
      <c r="DY495" s="51"/>
      <c r="DZ495" s="51"/>
      <c r="EA495" s="51"/>
      <c r="EB495" s="417"/>
    </row>
    <row r="496" spans="1:132" s="7" customFormat="1">
      <c r="A496" s="50" t="s">
        <v>586</v>
      </c>
      <c r="B496" s="428"/>
      <c r="C496" s="428"/>
      <c r="D496" s="428"/>
      <c r="E496" s="428"/>
      <c r="F496" s="428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  <c r="CC496" s="51"/>
      <c r="CD496" s="51"/>
      <c r="CE496" s="51"/>
      <c r="CF496" s="51"/>
      <c r="CG496" s="51"/>
      <c r="CH496" s="51"/>
      <c r="CI496" s="51"/>
      <c r="CJ496" s="51"/>
      <c r="CK496" s="51"/>
      <c r="CL496" s="51"/>
      <c r="CM496" s="51"/>
      <c r="CN496" s="51"/>
      <c r="CO496" s="51"/>
      <c r="CP496" s="51"/>
      <c r="CQ496" s="51"/>
      <c r="CR496" s="51"/>
      <c r="CS496" s="51"/>
      <c r="CT496" s="51"/>
      <c r="CU496" s="51"/>
      <c r="CV496" s="51"/>
      <c r="CW496" s="51"/>
      <c r="CX496" s="51"/>
      <c r="CY496" s="51"/>
      <c r="CZ496" s="51"/>
      <c r="DA496" s="51"/>
      <c r="DB496" s="51"/>
      <c r="DC496" s="51"/>
      <c r="DD496" s="51"/>
      <c r="DE496" s="51"/>
      <c r="DF496" s="51"/>
      <c r="DG496" s="51"/>
      <c r="DH496" s="51"/>
      <c r="DI496" s="51"/>
      <c r="DJ496" s="51"/>
      <c r="DK496" s="51"/>
      <c r="DL496" s="51"/>
      <c r="DM496" s="51"/>
      <c r="DN496" s="51"/>
      <c r="DO496" s="51"/>
      <c r="DP496" s="51"/>
      <c r="DQ496" s="51"/>
      <c r="DR496" s="51"/>
      <c r="DS496" s="51"/>
      <c r="DT496" s="51"/>
      <c r="DU496" s="51"/>
      <c r="DV496" s="51"/>
      <c r="DW496" s="51"/>
      <c r="DX496" s="51"/>
      <c r="DY496" s="51"/>
      <c r="DZ496" s="51"/>
      <c r="EA496" s="51"/>
      <c r="EB496" s="417"/>
    </row>
    <row r="497" spans="1:132" s="7" customFormat="1">
      <c r="A497" s="52" t="s">
        <v>587</v>
      </c>
      <c r="B497" s="421"/>
      <c r="C497" s="421"/>
      <c r="D497" s="421"/>
      <c r="E497" s="421"/>
      <c r="F497" s="421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  <c r="BI497" s="54"/>
      <c r="BJ497" s="54"/>
      <c r="BK497" s="54"/>
      <c r="BL497" s="54"/>
      <c r="BM497" s="54"/>
      <c r="BN497" s="54"/>
      <c r="BO497" s="54"/>
      <c r="BP497" s="54"/>
      <c r="BQ497" s="54"/>
      <c r="BR497" s="54"/>
      <c r="BS497" s="54"/>
      <c r="BT497" s="54"/>
      <c r="BU497" s="54"/>
      <c r="BV497" s="54"/>
      <c r="BW497" s="54"/>
      <c r="BX497" s="54"/>
      <c r="BY497" s="54"/>
      <c r="BZ497" s="54"/>
      <c r="CA497" s="54"/>
      <c r="CB497" s="54"/>
      <c r="CC497" s="54"/>
      <c r="CD497" s="54"/>
      <c r="CE497" s="54"/>
      <c r="CF497" s="54"/>
      <c r="CG497" s="54"/>
      <c r="CH497" s="54"/>
      <c r="CI497" s="54"/>
      <c r="CJ497" s="54"/>
      <c r="CK497" s="54"/>
      <c r="CL497" s="54"/>
      <c r="CM497" s="54"/>
      <c r="CN497" s="54"/>
      <c r="CO497" s="54"/>
      <c r="CP497" s="54"/>
      <c r="CQ497" s="54"/>
      <c r="CR497" s="54"/>
      <c r="CS497" s="54"/>
      <c r="CT497" s="54"/>
      <c r="CU497" s="54"/>
      <c r="CV497" s="54"/>
      <c r="CW497" s="54"/>
      <c r="CX497" s="54"/>
      <c r="CY497" s="54"/>
      <c r="CZ497" s="54"/>
      <c r="DA497" s="54"/>
      <c r="DB497" s="54"/>
      <c r="DC497" s="54"/>
      <c r="DD497" s="54"/>
      <c r="DE497" s="54"/>
      <c r="DF497" s="54"/>
      <c r="DG497" s="54"/>
      <c r="DH497" s="54"/>
      <c r="DI497" s="54"/>
      <c r="DJ497" s="54"/>
      <c r="DK497" s="54"/>
      <c r="DL497" s="54"/>
      <c r="DM497" s="54"/>
      <c r="DN497" s="54"/>
      <c r="DO497" s="54"/>
      <c r="DP497" s="54"/>
      <c r="DQ497" s="54"/>
      <c r="DR497" s="54"/>
      <c r="DS497" s="54"/>
      <c r="DT497" s="54"/>
      <c r="DU497" s="54"/>
      <c r="DV497" s="54"/>
      <c r="DW497" s="54"/>
      <c r="DX497" s="54"/>
      <c r="DY497" s="54"/>
      <c r="DZ497" s="54"/>
      <c r="EA497" s="54"/>
      <c r="EB497" s="417"/>
    </row>
    <row r="498" spans="1:132" s="7" customFormat="1">
      <c r="A498" s="52" t="s">
        <v>559</v>
      </c>
      <c r="B498" s="422"/>
      <c r="C498" s="422"/>
      <c r="D498" s="422"/>
      <c r="E498" s="422"/>
      <c r="F498" s="422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  <c r="CD498" s="53"/>
      <c r="CE498" s="53"/>
      <c r="CF498" s="53"/>
      <c r="CG498" s="53"/>
      <c r="CH498" s="53"/>
      <c r="CI498" s="53"/>
      <c r="CJ498" s="53"/>
      <c r="CK498" s="53"/>
      <c r="CL498" s="53"/>
      <c r="CM498" s="53"/>
      <c r="CN498" s="53"/>
      <c r="CO498" s="53"/>
      <c r="CP498" s="53"/>
      <c r="CQ498" s="53"/>
      <c r="CR498" s="53"/>
      <c r="CS498" s="53"/>
      <c r="CT498" s="53"/>
      <c r="CU498" s="53"/>
      <c r="CV498" s="53"/>
      <c r="CW498" s="53"/>
      <c r="CX498" s="53"/>
      <c r="CY498" s="53"/>
      <c r="CZ498" s="53"/>
      <c r="DA498" s="53"/>
      <c r="DB498" s="53"/>
      <c r="DC498" s="53"/>
      <c r="DD498" s="53"/>
      <c r="DE498" s="53"/>
      <c r="DF498" s="53"/>
      <c r="DG498" s="53"/>
      <c r="DH498" s="53"/>
      <c r="DI498" s="53"/>
      <c r="DJ498" s="53"/>
      <c r="DK498" s="53"/>
      <c r="DL498" s="53"/>
      <c r="DM498" s="53"/>
      <c r="DN498" s="53"/>
      <c r="DO498" s="53"/>
      <c r="DP498" s="53"/>
      <c r="DQ498" s="53"/>
      <c r="DR498" s="53"/>
      <c r="DS498" s="53"/>
      <c r="DT498" s="53"/>
      <c r="DU498" s="53"/>
      <c r="DV498" s="53"/>
      <c r="DW498" s="53"/>
      <c r="DX498" s="53"/>
      <c r="DY498" s="53"/>
      <c r="DZ498" s="53"/>
      <c r="EA498" s="53"/>
      <c r="EB498" s="417"/>
    </row>
    <row r="499" spans="1:132" s="7" customFormat="1">
      <c r="A499" s="52" t="s">
        <v>17</v>
      </c>
      <c r="B499" s="421"/>
      <c r="C499" s="421"/>
      <c r="D499" s="421"/>
      <c r="E499" s="421"/>
      <c r="F499" s="421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  <c r="BI499" s="54"/>
      <c r="BJ499" s="54"/>
      <c r="BK499" s="54"/>
      <c r="BL499" s="54"/>
      <c r="BM499" s="54"/>
      <c r="BN499" s="54"/>
      <c r="BO499" s="54"/>
      <c r="BP499" s="54"/>
      <c r="BQ499" s="54"/>
      <c r="BR499" s="54"/>
      <c r="BS499" s="54"/>
      <c r="BT499" s="54"/>
      <c r="BU499" s="54"/>
      <c r="BV499" s="54"/>
      <c r="BW499" s="54"/>
      <c r="BX499" s="54"/>
      <c r="BY499" s="54"/>
      <c r="BZ499" s="54"/>
      <c r="CA499" s="54"/>
      <c r="CB499" s="54"/>
      <c r="CC499" s="54"/>
      <c r="CD499" s="54"/>
      <c r="CE499" s="54"/>
      <c r="CF499" s="54"/>
      <c r="CG499" s="54"/>
      <c r="CH499" s="54"/>
      <c r="CI499" s="54"/>
      <c r="CJ499" s="54"/>
      <c r="CK499" s="54"/>
      <c r="CL499" s="54"/>
      <c r="CM499" s="54"/>
      <c r="CN499" s="54"/>
      <c r="CO499" s="54"/>
      <c r="CP499" s="54"/>
      <c r="CQ499" s="54"/>
      <c r="CR499" s="54"/>
      <c r="CS499" s="54"/>
      <c r="CT499" s="54"/>
      <c r="CU499" s="54"/>
      <c r="CV499" s="54"/>
      <c r="CW499" s="54"/>
      <c r="CX499" s="54"/>
      <c r="CY499" s="54"/>
      <c r="CZ499" s="54"/>
      <c r="DA499" s="54"/>
      <c r="DB499" s="54"/>
      <c r="DC499" s="54"/>
      <c r="DD499" s="54"/>
      <c r="DE499" s="54"/>
      <c r="DF499" s="54"/>
      <c r="DG499" s="54"/>
      <c r="DH499" s="54"/>
      <c r="DI499" s="54"/>
      <c r="DJ499" s="54"/>
      <c r="DK499" s="54"/>
      <c r="DL499" s="54"/>
      <c r="DM499" s="54"/>
      <c r="DN499" s="54"/>
      <c r="DO499" s="54"/>
      <c r="DP499" s="54"/>
      <c r="DQ499" s="54"/>
      <c r="DR499" s="54"/>
      <c r="DS499" s="54"/>
      <c r="DT499" s="54"/>
      <c r="DU499" s="54"/>
      <c r="DV499" s="54"/>
      <c r="DW499" s="54"/>
      <c r="DX499" s="54"/>
      <c r="DY499" s="54"/>
      <c r="DZ499" s="54"/>
      <c r="EA499" s="54"/>
      <c r="EB499" s="417"/>
    </row>
    <row r="500" spans="1:132" s="7" customFormat="1">
      <c r="A500" s="50" t="s">
        <v>588</v>
      </c>
      <c r="B500" s="427"/>
      <c r="C500" s="427"/>
      <c r="D500" s="427"/>
      <c r="E500" s="427"/>
      <c r="F500" s="427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  <c r="BE500" s="56"/>
      <c r="BF500" s="56"/>
      <c r="BG500" s="56"/>
      <c r="BH500" s="56"/>
      <c r="BI500" s="56"/>
      <c r="BJ500" s="56"/>
      <c r="BK500" s="56"/>
      <c r="BL500" s="56"/>
      <c r="BM500" s="56"/>
      <c r="BN500" s="56"/>
      <c r="BO500" s="56"/>
      <c r="BP500" s="56"/>
      <c r="BQ500" s="56"/>
      <c r="BR500" s="56"/>
      <c r="BS500" s="56"/>
      <c r="BT500" s="56"/>
      <c r="BU500" s="56"/>
      <c r="BV500" s="56"/>
      <c r="BW500" s="56"/>
      <c r="BX500" s="56"/>
      <c r="BY500" s="56"/>
      <c r="BZ500" s="56"/>
      <c r="CA500" s="56"/>
      <c r="CB500" s="56"/>
      <c r="CC500" s="56"/>
      <c r="CD500" s="56"/>
      <c r="CE500" s="56"/>
      <c r="CF500" s="56"/>
      <c r="CG500" s="56"/>
      <c r="CH500" s="56"/>
      <c r="CI500" s="56"/>
      <c r="CJ500" s="56"/>
      <c r="CK500" s="56"/>
      <c r="CL500" s="56"/>
      <c r="CM500" s="56"/>
      <c r="CN500" s="56"/>
      <c r="CO500" s="56"/>
      <c r="CP500" s="56"/>
      <c r="CQ500" s="56"/>
      <c r="CR500" s="56"/>
      <c r="CS500" s="56"/>
      <c r="CT500" s="56"/>
      <c r="CU500" s="56"/>
      <c r="CV500" s="56"/>
      <c r="CW500" s="56"/>
      <c r="CX500" s="56"/>
      <c r="CY500" s="56"/>
      <c r="CZ500" s="56"/>
      <c r="DA500" s="56"/>
      <c r="DB500" s="56"/>
      <c r="DC500" s="56"/>
      <c r="DD500" s="56"/>
      <c r="DE500" s="56"/>
      <c r="DF500" s="56"/>
      <c r="DG500" s="56"/>
      <c r="DH500" s="56"/>
      <c r="DI500" s="56"/>
      <c r="DJ500" s="56"/>
      <c r="DK500" s="56"/>
      <c r="DL500" s="56"/>
      <c r="DM500" s="56"/>
      <c r="DN500" s="56"/>
      <c r="DO500" s="56"/>
      <c r="DP500" s="56"/>
      <c r="DQ500" s="56"/>
      <c r="DR500" s="56"/>
      <c r="DS500" s="56"/>
      <c r="DT500" s="56"/>
      <c r="DU500" s="56"/>
      <c r="DV500" s="56"/>
      <c r="DW500" s="56"/>
      <c r="DX500" s="56"/>
      <c r="DY500" s="56"/>
      <c r="DZ500" s="56"/>
      <c r="EA500" s="56"/>
      <c r="EB500" s="417"/>
    </row>
    <row r="501" spans="1:132" s="7" customFormat="1">
      <c r="A501" s="52"/>
      <c r="B501" s="429"/>
      <c r="C501" s="429"/>
      <c r="D501" s="429"/>
      <c r="E501" s="429"/>
      <c r="F501" s="429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/>
      <c r="DG501" s="21"/>
      <c r="DH501" s="21"/>
      <c r="DI501" s="21"/>
      <c r="DJ501" s="21"/>
      <c r="DK501" s="21"/>
      <c r="DL501" s="21"/>
      <c r="DM501" s="21"/>
      <c r="DN501" s="21"/>
      <c r="DO501" s="21"/>
      <c r="DP501" s="21"/>
      <c r="DQ501" s="21"/>
      <c r="DR501" s="21"/>
      <c r="DS501" s="21"/>
      <c r="DT501" s="21"/>
      <c r="DU501" s="21"/>
      <c r="DV501" s="21"/>
      <c r="DW501" s="21"/>
      <c r="DX501" s="21"/>
      <c r="DY501" s="21"/>
      <c r="DZ501" s="21"/>
      <c r="EA501" s="21"/>
      <c r="EB501" s="417"/>
    </row>
    <row r="502" spans="1:132" s="7" customFormat="1" ht="15">
      <c r="A502" s="49" t="s">
        <v>589</v>
      </c>
      <c r="B502" s="429"/>
      <c r="C502" s="429"/>
      <c r="D502" s="429"/>
      <c r="E502" s="429"/>
      <c r="F502" s="429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  <c r="DG502" s="21"/>
      <c r="DH502" s="21"/>
      <c r="DI502" s="21"/>
      <c r="DJ502" s="21"/>
      <c r="DK502" s="21"/>
      <c r="DL502" s="21"/>
      <c r="DM502" s="21"/>
      <c r="DN502" s="21"/>
      <c r="DO502" s="21"/>
      <c r="DP502" s="21"/>
      <c r="DQ502" s="21"/>
      <c r="DR502" s="21"/>
      <c r="DS502" s="21"/>
      <c r="DT502" s="21"/>
      <c r="DU502" s="21"/>
      <c r="DV502" s="21"/>
      <c r="DW502" s="21"/>
      <c r="DX502" s="21"/>
      <c r="DY502" s="21"/>
      <c r="DZ502" s="21"/>
      <c r="EA502" s="21"/>
      <c r="EB502" s="417"/>
    </row>
    <row r="503" spans="1:132" s="7" customFormat="1">
      <c r="A503" s="55" t="s">
        <v>564</v>
      </c>
      <c r="B503" s="429"/>
      <c r="C503" s="429"/>
      <c r="D503" s="429"/>
      <c r="E503" s="429"/>
      <c r="F503" s="429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  <c r="DG503" s="21"/>
      <c r="DH503" s="21"/>
      <c r="DI503" s="21"/>
      <c r="DJ503" s="21"/>
      <c r="DK503" s="21"/>
      <c r="DL503" s="21"/>
      <c r="DM503" s="21"/>
      <c r="DN503" s="21"/>
      <c r="DO503" s="21"/>
      <c r="DP503" s="21"/>
      <c r="DQ503" s="21"/>
      <c r="DR503" s="21"/>
      <c r="DS503" s="21"/>
      <c r="DT503" s="21"/>
      <c r="DU503" s="21"/>
      <c r="DV503" s="21"/>
      <c r="DW503" s="21"/>
      <c r="DX503" s="21"/>
      <c r="DY503" s="21"/>
      <c r="DZ503" s="21"/>
      <c r="EA503" s="21"/>
      <c r="EB503" s="417"/>
    </row>
    <row r="504" spans="1:132" s="7" customFormat="1">
      <c r="A504" s="50" t="s">
        <v>565</v>
      </c>
      <c r="B504" s="428"/>
      <c r="C504" s="428"/>
      <c r="D504" s="428"/>
      <c r="E504" s="428"/>
      <c r="F504" s="428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  <c r="CC504" s="51"/>
      <c r="CD504" s="51"/>
      <c r="CE504" s="51"/>
      <c r="CF504" s="51"/>
      <c r="CG504" s="51"/>
      <c r="CH504" s="51"/>
      <c r="CI504" s="51"/>
      <c r="CJ504" s="51"/>
      <c r="CK504" s="51"/>
      <c r="CL504" s="51"/>
      <c r="CM504" s="51"/>
      <c r="CN504" s="51"/>
      <c r="CO504" s="51"/>
      <c r="CP504" s="51"/>
      <c r="CQ504" s="51"/>
      <c r="CR504" s="51"/>
      <c r="CS504" s="51"/>
      <c r="CT504" s="51"/>
      <c r="CU504" s="51"/>
      <c r="CV504" s="51"/>
      <c r="CW504" s="51"/>
      <c r="CX504" s="51"/>
      <c r="CY504" s="51"/>
      <c r="CZ504" s="51"/>
      <c r="DA504" s="51"/>
      <c r="DB504" s="51"/>
      <c r="DC504" s="51"/>
      <c r="DD504" s="51"/>
      <c r="DE504" s="51"/>
      <c r="DF504" s="51"/>
      <c r="DG504" s="51"/>
      <c r="DH504" s="51"/>
      <c r="DI504" s="51"/>
      <c r="DJ504" s="51"/>
      <c r="DK504" s="51"/>
      <c r="DL504" s="51"/>
      <c r="DM504" s="51"/>
      <c r="DN504" s="51"/>
      <c r="DO504" s="51"/>
      <c r="DP504" s="51"/>
      <c r="DQ504" s="51"/>
      <c r="DR504" s="51"/>
      <c r="DS504" s="51"/>
      <c r="DT504" s="51"/>
      <c r="DU504" s="51"/>
      <c r="DV504" s="51"/>
      <c r="DW504" s="51"/>
      <c r="DX504" s="51"/>
      <c r="DY504" s="51"/>
      <c r="DZ504" s="51"/>
      <c r="EA504" s="51"/>
      <c r="EB504" s="417"/>
    </row>
    <row r="505" spans="1:132" s="7" customFormat="1">
      <c r="A505" s="50" t="s">
        <v>566</v>
      </c>
      <c r="B505" s="428"/>
      <c r="C505" s="428"/>
      <c r="D505" s="428"/>
      <c r="E505" s="428"/>
      <c r="F505" s="428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  <c r="CC505" s="51"/>
      <c r="CD505" s="51"/>
      <c r="CE505" s="51"/>
      <c r="CF505" s="51"/>
      <c r="CG505" s="51"/>
      <c r="CH505" s="51"/>
      <c r="CI505" s="51"/>
      <c r="CJ505" s="51"/>
      <c r="CK505" s="51"/>
      <c r="CL505" s="51"/>
      <c r="CM505" s="51"/>
      <c r="CN505" s="51"/>
      <c r="CO505" s="51"/>
      <c r="CP505" s="51"/>
      <c r="CQ505" s="51"/>
      <c r="CR505" s="51"/>
      <c r="CS505" s="51"/>
      <c r="CT505" s="51"/>
      <c r="CU505" s="51"/>
      <c r="CV505" s="51"/>
      <c r="CW505" s="51"/>
      <c r="CX505" s="51"/>
      <c r="CY505" s="51"/>
      <c r="CZ505" s="51"/>
      <c r="DA505" s="51"/>
      <c r="DB505" s="51"/>
      <c r="DC505" s="51"/>
      <c r="DD505" s="51"/>
      <c r="DE505" s="51"/>
      <c r="DF505" s="51"/>
      <c r="DG505" s="51"/>
      <c r="DH505" s="51"/>
      <c r="DI505" s="51"/>
      <c r="DJ505" s="51"/>
      <c r="DK505" s="51"/>
      <c r="DL505" s="51"/>
      <c r="DM505" s="51"/>
      <c r="DN505" s="51"/>
      <c r="DO505" s="51"/>
      <c r="DP505" s="51"/>
      <c r="DQ505" s="51"/>
      <c r="DR505" s="51"/>
      <c r="DS505" s="51"/>
      <c r="DT505" s="51"/>
      <c r="DU505" s="51"/>
      <c r="DV505" s="51"/>
      <c r="DW505" s="51"/>
      <c r="DX505" s="51"/>
      <c r="DY505" s="51"/>
      <c r="DZ505" s="51"/>
      <c r="EA505" s="51"/>
      <c r="EB505" s="417"/>
    </row>
    <row r="506" spans="1:132" s="7" customFormat="1">
      <c r="A506" s="50" t="s">
        <v>567</v>
      </c>
      <c r="B506" s="428"/>
      <c r="C506" s="428"/>
      <c r="D506" s="428"/>
      <c r="E506" s="428"/>
      <c r="F506" s="428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  <c r="CC506" s="51"/>
      <c r="CD506" s="51"/>
      <c r="CE506" s="51"/>
      <c r="CF506" s="51"/>
      <c r="CG506" s="51"/>
      <c r="CH506" s="51"/>
      <c r="CI506" s="51"/>
      <c r="CJ506" s="51"/>
      <c r="CK506" s="51"/>
      <c r="CL506" s="51"/>
      <c r="CM506" s="51"/>
      <c r="CN506" s="51"/>
      <c r="CO506" s="51"/>
      <c r="CP506" s="51"/>
      <c r="CQ506" s="51"/>
      <c r="CR506" s="51"/>
      <c r="CS506" s="51"/>
      <c r="CT506" s="51"/>
      <c r="CU506" s="51"/>
      <c r="CV506" s="51"/>
      <c r="CW506" s="51"/>
      <c r="CX506" s="51"/>
      <c r="CY506" s="51"/>
      <c r="CZ506" s="51"/>
      <c r="DA506" s="51"/>
      <c r="DB506" s="51"/>
      <c r="DC506" s="51"/>
      <c r="DD506" s="51"/>
      <c r="DE506" s="51"/>
      <c r="DF506" s="51"/>
      <c r="DG506" s="51"/>
      <c r="DH506" s="51"/>
      <c r="DI506" s="51"/>
      <c r="DJ506" s="51"/>
      <c r="DK506" s="51"/>
      <c r="DL506" s="51"/>
      <c r="DM506" s="51"/>
      <c r="DN506" s="51"/>
      <c r="DO506" s="51"/>
      <c r="DP506" s="51"/>
      <c r="DQ506" s="51"/>
      <c r="DR506" s="51"/>
      <c r="DS506" s="51"/>
      <c r="DT506" s="51"/>
      <c r="DU506" s="51"/>
      <c r="DV506" s="51"/>
      <c r="DW506" s="51"/>
      <c r="DX506" s="51"/>
      <c r="DY506" s="51"/>
      <c r="DZ506" s="51"/>
      <c r="EA506" s="51"/>
      <c r="EB506" s="417"/>
    </row>
    <row r="507" spans="1:132" s="7" customFormat="1">
      <c r="A507" s="50" t="s">
        <v>568</v>
      </c>
      <c r="B507" s="428"/>
      <c r="C507" s="428"/>
      <c r="D507" s="428"/>
      <c r="E507" s="428"/>
      <c r="F507" s="428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  <c r="CC507" s="51"/>
      <c r="CD507" s="51"/>
      <c r="CE507" s="51"/>
      <c r="CF507" s="51"/>
      <c r="CG507" s="51"/>
      <c r="CH507" s="51"/>
      <c r="CI507" s="51"/>
      <c r="CJ507" s="51"/>
      <c r="CK507" s="51"/>
      <c r="CL507" s="51"/>
      <c r="CM507" s="51"/>
      <c r="CN507" s="51"/>
      <c r="CO507" s="51"/>
      <c r="CP507" s="51"/>
      <c r="CQ507" s="51"/>
      <c r="CR507" s="51"/>
      <c r="CS507" s="51"/>
      <c r="CT507" s="51"/>
      <c r="CU507" s="51"/>
      <c r="CV507" s="51"/>
      <c r="CW507" s="51"/>
      <c r="CX507" s="51"/>
      <c r="CY507" s="51"/>
      <c r="CZ507" s="51"/>
      <c r="DA507" s="51"/>
      <c r="DB507" s="51"/>
      <c r="DC507" s="51"/>
      <c r="DD507" s="51"/>
      <c r="DE507" s="51"/>
      <c r="DF507" s="51"/>
      <c r="DG507" s="51"/>
      <c r="DH507" s="51"/>
      <c r="DI507" s="51"/>
      <c r="DJ507" s="51"/>
      <c r="DK507" s="51"/>
      <c r="DL507" s="51"/>
      <c r="DM507" s="51"/>
      <c r="DN507" s="51"/>
      <c r="DO507" s="51"/>
      <c r="DP507" s="51"/>
      <c r="DQ507" s="51"/>
      <c r="DR507" s="51"/>
      <c r="DS507" s="51"/>
      <c r="DT507" s="51"/>
      <c r="DU507" s="51"/>
      <c r="DV507" s="51"/>
      <c r="DW507" s="51"/>
      <c r="DX507" s="51"/>
      <c r="DY507" s="51"/>
      <c r="DZ507" s="51"/>
      <c r="EA507" s="51"/>
      <c r="EB507" s="417"/>
    </row>
    <row r="508" spans="1:132" s="7" customFormat="1">
      <c r="A508" s="52" t="s">
        <v>569</v>
      </c>
      <c r="B508" s="421"/>
      <c r="C508" s="421"/>
      <c r="D508" s="421"/>
      <c r="E508" s="421"/>
      <c r="F508" s="421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54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  <c r="DK508" s="54"/>
      <c r="DL508" s="54"/>
      <c r="DM508" s="54"/>
      <c r="DN508" s="54"/>
      <c r="DO508" s="54"/>
      <c r="DP508" s="54"/>
      <c r="DQ508" s="54"/>
      <c r="DR508" s="54"/>
      <c r="DS508" s="54"/>
      <c r="DT508" s="54"/>
      <c r="DU508" s="54"/>
      <c r="DV508" s="54"/>
      <c r="DW508" s="54"/>
      <c r="DX508" s="54"/>
      <c r="DY508" s="54"/>
      <c r="DZ508" s="54"/>
      <c r="EA508" s="54"/>
      <c r="EB508" s="417"/>
    </row>
    <row r="509" spans="1:132" s="7" customFormat="1">
      <c r="A509" s="55" t="s">
        <v>570</v>
      </c>
      <c r="B509" s="429"/>
      <c r="C509" s="429"/>
      <c r="D509" s="429"/>
      <c r="E509" s="429"/>
      <c r="F509" s="429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  <c r="DG509" s="21"/>
      <c r="DH509" s="21"/>
      <c r="DI509" s="21"/>
      <c r="DJ509" s="21"/>
      <c r="DK509" s="21"/>
      <c r="DL509" s="21"/>
      <c r="DM509" s="21"/>
      <c r="DN509" s="21"/>
      <c r="DO509" s="21"/>
      <c r="DP509" s="21"/>
      <c r="DQ509" s="21"/>
      <c r="DR509" s="21"/>
      <c r="DS509" s="21"/>
      <c r="DT509" s="21"/>
      <c r="DU509" s="21"/>
      <c r="DV509" s="21"/>
      <c r="DW509" s="21"/>
      <c r="DX509" s="21"/>
      <c r="DY509" s="21"/>
      <c r="DZ509" s="21"/>
      <c r="EA509" s="21"/>
      <c r="EB509" s="417"/>
    </row>
    <row r="510" spans="1:132" s="7" customFormat="1">
      <c r="A510" s="50" t="s">
        <v>571</v>
      </c>
      <c r="B510" s="428"/>
      <c r="C510" s="428"/>
      <c r="D510" s="428"/>
      <c r="E510" s="428"/>
      <c r="F510" s="428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  <c r="CC510" s="51"/>
      <c r="CD510" s="51"/>
      <c r="CE510" s="51"/>
      <c r="CF510" s="51"/>
      <c r="CG510" s="51"/>
      <c r="CH510" s="51"/>
      <c r="CI510" s="51"/>
      <c r="CJ510" s="51"/>
      <c r="CK510" s="51"/>
      <c r="CL510" s="51"/>
      <c r="CM510" s="51"/>
      <c r="CN510" s="51"/>
      <c r="CO510" s="51"/>
      <c r="CP510" s="51"/>
      <c r="CQ510" s="51"/>
      <c r="CR510" s="51"/>
      <c r="CS510" s="51"/>
      <c r="CT510" s="51"/>
      <c r="CU510" s="51"/>
      <c r="CV510" s="51"/>
      <c r="CW510" s="51"/>
      <c r="CX510" s="51"/>
      <c r="CY510" s="51"/>
      <c r="CZ510" s="51"/>
      <c r="DA510" s="51"/>
      <c r="DB510" s="51"/>
      <c r="DC510" s="51"/>
      <c r="DD510" s="51"/>
      <c r="DE510" s="51"/>
      <c r="DF510" s="51"/>
      <c r="DG510" s="51"/>
      <c r="DH510" s="51"/>
      <c r="DI510" s="51"/>
      <c r="DJ510" s="51"/>
      <c r="DK510" s="51"/>
      <c r="DL510" s="51"/>
      <c r="DM510" s="51"/>
      <c r="DN510" s="51"/>
      <c r="DO510" s="51"/>
      <c r="DP510" s="51"/>
      <c r="DQ510" s="51"/>
      <c r="DR510" s="51"/>
      <c r="DS510" s="51"/>
      <c r="DT510" s="51"/>
      <c r="DU510" s="51"/>
      <c r="DV510" s="51"/>
      <c r="DW510" s="51"/>
      <c r="DX510" s="51"/>
      <c r="DY510" s="51"/>
      <c r="DZ510" s="51"/>
      <c r="EA510" s="51"/>
      <c r="EB510" s="417"/>
    </row>
    <row r="511" spans="1:132" s="7" customFormat="1">
      <c r="A511" s="50" t="s">
        <v>572</v>
      </c>
      <c r="B511" s="428"/>
      <c r="C511" s="428"/>
      <c r="D511" s="428"/>
      <c r="E511" s="428"/>
      <c r="F511" s="428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  <c r="CC511" s="51"/>
      <c r="CD511" s="51"/>
      <c r="CE511" s="51"/>
      <c r="CF511" s="51"/>
      <c r="CG511" s="51"/>
      <c r="CH511" s="51"/>
      <c r="CI511" s="51"/>
      <c r="CJ511" s="51"/>
      <c r="CK511" s="51"/>
      <c r="CL511" s="51"/>
      <c r="CM511" s="51"/>
      <c r="CN511" s="51"/>
      <c r="CO511" s="51"/>
      <c r="CP511" s="51"/>
      <c r="CQ511" s="51"/>
      <c r="CR511" s="51"/>
      <c r="CS511" s="51"/>
      <c r="CT511" s="51"/>
      <c r="CU511" s="51"/>
      <c r="CV511" s="51"/>
      <c r="CW511" s="51"/>
      <c r="CX511" s="51"/>
      <c r="CY511" s="51"/>
      <c r="CZ511" s="51"/>
      <c r="DA511" s="51"/>
      <c r="DB511" s="51"/>
      <c r="DC511" s="51"/>
      <c r="DD511" s="51"/>
      <c r="DE511" s="51"/>
      <c r="DF511" s="51"/>
      <c r="DG511" s="51"/>
      <c r="DH511" s="51"/>
      <c r="DI511" s="51"/>
      <c r="DJ511" s="51"/>
      <c r="DK511" s="51"/>
      <c r="DL511" s="51"/>
      <c r="DM511" s="51"/>
      <c r="DN511" s="51"/>
      <c r="DO511" s="51"/>
      <c r="DP511" s="51"/>
      <c r="DQ511" s="51"/>
      <c r="DR511" s="51"/>
      <c r="DS511" s="51"/>
      <c r="DT511" s="51"/>
      <c r="DU511" s="51"/>
      <c r="DV511" s="51"/>
      <c r="DW511" s="51"/>
      <c r="DX511" s="51"/>
      <c r="DY511" s="51"/>
      <c r="DZ511" s="51"/>
      <c r="EA511" s="51"/>
      <c r="EB511" s="417"/>
    </row>
    <row r="512" spans="1:132" s="7" customFormat="1">
      <c r="A512" s="50" t="s">
        <v>573</v>
      </c>
      <c r="B512" s="428"/>
      <c r="C512" s="428"/>
      <c r="D512" s="428"/>
      <c r="E512" s="428"/>
      <c r="F512" s="428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  <c r="CE512" s="51"/>
      <c r="CF512" s="51"/>
      <c r="CG512" s="51"/>
      <c r="CH512" s="51"/>
      <c r="CI512" s="51"/>
      <c r="CJ512" s="51"/>
      <c r="CK512" s="51"/>
      <c r="CL512" s="51"/>
      <c r="CM512" s="51"/>
      <c r="CN512" s="51"/>
      <c r="CO512" s="51"/>
      <c r="CP512" s="51"/>
      <c r="CQ512" s="51"/>
      <c r="CR512" s="51"/>
      <c r="CS512" s="51"/>
      <c r="CT512" s="51"/>
      <c r="CU512" s="51"/>
      <c r="CV512" s="51"/>
      <c r="CW512" s="51"/>
      <c r="CX512" s="51"/>
      <c r="CY512" s="51"/>
      <c r="CZ512" s="51"/>
      <c r="DA512" s="51"/>
      <c r="DB512" s="51"/>
      <c r="DC512" s="51"/>
      <c r="DD512" s="51"/>
      <c r="DE512" s="51"/>
      <c r="DF512" s="51"/>
      <c r="DG512" s="51"/>
      <c r="DH512" s="51"/>
      <c r="DI512" s="51"/>
      <c r="DJ512" s="51"/>
      <c r="DK512" s="51"/>
      <c r="DL512" s="51"/>
      <c r="DM512" s="51"/>
      <c r="DN512" s="51"/>
      <c r="DO512" s="51"/>
      <c r="DP512" s="51"/>
      <c r="DQ512" s="51"/>
      <c r="DR512" s="51"/>
      <c r="DS512" s="51"/>
      <c r="DT512" s="51"/>
      <c r="DU512" s="51"/>
      <c r="DV512" s="51"/>
      <c r="DW512" s="51"/>
      <c r="DX512" s="51"/>
      <c r="DY512" s="51"/>
      <c r="DZ512" s="51"/>
      <c r="EA512" s="51"/>
      <c r="EB512" s="417"/>
    </row>
    <row r="513" spans="1:132" s="7" customFormat="1">
      <c r="A513" s="50" t="s">
        <v>574</v>
      </c>
      <c r="B513" s="428"/>
      <c r="C513" s="428"/>
      <c r="D513" s="428"/>
      <c r="E513" s="428"/>
      <c r="F513" s="428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1"/>
      <c r="CA513" s="51"/>
      <c r="CB513" s="51"/>
      <c r="CC513" s="51"/>
      <c r="CD513" s="51"/>
      <c r="CE513" s="51"/>
      <c r="CF513" s="51"/>
      <c r="CG513" s="51"/>
      <c r="CH513" s="51"/>
      <c r="CI513" s="51"/>
      <c r="CJ513" s="51"/>
      <c r="CK513" s="51"/>
      <c r="CL513" s="51"/>
      <c r="CM513" s="51"/>
      <c r="CN513" s="51"/>
      <c r="CO513" s="51"/>
      <c r="CP513" s="51"/>
      <c r="CQ513" s="51"/>
      <c r="CR513" s="51"/>
      <c r="CS513" s="51"/>
      <c r="CT513" s="51"/>
      <c r="CU513" s="51"/>
      <c r="CV513" s="51"/>
      <c r="CW513" s="51"/>
      <c r="CX513" s="51"/>
      <c r="CY513" s="51"/>
      <c r="CZ513" s="51"/>
      <c r="DA513" s="51"/>
      <c r="DB513" s="51"/>
      <c r="DC513" s="51"/>
      <c r="DD513" s="51"/>
      <c r="DE513" s="51"/>
      <c r="DF513" s="51"/>
      <c r="DG513" s="51"/>
      <c r="DH513" s="51"/>
      <c r="DI513" s="51"/>
      <c r="DJ513" s="51"/>
      <c r="DK513" s="51"/>
      <c r="DL513" s="51"/>
      <c r="DM513" s="51"/>
      <c r="DN513" s="51"/>
      <c r="DO513" s="51"/>
      <c r="DP513" s="51"/>
      <c r="DQ513" s="51"/>
      <c r="DR513" s="51"/>
      <c r="DS513" s="51"/>
      <c r="DT513" s="51"/>
      <c r="DU513" s="51"/>
      <c r="DV513" s="51"/>
      <c r="DW513" s="51"/>
      <c r="DX513" s="51"/>
      <c r="DY513" s="51"/>
      <c r="DZ513" s="51"/>
      <c r="EA513" s="51"/>
      <c r="EB513" s="417"/>
    </row>
    <row r="514" spans="1:132" s="7" customFormat="1">
      <c r="A514" s="52" t="s">
        <v>575</v>
      </c>
      <c r="B514" s="421"/>
      <c r="C514" s="421"/>
      <c r="D514" s="421"/>
      <c r="E514" s="421"/>
      <c r="F514" s="421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  <c r="BI514" s="54"/>
      <c r="BJ514" s="54"/>
      <c r="BK514" s="54"/>
      <c r="BL514" s="54"/>
      <c r="BM514" s="54"/>
      <c r="BN514" s="54"/>
      <c r="BO514" s="54"/>
      <c r="BP514" s="54"/>
      <c r="BQ514" s="54"/>
      <c r="BR514" s="54"/>
      <c r="BS514" s="54"/>
      <c r="BT514" s="54"/>
      <c r="BU514" s="54"/>
      <c r="BV514" s="54"/>
      <c r="BW514" s="54"/>
      <c r="BX514" s="54"/>
      <c r="BY514" s="54"/>
      <c r="BZ514" s="54"/>
      <c r="CA514" s="54"/>
      <c r="CB514" s="54"/>
      <c r="CC514" s="54"/>
      <c r="CD514" s="54"/>
      <c r="CE514" s="54"/>
      <c r="CF514" s="54"/>
      <c r="CG514" s="54"/>
      <c r="CH514" s="54"/>
      <c r="CI514" s="54"/>
      <c r="CJ514" s="54"/>
      <c r="CK514" s="54"/>
      <c r="CL514" s="54"/>
      <c r="CM514" s="54"/>
      <c r="CN514" s="54"/>
      <c r="CO514" s="54"/>
      <c r="CP514" s="54"/>
      <c r="CQ514" s="54"/>
      <c r="CR514" s="54"/>
      <c r="CS514" s="54"/>
      <c r="CT514" s="54"/>
      <c r="CU514" s="54"/>
      <c r="CV514" s="54"/>
      <c r="CW514" s="54"/>
      <c r="CX514" s="54"/>
      <c r="CY514" s="54"/>
      <c r="CZ514" s="54"/>
      <c r="DA514" s="54"/>
      <c r="DB514" s="54"/>
      <c r="DC514" s="54"/>
      <c r="DD514" s="54"/>
      <c r="DE514" s="54"/>
      <c r="DF514" s="54"/>
      <c r="DG514" s="54"/>
      <c r="DH514" s="54"/>
      <c r="DI514" s="54"/>
      <c r="DJ514" s="54"/>
      <c r="DK514" s="54"/>
      <c r="DL514" s="54"/>
      <c r="DM514" s="54"/>
      <c r="DN514" s="54"/>
      <c r="DO514" s="54"/>
      <c r="DP514" s="54"/>
      <c r="DQ514" s="54"/>
      <c r="DR514" s="54"/>
      <c r="DS514" s="54"/>
      <c r="DT514" s="54"/>
      <c r="DU514" s="54"/>
      <c r="DV514" s="54"/>
      <c r="DW514" s="54"/>
      <c r="DX514" s="54"/>
      <c r="DY514" s="54"/>
      <c r="DZ514" s="54"/>
      <c r="EA514" s="54"/>
      <c r="EB514" s="417"/>
    </row>
    <row r="515" spans="1:132" s="7" customFormat="1">
      <c r="A515" s="55" t="s">
        <v>576</v>
      </c>
      <c r="B515" s="429"/>
      <c r="C515" s="429"/>
      <c r="D515" s="429"/>
      <c r="E515" s="429"/>
      <c r="F515" s="429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  <c r="DG515" s="21"/>
      <c r="DH515" s="21"/>
      <c r="DI515" s="21"/>
      <c r="DJ515" s="21"/>
      <c r="DK515" s="21"/>
      <c r="DL515" s="21"/>
      <c r="DM515" s="21"/>
      <c r="DN515" s="21"/>
      <c r="DO515" s="21"/>
      <c r="DP515" s="21"/>
      <c r="DQ515" s="21"/>
      <c r="DR515" s="21"/>
      <c r="DS515" s="21"/>
      <c r="DT515" s="21"/>
      <c r="DU515" s="21"/>
      <c r="DV515" s="21"/>
      <c r="DW515" s="21"/>
      <c r="DX515" s="21"/>
      <c r="DY515" s="21"/>
      <c r="DZ515" s="21"/>
      <c r="EA515" s="21"/>
      <c r="EB515" s="417"/>
    </row>
    <row r="516" spans="1:132" s="7" customFormat="1">
      <c r="A516" s="50" t="s">
        <v>577</v>
      </c>
      <c r="B516" s="428"/>
      <c r="C516" s="428"/>
      <c r="D516" s="428"/>
      <c r="E516" s="428"/>
      <c r="F516" s="428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  <c r="CC516" s="51"/>
      <c r="CD516" s="51"/>
      <c r="CE516" s="51"/>
      <c r="CF516" s="51"/>
      <c r="CG516" s="51"/>
      <c r="CH516" s="51"/>
      <c r="CI516" s="51"/>
      <c r="CJ516" s="51"/>
      <c r="CK516" s="51"/>
      <c r="CL516" s="51"/>
      <c r="CM516" s="51"/>
      <c r="CN516" s="51"/>
      <c r="CO516" s="51"/>
      <c r="CP516" s="51"/>
      <c r="CQ516" s="51"/>
      <c r="CR516" s="51"/>
      <c r="CS516" s="51"/>
      <c r="CT516" s="51"/>
      <c r="CU516" s="51"/>
      <c r="CV516" s="51"/>
      <c r="CW516" s="51"/>
      <c r="CX516" s="51"/>
      <c r="CY516" s="51"/>
      <c r="CZ516" s="51"/>
      <c r="DA516" s="51"/>
      <c r="DB516" s="51"/>
      <c r="DC516" s="51"/>
      <c r="DD516" s="51"/>
      <c r="DE516" s="51"/>
      <c r="DF516" s="51"/>
      <c r="DG516" s="51"/>
      <c r="DH516" s="51"/>
      <c r="DI516" s="51"/>
      <c r="DJ516" s="51"/>
      <c r="DK516" s="51"/>
      <c r="DL516" s="51"/>
      <c r="DM516" s="51"/>
      <c r="DN516" s="51"/>
      <c r="DO516" s="51"/>
      <c r="DP516" s="51"/>
      <c r="DQ516" s="51"/>
      <c r="DR516" s="51"/>
      <c r="DS516" s="51"/>
      <c r="DT516" s="51"/>
      <c r="DU516" s="51"/>
      <c r="DV516" s="51"/>
      <c r="DW516" s="51"/>
      <c r="DX516" s="51"/>
      <c r="DY516" s="51"/>
      <c r="DZ516" s="51"/>
      <c r="EA516" s="51"/>
      <c r="EB516" s="417"/>
    </row>
    <row r="517" spans="1:132" s="7" customFormat="1">
      <c r="A517" s="50" t="s">
        <v>578</v>
      </c>
      <c r="B517" s="428"/>
      <c r="C517" s="428"/>
      <c r="D517" s="428"/>
      <c r="E517" s="428"/>
      <c r="F517" s="428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  <c r="CC517" s="51"/>
      <c r="CD517" s="51"/>
      <c r="CE517" s="51"/>
      <c r="CF517" s="51"/>
      <c r="CG517" s="51"/>
      <c r="CH517" s="51"/>
      <c r="CI517" s="51"/>
      <c r="CJ517" s="51"/>
      <c r="CK517" s="51"/>
      <c r="CL517" s="51"/>
      <c r="CM517" s="51"/>
      <c r="CN517" s="51"/>
      <c r="CO517" s="51"/>
      <c r="CP517" s="51"/>
      <c r="CQ517" s="51"/>
      <c r="CR517" s="51"/>
      <c r="CS517" s="51"/>
      <c r="CT517" s="51"/>
      <c r="CU517" s="51"/>
      <c r="CV517" s="51"/>
      <c r="CW517" s="51"/>
      <c r="CX517" s="51"/>
      <c r="CY517" s="51"/>
      <c r="CZ517" s="51"/>
      <c r="DA517" s="51"/>
      <c r="DB517" s="51"/>
      <c r="DC517" s="51"/>
      <c r="DD517" s="51"/>
      <c r="DE517" s="51"/>
      <c r="DF517" s="51"/>
      <c r="DG517" s="51"/>
      <c r="DH517" s="51"/>
      <c r="DI517" s="51"/>
      <c r="DJ517" s="51"/>
      <c r="DK517" s="51"/>
      <c r="DL517" s="51"/>
      <c r="DM517" s="51"/>
      <c r="DN517" s="51"/>
      <c r="DO517" s="51"/>
      <c r="DP517" s="51"/>
      <c r="DQ517" s="51"/>
      <c r="DR517" s="51"/>
      <c r="DS517" s="51"/>
      <c r="DT517" s="51"/>
      <c r="DU517" s="51"/>
      <c r="DV517" s="51"/>
      <c r="DW517" s="51"/>
      <c r="DX517" s="51"/>
      <c r="DY517" s="51"/>
      <c r="DZ517" s="51"/>
      <c r="EA517" s="51"/>
      <c r="EB517" s="417"/>
    </row>
    <row r="518" spans="1:132" s="7" customFormat="1">
      <c r="A518" s="50" t="s">
        <v>579</v>
      </c>
      <c r="B518" s="428"/>
      <c r="C518" s="428"/>
      <c r="D518" s="428"/>
      <c r="E518" s="428"/>
      <c r="F518" s="428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1"/>
      <c r="CA518" s="51"/>
      <c r="CB518" s="51"/>
      <c r="CC518" s="51"/>
      <c r="CD518" s="51"/>
      <c r="CE518" s="51"/>
      <c r="CF518" s="51"/>
      <c r="CG518" s="51"/>
      <c r="CH518" s="51"/>
      <c r="CI518" s="51"/>
      <c r="CJ518" s="51"/>
      <c r="CK518" s="51"/>
      <c r="CL518" s="51"/>
      <c r="CM518" s="51"/>
      <c r="CN518" s="51"/>
      <c r="CO518" s="51"/>
      <c r="CP518" s="51"/>
      <c r="CQ518" s="51"/>
      <c r="CR518" s="51"/>
      <c r="CS518" s="51"/>
      <c r="CT518" s="51"/>
      <c r="CU518" s="51"/>
      <c r="CV518" s="51"/>
      <c r="CW518" s="51"/>
      <c r="CX518" s="51"/>
      <c r="CY518" s="51"/>
      <c r="CZ518" s="51"/>
      <c r="DA518" s="51"/>
      <c r="DB518" s="51"/>
      <c r="DC518" s="51"/>
      <c r="DD518" s="51"/>
      <c r="DE518" s="51"/>
      <c r="DF518" s="51"/>
      <c r="DG518" s="51"/>
      <c r="DH518" s="51"/>
      <c r="DI518" s="51"/>
      <c r="DJ518" s="51"/>
      <c r="DK518" s="51"/>
      <c r="DL518" s="51"/>
      <c r="DM518" s="51"/>
      <c r="DN518" s="51"/>
      <c r="DO518" s="51"/>
      <c r="DP518" s="51"/>
      <c r="DQ518" s="51"/>
      <c r="DR518" s="51"/>
      <c r="DS518" s="51"/>
      <c r="DT518" s="51"/>
      <c r="DU518" s="51"/>
      <c r="DV518" s="51"/>
      <c r="DW518" s="51"/>
      <c r="DX518" s="51"/>
      <c r="DY518" s="51"/>
      <c r="DZ518" s="51"/>
      <c r="EA518" s="51"/>
      <c r="EB518" s="417"/>
    </row>
    <row r="519" spans="1:132" s="7" customFormat="1">
      <c r="A519" s="50" t="s">
        <v>580</v>
      </c>
      <c r="B519" s="428"/>
      <c r="C519" s="428"/>
      <c r="D519" s="428"/>
      <c r="E519" s="428"/>
      <c r="F519" s="428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51"/>
      <c r="BX519" s="51"/>
      <c r="BY519" s="51"/>
      <c r="BZ519" s="51"/>
      <c r="CA519" s="51"/>
      <c r="CB519" s="51"/>
      <c r="CC519" s="51"/>
      <c r="CD519" s="51"/>
      <c r="CE519" s="51"/>
      <c r="CF519" s="51"/>
      <c r="CG519" s="51"/>
      <c r="CH519" s="51"/>
      <c r="CI519" s="51"/>
      <c r="CJ519" s="51"/>
      <c r="CK519" s="51"/>
      <c r="CL519" s="51"/>
      <c r="CM519" s="51"/>
      <c r="CN519" s="51"/>
      <c r="CO519" s="51"/>
      <c r="CP519" s="51"/>
      <c r="CQ519" s="51"/>
      <c r="CR519" s="51"/>
      <c r="CS519" s="51"/>
      <c r="CT519" s="51"/>
      <c r="CU519" s="51"/>
      <c r="CV519" s="51"/>
      <c r="CW519" s="51"/>
      <c r="CX519" s="51"/>
      <c r="CY519" s="51"/>
      <c r="CZ519" s="51"/>
      <c r="DA519" s="51"/>
      <c r="DB519" s="51"/>
      <c r="DC519" s="51"/>
      <c r="DD519" s="51"/>
      <c r="DE519" s="51"/>
      <c r="DF519" s="51"/>
      <c r="DG519" s="51"/>
      <c r="DH519" s="51"/>
      <c r="DI519" s="51"/>
      <c r="DJ519" s="51"/>
      <c r="DK519" s="51"/>
      <c r="DL519" s="51"/>
      <c r="DM519" s="51"/>
      <c r="DN519" s="51"/>
      <c r="DO519" s="51"/>
      <c r="DP519" s="51"/>
      <c r="DQ519" s="51"/>
      <c r="DR519" s="51"/>
      <c r="DS519" s="51"/>
      <c r="DT519" s="51"/>
      <c r="DU519" s="51"/>
      <c r="DV519" s="51"/>
      <c r="DW519" s="51"/>
      <c r="DX519" s="51"/>
      <c r="DY519" s="51"/>
      <c r="DZ519" s="51"/>
      <c r="EA519" s="51"/>
      <c r="EB519" s="417"/>
    </row>
    <row r="520" spans="1:132" s="7" customFormat="1">
      <c r="A520" s="52" t="s">
        <v>581</v>
      </c>
      <c r="B520" s="421"/>
      <c r="C520" s="421"/>
      <c r="D520" s="421"/>
      <c r="E520" s="421"/>
      <c r="F520" s="421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  <c r="BI520" s="54"/>
      <c r="BJ520" s="54"/>
      <c r="BK520" s="54"/>
      <c r="BL520" s="54"/>
      <c r="BM520" s="54"/>
      <c r="BN520" s="54"/>
      <c r="BO520" s="54"/>
      <c r="BP520" s="54"/>
      <c r="BQ520" s="54"/>
      <c r="BR520" s="54"/>
      <c r="BS520" s="54"/>
      <c r="BT520" s="54"/>
      <c r="BU520" s="54"/>
      <c r="BV520" s="54"/>
      <c r="BW520" s="54"/>
      <c r="BX520" s="54"/>
      <c r="BY520" s="54"/>
      <c r="BZ520" s="54"/>
      <c r="CA520" s="54"/>
      <c r="CB520" s="54"/>
      <c r="CC520" s="54"/>
      <c r="CD520" s="54"/>
      <c r="CE520" s="54"/>
      <c r="CF520" s="54"/>
      <c r="CG520" s="54"/>
      <c r="CH520" s="54"/>
      <c r="CI520" s="54"/>
      <c r="CJ520" s="54"/>
      <c r="CK520" s="54"/>
      <c r="CL520" s="54"/>
      <c r="CM520" s="54"/>
      <c r="CN520" s="54"/>
      <c r="CO520" s="54"/>
      <c r="CP520" s="54"/>
      <c r="CQ520" s="54"/>
      <c r="CR520" s="54"/>
      <c r="CS520" s="54"/>
      <c r="CT520" s="54"/>
      <c r="CU520" s="54"/>
      <c r="CV520" s="54"/>
      <c r="CW520" s="54"/>
      <c r="CX520" s="54"/>
      <c r="CY520" s="54"/>
      <c r="CZ520" s="54"/>
      <c r="DA520" s="54"/>
      <c r="DB520" s="54"/>
      <c r="DC520" s="54"/>
      <c r="DD520" s="54"/>
      <c r="DE520" s="54"/>
      <c r="DF520" s="54"/>
      <c r="DG520" s="54"/>
      <c r="DH520" s="54"/>
      <c r="DI520" s="54"/>
      <c r="DJ520" s="54"/>
      <c r="DK520" s="54"/>
      <c r="DL520" s="54"/>
      <c r="DM520" s="54"/>
      <c r="DN520" s="54"/>
      <c r="DO520" s="54"/>
      <c r="DP520" s="54"/>
      <c r="DQ520" s="54"/>
      <c r="DR520" s="54"/>
      <c r="DS520" s="54"/>
      <c r="DT520" s="54"/>
      <c r="DU520" s="54"/>
      <c r="DV520" s="54"/>
      <c r="DW520" s="54"/>
      <c r="DX520" s="54"/>
      <c r="DY520" s="54"/>
      <c r="DZ520" s="54"/>
      <c r="EA520" s="54"/>
      <c r="EB520" s="417"/>
    </row>
    <row r="521" spans="1:132" s="7" customFormat="1">
      <c r="A521" s="55" t="s">
        <v>582</v>
      </c>
      <c r="B521" s="429"/>
      <c r="C521" s="429"/>
      <c r="D521" s="429"/>
      <c r="E521" s="429"/>
      <c r="F521" s="429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  <c r="DG521" s="21"/>
      <c r="DH521" s="21"/>
      <c r="DI521" s="21"/>
      <c r="DJ521" s="21"/>
      <c r="DK521" s="21"/>
      <c r="DL521" s="21"/>
      <c r="DM521" s="21"/>
      <c r="DN521" s="21"/>
      <c r="DO521" s="21"/>
      <c r="DP521" s="21"/>
      <c r="DQ521" s="21"/>
      <c r="DR521" s="21"/>
      <c r="DS521" s="21"/>
      <c r="DT521" s="21"/>
      <c r="DU521" s="21"/>
      <c r="DV521" s="21"/>
      <c r="DW521" s="21"/>
      <c r="DX521" s="21"/>
      <c r="DY521" s="21"/>
      <c r="DZ521" s="21"/>
      <c r="EA521" s="21"/>
      <c r="EB521" s="417"/>
    </row>
    <row r="522" spans="1:132" s="7" customFormat="1">
      <c r="A522" s="50" t="s">
        <v>583</v>
      </c>
      <c r="B522" s="428"/>
      <c r="C522" s="428"/>
      <c r="D522" s="428"/>
      <c r="E522" s="428"/>
      <c r="F522" s="428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1"/>
      <c r="CA522" s="51"/>
      <c r="CB522" s="51"/>
      <c r="CC522" s="51"/>
      <c r="CD522" s="51"/>
      <c r="CE522" s="51"/>
      <c r="CF522" s="51"/>
      <c r="CG522" s="51"/>
      <c r="CH522" s="51"/>
      <c r="CI522" s="51"/>
      <c r="CJ522" s="51"/>
      <c r="CK522" s="51"/>
      <c r="CL522" s="51"/>
      <c r="CM522" s="51"/>
      <c r="CN522" s="51"/>
      <c r="CO522" s="51"/>
      <c r="CP522" s="51"/>
      <c r="CQ522" s="51"/>
      <c r="CR522" s="51"/>
      <c r="CS522" s="51"/>
      <c r="CT522" s="51"/>
      <c r="CU522" s="51"/>
      <c r="CV522" s="51"/>
      <c r="CW522" s="51"/>
      <c r="CX522" s="51"/>
      <c r="CY522" s="51"/>
      <c r="CZ522" s="51"/>
      <c r="DA522" s="51"/>
      <c r="DB522" s="51"/>
      <c r="DC522" s="51"/>
      <c r="DD522" s="51"/>
      <c r="DE522" s="51"/>
      <c r="DF522" s="51"/>
      <c r="DG522" s="51"/>
      <c r="DH522" s="51"/>
      <c r="DI522" s="51"/>
      <c r="DJ522" s="51"/>
      <c r="DK522" s="51"/>
      <c r="DL522" s="51"/>
      <c r="DM522" s="51"/>
      <c r="DN522" s="51"/>
      <c r="DO522" s="51"/>
      <c r="DP522" s="51"/>
      <c r="DQ522" s="51"/>
      <c r="DR522" s="51"/>
      <c r="DS522" s="51"/>
      <c r="DT522" s="51"/>
      <c r="DU522" s="51"/>
      <c r="DV522" s="51"/>
      <c r="DW522" s="51"/>
      <c r="DX522" s="51"/>
      <c r="DY522" s="51"/>
      <c r="DZ522" s="51"/>
      <c r="EA522" s="51"/>
      <c r="EB522" s="417"/>
    </row>
    <row r="523" spans="1:132" s="7" customFormat="1">
      <c r="A523" s="50" t="s">
        <v>584</v>
      </c>
      <c r="B523" s="428"/>
      <c r="C523" s="428"/>
      <c r="D523" s="428"/>
      <c r="E523" s="428"/>
      <c r="F523" s="428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  <c r="CC523" s="51"/>
      <c r="CD523" s="51"/>
      <c r="CE523" s="51"/>
      <c r="CF523" s="51"/>
      <c r="CG523" s="51"/>
      <c r="CH523" s="51"/>
      <c r="CI523" s="51"/>
      <c r="CJ523" s="51"/>
      <c r="CK523" s="51"/>
      <c r="CL523" s="51"/>
      <c r="CM523" s="51"/>
      <c r="CN523" s="51"/>
      <c r="CO523" s="51"/>
      <c r="CP523" s="51"/>
      <c r="CQ523" s="51"/>
      <c r="CR523" s="51"/>
      <c r="CS523" s="51"/>
      <c r="CT523" s="51"/>
      <c r="CU523" s="51"/>
      <c r="CV523" s="51"/>
      <c r="CW523" s="51"/>
      <c r="CX523" s="51"/>
      <c r="CY523" s="51"/>
      <c r="CZ523" s="51"/>
      <c r="DA523" s="51"/>
      <c r="DB523" s="51"/>
      <c r="DC523" s="51"/>
      <c r="DD523" s="51"/>
      <c r="DE523" s="51"/>
      <c r="DF523" s="51"/>
      <c r="DG523" s="51"/>
      <c r="DH523" s="51"/>
      <c r="DI523" s="51"/>
      <c r="DJ523" s="51"/>
      <c r="DK523" s="51"/>
      <c r="DL523" s="51"/>
      <c r="DM523" s="51"/>
      <c r="DN523" s="51"/>
      <c r="DO523" s="51"/>
      <c r="DP523" s="51"/>
      <c r="DQ523" s="51"/>
      <c r="DR523" s="51"/>
      <c r="DS523" s="51"/>
      <c r="DT523" s="51"/>
      <c r="DU523" s="51"/>
      <c r="DV523" s="51"/>
      <c r="DW523" s="51"/>
      <c r="DX523" s="51"/>
      <c r="DY523" s="51"/>
      <c r="DZ523" s="51"/>
      <c r="EA523" s="51"/>
      <c r="EB523" s="417"/>
    </row>
    <row r="524" spans="1:132" s="7" customFormat="1">
      <c r="A524" s="50" t="s">
        <v>585</v>
      </c>
      <c r="B524" s="428"/>
      <c r="C524" s="428"/>
      <c r="D524" s="428"/>
      <c r="E524" s="428"/>
      <c r="F524" s="428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1"/>
      <c r="CA524" s="51"/>
      <c r="CB524" s="51"/>
      <c r="CC524" s="51"/>
      <c r="CD524" s="51"/>
      <c r="CE524" s="51"/>
      <c r="CF524" s="51"/>
      <c r="CG524" s="51"/>
      <c r="CH524" s="51"/>
      <c r="CI524" s="51"/>
      <c r="CJ524" s="51"/>
      <c r="CK524" s="51"/>
      <c r="CL524" s="51"/>
      <c r="CM524" s="51"/>
      <c r="CN524" s="51"/>
      <c r="CO524" s="51"/>
      <c r="CP524" s="51"/>
      <c r="CQ524" s="51"/>
      <c r="CR524" s="51"/>
      <c r="CS524" s="51"/>
      <c r="CT524" s="51"/>
      <c r="CU524" s="51"/>
      <c r="CV524" s="51"/>
      <c r="CW524" s="51"/>
      <c r="CX524" s="51"/>
      <c r="CY524" s="51"/>
      <c r="CZ524" s="51"/>
      <c r="DA524" s="51"/>
      <c r="DB524" s="51"/>
      <c r="DC524" s="51"/>
      <c r="DD524" s="51"/>
      <c r="DE524" s="51"/>
      <c r="DF524" s="51"/>
      <c r="DG524" s="51"/>
      <c r="DH524" s="51"/>
      <c r="DI524" s="51"/>
      <c r="DJ524" s="51"/>
      <c r="DK524" s="51"/>
      <c r="DL524" s="51"/>
      <c r="DM524" s="51"/>
      <c r="DN524" s="51"/>
      <c r="DO524" s="51"/>
      <c r="DP524" s="51"/>
      <c r="DQ524" s="51"/>
      <c r="DR524" s="51"/>
      <c r="DS524" s="51"/>
      <c r="DT524" s="51"/>
      <c r="DU524" s="51"/>
      <c r="DV524" s="51"/>
      <c r="DW524" s="51"/>
      <c r="DX524" s="51"/>
      <c r="DY524" s="51"/>
      <c r="DZ524" s="51"/>
      <c r="EA524" s="51"/>
      <c r="EB524" s="417"/>
    </row>
    <row r="525" spans="1:132" s="7" customFormat="1">
      <c r="A525" s="50" t="s">
        <v>586</v>
      </c>
      <c r="B525" s="428"/>
      <c r="C525" s="428"/>
      <c r="D525" s="428"/>
      <c r="E525" s="428"/>
      <c r="F525" s="428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  <c r="CC525" s="51"/>
      <c r="CD525" s="51"/>
      <c r="CE525" s="51"/>
      <c r="CF525" s="51"/>
      <c r="CG525" s="51"/>
      <c r="CH525" s="51"/>
      <c r="CI525" s="51"/>
      <c r="CJ525" s="51"/>
      <c r="CK525" s="51"/>
      <c r="CL525" s="51"/>
      <c r="CM525" s="51"/>
      <c r="CN525" s="51"/>
      <c r="CO525" s="51"/>
      <c r="CP525" s="51"/>
      <c r="CQ525" s="51"/>
      <c r="CR525" s="51"/>
      <c r="CS525" s="51"/>
      <c r="CT525" s="51"/>
      <c r="CU525" s="51"/>
      <c r="CV525" s="51"/>
      <c r="CW525" s="51"/>
      <c r="CX525" s="51"/>
      <c r="CY525" s="51"/>
      <c r="CZ525" s="51"/>
      <c r="DA525" s="51"/>
      <c r="DB525" s="51"/>
      <c r="DC525" s="51"/>
      <c r="DD525" s="51"/>
      <c r="DE525" s="51"/>
      <c r="DF525" s="51"/>
      <c r="DG525" s="51"/>
      <c r="DH525" s="51"/>
      <c r="DI525" s="51"/>
      <c r="DJ525" s="51"/>
      <c r="DK525" s="51"/>
      <c r="DL525" s="51"/>
      <c r="DM525" s="51"/>
      <c r="DN525" s="51"/>
      <c r="DO525" s="51"/>
      <c r="DP525" s="51"/>
      <c r="DQ525" s="51"/>
      <c r="DR525" s="51"/>
      <c r="DS525" s="51"/>
      <c r="DT525" s="51"/>
      <c r="DU525" s="51"/>
      <c r="DV525" s="51"/>
      <c r="DW525" s="51"/>
      <c r="DX525" s="51"/>
      <c r="DY525" s="51"/>
      <c r="DZ525" s="51"/>
      <c r="EA525" s="51"/>
      <c r="EB525" s="417"/>
    </row>
    <row r="526" spans="1:132" s="7" customFormat="1">
      <c r="A526" s="52" t="s">
        <v>587</v>
      </c>
      <c r="B526" s="421"/>
      <c r="C526" s="421"/>
      <c r="D526" s="421"/>
      <c r="E526" s="421"/>
      <c r="F526" s="421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  <c r="BI526" s="54"/>
      <c r="BJ526" s="54"/>
      <c r="BK526" s="54"/>
      <c r="BL526" s="54"/>
      <c r="BM526" s="54"/>
      <c r="BN526" s="54"/>
      <c r="BO526" s="54"/>
      <c r="BP526" s="54"/>
      <c r="BQ526" s="54"/>
      <c r="BR526" s="54"/>
      <c r="BS526" s="54"/>
      <c r="BT526" s="54"/>
      <c r="BU526" s="54"/>
      <c r="BV526" s="54"/>
      <c r="BW526" s="54"/>
      <c r="BX526" s="54"/>
      <c r="BY526" s="54"/>
      <c r="BZ526" s="54"/>
      <c r="CA526" s="54"/>
      <c r="CB526" s="54"/>
      <c r="CC526" s="54"/>
      <c r="CD526" s="54"/>
      <c r="CE526" s="54"/>
      <c r="CF526" s="54"/>
      <c r="CG526" s="54"/>
      <c r="CH526" s="54"/>
      <c r="CI526" s="54"/>
      <c r="CJ526" s="54"/>
      <c r="CK526" s="54"/>
      <c r="CL526" s="54"/>
      <c r="CM526" s="54"/>
      <c r="CN526" s="54"/>
      <c r="CO526" s="54"/>
      <c r="CP526" s="54"/>
      <c r="CQ526" s="54"/>
      <c r="CR526" s="54"/>
      <c r="CS526" s="54"/>
      <c r="CT526" s="54"/>
      <c r="CU526" s="54"/>
      <c r="CV526" s="54"/>
      <c r="CW526" s="54"/>
      <c r="CX526" s="54"/>
      <c r="CY526" s="54"/>
      <c r="CZ526" s="54"/>
      <c r="DA526" s="54"/>
      <c r="DB526" s="54"/>
      <c r="DC526" s="54"/>
      <c r="DD526" s="54"/>
      <c r="DE526" s="54"/>
      <c r="DF526" s="54"/>
      <c r="DG526" s="54"/>
      <c r="DH526" s="54"/>
      <c r="DI526" s="54"/>
      <c r="DJ526" s="54"/>
      <c r="DK526" s="54"/>
      <c r="DL526" s="54"/>
      <c r="DM526" s="54"/>
      <c r="DN526" s="54"/>
      <c r="DO526" s="54"/>
      <c r="DP526" s="54"/>
      <c r="DQ526" s="54"/>
      <c r="DR526" s="54"/>
      <c r="DS526" s="54"/>
      <c r="DT526" s="54"/>
      <c r="DU526" s="54"/>
      <c r="DV526" s="54"/>
      <c r="DW526" s="54"/>
      <c r="DX526" s="54"/>
      <c r="DY526" s="54"/>
      <c r="DZ526" s="54"/>
      <c r="EA526" s="54"/>
      <c r="EB526" s="417"/>
    </row>
    <row r="527" spans="1:132" s="7" customFormat="1">
      <c r="A527" s="52" t="s">
        <v>559</v>
      </c>
      <c r="B527" s="422"/>
      <c r="C527" s="422"/>
      <c r="D527" s="422"/>
      <c r="E527" s="422"/>
      <c r="F527" s="422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  <c r="CD527" s="53"/>
      <c r="CE527" s="53"/>
      <c r="CF527" s="53"/>
      <c r="CG527" s="53"/>
      <c r="CH527" s="53"/>
      <c r="CI527" s="53"/>
      <c r="CJ527" s="53"/>
      <c r="CK527" s="53"/>
      <c r="CL527" s="53"/>
      <c r="CM527" s="53"/>
      <c r="CN527" s="53"/>
      <c r="CO527" s="53"/>
      <c r="CP527" s="53"/>
      <c r="CQ527" s="53"/>
      <c r="CR527" s="53"/>
      <c r="CS527" s="53"/>
      <c r="CT527" s="53"/>
      <c r="CU527" s="53"/>
      <c r="CV527" s="53"/>
      <c r="CW527" s="53"/>
      <c r="CX527" s="53"/>
      <c r="CY527" s="53"/>
      <c r="CZ527" s="53"/>
      <c r="DA527" s="53"/>
      <c r="DB527" s="53"/>
      <c r="DC527" s="53"/>
      <c r="DD527" s="53"/>
      <c r="DE527" s="53"/>
      <c r="DF527" s="53"/>
      <c r="DG527" s="53"/>
      <c r="DH527" s="53"/>
      <c r="DI527" s="53"/>
      <c r="DJ527" s="53"/>
      <c r="DK527" s="53"/>
      <c r="DL527" s="53"/>
      <c r="DM527" s="53"/>
      <c r="DN527" s="53"/>
      <c r="DO527" s="53"/>
      <c r="DP527" s="53"/>
      <c r="DQ527" s="53"/>
      <c r="DR527" s="53"/>
      <c r="DS527" s="53"/>
      <c r="DT527" s="53"/>
      <c r="DU527" s="53"/>
      <c r="DV527" s="53"/>
      <c r="DW527" s="53"/>
      <c r="DX527" s="53"/>
      <c r="DY527" s="53"/>
      <c r="DZ527" s="53"/>
      <c r="EA527" s="53"/>
      <c r="EB527" s="417"/>
    </row>
    <row r="528" spans="1:132" s="7" customFormat="1">
      <c r="A528" s="52" t="s">
        <v>17</v>
      </c>
      <c r="B528" s="421"/>
      <c r="C528" s="421"/>
      <c r="D528" s="421"/>
      <c r="E528" s="421"/>
      <c r="F528" s="421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  <c r="BI528" s="54"/>
      <c r="BJ528" s="54"/>
      <c r="BK528" s="54"/>
      <c r="BL528" s="54"/>
      <c r="BM528" s="54"/>
      <c r="BN528" s="54"/>
      <c r="BO528" s="54"/>
      <c r="BP528" s="54"/>
      <c r="BQ528" s="54"/>
      <c r="BR528" s="54"/>
      <c r="BS528" s="54"/>
      <c r="BT528" s="54"/>
      <c r="BU528" s="54"/>
      <c r="BV528" s="54"/>
      <c r="BW528" s="54"/>
      <c r="BX528" s="54"/>
      <c r="BY528" s="54"/>
      <c r="BZ528" s="54"/>
      <c r="CA528" s="54"/>
      <c r="CB528" s="54"/>
      <c r="CC528" s="54"/>
      <c r="CD528" s="54"/>
      <c r="CE528" s="54"/>
      <c r="CF528" s="54"/>
      <c r="CG528" s="54"/>
      <c r="CH528" s="54"/>
      <c r="CI528" s="54"/>
      <c r="CJ528" s="54"/>
      <c r="CK528" s="54"/>
      <c r="CL528" s="54"/>
      <c r="CM528" s="54"/>
      <c r="CN528" s="54"/>
      <c r="CO528" s="54"/>
      <c r="CP528" s="54"/>
      <c r="CQ528" s="54"/>
      <c r="CR528" s="54"/>
      <c r="CS528" s="54"/>
      <c r="CT528" s="54"/>
      <c r="CU528" s="54"/>
      <c r="CV528" s="54"/>
      <c r="CW528" s="54"/>
      <c r="CX528" s="54"/>
      <c r="CY528" s="54"/>
      <c r="CZ528" s="54"/>
      <c r="DA528" s="54"/>
      <c r="DB528" s="54"/>
      <c r="DC528" s="54"/>
      <c r="DD528" s="54"/>
      <c r="DE528" s="54"/>
      <c r="DF528" s="54"/>
      <c r="DG528" s="54"/>
      <c r="DH528" s="54"/>
      <c r="DI528" s="54"/>
      <c r="DJ528" s="54"/>
      <c r="DK528" s="54"/>
      <c r="DL528" s="54"/>
      <c r="DM528" s="54"/>
      <c r="DN528" s="54"/>
      <c r="DO528" s="54"/>
      <c r="DP528" s="54"/>
      <c r="DQ528" s="54"/>
      <c r="DR528" s="54"/>
      <c r="DS528" s="54"/>
      <c r="DT528" s="54"/>
      <c r="DU528" s="54"/>
      <c r="DV528" s="54"/>
      <c r="DW528" s="54"/>
      <c r="DX528" s="54"/>
      <c r="DY528" s="54"/>
      <c r="DZ528" s="54"/>
      <c r="EA528" s="54"/>
      <c r="EB528" s="417"/>
    </row>
    <row r="529" spans="1:132" s="7" customFormat="1" ht="13.5" thickBot="1">
      <c r="A529" s="50" t="s">
        <v>590</v>
      </c>
      <c r="B529" s="427"/>
      <c r="C529" s="427"/>
      <c r="D529" s="427"/>
      <c r="E529" s="427"/>
      <c r="F529" s="427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  <c r="BE529" s="56"/>
      <c r="BF529" s="56"/>
      <c r="BG529" s="56"/>
      <c r="BH529" s="56"/>
      <c r="BI529" s="56"/>
      <c r="BJ529" s="56"/>
      <c r="BK529" s="56"/>
      <c r="BL529" s="56"/>
      <c r="BM529" s="56"/>
      <c r="BN529" s="56"/>
      <c r="BO529" s="56"/>
      <c r="BP529" s="56"/>
      <c r="BQ529" s="56"/>
      <c r="BR529" s="56"/>
      <c r="BS529" s="56"/>
      <c r="BT529" s="56"/>
      <c r="BU529" s="56"/>
      <c r="BV529" s="56"/>
      <c r="BW529" s="56"/>
      <c r="BX529" s="56"/>
      <c r="BY529" s="56"/>
      <c r="BZ529" s="56"/>
      <c r="CA529" s="56"/>
      <c r="CB529" s="56"/>
      <c r="CC529" s="56"/>
      <c r="CD529" s="56"/>
      <c r="CE529" s="56"/>
      <c r="CF529" s="56"/>
      <c r="CG529" s="56"/>
      <c r="CH529" s="56"/>
      <c r="CI529" s="56"/>
      <c r="CJ529" s="56"/>
      <c r="CK529" s="56"/>
      <c r="CL529" s="56"/>
      <c r="CM529" s="56"/>
      <c r="CN529" s="56"/>
      <c r="CO529" s="56"/>
      <c r="CP529" s="56"/>
      <c r="CQ529" s="56"/>
      <c r="CR529" s="56"/>
      <c r="CS529" s="56"/>
      <c r="CT529" s="56"/>
      <c r="CU529" s="56"/>
      <c r="CV529" s="56"/>
      <c r="CW529" s="56"/>
      <c r="CX529" s="56"/>
      <c r="CY529" s="56"/>
      <c r="CZ529" s="56"/>
      <c r="DA529" s="56"/>
      <c r="DB529" s="56"/>
      <c r="DC529" s="56"/>
      <c r="DD529" s="56"/>
      <c r="DE529" s="56"/>
      <c r="DF529" s="56"/>
      <c r="DG529" s="56"/>
      <c r="DH529" s="56"/>
      <c r="DI529" s="56"/>
      <c r="DJ529" s="56"/>
      <c r="DK529" s="56"/>
      <c r="DL529" s="56"/>
      <c r="DM529" s="56"/>
      <c r="DN529" s="56"/>
      <c r="DO529" s="56"/>
      <c r="DP529" s="56"/>
      <c r="DQ529" s="56"/>
      <c r="DR529" s="56"/>
      <c r="DS529" s="56"/>
      <c r="DT529" s="56"/>
      <c r="DU529" s="56"/>
      <c r="DV529" s="56"/>
      <c r="DW529" s="56"/>
      <c r="DX529" s="56"/>
      <c r="DY529" s="56"/>
      <c r="DZ529" s="56"/>
      <c r="EA529" s="56"/>
      <c r="EB529" s="417"/>
    </row>
    <row r="530" spans="1:132" s="7" customFormat="1" ht="15.75">
      <c r="A530" s="44" t="s">
        <v>591</v>
      </c>
      <c r="B530" s="426"/>
      <c r="C530" s="426"/>
      <c r="D530" s="426"/>
      <c r="E530" s="426"/>
      <c r="F530" s="426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  <c r="AL530" s="45"/>
      <c r="AM530" s="45"/>
      <c r="AN530" s="45"/>
      <c r="AO530" s="45"/>
      <c r="AP530" s="45"/>
      <c r="AQ530" s="45"/>
      <c r="AR530" s="45"/>
      <c r="AS530" s="45"/>
      <c r="AT530" s="45"/>
      <c r="AU530" s="45"/>
      <c r="AV530" s="45"/>
      <c r="AW530" s="45"/>
      <c r="AX530" s="45"/>
      <c r="AY530" s="45"/>
      <c r="AZ530" s="45"/>
      <c r="BA530" s="45"/>
      <c r="BB530" s="45"/>
      <c r="BC530" s="45"/>
      <c r="BD530" s="45"/>
      <c r="BE530" s="45"/>
      <c r="BF530" s="45"/>
      <c r="BG530" s="45"/>
      <c r="BH530" s="45"/>
      <c r="BI530" s="45"/>
      <c r="BJ530" s="45"/>
      <c r="BK530" s="45"/>
      <c r="BL530" s="45"/>
      <c r="BM530" s="45"/>
      <c r="BN530" s="45"/>
      <c r="BO530" s="45"/>
      <c r="BP530" s="45"/>
      <c r="BQ530" s="45"/>
      <c r="BR530" s="45"/>
      <c r="BS530" s="45"/>
      <c r="BT530" s="45"/>
      <c r="BU530" s="45"/>
      <c r="BV530" s="45"/>
      <c r="BW530" s="45"/>
      <c r="BX530" s="45"/>
      <c r="BY530" s="45"/>
      <c r="BZ530" s="45"/>
      <c r="CA530" s="45"/>
      <c r="CB530" s="45"/>
      <c r="CC530" s="45"/>
      <c r="CD530" s="45"/>
      <c r="CE530" s="45"/>
      <c r="CF530" s="45"/>
      <c r="CG530" s="45"/>
      <c r="CH530" s="45"/>
      <c r="CI530" s="45"/>
      <c r="CJ530" s="45"/>
      <c r="CK530" s="45"/>
      <c r="CL530" s="45"/>
      <c r="CM530" s="45"/>
      <c r="CN530" s="45"/>
      <c r="CO530" s="45"/>
      <c r="CP530" s="45"/>
      <c r="CQ530" s="45"/>
      <c r="CR530" s="45"/>
      <c r="CS530" s="45"/>
      <c r="CT530" s="45"/>
      <c r="CU530" s="45"/>
      <c r="CV530" s="45"/>
      <c r="CW530" s="45"/>
      <c r="CX530" s="45"/>
      <c r="CY530" s="45"/>
      <c r="CZ530" s="45"/>
      <c r="DA530" s="45"/>
      <c r="DB530" s="45"/>
      <c r="DC530" s="45"/>
      <c r="DD530" s="45"/>
      <c r="DE530" s="45"/>
      <c r="DF530" s="45"/>
      <c r="DG530" s="45"/>
      <c r="DH530" s="45"/>
      <c r="DI530" s="45"/>
      <c r="DJ530" s="45"/>
      <c r="DK530" s="45"/>
      <c r="DL530" s="45"/>
      <c r="DM530" s="45"/>
      <c r="DN530" s="45"/>
      <c r="DO530" s="45"/>
      <c r="DP530" s="45"/>
      <c r="DQ530" s="45"/>
      <c r="DR530" s="45"/>
      <c r="DS530" s="45"/>
      <c r="DT530" s="45"/>
      <c r="DU530" s="45"/>
      <c r="DV530" s="45"/>
      <c r="DW530" s="45"/>
      <c r="DX530" s="45"/>
      <c r="DY530" s="45"/>
      <c r="DZ530" s="45"/>
      <c r="EA530" s="45"/>
      <c r="EB530" s="417"/>
    </row>
    <row r="531" spans="1:132" s="7" customFormat="1" ht="15.75">
      <c r="A531" s="47" t="s">
        <v>592</v>
      </c>
      <c r="B531" s="423"/>
      <c r="C531" s="423"/>
      <c r="D531" s="423"/>
      <c r="E531" s="423"/>
      <c r="F531" s="423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  <c r="CE531" s="48"/>
      <c r="CF531" s="48"/>
      <c r="CG531" s="48"/>
      <c r="CH531" s="48"/>
      <c r="CI531" s="48"/>
      <c r="CJ531" s="48"/>
      <c r="CK531" s="48"/>
      <c r="CL531" s="48"/>
      <c r="CM531" s="48"/>
      <c r="CN531" s="48"/>
      <c r="CO531" s="48"/>
      <c r="CP531" s="48"/>
      <c r="CQ531" s="48"/>
      <c r="CR531" s="48"/>
      <c r="CS531" s="48"/>
      <c r="CT531" s="48"/>
      <c r="CU531" s="48"/>
      <c r="CV531" s="48"/>
      <c r="CW531" s="48"/>
      <c r="CX531" s="48"/>
      <c r="CY531" s="48"/>
      <c r="CZ531" s="48"/>
      <c r="DA531" s="48"/>
      <c r="DB531" s="48"/>
      <c r="DC531" s="48"/>
      <c r="DD531" s="48"/>
      <c r="DE531" s="48"/>
      <c r="DF531" s="48"/>
      <c r="DG531" s="48"/>
      <c r="DH531" s="48"/>
      <c r="DI531" s="48"/>
      <c r="DJ531" s="48"/>
      <c r="DK531" s="48"/>
      <c r="DL531" s="48"/>
      <c r="DM531" s="48"/>
      <c r="DN531" s="48"/>
      <c r="DO531" s="48"/>
      <c r="DP531" s="48"/>
      <c r="DQ531" s="48"/>
      <c r="DR531" s="48"/>
      <c r="DS531" s="48"/>
      <c r="DT531" s="48"/>
      <c r="DU531" s="48"/>
      <c r="DV531" s="48"/>
      <c r="DW531" s="48"/>
      <c r="DX531" s="48"/>
      <c r="DY531" s="48"/>
      <c r="DZ531" s="48"/>
      <c r="EA531" s="48"/>
      <c r="EB531" s="417"/>
    </row>
    <row r="532" spans="1:132" s="7" customFormat="1">
      <c r="A532" s="52" t="s">
        <v>593</v>
      </c>
      <c r="B532" s="422"/>
      <c r="C532" s="422"/>
      <c r="D532" s="422"/>
      <c r="E532" s="422"/>
      <c r="F532" s="422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  <c r="CD532" s="53"/>
      <c r="CE532" s="53"/>
      <c r="CF532" s="53"/>
      <c r="CG532" s="53"/>
      <c r="CH532" s="53"/>
      <c r="CI532" s="53"/>
      <c r="CJ532" s="53"/>
      <c r="CK532" s="53"/>
      <c r="CL532" s="53"/>
      <c r="CM532" s="53"/>
      <c r="CN532" s="53"/>
      <c r="CO532" s="53"/>
      <c r="CP532" s="53"/>
      <c r="CQ532" s="53"/>
      <c r="CR532" s="53"/>
      <c r="CS532" s="53"/>
      <c r="CT532" s="53"/>
      <c r="CU532" s="53"/>
      <c r="CV532" s="53"/>
      <c r="CW532" s="53"/>
      <c r="CX532" s="53"/>
      <c r="CY532" s="53"/>
      <c r="CZ532" s="53"/>
      <c r="DA532" s="53"/>
      <c r="DB532" s="53"/>
      <c r="DC532" s="53"/>
      <c r="DD532" s="53"/>
      <c r="DE532" s="53"/>
      <c r="DF532" s="53"/>
      <c r="DG532" s="53"/>
      <c r="DH532" s="53"/>
      <c r="DI532" s="53"/>
      <c r="DJ532" s="53"/>
      <c r="DK532" s="53"/>
      <c r="DL532" s="53"/>
      <c r="DM532" s="53"/>
      <c r="DN532" s="53"/>
      <c r="DO532" s="53"/>
      <c r="DP532" s="53"/>
      <c r="DQ532" s="53"/>
      <c r="DR532" s="53"/>
      <c r="DS532" s="53"/>
      <c r="DT532" s="53"/>
      <c r="DU532" s="53"/>
      <c r="DV532" s="53"/>
      <c r="DW532" s="53"/>
      <c r="DX532" s="53"/>
      <c r="DY532" s="53"/>
      <c r="DZ532" s="53"/>
      <c r="EA532" s="53"/>
      <c r="EB532" s="417"/>
    </row>
    <row r="533" spans="1:132" s="7" customFormat="1">
      <c r="A533" s="52" t="s">
        <v>594</v>
      </c>
      <c r="B533" s="422"/>
      <c r="C533" s="422"/>
      <c r="D533" s="422"/>
      <c r="E533" s="422"/>
      <c r="F533" s="422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  <c r="CD533" s="53"/>
      <c r="CE533" s="53"/>
      <c r="CF533" s="53"/>
      <c r="CG533" s="53"/>
      <c r="CH533" s="53"/>
      <c r="CI533" s="53"/>
      <c r="CJ533" s="53"/>
      <c r="CK533" s="53"/>
      <c r="CL533" s="53"/>
      <c r="CM533" s="53"/>
      <c r="CN533" s="53"/>
      <c r="CO533" s="53"/>
      <c r="CP533" s="53"/>
      <c r="CQ533" s="53"/>
      <c r="CR533" s="53"/>
      <c r="CS533" s="53"/>
      <c r="CT533" s="53"/>
      <c r="CU533" s="53"/>
      <c r="CV533" s="53"/>
      <c r="CW533" s="53"/>
      <c r="CX533" s="53"/>
      <c r="CY533" s="53"/>
      <c r="CZ533" s="53"/>
      <c r="DA533" s="53"/>
      <c r="DB533" s="53"/>
      <c r="DC533" s="53"/>
      <c r="DD533" s="53"/>
      <c r="DE533" s="53"/>
      <c r="DF533" s="53"/>
      <c r="DG533" s="53"/>
      <c r="DH533" s="53"/>
      <c r="DI533" s="53"/>
      <c r="DJ533" s="53"/>
      <c r="DK533" s="53"/>
      <c r="DL533" s="53"/>
      <c r="DM533" s="53"/>
      <c r="DN533" s="53"/>
      <c r="DO533" s="53"/>
      <c r="DP533" s="53"/>
      <c r="DQ533" s="53"/>
      <c r="DR533" s="53"/>
      <c r="DS533" s="53"/>
      <c r="DT533" s="53"/>
      <c r="DU533" s="53"/>
      <c r="DV533" s="53"/>
      <c r="DW533" s="53"/>
      <c r="DX533" s="53"/>
      <c r="DY533" s="53"/>
      <c r="DZ533" s="53"/>
      <c r="EA533" s="53"/>
      <c r="EB533" s="417"/>
    </row>
    <row r="534" spans="1:132" s="7" customFormat="1">
      <c r="A534" s="52" t="s">
        <v>595</v>
      </c>
      <c r="B534" s="422"/>
      <c r="C534" s="422"/>
      <c r="D534" s="422"/>
      <c r="E534" s="422"/>
      <c r="F534" s="422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  <c r="CD534" s="53"/>
      <c r="CE534" s="53"/>
      <c r="CF534" s="53"/>
      <c r="CG534" s="53"/>
      <c r="CH534" s="53"/>
      <c r="CI534" s="53"/>
      <c r="CJ534" s="53"/>
      <c r="CK534" s="53"/>
      <c r="CL534" s="53"/>
      <c r="CM534" s="53"/>
      <c r="CN534" s="53"/>
      <c r="CO534" s="53"/>
      <c r="CP534" s="53"/>
      <c r="CQ534" s="53"/>
      <c r="CR534" s="53"/>
      <c r="CS534" s="53"/>
      <c r="CT534" s="53"/>
      <c r="CU534" s="53"/>
      <c r="CV534" s="53"/>
      <c r="CW534" s="53"/>
      <c r="CX534" s="53"/>
      <c r="CY534" s="53"/>
      <c r="CZ534" s="53"/>
      <c r="DA534" s="53"/>
      <c r="DB534" s="53"/>
      <c r="DC534" s="53"/>
      <c r="DD534" s="53"/>
      <c r="DE534" s="53"/>
      <c r="DF534" s="53"/>
      <c r="DG534" s="53"/>
      <c r="DH534" s="53"/>
      <c r="DI534" s="53"/>
      <c r="DJ534" s="53"/>
      <c r="DK534" s="53"/>
      <c r="DL534" s="53"/>
      <c r="DM534" s="53"/>
      <c r="DN534" s="53"/>
      <c r="DO534" s="53"/>
      <c r="DP534" s="53"/>
      <c r="DQ534" s="53"/>
      <c r="DR534" s="53"/>
      <c r="DS534" s="53"/>
      <c r="DT534" s="53"/>
      <c r="DU534" s="53"/>
      <c r="DV534" s="53"/>
      <c r="DW534" s="53"/>
      <c r="DX534" s="53"/>
      <c r="DY534" s="53"/>
      <c r="DZ534" s="53"/>
      <c r="EA534" s="53"/>
      <c r="EB534" s="417"/>
    </row>
    <row r="535" spans="1:132" s="7" customFormat="1">
      <c r="A535" s="52" t="s">
        <v>3</v>
      </c>
      <c r="B535" s="421"/>
      <c r="C535" s="421"/>
      <c r="D535" s="421"/>
      <c r="E535" s="421"/>
      <c r="F535" s="421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417"/>
    </row>
    <row r="536" spans="1:132" s="7" customFormat="1">
      <c r="A536" s="52" t="s">
        <v>596</v>
      </c>
      <c r="B536" s="422"/>
      <c r="C536" s="422"/>
      <c r="D536" s="422"/>
      <c r="E536" s="422"/>
      <c r="F536" s="422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  <c r="CD536" s="53"/>
      <c r="CE536" s="53"/>
      <c r="CF536" s="53"/>
      <c r="CG536" s="53"/>
      <c r="CH536" s="53"/>
      <c r="CI536" s="53"/>
      <c r="CJ536" s="53"/>
      <c r="CK536" s="53"/>
      <c r="CL536" s="53"/>
      <c r="CM536" s="53"/>
      <c r="CN536" s="53"/>
      <c r="CO536" s="53"/>
      <c r="CP536" s="53"/>
      <c r="CQ536" s="53"/>
      <c r="CR536" s="53"/>
      <c r="CS536" s="53"/>
      <c r="CT536" s="53"/>
      <c r="CU536" s="53"/>
      <c r="CV536" s="53"/>
      <c r="CW536" s="53"/>
      <c r="CX536" s="53"/>
      <c r="CY536" s="53"/>
      <c r="CZ536" s="53"/>
      <c r="DA536" s="53"/>
      <c r="DB536" s="53"/>
      <c r="DC536" s="53"/>
      <c r="DD536" s="53"/>
      <c r="DE536" s="53"/>
      <c r="DF536" s="53"/>
      <c r="DG536" s="53"/>
      <c r="DH536" s="53"/>
      <c r="DI536" s="53"/>
      <c r="DJ536" s="53"/>
      <c r="DK536" s="53"/>
      <c r="DL536" s="53"/>
      <c r="DM536" s="53"/>
      <c r="DN536" s="53"/>
      <c r="DO536" s="53"/>
      <c r="DP536" s="53"/>
      <c r="DQ536" s="53"/>
      <c r="DR536" s="53"/>
      <c r="DS536" s="53"/>
      <c r="DT536" s="53"/>
      <c r="DU536" s="53"/>
      <c r="DV536" s="53"/>
      <c r="DW536" s="53"/>
      <c r="DX536" s="53"/>
      <c r="DY536" s="53"/>
      <c r="DZ536" s="53"/>
      <c r="EA536" s="53"/>
      <c r="EB536" s="417"/>
    </row>
    <row r="537" spans="1:132" s="7" customFormat="1">
      <c r="A537" s="52" t="s">
        <v>597</v>
      </c>
      <c r="B537" s="422"/>
      <c r="C537" s="422"/>
      <c r="D537" s="422"/>
      <c r="E537" s="422"/>
      <c r="F537" s="422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  <c r="CD537" s="53"/>
      <c r="CE537" s="53"/>
      <c r="CF537" s="53"/>
      <c r="CG537" s="53"/>
      <c r="CH537" s="53"/>
      <c r="CI537" s="53"/>
      <c r="CJ537" s="53"/>
      <c r="CK537" s="53"/>
      <c r="CL537" s="53"/>
      <c r="CM537" s="53"/>
      <c r="CN537" s="53"/>
      <c r="CO537" s="53"/>
      <c r="CP537" s="53"/>
      <c r="CQ537" s="53"/>
      <c r="CR537" s="53"/>
      <c r="CS537" s="53"/>
      <c r="CT537" s="53"/>
      <c r="CU537" s="53"/>
      <c r="CV537" s="53"/>
      <c r="CW537" s="53"/>
      <c r="CX537" s="53"/>
      <c r="CY537" s="53"/>
      <c r="CZ537" s="53"/>
      <c r="DA537" s="53"/>
      <c r="DB537" s="53"/>
      <c r="DC537" s="53"/>
      <c r="DD537" s="53"/>
      <c r="DE537" s="53"/>
      <c r="DF537" s="53"/>
      <c r="DG537" s="53"/>
      <c r="DH537" s="53"/>
      <c r="DI537" s="53"/>
      <c r="DJ537" s="53"/>
      <c r="DK537" s="53"/>
      <c r="DL537" s="53"/>
      <c r="DM537" s="53"/>
      <c r="DN537" s="53"/>
      <c r="DO537" s="53"/>
      <c r="DP537" s="53"/>
      <c r="DQ537" s="53"/>
      <c r="DR537" s="53"/>
      <c r="DS537" s="53"/>
      <c r="DT537" s="53"/>
      <c r="DU537" s="53"/>
      <c r="DV537" s="53"/>
      <c r="DW537" s="53"/>
      <c r="DX537" s="53"/>
      <c r="DY537" s="53"/>
      <c r="DZ537" s="53"/>
      <c r="EA537" s="53"/>
      <c r="EB537" s="417"/>
    </row>
    <row r="538" spans="1:132" s="7" customFormat="1">
      <c r="A538" s="52" t="s">
        <v>598</v>
      </c>
      <c r="B538" s="421"/>
      <c r="C538" s="421"/>
      <c r="D538" s="421"/>
      <c r="E538" s="421"/>
      <c r="F538" s="421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/>
      <c r="DU538" s="54"/>
      <c r="DV538" s="54"/>
      <c r="DW538" s="54"/>
      <c r="DX538" s="54"/>
      <c r="DY538" s="54"/>
      <c r="DZ538" s="54"/>
      <c r="EA538" s="54"/>
      <c r="EB538" s="417"/>
    </row>
    <row r="539" spans="1:132" s="7" customFormat="1">
      <c r="A539" s="52" t="s">
        <v>599</v>
      </c>
      <c r="B539" s="422"/>
      <c r="C539" s="422"/>
      <c r="D539" s="422"/>
      <c r="E539" s="422"/>
      <c r="F539" s="422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  <c r="CD539" s="53"/>
      <c r="CE539" s="53"/>
      <c r="CF539" s="53"/>
      <c r="CG539" s="53"/>
      <c r="CH539" s="53"/>
      <c r="CI539" s="53"/>
      <c r="CJ539" s="53"/>
      <c r="CK539" s="53"/>
      <c r="CL539" s="53"/>
      <c r="CM539" s="53"/>
      <c r="CN539" s="53"/>
      <c r="CO539" s="53"/>
      <c r="CP539" s="53"/>
      <c r="CQ539" s="53"/>
      <c r="CR539" s="53"/>
      <c r="CS539" s="53"/>
      <c r="CT539" s="53"/>
      <c r="CU539" s="53"/>
      <c r="CV539" s="53"/>
      <c r="CW539" s="53"/>
      <c r="CX539" s="53"/>
      <c r="CY539" s="53"/>
      <c r="CZ539" s="53"/>
      <c r="DA539" s="53"/>
      <c r="DB539" s="53"/>
      <c r="DC539" s="53"/>
      <c r="DD539" s="53"/>
      <c r="DE539" s="53"/>
      <c r="DF539" s="53"/>
      <c r="DG539" s="53"/>
      <c r="DH539" s="53"/>
      <c r="DI539" s="53"/>
      <c r="DJ539" s="53"/>
      <c r="DK539" s="53"/>
      <c r="DL539" s="53"/>
      <c r="DM539" s="53"/>
      <c r="DN539" s="53"/>
      <c r="DO539" s="53"/>
      <c r="DP539" s="53"/>
      <c r="DQ539" s="53"/>
      <c r="DR539" s="53"/>
      <c r="DS539" s="53"/>
      <c r="DT539" s="53"/>
      <c r="DU539" s="53"/>
      <c r="DV539" s="53"/>
      <c r="DW539" s="53"/>
      <c r="DX539" s="53"/>
      <c r="DY539" s="53"/>
      <c r="DZ539" s="53"/>
      <c r="EA539" s="53"/>
      <c r="EB539" s="417"/>
    </row>
    <row r="540" spans="1:132" s="7" customFormat="1">
      <c r="A540" s="52" t="s">
        <v>99</v>
      </c>
      <c r="B540" s="422"/>
      <c r="C540" s="422"/>
      <c r="D540" s="422"/>
      <c r="E540" s="422"/>
      <c r="F540" s="422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  <c r="CD540" s="53"/>
      <c r="CE540" s="53"/>
      <c r="CF540" s="53"/>
      <c r="CG540" s="53"/>
      <c r="CH540" s="53"/>
      <c r="CI540" s="53"/>
      <c r="CJ540" s="53"/>
      <c r="CK540" s="53"/>
      <c r="CL540" s="53"/>
      <c r="CM540" s="53"/>
      <c r="CN540" s="53"/>
      <c r="CO540" s="53"/>
      <c r="CP540" s="53"/>
      <c r="CQ540" s="53"/>
      <c r="CR540" s="53"/>
      <c r="CS540" s="53"/>
      <c r="CT540" s="53"/>
      <c r="CU540" s="53"/>
      <c r="CV540" s="53"/>
      <c r="CW540" s="53"/>
      <c r="CX540" s="53"/>
      <c r="CY540" s="53"/>
      <c r="CZ540" s="53"/>
      <c r="DA540" s="53"/>
      <c r="DB540" s="53"/>
      <c r="DC540" s="53"/>
      <c r="DD540" s="53"/>
      <c r="DE540" s="53"/>
      <c r="DF540" s="53"/>
      <c r="DG540" s="53"/>
      <c r="DH540" s="53"/>
      <c r="DI540" s="53"/>
      <c r="DJ540" s="53"/>
      <c r="DK540" s="53"/>
      <c r="DL540" s="53"/>
      <c r="DM540" s="53"/>
      <c r="DN540" s="53"/>
      <c r="DO540" s="53"/>
      <c r="DP540" s="53"/>
      <c r="DQ540" s="53"/>
      <c r="DR540" s="53"/>
      <c r="DS540" s="53"/>
      <c r="DT540" s="53"/>
      <c r="DU540" s="53"/>
      <c r="DV540" s="53"/>
      <c r="DW540" s="53"/>
      <c r="DX540" s="53"/>
      <c r="DY540" s="53"/>
      <c r="DZ540" s="53"/>
      <c r="EA540" s="53"/>
      <c r="EB540" s="417"/>
    </row>
    <row r="541" spans="1:132" s="7" customFormat="1">
      <c r="A541" s="52" t="s">
        <v>600</v>
      </c>
      <c r="B541" s="422"/>
      <c r="C541" s="422"/>
      <c r="D541" s="422"/>
      <c r="E541" s="422"/>
      <c r="F541" s="422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  <c r="CD541" s="53"/>
      <c r="CE541" s="53"/>
      <c r="CF541" s="53"/>
      <c r="CG541" s="53"/>
      <c r="CH541" s="53"/>
      <c r="CI541" s="53"/>
      <c r="CJ541" s="53"/>
      <c r="CK541" s="53"/>
      <c r="CL541" s="53"/>
      <c r="CM541" s="53"/>
      <c r="CN541" s="53"/>
      <c r="CO541" s="53"/>
      <c r="CP541" s="53"/>
      <c r="CQ541" s="53"/>
      <c r="CR541" s="53"/>
      <c r="CS541" s="53"/>
      <c r="CT541" s="53"/>
      <c r="CU541" s="53"/>
      <c r="CV541" s="53"/>
      <c r="CW541" s="53"/>
      <c r="CX541" s="53"/>
      <c r="CY541" s="53"/>
      <c r="CZ541" s="53"/>
      <c r="DA541" s="53"/>
      <c r="DB541" s="53"/>
      <c r="DC541" s="53"/>
      <c r="DD541" s="53"/>
      <c r="DE541" s="53"/>
      <c r="DF541" s="53"/>
      <c r="DG541" s="53"/>
      <c r="DH541" s="53"/>
      <c r="DI541" s="53"/>
      <c r="DJ541" s="53"/>
      <c r="DK541" s="53"/>
      <c r="DL541" s="53"/>
      <c r="DM541" s="53"/>
      <c r="DN541" s="53"/>
      <c r="DO541" s="53"/>
      <c r="DP541" s="53"/>
      <c r="DQ541" s="53"/>
      <c r="DR541" s="53"/>
      <c r="DS541" s="53"/>
      <c r="DT541" s="53"/>
      <c r="DU541" s="53"/>
      <c r="DV541" s="53"/>
      <c r="DW541" s="53"/>
      <c r="DX541" s="53"/>
      <c r="DY541" s="53"/>
      <c r="DZ541" s="53"/>
      <c r="EA541" s="53"/>
      <c r="EB541" s="417"/>
    </row>
    <row r="542" spans="1:132" s="7" customFormat="1">
      <c r="A542" s="52" t="s">
        <v>601</v>
      </c>
      <c r="B542" s="422"/>
      <c r="C542" s="422"/>
      <c r="D542" s="422"/>
      <c r="E542" s="422"/>
      <c r="F542" s="422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  <c r="CD542" s="53"/>
      <c r="CE542" s="53"/>
      <c r="CF542" s="53"/>
      <c r="CG542" s="53"/>
      <c r="CH542" s="53"/>
      <c r="CI542" s="53"/>
      <c r="CJ542" s="53"/>
      <c r="CK542" s="53"/>
      <c r="CL542" s="53"/>
      <c r="CM542" s="53"/>
      <c r="CN542" s="53"/>
      <c r="CO542" s="53"/>
      <c r="CP542" s="53"/>
      <c r="CQ542" s="53"/>
      <c r="CR542" s="53"/>
      <c r="CS542" s="53"/>
      <c r="CT542" s="53"/>
      <c r="CU542" s="53"/>
      <c r="CV542" s="53"/>
      <c r="CW542" s="53"/>
      <c r="CX542" s="53"/>
      <c r="CY542" s="53"/>
      <c r="CZ542" s="53"/>
      <c r="DA542" s="53"/>
      <c r="DB542" s="53"/>
      <c r="DC542" s="53"/>
      <c r="DD542" s="53"/>
      <c r="DE542" s="53"/>
      <c r="DF542" s="53"/>
      <c r="DG542" s="53"/>
      <c r="DH542" s="53"/>
      <c r="DI542" s="53"/>
      <c r="DJ542" s="53"/>
      <c r="DK542" s="53"/>
      <c r="DL542" s="53"/>
      <c r="DM542" s="53"/>
      <c r="DN542" s="53"/>
      <c r="DO542" s="53"/>
      <c r="DP542" s="53"/>
      <c r="DQ542" s="53"/>
      <c r="DR542" s="53"/>
      <c r="DS542" s="53"/>
      <c r="DT542" s="53"/>
      <c r="DU542" s="53"/>
      <c r="DV542" s="53"/>
      <c r="DW542" s="53"/>
      <c r="DX542" s="53"/>
      <c r="DY542" s="53"/>
      <c r="DZ542" s="53"/>
      <c r="EA542" s="53"/>
      <c r="EB542" s="417"/>
    </row>
    <row r="543" spans="1:132" s="7" customFormat="1" ht="13.5" thickBot="1">
      <c r="A543" s="52" t="s">
        <v>602</v>
      </c>
      <c r="B543" s="425"/>
      <c r="C543" s="425"/>
      <c r="D543" s="425"/>
      <c r="E543" s="425"/>
      <c r="F543" s="425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/>
      <c r="BR543" s="57"/>
      <c r="BS543" s="57"/>
      <c r="BT543" s="57"/>
      <c r="BU543" s="57"/>
      <c r="BV543" s="57"/>
      <c r="BW543" s="57"/>
      <c r="BX543" s="57"/>
      <c r="BY543" s="57"/>
      <c r="BZ543" s="57"/>
      <c r="CA543" s="57"/>
      <c r="CB543" s="57"/>
      <c r="CC543" s="57"/>
      <c r="CD543" s="57"/>
      <c r="CE543" s="57"/>
      <c r="CF543" s="57"/>
      <c r="CG543" s="57"/>
      <c r="CH543" s="57"/>
      <c r="CI543" s="57"/>
      <c r="CJ543" s="57"/>
      <c r="CK543" s="57"/>
      <c r="CL543" s="57"/>
      <c r="CM543" s="57"/>
      <c r="CN543" s="57"/>
      <c r="CO543" s="57"/>
      <c r="CP543" s="57"/>
      <c r="CQ543" s="57"/>
      <c r="CR543" s="57"/>
      <c r="CS543" s="57"/>
      <c r="CT543" s="57"/>
      <c r="CU543" s="57"/>
      <c r="CV543" s="57"/>
      <c r="CW543" s="57"/>
      <c r="CX543" s="57"/>
      <c r="CY543" s="57"/>
      <c r="CZ543" s="57"/>
      <c r="DA543" s="57"/>
      <c r="DB543" s="57"/>
      <c r="DC543" s="57"/>
      <c r="DD543" s="57"/>
      <c r="DE543" s="57"/>
      <c r="DF543" s="57"/>
      <c r="DG543" s="57"/>
      <c r="DH543" s="57"/>
      <c r="DI543" s="57"/>
      <c r="DJ543" s="57"/>
      <c r="DK543" s="57"/>
      <c r="DL543" s="57"/>
      <c r="DM543" s="57"/>
      <c r="DN543" s="57"/>
      <c r="DO543" s="57"/>
      <c r="DP543" s="57"/>
      <c r="DQ543" s="57"/>
      <c r="DR543" s="57"/>
      <c r="DS543" s="57"/>
      <c r="DT543" s="57"/>
      <c r="DU543" s="57"/>
      <c r="DV543" s="57"/>
      <c r="DW543" s="57"/>
      <c r="DX543" s="57"/>
      <c r="DY543" s="57"/>
      <c r="DZ543" s="57"/>
      <c r="EA543" s="57"/>
      <c r="EB543" s="417"/>
    </row>
    <row r="544" spans="1:132" s="7" customFormat="1">
      <c r="A544" s="52"/>
      <c r="B544" s="424"/>
      <c r="C544" s="424"/>
      <c r="D544" s="424"/>
      <c r="E544" s="424"/>
      <c r="F544" s="424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417"/>
    </row>
    <row r="545" spans="1:132" s="7" customFormat="1" ht="15.75">
      <c r="A545" s="47" t="s">
        <v>603</v>
      </c>
      <c r="B545" s="423"/>
      <c r="C545" s="423"/>
      <c r="D545" s="423"/>
      <c r="E545" s="423"/>
      <c r="F545" s="423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  <c r="CE545" s="48"/>
      <c r="CF545" s="48"/>
      <c r="CG545" s="48"/>
      <c r="CH545" s="48"/>
      <c r="CI545" s="48"/>
      <c r="CJ545" s="48"/>
      <c r="CK545" s="48"/>
      <c r="CL545" s="48"/>
      <c r="CM545" s="48"/>
      <c r="CN545" s="48"/>
      <c r="CO545" s="48"/>
      <c r="CP545" s="48"/>
      <c r="CQ545" s="48"/>
      <c r="CR545" s="48"/>
      <c r="CS545" s="48"/>
      <c r="CT545" s="48"/>
      <c r="CU545" s="48"/>
      <c r="CV545" s="48"/>
      <c r="CW545" s="48"/>
      <c r="CX545" s="48"/>
      <c r="CY545" s="48"/>
      <c r="CZ545" s="48"/>
      <c r="DA545" s="48"/>
      <c r="DB545" s="48"/>
      <c r="DC545" s="48"/>
      <c r="DD545" s="48"/>
      <c r="DE545" s="48"/>
      <c r="DF545" s="48"/>
      <c r="DG545" s="48"/>
      <c r="DH545" s="48"/>
      <c r="DI545" s="48"/>
      <c r="DJ545" s="48"/>
      <c r="DK545" s="48"/>
      <c r="DL545" s="48"/>
      <c r="DM545" s="48"/>
      <c r="DN545" s="48"/>
      <c r="DO545" s="48"/>
      <c r="DP545" s="48"/>
      <c r="DQ545" s="48"/>
      <c r="DR545" s="48"/>
      <c r="DS545" s="48"/>
      <c r="DT545" s="48"/>
      <c r="DU545" s="48"/>
      <c r="DV545" s="48"/>
      <c r="DW545" s="48"/>
      <c r="DX545" s="48"/>
      <c r="DY545" s="48"/>
      <c r="DZ545" s="48"/>
      <c r="EA545" s="48"/>
      <c r="EB545" s="417"/>
    </row>
    <row r="546" spans="1:132" s="7" customFormat="1">
      <c r="A546" s="52" t="s">
        <v>3</v>
      </c>
      <c r="B546" s="422"/>
      <c r="C546" s="422"/>
      <c r="D546" s="422"/>
      <c r="E546" s="422"/>
      <c r="F546" s="422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  <c r="CD546" s="53"/>
      <c r="CE546" s="53"/>
      <c r="CF546" s="53"/>
      <c r="CG546" s="53"/>
      <c r="CH546" s="53"/>
      <c r="CI546" s="53"/>
      <c r="CJ546" s="53"/>
      <c r="CK546" s="53"/>
      <c r="CL546" s="53"/>
      <c r="CM546" s="53"/>
      <c r="CN546" s="53"/>
      <c r="CO546" s="53"/>
      <c r="CP546" s="53"/>
      <c r="CQ546" s="53"/>
      <c r="CR546" s="53"/>
      <c r="CS546" s="53"/>
      <c r="CT546" s="53"/>
      <c r="CU546" s="53"/>
      <c r="CV546" s="53"/>
      <c r="CW546" s="53"/>
      <c r="CX546" s="53"/>
      <c r="CY546" s="53"/>
      <c r="CZ546" s="53"/>
      <c r="DA546" s="53"/>
      <c r="DB546" s="53"/>
      <c r="DC546" s="53"/>
      <c r="DD546" s="53"/>
      <c r="DE546" s="53"/>
      <c r="DF546" s="53"/>
      <c r="DG546" s="53"/>
      <c r="DH546" s="53"/>
      <c r="DI546" s="53"/>
      <c r="DJ546" s="53"/>
      <c r="DK546" s="53"/>
      <c r="DL546" s="53"/>
      <c r="DM546" s="53"/>
      <c r="DN546" s="53"/>
      <c r="DO546" s="53"/>
      <c r="DP546" s="53"/>
      <c r="DQ546" s="53"/>
      <c r="DR546" s="53"/>
      <c r="DS546" s="53"/>
      <c r="DT546" s="53"/>
      <c r="DU546" s="53"/>
      <c r="DV546" s="53"/>
      <c r="DW546" s="53"/>
      <c r="DX546" s="53"/>
      <c r="DY546" s="53"/>
      <c r="DZ546" s="53"/>
      <c r="EA546" s="53"/>
      <c r="EB546" s="417"/>
    </row>
    <row r="547" spans="1:132" s="7" customFormat="1">
      <c r="A547" s="52" t="s">
        <v>11</v>
      </c>
      <c r="B547" s="422"/>
      <c r="C547" s="422"/>
      <c r="D547" s="422"/>
      <c r="E547" s="422"/>
      <c r="F547" s="422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  <c r="CD547" s="53"/>
      <c r="CE547" s="53"/>
      <c r="CF547" s="53"/>
      <c r="CG547" s="53"/>
      <c r="CH547" s="53"/>
      <c r="CI547" s="53"/>
      <c r="CJ547" s="53"/>
      <c r="CK547" s="53"/>
      <c r="CL547" s="53"/>
      <c r="CM547" s="53"/>
      <c r="CN547" s="53"/>
      <c r="CO547" s="53"/>
      <c r="CP547" s="53"/>
      <c r="CQ547" s="53"/>
      <c r="CR547" s="53"/>
      <c r="CS547" s="53"/>
      <c r="CT547" s="53"/>
      <c r="CU547" s="53"/>
      <c r="CV547" s="53"/>
      <c r="CW547" s="53"/>
      <c r="CX547" s="53"/>
      <c r="CY547" s="53"/>
      <c r="CZ547" s="53"/>
      <c r="DA547" s="53"/>
      <c r="DB547" s="53"/>
      <c r="DC547" s="53"/>
      <c r="DD547" s="53"/>
      <c r="DE547" s="53"/>
      <c r="DF547" s="53"/>
      <c r="DG547" s="53"/>
      <c r="DH547" s="53"/>
      <c r="DI547" s="53"/>
      <c r="DJ547" s="53"/>
      <c r="DK547" s="53"/>
      <c r="DL547" s="53"/>
      <c r="DM547" s="53"/>
      <c r="DN547" s="53"/>
      <c r="DO547" s="53"/>
      <c r="DP547" s="53"/>
      <c r="DQ547" s="53"/>
      <c r="DR547" s="53"/>
      <c r="DS547" s="53"/>
      <c r="DT547" s="53"/>
      <c r="DU547" s="53"/>
      <c r="DV547" s="53"/>
      <c r="DW547" s="53"/>
      <c r="DX547" s="53"/>
      <c r="DY547" s="53"/>
      <c r="DZ547" s="53"/>
      <c r="EA547" s="53"/>
      <c r="EB547" s="417"/>
    </row>
    <row r="548" spans="1:132" s="7" customFormat="1">
      <c r="A548" s="52" t="s">
        <v>604</v>
      </c>
      <c r="B548" s="422"/>
      <c r="C548" s="422"/>
      <c r="D548" s="422"/>
      <c r="E548" s="422"/>
      <c r="F548" s="422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  <c r="CD548" s="53"/>
      <c r="CE548" s="53"/>
      <c r="CF548" s="53"/>
      <c r="CG548" s="53"/>
      <c r="CH548" s="53"/>
      <c r="CI548" s="53"/>
      <c r="CJ548" s="53"/>
      <c r="CK548" s="53"/>
      <c r="CL548" s="53"/>
      <c r="CM548" s="53"/>
      <c r="CN548" s="53"/>
      <c r="CO548" s="53"/>
      <c r="CP548" s="53"/>
      <c r="CQ548" s="53"/>
      <c r="CR548" s="53"/>
      <c r="CS548" s="53"/>
      <c r="CT548" s="53"/>
      <c r="CU548" s="53"/>
      <c r="CV548" s="53"/>
      <c r="CW548" s="53"/>
      <c r="CX548" s="53"/>
      <c r="CY548" s="53"/>
      <c r="CZ548" s="53"/>
      <c r="DA548" s="53"/>
      <c r="DB548" s="53"/>
      <c r="DC548" s="53"/>
      <c r="DD548" s="53"/>
      <c r="DE548" s="53"/>
      <c r="DF548" s="53"/>
      <c r="DG548" s="53"/>
      <c r="DH548" s="53"/>
      <c r="DI548" s="53"/>
      <c r="DJ548" s="53"/>
      <c r="DK548" s="53"/>
      <c r="DL548" s="53"/>
      <c r="DM548" s="53"/>
      <c r="DN548" s="53"/>
      <c r="DO548" s="53"/>
      <c r="DP548" s="53"/>
      <c r="DQ548" s="53"/>
      <c r="DR548" s="53"/>
      <c r="DS548" s="53"/>
      <c r="DT548" s="53"/>
      <c r="DU548" s="53"/>
      <c r="DV548" s="53"/>
      <c r="DW548" s="53"/>
      <c r="DX548" s="53"/>
      <c r="DY548" s="53"/>
      <c r="DZ548" s="53"/>
      <c r="EA548" s="53"/>
      <c r="EB548" s="417"/>
    </row>
    <row r="549" spans="1:132" s="7" customFormat="1">
      <c r="A549" s="52" t="s">
        <v>605</v>
      </c>
      <c r="B549" s="422"/>
      <c r="C549" s="422"/>
      <c r="D549" s="422"/>
      <c r="E549" s="422"/>
      <c r="F549" s="422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  <c r="CD549" s="53"/>
      <c r="CE549" s="53"/>
      <c r="CF549" s="53"/>
      <c r="CG549" s="53"/>
      <c r="CH549" s="53"/>
      <c r="CI549" s="53"/>
      <c r="CJ549" s="53"/>
      <c r="CK549" s="53"/>
      <c r="CL549" s="53"/>
      <c r="CM549" s="53"/>
      <c r="CN549" s="53"/>
      <c r="CO549" s="53"/>
      <c r="CP549" s="53"/>
      <c r="CQ549" s="53"/>
      <c r="CR549" s="53"/>
      <c r="CS549" s="53"/>
      <c r="CT549" s="53"/>
      <c r="CU549" s="53"/>
      <c r="CV549" s="53"/>
      <c r="CW549" s="53"/>
      <c r="CX549" s="53"/>
      <c r="CY549" s="53"/>
      <c r="CZ549" s="53"/>
      <c r="DA549" s="53"/>
      <c r="DB549" s="53"/>
      <c r="DC549" s="53"/>
      <c r="DD549" s="53"/>
      <c r="DE549" s="53"/>
      <c r="DF549" s="53"/>
      <c r="DG549" s="53"/>
      <c r="DH549" s="53"/>
      <c r="DI549" s="53"/>
      <c r="DJ549" s="53"/>
      <c r="DK549" s="53"/>
      <c r="DL549" s="53"/>
      <c r="DM549" s="53"/>
      <c r="DN549" s="53"/>
      <c r="DO549" s="53"/>
      <c r="DP549" s="53"/>
      <c r="DQ549" s="53"/>
      <c r="DR549" s="53"/>
      <c r="DS549" s="53"/>
      <c r="DT549" s="53"/>
      <c r="DU549" s="53"/>
      <c r="DV549" s="53"/>
      <c r="DW549" s="53"/>
      <c r="DX549" s="53"/>
      <c r="DY549" s="53"/>
      <c r="DZ549" s="53"/>
      <c r="EA549" s="53"/>
      <c r="EB549" s="417"/>
    </row>
    <row r="550" spans="1:132" s="7" customFormat="1">
      <c r="A550" s="52" t="s">
        <v>606</v>
      </c>
      <c r="B550" s="421"/>
      <c r="C550" s="421"/>
      <c r="D550" s="421"/>
      <c r="E550" s="421"/>
      <c r="F550" s="421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54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  <c r="DK550" s="54"/>
      <c r="DL550" s="54"/>
      <c r="DM550" s="54"/>
      <c r="DN550" s="54"/>
      <c r="DO550" s="54"/>
      <c r="DP550" s="54"/>
      <c r="DQ550" s="54"/>
      <c r="DR550" s="54"/>
      <c r="DS550" s="54"/>
      <c r="DT550" s="54"/>
      <c r="DU550" s="54"/>
      <c r="DV550" s="54"/>
      <c r="DW550" s="54"/>
      <c r="DX550" s="54"/>
      <c r="DY550" s="54"/>
      <c r="DZ550" s="54"/>
      <c r="EA550" s="54"/>
      <c r="EB550" s="417"/>
    </row>
    <row r="551" spans="1:132" s="7" customFormat="1">
      <c r="A551" s="52" t="s">
        <v>607</v>
      </c>
      <c r="B551" s="422"/>
      <c r="C551" s="422"/>
      <c r="D551" s="422"/>
      <c r="E551" s="422"/>
      <c r="F551" s="422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  <c r="CD551" s="53"/>
      <c r="CE551" s="53"/>
      <c r="CF551" s="53"/>
      <c r="CG551" s="53"/>
      <c r="CH551" s="53"/>
      <c r="CI551" s="53"/>
      <c r="CJ551" s="53"/>
      <c r="CK551" s="53"/>
      <c r="CL551" s="53"/>
      <c r="CM551" s="53"/>
      <c r="CN551" s="53"/>
      <c r="CO551" s="53"/>
      <c r="CP551" s="53"/>
      <c r="CQ551" s="53"/>
      <c r="CR551" s="53"/>
      <c r="CS551" s="53"/>
      <c r="CT551" s="53"/>
      <c r="CU551" s="53"/>
      <c r="CV551" s="53"/>
      <c r="CW551" s="53"/>
      <c r="CX551" s="53"/>
      <c r="CY551" s="53"/>
      <c r="CZ551" s="53"/>
      <c r="DA551" s="53"/>
      <c r="DB551" s="53"/>
      <c r="DC551" s="53"/>
      <c r="DD551" s="53"/>
      <c r="DE551" s="53"/>
      <c r="DF551" s="53"/>
      <c r="DG551" s="53"/>
      <c r="DH551" s="53"/>
      <c r="DI551" s="53"/>
      <c r="DJ551" s="53"/>
      <c r="DK551" s="53"/>
      <c r="DL551" s="53"/>
      <c r="DM551" s="53"/>
      <c r="DN551" s="53"/>
      <c r="DO551" s="53"/>
      <c r="DP551" s="53"/>
      <c r="DQ551" s="53"/>
      <c r="DR551" s="53"/>
      <c r="DS551" s="53"/>
      <c r="DT551" s="53"/>
      <c r="DU551" s="53"/>
      <c r="DV551" s="53"/>
      <c r="DW551" s="53"/>
      <c r="DX551" s="53"/>
      <c r="DY551" s="53"/>
      <c r="DZ551" s="53"/>
      <c r="EA551" s="53"/>
      <c r="EB551" s="417"/>
    </row>
    <row r="552" spans="1:132" s="7" customFormat="1">
      <c r="A552" s="52" t="s">
        <v>608</v>
      </c>
      <c r="B552" s="422"/>
      <c r="C552" s="422"/>
      <c r="D552" s="422"/>
      <c r="E552" s="422"/>
      <c r="F552" s="422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  <c r="CD552" s="53"/>
      <c r="CE552" s="53"/>
      <c r="CF552" s="53"/>
      <c r="CG552" s="53"/>
      <c r="CH552" s="53"/>
      <c r="CI552" s="53"/>
      <c r="CJ552" s="53"/>
      <c r="CK552" s="53"/>
      <c r="CL552" s="53"/>
      <c r="CM552" s="53"/>
      <c r="CN552" s="53"/>
      <c r="CO552" s="53"/>
      <c r="CP552" s="53"/>
      <c r="CQ552" s="53"/>
      <c r="CR552" s="53"/>
      <c r="CS552" s="53"/>
      <c r="CT552" s="53"/>
      <c r="CU552" s="53"/>
      <c r="CV552" s="53"/>
      <c r="CW552" s="53"/>
      <c r="CX552" s="53"/>
      <c r="CY552" s="53"/>
      <c r="CZ552" s="53"/>
      <c r="DA552" s="53"/>
      <c r="DB552" s="53"/>
      <c r="DC552" s="53"/>
      <c r="DD552" s="53"/>
      <c r="DE552" s="53"/>
      <c r="DF552" s="53"/>
      <c r="DG552" s="53"/>
      <c r="DH552" s="53"/>
      <c r="DI552" s="53"/>
      <c r="DJ552" s="53"/>
      <c r="DK552" s="53"/>
      <c r="DL552" s="53"/>
      <c r="DM552" s="53"/>
      <c r="DN552" s="53"/>
      <c r="DO552" s="53"/>
      <c r="DP552" s="53"/>
      <c r="DQ552" s="53"/>
      <c r="DR552" s="53"/>
      <c r="DS552" s="53"/>
      <c r="DT552" s="53"/>
      <c r="DU552" s="53"/>
      <c r="DV552" s="53"/>
      <c r="DW552" s="53"/>
      <c r="DX552" s="53"/>
      <c r="DY552" s="53"/>
      <c r="DZ552" s="53"/>
      <c r="EA552" s="53"/>
      <c r="EB552" s="417"/>
    </row>
    <row r="553" spans="1:132" s="7" customFormat="1">
      <c r="A553" s="52" t="s">
        <v>455</v>
      </c>
      <c r="B553" s="422"/>
      <c r="C553" s="422"/>
      <c r="D553" s="422"/>
      <c r="E553" s="422"/>
      <c r="F553" s="422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  <c r="CD553" s="53"/>
      <c r="CE553" s="53"/>
      <c r="CF553" s="53"/>
      <c r="CG553" s="53"/>
      <c r="CH553" s="53"/>
      <c r="CI553" s="53"/>
      <c r="CJ553" s="53"/>
      <c r="CK553" s="53"/>
      <c r="CL553" s="53"/>
      <c r="CM553" s="53"/>
      <c r="CN553" s="53"/>
      <c r="CO553" s="53"/>
      <c r="CP553" s="53"/>
      <c r="CQ553" s="53"/>
      <c r="CR553" s="53"/>
      <c r="CS553" s="53"/>
      <c r="CT553" s="53"/>
      <c r="CU553" s="53"/>
      <c r="CV553" s="53"/>
      <c r="CW553" s="53"/>
      <c r="CX553" s="53"/>
      <c r="CY553" s="53"/>
      <c r="CZ553" s="53"/>
      <c r="DA553" s="53"/>
      <c r="DB553" s="53"/>
      <c r="DC553" s="53"/>
      <c r="DD553" s="53"/>
      <c r="DE553" s="53"/>
      <c r="DF553" s="53"/>
      <c r="DG553" s="53"/>
      <c r="DH553" s="53"/>
      <c r="DI553" s="53"/>
      <c r="DJ553" s="53"/>
      <c r="DK553" s="53"/>
      <c r="DL553" s="53"/>
      <c r="DM553" s="53"/>
      <c r="DN553" s="53"/>
      <c r="DO553" s="53"/>
      <c r="DP553" s="53"/>
      <c r="DQ553" s="53"/>
      <c r="DR553" s="53"/>
      <c r="DS553" s="53"/>
      <c r="DT553" s="53"/>
      <c r="DU553" s="53"/>
      <c r="DV553" s="53"/>
      <c r="DW553" s="53"/>
      <c r="DX553" s="53"/>
      <c r="DY553" s="53"/>
      <c r="DZ553" s="53"/>
      <c r="EA553" s="53"/>
      <c r="EB553" s="417"/>
    </row>
    <row r="554" spans="1:132" s="7" customFormat="1">
      <c r="A554" s="52" t="s">
        <v>609</v>
      </c>
      <c r="B554" s="422"/>
      <c r="C554" s="422"/>
      <c r="D554" s="422"/>
      <c r="E554" s="422"/>
      <c r="F554" s="422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  <c r="CD554" s="53"/>
      <c r="CE554" s="53"/>
      <c r="CF554" s="53"/>
      <c r="CG554" s="53"/>
      <c r="CH554" s="53"/>
      <c r="CI554" s="53"/>
      <c r="CJ554" s="53"/>
      <c r="CK554" s="53"/>
      <c r="CL554" s="53"/>
      <c r="CM554" s="53"/>
      <c r="CN554" s="53"/>
      <c r="CO554" s="53"/>
      <c r="CP554" s="53"/>
      <c r="CQ554" s="53"/>
      <c r="CR554" s="53"/>
      <c r="CS554" s="53"/>
      <c r="CT554" s="53"/>
      <c r="CU554" s="53"/>
      <c r="CV554" s="53"/>
      <c r="CW554" s="53"/>
      <c r="CX554" s="53"/>
      <c r="CY554" s="53"/>
      <c r="CZ554" s="53"/>
      <c r="DA554" s="53"/>
      <c r="DB554" s="53"/>
      <c r="DC554" s="53"/>
      <c r="DD554" s="53"/>
      <c r="DE554" s="53"/>
      <c r="DF554" s="53"/>
      <c r="DG554" s="53"/>
      <c r="DH554" s="53"/>
      <c r="DI554" s="53"/>
      <c r="DJ554" s="53"/>
      <c r="DK554" s="53"/>
      <c r="DL554" s="53"/>
      <c r="DM554" s="53"/>
      <c r="DN554" s="53"/>
      <c r="DO554" s="53"/>
      <c r="DP554" s="53"/>
      <c r="DQ554" s="53"/>
      <c r="DR554" s="53"/>
      <c r="DS554" s="53"/>
      <c r="DT554" s="53"/>
      <c r="DU554" s="53"/>
      <c r="DV554" s="53"/>
      <c r="DW554" s="53"/>
      <c r="DX554" s="53"/>
      <c r="DY554" s="53"/>
      <c r="DZ554" s="53"/>
      <c r="EA554" s="53"/>
      <c r="EB554" s="417"/>
    </row>
    <row r="555" spans="1:132" s="7" customFormat="1">
      <c r="A555" s="52" t="s">
        <v>610</v>
      </c>
      <c r="B555" s="422"/>
      <c r="C555" s="422"/>
      <c r="D555" s="422"/>
      <c r="E555" s="422"/>
      <c r="F555" s="422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  <c r="CD555" s="53"/>
      <c r="CE555" s="53"/>
      <c r="CF555" s="53"/>
      <c r="CG555" s="53"/>
      <c r="CH555" s="53"/>
      <c r="CI555" s="53"/>
      <c r="CJ555" s="53"/>
      <c r="CK555" s="53"/>
      <c r="CL555" s="53"/>
      <c r="CM555" s="53"/>
      <c r="CN555" s="53"/>
      <c r="CO555" s="53"/>
      <c r="CP555" s="53"/>
      <c r="CQ555" s="53"/>
      <c r="CR555" s="53"/>
      <c r="CS555" s="53"/>
      <c r="CT555" s="53"/>
      <c r="CU555" s="53"/>
      <c r="CV555" s="53"/>
      <c r="CW555" s="53"/>
      <c r="CX555" s="53"/>
      <c r="CY555" s="53"/>
      <c r="CZ555" s="53"/>
      <c r="DA555" s="53"/>
      <c r="DB555" s="53"/>
      <c r="DC555" s="53"/>
      <c r="DD555" s="53"/>
      <c r="DE555" s="53"/>
      <c r="DF555" s="53"/>
      <c r="DG555" s="53"/>
      <c r="DH555" s="53"/>
      <c r="DI555" s="53"/>
      <c r="DJ555" s="53"/>
      <c r="DK555" s="53"/>
      <c r="DL555" s="53"/>
      <c r="DM555" s="53"/>
      <c r="DN555" s="53"/>
      <c r="DO555" s="53"/>
      <c r="DP555" s="53"/>
      <c r="DQ555" s="53"/>
      <c r="DR555" s="53"/>
      <c r="DS555" s="53"/>
      <c r="DT555" s="53"/>
      <c r="DU555" s="53"/>
      <c r="DV555" s="53"/>
      <c r="DW555" s="53"/>
      <c r="DX555" s="53"/>
      <c r="DY555" s="53"/>
      <c r="DZ555" s="53"/>
      <c r="EA555" s="53"/>
      <c r="EB555" s="417"/>
    </row>
    <row r="556" spans="1:132" s="7" customFormat="1">
      <c r="A556" s="52" t="s">
        <v>601</v>
      </c>
      <c r="B556" s="422"/>
      <c r="C556" s="422"/>
      <c r="D556" s="422"/>
      <c r="E556" s="422"/>
      <c r="F556" s="422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  <c r="CD556" s="53"/>
      <c r="CE556" s="53"/>
      <c r="CF556" s="53"/>
      <c r="CG556" s="53"/>
      <c r="CH556" s="53"/>
      <c r="CI556" s="53"/>
      <c r="CJ556" s="53"/>
      <c r="CK556" s="53"/>
      <c r="CL556" s="53"/>
      <c r="CM556" s="53"/>
      <c r="CN556" s="53"/>
      <c r="CO556" s="53"/>
      <c r="CP556" s="53"/>
      <c r="CQ556" s="53"/>
      <c r="CR556" s="53"/>
      <c r="CS556" s="53"/>
      <c r="CT556" s="53"/>
      <c r="CU556" s="53"/>
      <c r="CV556" s="53"/>
      <c r="CW556" s="53"/>
      <c r="CX556" s="53"/>
      <c r="CY556" s="53"/>
      <c r="CZ556" s="53"/>
      <c r="DA556" s="53"/>
      <c r="DB556" s="53"/>
      <c r="DC556" s="53"/>
      <c r="DD556" s="53"/>
      <c r="DE556" s="53"/>
      <c r="DF556" s="53"/>
      <c r="DG556" s="53"/>
      <c r="DH556" s="53"/>
      <c r="DI556" s="53"/>
      <c r="DJ556" s="53"/>
      <c r="DK556" s="53"/>
      <c r="DL556" s="53"/>
      <c r="DM556" s="53"/>
      <c r="DN556" s="53"/>
      <c r="DO556" s="53"/>
      <c r="DP556" s="53"/>
      <c r="DQ556" s="53"/>
      <c r="DR556" s="53"/>
      <c r="DS556" s="53"/>
      <c r="DT556" s="53"/>
      <c r="DU556" s="53"/>
      <c r="DV556" s="53"/>
      <c r="DW556" s="53"/>
      <c r="DX556" s="53"/>
      <c r="DY556" s="53"/>
      <c r="DZ556" s="53"/>
      <c r="EA556" s="53"/>
      <c r="EB556" s="417"/>
    </row>
    <row r="557" spans="1:132" s="7" customFormat="1">
      <c r="A557" s="52" t="s">
        <v>611</v>
      </c>
      <c r="B557" s="422"/>
      <c r="C557" s="422"/>
      <c r="D557" s="422"/>
      <c r="E557" s="422"/>
      <c r="F557" s="422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  <c r="CD557" s="53"/>
      <c r="CE557" s="53"/>
      <c r="CF557" s="53"/>
      <c r="CG557" s="53"/>
      <c r="CH557" s="53"/>
      <c r="CI557" s="53"/>
      <c r="CJ557" s="53"/>
      <c r="CK557" s="53"/>
      <c r="CL557" s="53"/>
      <c r="CM557" s="53"/>
      <c r="CN557" s="53"/>
      <c r="CO557" s="53"/>
      <c r="CP557" s="53"/>
      <c r="CQ557" s="53"/>
      <c r="CR557" s="53"/>
      <c r="CS557" s="53"/>
      <c r="CT557" s="53"/>
      <c r="CU557" s="53"/>
      <c r="CV557" s="53"/>
      <c r="CW557" s="53"/>
      <c r="CX557" s="53"/>
      <c r="CY557" s="53"/>
      <c r="CZ557" s="53"/>
      <c r="DA557" s="53"/>
      <c r="DB557" s="53"/>
      <c r="DC557" s="53"/>
      <c r="DD557" s="53"/>
      <c r="DE557" s="53"/>
      <c r="DF557" s="53"/>
      <c r="DG557" s="53"/>
      <c r="DH557" s="53"/>
      <c r="DI557" s="53"/>
      <c r="DJ557" s="53"/>
      <c r="DK557" s="53"/>
      <c r="DL557" s="53"/>
      <c r="DM557" s="53"/>
      <c r="DN557" s="53"/>
      <c r="DO557" s="53"/>
      <c r="DP557" s="53"/>
      <c r="DQ557" s="53"/>
      <c r="DR557" s="53"/>
      <c r="DS557" s="53"/>
      <c r="DT557" s="53"/>
      <c r="DU557" s="53"/>
      <c r="DV557" s="53"/>
      <c r="DW557" s="53"/>
      <c r="DX557" s="53"/>
      <c r="DY557" s="53"/>
      <c r="DZ557" s="53"/>
      <c r="EA557" s="53"/>
      <c r="EB557" s="417"/>
    </row>
    <row r="558" spans="1:132" s="7" customFormat="1" ht="13.5" thickBot="1">
      <c r="A558" s="52" t="s">
        <v>612</v>
      </c>
      <c r="B558" s="425"/>
      <c r="C558" s="425"/>
      <c r="D558" s="425"/>
      <c r="E558" s="425"/>
      <c r="F558" s="425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/>
      <c r="BR558" s="57"/>
      <c r="BS558" s="57"/>
      <c r="BT558" s="57"/>
      <c r="BU558" s="57"/>
      <c r="BV558" s="57"/>
      <c r="BW558" s="57"/>
      <c r="BX558" s="57"/>
      <c r="BY558" s="57"/>
      <c r="BZ558" s="57"/>
      <c r="CA558" s="57"/>
      <c r="CB558" s="57"/>
      <c r="CC558" s="57"/>
      <c r="CD558" s="57"/>
      <c r="CE558" s="57"/>
      <c r="CF558" s="57"/>
      <c r="CG558" s="57"/>
      <c r="CH558" s="57"/>
      <c r="CI558" s="57"/>
      <c r="CJ558" s="57"/>
      <c r="CK558" s="57"/>
      <c r="CL558" s="57"/>
      <c r="CM558" s="57"/>
      <c r="CN558" s="57"/>
      <c r="CO558" s="57"/>
      <c r="CP558" s="57"/>
      <c r="CQ558" s="57"/>
      <c r="CR558" s="57"/>
      <c r="CS558" s="57"/>
      <c r="CT558" s="57"/>
      <c r="CU558" s="57"/>
      <c r="CV558" s="57"/>
      <c r="CW558" s="57"/>
      <c r="CX558" s="57"/>
      <c r="CY558" s="57"/>
      <c r="CZ558" s="57"/>
      <c r="DA558" s="57"/>
      <c r="DB558" s="57"/>
      <c r="DC558" s="57"/>
      <c r="DD558" s="57"/>
      <c r="DE558" s="57"/>
      <c r="DF558" s="57"/>
      <c r="DG558" s="57"/>
      <c r="DH558" s="57"/>
      <c r="DI558" s="57"/>
      <c r="DJ558" s="57"/>
      <c r="DK558" s="57"/>
      <c r="DL558" s="57"/>
      <c r="DM558" s="57"/>
      <c r="DN558" s="57"/>
      <c r="DO558" s="57"/>
      <c r="DP558" s="57"/>
      <c r="DQ558" s="57"/>
      <c r="DR558" s="57"/>
      <c r="DS558" s="57"/>
      <c r="DT558" s="57"/>
      <c r="DU558" s="57"/>
      <c r="DV558" s="57"/>
      <c r="DW558" s="57"/>
      <c r="DX558" s="57"/>
      <c r="DY558" s="57"/>
      <c r="DZ558" s="57"/>
      <c r="EA558" s="57"/>
      <c r="EB558" s="417"/>
    </row>
    <row r="559" spans="1:132" s="7" customFormat="1">
      <c r="A559" s="52"/>
      <c r="B559" s="424"/>
      <c r="C559" s="424"/>
      <c r="D559" s="424"/>
      <c r="E559" s="424"/>
      <c r="F559" s="424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0"/>
      <c r="CC559" s="20"/>
      <c r="CD559" s="20"/>
      <c r="CE559" s="20"/>
      <c r="CF559" s="20"/>
      <c r="CG559" s="20"/>
      <c r="CH559" s="20"/>
      <c r="CI559" s="20"/>
      <c r="CJ559" s="20"/>
      <c r="CK559" s="20"/>
      <c r="CL559" s="20"/>
      <c r="CM559" s="20"/>
      <c r="CN559" s="20"/>
      <c r="CO559" s="20"/>
      <c r="CP559" s="20"/>
      <c r="CQ559" s="20"/>
      <c r="CR559" s="20"/>
      <c r="CS559" s="20"/>
      <c r="CT559" s="20"/>
      <c r="CU559" s="20"/>
      <c r="CV559" s="20"/>
      <c r="CW559" s="20"/>
      <c r="CX559" s="20"/>
      <c r="CY559" s="20"/>
      <c r="CZ559" s="20"/>
      <c r="DA559" s="20"/>
      <c r="DB559" s="20"/>
      <c r="DC559" s="20"/>
      <c r="DD559" s="20"/>
      <c r="DE559" s="20"/>
      <c r="DF559" s="20"/>
      <c r="DG559" s="20"/>
      <c r="DH559" s="20"/>
      <c r="DI559" s="20"/>
      <c r="DJ559" s="20"/>
      <c r="DK559" s="20"/>
      <c r="DL559" s="20"/>
      <c r="DM559" s="20"/>
      <c r="DN559" s="20"/>
      <c r="DO559" s="20"/>
      <c r="DP559" s="20"/>
      <c r="DQ559" s="20"/>
      <c r="DR559" s="20"/>
      <c r="DS559" s="20"/>
      <c r="DT559" s="20"/>
      <c r="DU559" s="20"/>
      <c r="DV559" s="20"/>
      <c r="DW559" s="20"/>
      <c r="DX559" s="20"/>
      <c r="DY559" s="20"/>
      <c r="DZ559" s="20"/>
      <c r="EA559" s="20"/>
      <c r="EB559" s="417"/>
    </row>
    <row r="560" spans="1:132" s="7" customFormat="1" ht="15.75">
      <c r="A560" s="47" t="s">
        <v>613</v>
      </c>
      <c r="B560" s="423"/>
      <c r="C560" s="423"/>
      <c r="D560" s="423"/>
      <c r="E560" s="423"/>
      <c r="F560" s="423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  <c r="CD560" s="48"/>
      <c r="CE560" s="48"/>
      <c r="CF560" s="48"/>
      <c r="CG560" s="48"/>
      <c r="CH560" s="48"/>
      <c r="CI560" s="48"/>
      <c r="CJ560" s="48"/>
      <c r="CK560" s="48"/>
      <c r="CL560" s="48"/>
      <c r="CM560" s="48"/>
      <c r="CN560" s="48"/>
      <c r="CO560" s="48"/>
      <c r="CP560" s="48"/>
      <c r="CQ560" s="48"/>
      <c r="CR560" s="48"/>
      <c r="CS560" s="48"/>
      <c r="CT560" s="48"/>
      <c r="CU560" s="48"/>
      <c r="CV560" s="48"/>
      <c r="CW560" s="48"/>
      <c r="CX560" s="48"/>
      <c r="CY560" s="48"/>
      <c r="CZ560" s="48"/>
      <c r="DA560" s="48"/>
      <c r="DB560" s="48"/>
      <c r="DC560" s="48"/>
      <c r="DD560" s="48"/>
      <c r="DE560" s="48"/>
      <c r="DF560" s="48"/>
      <c r="DG560" s="48"/>
      <c r="DH560" s="48"/>
      <c r="DI560" s="48"/>
      <c r="DJ560" s="48"/>
      <c r="DK560" s="48"/>
      <c r="DL560" s="48"/>
      <c r="DM560" s="48"/>
      <c r="DN560" s="48"/>
      <c r="DO560" s="48"/>
      <c r="DP560" s="48"/>
      <c r="DQ560" s="48"/>
      <c r="DR560" s="48"/>
      <c r="DS560" s="48"/>
      <c r="DT560" s="48"/>
      <c r="DU560" s="48"/>
      <c r="DV560" s="48"/>
      <c r="DW560" s="48"/>
      <c r="DX560" s="48"/>
      <c r="DY560" s="48"/>
      <c r="DZ560" s="48"/>
      <c r="EA560" s="48"/>
      <c r="EB560" s="417"/>
    </row>
    <row r="561" spans="1:132" s="7" customFormat="1">
      <c r="A561" s="52" t="s">
        <v>351</v>
      </c>
      <c r="B561" s="422"/>
      <c r="C561" s="422"/>
      <c r="D561" s="422"/>
      <c r="E561" s="422"/>
      <c r="F561" s="422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  <c r="CD561" s="53"/>
      <c r="CE561" s="53"/>
      <c r="CF561" s="53"/>
      <c r="CG561" s="53"/>
      <c r="CH561" s="53"/>
      <c r="CI561" s="53"/>
      <c r="CJ561" s="53"/>
      <c r="CK561" s="53"/>
      <c r="CL561" s="53"/>
      <c r="CM561" s="53"/>
      <c r="CN561" s="53"/>
      <c r="CO561" s="53"/>
      <c r="CP561" s="53"/>
      <c r="CQ561" s="53"/>
      <c r="CR561" s="53"/>
      <c r="CS561" s="53"/>
      <c r="CT561" s="53"/>
      <c r="CU561" s="53"/>
      <c r="CV561" s="53"/>
      <c r="CW561" s="53"/>
      <c r="CX561" s="53"/>
      <c r="CY561" s="53"/>
      <c r="CZ561" s="53"/>
      <c r="DA561" s="53"/>
      <c r="DB561" s="53"/>
      <c r="DC561" s="53"/>
      <c r="DD561" s="53"/>
      <c r="DE561" s="53"/>
      <c r="DF561" s="53"/>
      <c r="DG561" s="53"/>
      <c r="DH561" s="53"/>
      <c r="DI561" s="53"/>
      <c r="DJ561" s="53"/>
      <c r="DK561" s="53"/>
      <c r="DL561" s="53"/>
      <c r="DM561" s="53"/>
      <c r="DN561" s="53"/>
      <c r="DO561" s="53"/>
      <c r="DP561" s="53"/>
      <c r="DQ561" s="53"/>
      <c r="DR561" s="53"/>
      <c r="DS561" s="53"/>
      <c r="DT561" s="53"/>
      <c r="DU561" s="53"/>
      <c r="DV561" s="53"/>
      <c r="DW561" s="53"/>
      <c r="DX561" s="53"/>
      <c r="DY561" s="53"/>
      <c r="DZ561" s="53"/>
      <c r="EA561" s="53"/>
      <c r="EB561" s="417"/>
    </row>
    <row r="562" spans="1:132" s="7" customFormat="1">
      <c r="A562" s="52" t="s">
        <v>614</v>
      </c>
      <c r="B562" s="422"/>
      <c r="C562" s="422"/>
      <c r="D562" s="422"/>
      <c r="E562" s="422"/>
      <c r="F562" s="422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  <c r="CD562" s="53"/>
      <c r="CE562" s="53"/>
      <c r="CF562" s="53"/>
      <c r="CG562" s="53"/>
      <c r="CH562" s="53"/>
      <c r="CI562" s="53"/>
      <c r="CJ562" s="53"/>
      <c r="CK562" s="53"/>
      <c r="CL562" s="53"/>
      <c r="CM562" s="53"/>
      <c r="CN562" s="53"/>
      <c r="CO562" s="53"/>
      <c r="CP562" s="53"/>
      <c r="CQ562" s="53"/>
      <c r="CR562" s="53"/>
      <c r="CS562" s="53"/>
      <c r="CT562" s="53"/>
      <c r="CU562" s="53"/>
      <c r="CV562" s="53"/>
      <c r="CW562" s="53"/>
      <c r="CX562" s="53"/>
      <c r="CY562" s="53"/>
      <c r="CZ562" s="53"/>
      <c r="DA562" s="53"/>
      <c r="DB562" s="53"/>
      <c r="DC562" s="53"/>
      <c r="DD562" s="53"/>
      <c r="DE562" s="53"/>
      <c r="DF562" s="53"/>
      <c r="DG562" s="53"/>
      <c r="DH562" s="53"/>
      <c r="DI562" s="53"/>
      <c r="DJ562" s="53"/>
      <c r="DK562" s="53"/>
      <c r="DL562" s="53"/>
      <c r="DM562" s="53"/>
      <c r="DN562" s="53"/>
      <c r="DO562" s="53"/>
      <c r="DP562" s="53"/>
      <c r="DQ562" s="53"/>
      <c r="DR562" s="53"/>
      <c r="DS562" s="53"/>
      <c r="DT562" s="53"/>
      <c r="DU562" s="53"/>
      <c r="DV562" s="53"/>
      <c r="DW562" s="53"/>
      <c r="DX562" s="53"/>
      <c r="DY562" s="53"/>
      <c r="DZ562" s="53"/>
      <c r="EA562" s="53"/>
      <c r="EB562" s="417"/>
    </row>
    <row r="563" spans="1:132" s="7" customFormat="1">
      <c r="A563" s="52" t="s">
        <v>615</v>
      </c>
      <c r="B563" s="422"/>
      <c r="C563" s="422"/>
      <c r="D563" s="422"/>
      <c r="E563" s="422"/>
      <c r="F563" s="422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  <c r="CD563" s="53"/>
      <c r="CE563" s="53"/>
      <c r="CF563" s="53"/>
      <c r="CG563" s="53"/>
      <c r="CH563" s="53"/>
      <c r="CI563" s="53"/>
      <c r="CJ563" s="53"/>
      <c r="CK563" s="53"/>
      <c r="CL563" s="53"/>
      <c r="CM563" s="53"/>
      <c r="CN563" s="53"/>
      <c r="CO563" s="53"/>
      <c r="CP563" s="53"/>
      <c r="CQ563" s="53"/>
      <c r="CR563" s="53"/>
      <c r="CS563" s="53"/>
      <c r="CT563" s="53"/>
      <c r="CU563" s="53"/>
      <c r="CV563" s="53"/>
      <c r="CW563" s="53"/>
      <c r="CX563" s="53"/>
      <c r="CY563" s="53"/>
      <c r="CZ563" s="53"/>
      <c r="DA563" s="53"/>
      <c r="DB563" s="53"/>
      <c r="DC563" s="53"/>
      <c r="DD563" s="53"/>
      <c r="DE563" s="53"/>
      <c r="DF563" s="53"/>
      <c r="DG563" s="53"/>
      <c r="DH563" s="53"/>
      <c r="DI563" s="53"/>
      <c r="DJ563" s="53"/>
      <c r="DK563" s="53"/>
      <c r="DL563" s="53"/>
      <c r="DM563" s="53"/>
      <c r="DN563" s="53"/>
      <c r="DO563" s="53"/>
      <c r="DP563" s="53"/>
      <c r="DQ563" s="53"/>
      <c r="DR563" s="53"/>
      <c r="DS563" s="53"/>
      <c r="DT563" s="53"/>
      <c r="DU563" s="53"/>
      <c r="DV563" s="53"/>
      <c r="DW563" s="53"/>
      <c r="DX563" s="53"/>
      <c r="DY563" s="53"/>
      <c r="DZ563" s="53"/>
      <c r="EA563" s="53"/>
      <c r="EB563" s="417"/>
    </row>
    <row r="564" spans="1:132" s="7" customFormat="1">
      <c r="A564" s="52" t="s">
        <v>379</v>
      </c>
      <c r="B564" s="422"/>
      <c r="C564" s="422"/>
      <c r="D564" s="422"/>
      <c r="E564" s="422"/>
      <c r="F564" s="422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  <c r="CD564" s="53"/>
      <c r="CE564" s="53"/>
      <c r="CF564" s="53"/>
      <c r="CG564" s="53"/>
      <c r="CH564" s="53"/>
      <c r="CI564" s="53"/>
      <c r="CJ564" s="53"/>
      <c r="CK564" s="53"/>
      <c r="CL564" s="53"/>
      <c r="CM564" s="53"/>
      <c r="CN564" s="53"/>
      <c r="CO564" s="53"/>
      <c r="CP564" s="53"/>
      <c r="CQ564" s="53"/>
      <c r="CR564" s="53"/>
      <c r="CS564" s="53"/>
      <c r="CT564" s="53"/>
      <c r="CU564" s="53"/>
      <c r="CV564" s="53"/>
      <c r="CW564" s="53"/>
      <c r="CX564" s="53"/>
      <c r="CY564" s="53"/>
      <c r="CZ564" s="53"/>
      <c r="DA564" s="53"/>
      <c r="DB564" s="53"/>
      <c r="DC564" s="53"/>
      <c r="DD564" s="53"/>
      <c r="DE564" s="53"/>
      <c r="DF564" s="53"/>
      <c r="DG564" s="53"/>
      <c r="DH564" s="53"/>
      <c r="DI564" s="53"/>
      <c r="DJ564" s="53"/>
      <c r="DK564" s="53"/>
      <c r="DL564" s="53"/>
      <c r="DM564" s="53"/>
      <c r="DN564" s="53"/>
      <c r="DO564" s="53"/>
      <c r="DP564" s="53"/>
      <c r="DQ564" s="53"/>
      <c r="DR564" s="53"/>
      <c r="DS564" s="53"/>
      <c r="DT564" s="53"/>
      <c r="DU564" s="53"/>
      <c r="DV564" s="53"/>
      <c r="DW564" s="53"/>
      <c r="DX564" s="53"/>
      <c r="DY564" s="53"/>
      <c r="DZ564" s="53"/>
      <c r="EA564" s="53"/>
      <c r="EB564" s="417"/>
    </row>
    <row r="565" spans="1:132" s="7" customFormat="1">
      <c r="A565" s="52" t="s">
        <v>616</v>
      </c>
      <c r="B565" s="421"/>
      <c r="C565" s="421"/>
      <c r="D565" s="421"/>
      <c r="E565" s="421"/>
      <c r="F565" s="421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54"/>
      <c r="BS565" s="54"/>
      <c r="BT565" s="54"/>
      <c r="BU565" s="54"/>
      <c r="BV565" s="54"/>
      <c r="BW565" s="54"/>
      <c r="BX565" s="54"/>
      <c r="BY565" s="54"/>
      <c r="BZ565" s="54"/>
      <c r="CA565" s="54"/>
      <c r="CB565" s="54"/>
      <c r="CC565" s="54"/>
      <c r="CD565" s="54"/>
      <c r="CE565" s="54"/>
      <c r="CF565" s="54"/>
      <c r="CG565" s="54"/>
      <c r="CH565" s="54"/>
      <c r="CI565" s="54"/>
      <c r="CJ565" s="54"/>
      <c r="CK565" s="54"/>
      <c r="CL565" s="54"/>
      <c r="CM565" s="54"/>
      <c r="CN565" s="54"/>
      <c r="CO565" s="54"/>
      <c r="CP565" s="54"/>
      <c r="CQ565" s="54"/>
      <c r="CR565" s="54"/>
      <c r="CS565" s="54"/>
      <c r="CT565" s="54"/>
      <c r="CU565" s="54"/>
      <c r="CV565" s="54"/>
      <c r="CW565" s="54"/>
      <c r="CX565" s="54"/>
      <c r="CY565" s="54"/>
      <c r="CZ565" s="54"/>
      <c r="DA565" s="54"/>
      <c r="DB565" s="54"/>
      <c r="DC565" s="54"/>
      <c r="DD565" s="54"/>
      <c r="DE565" s="54"/>
      <c r="DF565" s="54"/>
      <c r="DG565" s="54"/>
      <c r="DH565" s="54"/>
      <c r="DI565" s="54"/>
      <c r="DJ565" s="54"/>
      <c r="DK565" s="54"/>
      <c r="DL565" s="54"/>
      <c r="DM565" s="54"/>
      <c r="DN565" s="54"/>
      <c r="DO565" s="54"/>
      <c r="DP565" s="54"/>
      <c r="DQ565" s="54"/>
      <c r="DR565" s="54"/>
      <c r="DS565" s="54"/>
      <c r="DT565" s="54"/>
      <c r="DU565" s="54"/>
      <c r="DV565" s="54"/>
      <c r="DW565" s="54"/>
      <c r="DX565" s="54"/>
      <c r="DY565" s="54"/>
      <c r="DZ565" s="54"/>
      <c r="EA565" s="54"/>
      <c r="EB565" s="417"/>
    </row>
    <row r="566" spans="1:132" s="7" customFormat="1">
      <c r="A566" s="52" t="s">
        <v>617</v>
      </c>
      <c r="B566" s="422"/>
      <c r="C566" s="422"/>
      <c r="D566" s="422"/>
      <c r="E566" s="422"/>
      <c r="F566" s="422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  <c r="CD566" s="53"/>
      <c r="CE566" s="53"/>
      <c r="CF566" s="53"/>
      <c r="CG566" s="53"/>
      <c r="CH566" s="53"/>
      <c r="CI566" s="53"/>
      <c r="CJ566" s="53"/>
      <c r="CK566" s="53"/>
      <c r="CL566" s="53"/>
      <c r="CM566" s="53"/>
      <c r="CN566" s="53"/>
      <c r="CO566" s="53"/>
      <c r="CP566" s="53"/>
      <c r="CQ566" s="53"/>
      <c r="CR566" s="53"/>
      <c r="CS566" s="53"/>
      <c r="CT566" s="53"/>
      <c r="CU566" s="53"/>
      <c r="CV566" s="53"/>
      <c r="CW566" s="53"/>
      <c r="CX566" s="53"/>
      <c r="CY566" s="53"/>
      <c r="CZ566" s="53"/>
      <c r="DA566" s="53"/>
      <c r="DB566" s="53"/>
      <c r="DC566" s="53"/>
      <c r="DD566" s="53"/>
      <c r="DE566" s="53"/>
      <c r="DF566" s="53"/>
      <c r="DG566" s="53"/>
      <c r="DH566" s="53"/>
      <c r="DI566" s="53"/>
      <c r="DJ566" s="53"/>
      <c r="DK566" s="53"/>
      <c r="DL566" s="53"/>
      <c r="DM566" s="53"/>
      <c r="DN566" s="53"/>
      <c r="DO566" s="53"/>
      <c r="DP566" s="53"/>
      <c r="DQ566" s="53"/>
      <c r="DR566" s="53"/>
      <c r="DS566" s="53"/>
      <c r="DT566" s="53"/>
      <c r="DU566" s="53"/>
      <c r="DV566" s="53"/>
      <c r="DW566" s="53"/>
      <c r="DX566" s="53"/>
      <c r="DY566" s="53"/>
      <c r="DZ566" s="53"/>
      <c r="EA566" s="53"/>
      <c r="EB566" s="417"/>
    </row>
    <row r="567" spans="1:132" s="7" customFormat="1">
      <c r="A567" s="52" t="s">
        <v>618</v>
      </c>
      <c r="B567" s="422"/>
      <c r="C567" s="422"/>
      <c r="D567" s="422"/>
      <c r="E567" s="422"/>
      <c r="F567" s="422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  <c r="CD567" s="53"/>
      <c r="CE567" s="53"/>
      <c r="CF567" s="53"/>
      <c r="CG567" s="53"/>
      <c r="CH567" s="53"/>
      <c r="CI567" s="53"/>
      <c r="CJ567" s="53"/>
      <c r="CK567" s="53"/>
      <c r="CL567" s="53"/>
      <c r="CM567" s="53"/>
      <c r="CN567" s="53"/>
      <c r="CO567" s="53"/>
      <c r="CP567" s="53"/>
      <c r="CQ567" s="53"/>
      <c r="CR567" s="53"/>
      <c r="CS567" s="53"/>
      <c r="CT567" s="53"/>
      <c r="CU567" s="53"/>
      <c r="CV567" s="53"/>
      <c r="CW567" s="53"/>
      <c r="CX567" s="53"/>
      <c r="CY567" s="53"/>
      <c r="CZ567" s="53"/>
      <c r="DA567" s="53"/>
      <c r="DB567" s="53"/>
      <c r="DC567" s="53"/>
      <c r="DD567" s="53"/>
      <c r="DE567" s="53"/>
      <c r="DF567" s="53"/>
      <c r="DG567" s="53"/>
      <c r="DH567" s="53"/>
      <c r="DI567" s="53"/>
      <c r="DJ567" s="53"/>
      <c r="DK567" s="53"/>
      <c r="DL567" s="53"/>
      <c r="DM567" s="53"/>
      <c r="DN567" s="53"/>
      <c r="DO567" s="53"/>
      <c r="DP567" s="53"/>
      <c r="DQ567" s="53"/>
      <c r="DR567" s="53"/>
      <c r="DS567" s="53"/>
      <c r="DT567" s="53"/>
      <c r="DU567" s="53"/>
      <c r="DV567" s="53"/>
      <c r="DW567" s="53"/>
      <c r="DX567" s="53"/>
      <c r="DY567" s="53"/>
      <c r="DZ567" s="53"/>
      <c r="EA567" s="53"/>
      <c r="EB567" s="417"/>
    </row>
    <row r="568" spans="1:132" s="7" customFormat="1">
      <c r="A568" s="52" t="s">
        <v>619</v>
      </c>
      <c r="B568" s="422"/>
      <c r="C568" s="422"/>
      <c r="D568" s="422"/>
      <c r="E568" s="422"/>
      <c r="F568" s="422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  <c r="CD568" s="53"/>
      <c r="CE568" s="53"/>
      <c r="CF568" s="53"/>
      <c r="CG568" s="53"/>
      <c r="CH568" s="53"/>
      <c r="CI568" s="53"/>
      <c r="CJ568" s="53"/>
      <c r="CK568" s="53"/>
      <c r="CL568" s="53"/>
      <c r="CM568" s="53"/>
      <c r="CN568" s="53"/>
      <c r="CO568" s="53"/>
      <c r="CP568" s="53"/>
      <c r="CQ568" s="53"/>
      <c r="CR568" s="53"/>
      <c r="CS568" s="53"/>
      <c r="CT568" s="53"/>
      <c r="CU568" s="53"/>
      <c r="CV568" s="53"/>
      <c r="CW568" s="53"/>
      <c r="CX568" s="53"/>
      <c r="CY568" s="53"/>
      <c r="CZ568" s="53"/>
      <c r="DA568" s="53"/>
      <c r="DB568" s="53"/>
      <c r="DC568" s="53"/>
      <c r="DD568" s="53"/>
      <c r="DE568" s="53"/>
      <c r="DF568" s="53"/>
      <c r="DG568" s="53"/>
      <c r="DH568" s="53"/>
      <c r="DI568" s="53"/>
      <c r="DJ568" s="53"/>
      <c r="DK568" s="53"/>
      <c r="DL568" s="53"/>
      <c r="DM568" s="53"/>
      <c r="DN568" s="53"/>
      <c r="DO568" s="53"/>
      <c r="DP568" s="53"/>
      <c r="DQ568" s="53"/>
      <c r="DR568" s="53"/>
      <c r="DS568" s="53"/>
      <c r="DT568" s="53"/>
      <c r="DU568" s="53"/>
      <c r="DV568" s="53"/>
      <c r="DW568" s="53"/>
      <c r="DX568" s="53"/>
      <c r="DY568" s="53"/>
      <c r="DZ568" s="53"/>
      <c r="EA568" s="53"/>
      <c r="EB568" s="417"/>
    </row>
    <row r="569" spans="1:132" s="7" customFormat="1">
      <c r="A569" s="52" t="s">
        <v>620</v>
      </c>
      <c r="B569" s="421"/>
      <c r="C569" s="421"/>
      <c r="D569" s="421"/>
      <c r="E569" s="421"/>
      <c r="F569" s="421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  <c r="BI569" s="54"/>
      <c r="BJ569" s="54"/>
      <c r="BK569" s="54"/>
      <c r="BL569" s="54"/>
      <c r="BM569" s="54"/>
      <c r="BN569" s="54"/>
      <c r="BO569" s="54"/>
      <c r="BP569" s="54"/>
      <c r="BQ569" s="54"/>
      <c r="BR569" s="54"/>
      <c r="BS569" s="54"/>
      <c r="BT569" s="54"/>
      <c r="BU569" s="54"/>
      <c r="BV569" s="54"/>
      <c r="BW569" s="54"/>
      <c r="BX569" s="54"/>
      <c r="BY569" s="54"/>
      <c r="BZ569" s="54"/>
      <c r="CA569" s="54"/>
      <c r="CB569" s="54"/>
      <c r="CC569" s="54"/>
      <c r="CD569" s="54"/>
      <c r="CE569" s="54"/>
      <c r="CF569" s="54"/>
      <c r="CG569" s="54"/>
      <c r="CH569" s="54"/>
      <c r="CI569" s="54"/>
      <c r="CJ569" s="54"/>
      <c r="CK569" s="54"/>
      <c r="CL569" s="54"/>
      <c r="CM569" s="54"/>
      <c r="CN569" s="54"/>
      <c r="CO569" s="54"/>
      <c r="CP569" s="54"/>
      <c r="CQ569" s="54"/>
      <c r="CR569" s="54"/>
      <c r="CS569" s="54"/>
      <c r="CT569" s="54"/>
      <c r="CU569" s="54"/>
      <c r="CV569" s="54"/>
      <c r="CW569" s="54"/>
      <c r="CX569" s="54"/>
      <c r="CY569" s="54"/>
      <c r="CZ569" s="54"/>
      <c r="DA569" s="54"/>
      <c r="DB569" s="54"/>
      <c r="DC569" s="54"/>
      <c r="DD569" s="54"/>
      <c r="DE569" s="54"/>
      <c r="DF569" s="54"/>
      <c r="DG569" s="54"/>
      <c r="DH569" s="54"/>
      <c r="DI569" s="54"/>
      <c r="DJ569" s="54"/>
      <c r="DK569" s="54"/>
      <c r="DL569" s="54"/>
      <c r="DM569" s="54"/>
      <c r="DN569" s="54"/>
      <c r="DO569" s="54"/>
      <c r="DP569" s="54"/>
      <c r="DQ569" s="54"/>
      <c r="DR569" s="54"/>
      <c r="DS569" s="54"/>
      <c r="DT569" s="54"/>
      <c r="DU569" s="54"/>
      <c r="DV569" s="54"/>
      <c r="DW569" s="54"/>
      <c r="DX569" s="54"/>
      <c r="DY569" s="54"/>
      <c r="DZ569" s="54"/>
      <c r="EA569" s="54"/>
      <c r="EB569" s="417"/>
    </row>
    <row r="570" spans="1:132" s="7" customFormat="1">
      <c r="A570" s="52" t="s">
        <v>245</v>
      </c>
      <c r="B570" s="422"/>
      <c r="C570" s="422"/>
      <c r="D570" s="422"/>
      <c r="E570" s="422"/>
      <c r="F570" s="422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  <c r="CD570" s="53"/>
      <c r="CE570" s="53"/>
      <c r="CF570" s="53"/>
      <c r="CG570" s="53"/>
      <c r="CH570" s="53"/>
      <c r="CI570" s="53"/>
      <c r="CJ570" s="53"/>
      <c r="CK570" s="53"/>
      <c r="CL570" s="53"/>
      <c r="CM570" s="53"/>
      <c r="CN570" s="53"/>
      <c r="CO570" s="53"/>
      <c r="CP570" s="53"/>
      <c r="CQ570" s="53"/>
      <c r="CR570" s="53"/>
      <c r="CS570" s="53"/>
      <c r="CT570" s="53"/>
      <c r="CU570" s="53"/>
      <c r="CV570" s="53"/>
      <c r="CW570" s="53"/>
      <c r="CX570" s="53"/>
      <c r="CY570" s="53"/>
      <c r="CZ570" s="53"/>
      <c r="DA570" s="53"/>
      <c r="DB570" s="53"/>
      <c r="DC570" s="53"/>
      <c r="DD570" s="53"/>
      <c r="DE570" s="53"/>
      <c r="DF570" s="53"/>
      <c r="DG570" s="53"/>
      <c r="DH570" s="53"/>
      <c r="DI570" s="53"/>
      <c r="DJ570" s="53"/>
      <c r="DK570" s="53"/>
      <c r="DL570" s="53"/>
      <c r="DM570" s="53"/>
      <c r="DN570" s="53"/>
      <c r="DO570" s="53"/>
      <c r="DP570" s="53"/>
      <c r="DQ570" s="53"/>
      <c r="DR570" s="53"/>
      <c r="DS570" s="53"/>
      <c r="DT570" s="53"/>
      <c r="DU570" s="53"/>
      <c r="DV570" s="53"/>
      <c r="DW570" s="53"/>
      <c r="DX570" s="53"/>
      <c r="DY570" s="53"/>
      <c r="DZ570" s="53"/>
      <c r="EA570" s="53"/>
      <c r="EB570" s="417"/>
    </row>
    <row r="571" spans="1:132" s="7" customFormat="1" ht="13.5" thickBot="1">
      <c r="A571" s="52" t="s">
        <v>621</v>
      </c>
      <c r="B571" s="421"/>
      <c r="C571" s="421"/>
      <c r="D571" s="421"/>
      <c r="E571" s="421"/>
      <c r="F571" s="421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  <c r="BI571" s="54"/>
      <c r="BJ571" s="54"/>
      <c r="BK571" s="54"/>
      <c r="BL571" s="54"/>
      <c r="BM571" s="54"/>
      <c r="BN571" s="54"/>
      <c r="BO571" s="54"/>
      <c r="BP571" s="54"/>
      <c r="BQ571" s="54"/>
      <c r="BR571" s="54"/>
      <c r="BS571" s="54"/>
      <c r="BT571" s="54"/>
      <c r="BU571" s="54"/>
      <c r="BV571" s="54"/>
      <c r="BW571" s="54"/>
      <c r="BX571" s="54"/>
      <c r="BY571" s="54"/>
      <c r="BZ571" s="54"/>
      <c r="CA571" s="54"/>
      <c r="CB571" s="54"/>
      <c r="CC571" s="54"/>
      <c r="CD571" s="54"/>
      <c r="CE571" s="54"/>
      <c r="CF571" s="54"/>
      <c r="CG571" s="54"/>
      <c r="CH571" s="54"/>
      <c r="CI571" s="54"/>
      <c r="CJ571" s="54"/>
      <c r="CK571" s="54"/>
      <c r="CL571" s="54"/>
      <c r="CM571" s="54"/>
      <c r="CN571" s="54"/>
      <c r="CO571" s="54"/>
      <c r="CP571" s="54"/>
      <c r="CQ571" s="54"/>
      <c r="CR571" s="54"/>
      <c r="CS571" s="54"/>
      <c r="CT571" s="54"/>
      <c r="CU571" s="54"/>
      <c r="CV571" s="54"/>
      <c r="CW571" s="54"/>
      <c r="CX571" s="54"/>
      <c r="CY571" s="54"/>
      <c r="CZ571" s="54"/>
      <c r="DA571" s="54"/>
      <c r="DB571" s="54"/>
      <c r="DC571" s="54"/>
      <c r="DD571" s="54"/>
      <c r="DE571" s="54"/>
      <c r="DF571" s="54"/>
      <c r="DG571" s="54"/>
      <c r="DH571" s="54"/>
      <c r="DI571" s="54"/>
      <c r="DJ571" s="54"/>
      <c r="DK571" s="54"/>
      <c r="DL571" s="54"/>
      <c r="DM571" s="54"/>
      <c r="DN571" s="54"/>
      <c r="DO571" s="54"/>
      <c r="DP571" s="54"/>
      <c r="DQ571" s="54"/>
      <c r="DR571" s="54"/>
      <c r="DS571" s="54"/>
      <c r="DT571" s="54"/>
      <c r="DU571" s="54"/>
      <c r="DV571" s="54"/>
      <c r="DW571" s="54"/>
      <c r="DX571" s="54"/>
      <c r="DY571" s="54"/>
      <c r="DZ571" s="54"/>
      <c r="EA571" s="54"/>
      <c r="EB571" s="417"/>
    </row>
    <row r="572" spans="1:132" s="7" customFormat="1" ht="15.75">
      <c r="A572" s="58" t="s">
        <v>622</v>
      </c>
      <c r="B572" s="420"/>
      <c r="C572" s="420"/>
      <c r="D572" s="420"/>
      <c r="E572" s="420"/>
      <c r="F572" s="42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417"/>
    </row>
    <row r="573" spans="1:132" s="7" customFormat="1">
      <c r="A573" s="11" t="s">
        <v>623</v>
      </c>
      <c r="B573" s="419"/>
      <c r="C573" s="419"/>
      <c r="D573" s="419"/>
      <c r="E573" s="419"/>
      <c r="F573" s="419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2">
        <v>0</v>
      </c>
      <c r="BJ573" s="12">
        <v>0</v>
      </c>
      <c r="BK573" s="12">
        <v>0</v>
      </c>
      <c r="BL573" s="12">
        <v>0</v>
      </c>
      <c r="BM573" s="12">
        <v>0</v>
      </c>
      <c r="BN573" s="12">
        <v>0</v>
      </c>
      <c r="BO573" s="12">
        <v>0</v>
      </c>
      <c r="BP573" s="12">
        <v>0</v>
      </c>
      <c r="BQ573" s="12">
        <v>0</v>
      </c>
      <c r="BR573" s="12">
        <v>0</v>
      </c>
      <c r="BS573" s="12">
        <v>0</v>
      </c>
      <c r="BT573" s="12">
        <v>0</v>
      </c>
      <c r="BU573" s="12">
        <v>0</v>
      </c>
      <c r="BV573" s="12">
        <v>0</v>
      </c>
      <c r="BW573" s="12">
        <v>0</v>
      </c>
      <c r="BX573" s="12">
        <v>0</v>
      </c>
      <c r="BY573" s="12">
        <v>0</v>
      </c>
      <c r="BZ573" s="12">
        <v>0</v>
      </c>
      <c r="CA573" s="12">
        <v>0</v>
      </c>
      <c r="CB573" s="12">
        <v>0</v>
      </c>
      <c r="CC573" s="12">
        <v>0</v>
      </c>
      <c r="CD573" s="12">
        <v>0</v>
      </c>
      <c r="CE573" s="12">
        <v>0</v>
      </c>
      <c r="CF573" s="12">
        <v>0</v>
      </c>
      <c r="CG573" s="12">
        <v>0</v>
      </c>
      <c r="CH573" s="12">
        <v>0</v>
      </c>
      <c r="CI573" s="12">
        <v>0</v>
      </c>
      <c r="CJ573" s="12">
        <v>0</v>
      </c>
      <c r="CK573" s="12">
        <v>0</v>
      </c>
      <c r="CL573" s="12">
        <v>0</v>
      </c>
      <c r="CM573" s="12">
        <v>0</v>
      </c>
      <c r="CN573" s="12">
        <v>0</v>
      </c>
      <c r="CO573" s="12">
        <v>0</v>
      </c>
      <c r="CP573" s="12">
        <v>0</v>
      </c>
      <c r="CQ573" s="12">
        <v>0</v>
      </c>
      <c r="CR573" s="12">
        <v>0</v>
      </c>
      <c r="CS573" s="12">
        <v>0</v>
      </c>
      <c r="CT573" s="12">
        <v>0</v>
      </c>
      <c r="CU573" s="12">
        <v>0</v>
      </c>
      <c r="CV573" s="12">
        <v>0</v>
      </c>
      <c r="CW573" s="12">
        <v>0</v>
      </c>
      <c r="CX573" s="12">
        <v>0</v>
      </c>
      <c r="CY573" s="12">
        <v>0</v>
      </c>
      <c r="CZ573" s="12">
        <v>0</v>
      </c>
      <c r="DA573" s="12">
        <v>0</v>
      </c>
      <c r="DB573" s="12">
        <v>0</v>
      </c>
      <c r="DC573" s="12">
        <v>0</v>
      </c>
      <c r="DD573" s="12">
        <v>0</v>
      </c>
      <c r="DE573" s="12">
        <v>0</v>
      </c>
      <c r="DF573" s="12">
        <v>0</v>
      </c>
      <c r="DG573" s="12">
        <v>0</v>
      </c>
      <c r="DH573" s="12">
        <v>0</v>
      </c>
      <c r="DI573" s="12">
        <v>0</v>
      </c>
      <c r="DJ573" s="12">
        <v>0</v>
      </c>
      <c r="DK573" s="12">
        <v>0</v>
      </c>
      <c r="DL573" s="12">
        <v>0</v>
      </c>
      <c r="DM573" s="12">
        <v>0</v>
      </c>
      <c r="DN573" s="12">
        <v>0</v>
      </c>
      <c r="DO573" s="12">
        <v>0</v>
      </c>
      <c r="DP573" s="12">
        <v>0</v>
      </c>
      <c r="DQ573" s="12">
        <v>0</v>
      </c>
      <c r="DR573" s="12">
        <v>0</v>
      </c>
      <c r="DS573" s="12">
        <v>0</v>
      </c>
      <c r="DT573" s="12">
        <v>0</v>
      </c>
      <c r="DU573" s="12">
        <v>0</v>
      </c>
      <c r="DV573" s="12">
        <v>0</v>
      </c>
      <c r="DW573" s="12">
        <v>0</v>
      </c>
      <c r="DX573" s="12">
        <v>0</v>
      </c>
      <c r="DY573" s="12">
        <v>0</v>
      </c>
      <c r="DZ573" s="12">
        <v>0</v>
      </c>
      <c r="EA573" s="12">
        <v>0</v>
      </c>
      <c r="EB573" s="417"/>
    </row>
    <row r="574" spans="1:132" s="7" customFormat="1">
      <c r="A574" s="11" t="s">
        <v>930</v>
      </c>
      <c r="B574" s="419"/>
      <c r="C574" s="419"/>
      <c r="D574" s="419"/>
      <c r="E574" s="419"/>
      <c r="F574" s="419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>
        <f>Forecasts!B5/1000</f>
        <v>118.982304</v>
      </c>
      <c r="AB574" s="12">
        <f>Forecasts!C5/1000</f>
        <v>118.982304</v>
      </c>
      <c r="AC574" s="12">
        <f>Forecasts!D5/1000</f>
        <v>118.982304</v>
      </c>
      <c r="AD574" s="12">
        <f>Forecasts!E5/1000</f>
        <v>237.964608</v>
      </c>
      <c r="AE574" s="12">
        <f>Forecasts!F5/1000</f>
        <v>594.91152</v>
      </c>
      <c r="AF574" s="12">
        <f>Forecasts!G5/1000</f>
        <v>176.77991999999998</v>
      </c>
      <c r="AG574" s="12">
        <f>Forecasts!H5/1000</f>
        <v>115.03819799999999</v>
      </c>
      <c r="AH574" s="12">
        <f>Forecasts!I5/1000</f>
        <v>419.62335999999999</v>
      </c>
      <c r="AI574" s="12">
        <f>Forecasts!J5/1000</f>
        <v>123.30379499999999</v>
      </c>
      <c r="AJ574" s="12">
        <f>Forecasts!K5/1000</f>
        <v>834.74527299999988</v>
      </c>
      <c r="AK574" s="12">
        <f>Forecasts!L5/1000</f>
        <v>61.118360000000003</v>
      </c>
      <c r="AL574" s="12">
        <f>Forecasts!M5/1000</f>
        <v>603.38263999999992</v>
      </c>
      <c r="AM574" s="12">
        <f>Forecasts!N5/1000</f>
        <v>416.14100000000002</v>
      </c>
      <c r="AN574" s="12">
        <f>Forecasts!O5/1000</f>
        <v>843.74900000000002</v>
      </c>
      <c r="AO574" s="12">
        <f>Forecasts!P5/1000</f>
        <v>1924.3910000000001</v>
      </c>
      <c r="AP574" s="12">
        <f>Forecasts!Q5/1000</f>
        <v>143.428</v>
      </c>
      <c r="AQ574" s="12">
        <f>Forecasts!R5/1000</f>
        <v>448.14499999999998</v>
      </c>
      <c r="AR574" s="12">
        <f>Forecasts!S5/1000</f>
        <v>921.77800000000002</v>
      </c>
      <c r="AS574" s="12">
        <f>Forecasts!T5/1000</f>
        <v>1949.076</v>
      </c>
      <c r="AT574" s="12">
        <f>Forecasts!U5/1000</f>
        <v>3462.4270000000001</v>
      </c>
      <c r="AU574" s="12">
        <f>Forecasts!V5/1000</f>
        <v>524.399</v>
      </c>
      <c r="AV574" s="12">
        <f>Forecasts!W5/1000</f>
        <v>1412.6020000000001</v>
      </c>
      <c r="AW574" s="12">
        <f>Forecasts!X5/1000</f>
        <v>747.56</v>
      </c>
      <c r="AX574" s="12">
        <f>Forecasts!Y5/1000</f>
        <v>639.76800000000003</v>
      </c>
      <c r="AY574" s="12">
        <f>Forecasts!Z5/1000</f>
        <v>3324.3290000000002</v>
      </c>
      <c r="AZ574" s="12">
        <f>Forecasts!AA5/1000</f>
        <v>416.13099999999997</v>
      </c>
      <c r="BA574" s="12">
        <f>Forecasts!AB5/1000</f>
        <v>489.89499999999998</v>
      </c>
      <c r="BB574" s="12">
        <f>Forecasts!AC5/1000</f>
        <v>1490.921</v>
      </c>
      <c r="BC574" s="12">
        <f>Forecasts!AD5/1000</f>
        <v>2079.3319999999999</v>
      </c>
      <c r="BD574" s="12">
        <f>Forecasts!AE5/1000</f>
        <v>4476.2790000000005</v>
      </c>
      <c r="BE574" s="12">
        <f>Forecasts!AF5/1000</f>
        <v>481.57</v>
      </c>
      <c r="BF574" s="12">
        <f>Forecasts!AG5/1000</f>
        <v>794.09299999999996</v>
      </c>
      <c r="BG574" s="12">
        <f>Forecasts!AH5/1000</f>
        <v>1028.0899999999999</v>
      </c>
      <c r="BH574" s="12">
        <f>Forecasts!AI5/1000</f>
        <v>3622.2849999999999</v>
      </c>
      <c r="BI574" s="12">
        <f>Forecasts!AJ5/1000</f>
        <v>5926.0379999999996</v>
      </c>
      <c r="BJ574" s="12">
        <f>Forecasts!AK5/1000</f>
        <v>907</v>
      </c>
      <c r="BK574" s="12">
        <f>Forecasts!AL5/1000</f>
        <v>1309.5999999999999</v>
      </c>
      <c r="BL574" s="12">
        <f>Forecasts!AM5/1000</f>
        <v>1449</v>
      </c>
      <c r="BM574" s="12">
        <f>Forecasts!AN5/1000</f>
        <v>2615</v>
      </c>
      <c r="BN574" s="12">
        <f>Forecasts!AO5/1000</f>
        <v>6280.6</v>
      </c>
      <c r="BO574" s="12">
        <f>Forecasts!AP5/1000</f>
        <v>684</v>
      </c>
      <c r="BP574" s="12">
        <f>Forecasts!AQ5/1000</f>
        <v>911.3</v>
      </c>
      <c r="BQ574" s="12">
        <f>Forecasts!AR5/1000</f>
        <v>913.7</v>
      </c>
      <c r="BR574" s="12">
        <f>Forecasts!AS5/1000</f>
        <v>1374.2</v>
      </c>
      <c r="BS574" s="12">
        <f>Forecasts!AT5/1000</f>
        <v>3883.2</v>
      </c>
      <c r="BT574" s="12">
        <f>Forecasts!AU5/1000</f>
        <v>561.20000000000005</v>
      </c>
      <c r="BU574" s="12">
        <f>Forecasts!AV5/1000</f>
        <v>1250.7</v>
      </c>
      <c r="BV574" s="12">
        <f>Forecasts!AW5/1000</f>
        <v>911.7</v>
      </c>
      <c r="BW574" s="12">
        <f>Forecasts!AX5/1000</f>
        <v>1921.6</v>
      </c>
      <c r="BX574" s="12">
        <f>Forecasts!AY5/1000</f>
        <v>4645.2</v>
      </c>
      <c r="BY574" s="12">
        <f>Forecasts!AZ5/1000</f>
        <v>1719.6</v>
      </c>
      <c r="BZ574" s="12">
        <f>Forecasts!BA5/1000</f>
        <v>812.4</v>
      </c>
      <c r="CA574" s="12">
        <f>Forecasts!BB5/1000</f>
        <v>509</v>
      </c>
      <c r="CB574" s="12">
        <f>Forecasts!BC5/1000</f>
        <v>1813</v>
      </c>
      <c r="CC574" s="12">
        <f>Forecasts!BD5/1000</f>
        <v>4854</v>
      </c>
      <c r="CD574" s="12">
        <f>Forecasts!BE5/1000</f>
        <v>333</v>
      </c>
      <c r="CE574" s="12">
        <f>Forecasts!BF5/1000</f>
        <v>861</v>
      </c>
      <c r="CF574" s="12">
        <f>Forecasts!BG5/1000</f>
        <v>505</v>
      </c>
      <c r="CG574" s="12">
        <f>Forecasts!BH5/1000</f>
        <v>659</v>
      </c>
      <c r="CH574" s="12">
        <f>Forecasts!BI5/1000</f>
        <v>2358</v>
      </c>
      <c r="CI574" s="12">
        <f>Forecasts!BJ5/1000</f>
        <v>410</v>
      </c>
      <c r="CJ574" s="12">
        <f>Forecasts!BK5/1000</f>
        <v>494</v>
      </c>
      <c r="CK574" s="12">
        <f>Forecasts!BL5/1000</f>
        <v>259</v>
      </c>
      <c r="CL574" s="12">
        <f>Forecasts!BM5/1000</f>
        <v>1038</v>
      </c>
      <c r="CM574" s="12">
        <f>Forecasts!BN5/1000</f>
        <v>2201</v>
      </c>
      <c r="CN574" s="12">
        <f>Forecasts!BO5/1000</f>
        <v>537</v>
      </c>
      <c r="CO574" s="12">
        <f>Forecasts!BP5/1000</f>
        <v>448</v>
      </c>
      <c r="CP574" s="12">
        <f>Forecasts!BQ5/1000</f>
        <v>379.61700000000002</v>
      </c>
      <c r="CQ574" s="12">
        <f>Forecasts!BR5/1000</f>
        <v>785.76</v>
      </c>
      <c r="CR574" s="12">
        <f>Forecasts!BS5/1000</f>
        <v>2150.377</v>
      </c>
      <c r="CS574" s="12">
        <f>Forecasts!BT5/1000</f>
        <v>258.75700000000001</v>
      </c>
      <c r="CT574" s="12">
        <f>Forecasts!BU5/1000</f>
        <v>641.31799999999998</v>
      </c>
      <c r="CU574" s="12">
        <f>Forecasts!BV5/1000</f>
        <v>711</v>
      </c>
      <c r="CV574" s="12">
        <f>Forecasts!BW5/1000</f>
        <v>1823.3882607979899</v>
      </c>
      <c r="CW574" s="12">
        <f>Forecasts!BX5/1000</f>
        <v>3434.4632607979902</v>
      </c>
      <c r="CX574" s="12">
        <f>Forecasts!BY5/1000</f>
        <v>371.94462601480706</v>
      </c>
      <c r="CY574" s="12">
        <f>Forecasts!BZ5/1000</f>
        <v>1387.4639782219886</v>
      </c>
      <c r="CZ574" s="12">
        <f>Forecasts!CA5/1000</f>
        <v>870.29356623387503</v>
      </c>
      <c r="DA574" s="12">
        <f>Forecasts!CB5/1000</f>
        <v>1192.1206505395812</v>
      </c>
      <c r="DB574" s="12">
        <f>Forecasts!CC5/1000</f>
        <v>3821.822821010252</v>
      </c>
      <c r="DC574" s="12">
        <f>Forecasts!CD5/1000</f>
        <v>839.094325425835</v>
      </c>
      <c r="DD574" s="12">
        <f>Forecasts!CE5/1000</f>
        <v>217.97105838881799</v>
      </c>
      <c r="DE574" s="12">
        <f>Forecasts!CF5/1000</f>
        <v>1531.5476030607153</v>
      </c>
      <c r="DF574" s="12">
        <f>Forecasts!CG5/1000</f>
        <v>2580.5810500145603</v>
      </c>
      <c r="DG574" s="12">
        <f>Forecasts!CH5/1000</f>
        <v>5169.1940368899286</v>
      </c>
      <c r="DH574" s="12">
        <f>Forecasts!CI5/1000</f>
        <v>381.04180977402763</v>
      </c>
      <c r="DI574" s="12">
        <f>Forecasts!CJ5/1000</f>
        <v>1617.1686114531983</v>
      </c>
      <c r="DJ574" s="12">
        <f>Forecasts!CK5/1000</f>
        <v>1986.9514159092935</v>
      </c>
      <c r="DK574" s="12">
        <f>Forecasts!CL5/1000</f>
        <v>2407.8999297673904</v>
      </c>
      <c r="DL574" s="12">
        <f>Forecasts!CM5/1000</f>
        <v>6393.0617669039102</v>
      </c>
      <c r="DM574" s="12">
        <f>Forecasts!CN5/1000</f>
        <v>886.56927700222843</v>
      </c>
      <c r="DN574" s="12">
        <f>Forecasts!CO5/1000</f>
        <v>1821.469479133933</v>
      </c>
      <c r="DO574" s="12">
        <f>Forecasts!CP5/1000</f>
        <v>2149.3104600261549</v>
      </c>
      <c r="DP574" s="12">
        <f>Forecasts!CQ5/1000</f>
        <v>1642.1701691949852</v>
      </c>
      <c r="DQ574" s="12">
        <f>Forecasts!CR5/1000</f>
        <v>6499.5193853573019</v>
      </c>
      <c r="DR574" s="12">
        <f>Forecasts!CS5/1000</f>
        <v>933.7136368974559</v>
      </c>
      <c r="DS574" s="12">
        <f>Forecasts!CT5/1000</f>
        <v>2732.1733294664709</v>
      </c>
      <c r="DT574" s="12">
        <f>Forecasts!CU5/1000</f>
        <v>1552.1100100062317</v>
      </c>
      <c r="DU574" s="12">
        <f>Forecasts!CV5/1000</f>
        <v>1750.9767804380999</v>
      </c>
      <c r="DV574" s="12">
        <f>Forecasts!CW5/1000</f>
        <v>6968.9737568082583</v>
      </c>
      <c r="DW574" s="12">
        <f>Forecasts!CX5/1000</f>
        <v>1323.0602237212299</v>
      </c>
      <c r="DX574" s="12">
        <f>Forecasts!CY5/1000</f>
        <v>1079.0203291039199</v>
      </c>
      <c r="DY574" s="12">
        <f>Forecasts!CZ5/1000</f>
        <v>2550.5765407380031</v>
      </c>
      <c r="DZ574" s="12">
        <f>Forecasts!DA5/1000</f>
        <v>4981.7542161162473</v>
      </c>
      <c r="EA574" s="12">
        <f>Forecasts!DB5/1000</f>
        <v>9934.4113096794008</v>
      </c>
      <c r="EB574" s="417"/>
    </row>
    <row r="575" spans="1:132" s="7" customFormat="1">
      <c r="A575" s="11" t="s">
        <v>929</v>
      </c>
      <c r="B575" s="419"/>
      <c r="C575" s="419"/>
      <c r="D575" s="419"/>
      <c r="E575" s="419"/>
      <c r="F575" s="419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>
        <f>Forecasts!B10/1000</f>
        <v>154.39093333333332</v>
      </c>
      <c r="AB575" s="12">
        <f>Forecasts!C10/1000</f>
        <v>154.39093333333332</v>
      </c>
      <c r="AC575" s="12">
        <f>Forecasts!D10/1000</f>
        <v>154.39093333333332</v>
      </c>
      <c r="AD575" s="12">
        <f>Forecasts!E10/1000</f>
        <v>182.50880000000006</v>
      </c>
      <c r="AE575" s="12">
        <f>Forecasts!F10/1000</f>
        <v>645.6816</v>
      </c>
      <c r="AF575" s="12">
        <f>Forecasts!G10/1000</f>
        <v>145.8861</v>
      </c>
      <c r="AG575" s="12">
        <f>Forecasts!H10/1000</f>
        <v>154.62086000000002</v>
      </c>
      <c r="AH575" s="12">
        <f>Forecasts!I10/1000</f>
        <v>241.81872000000001</v>
      </c>
      <c r="AI575" s="12">
        <f>Forecasts!J10/1000</f>
        <v>277.78905400000002</v>
      </c>
      <c r="AJ575" s="12">
        <f>Forecasts!K10/1000</f>
        <v>820.114734</v>
      </c>
      <c r="AK575" s="12">
        <f>Forecasts!L10/1000</f>
        <v>163.31597999999997</v>
      </c>
      <c r="AL575" s="12">
        <f>Forecasts!M10/1000</f>
        <v>431.77202</v>
      </c>
      <c r="AM575" s="12">
        <f>Forecasts!N10/1000</f>
        <v>291.53899999999999</v>
      </c>
      <c r="AN575" s="12">
        <f>Forecasts!O10/1000</f>
        <v>464.27199999999999</v>
      </c>
      <c r="AO575" s="12">
        <f>Forecasts!P10/1000</f>
        <v>1350.8989999999999</v>
      </c>
      <c r="AP575" s="12">
        <f>Forecasts!Q10/1000</f>
        <v>276.113</v>
      </c>
      <c r="AQ575" s="12">
        <f>Forecasts!R10/1000</f>
        <v>494.13299999999998</v>
      </c>
      <c r="AR575" s="12">
        <f>Forecasts!S10/1000</f>
        <v>703.39800000000002</v>
      </c>
      <c r="AS575" s="12">
        <f>Forecasts!T10/1000</f>
        <v>1343.604</v>
      </c>
      <c r="AT575" s="12">
        <f>Forecasts!U10/1000</f>
        <v>2817.248</v>
      </c>
      <c r="AU575" s="12">
        <f>Forecasts!V10/1000</f>
        <v>718.76</v>
      </c>
      <c r="AV575" s="12">
        <f>Forecasts!W10/1000</f>
        <v>1277.779</v>
      </c>
      <c r="AW575" s="12">
        <f>Forecasts!X10/1000</f>
        <v>696.66099999999994</v>
      </c>
      <c r="AX575" s="12">
        <f>Forecasts!Y10/1000</f>
        <v>373.459</v>
      </c>
      <c r="AY575" s="12">
        <f>Forecasts!Z10/1000</f>
        <v>3066.6590000000001</v>
      </c>
      <c r="AZ575" s="12">
        <f>Forecasts!AA10/1000</f>
        <v>345.95499999999998</v>
      </c>
      <c r="BA575" s="12">
        <f>Forecasts!AB10/1000</f>
        <v>625.99400000000003</v>
      </c>
      <c r="BB575" s="12">
        <f>Forecasts!AC10/1000</f>
        <v>1230.711</v>
      </c>
      <c r="BC575" s="12">
        <f>Forecasts!AD10/1000</f>
        <v>1757.057</v>
      </c>
      <c r="BD575" s="12">
        <f>Forecasts!AE10/1000</f>
        <v>3959.7170000000001</v>
      </c>
      <c r="BE575" s="12">
        <f>Forecasts!AF10/1000</f>
        <v>869.00300000000004</v>
      </c>
      <c r="BF575" s="12">
        <f>Forecasts!AG10/1000</f>
        <v>1108.1559999999999</v>
      </c>
      <c r="BG575" s="12">
        <f>Forecasts!AH10/1000</f>
        <v>806.84900000000005</v>
      </c>
      <c r="BH575" s="12">
        <f>Forecasts!AI10/1000</f>
        <v>1980.9839999999999</v>
      </c>
      <c r="BI575" s="12">
        <f>Forecasts!AJ10/1000</f>
        <v>4764.9920000000002</v>
      </c>
      <c r="BJ575" s="12">
        <f>Forecasts!AK10/1000</f>
        <v>844</v>
      </c>
      <c r="BK575" s="12">
        <f>Forecasts!AL10/1000</f>
        <v>1274.5999999999999</v>
      </c>
      <c r="BL575" s="12">
        <f>Forecasts!AM10/1000</f>
        <v>1162</v>
      </c>
      <c r="BM575" s="12">
        <f>Forecasts!AN10/1000</f>
        <v>1992</v>
      </c>
      <c r="BN575" s="12">
        <f>Forecasts!AO10/1000</f>
        <v>5272.6</v>
      </c>
      <c r="BO575" s="12">
        <f>Forecasts!AP10/1000</f>
        <v>958</v>
      </c>
      <c r="BP575" s="12">
        <f>Forecasts!AQ10/1000</f>
        <v>1061.4000000000001</v>
      </c>
      <c r="BQ575" s="12">
        <f>Forecasts!AR10/1000</f>
        <v>1283.3</v>
      </c>
      <c r="BR575" s="12">
        <f>Forecasts!AS10/1000</f>
        <v>1080.7</v>
      </c>
      <c r="BS575" s="12">
        <f>Forecasts!AT10/1000</f>
        <v>4383.3999999999996</v>
      </c>
      <c r="BT575" s="12">
        <f>Forecasts!AU10/1000</f>
        <v>949</v>
      </c>
      <c r="BU575" s="12">
        <f>Forecasts!AV10/1000</f>
        <v>1470.3</v>
      </c>
      <c r="BV575" s="12">
        <f>Forecasts!AW10/1000</f>
        <v>1024.9000000000001</v>
      </c>
      <c r="BW575" s="12">
        <f>Forecasts!AX10/1000</f>
        <v>1642.4</v>
      </c>
      <c r="BX575" s="12">
        <f>Forecasts!AY10/1000</f>
        <v>5086.6000000000004</v>
      </c>
      <c r="BY575" s="12">
        <f>Forecasts!AZ10/1000</f>
        <v>1362.6</v>
      </c>
      <c r="BZ575" s="12">
        <f>Forecasts!BA10/1000</f>
        <v>1065.5</v>
      </c>
      <c r="CA575" s="12">
        <f>Forecasts!BB10/1000</f>
        <v>772</v>
      </c>
      <c r="CB575" s="12">
        <f>Forecasts!BC10/1000</f>
        <v>1473</v>
      </c>
      <c r="CC575" s="12">
        <f>Forecasts!BD10/1000</f>
        <v>4673.1000000000004</v>
      </c>
      <c r="CD575" s="12">
        <f>Forecasts!BE10/1000</f>
        <v>580</v>
      </c>
      <c r="CE575" s="12">
        <f>Forecasts!BF10/1000</f>
        <v>618</v>
      </c>
      <c r="CF575" s="12">
        <f>Forecasts!BG10/1000</f>
        <v>790</v>
      </c>
      <c r="CG575" s="12">
        <f>Forecasts!BH10/1000</f>
        <v>650</v>
      </c>
      <c r="CH575" s="12">
        <f>Forecasts!BI10/1000</f>
        <v>2638</v>
      </c>
      <c r="CI575" s="12">
        <f>Forecasts!BJ10/1000</f>
        <v>415</v>
      </c>
      <c r="CJ575" s="12">
        <f>Forecasts!BK10/1000</f>
        <v>442</v>
      </c>
      <c r="CK575" s="12">
        <f>Forecasts!BL10/1000</f>
        <v>417</v>
      </c>
      <c r="CL575" s="12">
        <f>Forecasts!BM10/1000</f>
        <v>856</v>
      </c>
      <c r="CM575" s="12">
        <f>Forecasts!BN10/1000</f>
        <v>2130</v>
      </c>
      <c r="CN575" s="12">
        <f>Forecasts!BO10/1000</f>
        <v>369.2</v>
      </c>
      <c r="CO575" s="12">
        <f>Forecasts!BP10/1000</f>
        <v>567</v>
      </c>
      <c r="CP575" s="12">
        <f>Forecasts!BQ10/1000</f>
        <v>553.93200000000002</v>
      </c>
      <c r="CQ575" s="12">
        <f>Forecasts!BR10/1000</f>
        <v>871.92899999999997</v>
      </c>
      <c r="CR575" s="12">
        <f>Forecasts!BS10/1000</f>
        <v>2362.0610000000001</v>
      </c>
      <c r="CS575" s="12">
        <f>Forecasts!BT10/1000</f>
        <v>384.62400000000002</v>
      </c>
      <c r="CT575" s="12">
        <f>Forecasts!BU10/1000</f>
        <v>698.99599999999998</v>
      </c>
      <c r="CU575" s="12">
        <f>Forecasts!BV10/1000</f>
        <v>693</v>
      </c>
      <c r="CV575" s="12">
        <f>Forecasts!BW10/1000</f>
        <v>1720.3621818955999</v>
      </c>
      <c r="CW575" s="12">
        <f>Forecasts!BX10/1000</f>
        <v>3496.9821818955998</v>
      </c>
      <c r="CX575" s="12">
        <f>Forecasts!BY10/1000</f>
        <v>641.02213331012479</v>
      </c>
      <c r="CY575" s="12">
        <f>Forecasts!BZ10/1000</f>
        <v>1141.2676894440176</v>
      </c>
      <c r="CZ575" s="12">
        <f>Forecasts!CA10/1000</f>
        <v>959.70615684845598</v>
      </c>
      <c r="DA575" s="12">
        <f>Forecasts!CB10/1000</f>
        <v>1191.731713149263</v>
      </c>
      <c r="DB575" s="12">
        <f>Forecasts!CC10/1000</f>
        <v>3933.7276927518615</v>
      </c>
      <c r="DC575" s="12">
        <f>Forecasts!CD10/1000</f>
        <v>686.81096547813399</v>
      </c>
      <c r="DD575" s="12">
        <f>Forecasts!CE10/1000</f>
        <v>449.62566864391215</v>
      </c>
      <c r="DE575" s="12">
        <f>Forecasts!CF10/1000</f>
        <v>1549.1866511380215</v>
      </c>
      <c r="DF575" s="12">
        <f>Forecasts!CG10/1000</f>
        <v>1692.1182210430209</v>
      </c>
      <c r="DG575" s="12">
        <f>Forecasts!CH10/1000</f>
        <v>4377.7415063030885</v>
      </c>
      <c r="DH575" s="12">
        <f>Forecasts!CI10/1000</f>
        <v>908.17827309078336</v>
      </c>
      <c r="DI575" s="12">
        <f>Forecasts!CJ10/1000</f>
        <v>1348.5944373938096</v>
      </c>
      <c r="DJ575" s="12">
        <f>Forecasts!CK10/1000</f>
        <v>1236.1724860605718</v>
      </c>
      <c r="DK575" s="12">
        <f>Forecasts!CL10/1000</f>
        <v>1420.2170904864545</v>
      </c>
      <c r="DL575" s="12">
        <f>Forecasts!CM10/1000</f>
        <v>4913.1622870316196</v>
      </c>
      <c r="DM575" s="12">
        <f>Forecasts!CN10/1000</f>
        <v>1192.8285224708416</v>
      </c>
      <c r="DN575" s="12">
        <f>Forecasts!CO10/1000</f>
        <v>1393.4395958806363</v>
      </c>
      <c r="DO575" s="12">
        <f>Forecasts!CP10/1000</f>
        <v>1797.2099910056747</v>
      </c>
      <c r="DP575" s="12">
        <f>Forecasts!CQ10/1000</f>
        <v>1739.3327069629252</v>
      </c>
      <c r="DQ575" s="12">
        <f>Forecasts!CR10/1000</f>
        <v>6122.8108163200786</v>
      </c>
      <c r="DR575" s="12">
        <f>Forecasts!CS10/1000</f>
        <v>1158.5664160503936</v>
      </c>
      <c r="DS575" s="12">
        <f>Forecasts!CT10/1000</f>
        <v>2013.8600670887463</v>
      </c>
      <c r="DT575" s="12">
        <f>Forecasts!CU10/1000</f>
        <v>1743.7852869871958</v>
      </c>
      <c r="DU575" s="12">
        <f>Forecasts!CV10/1000</f>
        <v>1859.9266294568899</v>
      </c>
      <c r="DV575" s="12">
        <f>Forecasts!CW10/1000</f>
        <v>6776.1383995832248</v>
      </c>
      <c r="DW575" s="12">
        <f>Forecasts!CX10/1000</f>
        <v>1705.1258180918169</v>
      </c>
      <c r="DX575" s="12">
        <f>Forecasts!CY10/1000</f>
        <v>1755.3904741547299</v>
      </c>
      <c r="DY575" s="12">
        <f>Forecasts!CZ10/1000</f>
        <v>2528.6696598551189</v>
      </c>
      <c r="DZ575" s="12">
        <f>Forecasts!DA10/1000</f>
        <v>3636.0926394472426</v>
      </c>
      <c r="EA575" s="12">
        <f>Forecasts!DB10/1000</f>
        <v>9625.2785915489094</v>
      </c>
      <c r="EB575" s="417"/>
    </row>
    <row r="576" spans="1:132" s="7" customFormat="1">
      <c r="A576" s="11" t="s">
        <v>928</v>
      </c>
      <c r="B576" s="419"/>
      <c r="C576" s="419"/>
      <c r="D576" s="419"/>
      <c r="E576" s="419"/>
      <c r="F576" s="419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>
        <f>'Balance Sheet'!B109/1000</f>
        <v>0</v>
      </c>
      <c r="AB576" s="12">
        <f>'Balance Sheet'!C109/1000</f>
        <v>0</v>
      </c>
      <c r="AC576" s="12">
        <f>'Balance Sheet'!D109/1000</f>
        <v>0</v>
      </c>
      <c r="AD576" s="12">
        <f>'Balance Sheet'!E109/1000</f>
        <v>315.68599999999998</v>
      </c>
      <c r="AE576" s="12">
        <f>'Balance Sheet'!F109/1000</f>
        <v>315.68599999999998</v>
      </c>
      <c r="AF576" s="12">
        <f>'Balance Sheet'!G109/1000</f>
        <v>351.459</v>
      </c>
      <c r="AG576" s="12">
        <f>'Balance Sheet'!H109/1000</f>
        <v>366.94900000000001</v>
      </c>
      <c r="AH576" s="12">
        <f>'Balance Sheet'!I109/1000</f>
        <v>460.7</v>
      </c>
      <c r="AI576" s="12">
        <f>'Balance Sheet'!J109/1000</f>
        <v>473.86700000000002</v>
      </c>
      <c r="AJ576" s="12">
        <f>'Balance Sheet'!K109/1000</f>
        <v>473.86700000000002</v>
      </c>
      <c r="AK576" s="12">
        <f>'Balance Sheet'!L109/1000</f>
        <v>471.63400000000001</v>
      </c>
      <c r="AL576" s="12">
        <f>'Balance Sheet'!M109/1000</f>
        <v>596.41099999999994</v>
      </c>
      <c r="AM576" s="12">
        <f>'Balance Sheet'!N109/1000</f>
        <v>613.53300000000002</v>
      </c>
      <c r="AN576" s="12">
        <f>'Balance Sheet'!O109/1000</f>
        <v>671.61599999999999</v>
      </c>
      <c r="AO576" s="12">
        <f>'Balance Sheet'!P109/1000</f>
        <v>671.61599999999999</v>
      </c>
      <c r="AP576" s="12">
        <f>'Balance Sheet'!Q109/1000</f>
        <v>2105.4879999999998</v>
      </c>
      <c r="AQ576" s="12">
        <f>'Balance Sheet'!R109/1000</f>
        <v>2014.566</v>
      </c>
      <c r="AR576" s="12">
        <f>'Balance Sheet'!S109/1000</f>
        <v>2288.2359999999999</v>
      </c>
      <c r="AS576" s="12">
        <f>'Balance Sheet'!T109/1000</f>
        <v>1308.5231600000002</v>
      </c>
      <c r="AT576" s="12">
        <f>'Balance Sheet'!U109/1000</f>
        <v>1308.5231600000002</v>
      </c>
      <c r="AU576" s="12">
        <f>'Balance Sheet'!V109/1000</f>
        <v>1494.1383399999997</v>
      </c>
      <c r="AV576" s="12">
        <f>'Balance Sheet'!W109/1000</f>
        <v>1919.07106</v>
      </c>
      <c r="AW576" s="12">
        <f>'Balance Sheet'!X109/1000</f>
        <v>2028.0155400000001</v>
      </c>
      <c r="AX576" s="12">
        <f>'Balance Sheet'!Y109/1000</f>
        <v>1906.902</v>
      </c>
      <c r="AY576" s="12">
        <f>'Balance Sheet'!Z109/1000</f>
        <v>1906.902</v>
      </c>
      <c r="AZ576" s="12">
        <f>'Balance Sheet'!AA109/1000</f>
        <v>1825.4459999999999</v>
      </c>
      <c r="BA576" s="12">
        <f>'Balance Sheet'!AB109/1000</f>
        <v>1560.933</v>
      </c>
      <c r="BB576" s="12">
        <f>'Balance Sheet'!AC109/1000</f>
        <v>1644.2919999999999</v>
      </c>
      <c r="BC576" s="12">
        <f>'Balance Sheet'!AD109/1000</f>
        <v>1923.2660000000001</v>
      </c>
      <c r="BD576" s="12">
        <f>'Balance Sheet'!AE109/1000</f>
        <v>1923.2660000000001</v>
      </c>
      <c r="BE576" s="12">
        <f>'Balance Sheet'!AF109/1000</f>
        <v>1922.5260000000001</v>
      </c>
      <c r="BF576" s="12">
        <f>'Balance Sheet'!AG109/1000</f>
        <v>2100.6990000000001</v>
      </c>
      <c r="BG576" s="12">
        <f>'Balance Sheet'!AH109/1000</f>
        <v>2132.7890000000002</v>
      </c>
      <c r="BH576" s="12">
        <f>'Balance Sheet'!AI109/1000</f>
        <v>2057.16</v>
      </c>
      <c r="BI576" s="12">
        <f>'Balance Sheet'!AJ109/1000</f>
        <v>2057.16</v>
      </c>
      <c r="BJ576" s="12">
        <f>'Balance Sheet'!AK109/1000</f>
        <v>1998.251</v>
      </c>
      <c r="BK576" s="12">
        <f>'Balance Sheet'!AL109/1000</f>
        <v>2154.9569999999999</v>
      </c>
      <c r="BL576" s="12">
        <f>'Balance Sheet'!AM109/1000</f>
        <v>2257.6039999999998</v>
      </c>
      <c r="BM576" s="12">
        <f>'Balance Sheet'!AN109/1000</f>
        <v>2308.2620000000002</v>
      </c>
      <c r="BN576" s="12">
        <f>'Balance Sheet'!AO109/1000</f>
        <v>2308.2620000000002</v>
      </c>
      <c r="BO576" s="12">
        <f>'Balance Sheet'!AP109/1000</f>
        <v>2323.3130000000001</v>
      </c>
      <c r="BP576" s="12">
        <f>'Balance Sheet'!AQ109/1000</f>
        <v>2236.2890000000002</v>
      </c>
      <c r="BQ576" s="12">
        <f>'Balance Sheet'!AR109/1000</f>
        <v>2141</v>
      </c>
      <c r="BR576" s="12">
        <f>'Balance Sheet'!AS109/1000</f>
        <v>2280.3960000000002</v>
      </c>
      <c r="BS576" s="12">
        <f>'Balance Sheet'!AT109/1000</f>
        <v>2280.3960000000002</v>
      </c>
      <c r="BT576" s="12">
        <f>'Balance Sheet'!AU109/1000</f>
        <v>2229.4650000000001</v>
      </c>
      <c r="BU576" s="12">
        <f>'Balance Sheet'!AV109/1000</f>
        <v>2192.7240000000002</v>
      </c>
      <c r="BV576" s="12">
        <f>'Balance Sheet'!AW109/1000</f>
        <v>2206.8319999999999</v>
      </c>
      <c r="BW576" s="12">
        <f>'Balance Sheet'!AX109/1000</f>
        <v>2045.085</v>
      </c>
      <c r="BX576" s="12">
        <f>'Balance Sheet'!AY109/1000</f>
        <v>2045.085</v>
      </c>
      <c r="BY576" s="12">
        <f>'Balance Sheet'!AZ109/1000</f>
        <v>2082.9499999999998</v>
      </c>
      <c r="BZ576" s="12">
        <f>'Balance Sheet'!BA109/1000</f>
        <v>1989.559</v>
      </c>
      <c r="CA576" s="12">
        <f>'Balance Sheet'!BB109/1000</f>
        <v>1841.6310000000001</v>
      </c>
      <c r="CB576" s="12">
        <f>'Balance Sheet'!BC109/1000</f>
        <v>1733.6469999999999</v>
      </c>
      <c r="CC576" s="12">
        <f>'Balance Sheet'!BD109/1000</f>
        <v>1733.6469999999999</v>
      </c>
      <c r="CD576" s="12">
        <f>'Balance Sheet'!BE109/1000</f>
        <v>1652.97</v>
      </c>
      <c r="CE576" s="12">
        <f>'Balance Sheet'!BF109/1000</f>
        <v>1624.241</v>
      </c>
      <c r="CF576" s="12">
        <f>'Balance Sheet'!BG109/1000</f>
        <v>1507.8309999999999</v>
      </c>
      <c r="CG576" s="12">
        <f>'Balance Sheet'!BH109/1000</f>
        <v>1363.412</v>
      </c>
      <c r="CH576" s="12">
        <f>'Balance Sheet'!BI109/1000</f>
        <v>1363.412</v>
      </c>
      <c r="CI576" s="12">
        <f>'Balance Sheet'!BJ109/1000</f>
        <v>1204.771</v>
      </c>
      <c r="CJ576" s="12">
        <f>'Balance Sheet'!BK109/1000</f>
        <v>1064.799</v>
      </c>
      <c r="CK576" s="12">
        <f>'Balance Sheet'!BL109/1000</f>
        <v>894.21799999999996</v>
      </c>
      <c r="CL576" s="12">
        <f>'Balance Sheet'!BM109/1000</f>
        <v>833.84400000000005</v>
      </c>
      <c r="CM576" s="12">
        <f>'Balance Sheet'!BN109/1000</f>
        <v>833.84400000000005</v>
      </c>
      <c r="CN576" s="12">
        <f>'Balance Sheet'!BO109/1000</f>
        <v>770.63699999999994</v>
      </c>
      <c r="CO576" s="12">
        <f>'Balance Sheet'!BP109/1000</f>
        <v>712.57100000000003</v>
      </c>
      <c r="CP576" s="12">
        <f>'Balance Sheet'!BQ109/1000</f>
        <v>635.78800000000001</v>
      </c>
      <c r="CQ576" s="12">
        <f>'Balance Sheet'!BR109/1000</f>
        <v>644.63699999999994</v>
      </c>
      <c r="CR576" s="12">
        <f>'Balance Sheet'!BS109/1000</f>
        <v>644.63699999999994</v>
      </c>
      <c r="CS576" s="12">
        <f>'Balance Sheet'!BT109/1000</f>
        <v>642.75099999999998</v>
      </c>
      <c r="CT576" s="12">
        <f>'Balance Sheet'!BU109/1000</f>
        <v>609.62900000000002</v>
      </c>
      <c r="CU576" s="12">
        <f>'Balance Sheet'!BV109/1000</f>
        <v>597.27599999999995</v>
      </c>
      <c r="CV576" s="12">
        <f>'Balance Sheet'!BW109/1000</f>
        <v>703.83600000000001</v>
      </c>
      <c r="CW576" s="12">
        <f>'Balance Sheet'!BX109/1000</f>
        <v>703.83600000000001</v>
      </c>
      <c r="CX576" s="12">
        <f>'Balance Sheet'!BY109/1000</f>
        <v>744.46699999999998</v>
      </c>
      <c r="CY576" s="12">
        <f>'Balance Sheet'!BZ109/1000</f>
        <v>903.06200000000001</v>
      </c>
      <c r="CZ576" s="12">
        <f>'Balance Sheet'!CA109/1000</f>
        <v>977.08399999999995</v>
      </c>
      <c r="DA576" s="12">
        <f>'Balance Sheet'!CB109/1000</f>
        <v>1131.509</v>
      </c>
      <c r="DB576" s="12">
        <f>'Balance Sheet'!CC109/1000</f>
        <v>1131.509</v>
      </c>
      <c r="DC576" s="12">
        <f>'Balance Sheet'!CD109/1000</f>
        <v>1160.9110000000001</v>
      </c>
      <c r="DD576" s="12">
        <f>'Balance Sheet'!CE109/1000</f>
        <v>1137.1590000000001</v>
      </c>
      <c r="DE576" s="12">
        <f>'Balance Sheet'!CF109/1000</f>
        <v>1114.144</v>
      </c>
      <c r="DF576" s="12">
        <f>'Balance Sheet'!CG109/1000</f>
        <v>1229.4960000000001</v>
      </c>
      <c r="DG576" s="12">
        <f>'Balance Sheet'!CH109/1000</f>
        <v>1229.4960000000001</v>
      </c>
      <c r="DH576" s="12">
        <f>'Balance Sheet'!CI109/1000</f>
        <v>1306.703</v>
      </c>
      <c r="DI576" s="12">
        <f>'Balance Sheet'!CJ109/1000</f>
        <v>1456.3710000000001</v>
      </c>
      <c r="DJ576" s="12">
        <f>'Balance Sheet'!CK109/1000</f>
        <v>1416.405</v>
      </c>
      <c r="DK576" s="12">
        <f>'Balance Sheet'!CL109/1000</f>
        <v>1610.1669999999999</v>
      </c>
      <c r="DL576" s="12">
        <f>'Balance Sheet'!CM109/1000</f>
        <v>1610.1669999999999</v>
      </c>
      <c r="DM576" s="12">
        <f>'Balance Sheet'!CN109/1000</f>
        <v>1629.492</v>
      </c>
      <c r="DN576" s="12">
        <f>'Balance Sheet'!CO109/1000</f>
        <v>1666.425</v>
      </c>
      <c r="DO576" s="12">
        <f>'Balance Sheet'!CP109/1000</f>
        <v>1837.2360000000001</v>
      </c>
      <c r="DP576" s="12">
        <f>'Balance Sheet'!CQ109/1000</f>
        <v>1887.6890000000001</v>
      </c>
      <c r="DQ576" s="12">
        <f>'Balance Sheet'!CR109/1000</f>
        <v>1887.6890000000001</v>
      </c>
      <c r="DR576" s="12">
        <f>'Balance Sheet'!CS109/1000</f>
        <v>2014.327</v>
      </c>
      <c r="DS576" s="12">
        <f>'Balance Sheet'!CT109/1000</f>
        <v>2174.4430000000002</v>
      </c>
      <c r="DT576" s="12">
        <f>'Balance Sheet'!CU109/1000</f>
        <v>2217.0990000000002</v>
      </c>
      <c r="DU576" s="12">
        <f>'Balance Sheet'!CV109/1000</f>
        <v>2382.8850000000002</v>
      </c>
      <c r="DV576" s="12">
        <f>'Balance Sheet'!CW109/1000</f>
        <v>2382.8850000000002</v>
      </c>
      <c r="DW576" s="12">
        <f>'Balance Sheet'!CX109/1000</f>
        <v>2565.1210000000001</v>
      </c>
      <c r="DX576" s="12">
        <f>'Balance Sheet'!CY109/1000</f>
        <v>2637.529</v>
      </c>
      <c r="DY576" s="12">
        <f>'Balance Sheet'!CZ109/1000</f>
        <v>2833.6819999999998</v>
      </c>
      <c r="DZ576" s="12">
        <f>'Balance Sheet'!DA109/1000</f>
        <v>3197.6790000000001</v>
      </c>
      <c r="EA576" s="12">
        <f>'Balance Sheet'!DB109/1000</f>
        <v>3197.6790000000001</v>
      </c>
      <c r="EB576" s="417"/>
    </row>
    <row r="577" spans="1:132" s="7" customFormat="1">
      <c r="A577" s="11" t="s">
        <v>927</v>
      </c>
      <c r="B577" s="419"/>
      <c r="C577" s="419"/>
      <c r="D577" s="419"/>
      <c r="E577" s="419"/>
      <c r="F577" s="419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>
        <f>Forecasts!B24/1000</f>
        <v>1657.8709116666669</v>
      </c>
      <c r="AB577" s="12">
        <f>Forecasts!C24/1000</f>
        <v>1622.4622823333334</v>
      </c>
      <c r="AC577" s="12">
        <f>Forecasts!D24/1000</f>
        <v>1587.0536530000002</v>
      </c>
      <c r="AD577" s="12">
        <f>Forecasts!E24/1000</f>
        <v>1642.5094610000001</v>
      </c>
      <c r="AE577" s="12">
        <f>Forecasts!F24/1000</f>
        <v>1642.5094610000001</v>
      </c>
      <c r="AF577" s="12">
        <f>Forecasts!G24/1000</f>
        <v>1673.4032809999999</v>
      </c>
      <c r="AG577" s="12">
        <f>Forecasts!H24/1000</f>
        <v>1633.8206189999999</v>
      </c>
      <c r="AH577" s="12">
        <f>Forecasts!I24/1000</f>
        <v>1811.6252590000001</v>
      </c>
      <c r="AI577" s="12">
        <f>Forecasts!J24/1000</f>
        <v>1657.14</v>
      </c>
      <c r="AJ577" s="12">
        <f>Forecasts!K24/1000</f>
        <v>1657.14</v>
      </c>
      <c r="AK577" s="12">
        <f>Forecasts!L24/1000</f>
        <v>1554.9423800000002</v>
      </c>
      <c r="AL577" s="12">
        <f>Forecasts!M24/1000</f>
        <v>1726.5530000000001</v>
      </c>
      <c r="AM577" s="12">
        <f>Forecasts!N24/1000</f>
        <v>1851.155</v>
      </c>
      <c r="AN577" s="12">
        <f>Forecasts!O24/1000</f>
        <v>2230.6320000000001</v>
      </c>
      <c r="AO577" s="12">
        <f>Forecasts!P24/1000</f>
        <v>2230.6320000000001</v>
      </c>
      <c r="AP577" s="12">
        <f>Forecasts!Q24/1000</f>
        <v>2097.9470000000001</v>
      </c>
      <c r="AQ577" s="12">
        <f>Forecasts!R24/1000</f>
        <v>2051.9589999999998</v>
      </c>
      <c r="AR577" s="12">
        <f>Forecasts!S24/1000</f>
        <v>2270.3389999999999</v>
      </c>
      <c r="AS577" s="12">
        <f>Forecasts!T24/1000</f>
        <v>2875.8110000000001</v>
      </c>
      <c r="AT577" s="12">
        <f>Forecasts!U24/1000</f>
        <v>2875.8110000000001</v>
      </c>
      <c r="AU577" s="12">
        <f>Forecasts!V24/1000</f>
        <v>2681.45</v>
      </c>
      <c r="AV577" s="12">
        <f>Forecasts!W24/1000</f>
        <v>2923.17</v>
      </c>
      <c r="AW577" s="12">
        <f>Forecasts!X24/1000</f>
        <v>2923.1860000000001</v>
      </c>
      <c r="AX577" s="12">
        <f>Forecasts!Y24/1000</f>
        <v>3213.6260000000002</v>
      </c>
      <c r="AY577" s="12">
        <f>Forecasts!Z24/1000</f>
        <v>3213.6260000000002</v>
      </c>
      <c r="AZ577" s="12">
        <f>Forecasts!AA24/1000</f>
        <v>3265.79</v>
      </c>
      <c r="BA577" s="12">
        <f>Forecasts!AB24/1000</f>
        <v>3070.2280000000001</v>
      </c>
      <c r="BB577" s="12">
        <f>Forecasts!AC24/1000</f>
        <v>3391.1669999999999</v>
      </c>
      <c r="BC577" s="12">
        <f>Forecasts!AD24/1000</f>
        <v>3674.4259999999999</v>
      </c>
      <c r="BD577" s="12">
        <f>Forecasts!AE24/1000</f>
        <v>3674.4259999999999</v>
      </c>
      <c r="BE577" s="12">
        <f>Forecasts!AF24/1000</f>
        <v>3204.9679999999998</v>
      </c>
      <c r="BF577" s="12">
        <f>Forecasts!AG24/1000</f>
        <v>2792.5239999999999</v>
      </c>
      <c r="BG577" s="12">
        <f>Forecasts!AH24/1000</f>
        <v>3126.5569999999998</v>
      </c>
      <c r="BH577" s="12">
        <f>Forecasts!AI24/1000</f>
        <v>5111.8999999999996</v>
      </c>
      <c r="BI577" s="12">
        <f>Forecasts!AJ24/1000</f>
        <v>5111.8999999999996</v>
      </c>
      <c r="BJ577" s="12">
        <f>Forecasts!AK24/1000</f>
        <v>5264.9</v>
      </c>
      <c r="BK577" s="12">
        <f>Forecasts!AL24/1000</f>
        <v>5251</v>
      </c>
      <c r="BL577" s="12">
        <f>Forecasts!AM24/1000</f>
        <v>5749</v>
      </c>
      <c r="BM577" s="12">
        <f>Forecasts!AN24/1000</f>
        <v>6515</v>
      </c>
      <c r="BN577" s="12">
        <f>Forecasts!AO24/1000</f>
        <v>6515</v>
      </c>
      <c r="BO577" s="12">
        <f>Forecasts!AP24/1000</f>
        <v>6405</v>
      </c>
      <c r="BP577" s="12">
        <f>Forecasts!AQ24/1000</f>
        <v>6246</v>
      </c>
      <c r="BQ577" s="12">
        <f>Forecasts!AR24/1000</f>
        <v>6194</v>
      </c>
      <c r="BR577" s="12">
        <f>Forecasts!AS24/1000</f>
        <v>6626</v>
      </c>
      <c r="BS577" s="12">
        <f>Forecasts!AT24/1000</f>
        <v>6626</v>
      </c>
      <c r="BT577" s="12">
        <f>Forecasts!AU24/1000</f>
        <v>6340</v>
      </c>
      <c r="BU577" s="12">
        <f>Forecasts!AV24/1000</f>
        <v>6163.1</v>
      </c>
      <c r="BV577" s="12">
        <f>Forecasts!AW24/1000</f>
        <v>6233.5</v>
      </c>
      <c r="BW577" s="12">
        <f>Forecasts!AX24/1000</f>
        <v>6704</v>
      </c>
      <c r="BX577" s="12">
        <f>Forecasts!AY24/1000</f>
        <v>6704</v>
      </c>
      <c r="BY577" s="12">
        <f>Forecasts!AZ24/1000</f>
        <v>7187</v>
      </c>
      <c r="BZ577" s="12">
        <f>Forecasts!BA24/1000</f>
        <v>7020</v>
      </c>
      <c r="CA577" s="12">
        <f>Forecasts!BB24/1000</f>
        <v>6905</v>
      </c>
      <c r="CB577" s="12">
        <f>Forecasts!BC24/1000</f>
        <v>7331</v>
      </c>
      <c r="CC577" s="12">
        <f>Forecasts!BD24/1000</f>
        <v>7331</v>
      </c>
      <c r="CD577" s="12">
        <f>Forecasts!BE24/1000</f>
        <v>6919</v>
      </c>
      <c r="CE577" s="12">
        <f>Forecasts!BF24/1000</f>
        <v>7250</v>
      </c>
      <c r="CF577" s="12">
        <f>Forecasts!BG24/1000</f>
        <v>6853</v>
      </c>
      <c r="CG577" s="12">
        <f>Forecasts!BH24/1000</f>
        <v>6563</v>
      </c>
      <c r="CH577" s="12">
        <f>Forecasts!BI24/1000</f>
        <v>6563</v>
      </c>
      <c r="CI577" s="12">
        <f>Forecasts!BJ24/1000</f>
        <v>6480</v>
      </c>
      <c r="CJ577" s="12">
        <f>Forecasts!BK24/1000</f>
        <v>6558</v>
      </c>
      <c r="CK577" s="12">
        <f>Forecasts!BL24/1000</f>
        <v>6412</v>
      </c>
      <c r="CL577" s="12">
        <f>Forecasts!BM24/1000</f>
        <v>6537</v>
      </c>
      <c r="CM577" s="12">
        <f>Forecasts!BN24/1000</f>
        <v>6537</v>
      </c>
      <c r="CN577" s="12">
        <f>Forecasts!BO24/1000</f>
        <v>6646</v>
      </c>
      <c r="CO577" s="12">
        <f>Forecasts!BP24/1000</f>
        <v>6441</v>
      </c>
      <c r="CP577" s="12">
        <f>Forecasts!BQ24/1000</f>
        <v>6212</v>
      </c>
      <c r="CQ577" s="12">
        <f>Forecasts!BR24/1000</f>
        <v>6176</v>
      </c>
      <c r="CR577" s="12">
        <f>Forecasts!BS24/1000</f>
        <v>6176</v>
      </c>
      <c r="CS577" s="12">
        <f>Forecasts!BT24/1000</f>
        <v>5912.8040000000001</v>
      </c>
      <c r="CT577" s="12">
        <f>Forecasts!BU24/1000</f>
        <v>5789.2939999999999</v>
      </c>
      <c r="CU577" s="12">
        <f>Forecasts!BV24/1000</f>
        <v>5574</v>
      </c>
      <c r="CV577" s="12">
        <f>Forecasts!BW24/1000</f>
        <v>4621.8886902507202</v>
      </c>
      <c r="CW577" s="12">
        <f>Forecasts!BX24/1000</f>
        <v>4621.8886902507202</v>
      </c>
      <c r="CX577" s="12">
        <f>Forecasts!BY24/1000</f>
        <v>4148.5440675220898</v>
      </c>
      <c r="CY577" s="12">
        <f>Forecasts!BZ24/1000</f>
        <v>4445.1627336126903</v>
      </c>
      <c r="CZ577" s="12">
        <f>Forecasts!CA24/1000</f>
        <v>4289.3714771361902</v>
      </c>
      <c r="DA577" s="12">
        <f>Forecasts!CB24/1000</f>
        <v>4340.0429178582399</v>
      </c>
      <c r="DB577" s="12">
        <f>Forecasts!CC24/1000</f>
        <v>4340.0429178582399</v>
      </c>
      <c r="DC577" s="12">
        <f>Forecasts!CD24/1000</f>
        <v>4479.7417942848997</v>
      </c>
      <c r="DD577" s="12">
        <f>Forecasts!CE24/1000</f>
        <v>4248.4518303872337</v>
      </c>
      <c r="DE577" s="12">
        <f>Forecasts!CF24/1000</f>
        <v>4301.2007935480051</v>
      </c>
      <c r="DF577" s="12">
        <f>Forecasts!CG24/1000</f>
        <v>5474.3655413125462</v>
      </c>
      <c r="DG577" s="12">
        <f>Forecasts!CH24/1000</f>
        <v>5474.3655413125462</v>
      </c>
      <c r="DH577" s="12">
        <f>Forecasts!CI24/1000</f>
        <v>4894.8242832177057</v>
      </c>
      <c r="DI577" s="12">
        <f>Forecasts!CJ24/1000</f>
        <v>5482</v>
      </c>
      <c r="DJ577" s="12">
        <f>Forecasts!CK24/1000</f>
        <v>6481</v>
      </c>
      <c r="DK577" s="12">
        <f>Forecasts!CL24/1000</f>
        <v>7473</v>
      </c>
      <c r="DL577" s="12">
        <f>Forecasts!CM24/1000</f>
        <v>7473</v>
      </c>
      <c r="DM577" s="12">
        <f>Forecasts!CN24/1000</f>
        <v>7215</v>
      </c>
      <c r="DN577" s="12">
        <f>Forecasts!CO24/1000</f>
        <v>8141</v>
      </c>
      <c r="DO577" s="12">
        <f>Forecasts!CP24/1000</f>
        <v>8911</v>
      </c>
      <c r="DP577" s="12">
        <f>Forecasts!CQ24/1000</f>
        <v>9069</v>
      </c>
      <c r="DQ577" s="12">
        <f>Forecasts!CR24/1000</f>
        <v>9069</v>
      </c>
      <c r="DR577" s="12">
        <f>Forecasts!CS24/1000</f>
        <v>8693.6288514928729</v>
      </c>
      <c r="DS577" s="12">
        <f>Forecasts!CT24/1000</f>
        <v>9766.8618061559719</v>
      </c>
      <c r="DT577" s="12">
        <f>Forecasts!CU24/1000</f>
        <v>9761.0395965918942</v>
      </c>
      <c r="DU577" s="12">
        <f>Forecasts!CV24/1000</f>
        <v>9934.0085458056692</v>
      </c>
      <c r="DV577" s="12">
        <f>Forecasts!CW24/1000</f>
        <v>9934.0085458056692</v>
      </c>
      <c r="DW577" s="12">
        <f>Forecasts!CX24/1000</f>
        <v>9477.6223108091854</v>
      </c>
      <c r="DX577" s="12">
        <f>Forecasts!CY24/1000</f>
        <v>8669.8214032379892</v>
      </c>
      <c r="DY577" s="12">
        <f>Forecasts!CZ24/1000</f>
        <v>8692.9909361964492</v>
      </c>
      <c r="DZ577" s="12">
        <f>Forecasts!DA24/1000</f>
        <v>10554.438634326812</v>
      </c>
      <c r="EA577" s="12">
        <f>Forecasts!DB24/1000</f>
        <v>10554.438634326812</v>
      </c>
      <c r="EB577" s="417"/>
    </row>
    <row r="578" spans="1:132" s="7" customFormat="1">
      <c r="A578" s="11" t="s">
        <v>926</v>
      </c>
      <c r="B578" s="419"/>
      <c r="C578" s="419"/>
      <c r="D578" s="419"/>
      <c r="E578" s="419"/>
      <c r="F578" s="419"/>
      <c r="G578" s="303"/>
      <c r="H578" s="303"/>
      <c r="I578" s="303"/>
      <c r="J578" s="303"/>
      <c r="K578" s="303"/>
      <c r="L578" s="303"/>
      <c r="M578" s="303"/>
      <c r="N578" s="303"/>
      <c r="O578" s="303"/>
      <c r="P578" s="303"/>
      <c r="Q578" s="303"/>
      <c r="R578" s="303"/>
      <c r="S578" s="303"/>
      <c r="T578" s="303"/>
      <c r="U578" s="303"/>
      <c r="V578" s="303"/>
      <c r="W578" s="303"/>
      <c r="X578" s="303"/>
      <c r="Y578" s="303"/>
      <c r="Z578" s="303"/>
      <c r="AA578" s="303" t="e">
        <f>Forecasts!B30</f>
        <v>#VALUE!</v>
      </c>
      <c r="AB578" s="303">
        <f>Forecasts!C30</f>
        <v>8.6890088597108214E-2</v>
      </c>
      <c r="AC578" s="303">
        <f>Forecasts!D30</f>
        <v>8.8656816613618641E-2</v>
      </c>
      <c r="AD578" s="303">
        <f>Forecasts!E30</f>
        <v>0.10000382127683273</v>
      </c>
      <c r="AE578" s="303">
        <f>Forecasts!F30</f>
        <v>0.28661516128848186</v>
      </c>
      <c r="AF578" s="303">
        <f>Forecasts!G30</f>
        <v>8.0188507404914053E-2</v>
      </c>
      <c r="AG578" s="303">
        <f>Forecasts!H30</f>
        <v>8.6455644098824891E-2</v>
      </c>
      <c r="AH578" s="303">
        <f>Forecasts!I30</f>
        <v>0.11776251140669663</v>
      </c>
      <c r="AI578" s="303">
        <f>Forecasts!J30</f>
        <v>0.14356549839682131</v>
      </c>
      <c r="AJ578" s="303">
        <f>Forecasts!K30</f>
        <v>0.33105789353998666</v>
      </c>
      <c r="AK578" s="303">
        <f>Forecasts!L30</f>
        <v>9.5047394386022346E-2</v>
      </c>
      <c r="AL578" s="303">
        <f>Forecasts!M30</f>
        <v>0.20004958289368299</v>
      </c>
      <c r="AM578" s="303">
        <f>Forecasts!N30</f>
        <v>0.13606189217872455</v>
      </c>
      <c r="AN578" s="303">
        <f>Forecasts!O30</f>
        <v>0.17227775089576475</v>
      </c>
      <c r="AO578" s="303">
        <f>Forecasts!P30</f>
        <v>0.37718478494252877</v>
      </c>
      <c r="AP578" s="303">
        <f>Forecasts!Q30</f>
        <v>0.11630413721641407</v>
      </c>
      <c r="AQ578" s="303">
        <f>Forecasts!R30</f>
        <v>0.19407507662723891</v>
      </c>
      <c r="AR578" s="303">
        <f>Forecasts!S30</f>
        <v>0.23653672130386783</v>
      </c>
      <c r="AS578" s="303">
        <f>Forecasts!T30</f>
        <v>0.31843371652231411</v>
      </c>
      <c r="AT578" s="303">
        <f>Forecasts!U30</f>
        <v>0.49485663155783211</v>
      </c>
      <c r="AU578" s="303">
        <f>Forecasts!V30</f>
        <v>0.30939618435331934</v>
      </c>
      <c r="AV578" s="303">
        <f>Forecasts!W30</f>
        <v>0.47407873666480055</v>
      </c>
      <c r="AW578" s="303">
        <f>Forecasts!X30</f>
        <v>0.28673942240371808</v>
      </c>
      <c r="AX578" s="303">
        <f>Forecasts!Y30</f>
        <v>0.15887575309700883</v>
      </c>
      <c r="AY578" s="303">
        <f>Forecasts!Z30</f>
        <v>0.5986468305317445</v>
      </c>
      <c r="AZ578" s="303">
        <f>Forecasts!AA30</f>
        <v>0.13824396509187806</v>
      </c>
      <c r="BA578" s="303">
        <f>Forecasts!AB30</f>
        <v>0.2236156653180445</v>
      </c>
      <c r="BB578" s="303">
        <f>Forecasts!AC30</f>
        <v>0.35756713933265499</v>
      </c>
      <c r="BC578" s="303">
        <f>Forecasts!AD30</f>
        <v>0.41468776431546739</v>
      </c>
      <c r="BD578" s="303">
        <f>Forecasts!AE30</f>
        <v>0.58786156356212327</v>
      </c>
      <c r="BE578" s="303">
        <f>Forecasts!AF30</f>
        <v>0.25643720542560677</v>
      </c>
      <c r="BF578" s="303">
        <f>Forecasts!AG30</f>
        <v>0.38506589421866783</v>
      </c>
      <c r="BG578" s="303">
        <f>Forecasts!AH30</f>
        <v>0.26837806698085698</v>
      </c>
      <c r="BH578" s="303">
        <f>Forecasts!AI30</f>
        <v>0.37656608348513715</v>
      </c>
      <c r="BI578" s="303">
        <f>Forecasts!AJ30</f>
        <v>0.54699038700467939</v>
      </c>
      <c r="BJ578" s="303">
        <f>Forecasts!AK30</f>
        <v>0.16597717190848826</v>
      </c>
      <c r="BK578" s="303">
        <f>Forecasts!AL30</f>
        <v>0.25370750627424138</v>
      </c>
      <c r="BL578" s="303">
        <f>Forecasts!AM30</f>
        <v>0.2162686567164179</v>
      </c>
      <c r="BM578" s="303">
        <f>Forecasts!AN30</f>
        <v>0.28479196556671449</v>
      </c>
      <c r="BN578" s="303">
        <f>Forecasts!AO30</f>
        <v>0.49919336252592761</v>
      </c>
      <c r="BO578" s="303">
        <f>Forecasts!AP30</f>
        <v>0.16946798166412003</v>
      </c>
      <c r="BP578" s="303">
        <f>Forecasts!AQ30</f>
        <v>0.17961264573623278</v>
      </c>
      <c r="BQ578" s="303">
        <f>Forecasts!AR30</f>
        <v>0.24519183764682878</v>
      </c>
      <c r="BR578" s="303">
        <f>Forecasts!AS30</f>
        <v>0.1524008350730689</v>
      </c>
      <c r="BS578" s="303">
        <f>Forecasts!AT30</f>
        <v>0.47128397392049737</v>
      </c>
      <c r="BT578" s="303">
        <f>Forecasts!AU30</f>
        <v>0.16078584149599287</v>
      </c>
      <c r="BU578" s="303">
        <f>Forecasts!AV30</f>
        <v>0.22257499308364181</v>
      </c>
      <c r="BV578" s="303">
        <f>Forecasts!AW30</f>
        <v>0.19231639056934471</v>
      </c>
      <c r="BW578" s="303">
        <f>Forecasts!AX30</f>
        <v>0.21346242508068233</v>
      </c>
      <c r="BX578" s="303">
        <f>Forecasts!AY30</f>
        <v>0.49645706357464942</v>
      </c>
      <c r="BY578" s="303">
        <f>Forecasts!AZ30</f>
        <v>0.18373379552685312</v>
      </c>
      <c r="BZ578" s="303">
        <f>Forecasts!BA30</f>
        <v>0.15569751894220771</v>
      </c>
      <c r="CA578" s="303">
        <f>Forecasts!BB30</f>
        <v>0.12713059079841088</v>
      </c>
      <c r="CB578" s="303">
        <f>Forecasts!BC30</f>
        <v>0.196600066232476</v>
      </c>
      <c r="CC578" s="303">
        <f>Forecasts!BD30</f>
        <v>0.4482002249718785</v>
      </c>
      <c r="CD578" s="303">
        <f>Forecasts!BE30</f>
        <v>9.2715807031049521E-2</v>
      </c>
      <c r="CE578" s="303">
        <f>Forecasts!BF30</f>
        <v>0.10189818409517847</v>
      </c>
      <c r="CF578" s="303">
        <f>Forecasts!BG30</f>
        <v>0.12840648854961831</v>
      </c>
      <c r="CG578" s="303">
        <f>Forecasts!BH30</f>
        <v>0.11086654406935505</v>
      </c>
      <c r="CH578" s="303">
        <f>Forecasts!BI30</f>
        <v>0.33133782991202348</v>
      </c>
      <c r="CI578" s="303">
        <f>Forecasts!BJ30</f>
        <v>7.574763099219621E-2</v>
      </c>
      <c r="CJ578" s="303">
        <f>Forecasts!BK30</f>
        <v>7.8889375529810679E-2</v>
      </c>
      <c r="CK578" s="303">
        <f>Forecasts!BL30</f>
        <v>8.179029957203994E-2</v>
      </c>
      <c r="CL578" s="303">
        <f>Forecasts!BM30</f>
        <v>0.14185115794951861</v>
      </c>
      <c r="CM578" s="303">
        <f>Forecasts!BN30</f>
        <v>0.29111178947368421</v>
      </c>
      <c r="CN578" s="303">
        <f>Forecasts!BO30</f>
        <v>7.2737445796614911E-2</v>
      </c>
      <c r="CO578" s="303">
        <f>Forecasts!BP30</f>
        <v>0.10376063683777106</v>
      </c>
      <c r="CP578" s="303">
        <f>Forecasts!BQ30</f>
        <v>0.10463849574579398</v>
      </c>
      <c r="CQ578" s="303">
        <f>Forecasts!BR30</f>
        <v>0.16752510588857716</v>
      </c>
      <c r="CR578" s="303">
        <f>Forecasts!BS30</f>
        <v>0.33982219329417274</v>
      </c>
      <c r="CS578" s="303">
        <f>Forecasts!BT30</f>
        <v>9.2748727846327067E-2</v>
      </c>
      <c r="CT578" s="303">
        <f>Forecasts!BU30</f>
        <v>0.15388865350492364</v>
      </c>
      <c r="CU578" s="303">
        <f>Forecasts!BV30</f>
        <v>0.14059321091337282</v>
      </c>
      <c r="CV578" s="303">
        <f>Forecasts!BW30</f>
        <v>0.29461548830409756</v>
      </c>
      <c r="CW578" s="303">
        <f>Forecasts!BX30</f>
        <v>0.45085073071467474</v>
      </c>
      <c r="CX578" s="303">
        <f>Forecasts!BY30</f>
        <v>0.15264348218652149</v>
      </c>
      <c r="CY578" s="303">
        <f>Forecasts!BZ30</f>
        <v>0.22997744178627094</v>
      </c>
      <c r="CZ578" s="303">
        <f>Forecasts!CA30</f>
        <v>0.20673361118581005</v>
      </c>
      <c r="DA578" s="303">
        <f>Forecasts!CB30</f>
        <v>0.24396446710562603</v>
      </c>
      <c r="DB578" s="303">
        <f>Forecasts!CC30</f>
        <v>0.51113382995719558</v>
      </c>
      <c r="DC578" s="303">
        <f>Forecasts!CD30</f>
        <v>0.15656799408593361</v>
      </c>
      <c r="DD578" s="303">
        <f>Forecasts!CE30</f>
        <v>0.10823504261393342</v>
      </c>
      <c r="DE578" s="303">
        <f>Forecasts!CF30</f>
        <v>0.2901257246354948</v>
      </c>
      <c r="DF578" s="303">
        <f>Forecasts!CG30</f>
        <v>0.2592769792826205</v>
      </c>
      <c r="DG578" s="303">
        <f>Forecasts!CH30</f>
        <v>0.48416387270990546</v>
      </c>
      <c r="DH578" s="303">
        <f>Forecasts!CI30</f>
        <v>0.17485786961009758</v>
      </c>
      <c r="DI578" s="303">
        <f>Forecasts!CJ30</f>
        <v>0.2286016487645024</v>
      </c>
      <c r="DJ578" s="303">
        <f>Forecasts!CK30</f>
        <v>0.17777365698451425</v>
      </c>
      <c r="DK578" s="303">
        <f>Forecasts!CL30</f>
        <v>0.17425184649846623</v>
      </c>
      <c r="DL578" s="303">
        <f>Forecasts!CM30</f>
        <v>0.43968780824537801</v>
      </c>
      <c r="DM578" s="303">
        <f>Forecasts!CN30</f>
        <v>0.15421678611884454</v>
      </c>
      <c r="DN578" s="303">
        <f>Forecasts!CO30</f>
        <v>0.17000198424993027</v>
      </c>
      <c r="DO578" s="303">
        <f>Forecasts!CP30</f>
        <v>0.20650165517507688</v>
      </c>
      <c r="DP578" s="303">
        <f>Forecasts!CQ30</f>
        <v>0.22936009292432044</v>
      </c>
      <c r="DQ578" s="303">
        <f>Forecasts!CR30</f>
        <v>0.47697673093455017</v>
      </c>
      <c r="DR578" s="303">
        <f>Forecasts!CS30</f>
        <v>0.14831863010000182</v>
      </c>
      <c r="DS578" s="303">
        <f>Forecasts!CT30</f>
        <v>0.20406385368450061</v>
      </c>
      <c r="DT578" s="303">
        <f>Forecasts!CU30</f>
        <v>0.18968289116038875</v>
      </c>
      <c r="DU578" s="303">
        <f>Forecasts!CV30</f>
        <v>0.20735738196818751</v>
      </c>
      <c r="DV578" s="303">
        <f>Forecasts!CW30</f>
        <v>0.47205940817855679</v>
      </c>
      <c r="DW578" s="303">
        <f>Forecasts!CX30</f>
        <v>0.1845571303025007</v>
      </c>
      <c r="DX578" s="303">
        <f>Forecasts!CY30</f>
        <v>0.21679191132215739</v>
      </c>
      <c r="DY578" s="303">
        <f>Forecasts!CZ30</f>
        <v>0.27141007175374399</v>
      </c>
      <c r="DZ578" s="303">
        <f>Forecasts!DA30</f>
        <v>0.31788575594394286</v>
      </c>
      <c r="EA578" s="303">
        <f>Forecasts!DB30</f>
        <v>0.54995431400291839</v>
      </c>
      <c r="EB578" s="417"/>
    </row>
    <row r="579" spans="1:132" s="7" customFormat="1">
      <c r="A579" s="11" t="s">
        <v>925</v>
      </c>
      <c r="B579" s="419"/>
      <c r="C579" s="419"/>
      <c r="D579" s="419"/>
      <c r="E579" s="419"/>
      <c r="F579" s="419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>
        <f>'Income Statement'!B58/1000</f>
        <v>32.912500000000001</v>
      </c>
      <c r="AB579" s="12">
        <f>'Income Statement'!C58/1000</f>
        <v>33.393500000000003</v>
      </c>
      <c r="AC579" s="12">
        <f>'Income Statement'!D58/1000</f>
        <v>28.882999999999999</v>
      </c>
      <c r="AD579" s="12">
        <f>'Income Statement'!E58/1000</f>
        <v>48.664000000000001</v>
      </c>
      <c r="AE579" s="12">
        <f>'Income Statement'!F58/1000</f>
        <v>143.85300000000001</v>
      </c>
      <c r="AF579" s="12">
        <f>'Income Statement'!G58/1000</f>
        <v>53.771999999999998</v>
      </c>
      <c r="AG579" s="12">
        <f>'Income Statement'!H58/1000</f>
        <v>33.634</v>
      </c>
      <c r="AH579" s="12">
        <f>'Income Statement'!I58/1000</f>
        <v>91.513999999999996</v>
      </c>
      <c r="AI579" s="12">
        <f>'Income Statement'!J58/1000</f>
        <v>4.5709999999999997</v>
      </c>
      <c r="AJ579" s="12">
        <f>'Income Statement'!K58/1000</f>
        <v>183.49100000000001</v>
      </c>
      <c r="AK579" s="12">
        <f>'Income Statement'!L58/1000</f>
        <v>66.936999999999998</v>
      </c>
      <c r="AL579" s="12">
        <f>'Income Statement'!M58/1000</f>
        <v>78.611999999999995</v>
      </c>
      <c r="AM579" s="12">
        <f>'Income Statement'!N58/1000</f>
        <v>45.82</v>
      </c>
      <c r="AN579" s="12">
        <f>'Income Statement'!O58/1000</f>
        <v>77.933999999999997</v>
      </c>
      <c r="AO579" s="12">
        <f>'Income Statement'!P58/1000</f>
        <v>269.303</v>
      </c>
      <c r="AP579" s="12">
        <f>'Income Statement'!Q58/1000</f>
        <v>61.618000000000002</v>
      </c>
      <c r="AQ579" s="12">
        <f>'Income Statement'!R58/1000</f>
        <v>101.72</v>
      </c>
      <c r="AR579" s="12">
        <f>'Income Statement'!S58/1000</f>
        <v>102.77</v>
      </c>
      <c r="AS579" s="12">
        <f>'Income Statement'!T58/1000</f>
        <v>125.423</v>
      </c>
      <c r="AT579" s="12">
        <f>'Income Statement'!U58/1000</f>
        <v>391.53100000000001</v>
      </c>
      <c r="AU579" s="12">
        <f>'Income Statement'!V58/1000</f>
        <v>106.316</v>
      </c>
      <c r="AV579" s="12">
        <f>'Income Statement'!W58/1000</f>
        <v>161.54400000000001</v>
      </c>
      <c r="AW579" s="12">
        <f>'Income Statement'!X58/1000</f>
        <v>161.941</v>
      </c>
      <c r="AX579" s="12">
        <f>'Income Statement'!Y58/1000</f>
        <v>99.608000000000004</v>
      </c>
      <c r="AY579" s="12">
        <f>'Income Statement'!Z58/1000</f>
        <v>529.40899999999999</v>
      </c>
      <c r="AZ579" s="12">
        <f>'Income Statement'!AA58/1000</f>
        <v>162.922</v>
      </c>
      <c r="BA579" s="12">
        <f>'Income Statement'!AB58/1000</f>
        <v>209.977</v>
      </c>
      <c r="BB579" s="12">
        <f>'Income Statement'!AC58/1000</f>
        <v>287.33100000000002</v>
      </c>
      <c r="BC579" s="12">
        <f>'Income Statement'!AD58/1000</f>
        <v>260.589</v>
      </c>
      <c r="BD579" s="12">
        <f>'Income Statement'!AE58/1000</f>
        <v>920.81899999999996</v>
      </c>
      <c r="BE579" s="12">
        <f>'Income Statement'!AF58/1000</f>
        <v>248.92</v>
      </c>
      <c r="BF579" s="12">
        <f>'Income Statement'!AG58/1000</f>
        <v>242.41800000000001</v>
      </c>
      <c r="BG579" s="12">
        <f>'Income Statement'!AH58/1000</f>
        <v>247.77799999999999</v>
      </c>
      <c r="BH579" s="12">
        <f>'Income Statement'!AI58/1000</f>
        <v>198.851</v>
      </c>
      <c r="BI579" s="12">
        <f>'Income Statement'!AJ58/1000</f>
        <v>937.96699999999998</v>
      </c>
      <c r="BJ579" s="12">
        <f>'Income Statement'!AK58/1000</f>
        <v>181.18799999999999</v>
      </c>
      <c r="BK579" s="12">
        <f>'Income Statement'!AL58/1000</f>
        <v>185.78800000000001</v>
      </c>
      <c r="BL579" s="12">
        <f>'Income Statement'!AM58/1000</f>
        <v>291.69200000000001</v>
      </c>
      <c r="BM579" s="12">
        <f>'Income Statement'!AN58/1000</f>
        <v>387.053</v>
      </c>
      <c r="BN579" s="12">
        <f>'Income Statement'!AO58/1000</f>
        <v>1045.721</v>
      </c>
      <c r="BO579" s="12">
        <f>'Income Statement'!AP58/1000</f>
        <v>298.892</v>
      </c>
      <c r="BP579" s="12">
        <f>'Income Statement'!AQ58/1000</f>
        <v>256.65100000000001</v>
      </c>
      <c r="BQ579" s="12">
        <f>'Income Statement'!AR58/1000</f>
        <v>288.66699999999997</v>
      </c>
      <c r="BR579" s="12">
        <f>'Income Statement'!AS58/1000</f>
        <v>299.44099999999997</v>
      </c>
      <c r="BS579" s="12">
        <f>'Income Statement'!AT58/1000</f>
        <v>1143.6510000000001</v>
      </c>
      <c r="BT579" s="12">
        <f>'Income Statement'!AU58/1000</f>
        <v>260.15800000000002</v>
      </c>
      <c r="BU579" s="12">
        <f>'Income Statement'!AV58/1000</f>
        <v>293.08</v>
      </c>
      <c r="BV579" s="12">
        <f>'Income Statement'!AW58/1000</f>
        <v>310.04300000000001</v>
      </c>
      <c r="BW579" s="12">
        <f>'Income Statement'!AX58/1000</f>
        <v>314.48899999999998</v>
      </c>
      <c r="BX579" s="12">
        <f>'Income Statement'!AY58/1000</f>
        <v>1177.77</v>
      </c>
      <c r="BY579" s="12">
        <f>'Income Statement'!AZ58/1000</f>
        <v>288.03899999999999</v>
      </c>
      <c r="BZ579" s="12">
        <f>'Income Statement'!BA58/1000</f>
        <v>291.73099999999999</v>
      </c>
      <c r="CA579" s="12">
        <f>'Income Statement'!BB58/1000</f>
        <v>292.12900000000002</v>
      </c>
      <c r="CB579" s="12">
        <f>'Income Statement'!BC58/1000</f>
        <v>257.53500000000003</v>
      </c>
      <c r="CC579" s="12">
        <f>'Income Statement'!BD58/1000</f>
        <v>1129.434</v>
      </c>
      <c r="CD579" s="12">
        <f>'Income Statement'!BE58/1000</f>
        <v>186.565</v>
      </c>
      <c r="CE579" s="12">
        <f>'Income Statement'!BF58/1000</f>
        <v>261.137</v>
      </c>
      <c r="CF579" s="12">
        <f>'Income Statement'!BG58/1000</f>
        <v>226.40199999999999</v>
      </c>
      <c r="CG579" s="12">
        <f>'Income Statement'!BH58/1000</f>
        <v>163.24199999999999</v>
      </c>
      <c r="CH579" s="12">
        <f>'Income Statement'!BI58/1000</f>
        <v>837.346</v>
      </c>
      <c r="CI579" s="12">
        <f>'Income Statement'!BJ58/1000</f>
        <v>160.18199999999999</v>
      </c>
      <c r="CJ579" s="12">
        <f>'Income Statement'!BK58/1000</f>
        <v>98.307000000000002</v>
      </c>
      <c r="CK579" s="12">
        <f>'Income Statement'!BL58/1000</f>
        <v>118.245</v>
      </c>
      <c r="CL579" s="12">
        <f>'Income Statement'!BM58/1000</f>
        <v>94.123999999999995</v>
      </c>
      <c r="CM579" s="12">
        <f>'Income Statement'!BN58/1000</f>
        <v>470.858</v>
      </c>
      <c r="CN579" s="12">
        <f>'Income Statement'!BO58/1000</f>
        <v>101.20099999999999</v>
      </c>
      <c r="CO579" s="12">
        <f>'Income Statement'!BP58/1000</f>
        <v>-82.778999999999996</v>
      </c>
      <c r="CP579" s="12">
        <f>'Income Statement'!BQ58/1000</f>
        <v>31.821000000000002</v>
      </c>
      <c r="CQ579" s="12">
        <f>'Income Statement'!BR58/1000</f>
        <v>57.631999999999998</v>
      </c>
      <c r="CR579" s="12">
        <f>'Income Statement'!BS58/1000</f>
        <v>107.875</v>
      </c>
      <c r="CS579" s="12">
        <f>'Income Statement'!BT58/1000</f>
        <v>5.6630000000000003</v>
      </c>
      <c r="CT579" s="12">
        <f>'Income Statement'!BU58/1000</f>
        <v>15.129</v>
      </c>
      <c r="CU579" s="12">
        <f>'Income Statement'!BV58/1000</f>
        <v>-44.829000000000001</v>
      </c>
      <c r="CV579" s="12">
        <f>'Income Statement'!BW58/1000</f>
        <v>139.911</v>
      </c>
      <c r="CW579" s="12">
        <f>'Income Statement'!BX58/1000</f>
        <v>95.873999999999995</v>
      </c>
      <c r="CX579" s="12">
        <f>'Income Statement'!BY58/1000</f>
        <v>126.684</v>
      </c>
      <c r="CY579" s="12">
        <f>'Income Statement'!BZ58/1000</f>
        <v>102.51</v>
      </c>
      <c r="CZ579" s="12">
        <f>'Income Statement'!CA58/1000</f>
        <v>149.79499999999999</v>
      </c>
      <c r="DA579" s="12">
        <f>'Income Statement'!CB58/1000</f>
        <v>262.78100000000001</v>
      </c>
      <c r="DB579" s="12">
        <f>'Income Statement'!CC58/1000</f>
        <v>641.77</v>
      </c>
      <c r="DC579" s="12">
        <f>'Income Statement'!CD58/1000</f>
        <v>79.983999999999995</v>
      </c>
      <c r="DD579" s="12">
        <f>'Income Statement'!CE58/1000</f>
        <v>111.84</v>
      </c>
      <c r="DE579" s="12">
        <f>'Income Statement'!CF58/1000</f>
        <v>221.11199999999999</v>
      </c>
      <c r="DF579" s="12">
        <f>'Income Statement'!CG58/1000</f>
        <v>226.74600000000001</v>
      </c>
      <c r="DG579" s="12">
        <f>'Income Statement'!CH58/1000</f>
        <v>639.68200000000002</v>
      </c>
      <c r="DH579" s="12">
        <f>'Income Statement'!CI58/1000</f>
        <v>156.07900000000001</v>
      </c>
      <c r="DI579" s="12">
        <f>'Income Statement'!CJ58/1000</f>
        <v>248.53899999999999</v>
      </c>
      <c r="DJ579" s="12">
        <f>'Income Statement'!CK58/1000</f>
        <v>228.262</v>
      </c>
      <c r="DK579" s="12">
        <f>'Income Statement'!CL58/1000</f>
        <v>219.31100000000001</v>
      </c>
      <c r="DL579" s="12">
        <f>'Income Statement'!CM58/1000</f>
        <v>852.19100000000003</v>
      </c>
      <c r="DM579" s="12">
        <f>'Income Statement'!CN58/1000</f>
        <v>152.203</v>
      </c>
      <c r="DN579" s="12">
        <f>'Income Statement'!CO58/1000</f>
        <v>156.65899999999999</v>
      </c>
      <c r="DO579" s="12">
        <f>'Income Statement'!CP58/1000</f>
        <v>321.00200000000001</v>
      </c>
      <c r="DP579" s="12">
        <f>'Income Statement'!CQ58/1000</f>
        <v>211.62700000000001</v>
      </c>
      <c r="DQ579" s="12">
        <f>'Income Statement'!CR58/1000</f>
        <v>841.49099999999999</v>
      </c>
      <c r="DR579" s="12">
        <f>'Income Statement'!CS58/1000</f>
        <v>184.27099999999999</v>
      </c>
      <c r="DS579" s="12">
        <f>'Income Statement'!CT58/1000</f>
        <v>332.09699999999998</v>
      </c>
      <c r="DT579" s="12">
        <f>'Income Statement'!CU58/1000</f>
        <v>300.43799999999999</v>
      </c>
      <c r="DU579" s="12">
        <f>'Income Statement'!CV58/1000</f>
        <v>252.21</v>
      </c>
      <c r="DV579" s="12">
        <f>'Income Statement'!CW58/1000</f>
        <v>1069.0160000000001</v>
      </c>
      <c r="DW579" s="12">
        <f>'Income Statement'!CX58/1000</f>
        <v>288.57499999999999</v>
      </c>
      <c r="DX579" s="12">
        <f>'Income Statement'!CY58/1000</f>
        <v>409.64499999999998</v>
      </c>
      <c r="DY579" s="12">
        <f>'Income Statement'!CZ58/1000</f>
        <v>493.43700000000001</v>
      </c>
      <c r="DZ579" s="12">
        <f>'Income Statement'!DA58/1000</f>
        <v>534.30799999999999</v>
      </c>
      <c r="EA579" s="12">
        <f>'Income Statement'!DB58/1000</f>
        <v>1725.9649999999999</v>
      </c>
      <c r="EB579" s="417"/>
    </row>
    <row r="580" spans="1:132" s="7" customFormat="1">
      <c r="A580" s="11" t="s">
        <v>924</v>
      </c>
      <c r="B580" s="419"/>
      <c r="C580" s="419"/>
      <c r="D580" s="419"/>
      <c r="E580" s="419"/>
      <c r="F580" s="419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>
        <f>'Income Statement'!B13/1000</f>
        <v>0</v>
      </c>
      <c r="AB580" s="12">
        <f>'Income Statement'!C13/1000</f>
        <v>0</v>
      </c>
      <c r="AC580" s="12">
        <f>'Income Statement'!D13/1000</f>
        <v>0</v>
      </c>
      <c r="AD580" s="12">
        <f>'Income Statement'!E13/1000</f>
        <v>0</v>
      </c>
      <c r="AE580" s="12">
        <f>'Income Statement'!F13/1000</f>
        <v>0</v>
      </c>
      <c r="AF580" s="12">
        <f>'Income Statement'!G13/1000</f>
        <v>0</v>
      </c>
      <c r="AG580" s="12">
        <f>'Income Statement'!H13/1000</f>
        <v>0</v>
      </c>
      <c r="AH580" s="12">
        <f>'Income Statement'!I13/1000</f>
        <v>0</v>
      </c>
      <c r="AI580" s="12">
        <f>'Income Statement'!J13/1000</f>
        <v>0</v>
      </c>
      <c r="AJ580" s="12">
        <f>'Income Statement'!K13/1000</f>
        <v>0</v>
      </c>
      <c r="AK580" s="12">
        <f>'Income Statement'!L13/1000</f>
        <v>0</v>
      </c>
      <c r="AL580" s="12">
        <f>'Income Statement'!M13/1000</f>
        <v>0</v>
      </c>
      <c r="AM580" s="12">
        <f>'Income Statement'!N13/1000</f>
        <v>0</v>
      </c>
      <c r="AN580" s="12">
        <f>'Income Statement'!O13/1000</f>
        <v>0</v>
      </c>
      <c r="AO580" s="12">
        <f>'Income Statement'!P13/1000</f>
        <v>0</v>
      </c>
      <c r="AP580" s="12">
        <f>'Income Statement'!Q13/1000</f>
        <v>0</v>
      </c>
      <c r="AQ580" s="12">
        <f>'Income Statement'!R13/1000</f>
        <v>0</v>
      </c>
      <c r="AR580" s="12">
        <f>'Income Statement'!S13/1000</f>
        <v>0</v>
      </c>
      <c r="AS580" s="12">
        <f>'Income Statement'!T13/1000</f>
        <v>0</v>
      </c>
      <c r="AT580" s="12">
        <f>'Income Statement'!U13/1000</f>
        <v>0</v>
      </c>
      <c r="AU580" s="12">
        <f>'Income Statement'!V13/1000</f>
        <v>0</v>
      </c>
      <c r="AV580" s="12">
        <f>'Income Statement'!W13/1000</f>
        <v>0</v>
      </c>
      <c r="AW580" s="12">
        <f>'Income Statement'!X13/1000</f>
        <v>-8.0830000000000002</v>
      </c>
      <c r="AX580" s="12">
        <f>'Income Statement'!Y13/1000</f>
        <v>-8.0830000000000002</v>
      </c>
      <c r="AY580" s="12">
        <f>'Income Statement'!Z13/1000</f>
        <v>-16.166</v>
      </c>
      <c r="AZ580" s="12">
        <f>'Income Statement'!AA13/1000</f>
        <v>-9.1690000000000005</v>
      </c>
      <c r="BA580" s="12">
        <f>'Income Statement'!AB13/1000</f>
        <v>-11.627000000000001</v>
      </c>
      <c r="BB580" s="12">
        <f>'Income Statement'!AC13/1000</f>
        <v>-10.943</v>
      </c>
      <c r="BC580" s="12">
        <f>'Income Statement'!AD13/1000</f>
        <v>-8.2129999999999992</v>
      </c>
      <c r="BD580" s="12">
        <f>'Income Statement'!AE13/1000</f>
        <v>-39.951999999999998</v>
      </c>
      <c r="BE580" s="12">
        <f>'Income Statement'!AF13/1000</f>
        <v>-9.5500000000000007</v>
      </c>
      <c r="BF580" s="12">
        <f>'Income Statement'!AG13/1000</f>
        <v>-19.321999999999999</v>
      </c>
      <c r="BG580" s="12">
        <f>'Income Statement'!AH13/1000</f>
        <v>-17.091000000000001</v>
      </c>
      <c r="BH580" s="12">
        <f>'Income Statement'!AI13/1000</f>
        <v>-50.231999999999999</v>
      </c>
      <c r="BI580" s="12">
        <f>'Income Statement'!AJ13/1000</f>
        <v>-96.194999999999993</v>
      </c>
      <c r="BJ580" s="12">
        <f>'Income Statement'!AK13/1000</f>
        <v>-39.087000000000003</v>
      </c>
      <c r="BK580" s="12">
        <f>'Income Statement'!AL13/1000</f>
        <v>-42.363999999999997</v>
      </c>
      <c r="BL580" s="12">
        <f>'Income Statement'!AM13/1000</f>
        <v>-60.744999999999997</v>
      </c>
      <c r="BM580" s="12">
        <f>'Income Statement'!AN13/1000</f>
        <v>-50</v>
      </c>
      <c r="BN580" s="12">
        <f>'Income Statement'!AO13/1000</f>
        <v>-192.196</v>
      </c>
      <c r="BO580" s="12">
        <f>'Income Statement'!AP13/1000</f>
        <v>-40.799999999999997</v>
      </c>
      <c r="BP580" s="12">
        <f>'Income Statement'!AQ13/1000</f>
        <v>-35.488999999999997</v>
      </c>
      <c r="BQ580" s="12">
        <f>'Income Statement'!AR13/1000</f>
        <v>-43.033000000000001</v>
      </c>
      <c r="BR580" s="12">
        <f>'Income Statement'!AS13/1000</f>
        <v>-58.984999999999999</v>
      </c>
      <c r="BS580" s="12">
        <f>'Income Statement'!AT13/1000</f>
        <v>-178.30699999999999</v>
      </c>
      <c r="BT580" s="12">
        <f>'Income Statement'!AU13/1000</f>
        <v>-29.978999999999999</v>
      </c>
      <c r="BU580" s="12">
        <f>'Income Statement'!AV13/1000</f>
        <v>-32.283999999999999</v>
      </c>
      <c r="BV580" s="12">
        <f>'Income Statement'!AW13/1000</f>
        <v>-49.78</v>
      </c>
      <c r="BW580" s="12">
        <f>'Income Statement'!AX13/1000</f>
        <v>-74.332999999999998</v>
      </c>
      <c r="BX580" s="12">
        <f>'Income Statement'!AY13/1000</f>
        <v>-186.376</v>
      </c>
      <c r="BY580" s="12">
        <f>'Income Statement'!AZ13/1000</f>
        <v>-48.552</v>
      </c>
      <c r="BZ580" s="12">
        <f>'Income Statement'!BA13/1000</f>
        <v>-52.737000000000002</v>
      </c>
      <c r="CA580" s="12">
        <f>'Income Statement'!BB13/1000</f>
        <v>-51.237000000000002</v>
      </c>
      <c r="CB580" s="12">
        <f>'Income Statement'!BC13/1000</f>
        <v>-55.201999999999998</v>
      </c>
      <c r="CC580" s="12">
        <f>'Income Statement'!BD13/1000</f>
        <v>-207.72800000000001</v>
      </c>
      <c r="CD580" s="12">
        <f>'Income Statement'!BE13/1000</f>
        <v>-44.064999999999998</v>
      </c>
      <c r="CE580" s="12">
        <f>'Income Statement'!BF13/1000</f>
        <v>-40.835000000000001</v>
      </c>
      <c r="CF580" s="12">
        <f>'Income Statement'!BG13/1000</f>
        <v>-43.100999999999999</v>
      </c>
      <c r="CG580" s="12">
        <f>'Income Statement'!BH13/1000</f>
        <v>-43</v>
      </c>
      <c r="CH580" s="12">
        <f>'Income Statement'!BI13/1000</f>
        <v>-171.001</v>
      </c>
      <c r="CI580" s="12">
        <f>'Income Statement'!BJ13/1000</f>
        <v>-50.356999999999999</v>
      </c>
      <c r="CJ580" s="12">
        <f>'Income Statement'!BK13/1000</f>
        <v>-48.046999999999997</v>
      </c>
      <c r="CK580" s="12">
        <f>'Income Statement'!BL13/1000</f>
        <v>-55.155999999999999</v>
      </c>
      <c r="CL580" s="12">
        <f>'Income Statement'!BM13/1000</f>
        <v>-49.192</v>
      </c>
      <c r="CM580" s="12">
        <f>'Income Statement'!BN13/1000</f>
        <v>-202.75200000000001</v>
      </c>
      <c r="CN580" s="12">
        <f>'Income Statement'!BO13/1000</f>
        <v>-44.881</v>
      </c>
      <c r="CO580" s="12">
        <f>'Income Statement'!BP13/1000</f>
        <v>-48.098999999999997</v>
      </c>
      <c r="CP580" s="12">
        <f>'Income Statement'!BQ13/1000</f>
        <v>-39.366999999999997</v>
      </c>
      <c r="CQ580" s="12">
        <f>'Income Statement'!BR13/1000</f>
        <v>-41.619</v>
      </c>
      <c r="CR580" s="12">
        <f>'Income Statement'!BS13/1000</f>
        <v>-173.96600000000001</v>
      </c>
      <c r="CS580" s="12">
        <f>'Income Statement'!BT13/1000</f>
        <v>-25.605</v>
      </c>
      <c r="CT580" s="12">
        <f>'Income Statement'!BU13/1000</f>
        <v>-28.98</v>
      </c>
      <c r="CU580" s="12">
        <f>'Income Statement'!BV13/1000</f>
        <v>-32.881999999999998</v>
      </c>
      <c r="CV580" s="12">
        <f>'Income Statement'!BW13/1000</f>
        <v>-22.25</v>
      </c>
      <c r="CW580" s="12">
        <f>'Income Statement'!BX13/1000</f>
        <v>-109.717</v>
      </c>
      <c r="CX580" s="12">
        <f>'Income Statement'!BY13/1000</f>
        <v>-23.843</v>
      </c>
      <c r="CY580" s="12">
        <f>'Income Statement'!BZ13/1000</f>
        <v>-18.259</v>
      </c>
      <c r="CZ580" s="12">
        <f>'Income Statement'!CA13/1000</f>
        <v>-20.161999999999999</v>
      </c>
      <c r="DA580" s="12">
        <f>'Income Statement'!CB13/1000</f>
        <v>-19.13</v>
      </c>
      <c r="DB580" s="12">
        <f>'Income Statement'!CC13/1000</f>
        <v>-81.394000000000005</v>
      </c>
      <c r="DC580" s="12">
        <f>'Income Statement'!CD13/1000</f>
        <v>-11.643000000000001</v>
      </c>
      <c r="DD580" s="12">
        <f>'Income Statement'!CE13/1000</f>
        <v>-16.826000000000001</v>
      </c>
      <c r="DE580" s="12">
        <f>'Income Statement'!CF13/1000</f>
        <v>-18.257000000000001</v>
      </c>
      <c r="DF580" s="12">
        <f>'Income Statement'!CG13/1000</f>
        <v>-20.626999999999999</v>
      </c>
      <c r="DG580" s="12">
        <f>'Income Statement'!CH13/1000</f>
        <v>-67.352999999999994</v>
      </c>
      <c r="DH580" s="12">
        <f>'Income Statement'!CI13/1000</f>
        <v>-9.0109999999999992</v>
      </c>
      <c r="DI580" s="12">
        <f>'Income Statement'!CJ13/1000</f>
        <v>-10.375999999999999</v>
      </c>
      <c r="DJ580" s="12">
        <f>'Income Statement'!CK13/1000</f>
        <v>-11.595000000000001</v>
      </c>
      <c r="DK580" s="12">
        <f>'Income Statement'!CL13/1000</f>
        <v>-15.266999999999999</v>
      </c>
      <c r="DL580" s="12">
        <f>'Income Statement'!CM13/1000</f>
        <v>-46.249000000000002</v>
      </c>
      <c r="DM580" s="12">
        <f>'Income Statement'!CN13/1000</f>
        <v>-16.266999999999999</v>
      </c>
      <c r="DN580" s="12">
        <f>'Income Statement'!CO13/1000</f>
        <v>-19.510999999999999</v>
      </c>
      <c r="DO580" s="12">
        <f>'Income Statement'!CP13/1000</f>
        <v>-22.791</v>
      </c>
      <c r="DP580" s="12">
        <f>'Income Statement'!CQ13/1000</f>
        <v>-23.445</v>
      </c>
      <c r="DQ580" s="12">
        <f>'Income Statement'!CR13/1000</f>
        <v>-82.013999999999996</v>
      </c>
      <c r="DR580" s="12">
        <f>'Income Statement'!CS13/1000</f>
        <v>-24.675000000000001</v>
      </c>
      <c r="DS580" s="12">
        <f>'Income Statement'!CT13/1000</f>
        <v>-30.381</v>
      </c>
      <c r="DT580" s="12">
        <f>'Income Statement'!CU13/1000</f>
        <v>-30.001000000000001</v>
      </c>
      <c r="DU580" s="12">
        <f>'Income Statement'!CV13/1000</f>
        <v>-29.63</v>
      </c>
      <c r="DV580" s="12">
        <f>'Income Statement'!CW13/1000</f>
        <v>-114.687</v>
      </c>
      <c r="DW580" s="12">
        <f>'Income Statement'!CX13/1000</f>
        <v>-27.119</v>
      </c>
      <c r="DX580" s="12">
        <f>'Income Statement'!CY13/1000</f>
        <v>-35.198</v>
      </c>
      <c r="DY580" s="12">
        <f>'Income Statement'!CZ13/1000</f>
        <v>-35.853999999999999</v>
      </c>
      <c r="DZ580" s="12">
        <f>'Income Statement'!DA13/1000</f>
        <v>-35.817999999999998</v>
      </c>
      <c r="EA580" s="12">
        <f>'Income Statement'!DB13/1000</f>
        <v>-133.989</v>
      </c>
      <c r="EB580" s="417"/>
    </row>
    <row r="581" spans="1:132" s="7" customFormat="1">
      <c r="A581" s="11" t="s">
        <v>923</v>
      </c>
      <c r="B581" s="419"/>
      <c r="C581" s="419"/>
      <c r="D581" s="419"/>
      <c r="E581" s="419"/>
      <c r="F581" s="419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 t="e">
        <f>'Balance Sheet'!B53/1000-'Balance Sheet'!#REF!/1000</f>
        <v>#REF!</v>
      </c>
      <c r="AB581" s="12" t="e">
        <f>'Balance Sheet'!C53/1000-'Balance Sheet'!#REF!/1000</f>
        <v>#REF!</v>
      </c>
      <c r="AC581" s="12" t="e">
        <f>'Balance Sheet'!D53/1000-'Balance Sheet'!#REF!/1000</f>
        <v>#REF!</v>
      </c>
      <c r="AD581" s="12" t="e">
        <f>'Balance Sheet'!E53/1000-'Balance Sheet'!#REF!/1000</f>
        <v>#REF!</v>
      </c>
      <c r="AE581" s="12" t="e">
        <f>'Balance Sheet'!F53/1000-'Balance Sheet'!A53/1000</f>
        <v>#VALUE!</v>
      </c>
      <c r="AF581" s="12">
        <f>'Balance Sheet'!G53/1000-'Balance Sheet'!B53/1000</f>
        <v>387.66149999999999</v>
      </c>
      <c r="AG581" s="12">
        <f>'Balance Sheet'!H53/1000-'Balance Sheet'!C53/1000</f>
        <v>87.229000000000013</v>
      </c>
      <c r="AH581" s="12">
        <f>'Balance Sheet'!I53/1000-'Balance Sheet'!D53/1000</f>
        <v>-345.93799999999999</v>
      </c>
      <c r="AI581" s="12">
        <f>'Balance Sheet'!J53/1000-'Balance Sheet'!E53/1000</f>
        <v>-413.387</v>
      </c>
      <c r="AJ581" s="12">
        <f>'Balance Sheet'!K53/1000-'Balance Sheet'!F53/1000</f>
        <v>-403.12</v>
      </c>
      <c r="AK581" s="12">
        <f>'Balance Sheet'!L53/1000-'Balance Sheet'!G53/1000</f>
        <v>-541.28949999999998</v>
      </c>
      <c r="AL581" s="12">
        <f>'Balance Sheet'!M53/1000-'Balance Sheet'!H53/1000</f>
        <v>-86.742999999999995</v>
      </c>
      <c r="AM581" s="12">
        <f>'Balance Sheet'!N53/1000-'Balance Sheet'!I53/1000</f>
        <v>-293.654</v>
      </c>
      <c r="AN581" s="12">
        <f>'Balance Sheet'!O53/1000-'Balance Sheet'!J53/1000</f>
        <v>-96.284000000000049</v>
      </c>
      <c r="AO581" s="12">
        <f>'Balance Sheet'!P53/1000-'Balance Sheet'!K53/1000</f>
        <v>-106.55100000000004</v>
      </c>
      <c r="AP581" s="12">
        <f>'Balance Sheet'!Q53/1000-'Balance Sheet'!L53/1000</f>
        <v>130.93599999999998</v>
      </c>
      <c r="AQ581" s="12">
        <f>'Balance Sheet'!R53/1000-'Balance Sheet'!M53/1000</f>
        <v>104.43</v>
      </c>
      <c r="AR581" s="12">
        <f>'Balance Sheet'!S53/1000-'Balance Sheet'!N53/1000</f>
        <v>604.40099999999995</v>
      </c>
      <c r="AS581" s="12">
        <f>'Balance Sheet'!T53/1000-'Balance Sheet'!O53/1000</f>
        <v>629.43799999999999</v>
      </c>
      <c r="AT581" s="12">
        <f>'Balance Sheet'!U53/1000-'Balance Sheet'!P53/1000</f>
        <v>629.43799999999999</v>
      </c>
      <c r="AU581" s="12">
        <f>'Balance Sheet'!V53/1000-'Balance Sheet'!Q53/1000</f>
        <v>493.17700000000002</v>
      </c>
      <c r="AV581" s="12">
        <f>'Balance Sheet'!W53/1000-'Balance Sheet'!R53/1000</f>
        <v>664.44900000000007</v>
      </c>
      <c r="AW581" s="12">
        <f>'Balance Sheet'!X53/1000-'Balance Sheet'!S53/1000</f>
        <v>1048.104</v>
      </c>
      <c r="AX581" s="12">
        <f>'Balance Sheet'!Y53/1000-'Balance Sheet'!T53/1000</f>
        <v>1126.57</v>
      </c>
      <c r="AY581" s="12">
        <f>'Balance Sheet'!Z53/1000-'Balance Sheet'!U53/1000</f>
        <v>1126.57</v>
      </c>
      <c r="AZ581" s="12">
        <f>'Balance Sheet'!AA53/1000-'Balance Sheet'!V53/1000</f>
        <v>1185.7510000000002</v>
      </c>
      <c r="BA581" s="12">
        <f>'Balance Sheet'!AB53/1000-'Balance Sheet'!W53/1000</f>
        <v>1293.7939999999999</v>
      </c>
      <c r="BB581" s="12">
        <f>'Balance Sheet'!AC53/1000-'Balance Sheet'!X53/1000</f>
        <v>1173.075</v>
      </c>
      <c r="BC581" s="12">
        <f>'Balance Sheet'!AD53/1000-'Balance Sheet'!Y53/1000</f>
        <v>-261.66799999999989</v>
      </c>
      <c r="BD581" s="12">
        <f>'Balance Sheet'!AE53/1000-'Balance Sheet'!Z53/1000</f>
        <v>-261.66799999999989</v>
      </c>
      <c r="BE581" s="12">
        <f>'Balance Sheet'!AF53/1000-'Balance Sheet'!AA53/1000</f>
        <v>-163.73300000000017</v>
      </c>
      <c r="BF581" s="12">
        <f>'Balance Sheet'!AG53/1000-'Balance Sheet'!AB53/1000</f>
        <v>-100.73299999999995</v>
      </c>
      <c r="BG581" s="12">
        <f>'Balance Sheet'!AH53/1000-'Balance Sheet'!AC53/1000</f>
        <v>-41.728999999999814</v>
      </c>
      <c r="BH581" s="12">
        <f>'Balance Sheet'!AI53/1000-'Balance Sheet'!AD53/1000</f>
        <v>1326.6669999999999</v>
      </c>
      <c r="BI581" s="12">
        <f>'Balance Sheet'!AJ53/1000-'Balance Sheet'!AE53/1000</f>
        <v>1326.6669999999999</v>
      </c>
      <c r="BJ581" s="12">
        <f>'Balance Sheet'!AK53/1000-'Balance Sheet'!AF53/1000</f>
        <v>1140.576</v>
      </c>
      <c r="BK581" s="12">
        <f>'Balance Sheet'!AL53/1000-'Balance Sheet'!AG53/1000</f>
        <v>840.08999999999969</v>
      </c>
      <c r="BL581" s="12">
        <f>'Balance Sheet'!AM53/1000-'Balance Sheet'!AH53/1000</f>
        <v>880.59699999999975</v>
      </c>
      <c r="BM581" s="12">
        <f>'Balance Sheet'!AN53/1000-'Balance Sheet'!AI53/1000</f>
        <v>532.22200000000021</v>
      </c>
      <c r="BN581" s="12">
        <f>'Balance Sheet'!AO53/1000-'Balance Sheet'!AJ53/1000</f>
        <v>532.22200000000021</v>
      </c>
      <c r="BO581" s="12">
        <f>'Balance Sheet'!AP53/1000-'Balance Sheet'!AK53/1000</f>
        <v>379.00300000000016</v>
      </c>
      <c r="BP581" s="12">
        <f>'Balance Sheet'!AQ53/1000-'Balance Sheet'!AL53/1000</f>
        <v>259.82400000000007</v>
      </c>
      <c r="BQ581" s="12">
        <f>'Balance Sheet'!AR53/1000-'Balance Sheet'!AM53/1000</f>
        <v>-128.11799999999994</v>
      </c>
      <c r="BR581" s="12">
        <f>'Balance Sheet'!AS53/1000-'Balance Sheet'!AN53/1000</f>
        <v>-318.3760000000002</v>
      </c>
      <c r="BS581" s="12">
        <f>'Balance Sheet'!AT53/1000-'Balance Sheet'!AO53/1000</f>
        <v>-318.3760000000002</v>
      </c>
      <c r="BT581" s="12">
        <f>'Balance Sheet'!AU53/1000-'Balance Sheet'!AP53/1000</f>
        <v>-487.26500000000033</v>
      </c>
      <c r="BU581" s="12">
        <f>'Balance Sheet'!AV53/1000-'Balance Sheet'!AQ53/1000</f>
        <v>-520.43100000000004</v>
      </c>
      <c r="BV581" s="12">
        <f>'Balance Sheet'!AW53/1000-'Balance Sheet'!AR53/1000</f>
        <v>-313.71100000000024</v>
      </c>
      <c r="BW581" s="12">
        <f>'Balance Sheet'!AX53/1000-'Balance Sheet'!AS53/1000</f>
        <v>33.289999999999964</v>
      </c>
      <c r="BX581" s="12">
        <f>'Balance Sheet'!AY53/1000-'Balance Sheet'!AT53/1000</f>
        <v>33.289999999999964</v>
      </c>
      <c r="BY581" s="12">
        <f>'Balance Sheet'!AZ53/1000-'Balance Sheet'!AU53/1000</f>
        <v>83.976000000000113</v>
      </c>
      <c r="BZ581" s="12">
        <f>'Balance Sheet'!BA53/1000-'Balance Sheet'!AV53/1000</f>
        <v>174.05200000000013</v>
      </c>
      <c r="CA581" s="12">
        <f>'Balance Sheet'!BB53/1000-'Balance Sheet'!AW53/1000</f>
        <v>33.941000000000258</v>
      </c>
      <c r="CB581" s="12">
        <f>'Balance Sheet'!BC53/1000-'Balance Sheet'!AX53/1000</f>
        <v>-386.21099999999979</v>
      </c>
      <c r="CC581" s="12">
        <f>'Balance Sheet'!BD53/1000-'Balance Sheet'!AY53/1000</f>
        <v>-386.21099999999979</v>
      </c>
      <c r="CD581" s="12">
        <f>'Balance Sheet'!BE53/1000-'Balance Sheet'!AZ53/1000</f>
        <v>-633.83299999999986</v>
      </c>
      <c r="CE581" s="12">
        <f>'Balance Sheet'!BF53/1000-'Balance Sheet'!BA53/1000</f>
        <v>-839.14400000000001</v>
      </c>
      <c r="CF581" s="12">
        <f>'Balance Sheet'!BG53/1000-'Balance Sheet'!BB53/1000</f>
        <v>-968.2940000000001</v>
      </c>
      <c r="CG581" s="12">
        <f>'Balance Sheet'!BH53/1000-'Balance Sheet'!BC53/1000</f>
        <v>-628.60000000000014</v>
      </c>
      <c r="CH581" s="12">
        <f>'Balance Sheet'!BI53/1000-'Balance Sheet'!BD53/1000</f>
        <v>-628.60000000000014</v>
      </c>
      <c r="CI581" s="12">
        <f>'Balance Sheet'!BJ53/1000-'Balance Sheet'!BE53/1000</f>
        <v>-249.05899999999997</v>
      </c>
      <c r="CJ581" s="12">
        <f>'Balance Sheet'!BK53/1000-'Balance Sheet'!BF53/1000</f>
        <v>-70.580999999999904</v>
      </c>
      <c r="CK581" s="12">
        <f>'Balance Sheet'!BL53/1000-'Balance Sheet'!BG53/1000</f>
        <v>382.74400000000014</v>
      </c>
      <c r="CL581" s="12">
        <f>'Balance Sheet'!BM53/1000-'Balance Sheet'!BH53/1000</f>
        <v>149.34699999999998</v>
      </c>
      <c r="CM581" s="12">
        <f>'Balance Sheet'!BN53/1000-'Balance Sheet'!BI53/1000</f>
        <v>149.34699999999998</v>
      </c>
      <c r="CN581" s="12">
        <f>'Balance Sheet'!BO53/1000-'Balance Sheet'!BJ53/1000</f>
        <v>-29.558999999999969</v>
      </c>
      <c r="CO581" s="12">
        <f>'Balance Sheet'!BP53/1000-'Balance Sheet'!BK53/1000</f>
        <v>53.700000000000045</v>
      </c>
      <c r="CP581" s="12">
        <f>'Balance Sheet'!BQ53/1000-'Balance Sheet'!BL53/1000</f>
        <v>-486.19400000000019</v>
      </c>
      <c r="CQ581" s="12">
        <f>'Balance Sheet'!BR53/1000-'Balance Sheet'!BM53/1000</f>
        <v>-528.72399999999993</v>
      </c>
      <c r="CR581" s="12">
        <f>'Balance Sheet'!BS53/1000-'Balance Sheet'!BN53/1000</f>
        <v>-528.72399999999993</v>
      </c>
      <c r="CS581" s="12">
        <f>'Balance Sheet'!BT53/1000-'Balance Sheet'!BO53/1000</f>
        <v>-598.0440000000001</v>
      </c>
      <c r="CT581" s="12">
        <f>'Balance Sheet'!BU53/1000-'Balance Sheet'!BP53/1000</f>
        <v>-950.20400000000006</v>
      </c>
      <c r="CU581" s="12">
        <f>'Balance Sheet'!BV53/1000-'Balance Sheet'!BQ53/1000</f>
        <v>-724.88999999999987</v>
      </c>
      <c r="CV581" s="12">
        <f>'Balance Sheet'!BW53/1000-'Balance Sheet'!BR53/1000</f>
        <v>-409.24699999999996</v>
      </c>
      <c r="CW581" s="12">
        <f>'Balance Sheet'!BX53/1000-'Balance Sheet'!BS53/1000</f>
        <v>-409.24699999999996</v>
      </c>
      <c r="CX581" s="12">
        <f>'Balance Sheet'!BY53/1000-'Balance Sheet'!BT53/1000</f>
        <v>-321.22500000000002</v>
      </c>
      <c r="CY581" s="12">
        <f>'Balance Sheet'!BZ53/1000-'Balance Sheet'!BU53/1000</f>
        <v>-325.63099999999997</v>
      </c>
      <c r="CZ581" s="12">
        <f>'Balance Sheet'!CA53/1000-'Balance Sheet'!BV53/1000</f>
        <v>-62.115000000000009</v>
      </c>
      <c r="DA581" s="12">
        <f>'Balance Sheet'!CB53/1000-'Balance Sheet'!BW53/1000</f>
        <v>99.539999999999964</v>
      </c>
      <c r="DB581" s="12">
        <f>'Balance Sheet'!CC53/1000-'Balance Sheet'!BX53/1000</f>
        <v>99.539999999999964</v>
      </c>
      <c r="DC581" s="12">
        <f>'Balance Sheet'!CD53/1000-'Balance Sheet'!BY53/1000</f>
        <v>191.15700000000004</v>
      </c>
      <c r="DD581" s="12">
        <f>'Balance Sheet'!CE53/1000-'Balance Sheet'!BZ53/1000</f>
        <v>467.63599999999997</v>
      </c>
      <c r="DE581" s="12">
        <f>'Balance Sheet'!CF53/1000-'Balance Sheet'!CA53/1000</f>
        <v>-612.14600000000007</v>
      </c>
      <c r="DF581" s="12">
        <f>'Balance Sheet'!CG53/1000-'Balance Sheet'!CB53/1000</f>
        <v>-560.2940000000001</v>
      </c>
      <c r="DG581" s="12">
        <f>'Balance Sheet'!CH53/1000-'Balance Sheet'!CC53/1000</f>
        <v>-560.2940000000001</v>
      </c>
      <c r="DH581" s="12">
        <f>'Balance Sheet'!CI53/1000-'Balance Sheet'!CD53/1000</f>
        <v>-545.678</v>
      </c>
      <c r="DI581" s="12">
        <f>'Balance Sheet'!CJ53/1000-'Balance Sheet'!CE53/1000</f>
        <v>-353.71699999999998</v>
      </c>
      <c r="DJ581" s="12">
        <f>'Balance Sheet'!CK53/1000-'Balance Sheet'!CF53/1000</f>
        <v>355.70499999999998</v>
      </c>
      <c r="DK581" s="12">
        <f>'Balance Sheet'!CL53/1000-'Balance Sheet'!CG53/1000</f>
        <v>54.035000000000025</v>
      </c>
      <c r="DL581" s="12">
        <f>'Balance Sheet'!CM53/1000-'Balance Sheet'!CH53/1000</f>
        <v>54.035000000000025</v>
      </c>
      <c r="DM581" s="12">
        <f>'Balance Sheet'!CN53/1000-'Balance Sheet'!CI53/1000</f>
        <v>151.27599999999995</v>
      </c>
      <c r="DN581" s="12">
        <f>'Balance Sheet'!CO53/1000-'Balance Sheet'!CJ53/1000</f>
        <v>-76.673999999999978</v>
      </c>
      <c r="DO581" s="12">
        <f>'Balance Sheet'!CP53/1000-'Balance Sheet'!CK53/1000</f>
        <v>84.149999999999977</v>
      </c>
      <c r="DP581" s="12">
        <f>'Balance Sheet'!CQ53/1000-'Balance Sheet'!CL53/1000</f>
        <v>22.668000000000006</v>
      </c>
      <c r="DQ581" s="12">
        <f>'Balance Sheet'!CR53/1000-'Balance Sheet'!CM53/1000</f>
        <v>22.668000000000006</v>
      </c>
      <c r="DR581" s="12">
        <f>'Balance Sheet'!CS53/1000-'Balance Sheet'!CN53/1000</f>
        <v>-53.013999999999953</v>
      </c>
      <c r="DS581" s="12">
        <f>'Balance Sheet'!CT53/1000-'Balance Sheet'!CO53/1000</f>
        <v>-181.02400000000006</v>
      </c>
      <c r="DT581" s="12">
        <f>'Balance Sheet'!CU53/1000-'Balance Sheet'!CP53/1000</f>
        <v>-64.788999999999987</v>
      </c>
      <c r="DU581" s="12">
        <f>'Balance Sheet'!CV53/1000-'Balance Sheet'!CQ53/1000</f>
        <v>142.71600000000001</v>
      </c>
      <c r="DV581" s="12">
        <f>'Balance Sheet'!CW53/1000-'Balance Sheet'!CR53/1000</f>
        <v>142.71600000000001</v>
      </c>
      <c r="DW581" s="12">
        <f>'Balance Sheet'!CX53/1000-'Balance Sheet'!CS53/1000</f>
        <v>59.281999999999982</v>
      </c>
      <c r="DX581" s="12">
        <f>'Balance Sheet'!CY53/1000-'Balance Sheet'!CT53/1000</f>
        <v>119.75200000000001</v>
      </c>
      <c r="DY581" s="12">
        <f>'Balance Sheet'!CZ53/1000-'Balance Sheet'!CU53/1000</f>
        <v>-58.086000000000013</v>
      </c>
      <c r="DZ581" s="12">
        <f>'Balance Sheet'!DA53/1000-'Balance Sheet'!CV53/1000</f>
        <v>183.80099999999993</v>
      </c>
      <c r="EA581" s="12">
        <f>'Balance Sheet'!DB53/1000-'Balance Sheet'!CW53/1000</f>
        <v>183.80099999999993</v>
      </c>
      <c r="EB581" s="417"/>
    </row>
    <row r="582" spans="1:132" s="7" customFormat="1">
      <c r="A582" s="11" t="s">
        <v>922</v>
      </c>
      <c r="B582" s="419"/>
      <c r="C582" s="419"/>
      <c r="D582" s="419"/>
      <c r="E582" s="419"/>
      <c r="F582" s="419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 t="e">
        <f>'Cash Flow'!B16/1000</f>
        <v>#VALUE!</v>
      </c>
      <c r="AB582" s="12">
        <f>'Cash Flow'!C16/1000</f>
        <v>20.033000000000001</v>
      </c>
      <c r="AC582" s="12">
        <f>'Cash Flow'!D16/1000</f>
        <v>-6.0990000000000002</v>
      </c>
      <c r="AD582" s="12">
        <f>'Cash Flow'!E16/1000</f>
        <v>-284.13900000000001</v>
      </c>
      <c r="AE582" s="12" t="e">
        <f>'Cash Flow'!F16/1000</f>
        <v>#VALUE!</v>
      </c>
      <c r="AF582" s="12">
        <f>'Cash Flow'!G16/1000</f>
        <v>86.463999999999999</v>
      </c>
      <c r="AG582" s="12">
        <f>'Cash Flow'!H16/1000</f>
        <v>-58.295000000000002</v>
      </c>
      <c r="AH582" s="12">
        <f>'Cash Flow'!I16/1000</f>
        <v>-60.857999999999997</v>
      </c>
      <c r="AI582" s="12">
        <f>'Cash Flow'!J16/1000</f>
        <v>-26.872</v>
      </c>
      <c r="AJ582" s="12">
        <f>'Cash Flow'!K16/1000</f>
        <v>-59.561</v>
      </c>
      <c r="AK582" s="12">
        <f>'Cash Flow'!L16/1000</f>
        <v>-98.543000000000006</v>
      </c>
      <c r="AL582" s="12">
        <f>'Cash Flow'!M16/1000</f>
        <v>-187.054</v>
      </c>
      <c r="AM582" s="12">
        <f>'Cash Flow'!N16/1000</f>
        <v>-84.117000000000004</v>
      </c>
      <c r="AN582" s="12">
        <f>'Cash Flow'!O16/1000</f>
        <v>-137.61199999999999</v>
      </c>
      <c r="AO582" s="12">
        <f>'Cash Flow'!P16/1000</f>
        <v>-507.32600000000002</v>
      </c>
      <c r="AP582" s="12">
        <f>'Cash Flow'!Q16/1000</f>
        <v>-358.81799999999998</v>
      </c>
      <c r="AQ582" s="12">
        <f>'Cash Flow'!R16/1000</f>
        <v>384.30599999999998</v>
      </c>
      <c r="AR582" s="12">
        <f>'Cash Flow'!S16/1000</f>
        <v>-62.936999999999998</v>
      </c>
      <c r="AS582" s="12">
        <f>'Cash Flow'!T16/1000</f>
        <v>-224.59399999999999</v>
      </c>
      <c r="AT582" s="12">
        <f>'Cash Flow'!U16/1000</f>
        <v>-262.04300000000001</v>
      </c>
      <c r="AU582" s="12">
        <f>'Cash Flow'!V16/1000</f>
        <v>-317.04300000000001</v>
      </c>
      <c r="AV582" s="12">
        <f>'Cash Flow'!W16/1000</f>
        <v>-284.36700000000002</v>
      </c>
      <c r="AW582" s="12">
        <f>'Cash Flow'!X16/1000</f>
        <v>-310.49599999999998</v>
      </c>
      <c r="AX582" s="12">
        <f>'Cash Flow'!Y16/1000</f>
        <v>-91.349000000000004</v>
      </c>
      <c r="AY582" s="12">
        <f>'Cash Flow'!Z16/1000</f>
        <v>-1003.255</v>
      </c>
      <c r="AZ582" s="12">
        <f>'Cash Flow'!AA16/1000</f>
        <v>-83.855999999999995</v>
      </c>
      <c r="BA582" s="12">
        <f>'Cash Flow'!AB16/1000</f>
        <v>-381.83</v>
      </c>
      <c r="BB582" s="12">
        <f>'Cash Flow'!AC16/1000</f>
        <v>-89.335999999999999</v>
      </c>
      <c r="BC582" s="12">
        <f>'Cash Flow'!AD16/1000</f>
        <v>-232.613</v>
      </c>
      <c r="BD582" s="12">
        <f>'Cash Flow'!AE16/1000</f>
        <v>-787.63499999999999</v>
      </c>
      <c r="BE582" s="12">
        <f>'Cash Flow'!AF16/1000</f>
        <v>-332.68700000000001</v>
      </c>
      <c r="BF582" s="12">
        <f>'Cash Flow'!AG16/1000</f>
        <v>-245.96299999999999</v>
      </c>
      <c r="BG582" s="12">
        <f>'Cash Flow'!AH16/1000</f>
        <v>-267.55200000000002</v>
      </c>
      <c r="BH582" s="12">
        <f>'Cash Flow'!AI16/1000</f>
        <v>-395.98200000000003</v>
      </c>
      <c r="BI582" s="12">
        <f>'Cash Flow'!AJ16/1000</f>
        <v>-1242.184</v>
      </c>
      <c r="BJ582" s="12">
        <f>'Cash Flow'!AK16/1000</f>
        <v>-141.58099999999999</v>
      </c>
      <c r="BK582" s="12">
        <f>'Cash Flow'!AL16/1000</f>
        <v>-23.11</v>
      </c>
      <c r="BL582" s="12">
        <f>'Cash Flow'!AM16/1000</f>
        <v>-137.28700000000001</v>
      </c>
      <c r="BM582" s="12">
        <f>'Cash Flow'!AN16/1000</f>
        <v>166.41300000000001</v>
      </c>
      <c r="BN582" s="12">
        <f>'Cash Flow'!AO16/1000</f>
        <v>-135.565</v>
      </c>
      <c r="BO582" s="12">
        <f>'Cash Flow'!AP16/1000</f>
        <v>65.212000000000003</v>
      </c>
      <c r="BP582" s="12">
        <f>'Cash Flow'!AQ16/1000</f>
        <v>24.346</v>
      </c>
      <c r="BQ582" s="12">
        <f>'Cash Flow'!AR16/1000</f>
        <v>100.224</v>
      </c>
      <c r="BR582" s="12">
        <f>'Cash Flow'!AS16/1000</f>
        <v>-87.722999999999999</v>
      </c>
      <c r="BS582" s="12">
        <f>'Cash Flow'!AT16/1000</f>
        <v>102.059</v>
      </c>
      <c r="BT582" s="12">
        <f>'Cash Flow'!AU16/1000</f>
        <v>-159.03800000000001</v>
      </c>
      <c r="BU582" s="12">
        <f>'Cash Flow'!AV16/1000</f>
        <v>328.25900000000001</v>
      </c>
      <c r="BV582" s="12">
        <f>'Cash Flow'!AW16/1000</f>
        <v>-97.796000000000006</v>
      </c>
      <c r="BW582" s="12">
        <f>'Cash Flow'!AX16/1000</f>
        <v>-93.97</v>
      </c>
      <c r="BX582" s="12">
        <f>'Cash Flow'!AY16/1000</f>
        <v>-22.545000000000002</v>
      </c>
      <c r="BY582" s="12">
        <f>'Cash Flow'!AZ16/1000</f>
        <v>207.28899999999999</v>
      </c>
      <c r="BZ582" s="12">
        <f>'Cash Flow'!BA16/1000</f>
        <v>104.42700000000001</v>
      </c>
      <c r="CA582" s="12">
        <f>'Cash Flow'!BB16/1000</f>
        <v>116.19199999999999</v>
      </c>
      <c r="CB582" s="12">
        <f>'Cash Flow'!BC16/1000</f>
        <v>422.81400000000002</v>
      </c>
      <c r="CC582" s="12">
        <f>'Cash Flow'!BD16/1000</f>
        <v>850.72199999999998</v>
      </c>
      <c r="CD582" s="12">
        <f>'Cash Flow'!BE16/1000</f>
        <v>401.18299999999999</v>
      </c>
      <c r="CE582" s="12">
        <f>'Cash Flow'!BF16/1000</f>
        <v>380.62200000000001</v>
      </c>
      <c r="CF582" s="12">
        <f>'Cash Flow'!BG16/1000</f>
        <v>-57.576000000000001</v>
      </c>
      <c r="CG582" s="12">
        <f>'Cash Flow'!BH16/1000</f>
        <v>118.208</v>
      </c>
      <c r="CH582" s="12">
        <f>'Cash Flow'!BI16/1000</f>
        <v>842.43700000000001</v>
      </c>
      <c r="CI582" s="12">
        <f>'Cash Flow'!BJ16/1000</f>
        <v>44.021999999999998</v>
      </c>
      <c r="CJ582" s="12">
        <f>'Cash Flow'!BK16/1000</f>
        <v>40.549999999999997</v>
      </c>
      <c r="CK582" s="12">
        <f>'Cash Flow'!BL16/1000</f>
        <v>-214.22900000000001</v>
      </c>
      <c r="CL582" s="12">
        <f>'Cash Flow'!BM16/1000</f>
        <v>238.59800000000001</v>
      </c>
      <c r="CM582" s="12">
        <f>'Cash Flow'!BN16/1000</f>
        <v>108.941</v>
      </c>
      <c r="CN582" s="12">
        <f>'Cash Flow'!BO16/1000</f>
        <v>110.541</v>
      </c>
      <c r="CO582" s="12">
        <f>'Cash Flow'!BP16/1000</f>
        <v>173.86799999999999</v>
      </c>
      <c r="CP582" s="12">
        <f>'Cash Flow'!BQ16/1000</f>
        <v>264.48099999999999</v>
      </c>
      <c r="CQ582" s="12">
        <f>'Cash Flow'!BR16/1000</f>
        <v>330.96100000000001</v>
      </c>
      <c r="CR582" s="12">
        <f>'Cash Flow'!BS16/1000</f>
        <v>879.851</v>
      </c>
      <c r="CS582" s="12">
        <f>'Cash Flow'!BT16/1000</f>
        <v>501.26499999999999</v>
      </c>
      <c r="CT582" s="12">
        <f>'Cash Flow'!BU16/1000</f>
        <v>186.77199999999999</v>
      </c>
      <c r="CU582" s="12">
        <f>'Cash Flow'!BV16/1000</f>
        <v>188.03399999999999</v>
      </c>
      <c r="CV582" s="12">
        <f>'Cash Flow'!BW16/1000</f>
        <v>215.58600000000001</v>
      </c>
      <c r="CW582" s="12">
        <f>'Cash Flow'!BX16/1000</f>
        <v>1091.6569999999999</v>
      </c>
      <c r="CX582" s="12">
        <f>'Cash Flow'!BY16/1000</f>
        <v>180.92699999999999</v>
      </c>
      <c r="CY582" s="12">
        <f>'Cash Flow'!BZ16/1000</f>
        <v>356.45299999999997</v>
      </c>
      <c r="CZ582" s="12">
        <f>'Cash Flow'!CA16/1000</f>
        <v>-40.829000000000001</v>
      </c>
      <c r="DA582" s="12">
        <f>'Cash Flow'!CB16/1000</f>
        <v>262.11500000000001</v>
      </c>
      <c r="DB582" s="12">
        <f>'Cash Flow'!CC16/1000</f>
        <v>758.66600000000005</v>
      </c>
      <c r="DC582" s="12">
        <f>'Cash Flow'!CD16/1000</f>
        <v>71.828999999999994</v>
      </c>
      <c r="DD582" s="12">
        <f>'Cash Flow'!CE16/1000</f>
        <v>-62.414999999999999</v>
      </c>
      <c r="DE582" s="12">
        <f>'Cash Flow'!CF16/1000</f>
        <v>1070.2049999999999</v>
      </c>
      <c r="DF582" s="12">
        <f>'Cash Flow'!CG16/1000</f>
        <v>216.52199999999999</v>
      </c>
      <c r="DG582" s="12">
        <f>'Cash Flow'!CH16/1000</f>
        <v>1296.1410000000001</v>
      </c>
      <c r="DH582" s="12">
        <f>'Cash Flow'!CI16/1000</f>
        <v>0.63600000000000001</v>
      </c>
      <c r="DI582" s="12">
        <f>'Cash Flow'!CJ16/1000</f>
        <v>145.69900000000001</v>
      </c>
      <c r="DJ582" s="12">
        <f>'Cash Flow'!CK16/1000</f>
        <v>114.265</v>
      </c>
      <c r="DK582" s="12">
        <f>'Cash Flow'!CL16/1000</f>
        <v>-34.435000000000002</v>
      </c>
      <c r="DL582" s="12">
        <f>'Cash Flow'!CM16/1000</f>
        <v>226.16499999999999</v>
      </c>
      <c r="DM582" s="12">
        <f>'Cash Flow'!CN16/1000</f>
        <v>-146.91999999999999</v>
      </c>
      <c r="DN582" s="12">
        <f>'Cash Flow'!CO16/1000</f>
        <v>98.195999999999998</v>
      </c>
      <c r="DO582" s="12">
        <f>'Cash Flow'!CP16/1000</f>
        <v>435.91399999999999</v>
      </c>
      <c r="DP582" s="12">
        <f>'Cash Flow'!CQ16/1000</f>
        <v>-492.48500000000001</v>
      </c>
      <c r="DQ582" s="12">
        <f>'Cash Flow'!CR16/1000</f>
        <v>-105.295</v>
      </c>
      <c r="DR582" s="12">
        <f>'Cash Flow'!CS16/1000</f>
        <v>-62.835000000000001</v>
      </c>
      <c r="DS582" s="12">
        <f>'Cash Flow'!CT16/1000</f>
        <v>-10.27</v>
      </c>
      <c r="DT582" s="12">
        <f>'Cash Flow'!CU16/1000</f>
        <v>86.387</v>
      </c>
      <c r="DU582" s="12">
        <f>'Cash Flow'!CV16/1000</f>
        <v>-144.46899999999999</v>
      </c>
      <c r="DV582" s="12">
        <f>'Cash Flow'!CW16/1000</f>
        <v>-131.18700000000001</v>
      </c>
      <c r="DW582" s="12">
        <f>'Cash Flow'!CX16/1000</f>
        <v>158.78800000000001</v>
      </c>
      <c r="DX582" s="12">
        <f>'Cash Flow'!CY16/1000</f>
        <v>-254.38399999999999</v>
      </c>
      <c r="DY582" s="12">
        <f>'Cash Flow'!CZ16/1000</f>
        <v>-131.59899999999999</v>
      </c>
      <c r="DZ582" s="12">
        <f>'Cash Flow'!DA16/1000</f>
        <v>-131.22300000000001</v>
      </c>
      <c r="EA582" s="12">
        <f>'Cash Flow'!DB16/1000</f>
        <v>-358.41800000000001</v>
      </c>
      <c r="EB582" s="417"/>
    </row>
    <row r="583" spans="1:132" s="7" customFormat="1">
      <c r="A583" s="11" t="s">
        <v>921</v>
      </c>
      <c r="B583" s="419"/>
      <c r="C583" s="419"/>
      <c r="D583" s="419"/>
      <c r="E583" s="419"/>
      <c r="F583" s="419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 t="e">
        <f>'Cash Flow'!B17/1000</f>
        <v>#VALUE!</v>
      </c>
      <c r="AB583" s="12">
        <f>'Cash Flow'!C17/1000</f>
        <v>27.535</v>
      </c>
      <c r="AC583" s="12">
        <f>'Cash Flow'!D17/1000</f>
        <v>4.5259999999999998</v>
      </c>
      <c r="AD583" s="12">
        <f>'Cash Flow'!E17/1000</f>
        <v>-123.568</v>
      </c>
      <c r="AE583" s="12" t="e">
        <f>'Cash Flow'!F17/1000</f>
        <v>#VALUE!</v>
      </c>
      <c r="AF583" s="12">
        <f>'Cash Flow'!G17/1000</f>
        <v>376.42099999999999</v>
      </c>
      <c r="AG583" s="12">
        <f>'Cash Flow'!H17/1000</f>
        <v>-317.60899999999998</v>
      </c>
      <c r="AH583" s="12">
        <f>'Cash Flow'!I17/1000</f>
        <v>-170.1</v>
      </c>
      <c r="AI583" s="12">
        <f>'Cash Flow'!J17/1000</f>
        <v>-18.396999999999998</v>
      </c>
      <c r="AJ583" s="12">
        <f>'Cash Flow'!K17/1000</f>
        <v>-129.685</v>
      </c>
      <c r="AK583" s="12">
        <f>'Cash Flow'!L17/1000</f>
        <v>-101.547</v>
      </c>
      <c r="AL583" s="12">
        <f>'Cash Flow'!M17/1000</f>
        <v>-154.82300000000001</v>
      </c>
      <c r="AM583" s="12">
        <f>'Cash Flow'!N17/1000</f>
        <v>-195.93700000000001</v>
      </c>
      <c r="AN583" s="12">
        <f>'Cash Flow'!O17/1000</f>
        <v>-219.614</v>
      </c>
      <c r="AO583" s="12">
        <f>'Cash Flow'!P17/1000</f>
        <v>-671.92100000000005</v>
      </c>
      <c r="AP583" s="12">
        <f>'Cash Flow'!Q17/1000</f>
        <v>-271.68900000000002</v>
      </c>
      <c r="AQ583" s="12">
        <f>'Cash Flow'!R17/1000</f>
        <v>589.77800000000002</v>
      </c>
      <c r="AR583" s="12">
        <f>'Cash Flow'!S17/1000</f>
        <v>189.512</v>
      </c>
      <c r="AS583" s="12">
        <f>'Cash Flow'!T17/1000</f>
        <v>-175.75700000000001</v>
      </c>
      <c r="AT583" s="12">
        <f>'Cash Flow'!U17/1000</f>
        <v>331.84399999999999</v>
      </c>
      <c r="AU583" s="12">
        <f>'Cash Flow'!V17/1000</f>
        <v>343.702</v>
      </c>
      <c r="AV583" s="12">
        <f>'Cash Flow'!W17/1000</f>
        <v>-138.69900000000001</v>
      </c>
      <c r="AW583" s="12">
        <f>'Cash Flow'!X17/1000</f>
        <v>-156.28299999999999</v>
      </c>
      <c r="AX583" s="12">
        <f>'Cash Flow'!Y17/1000</f>
        <v>218.22300000000001</v>
      </c>
      <c r="AY583" s="12">
        <f>'Cash Flow'!Z17/1000</f>
        <v>266.94299999999998</v>
      </c>
      <c r="AZ583" s="12">
        <f>'Cash Flow'!AA17/1000</f>
        <v>-4.1440000000000001</v>
      </c>
      <c r="BA583" s="12">
        <f>'Cash Flow'!AB17/1000</f>
        <v>-227.32400000000001</v>
      </c>
      <c r="BB583" s="12">
        <f>'Cash Flow'!AC17/1000</f>
        <v>340.048</v>
      </c>
      <c r="BC583" s="12">
        <f>'Cash Flow'!AD17/1000</f>
        <v>-405.76400000000001</v>
      </c>
      <c r="BD583" s="12">
        <f>'Cash Flow'!AE17/1000</f>
        <v>-297.18400000000003</v>
      </c>
      <c r="BE583" s="12">
        <f>'Cash Flow'!AF17/1000</f>
        <v>-394.33699999999999</v>
      </c>
      <c r="BF583" s="12">
        <f>'Cash Flow'!AG17/1000</f>
        <v>-105.536</v>
      </c>
      <c r="BG583" s="12">
        <f>'Cash Flow'!AH17/1000</f>
        <v>-58.643999999999998</v>
      </c>
      <c r="BH583" s="12">
        <f>'Cash Flow'!AI17/1000</f>
        <v>127.744</v>
      </c>
      <c r="BI583" s="12">
        <f>'Cash Flow'!AJ17/1000</f>
        <v>-430.77300000000002</v>
      </c>
      <c r="BJ583" s="12">
        <f>'Cash Flow'!AK17/1000</f>
        <v>41.32</v>
      </c>
      <c r="BK583" s="12">
        <f>'Cash Flow'!AL17/1000</f>
        <v>522.005</v>
      </c>
      <c r="BL583" s="12">
        <f>'Cash Flow'!AM17/1000</f>
        <v>339.55099999999999</v>
      </c>
      <c r="BM583" s="12">
        <f>'Cash Flow'!AN17/1000</f>
        <v>51.779000000000003</v>
      </c>
      <c r="BN583" s="12">
        <f>'Cash Flow'!AO17/1000</f>
        <v>954.65499999999997</v>
      </c>
      <c r="BO583" s="12">
        <f>'Cash Flow'!AP17/1000</f>
        <v>163.82499999999999</v>
      </c>
      <c r="BP583" s="12">
        <f>'Cash Flow'!AQ17/1000</f>
        <v>-226.42400000000001</v>
      </c>
      <c r="BQ583" s="12">
        <f>'Cash Flow'!AR17/1000</f>
        <v>-20.268999999999998</v>
      </c>
      <c r="BR583" s="12">
        <f>'Cash Flow'!AS17/1000</f>
        <v>-116.818</v>
      </c>
      <c r="BS583" s="12">
        <f>'Cash Flow'!AT17/1000</f>
        <v>-199.68600000000001</v>
      </c>
      <c r="BT583" s="12">
        <f>'Cash Flow'!AU17/1000</f>
        <v>-466.733</v>
      </c>
      <c r="BU583" s="12">
        <f>'Cash Flow'!AV17/1000</f>
        <v>306.036</v>
      </c>
      <c r="BV583" s="12">
        <f>'Cash Flow'!AW17/1000</f>
        <v>23.227</v>
      </c>
      <c r="BW583" s="12">
        <f>'Cash Flow'!AX17/1000</f>
        <v>286.09899999999999</v>
      </c>
      <c r="BX583" s="12">
        <f>'Cash Flow'!AY17/1000</f>
        <v>148.62899999999999</v>
      </c>
      <c r="BY583" s="12">
        <f>'Cash Flow'!AZ17/1000</f>
        <v>606.77700000000004</v>
      </c>
      <c r="BZ583" s="12">
        <f>'Cash Flow'!BA17/1000</f>
        <v>-198.864</v>
      </c>
      <c r="CA583" s="12">
        <f>'Cash Flow'!BB17/1000</f>
        <v>79.897999999999996</v>
      </c>
      <c r="CB583" s="12">
        <f>'Cash Flow'!BC17/1000</f>
        <v>40.277000000000001</v>
      </c>
      <c r="CC583" s="12">
        <f>'Cash Flow'!BD17/1000</f>
        <v>528.08799999999997</v>
      </c>
      <c r="CD583" s="12">
        <f>'Cash Flow'!BE17/1000</f>
        <v>319.26</v>
      </c>
      <c r="CE583" s="12">
        <f>'Cash Flow'!BF17/1000</f>
        <v>494.96</v>
      </c>
      <c r="CF583" s="12">
        <f>'Cash Flow'!BG17/1000</f>
        <v>27.812999999999999</v>
      </c>
      <c r="CG583" s="12">
        <f>'Cash Flow'!BH17/1000</f>
        <v>-175.327</v>
      </c>
      <c r="CH583" s="12">
        <f>'Cash Flow'!BI17/1000</f>
        <v>666.70600000000002</v>
      </c>
      <c r="CI583" s="12">
        <f>'Cash Flow'!BJ17/1000</f>
        <v>-86.694000000000003</v>
      </c>
      <c r="CJ583" s="12">
        <f>'Cash Flow'!BK17/1000</f>
        <v>-134.68600000000001</v>
      </c>
      <c r="CK583" s="12">
        <f>'Cash Flow'!BL17/1000</f>
        <v>-280.69900000000001</v>
      </c>
      <c r="CL583" s="12">
        <f>'Cash Flow'!BM17/1000</f>
        <v>100.99299999999999</v>
      </c>
      <c r="CM583" s="12">
        <f>'Cash Flow'!BN17/1000</f>
        <v>-401.08600000000001</v>
      </c>
      <c r="CN583" s="12">
        <f>'Cash Flow'!BO17/1000</f>
        <v>269.78800000000001</v>
      </c>
      <c r="CO583" s="12">
        <f>'Cash Flow'!BP17/1000</f>
        <v>14.61</v>
      </c>
      <c r="CP583" s="12">
        <f>'Cash Flow'!BQ17/1000</f>
        <v>-29.507999999999999</v>
      </c>
      <c r="CQ583" s="12">
        <f>'Cash Flow'!BR17/1000</f>
        <v>-248.23400000000001</v>
      </c>
      <c r="CR583" s="12">
        <f>'Cash Flow'!BS17/1000</f>
        <v>6.6559999999999997</v>
      </c>
      <c r="CS583" s="12">
        <f>'Cash Flow'!BT17/1000</f>
        <v>31.85</v>
      </c>
      <c r="CT583" s="12">
        <f>'Cash Flow'!BU17/1000</f>
        <v>436.68900000000002</v>
      </c>
      <c r="CU583" s="12">
        <f>'Cash Flow'!BV17/1000</f>
        <v>824.90700000000004</v>
      </c>
      <c r="CV583" s="12">
        <f>'Cash Flow'!BW17/1000</f>
        <v>-364.226</v>
      </c>
      <c r="CW583" s="12">
        <f>'Cash Flow'!BX17/1000</f>
        <v>929.22</v>
      </c>
      <c r="CX583" s="12">
        <f>'Cash Flow'!BY17/1000</f>
        <v>-94.23</v>
      </c>
      <c r="CY583" s="12">
        <f>'Cash Flow'!BZ17/1000</f>
        <v>255.39500000000001</v>
      </c>
      <c r="CZ583" s="12">
        <f>'Cash Flow'!CA17/1000</f>
        <v>375.49</v>
      </c>
      <c r="DA583" s="12">
        <f>'Cash Flow'!CB17/1000</f>
        <v>356.06700000000001</v>
      </c>
      <c r="DB583" s="12">
        <f>'Cash Flow'!CC17/1000</f>
        <v>892.72199999999998</v>
      </c>
      <c r="DC583" s="12">
        <f>'Cash Flow'!CD17/1000</f>
        <v>1.88</v>
      </c>
      <c r="DD583" s="12">
        <f>'Cash Flow'!CE17/1000</f>
        <v>298.30900000000003</v>
      </c>
      <c r="DE583" s="12">
        <f>'Cash Flow'!CF17/1000</f>
        <v>560.65300000000002</v>
      </c>
      <c r="DF583" s="12">
        <f>'Cash Flow'!CG17/1000</f>
        <v>598.33900000000006</v>
      </c>
      <c r="DG583" s="12">
        <f>'Cash Flow'!CH17/1000</f>
        <v>1459.181</v>
      </c>
      <c r="DH583" s="12">
        <f>'Cash Flow'!CI17/1000</f>
        <v>30.497</v>
      </c>
      <c r="DI583" s="12">
        <f>'Cash Flow'!CJ17/1000</f>
        <v>730.024</v>
      </c>
      <c r="DJ583" s="12">
        <f>'Cash Flow'!CK17/1000</f>
        <v>139.59800000000001</v>
      </c>
      <c r="DK583" s="12">
        <f>'Cash Flow'!CL17/1000</f>
        <v>107.297</v>
      </c>
      <c r="DL583" s="12">
        <f>'Cash Flow'!CM17/1000</f>
        <v>1007.4160000000001</v>
      </c>
      <c r="DM583" s="12">
        <f>'Cash Flow'!CN17/1000</f>
        <v>-79.194999999999993</v>
      </c>
      <c r="DN583" s="12">
        <f>'Cash Flow'!CO17/1000</f>
        <v>384.29700000000003</v>
      </c>
      <c r="DO583" s="12">
        <f>'Cash Flow'!CP17/1000</f>
        <v>1014.336</v>
      </c>
      <c r="DP583" s="12">
        <f>'Cash Flow'!CQ17/1000</f>
        <v>-65.971999999999994</v>
      </c>
      <c r="DQ583" s="12">
        <f>'Cash Flow'!CR17/1000</f>
        <v>1253.4659999999999</v>
      </c>
      <c r="DR583" s="12">
        <f>'Cash Flow'!CS17/1000</f>
        <v>-205.012</v>
      </c>
      <c r="DS583" s="12">
        <f>'Cash Flow'!CT17/1000</f>
        <v>134.11500000000001</v>
      </c>
      <c r="DT583" s="12">
        <f>'Cash Flow'!CU17/1000</f>
        <v>54.734999999999999</v>
      </c>
      <c r="DU583" s="12">
        <f>'Cash Flow'!CV17/1000</f>
        <v>112.991</v>
      </c>
      <c r="DV583" s="12">
        <f>'Cash Flow'!CW17/1000</f>
        <v>96.828999999999994</v>
      </c>
      <c r="DW583" s="12">
        <f>'Cash Flow'!CX17/1000</f>
        <v>102.578</v>
      </c>
      <c r="DX583" s="12">
        <f>'Cash Flow'!CY17/1000</f>
        <v>75.241</v>
      </c>
      <c r="DY583" s="12">
        <f>'Cash Flow'!CZ17/1000</f>
        <v>127.02200000000001</v>
      </c>
      <c r="DZ583" s="12">
        <f>'Cash Flow'!DA17/1000</f>
        <v>433.26600000000002</v>
      </c>
      <c r="EA583" s="12">
        <f>'Cash Flow'!DB17/1000</f>
        <v>738.10699999999997</v>
      </c>
      <c r="EB583" s="417"/>
    </row>
    <row r="584" spans="1:132" s="7" customFormat="1">
      <c r="A584" s="11" t="s">
        <v>920</v>
      </c>
      <c r="B584" s="419"/>
      <c r="C584" s="419"/>
      <c r="D584" s="419"/>
      <c r="E584" s="419"/>
      <c r="F584" s="419"/>
      <c r="G584" s="303"/>
      <c r="H584" s="303"/>
      <c r="I584" s="303"/>
      <c r="J584" s="303"/>
      <c r="K584" s="303"/>
      <c r="L584" s="303"/>
      <c r="M584" s="303"/>
      <c r="N584" s="303"/>
      <c r="O584" s="303"/>
      <c r="P584" s="303"/>
      <c r="Q584" s="303"/>
      <c r="R584" s="303"/>
      <c r="S584" s="303"/>
      <c r="T584" s="303"/>
      <c r="U584" s="303"/>
      <c r="V584" s="303"/>
      <c r="W584" s="303"/>
      <c r="X584" s="303"/>
      <c r="Y584" s="303"/>
      <c r="Z584" s="303"/>
      <c r="AA584" s="303">
        <f>DCF!$B$23</f>
        <v>0.1608</v>
      </c>
      <c r="AB584" s="303">
        <f>DCF!$B$23</f>
        <v>0.1608</v>
      </c>
      <c r="AC584" s="303">
        <f>DCF!$B$23</f>
        <v>0.1608</v>
      </c>
      <c r="AD584" s="303">
        <f>DCF!$B$23</f>
        <v>0.1608</v>
      </c>
      <c r="AE584" s="303">
        <f>DCF!$B$23</f>
        <v>0.1608</v>
      </c>
      <c r="AF584" s="303">
        <f>DCF!$B$23</f>
        <v>0.1608</v>
      </c>
      <c r="AG584" s="303">
        <f>DCF!$B$23</f>
        <v>0.1608</v>
      </c>
      <c r="AH584" s="303">
        <f>DCF!$B$23</f>
        <v>0.1608</v>
      </c>
      <c r="AI584" s="303">
        <f>DCF!$B$23</f>
        <v>0.1608</v>
      </c>
      <c r="AJ584" s="303">
        <f>DCF!$B$23</f>
        <v>0.1608</v>
      </c>
      <c r="AK584" s="303">
        <f>DCF!$B$23</f>
        <v>0.1608</v>
      </c>
      <c r="AL584" s="303">
        <f>DCF!$B$23</f>
        <v>0.1608</v>
      </c>
      <c r="AM584" s="303">
        <f>DCF!$B$23</f>
        <v>0.1608</v>
      </c>
      <c r="AN584" s="303">
        <f>DCF!$B$23</f>
        <v>0.1608</v>
      </c>
      <c r="AO584" s="303">
        <f>DCF!$B$23</f>
        <v>0.1608</v>
      </c>
      <c r="AP584" s="303">
        <f>DCF!$B$23</f>
        <v>0.1608</v>
      </c>
      <c r="AQ584" s="303">
        <f>DCF!$B$23</f>
        <v>0.1608</v>
      </c>
      <c r="AR584" s="303">
        <f>DCF!$B$23</f>
        <v>0.1608</v>
      </c>
      <c r="AS584" s="303">
        <f>DCF!$B$23</f>
        <v>0.1608</v>
      </c>
      <c r="AT584" s="303">
        <f>DCF!$B$23</f>
        <v>0.1608</v>
      </c>
      <c r="AU584" s="303">
        <f>DCF!$B$23</f>
        <v>0.1608</v>
      </c>
      <c r="AV584" s="303">
        <f>DCF!$B$23</f>
        <v>0.1608</v>
      </c>
      <c r="AW584" s="303">
        <f>DCF!$B$23</f>
        <v>0.1608</v>
      </c>
      <c r="AX584" s="303">
        <f>DCF!$B$23</f>
        <v>0.1608</v>
      </c>
      <c r="AY584" s="303">
        <f>DCF!$B$23</f>
        <v>0.1608</v>
      </c>
      <c r="AZ584" s="303">
        <f>DCF!$B$23</f>
        <v>0.1608</v>
      </c>
      <c r="BA584" s="303">
        <f>DCF!$B$23</f>
        <v>0.1608</v>
      </c>
      <c r="BB584" s="303">
        <f>DCF!$B$23</f>
        <v>0.1608</v>
      </c>
      <c r="BC584" s="303">
        <f>DCF!$B$23</f>
        <v>0.1608</v>
      </c>
      <c r="BD584" s="303">
        <f>DCF!$B$23</f>
        <v>0.1608</v>
      </c>
      <c r="BE584" s="303">
        <f>DCF!$B$23</f>
        <v>0.1608</v>
      </c>
      <c r="BF584" s="303">
        <f>DCF!$B$23</f>
        <v>0.1608</v>
      </c>
      <c r="BG584" s="303">
        <f>DCF!$B$23</f>
        <v>0.1608</v>
      </c>
      <c r="BH584" s="303">
        <f>DCF!$B$23</f>
        <v>0.1608</v>
      </c>
      <c r="BI584" s="303">
        <f>DCF!$B$23</f>
        <v>0.1608</v>
      </c>
      <c r="BJ584" s="303">
        <f>DCF!$B$23</f>
        <v>0.1608</v>
      </c>
      <c r="BK584" s="303">
        <f>DCF!$B$23</f>
        <v>0.1608</v>
      </c>
      <c r="BL584" s="303">
        <f>DCF!$B$23</f>
        <v>0.1608</v>
      </c>
      <c r="BM584" s="303">
        <f>DCF!$B$23</f>
        <v>0.1608</v>
      </c>
      <c r="BN584" s="303">
        <f>DCF!$B$23</f>
        <v>0.1608</v>
      </c>
      <c r="BO584" s="303">
        <f>DCF!$B$23</f>
        <v>0.1608</v>
      </c>
      <c r="BP584" s="303">
        <f>DCF!$B$23</f>
        <v>0.1608</v>
      </c>
      <c r="BQ584" s="303">
        <f>DCF!$B$23</f>
        <v>0.1608</v>
      </c>
      <c r="BR584" s="303">
        <f>DCF!$B$23</f>
        <v>0.1608</v>
      </c>
      <c r="BS584" s="303">
        <f>DCF!$B$23</f>
        <v>0.1608</v>
      </c>
      <c r="BT584" s="303">
        <f>DCF!$B$23</f>
        <v>0.1608</v>
      </c>
      <c r="BU584" s="303">
        <f>DCF!$B$23</f>
        <v>0.1608</v>
      </c>
      <c r="BV584" s="303">
        <f>DCF!$B$23</f>
        <v>0.1608</v>
      </c>
      <c r="BW584" s="303">
        <f>DCF!$B$23</f>
        <v>0.1608</v>
      </c>
      <c r="BX584" s="303">
        <f>DCF!$B$23</f>
        <v>0.1608</v>
      </c>
      <c r="BY584" s="303">
        <f>DCF!$B$23</f>
        <v>0.1608</v>
      </c>
      <c r="BZ584" s="303">
        <f>DCF!$B$23</f>
        <v>0.1608</v>
      </c>
      <c r="CA584" s="303">
        <f>DCF!$B$23</f>
        <v>0.1608</v>
      </c>
      <c r="CB584" s="303">
        <f>DCF!$B$23</f>
        <v>0.1608</v>
      </c>
      <c r="CC584" s="303">
        <f>DCF!$B$23</f>
        <v>0.1608</v>
      </c>
      <c r="CD584" s="303">
        <f>DCF!$B$23</f>
        <v>0.1608</v>
      </c>
      <c r="CE584" s="303">
        <f>DCF!$B$23</f>
        <v>0.1608</v>
      </c>
      <c r="CF584" s="303">
        <f>DCF!$B$23</f>
        <v>0.1608</v>
      </c>
      <c r="CG584" s="303">
        <f>DCF!$B$23</f>
        <v>0.1608</v>
      </c>
      <c r="CH584" s="303">
        <f>DCF!$B$23</f>
        <v>0.1608</v>
      </c>
      <c r="CI584" s="303">
        <f>DCF!$B$23</f>
        <v>0.1608</v>
      </c>
      <c r="CJ584" s="303">
        <f>DCF!$B$23</f>
        <v>0.1608</v>
      </c>
      <c r="CK584" s="303">
        <f>DCF!$B$23</f>
        <v>0.1608</v>
      </c>
      <c r="CL584" s="303">
        <f>DCF!$B$23</f>
        <v>0.1608</v>
      </c>
      <c r="CM584" s="303">
        <f>DCF!$B$23</f>
        <v>0.1608</v>
      </c>
      <c r="CN584" s="303">
        <f>DCF!$B$23</f>
        <v>0.1608</v>
      </c>
      <c r="CO584" s="303">
        <f>DCF!$B$23</f>
        <v>0.1608</v>
      </c>
      <c r="CP584" s="303">
        <f>DCF!$B$23</f>
        <v>0.1608</v>
      </c>
      <c r="CQ584" s="303">
        <f>DCF!$B$23</f>
        <v>0.1608</v>
      </c>
      <c r="CR584" s="303">
        <f>DCF!$B$23</f>
        <v>0.1608</v>
      </c>
      <c r="CS584" s="303">
        <f>DCF!$B$23</f>
        <v>0.1608</v>
      </c>
      <c r="CT584" s="303">
        <f>DCF!$B$23</f>
        <v>0.1608</v>
      </c>
      <c r="CU584" s="303">
        <f>DCF!$B$23</f>
        <v>0.1608</v>
      </c>
      <c r="CV584" s="303">
        <f>DCF!$B$23</f>
        <v>0.1608</v>
      </c>
      <c r="CW584" s="303">
        <f>DCF!$B$23</f>
        <v>0.1608</v>
      </c>
      <c r="CX584" s="303">
        <f>DCF!$B$23</f>
        <v>0.1608</v>
      </c>
      <c r="CY584" s="303">
        <f>DCF!$B$23</f>
        <v>0.1608</v>
      </c>
      <c r="CZ584" s="303">
        <f>DCF!$B$23</f>
        <v>0.1608</v>
      </c>
      <c r="DA584" s="303">
        <f>DCF!$B$23</f>
        <v>0.1608</v>
      </c>
      <c r="DB584" s="303">
        <f>DCF!$B$23</f>
        <v>0.1608</v>
      </c>
      <c r="DC584" s="303">
        <f>DCF!$B$23</f>
        <v>0.1608</v>
      </c>
      <c r="DD584" s="303">
        <f>DCF!$B$23</f>
        <v>0.1608</v>
      </c>
      <c r="DE584" s="303">
        <f>DCF!$B$23</f>
        <v>0.1608</v>
      </c>
      <c r="DF584" s="303">
        <f>DCF!$B$23</f>
        <v>0.1608</v>
      </c>
      <c r="DG584" s="303">
        <f>DCF!$B$23</f>
        <v>0.1608</v>
      </c>
      <c r="DH584" s="303">
        <f>DCF!$B$23</f>
        <v>0.1608</v>
      </c>
      <c r="DI584" s="303">
        <f>DCF!$B$23</f>
        <v>0.1608</v>
      </c>
      <c r="DJ584" s="303">
        <f>DCF!$B$23</f>
        <v>0.1608</v>
      </c>
      <c r="DK584" s="303">
        <f>DCF!$B$23</f>
        <v>0.1608</v>
      </c>
      <c r="DL584" s="303">
        <f>DCF!$B$23</f>
        <v>0.1608</v>
      </c>
      <c r="DM584" s="303">
        <f>DCF!$B$23</f>
        <v>0.1608</v>
      </c>
      <c r="DN584" s="303">
        <f>DCF!$B$23</f>
        <v>0.1608</v>
      </c>
      <c r="DO584" s="303">
        <f>DCF!$B$23</f>
        <v>0.1608</v>
      </c>
      <c r="DP584" s="303">
        <f>DCF!$B$23</f>
        <v>0.1608</v>
      </c>
      <c r="DQ584" s="303">
        <f>DCF!$B$23</f>
        <v>0.1608</v>
      </c>
      <c r="DR584" s="303">
        <f>DCF!$B$23</f>
        <v>0.1608</v>
      </c>
      <c r="DS584" s="303">
        <f>DCF!$B$23</f>
        <v>0.1608</v>
      </c>
      <c r="DT584" s="303">
        <f>DCF!$B$23</f>
        <v>0.1608</v>
      </c>
      <c r="DU584" s="303">
        <f>DCF!$B$23</f>
        <v>0.1608</v>
      </c>
      <c r="DV584" s="303">
        <f>DCF!$B$23</f>
        <v>0.1608</v>
      </c>
      <c r="DW584" s="303">
        <f>DCF!$B$23</f>
        <v>0.1608</v>
      </c>
      <c r="DX584" s="303">
        <f>DCF!$B$23</f>
        <v>0.1608</v>
      </c>
      <c r="DY584" s="303">
        <f>DCF!$B$23</f>
        <v>0.1608</v>
      </c>
      <c r="DZ584" s="303">
        <f>DCF!$B$23</f>
        <v>0.1608</v>
      </c>
      <c r="EA584" s="303">
        <f>DCF!$B$23</f>
        <v>0.1608</v>
      </c>
      <c r="EB584" s="417"/>
    </row>
    <row r="585" spans="1:132" s="7" customFormat="1">
      <c r="A585" s="11" t="s">
        <v>919</v>
      </c>
      <c r="B585" s="419"/>
      <c r="C585" s="419"/>
      <c r="D585" s="419"/>
      <c r="E585" s="419"/>
      <c r="F585" s="419"/>
      <c r="G585" s="303"/>
      <c r="H585" s="303"/>
      <c r="I585" s="303"/>
      <c r="J585" s="303"/>
      <c r="K585" s="303"/>
      <c r="L585" s="303"/>
      <c r="M585" s="303"/>
      <c r="N585" s="303"/>
      <c r="O585" s="303"/>
      <c r="P585" s="303"/>
      <c r="Q585" s="303"/>
      <c r="R585" s="303"/>
      <c r="S585" s="303"/>
      <c r="T585" s="303"/>
      <c r="U585" s="303"/>
      <c r="V585" s="303"/>
      <c r="W585" s="303"/>
      <c r="X585" s="303"/>
      <c r="Y585" s="303"/>
      <c r="Z585" s="303"/>
      <c r="AA585" s="303">
        <f>DCF!$B$25</f>
        <v>4.3119999999999825E-2</v>
      </c>
      <c r="AB585" s="303">
        <f>DCF!$B$25</f>
        <v>4.3119999999999825E-2</v>
      </c>
      <c r="AC585" s="303">
        <f>DCF!$B$25</f>
        <v>4.3119999999999825E-2</v>
      </c>
      <c r="AD585" s="303">
        <f>DCF!$B$25</f>
        <v>4.3119999999999825E-2</v>
      </c>
      <c r="AE585" s="303">
        <f>DCF!$B$25</f>
        <v>4.3119999999999825E-2</v>
      </c>
      <c r="AF585" s="303">
        <f>DCF!$B$25</f>
        <v>4.3119999999999825E-2</v>
      </c>
      <c r="AG585" s="303">
        <f>DCF!$B$25</f>
        <v>4.3119999999999825E-2</v>
      </c>
      <c r="AH585" s="303">
        <f>DCF!$B$25</f>
        <v>4.3119999999999825E-2</v>
      </c>
      <c r="AI585" s="303">
        <f>DCF!$B$25</f>
        <v>4.3119999999999825E-2</v>
      </c>
      <c r="AJ585" s="303">
        <f>DCF!$B$25</f>
        <v>4.3119999999999825E-2</v>
      </c>
      <c r="AK585" s="303">
        <f>DCF!$B$25</f>
        <v>4.3119999999999825E-2</v>
      </c>
      <c r="AL585" s="303">
        <f>DCF!$B$25</f>
        <v>4.3119999999999825E-2</v>
      </c>
      <c r="AM585" s="303">
        <f>DCF!$B$25</f>
        <v>4.3119999999999825E-2</v>
      </c>
      <c r="AN585" s="303">
        <f>DCF!$B$25</f>
        <v>4.3119999999999825E-2</v>
      </c>
      <c r="AO585" s="303">
        <f>DCF!$B$25</f>
        <v>4.3119999999999825E-2</v>
      </c>
      <c r="AP585" s="303">
        <f>DCF!$B$25</f>
        <v>4.3119999999999825E-2</v>
      </c>
      <c r="AQ585" s="303">
        <f>DCF!$B$25</f>
        <v>4.3119999999999825E-2</v>
      </c>
      <c r="AR585" s="303">
        <f>DCF!$B$25</f>
        <v>4.3119999999999825E-2</v>
      </c>
      <c r="AS585" s="303">
        <f>DCF!$B$25</f>
        <v>4.3119999999999825E-2</v>
      </c>
      <c r="AT585" s="303">
        <f>DCF!$B$25</f>
        <v>4.3119999999999825E-2</v>
      </c>
      <c r="AU585" s="303">
        <f>DCF!$B$25</f>
        <v>4.3119999999999825E-2</v>
      </c>
      <c r="AV585" s="303">
        <f>DCF!$B$25</f>
        <v>4.3119999999999825E-2</v>
      </c>
      <c r="AW585" s="303">
        <f>DCF!$B$25</f>
        <v>4.3119999999999825E-2</v>
      </c>
      <c r="AX585" s="303">
        <f>DCF!$B$25</f>
        <v>4.3119999999999825E-2</v>
      </c>
      <c r="AY585" s="303">
        <f>DCF!$B$25</f>
        <v>4.3119999999999825E-2</v>
      </c>
      <c r="AZ585" s="303">
        <f>DCF!$B$25</f>
        <v>4.3119999999999825E-2</v>
      </c>
      <c r="BA585" s="303">
        <f>DCF!$B$25</f>
        <v>4.3119999999999825E-2</v>
      </c>
      <c r="BB585" s="303">
        <f>DCF!$B$25</f>
        <v>4.3119999999999825E-2</v>
      </c>
      <c r="BC585" s="303">
        <f>DCF!$B$25</f>
        <v>4.3119999999999825E-2</v>
      </c>
      <c r="BD585" s="303">
        <f>DCF!$B$25</f>
        <v>4.3119999999999825E-2</v>
      </c>
      <c r="BE585" s="303">
        <f>DCF!$B$25</f>
        <v>4.3119999999999825E-2</v>
      </c>
      <c r="BF585" s="303">
        <f>DCF!$B$25</f>
        <v>4.3119999999999825E-2</v>
      </c>
      <c r="BG585" s="303">
        <f>DCF!$B$25</f>
        <v>4.3119999999999825E-2</v>
      </c>
      <c r="BH585" s="303">
        <f>DCF!$B$25</f>
        <v>4.3119999999999825E-2</v>
      </c>
      <c r="BI585" s="303">
        <f>DCF!$B$25</f>
        <v>4.3119999999999825E-2</v>
      </c>
      <c r="BJ585" s="303">
        <f>DCF!$B$25</f>
        <v>4.3119999999999825E-2</v>
      </c>
      <c r="BK585" s="303">
        <f>DCF!$B$25</f>
        <v>4.3119999999999825E-2</v>
      </c>
      <c r="BL585" s="303">
        <f>DCF!$B$25</f>
        <v>4.3119999999999825E-2</v>
      </c>
      <c r="BM585" s="303">
        <f>DCF!$B$25</f>
        <v>4.3119999999999825E-2</v>
      </c>
      <c r="BN585" s="303">
        <f>DCF!$B$25</f>
        <v>4.3119999999999825E-2</v>
      </c>
      <c r="BO585" s="303">
        <f>DCF!$B$25</f>
        <v>4.3119999999999825E-2</v>
      </c>
      <c r="BP585" s="303">
        <f>DCF!$B$25</f>
        <v>4.3119999999999825E-2</v>
      </c>
      <c r="BQ585" s="303">
        <f>DCF!$B$25</f>
        <v>4.3119999999999825E-2</v>
      </c>
      <c r="BR585" s="303">
        <f>DCF!$B$25</f>
        <v>4.3119999999999825E-2</v>
      </c>
      <c r="BS585" s="303">
        <f>DCF!$B$25</f>
        <v>4.3119999999999825E-2</v>
      </c>
      <c r="BT585" s="303">
        <f>DCF!$B$25</f>
        <v>4.3119999999999825E-2</v>
      </c>
      <c r="BU585" s="303">
        <f>DCF!$B$25</f>
        <v>4.3119999999999825E-2</v>
      </c>
      <c r="BV585" s="303">
        <f>DCF!$B$25</f>
        <v>4.3119999999999825E-2</v>
      </c>
      <c r="BW585" s="303">
        <f>DCF!$B$25</f>
        <v>4.3119999999999825E-2</v>
      </c>
      <c r="BX585" s="303">
        <f>DCF!$B$25</f>
        <v>4.3119999999999825E-2</v>
      </c>
      <c r="BY585" s="303">
        <f>DCF!$B$25</f>
        <v>4.3119999999999825E-2</v>
      </c>
      <c r="BZ585" s="303">
        <f>DCF!$B$25</f>
        <v>4.3119999999999825E-2</v>
      </c>
      <c r="CA585" s="303">
        <f>DCF!$B$25</f>
        <v>4.3119999999999825E-2</v>
      </c>
      <c r="CB585" s="303">
        <f>DCF!$B$25</f>
        <v>4.3119999999999825E-2</v>
      </c>
      <c r="CC585" s="303">
        <f>DCF!$B$25</f>
        <v>4.3119999999999825E-2</v>
      </c>
      <c r="CD585" s="303">
        <f>DCF!$B$25</f>
        <v>4.3119999999999825E-2</v>
      </c>
      <c r="CE585" s="303">
        <f>DCF!$B$25</f>
        <v>4.3119999999999825E-2</v>
      </c>
      <c r="CF585" s="303">
        <f>DCF!$B$25</f>
        <v>4.3119999999999825E-2</v>
      </c>
      <c r="CG585" s="303">
        <f>DCF!$B$25</f>
        <v>4.3119999999999825E-2</v>
      </c>
      <c r="CH585" s="303">
        <f>DCF!$B$25</f>
        <v>4.3119999999999825E-2</v>
      </c>
      <c r="CI585" s="303">
        <f>DCF!$B$25</f>
        <v>4.3119999999999825E-2</v>
      </c>
      <c r="CJ585" s="303">
        <f>DCF!$B$25</f>
        <v>4.3119999999999825E-2</v>
      </c>
      <c r="CK585" s="303">
        <f>DCF!$B$25</f>
        <v>4.3119999999999825E-2</v>
      </c>
      <c r="CL585" s="303">
        <f>DCF!$B$25</f>
        <v>4.3119999999999825E-2</v>
      </c>
      <c r="CM585" s="303">
        <f>DCF!$B$25</f>
        <v>4.3119999999999825E-2</v>
      </c>
      <c r="CN585" s="303">
        <f>DCF!$B$25</f>
        <v>4.3119999999999825E-2</v>
      </c>
      <c r="CO585" s="303">
        <f>DCF!$B$25</f>
        <v>4.3119999999999825E-2</v>
      </c>
      <c r="CP585" s="303">
        <f>DCF!$B$25</f>
        <v>4.3119999999999825E-2</v>
      </c>
      <c r="CQ585" s="303">
        <f>DCF!$B$25</f>
        <v>4.3119999999999825E-2</v>
      </c>
      <c r="CR585" s="303">
        <f>DCF!$B$25</f>
        <v>4.3119999999999825E-2</v>
      </c>
      <c r="CS585" s="303">
        <f>DCF!$B$25</f>
        <v>4.3119999999999825E-2</v>
      </c>
      <c r="CT585" s="303">
        <f>DCF!$B$25</f>
        <v>4.3119999999999825E-2</v>
      </c>
      <c r="CU585" s="303">
        <f>DCF!$B$25</f>
        <v>4.3119999999999825E-2</v>
      </c>
      <c r="CV585" s="303">
        <f>DCF!$B$25</f>
        <v>4.3119999999999825E-2</v>
      </c>
      <c r="CW585" s="303">
        <f>DCF!$B$25</f>
        <v>4.3119999999999825E-2</v>
      </c>
      <c r="CX585" s="303">
        <f>DCF!$B$25</f>
        <v>4.3119999999999825E-2</v>
      </c>
      <c r="CY585" s="303">
        <f>DCF!$B$25</f>
        <v>4.3119999999999825E-2</v>
      </c>
      <c r="CZ585" s="303">
        <f>DCF!$B$25</f>
        <v>4.3119999999999825E-2</v>
      </c>
      <c r="DA585" s="303">
        <f>DCF!$B$25</f>
        <v>4.3119999999999825E-2</v>
      </c>
      <c r="DB585" s="303">
        <f>DCF!$B$25</f>
        <v>4.3119999999999825E-2</v>
      </c>
      <c r="DC585" s="303">
        <f>DCF!$B$25</f>
        <v>4.3119999999999825E-2</v>
      </c>
      <c r="DD585" s="303">
        <f>DCF!$B$25</f>
        <v>4.3119999999999825E-2</v>
      </c>
      <c r="DE585" s="303">
        <f>DCF!$B$25</f>
        <v>4.3119999999999825E-2</v>
      </c>
      <c r="DF585" s="303">
        <f>DCF!$B$25</f>
        <v>4.3119999999999825E-2</v>
      </c>
      <c r="DG585" s="303">
        <f>DCF!$B$25</f>
        <v>4.3119999999999825E-2</v>
      </c>
      <c r="DH585" s="303">
        <f>DCF!$B$25</f>
        <v>4.3119999999999825E-2</v>
      </c>
      <c r="DI585" s="303">
        <f>DCF!$B$25</f>
        <v>4.3119999999999825E-2</v>
      </c>
      <c r="DJ585" s="303">
        <f>DCF!$B$25</f>
        <v>4.3119999999999825E-2</v>
      </c>
      <c r="DK585" s="303">
        <f>DCF!$B$25</f>
        <v>4.3119999999999825E-2</v>
      </c>
      <c r="DL585" s="303">
        <f>DCF!$B$25</f>
        <v>4.3119999999999825E-2</v>
      </c>
      <c r="DM585" s="303">
        <f>DCF!$B$25</f>
        <v>4.3119999999999825E-2</v>
      </c>
      <c r="DN585" s="303">
        <f>DCF!$B$25</f>
        <v>4.3119999999999825E-2</v>
      </c>
      <c r="DO585" s="303">
        <f>DCF!$B$25</f>
        <v>4.3119999999999825E-2</v>
      </c>
      <c r="DP585" s="303">
        <f>DCF!$B$25</f>
        <v>4.3119999999999825E-2</v>
      </c>
      <c r="DQ585" s="303">
        <f>DCF!$B$25</f>
        <v>4.3119999999999825E-2</v>
      </c>
      <c r="DR585" s="303">
        <f>DCF!$B$25</f>
        <v>4.3119999999999825E-2</v>
      </c>
      <c r="DS585" s="303">
        <f>DCF!$B$25</f>
        <v>4.3119999999999825E-2</v>
      </c>
      <c r="DT585" s="303">
        <f>DCF!$B$25</f>
        <v>4.3119999999999825E-2</v>
      </c>
      <c r="DU585" s="303">
        <f>DCF!$B$25</f>
        <v>4.3119999999999825E-2</v>
      </c>
      <c r="DV585" s="303">
        <f>DCF!$B$25</f>
        <v>4.3119999999999825E-2</v>
      </c>
      <c r="DW585" s="303">
        <f>DCF!$B$25</f>
        <v>4.3119999999999825E-2</v>
      </c>
      <c r="DX585" s="303">
        <f>DCF!$B$25</f>
        <v>4.3119999999999825E-2</v>
      </c>
      <c r="DY585" s="303">
        <f>DCF!$B$25</f>
        <v>4.3119999999999825E-2</v>
      </c>
      <c r="DZ585" s="303">
        <f>DCF!$B$25</f>
        <v>4.3119999999999825E-2</v>
      </c>
      <c r="EA585" s="303">
        <f>DCF!$B$25</f>
        <v>4.3119999999999825E-2</v>
      </c>
      <c r="EB585" s="417"/>
    </row>
    <row r="586" spans="1:132" s="7" customFormat="1">
      <c r="A586" s="11" t="s">
        <v>918</v>
      </c>
      <c r="B586" s="419"/>
      <c r="C586" s="419"/>
      <c r="D586" s="419"/>
      <c r="E586" s="419"/>
      <c r="F586" s="419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>
        <f>Forecasts!B7</f>
        <v>488.8</v>
      </c>
      <c r="AB586" s="12">
        <f>Forecasts!C7</f>
        <v>488.8</v>
      </c>
      <c r="AC586" s="12">
        <f>Forecasts!D7</f>
        <v>488.8</v>
      </c>
      <c r="AD586" s="12">
        <f>Forecasts!E7</f>
        <v>977.6</v>
      </c>
      <c r="AE586" s="12">
        <f>Forecasts!F7</f>
        <v>2444</v>
      </c>
      <c r="AF586" s="12">
        <f>Forecasts!G7</f>
        <v>489</v>
      </c>
      <c r="AG586" s="12">
        <f>Forecasts!H7</f>
        <v>440</v>
      </c>
      <c r="AH586" s="12">
        <f>Forecasts!I7</f>
        <v>1164</v>
      </c>
      <c r="AI586" s="12">
        <f>Forecasts!J7</f>
        <v>639</v>
      </c>
      <c r="AJ586" s="12">
        <f>Forecasts!K7</f>
        <v>2732</v>
      </c>
      <c r="AK586" s="12">
        <f>Forecasts!L7</f>
        <v>499</v>
      </c>
      <c r="AL586" s="12">
        <f>Forecasts!M7</f>
        <v>1522</v>
      </c>
      <c r="AM586" s="12">
        <f>Forecasts!N7</f>
        <v>876</v>
      </c>
      <c r="AN586" s="12">
        <f>Forecasts!O7</f>
        <v>4419</v>
      </c>
      <c r="AO586" s="12">
        <f>Forecasts!P7</f>
        <v>7316</v>
      </c>
      <c r="AP586" s="12">
        <f>Forecasts!Q7</f>
        <v>718</v>
      </c>
      <c r="AQ586" s="12">
        <f>Forecasts!R7</f>
        <v>3292</v>
      </c>
      <c r="AR586" s="12">
        <f>Forecasts!S7</f>
        <v>4129</v>
      </c>
      <c r="AS586" s="12">
        <f>Forecasts!T7</f>
        <v>9561</v>
      </c>
      <c r="AT586" s="12">
        <f>Forecasts!U7</f>
        <v>17700</v>
      </c>
      <c r="AU586" s="12">
        <f>Forecasts!V7</f>
        <v>3264</v>
      </c>
      <c r="AV586" s="12">
        <f>Forecasts!W7</f>
        <v>7084</v>
      </c>
      <c r="AW586" s="12">
        <f>Forecasts!X7</f>
        <v>5131</v>
      </c>
      <c r="AX586" s="12">
        <f>Forecasts!Y7</f>
        <v>2791</v>
      </c>
      <c r="AY586" s="12">
        <f>Forecasts!Z7</f>
        <v>18270</v>
      </c>
      <c r="AZ586" s="12">
        <f>Forecasts!AA7</f>
        <v>2271</v>
      </c>
      <c r="BA586" s="12">
        <f>Forecasts!AB7</f>
        <v>2945</v>
      </c>
      <c r="BB586" s="12">
        <f>Forecasts!AC7</f>
        <v>7858</v>
      </c>
      <c r="BC586" s="12">
        <f>Forecasts!AD7</f>
        <v>13498</v>
      </c>
      <c r="BD586" s="12">
        <f>Forecasts!AE7</f>
        <v>26572</v>
      </c>
      <c r="BE586" s="12">
        <f>Forecasts!AF7</f>
        <v>3134</v>
      </c>
      <c r="BF586" s="12">
        <f>Forecasts!AG7</f>
        <v>5361</v>
      </c>
      <c r="BG586" s="12">
        <f>Forecasts!AH7</f>
        <v>7858</v>
      </c>
      <c r="BH586" s="12">
        <f>Forecasts!AI7</f>
        <v>13506</v>
      </c>
      <c r="BI586" s="12">
        <f>Forecasts!AJ7</f>
        <v>29859</v>
      </c>
      <c r="BJ586" s="12">
        <f>Forecasts!AK7</f>
        <v>3755</v>
      </c>
      <c r="BK586" s="12">
        <f>Forecasts!AL7</f>
        <v>6325</v>
      </c>
      <c r="BL586" s="12">
        <f>Forecasts!AM7</f>
        <v>5087</v>
      </c>
      <c r="BM586" s="12">
        <f>Forecasts!AN7</f>
        <v>10956</v>
      </c>
      <c r="BN586" s="12">
        <f>Forecasts!AO7</f>
        <v>26123</v>
      </c>
      <c r="BO586" s="12">
        <f>Forecasts!AP7</f>
        <v>2195</v>
      </c>
      <c r="BP586" s="12">
        <f>Forecasts!AQ7</f>
        <v>3148</v>
      </c>
      <c r="BQ586" s="12">
        <f>Forecasts!AR7</f>
        <v>5046</v>
      </c>
      <c r="BR586" s="12">
        <f>Forecasts!AS7</f>
        <v>5545</v>
      </c>
      <c r="BS586" s="12">
        <f>Forecasts!AT7</f>
        <v>15934</v>
      </c>
      <c r="BT586" s="12">
        <f>Forecasts!AU7</f>
        <v>1685</v>
      </c>
      <c r="BU586" s="12">
        <f>Forecasts!AV7</f>
        <v>3379</v>
      </c>
      <c r="BV586" s="12">
        <f>Forecasts!AW7</f>
        <v>2416</v>
      </c>
      <c r="BW586" s="12">
        <f>Forecasts!AX7</f>
        <v>7416</v>
      </c>
      <c r="BX586" s="12">
        <f>Forecasts!AY7</f>
        <v>14896</v>
      </c>
      <c r="BY586" s="12">
        <f>Forecasts!AZ7</f>
        <v>2406</v>
      </c>
      <c r="BZ586" s="12">
        <f>Forecasts!BA7</f>
        <v>2344</v>
      </c>
      <c r="CA586" s="12">
        <f>Forecasts!BB7</f>
        <v>2220</v>
      </c>
      <c r="CB586" s="12">
        <f>Forecasts!BC7</f>
        <v>5068</v>
      </c>
      <c r="CC586" s="12">
        <f>Forecasts!BD7</f>
        <v>12038</v>
      </c>
      <c r="CD586" s="12">
        <f>Forecasts!BE7</f>
        <v>1606</v>
      </c>
      <c r="CE586" s="12">
        <f>Forecasts!BF7</f>
        <v>4333</v>
      </c>
      <c r="CF586" s="12">
        <f>Forecasts!BG7</f>
        <v>1127</v>
      </c>
      <c r="CG586" s="12">
        <f>Forecasts!BH7</f>
        <v>1298</v>
      </c>
      <c r="CH586" s="12">
        <f>Forecasts!BI7</f>
        <v>8364</v>
      </c>
      <c r="CI586" s="12">
        <f>Forecasts!BJ7</f>
        <v>1530</v>
      </c>
      <c r="CJ586" s="12">
        <f>Forecasts!BK7</f>
        <v>1840</v>
      </c>
      <c r="CK586" s="12">
        <f>Forecasts!BL7</f>
        <v>1630</v>
      </c>
      <c r="CL586" s="12">
        <f>Forecasts!BM7</f>
        <v>4726</v>
      </c>
      <c r="CM586" s="12">
        <f>Forecasts!BN7</f>
        <v>9726</v>
      </c>
      <c r="CN586" s="12">
        <f>Forecasts!BO7</f>
        <v>711</v>
      </c>
      <c r="CO586" s="12">
        <f>Forecasts!BP7</f>
        <v>2082</v>
      </c>
      <c r="CP586" s="12">
        <f>Forecasts!BQ7</f>
        <v>2050</v>
      </c>
      <c r="CQ586" s="12">
        <f>Forecasts!BR7</f>
        <v>4125</v>
      </c>
      <c r="CR586" s="12">
        <f>Forecasts!BS7</f>
        <v>8968</v>
      </c>
      <c r="CS586" s="12">
        <f>Forecasts!BT7</f>
        <v>2111</v>
      </c>
      <c r="CT586" s="12">
        <f>Forecasts!BU7</f>
        <v>3138</v>
      </c>
      <c r="CU586" s="12">
        <f>Forecasts!BV7</f>
        <v>2821</v>
      </c>
      <c r="CV586" s="12">
        <f>Forecasts!BW7</f>
        <v>7075</v>
      </c>
      <c r="CW586" s="12">
        <f>Forecasts!BX7</f>
        <v>15145</v>
      </c>
      <c r="CX586" s="12">
        <f>Forecasts!BY7</f>
        <v>1516</v>
      </c>
      <c r="CY586" s="12">
        <f>Forecasts!BZ7</f>
        <v>2935</v>
      </c>
      <c r="CZ586" s="12">
        <f>Forecasts!CA7</f>
        <v>2107</v>
      </c>
      <c r="DA586" s="12">
        <f>Forecasts!CB7</f>
        <v>3205</v>
      </c>
      <c r="DB586" s="12">
        <f>Forecasts!CC7</f>
        <v>9763</v>
      </c>
      <c r="DC586" s="12">
        <f>Forecasts!CD7</f>
        <v>3533</v>
      </c>
      <c r="DD586" s="12">
        <f>Forecasts!CE7</f>
        <v>804</v>
      </c>
      <c r="DE586" s="12">
        <f>Forecasts!CF7</f>
        <v>3160</v>
      </c>
      <c r="DF586" s="12">
        <f>Forecasts!CG7</f>
        <v>7672</v>
      </c>
      <c r="DG586" s="12">
        <f>Forecasts!CH7</f>
        <v>15169</v>
      </c>
      <c r="DH586" s="12">
        <f>Forecasts!CI7</f>
        <v>674</v>
      </c>
      <c r="DI586" s="12">
        <f>Forecasts!CJ7</f>
        <v>4403</v>
      </c>
      <c r="DJ586" s="12">
        <f>Forecasts!CK7</f>
        <v>3780</v>
      </c>
      <c r="DK586" s="12">
        <f>Forecasts!CL7</f>
        <v>7672</v>
      </c>
      <c r="DL586" s="12">
        <f>Forecasts!CM7</f>
        <v>16529</v>
      </c>
      <c r="DM586" s="12">
        <f>Forecasts!CN7</f>
        <v>1284</v>
      </c>
      <c r="DN586" s="12">
        <f>Forecasts!CO7</f>
        <v>3751</v>
      </c>
      <c r="DO586" s="12">
        <f>Forecasts!CP7</f>
        <v>4453</v>
      </c>
      <c r="DP586" s="12">
        <f>Forecasts!CQ7</f>
        <v>4698</v>
      </c>
      <c r="DQ586" s="12">
        <f>Forecasts!CR7</f>
        <v>14186</v>
      </c>
      <c r="DR586" s="12">
        <f>Forecasts!CS7</f>
        <v>2123</v>
      </c>
      <c r="DS586" s="12">
        <f>Forecasts!CT7</f>
        <v>4282</v>
      </c>
      <c r="DT586" s="12">
        <f>Forecasts!CU7</f>
        <v>4317</v>
      </c>
      <c r="DU586" s="12">
        <f>Forecasts!CV7</f>
        <v>3256</v>
      </c>
      <c r="DV586" s="12">
        <f>Forecasts!CW7</f>
        <v>13978</v>
      </c>
      <c r="DW586" s="12">
        <f>Forecasts!CX7</f>
        <v>3266</v>
      </c>
      <c r="DX586" s="12">
        <f>Forecasts!CY7</f>
        <v>2965</v>
      </c>
      <c r="DY586" s="12">
        <f>Forecasts!CZ7</f>
        <v>5500</v>
      </c>
      <c r="DZ586" s="12">
        <f>Forecasts!DA7</f>
        <v>8851</v>
      </c>
      <c r="EA586" s="12">
        <f>Forecasts!DB7</f>
        <v>20582</v>
      </c>
      <c r="EB586" s="417"/>
    </row>
    <row r="587" spans="1:132" s="7" customFormat="1">
      <c r="A587" s="11" t="s">
        <v>917</v>
      </c>
      <c r="B587" s="419"/>
      <c r="C587" s="419"/>
      <c r="D587" s="419"/>
      <c r="E587" s="419"/>
      <c r="F587" s="419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>
        <f>Forecasts!B8/1000</f>
        <v>338.0793780687398</v>
      </c>
      <c r="AB587" s="12">
        <f>Forecasts!C8/1000</f>
        <v>338.0793780687398</v>
      </c>
      <c r="AC587" s="12">
        <f>Forecasts!D8/1000</f>
        <v>338.0793780687398</v>
      </c>
      <c r="AD587" s="12">
        <f>Forecasts!E8/1000</f>
        <v>338.0793780687398</v>
      </c>
      <c r="AE587" s="12">
        <f>Forecasts!F8/1000</f>
        <v>338.0793780687398</v>
      </c>
      <c r="AF587" s="12">
        <f>Forecasts!G8/1000</f>
        <v>367.01840490797548</v>
      </c>
      <c r="AG587" s="12">
        <f>Forecasts!H8/1000</f>
        <v>440.1522727272727</v>
      </c>
      <c r="AH587" s="12">
        <f>Forecasts!I8/1000</f>
        <v>433.2946735395189</v>
      </c>
      <c r="AI587" s="12">
        <f>Forecasts!J8/1000</f>
        <v>273.70735524256651</v>
      </c>
      <c r="AJ587" s="12">
        <f>Forecasts!K8/1000</f>
        <v>385.20973645680823</v>
      </c>
      <c r="AK587" s="12">
        <f>Forecasts!L8/1000</f>
        <v>197.55110220440881</v>
      </c>
      <c r="AL587" s="12">
        <f>Forecasts!M8/1000</f>
        <v>596.59067017082793</v>
      </c>
      <c r="AM587" s="12">
        <f>Forecasts!N8/1000</f>
        <v>773.93949771689495</v>
      </c>
      <c r="AN587" s="12">
        <f>Forecasts!O8/1000</f>
        <v>278.8019914007694</v>
      </c>
      <c r="AO587" s="12">
        <f>Forecasts!P8/1000</f>
        <v>398.65855658829963</v>
      </c>
      <c r="AP587" s="12">
        <f>Forecasts!Q8/1000</f>
        <v>281.99582172701952</v>
      </c>
      <c r="AQ587" s="12">
        <f>Forecasts!R8/1000</f>
        <v>196.9441069258809</v>
      </c>
      <c r="AR587" s="12">
        <f>Forecasts!S8/1000</f>
        <v>381.09736013562605</v>
      </c>
      <c r="AS587" s="12">
        <f>Forecasts!T8/1000</f>
        <v>320.99100512498694</v>
      </c>
      <c r="AT587" s="12">
        <f>Forecasts!U8/1000</f>
        <v>310.35926553672317</v>
      </c>
      <c r="AU587" s="12">
        <f>Forecasts!V8/1000</f>
        <v>225.41299019607843</v>
      </c>
      <c r="AV587" s="12">
        <f>Forecasts!W8/1000</f>
        <v>308.10601355166568</v>
      </c>
      <c r="AW587" s="12">
        <f>Forecasts!X8/1000</f>
        <v>205.13720522315339</v>
      </c>
      <c r="AX587" s="12">
        <f>Forecasts!Y8/1000</f>
        <v>306.881762809029</v>
      </c>
      <c r="AY587" s="12">
        <f>Forecasts!Z8/1000</f>
        <v>264.22753147235909</v>
      </c>
      <c r="AZ587" s="12">
        <f>Forecasts!AA8/1000</f>
        <v>243.92602377807134</v>
      </c>
      <c r="BA587" s="12">
        <f>Forecasts!AB8/1000</f>
        <v>218.7667232597623</v>
      </c>
      <c r="BB587" s="12">
        <f>Forecasts!AC8/1000</f>
        <v>248.39093917027233</v>
      </c>
      <c r="BC587" s="12">
        <f>Forecasts!AD8/1000</f>
        <v>189.05082234405097</v>
      </c>
      <c r="BD587" s="12">
        <f>Forecasts!AE8/1000</f>
        <v>214.58256811681468</v>
      </c>
      <c r="BE587" s="12">
        <f>Forecasts!AF8/1000</f>
        <v>190.26611359285258</v>
      </c>
      <c r="BF587" s="12">
        <f>Forecasts!AG8/1000</f>
        <v>210.3074053348256</v>
      </c>
      <c r="BG587" s="12">
        <f>Forecasts!AH8/1000</f>
        <v>172.99592771697633</v>
      </c>
      <c r="BH587" s="12">
        <f>Forecasts!AI8/1000</f>
        <v>335.16422330815931</v>
      </c>
      <c r="BI587" s="12">
        <f>Forecasts!AJ8/1000</f>
        <v>254.86057805016912</v>
      </c>
      <c r="BJ587" s="12">
        <f>Forecasts!AK8/1000</f>
        <v>306.79094540612516</v>
      </c>
      <c r="BK587" s="12">
        <f>Forecasts!AL8/1000</f>
        <v>261.51778656126481</v>
      </c>
      <c r="BL587" s="12">
        <f>Forecasts!AM8/1000</f>
        <v>345.3902103400826</v>
      </c>
      <c r="BM587" s="12">
        <f>Forecasts!AN8/1000</f>
        <v>305.03833515881706</v>
      </c>
      <c r="BN587" s="12">
        <f>Forecasts!AO8/1000</f>
        <v>302.61072617999463</v>
      </c>
      <c r="BO587" s="12">
        <f>Forecasts!AP8/1000</f>
        <v>405.46697038724375</v>
      </c>
      <c r="BP587" s="12">
        <f>Forecasts!AQ8/1000</f>
        <v>346.06099110546376</v>
      </c>
      <c r="BQ587" s="12">
        <f>Forecasts!AR8/1000</f>
        <v>300.77288941736032</v>
      </c>
      <c r="BR587" s="12">
        <f>Forecasts!AS8/1000</f>
        <v>277.22272317403065</v>
      </c>
      <c r="BS587" s="12">
        <f>Forecasts!AT8/1000</f>
        <v>315.94703150495792</v>
      </c>
      <c r="BT587" s="12">
        <f>Forecasts!AU8/1000</f>
        <v>446.40949554896144</v>
      </c>
      <c r="BU587" s="12">
        <f>Forecasts!AV8/1000</f>
        <v>376.02841077241783</v>
      </c>
      <c r="BV587" s="12">
        <f>Forecasts!AW8/1000</f>
        <v>510.84437086092714</v>
      </c>
      <c r="BW587" s="12">
        <f>Forecasts!AX8/1000</f>
        <v>300.10787486515642</v>
      </c>
      <c r="BX587" s="12">
        <f>Forecasts!AY8/1000</f>
        <v>368.05853920515574</v>
      </c>
      <c r="BY587" s="12">
        <f>Forecasts!AZ8/1000</f>
        <v>795.84372402327517</v>
      </c>
      <c r="BZ587" s="12">
        <f>Forecasts!BA8/1000</f>
        <v>379.77815699658709</v>
      </c>
      <c r="CA587" s="12">
        <f>Forecasts!BB8/1000</f>
        <v>352.70270270270271</v>
      </c>
      <c r="CB587" s="12">
        <f>Forecasts!BC8/1000</f>
        <v>425.01973164956593</v>
      </c>
      <c r="CC587" s="12">
        <f>Forecasts!BD8/1000</f>
        <v>476.9895331450407</v>
      </c>
      <c r="CD587" s="12">
        <f>Forecasts!BE8/1000</f>
        <v>288.29389788293895</v>
      </c>
      <c r="CE587" s="12">
        <f>Forecasts!BF8/1000</f>
        <v>246.01892453265634</v>
      </c>
      <c r="CF587" s="12">
        <f>Forecasts!BG8/1000</f>
        <v>541.259982253771</v>
      </c>
      <c r="CG587" s="12">
        <f>Forecasts!BH8/1000</f>
        <v>585.51617873651765</v>
      </c>
      <c r="CH587" s="12">
        <f>Forecasts!BI8/1000</f>
        <v>346.60449545671923</v>
      </c>
      <c r="CI587" s="12">
        <f>Forecasts!BJ8/1000</f>
        <v>400.65359477124184</v>
      </c>
      <c r="CJ587" s="12">
        <f>Forecasts!BK8/1000</f>
        <v>325</v>
      </c>
      <c r="CK587" s="12">
        <f>Forecasts!BL8/1000</f>
        <v>277.3006134969325</v>
      </c>
      <c r="CL587" s="12">
        <f>Forecasts!BM8/1000</f>
        <v>269.57257723233181</v>
      </c>
      <c r="CM587" s="12">
        <f>Forecasts!BN8/1000</f>
        <v>301.97409006785932</v>
      </c>
      <c r="CN587" s="12">
        <f>Forecasts!BO8/1000</f>
        <v>860.75949367088606</v>
      </c>
      <c r="CO587" s="12">
        <f>Forecasts!BP8/1000</f>
        <v>307.39673390970222</v>
      </c>
      <c r="CP587" s="12">
        <f>Forecasts!BQ8/1000</f>
        <v>259.44585365853658</v>
      </c>
      <c r="CQ587" s="12">
        <f>Forecasts!BR8/1000</f>
        <v>307.68799999999999</v>
      </c>
      <c r="CR587" s="12">
        <f>Forecasts!BS8/1000</f>
        <v>340.44123550401429</v>
      </c>
      <c r="CS587" s="12">
        <f>Forecasts!BT8/1000</f>
        <v>205.70677404073899</v>
      </c>
      <c r="CT587" s="12">
        <f>Forecasts!BU8/1000</f>
        <v>312.73709369024857</v>
      </c>
      <c r="CU587" s="12">
        <f>Forecasts!BV8/1000</f>
        <v>325.41651896490606</v>
      </c>
      <c r="CV587" s="12">
        <f>Forecasts!BW8/1000</f>
        <v>382.36002808339646</v>
      </c>
      <c r="CW587" s="12">
        <f>Forecasts!BX8/1000</f>
        <v>332.70473414922617</v>
      </c>
      <c r="CX587" s="12">
        <f>Forecasts!BY8/1000</f>
        <v>291.82233534657428</v>
      </c>
      <c r="CY587" s="12">
        <f>Forecasts!BZ8/1000</f>
        <v>520.6041825220766</v>
      </c>
      <c r="CZ587" s="12">
        <f>Forecasts!CA8/1000</f>
        <v>469.25516330156228</v>
      </c>
      <c r="DA587" s="12">
        <f>Forecasts!CB8/1000</f>
        <v>436.10207864269665</v>
      </c>
      <c r="DB587" s="12">
        <f>Forecasts!CC8/1000</f>
        <v>446.25665545569353</v>
      </c>
      <c r="DC587" s="12">
        <f>Forecasts!CD8/1000</f>
        <v>301.32106368749442</v>
      </c>
      <c r="DD587" s="12">
        <f>Forecasts!CE8/1000</f>
        <v>316.1656736667054</v>
      </c>
      <c r="DE587" s="12">
        <f>Forecasts!CF8/1000</f>
        <v>522.51674605463586</v>
      </c>
      <c r="DF587" s="12">
        <f>Forecasts!CG8/1000</f>
        <v>374.52369565628294</v>
      </c>
      <c r="DG587" s="12">
        <f>Forecasts!CH8/1000</f>
        <v>385.21083988684825</v>
      </c>
      <c r="DH587" s="12">
        <f>Forecasts!CI8/1000</f>
        <v>625.14527180603011</v>
      </c>
      <c r="DI587" s="12">
        <f>Forecasts!CJ8/1000</f>
        <v>438.12760414865909</v>
      </c>
      <c r="DJ587" s="12">
        <f>Forecasts!CK8/1000</f>
        <v>581.93088846344028</v>
      </c>
      <c r="DK587" s="12">
        <f>Forecasts!CL8/1000</f>
        <v>333.01080587608902</v>
      </c>
      <c r="DL587" s="12">
        <f>Forecasts!CM8/1000</f>
        <v>429.84944130540066</v>
      </c>
      <c r="DM587" s="12">
        <f>Forecasts!CN8/1000</f>
        <v>808.14999106463665</v>
      </c>
      <c r="DN587" s="12">
        <f>Forecasts!CO8/1000</f>
        <v>620.18275663071074</v>
      </c>
      <c r="DO587" s="12">
        <f>Forecasts!CP8/1000</f>
        <v>657.48065002475585</v>
      </c>
      <c r="DP587" s="12">
        <f>Forecasts!CQ8/1000</f>
        <v>600.54598890282921</v>
      </c>
      <c r="DQ587" s="12">
        <f>Forecasts!CR8/1000</f>
        <v>642.40071190430831</v>
      </c>
      <c r="DR587" s="12">
        <f>Forecasts!CS8/1000</f>
        <v>633.41436943399833</v>
      </c>
      <c r="DS587" s="12">
        <f>Forecasts!CT8/1000</f>
        <v>820.75633633000086</v>
      </c>
      <c r="DT587" s="12">
        <f>Forecasts!CU8/1000</f>
        <v>501.40667583285153</v>
      </c>
      <c r="DU587" s="12">
        <f>Forecasts!CV8/1000</f>
        <v>842.63842491398952</v>
      </c>
      <c r="DV587" s="12">
        <f>Forecasts!CW8/1000</f>
        <v>698.77097364170925</v>
      </c>
      <c r="DW587" s="12">
        <f>Forecasts!CX8/1000</f>
        <v>520.497984978913</v>
      </c>
      <c r="DX587" s="12">
        <f>Forecasts!CY8/1000</f>
        <v>492.90412203871836</v>
      </c>
      <c r="DY587" s="12">
        <f>Forecasts!CZ8/1000</f>
        <v>567.74207454734642</v>
      </c>
      <c r="DZ587" s="12">
        <f>Forecasts!DA8/1000</f>
        <v>761.14992404336874</v>
      </c>
      <c r="EA587" s="12">
        <f>Forecasts!DB8/1000</f>
        <v>632.63660132660539</v>
      </c>
      <c r="EB587" s="417"/>
    </row>
    <row r="588" spans="1:132" s="7" customFormat="1">
      <c r="A588" s="11" t="s">
        <v>916</v>
      </c>
      <c r="B588" s="419"/>
      <c r="C588" s="419"/>
      <c r="D588" s="419"/>
      <c r="E588" s="419"/>
      <c r="F588" s="419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>
        <f>Forecasts!B12</f>
        <v>620</v>
      </c>
      <c r="AB588" s="12">
        <f>Forecasts!C12</f>
        <v>620</v>
      </c>
      <c r="AC588" s="12">
        <f>Forecasts!D12</f>
        <v>620</v>
      </c>
      <c r="AD588" s="12">
        <f>Forecasts!E12</f>
        <v>620</v>
      </c>
      <c r="AE588" s="12">
        <f>Forecasts!F12</f>
        <v>2480</v>
      </c>
      <c r="AF588" s="12">
        <f>Forecasts!G12</f>
        <v>556</v>
      </c>
      <c r="AG588" s="12">
        <f>Forecasts!H12</f>
        <v>585</v>
      </c>
      <c r="AH588" s="12">
        <f>Forecasts!I12</f>
        <v>657</v>
      </c>
      <c r="AI588" s="12">
        <f>Forecasts!J12</f>
        <v>906</v>
      </c>
      <c r="AJ588" s="12">
        <f>Forecasts!K12</f>
        <v>2704</v>
      </c>
      <c r="AK588" s="12">
        <f>Forecasts!L12</f>
        <v>594</v>
      </c>
      <c r="AL588" s="12">
        <f>Forecasts!M12</f>
        <v>1654</v>
      </c>
      <c r="AM588" s="12">
        <f>Forecasts!N12</f>
        <v>1010</v>
      </c>
      <c r="AN588" s="12">
        <f>Forecasts!O12</f>
        <v>1010</v>
      </c>
      <c r="AO588" s="12">
        <f>Forecasts!P12</f>
        <v>4268</v>
      </c>
      <c r="AP588" s="12">
        <f>Forecasts!Q12</f>
        <v>1065</v>
      </c>
      <c r="AQ588" s="12">
        <f>Forecasts!R12</f>
        <v>1962</v>
      </c>
      <c r="AR588" s="12">
        <f>Forecasts!S12</f>
        <v>3045</v>
      </c>
      <c r="AS588" s="12">
        <f>Forecasts!T12</f>
        <v>6846</v>
      </c>
      <c r="AT588" s="12">
        <f>Forecasts!U12</f>
        <v>12918</v>
      </c>
      <c r="AU588" s="12">
        <f>Forecasts!V12</f>
        <v>3769</v>
      </c>
      <c r="AV588" s="12">
        <f>Forecasts!W12</f>
        <v>6355</v>
      </c>
      <c r="AW588" s="12">
        <f>Forecasts!X12</f>
        <v>4468</v>
      </c>
      <c r="AX588" s="12">
        <f>Forecasts!Y12</f>
        <v>2283</v>
      </c>
      <c r="AY588" s="12">
        <f>Forecasts!Z12</f>
        <v>16875</v>
      </c>
      <c r="AZ588" s="12">
        <f>Forecasts!AA12</f>
        <v>1766</v>
      </c>
      <c r="BA588" s="12">
        <f>Forecasts!AB12</f>
        <v>3302</v>
      </c>
      <c r="BB588" s="12">
        <f>Forecasts!AC12</f>
        <v>6378</v>
      </c>
      <c r="BC588" s="12">
        <f>Forecasts!AD12</f>
        <v>12570</v>
      </c>
      <c r="BD588" s="12">
        <f>Forecasts!AE12</f>
        <v>24016</v>
      </c>
      <c r="BE588" s="12">
        <f>Forecasts!AF12</f>
        <v>4681</v>
      </c>
      <c r="BF588" s="12">
        <f>Forecasts!AG12</f>
        <v>5984</v>
      </c>
      <c r="BG588" s="12">
        <f>Forecasts!AH12</f>
        <v>6378</v>
      </c>
      <c r="BH588" s="12">
        <f>Forecasts!AI12</f>
        <v>8742</v>
      </c>
      <c r="BI588" s="12">
        <f>Forecasts!AJ12</f>
        <v>25785</v>
      </c>
      <c r="BJ588" s="12">
        <f>Forecasts!AK12</f>
        <v>3953</v>
      </c>
      <c r="BK588" s="12">
        <f>Forecasts!AL12</f>
        <v>5582</v>
      </c>
      <c r="BL588" s="12">
        <f>Forecasts!AM12</f>
        <v>3699</v>
      </c>
      <c r="BM588" s="12">
        <f>Forecasts!AN12</f>
        <v>8075</v>
      </c>
      <c r="BN588" s="12">
        <f>Forecasts!AO12</f>
        <v>21309</v>
      </c>
      <c r="BO588" s="12">
        <f>Forecasts!AP12</f>
        <v>3516</v>
      </c>
      <c r="BP588" s="12">
        <f>Forecasts!AQ12</f>
        <v>4191</v>
      </c>
      <c r="BQ588" s="12">
        <f>Forecasts!AR12</f>
        <v>5470</v>
      </c>
      <c r="BR588" s="12">
        <f>Forecasts!AS12</f>
        <v>3465</v>
      </c>
      <c r="BS588" s="12">
        <f>Forecasts!AT12</f>
        <v>16642</v>
      </c>
      <c r="BT588" s="12">
        <f>Forecasts!AU12</f>
        <v>3992</v>
      </c>
      <c r="BU588" s="12">
        <f>Forecasts!AV12</f>
        <v>4286</v>
      </c>
      <c r="BV588" s="12">
        <f>Forecasts!AW12</f>
        <v>3308</v>
      </c>
      <c r="BW588" s="12">
        <f>Forecasts!AX12</f>
        <v>5485</v>
      </c>
      <c r="BX588" s="12">
        <f>Forecasts!AY12</f>
        <v>17071</v>
      </c>
      <c r="BY588" s="12">
        <f>Forecasts!AZ12</f>
        <v>2930</v>
      </c>
      <c r="BZ588" s="12">
        <f>Forecasts!BA12</f>
        <v>3326</v>
      </c>
      <c r="CA588" s="12">
        <f>Forecasts!BB12</f>
        <v>2611</v>
      </c>
      <c r="CB588" s="12">
        <f>Forecasts!BC12</f>
        <v>4623</v>
      </c>
      <c r="CC588" s="12">
        <f>Forecasts!BD12</f>
        <v>13490</v>
      </c>
      <c r="CD588" s="12">
        <f>Forecasts!BE12</f>
        <v>1981</v>
      </c>
      <c r="CE588" s="12">
        <f>Forecasts!BF12</f>
        <v>2447</v>
      </c>
      <c r="CF588" s="12">
        <f>Forecasts!BG12</f>
        <v>2594</v>
      </c>
      <c r="CG588" s="12">
        <f>Forecasts!BH12</f>
        <v>2074</v>
      </c>
      <c r="CH588" s="12">
        <f>Forecasts!BI12</f>
        <v>9096</v>
      </c>
      <c r="CI588" s="12">
        <f>Forecasts!BJ12</f>
        <v>1582</v>
      </c>
      <c r="CJ588" s="12">
        <f>Forecasts!BK12</f>
        <v>1503</v>
      </c>
      <c r="CK588" s="12">
        <f>Forecasts!BL12</f>
        <v>1850</v>
      </c>
      <c r="CL588" s="12">
        <f>Forecasts!BM12</f>
        <v>3758</v>
      </c>
      <c r="CM588" s="12">
        <f>Forecasts!BN12</f>
        <v>8693</v>
      </c>
      <c r="CN588" s="12">
        <f>Forecasts!BO12</f>
        <v>1384</v>
      </c>
      <c r="CO588" s="12">
        <f>Forecasts!BP12</f>
        <v>2177</v>
      </c>
      <c r="CP588" s="12">
        <f>Forecasts!BQ12</f>
        <v>2555</v>
      </c>
      <c r="CQ588" s="12">
        <f>Forecasts!BR12</f>
        <v>4216</v>
      </c>
      <c r="CR588" s="12">
        <f>Forecasts!BS12</f>
        <v>10332</v>
      </c>
      <c r="CS588" s="12">
        <f>Forecasts!BT12</f>
        <v>2297</v>
      </c>
      <c r="CT588" s="12">
        <f>Forecasts!BU12</f>
        <v>3257</v>
      </c>
      <c r="CU588" s="12">
        <f>Forecasts!BV12</f>
        <v>3108</v>
      </c>
      <c r="CV588" s="12">
        <f>Forecasts!BW12</f>
        <v>5839</v>
      </c>
      <c r="CW588" s="12">
        <f>Forecasts!BX12</f>
        <v>14501</v>
      </c>
      <c r="CX588" s="12">
        <f>Forecasts!BY12</f>
        <v>1820</v>
      </c>
      <c r="CY588" s="12">
        <f>Forecasts!BZ12</f>
        <v>2726</v>
      </c>
      <c r="CZ588" s="12">
        <f>Forecasts!CA12</f>
        <v>2371</v>
      </c>
      <c r="DA588" s="12">
        <f>Forecasts!CB12</f>
        <v>2996</v>
      </c>
      <c r="DB588" s="12">
        <f>Forecasts!CC12</f>
        <v>9913</v>
      </c>
      <c r="DC588" s="12">
        <f>Forecasts!CD12</f>
        <v>2483</v>
      </c>
      <c r="DD588" s="12">
        <f>Forecasts!CE12</f>
        <v>1324</v>
      </c>
      <c r="DE588" s="12">
        <f>Forecasts!CF12</f>
        <v>3003</v>
      </c>
      <c r="DF588" s="12">
        <f>Forecasts!CG12</f>
        <v>4242</v>
      </c>
      <c r="DG588" s="12">
        <f>Forecasts!CH12</f>
        <v>11052</v>
      </c>
      <c r="DH588" s="12">
        <f>Forecasts!CI12</f>
        <v>2521</v>
      </c>
      <c r="DI588" s="12">
        <f>Forecasts!CJ12</f>
        <v>3649</v>
      </c>
      <c r="DJ588" s="12">
        <f>Forecasts!CK12</f>
        <v>2316</v>
      </c>
      <c r="DK588" s="12">
        <f>Forecasts!CL12</f>
        <v>4242</v>
      </c>
      <c r="DL588" s="12">
        <f>Forecasts!CM12</f>
        <v>12728</v>
      </c>
      <c r="DM588" s="12">
        <f>Forecasts!CN12</f>
        <v>2821</v>
      </c>
      <c r="DN588" s="12">
        <f>Forecasts!CO12</f>
        <v>3359</v>
      </c>
      <c r="DO588" s="12">
        <f>Forecasts!CP12</f>
        <v>4027</v>
      </c>
      <c r="DP588" s="12">
        <f>Forecasts!CQ12</f>
        <v>5297</v>
      </c>
      <c r="DQ588" s="12">
        <f>Forecasts!CR12</f>
        <v>15504</v>
      </c>
      <c r="DR588" s="12">
        <f>Forecasts!CS12</f>
        <v>3010</v>
      </c>
      <c r="DS588" s="12">
        <f>Forecasts!CT12</f>
        <v>4518</v>
      </c>
      <c r="DT588" s="12">
        <f>Forecasts!CU12</f>
        <v>4107</v>
      </c>
      <c r="DU588" s="12">
        <f>Forecasts!CV12</f>
        <v>4061</v>
      </c>
      <c r="DV588" s="12">
        <f>Forecasts!CW12</f>
        <v>15696</v>
      </c>
      <c r="DW588" s="12">
        <f>Forecasts!CX12</f>
        <v>3694</v>
      </c>
      <c r="DX588" s="12">
        <f>Forecasts!CY12</f>
        <v>4216</v>
      </c>
      <c r="DY588" s="12">
        <f>Forecasts!CZ12</f>
        <v>5553</v>
      </c>
      <c r="DZ588" s="12">
        <f>Forecasts!DA12</f>
        <v>7230</v>
      </c>
      <c r="EA588" s="12">
        <f>Forecasts!DB12</f>
        <v>20693</v>
      </c>
      <c r="EB588" s="417"/>
    </row>
    <row r="589" spans="1:132" s="7" customFormat="1">
      <c r="A589" s="11" t="s">
        <v>915</v>
      </c>
      <c r="B589" s="419"/>
      <c r="C589" s="419"/>
      <c r="D589" s="419"/>
      <c r="E589" s="419"/>
      <c r="F589" s="419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>
        <f>Forecasts!B13/1000</f>
        <v>311.27204301075267</v>
      </c>
      <c r="AB589" s="12">
        <f>Forecasts!C13/1000</f>
        <v>311.27204301075267</v>
      </c>
      <c r="AC589" s="12">
        <f>Forecasts!D13/1000</f>
        <v>311.27204301075267</v>
      </c>
      <c r="AD589" s="12">
        <f>Forecasts!E13/1000</f>
        <v>367.96129032258079</v>
      </c>
      <c r="AE589" s="12">
        <f>Forecasts!F13/1000</f>
        <v>325.44435483870973</v>
      </c>
      <c r="AF589" s="12">
        <f>Forecasts!G13/1000</f>
        <v>305.09892086330933</v>
      </c>
      <c r="AG589" s="12">
        <f>Forecasts!H13/1000</f>
        <v>405.13675213675214</v>
      </c>
      <c r="AH589" s="12">
        <f>Forecasts!I13/1000</f>
        <v>418.25570776255705</v>
      </c>
      <c r="AI589" s="12">
        <f>Forecasts!J13/1000</f>
        <v>333.24172185430461</v>
      </c>
      <c r="AJ589" s="12">
        <f>Forecasts!K13/1000</f>
        <v>363.66531065088759</v>
      </c>
      <c r="AK589" s="12">
        <f>Forecasts!L13/1000</f>
        <v>329.27272727272725</v>
      </c>
      <c r="AL589" s="12">
        <f>Forecasts!M13/1000</f>
        <v>363.87182587666263</v>
      </c>
      <c r="AM589" s="12">
        <f>Forecasts!N13/1000</f>
        <v>419.92178217821782</v>
      </c>
      <c r="AN589" s="12">
        <f>Forecasts!O13/1000</f>
        <v>686.67722772277227</v>
      </c>
      <c r="AO589" s="12">
        <f>Forecasts!P13/1000</f>
        <v>448.71063730084347</v>
      </c>
      <c r="AP589" s="12">
        <f>Forecasts!Q13/1000</f>
        <v>365.0582159624413</v>
      </c>
      <c r="AQ589" s="12">
        <f>Forecasts!R13/1000</f>
        <v>355.92099898063202</v>
      </c>
      <c r="AR589" s="12">
        <f>Forecasts!S13/1000</f>
        <v>347.62495894909682</v>
      </c>
      <c r="AS589" s="12">
        <f>Forecasts!T13/1000</f>
        <v>328.1606777680397</v>
      </c>
      <c r="AT589" s="12">
        <f>Forecasts!U13/1000</f>
        <v>340.00696702275894</v>
      </c>
      <c r="AU589" s="12">
        <f>Forecasts!V13/1000</f>
        <v>279.12231361103738</v>
      </c>
      <c r="AV589" s="12">
        <f>Forecasts!W13/1000</f>
        <v>305.41353265145557</v>
      </c>
      <c r="AW589" s="12">
        <f>Forecasts!X13/1000</f>
        <v>235.57363473589973</v>
      </c>
      <c r="AX589" s="12">
        <f>Forecasts!Y13/1000</f>
        <v>247.94875164257556</v>
      </c>
      <c r="AY589" s="12">
        <f>Forecasts!Z13/1000</f>
        <v>273.27555555555557</v>
      </c>
      <c r="AZ589" s="12">
        <f>Forecasts!AA13/1000</f>
        <v>284.14043035107585</v>
      </c>
      <c r="BA589" s="12">
        <f>Forecasts!AB13/1000</f>
        <v>254.33979406420352</v>
      </c>
      <c r="BB589" s="12">
        <f>Forecasts!AC13/1000</f>
        <v>255.70978363123237</v>
      </c>
      <c r="BC589" s="12">
        <f>Forecasts!AD13/1000</f>
        <v>180.47326968973746</v>
      </c>
      <c r="BD589" s="12">
        <f>Forecasts!AE13/1000</f>
        <v>218.23317788141239</v>
      </c>
      <c r="BE589" s="12">
        <f>Forecasts!AF13/1000</f>
        <v>227.67613757744073</v>
      </c>
      <c r="BF589" s="12">
        <f>Forecasts!AG13/1000</f>
        <v>257.33656417112297</v>
      </c>
      <c r="BG589" s="12">
        <f>Forecasts!AH13/1000</f>
        <v>160.76654123549702</v>
      </c>
      <c r="BH589" s="12">
        <f>Forecasts!AI13/1000</f>
        <v>290.70979180965452</v>
      </c>
      <c r="BI589" s="12">
        <f>Forecasts!AJ13/1000</f>
        <v>239.37979445414001</v>
      </c>
      <c r="BJ589" s="12">
        <f>Forecasts!AK13/1000</f>
        <v>252.71945357955983</v>
      </c>
      <c r="BK589" s="12">
        <f>Forecasts!AL13/1000</f>
        <v>298.81762809029021</v>
      </c>
      <c r="BL589" s="12">
        <f>Forecasts!AM13/1000</f>
        <v>391.72749391727496</v>
      </c>
      <c r="BM589" s="12">
        <f>Forecasts!AN13/1000</f>
        <v>294.98452012383899</v>
      </c>
      <c r="BN589" s="12">
        <f>Forecasts!AO13/1000</f>
        <v>304.94157398282414</v>
      </c>
      <c r="BO589" s="12">
        <f>Forecasts!AP13/1000</f>
        <v>346.98521046643913</v>
      </c>
      <c r="BP589" s="12">
        <f>Forecasts!AQ13/1000</f>
        <v>313.55285134812692</v>
      </c>
      <c r="BQ589" s="12">
        <f>Forecasts!AR13/1000</f>
        <v>320.93235831809869</v>
      </c>
      <c r="BR589" s="12">
        <f>Forecasts!AS13/1000</f>
        <v>332.87157287157288</v>
      </c>
      <c r="BS589" s="12">
        <f>Forecasts!AT13/1000</f>
        <v>327.06405480110561</v>
      </c>
      <c r="BT589" s="12">
        <f>Forecasts!AU13/1000</f>
        <v>289.47895791583164</v>
      </c>
      <c r="BU589" s="12">
        <f>Forecasts!AV13/1000</f>
        <v>394.19038730751282</v>
      </c>
      <c r="BV589" s="12">
        <f>Forecasts!AW13/1000</f>
        <v>411.30592503022973</v>
      </c>
      <c r="BW589" s="12">
        <f>Forecasts!AX13/1000</f>
        <v>329.20692798541478</v>
      </c>
      <c r="BX589" s="12">
        <f>Forecasts!AY13/1000</f>
        <v>352.14105793450881</v>
      </c>
      <c r="BY589" s="12">
        <f>Forecasts!AZ13/1000</f>
        <v>528.22525597269623</v>
      </c>
      <c r="BZ589" s="12">
        <f>Forecasts!BA13/1000</f>
        <v>378.11184606133486</v>
      </c>
      <c r="CA589" s="12">
        <f>Forecasts!BB13/1000</f>
        <v>379.93106089620835</v>
      </c>
      <c r="CB589" s="12">
        <f>Forecasts!BC13/1000</f>
        <v>385.24767467012765</v>
      </c>
      <c r="CC589" s="12">
        <f>Forecasts!BD13/1000</f>
        <v>413.51371386212008</v>
      </c>
      <c r="CD589" s="12">
        <f>Forecasts!BE13/1000</f>
        <v>364.778899545684</v>
      </c>
      <c r="CE589" s="12">
        <f>Forecasts!BF13/1000</f>
        <v>332.51205557825909</v>
      </c>
      <c r="CF589" s="12">
        <f>Forecasts!BG13/1000</f>
        <v>389.0805705474171</v>
      </c>
      <c r="CG589" s="12">
        <f>Forecasts!BH13/1000</f>
        <v>406.95612343297972</v>
      </c>
      <c r="CH589" s="12">
        <f>Forecasts!BI13/1000</f>
        <v>372.6457783641161</v>
      </c>
      <c r="CI589" s="12">
        <f>Forecasts!BJ13/1000</f>
        <v>343.59355246523387</v>
      </c>
      <c r="CJ589" s="12">
        <f>Forecasts!BK13/1000</f>
        <v>371.50964737192282</v>
      </c>
      <c r="CK589" s="12">
        <f>Forecasts!BL13/1000</f>
        <v>309.91891891891885</v>
      </c>
      <c r="CL589" s="12">
        <f>Forecasts!BM13/1000</f>
        <v>290.11921234699309</v>
      </c>
      <c r="CM589" s="12">
        <f>Forecasts!BN13/1000</f>
        <v>318.13666168181294</v>
      </c>
      <c r="CN589" s="12">
        <f>Forecasts!BO13/1000</f>
        <v>375.72254335260118</v>
      </c>
      <c r="CO589" s="12">
        <f>Forecasts!BP13/1000</f>
        <v>347.26688102893888</v>
      </c>
      <c r="CP589" s="12">
        <f>Forecasts!BQ13/1000</f>
        <v>285.56947162426616</v>
      </c>
      <c r="CQ589" s="12">
        <f>Forecasts!BR13/1000</f>
        <v>297.27016129032256</v>
      </c>
      <c r="CR589" s="12">
        <f>Forecasts!BS13/1000</f>
        <v>315.42015098722413</v>
      </c>
      <c r="CS589" s="12">
        <f>Forecasts!BT13/1000</f>
        <v>266.90988245537659</v>
      </c>
      <c r="CT589" s="12">
        <f>Forecasts!BU13/1000</f>
        <v>325.7399447344182</v>
      </c>
      <c r="CU589" s="12">
        <f>Forecasts!BV13/1000</f>
        <v>303.4105534105534</v>
      </c>
      <c r="CV589" s="12">
        <f>Forecasts!BW13/1000</f>
        <v>417.73929190922757</v>
      </c>
      <c r="CW589" s="12">
        <f>Forecasts!BX13/1000</f>
        <v>348.67986521329419</v>
      </c>
      <c r="CX589" s="12">
        <f>Forecasts!BY13/1000</f>
        <v>424.74234426823102</v>
      </c>
      <c r="CY589" s="12">
        <f>Forecasts!BZ13/1000</f>
        <v>478.89616172052212</v>
      </c>
      <c r="CZ589" s="12">
        <f>Forecasts!CA13/1000</f>
        <v>473.79431899249545</v>
      </c>
      <c r="DA589" s="12">
        <f>Forecasts!CB13/1000</f>
        <v>463.09916875727947</v>
      </c>
      <c r="DB589" s="12">
        <f>Forecasts!CC13/1000</f>
        <v>462.95908840374659</v>
      </c>
      <c r="DC589" s="12">
        <f>Forecasts!CD13/1000</f>
        <v>340.79298568097823</v>
      </c>
      <c r="DD589" s="12">
        <f>Forecasts!CE13/1000</f>
        <v>386.99251431600999</v>
      </c>
      <c r="DE589" s="12">
        <f>Forecasts!CF13/1000</f>
        <v>569.97239512263138</v>
      </c>
      <c r="DF589" s="12">
        <f>Forecasts!CG13/1000</f>
        <v>438.51833255588144</v>
      </c>
      <c r="DG589" s="12">
        <f>Forecasts!CH13/1000</f>
        <v>446.10830090984228</v>
      </c>
      <c r="DH589" s="12">
        <f>Forecasts!CI13/1000</f>
        <v>408.92974791240556</v>
      </c>
      <c r="DI589" s="12">
        <f>Forecasts!CJ13/1000</f>
        <v>427.50200586891549</v>
      </c>
      <c r="DJ589" s="12">
        <f>Forecasts!CK13/1000</f>
        <v>589.6388947032442</v>
      </c>
      <c r="DK589" s="12">
        <f>Forecasts!CL13/1000</f>
        <v>371.17281906926706</v>
      </c>
      <c r="DL589" s="12">
        <f>Forecasts!CM13/1000</f>
        <v>434.55259997858201</v>
      </c>
      <c r="DM589" s="12">
        <f>Forecasts!CN13/1000</f>
        <v>465.25605834033729</v>
      </c>
      <c r="DN589" s="12">
        <f>Forecasts!CO13/1000</f>
        <v>482.89397759914215</v>
      </c>
      <c r="DO589" s="12">
        <f>Forecasts!CP13/1000</f>
        <v>567.59809692688907</v>
      </c>
      <c r="DP589" s="12">
        <f>Forecasts!CQ13/1000</f>
        <v>508.01139124700006</v>
      </c>
      <c r="DQ589" s="12">
        <f>Forecasts!CR13/1000</f>
        <v>510.26716248023422</v>
      </c>
      <c r="DR589" s="12">
        <f>Forecasts!CS13/1000</f>
        <v>513.14001964751617</v>
      </c>
      <c r="DS589" s="12">
        <f>Forecasts!CT13/1000</f>
        <v>551.40182808982513</v>
      </c>
      <c r="DT589" s="12">
        <f>Forecasts!CU13/1000</f>
        <v>551.05648345808982</v>
      </c>
      <c r="DU589" s="12">
        <f>Forecasts!CV13/1000</f>
        <v>638.49684744284662</v>
      </c>
      <c r="DV589" s="12">
        <f>Forecasts!CW13/1000</f>
        <v>566.50800162312862</v>
      </c>
      <c r="DW589" s="12">
        <f>Forecasts!CX13/1000</f>
        <v>581.24779165192206</v>
      </c>
      <c r="DX589" s="12">
        <f>Forecasts!CY13/1000</f>
        <v>562.50111925067347</v>
      </c>
      <c r="DY589" s="12">
        <f>Forecasts!CZ13/1000</f>
        <v>576.36897059117575</v>
      </c>
      <c r="DZ589" s="12">
        <f>Forecasts!DA13/1000</f>
        <v>678.41695946857146</v>
      </c>
      <c r="EA589" s="12">
        <f>Forecasts!DB13/1000</f>
        <v>610.06937475347274</v>
      </c>
      <c r="EB589" s="417"/>
    </row>
    <row r="590" spans="1:132" s="7" customFormat="1">
      <c r="A590" s="11" t="s">
        <v>914</v>
      </c>
      <c r="B590" s="419"/>
      <c r="C590" s="419"/>
      <c r="D590" s="419"/>
      <c r="E590" s="419"/>
      <c r="F590" s="419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>
        <f>Forecasts!B52/1000</f>
        <v>0</v>
      </c>
      <c r="AB590" s="12">
        <f>Forecasts!C52/1000</f>
        <v>0</v>
      </c>
      <c r="AC590" s="12">
        <f>Forecasts!D52/1000</f>
        <v>0</v>
      </c>
      <c r="AD590" s="12">
        <f>Forecasts!E52/1000</f>
        <v>0</v>
      </c>
      <c r="AE590" s="12">
        <f>Forecasts!F52/1000</f>
        <v>0</v>
      </c>
      <c r="AF590" s="12">
        <f>Forecasts!G52/1000</f>
        <v>0</v>
      </c>
      <c r="AG590" s="12">
        <f>Forecasts!H52/1000</f>
        <v>0</v>
      </c>
      <c r="AH590" s="12">
        <f>Forecasts!I52/1000</f>
        <v>0</v>
      </c>
      <c r="AI590" s="12">
        <f>Forecasts!J52/1000</f>
        <v>0</v>
      </c>
      <c r="AJ590" s="12">
        <f>Forecasts!K52/1000</f>
        <v>0</v>
      </c>
      <c r="AK590" s="12">
        <f>Forecasts!L52/1000</f>
        <v>0</v>
      </c>
      <c r="AL590" s="12">
        <f>Forecasts!M52/1000</f>
        <v>0</v>
      </c>
      <c r="AM590" s="12">
        <f>Forecasts!N52/1000</f>
        <v>0</v>
      </c>
      <c r="AN590" s="12">
        <f>Forecasts!O52/1000</f>
        <v>0</v>
      </c>
      <c r="AO590" s="12">
        <f>Forecasts!P52/1000</f>
        <v>0</v>
      </c>
      <c r="AP590" s="12">
        <f>Forecasts!Q52/1000</f>
        <v>0</v>
      </c>
      <c r="AQ590" s="12">
        <f>Forecasts!R52/1000</f>
        <v>0</v>
      </c>
      <c r="AR590" s="12">
        <f>Forecasts!S52/1000</f>
        <v>0</v>
      </c>
      <c r="AS590" s="12">
        <f>Forecasts!T52/1000</f>
        <v>0</v>
      </c>
      <c r="AT590" s="12">
        <f>Forecasts!U52/1000</f>
        <v>0</v>
      </c>
      <c r="AU590" s="12">
        <f>Forecasts!V52/1000</f>
        <v>0</v>
      </c>
      <c r="AV590" s="12">
        <f>Forecasts!W52/1000</f>
        <v>0</v>
      </c>
      <c r="AW590" s="12">
        <f>Forecasts!X52/1000</f>
        <v>0</v>
      </c>
      <c r="AX590" s="12">
        <f>Forecasts!Y52/1000</f>
        <v>0</v>
      </c>
      <c r="AY590" s="12">
        <f>Forecasts!Z52/1000</f>
        <v>0</v>
      </c>
      <c r="AZ590" s="12">
        <f>Forecasts!AA52/1000</f>
        <v>0</v>
      </c>
      <c r="BA590" s="12">
        <f>Forecasts!AB52/1000</f>
        <v>0</v>
      </c>
      <c r="BB590" s="12">
        <f>Forecasts!AC52/1000</f>
        <v>0</v>
      </c>
      <c r="BC590" s="12">
        <f>Forecasts!AD52/1000</f>
        <v>0</v>
      </c>
      <c r="BD590" s="12">
        <f>Forecasts!AE52/1000</f>
        <v>0</v>
      </c>
      <c r="BE590" s="12">
        <f>Forecasts!AF52/1000</f>
        <v>839.4</v>
      </c>
      <c r="BF590" s="12">
        <f>Forecasts!AG52/1000</f>
        <v>546</v>
      </c>
      <c r="BG590" s="12">
        <f>Forecasts!AH52/1000</f>
        <v>1181.279</v>
      </c>
      <c r="BH590" s="12">
        <f>Forecasts!AI52/1000</f>
        <v>1530.7</v>
      </c>
      <c r="BI590" s="12">
        <f>Forecasts!AJ52/1000</f>
        <v>4097.3789999999999</v>
      </c>
      <c r="BJ590" s="12">
        <f>Forecasts!AK52/1000</f>
        <v>1078.098</v>
      </c>
      <c r="BK590" s="12">
        <f>Forecasts!AL52/1000</f>
        <v>2504.5830000000001</v>
      </c>
      <c r="BL590" s="12">
        <f>Forecasts!AM52/1000</f>
        <v>1107.258</v>
      </c>
      <c r="BM590" s="12">
        <f>Forecasts!AN52/1000</f>
        <v>1404.1079999999999</v>
      </c>
      <c r="BN590" s="12">
        <f>Forecasts!AO52/1000</f>
        <v>6094.0469999999996</v>
      </c>
      <c r="BO590" s="12">
        <f>Forecasts!AP52/1000</f>
        <v>575.19399999999996</v>
      </c>
      <c r="BP590" s="12">
        <f>Forecasts!AQ52/1000</f>
        <v>1442.7</v>
      </c>
      <c r="BQ590" s="12">
        <f>Forecasts!AR52/1000</f>
        <v>2011.3</v>
      </c>
      <c r="BR590" s="12">
        <f>Forecasts!AS52/1000</f>
        <v>1806.74</v>
      </c>
      <c r="BS590" s="12">
        <f>Forecasts!AT52/1000</f>
        <v>5835.9340000000002</v>
      </c>
      <c r="BT590" s="12">
        <f>Forecasts!AU52/1000</f>
        <v>1032.5239999999999</v>
      </c>
      <c r="BU590" s="12">
        <f>Forecasts!AV52/1000</f>
        <v>1485.5609999999999</v>
      </c>
      <c r="BV590" s="12">
        <f>Forecasts!AW52/1000</f>
        <v>1535</v>
      </c>
      <c r="BW590" s="12">
        <f>Forecasts!AX52/1000</f>
        <v>1734</v>
      </c>
      <c r="BX590" s="12">
        <f>Forecasts!AY52/1000</f>
        <v>5787.085</v>
      </c>
      <c r="BY590" s="12">
        <f>Forecasts!AZ52/1000</f>
        <v>1540</v>
      </c>
      <c r="BZ590" s="12">
        <f>Forecasts!BA52/1000</f>
        <v>1847</v>
      </c>
      <c r="CA590" s="12">
        <f>Forecasts!BB52/1000</f>
        <v>1601</v>
      </c>
      <c r="CB590" s="12">
        <f>Forecasts!BC52/1000</f>
        <v>1810</v>
      </c>
      <c r="CC590" s="12">
        <f>Forecasts!BD52/1000</f>
        <v>6798</v>
      </c>
      <c r="CD590" s="12">
        <f>Forecasts!BE52/1000</f>
        <v>2468</v>
      </c>
      <c r="CE590" s="12">
        <f>Forecasts!BF52/1000</f>
        <v>1894</v>
      </c>
      <c r="CF590" s="12">
        <f>Forecasts!BG52/1000</f>
        <v>1379</v>
      </c>
      <c r="CG590" s="12">
        <f>Forecasts!BH52/1000</f>
        <v>1172</v>
      </c>
      <c r="CH590" s="12">
        <f>Forecasts!BI52/1000</f>
        <v>6913</v>
      </c>
      <c r="CI590" s="12">
        <f>Forecasts!BJ52/1000</f>
        <v>1985</v>
      </c>
      <c r="CJ590" s="12">
        <f>Forecasts!BK52/1000</f>
        <v>2132</v>
      </c>
      <c r="CK590" s="12">
        <f>Forecasts!BL52/1000</f>
        <v>1381</v>
      </c>
      <c r="CL590" s="12">
        <f>Forecasts!BM52/1000</f>
        <v>2396</v>
      </c>
      <c r="CM590" s="12">
        <f>Forecasts!BN52/1000</f>
        <v>7894</v>
      </c>
      <c r="CN590" s="12">
        <f>Forecasts!BO52/1000</f>
        <v>1055</v>
      </c>
      <c r="CO590" s="12">
        <f>Forecasts!BP52/1000</f>
        <v>1197</v>
      </c>
      <c r="CP590" s="12">
        <f>Forecasts!BQ52/1000</f>
        <v>1532</v>
      </c>
      <c r="CQ590" s="12">
        <f>Forecasts!BR52/1000</f>
        <v>1666</v>
      </c>
      <c r="CR590" s="12">
        <f>Forecasts!BS52/1000</f>
        <v>5450</v>
      </c>
      <c r="CS590" s="12">
        <f>Forecasts!BT52/1000</f>
        <v>1005</v>
      </c>
      <c r="CT590" s="12">
        <f>Forecasts!BU52/1000</f>
        <v>2145.0520000000001</v>
      </c>
      <c r="CU590" s="12">
        <f>Forecasts!BV52/1000</f>
        <v>641</v>
      </c>
      <c r="CV590" s="12">
        <f>Forecasts!BW52/1000</f>
        <v>486.26493359577398</v>
      </c>
      <c r="CW590" s="12">
        <f>Forecasts!BX52/1000</f>
        <v>4277.3169335957737</v>
      </c>
      <c r="CX590" s="12">
        <f>Forecasts!BY52/1000</f>
        <v>357</v>
      </c>
      <c r="CY590" s="12">
        <f>Forecasts!BZ52/1000</f>
        <v>2145</v>
      </c>
      <c r="CZ590" s="12">
        <f>Forecasts!CA52/1000</f>
        <v>1233</v>
      </c>
      <c r="DA590" s="12">
        <f>Forecasts!CB52/1000</f>
        <v>1480</v>
      </c>
      <c r="DB590" s="12">
        <f>Forecasts!CC52/1000</f>
        <v>5215</v>
      </c>
      <c r="DC590" s="12">
        <f>Forecasts!CD52/1000</f>
        <v>231.29826044869569</v>
      </c>
      <c r="DD590" s="12">
        <f>Forecasts!CE52/1000</f>
        <v>112.54768895114069</v>
      </c>
      <c r="DE590" s="12">
        <f>Forecasts!CF52/1000</f>
        <v>461.89380803745757</v>
      </c>
      <c r="DF590" s="12">
        <f>Forecasts!CG52/1000</f>
        <v>690.43425286325191</v>
      </c>
      <c r="DG590" s="12">
        <f>Forecasts!CH52/1000</f>
        <v>1496.1740103005459</v>
      </c>
      <c r="DH590" s="12">
        <f>Forecasts!CI52/1000</f>
        <v>399.68529304000003</v>
      </c>
      <c r="DI590" s="12">
        <f>Forecasts!CJ52/1000</f>
        <v>392</v>
      </c>
      <c r="DJ590" s="12">
        <f>Forecasts!CK52/1000</f>
        <v>642</v>
      </c>
      <c r="DK590" s="12">
        <f>Forecasts!CL52/1000</f>
        <v>781</v>
      </c>
      <c r="DL590" s="12">
        <f>Forecasts!CM52/1000</f>
        <v>2214.68529304</v>
      </c>
      <c r="DM590" s="12">
        <f>Forecasts!CN52/1000</f>
        <v>779</v>
      </c>
      <c r="DN590" s="12">
        <f>Forecasts!CO52/1000</f>
        <v>833</v>
      </c>
      <c r="DO590" s="12">
        <f>Forecasts!CP52/1000</f>
        <v>1628</v>
      </c>
      <c r="DP590" s="12">
        <f>Forecasts!CQ52/1000</f>
        <v>1043</v>
      </c>
      <c r="DQ590" s="12">
        <f>Forecasts!CR52/1000</f>
        <v>4283</v>
      </c>
      <c r="DR590" s="12">
        <f>Forecasts!CS52/1000</f>
        <v>1097.8491915213224</v>
      </c>
      <c r="DS590" s="12">
        <f>Forecasts!CT52/1000</f>
        <v>1259.0967275895164</v>
      </c>
      <c r="DT590" s="12">
        <f>Forecasts!CU52/1000</f>
        <v>1544.7030942129657</v>
      </c>
      <c r="DU590" s="12">
        <f>Forecasts!CV52/1000</f>
        <v>2093.0513654425986</v>
      </c>
      <c r="DV590" s="12">
        <f>Forecasts!CW52/1000</f>
        <v>5994.7003787664025</v>
      </c>
      <c r="DW590" s="12">
        <f>Forecasts!CX52/1000</f>
        <v>675.61514168482313</v>
      </c>
      <c r="DX590" s="12">
        <f>Forecasts!CY52/1000</f>
        <v>1132.1780263073549</v>
      </c>
      <c r="DY590" s="12">
        <f>Forecasts!CZ52/1000</f>
        <v>1123.3390148493131</v>
      </c>
      <c r="DZ590" s="12">
        <f>Forecasts!DA52/1000</f>
        <v>2340.0162825303087</v>
      </c>
      <c r="EA590" s="12">
        <f>Forecasts!DB52/1000</f>
        <v>5271.1484653717998</v>
      </c>
      <c r="EB590" s="417"/>
    </row>
    <row r="591" spans="1:132" s="7" customFormat="1">
      <c r="A591" s="11" t="s">
        <v>913</v>
      </c>
      <c r="B591" s="419"/>
      <c r="C591" s="419"/>
      <c r="D591" s="419"/>
      <c r="E591" s="419"/>
      <c r="F591" s="419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>
        <f>Forecasts!B53</f>
        <v>0</v>
      </c>
      <c r="AB591" s="12">
        <f>Forecasts!C53</f>
        <v>0</v>
      </c>
      <c r="AC591" s="12">
        <f>Forecasts!D53</f>
        <v>0</v>
      </c>
      <c r="AD591" s="12">
        <f>Forecasts!E53</f>
        <v>0</v>
      </c>
      <c r="AE591" s="12">
        <f>Forecasts!F53</f>
        <v>0</v>
      </c>
      <c r="AF591" s="12">
        <f>Forecasts!G53</f>
        <v>0</v>
      </c>
      <c r="AG591" s="12">
        <f>Forecasts!H53</f>
        <v>0</v>
      </c>
      <c r="AH591" s="12">
        <f>Forecasts!I53</f>
        <v>0</v>
      </c>
      <c r="AI591" s="12">
        <f>Forecasts!J53</f>
        <v>0</v>
      </c>
      <c r="AJ591" s="12">
        <f>Forecasts!K53</f>
        <v>0</v>
      </c>
      <c r="AK591" s="12">
        <f>Forecasts!L53</f>
        <v>0</v>
      </c>
      <c r="AL591" s="12">
        <f>Forecasts!M53</f>
        <v>0</v>
      </c>
      <c r="AM591" s="12">
        <f>Forecasts!N53</f>
        <v>0</v>
      </c>
      <c r="AN591" s="12">
        <f>Forecasts!O53</f>
        <v>0</v>
      </c>
      <c r="AO591" s="12">
        <f>Forecasts!P53</f>
        <v>0</v>
      </c>
      <c r="AP591" s="12">
        <f>Forecasts!Q53</f>
        <v>0.11630413721641407</v>
      </c>
      <c r="AQ591" s="12">
        <f>Forecasts!R53</f>
        <v>0.19407507662723891</v>
      </c>
      <c r="AR591" s="12">
        <f>Forecasts!S53</f>
        <v>0.23653672130386783</v>
      </c>
      <c r="AS591" s="12">
        <f>Forecasts!T53</f>
        <v>0.31843371652231411</v>
      </c>
      <c r="AT591" s="12">
        <f>Forecasts!U53</f>
        <v>0</v>
      </c>
      <c r="AU591" s="12">
        <f>Forecasts!V53</f>
        <v>0</v>
      </c>
      <c r="AV591" s="12">
        <f>Forecasts!W53</f>
        <v>0</v>
      </c>
      <c r="AW591" s="12">
        <f>Forecasts!X53</f>
        <v>0</v>
      </c>
      <c r="AX591" s="12">
        <f>Forecasts!Y53</f>
        <v>0</v>
      </c>
      <c r="AY591" s="12">
        <f>Forecasts!Z53</f>
        <v>0</v>
      </c>
      <c r="AZ591" s="12">
        <f>Forecasts!AA53</f>
        <v>1266</v>
      </c>
      <c r="BA591" s="12">
        <f>Forecasts!AB53</f>
        <v>1550</v>
      </c>
      <c r="BB591" s="12">
        <f>Forecasts!AC53</f>
        <v>1100</v>
      </c>
      <c r="BC591" s="12">
        <f>Forecasts!AD53</f>
        <v>3594</v>
      </c>
      <c r="BD591" s="12">
        <f>Forecasts!AE53</f>
        <v>7510</v>
      </c>
      <c r="BE591" s="12">
        <f>Forecasts!AF53</f>
        <v>3166</v>
      </c>
      <c r="BF591" s="12">
        <f>Forecasts!AG53</f>
        <v>2155</v>
      </c>
      <c r="BG591" s="12">
        <f>Forecasts!AH53</f>
        <v>3814</v>
      </c>
      <c r="BH591" s="12">
        <f>Forecasts!AI53</f>
        <v>6265</v>
      </c>
      <c r="BI591" s="12">
        <f>Forecasts!AJ53</f>
        <v>15400</v>
      </c>
      <c r="BJ591" s="12">
        <f>Forecasts!AK53</f>
        <v>3862</v>
      </c>
      <c r="BK591" s="12">
        <f>Forecasts!AL53</f>
        <v>10392</v>
      </c>
      <c r="BL591" s="12">
        <f>Forecasts!AM53</f>
        <v>3615</v>
      </c>
      <c r="BM591" s="12">
        <f>Forecasts!AN53</f>
        <v>5925</v>
      </c>
      <c r="BN591" s="12">
        <f>Forecasts!AO53</f>
        <v>23794</v>
      </c>
      <c r="BO591" s="12">
        <f>Forecasts!AP53</f>
        <v>4329</v>
      </c>
      <c r="BP591" s="12">
        <f>Forecasts!AQ53</f>
        <v>5675</v>
      </c>
      <c r="BQ591" s="12">
        <f>Forecasts!AR53</f>
        <v>9238</v>
      </c>
      <c r="BR591" s="12">
        <f>Forecasts!AS53</f>
        <v>4850</v>
      </c>
      <c r="BS591" s="12">
        <f>Forecasts!AT53</f>
        <v>24092</v>
      </c>
      <c r="BT591" s="12">
        <f>Forecasts!AU53</f>
        <v>5186</v>
      </c>
      <c r="BU591" s="12">
        <f>Forecasts!AV53</f>
        <v>5179</v>
      </c>
      <c r="BV591" s="12">
        <f>Forecasts!AW53</f>
        <v>6506</v>
      </c>
      <c r="BW591" s="12">
        <f>Forecasts!AX53</f>
        <v>8175</v>
      </c>
      <c r="BX591" s="12">
        <f>Forecasts!AY53</f>
        <v>25046</v>
      </c>
      <c r="BY591" s="12">
        <f>Forecasts!AZ53</f>
        <v>4814</v>
      </c>
      <c r="BZ591" s="12">
        <f>Forecasts!BA53</f>
        <v>5432</v>
      </c>
      <c r="CA591" s="12">
        <f>Forecasts!BB53</f>
        <v>5106</v>
      </c>
      <c r="CB591" s="12">
        <f>Forecasts!BC53</f>
        <v>5452</v>
      </c>
      <c r="CC591" s="12">
        <f>Forecasts!BD53</f>
        <v>20804</v>
      </c>
      <c r="CD591" s="12">
        <f>Forecasts!BE53</f>
        <v>5452</v>
      </c>
      <c r="CE591" s="12">
        <f>Forecasts!BF53</f>
        <v>5864</v>
      </c>
      <c r="CF591" s="12">
        <f>Forecasts!BG53</f>
        <v>6755</v>
      </c>
      <c r="CG591" s="12">
        <f>Forecasts!BH53</f>
        <v>4389</v>
      </c>
      <c r="CH591" s="12">
        <f>Forecasts!BI53</f>
        <v>22460</v>
      </c>
      <c r="CI591" s="12">
        <f>Forecasts!BJ53</f>
        <v>4433</v>
      </c>
      <c r="CJ591" s="12">
        <f>Forecasts!BK53</f>
        <v>5764</v>
      </c>
      <c r="CK591" s="12">
        <f>Forecasts!BL53</f>
        <v>3751</v>
      </c>
      <c r="CL591" s="12">
        <f>Forecasts!BM53</f>
        <v>7333</v>
      </c>
      <c r="CM591" s="12">
        <f>Forecasts!BN53</f>
        <v>21281</v>
      </c>
      <c r="CN591" s="12">
        <f>Forecasts!BO53</f>
        <v>4440</v>
      </c>
      <c r="CO591" s="12">
        <f>Forecasts!BP53</f>
        <v>4119</v>
      </c>
      <c r="CP591" s="12">
        <f>Forecasts!BQ53</f>
        <v>4495</v>
      </c>
      <c r="CQ591" s="12">
        <f>Forecasts!BR53</f>
        <v>6419</v>
      </c>
      <c r="CR591" s="12">
        <f>Forecasts!BS53</f>
        <v>19473</v>
      </c>
      <c r="CS591" s="12">
        <f>Forecasts!BT53</f>
        <v>3207</v>
      </c>
      <c r="CT591" s="12">
        <f>Forecasts!BU53</f>
        <v>5075</v>
      </c>
      <c r="CU591" s="12">
        <f>Forecasts!BV53</f>
        <v>3536</v>
      </c>
      <c r="CV591" s="12">
        <f>Forecasts!BW53</f>
        <v>2490</v>
      </c>
      <c r="CW591" s="12">
        <f>Forecasts!BX53</f>
        <v>14308</v>
      </c>
      <c r="CX591" s="12">
        <f>Forecasts!BY53</f>
        <v>1445</v>
      </c>
      <c r="CY591" s="12">
        <f>Forecasts!BZ53</f>
        <v>3015</v>
      </c>
      <c r="CZ591" s="12">
        <f>Forecasts!CA53</f>
        <v>4632</v>
      </c>
      <c r="DA591" s="12">
        <f>Forecasts!CB53</f>
        <v>4089</v>
      </c>
      <c r="DB591" s="12">
        <f>Forecasts!CC53</f>
        <v>13181</v>
      </c>
      <c r="DC591" s="12">
        <f>Forecasts!CD53</f>
        <v>847</v>
      </c>
      <c r="DD591" s="12">
        <f>Forecasts!CE53</f>
        <v>142</v>
      </c>
      <c r="DE591" s="12">
        <f>Forecasts!CF53</f>
        <v>958</v>
      </c>
      <c r="DF591" s="12">
        <f>Forecasts!CG53</f>
        <v>370</v>
      </c>
      <c r="DG591" s="12">
        <f>Forecasts!CH53</f>
        <v>2317</v>
      </c>
      <c r="DH591" s="12">
        <f>Forecasts!CI53</f>
        <v>408</v>
      </c>
      <c r="DI591" s="12">
        <f>Forecasts!CJ53</f>
        <v>1317</v>
      </c>
      <c r="DJ591" s="12">
        <f>Forecasts!CK53</f>
        <v>925</v>
      </c>
      <c r="DK591" s="12">
        <f>Forecasts!CL53</f>
        <v>2194</v>
      </c>
      <c r="DL591" s="12">
        <f>Forecasts!CM53</f>
        <v>4844</v>
      </c>
      <c r="DM591" s="12">
        <f>Forecasts!CN53</f>
        <v>902</v>
      </c>
      <c r="DN591" s="12">
        <f>Forecasts!CO53</f>
        <v>2744</v>
      </c>
      <c r="DO591" s="12">
        <f>Forecasts!CP53</f>
        <v>4289</v>
      </c>
      <c r="DP591" s="12">
        <f>Forecasts!CQ53</f>
        <v>3163</v>
      </c>
      <c r="DQ591" s="12">
        <f>Forecasts!CR53</f>
        <v>11098</v>
      </c>
      <c r="DR591" s="12">
        <f>Forecasts!CS53</f>
        <v>2714</v>
      </c>
      <c r="DS591" s="12">
        <f>Forecasts!CT53</f>
        <v>3388</v>
      </c>
      <c r="DT591" s="12">
        <f>Forecasts!CU53</f>
        <v>4477</v>
      </c>
      <c r="DU591" s="12">
        <f>Forecasts!CV53</f>
        <v>4942</v>
      </c>
      <c r="DV591" s="12">
        <f>Forecasts!CW53</f>
        <v>15521</v>
      </c>
      <c r="DW591" s="12">
        <f>Forecasts!CX53</f>
        <v>1452</v>
      </c>
      <c r="DX591" s="12">
        <f>Forecasts!CY53</f>
        <v>2855</v>
      </c>
      <c r="DY591" s="12">
        <f>Forecasts!CZ53</f>
        <v>1805</v>
      </c>
      <c r="DZ591" s="12">
        <f>Forecasts!DA53</f>
        <v>3875</v>
      </c>
      <c r="EA591" s="12">
        <f>Forecasts!DB53</f>
        <v>9987</v>
      </c>
      <c r="EB591" s="417"/>
    </row>
    <row r="592" spans="1:132" s="7" customFormat="1">
      <c r="A592" s="11" t="s">
        <v>912</v>
      </c>
      <c r="B592" s="419"/>
      <c r="C592" s="419"/>
      <c r="D592" s="419"/>
      <c r="E592" s="419"/>
      <c r="F592" s="419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>
        <f>'Balance Sheet'!B151/1000</f>
        <v>331.68099999999998</v>
      </c>
      <c r="AB592" s="12">
        <f>'Balance Sheet'!C151/1000</f>
        <v>342.53</v>
      </c>
      <c r="AC592" s="12">
        <f>'Balance Sheet'!D151/1000</f>
        <v>353.44499999999999</v>
      </c>
      <c r="AD592" s="12">
        <f>'Balance Sheet'!E151/1000</f>
        <v>481.55099999999999</v>
      </c>
      <c r="AE592" s="12">
        <f>'Balance Sheet'!F151/1000</f>
        <v>481.55099999999999</v>
      </c>
      <c r="AF592" s="12">
        <f>'Balance Sheet'!G151/1000</f>
        <v>119.83499999999999</v>
      </c>
      <c r="AG592" s="12">
        <f>'Balance Sheet'!H151/1000</f>
        <v>485.35</v>
      </c>
      <c r="AH592" s="12">
        <f>'Balance Sheet'!I151/1000</f>
        <v>1023.659</v>
      </c>
      <c r="AI592" s="12">
        <f>'Balance Sheet'!J151/1000</f>
        <v>1061.1769999999999</v>
      </c>
      <c r="AJ592" s="12">
        <f>'Balance Sheet'!K151/1000</f>
        <v>1061.1769999999999</v>
      </c>
      <c r="AK592" s="12">
        <f>'Balance Sheet'!L151/1000</f>
        <v>1118.854</v>
      </c>
      <c r="AL592" s="12">
        <f>'Balance Sheet'!M151/1000</f>
        <v>1213.528</v>
      </c>
      <c r="AM592" s="12">
        <f>'Balance Sheet'!N151/1000</f>
        <v>1955.5229999999999</v>
      </c>
      <c r="AN592" s="12">
        <f>'Balance Sheet'!O151/1000</f>
        <v>1975.317</v>
      </c>
      <c r="AO592" s="12">
        <f>'Balance Sheet'!P151/1000</f>
        <v>1975.317</v>
      </c>
      <c r="AP592" s="12">
        <f>'Balance Sheet'!Q151/1000</f>
        <v>1924.7772006123791</v>
      </c>
      <c r="AQ592" s="12">
        <f>'Balance Sheet'!R151/1000</f>
        <v>1874.4753758866711</v>
      </c>
      <c r="AR592" s="12">
        <f>'Balance Sheet'!S151/1000</f>
        <v>1854.7937883003522</v>
      </c>
      <c r="AS592" s="12">
        <f>'Balance Sheet'!T151/1000</f>
        <v>1901.7170536410586</v>
      </c>
      <c r="AT592" s="12">
        <f>'Balance Sheet'!U151/1000</f>
        <v>1901.7170536410586</v>
      </c>
      <c r="AU592" s="12">
        <f>'Balance Sheet'!V151/1000</f>
        <v>1954.856</v>
      </c>
      <c r="AV592" s="12">
        <f>'Balance Sheet'!W151/1000</f>
        <v>2078.9899999999998</v>
      </c>
      <c r="AW592" s="12">
        <f>'Balance Sheet'!X151/1000</f>
        <v>2149.1709999999998</v>
      </c>
      <c r="AX592" s="12">
        <f>'Balance Sheet'!Y151/1000</f>
        <v>1924.923</v>
      </c>
      <c r="AY592" s="12">
        <f>'Balance Sheet'!Z151/1000</f>
        <v>1924.923</v>
      </c>
      <c r="AZ592" s="12">
        <f>'Balance Sheet'!AA151/1000</f>
        <v>2029.7670000000001</v>
      </c>
      <c r="BA592" s="12">
        <f>'Balance Sheet'!AB151/1000</f>
        <v>2178.83</v>
      </c>
      <c r="BB592" s="12">
        <f>'Balance Sheet'!AC151/1000</f>
        <v>2447.0239999999999</v>
      </c>
      <c r="BC592" s="12">
        <f>'Balance Sheet'!AD151/1000</f>
        <v>3618.3919999999998</v>
      </c>
      <c r="BD592" s="12">
        <f>'Balance Sheet'!AE151/1000</f>
        <v>3618.3919999999998</v>
      </c>
      <c r="BE592" s="12">
        <f>'Balance Sheet'!AF151/1000</f>
        <v>3799.5970000000002</v>
      </c>
      <c r="BF592" s="12">
        <f>'Balance Sheet'!AG151/1000</f>
        <v>3962.9740000000002</v>
      </c>
      <c r="BG592" s="12">
        <f>'Balance Sheet'!AH151/1000</f>
        <v>4139.5559999999996</v>
      </c>
      <c r="BH592" s="12">
        <f>'Balance Sheet'!AI151/1000</f>
        <v>4034.9560000000001</v>
      </c>
      <c r="BI592" s="12">
        <f>'Balance Sheet'!AJ151/1000</f>
        <v>4034.9560000000001</v>
      </c>
      <c r="BJ592" s="12">
        <f>'Balance Sheet'!AK151/1000</f>
        <v>4109.8010000000004</v>
      </c>
      <c r="BK592" s="12">
        <f>'Balance Sheet'!AL151/1000</f>
        <v>4187.3440000000001</v>
      </c>
      <c r="BL592" s="12">
        <f>'Balance Sheet'!AM151/1000</f>
        <v>4192.0150000000003</v>
      </c>
      <c r="BM592" s="12">
        <f>'Balance Sheet'!AN151/1000</f>
        <v>4185.9790000000003</v>
      </c>
      <c r="BN592" s="12">
        <f>'Balance Sheet'!AO151/1000</f>
        <v>4185.9790000000003</v>
      </c>
      <c r="BO592" s="12">
        <f>'Balance Sheet'!AP151/1000</f>
        <v>4321.0460000000003</v>
      </c>
      <c r="BP592" s="12">
        <f>'Balance Sheet'!AQ151/1000</f>
        <v>4480.8410000000003</v>
      </c>
      <c r="BQ592" s="12">
        <f>'Balance Sheet'!AR151/1000</f>
        <v>4659.0439999999999</v>
      </c>
      <c r="BR592" s="12">
        <f>'Balance Sheet'!AS151/1000</f>
        <v>4753.9669999999996</v>
      </c>
      <c r="BS592" s="12">
        <f>'Balance Sheet'!AT151/1000</f>
        <v>4753.9669999999996</v>
      </c>
      <c r="BT592" s="12">
        <f>'Balance Sheet'!AU151/1000</f>
        <v>4919.9620000000004</v>
      </c>
      <c r="BU592" s="12">
        <f>'Balance Sheet'!AV151/1000</f>
        <v>5056.5619999999999</v>
      </c>
      <c r="BV592" s="12">
        <f>'Balance Sheet'!AW151/1000</f>
        <v>5227.6379999999999</v>
      </c>
      <c r="BW592" s="12">
        <f>'Balance Sheet'!AX151/1000</f>
        <v>5150.4110000000001</v>
      </c>
      <c r="BX592" s="12">
        <f>'Balance Sheet'!AY151/1000</f>
        <v>5150.4110000000001</v>
      </c>
      <c r="BY592" s="12">
        <f>'Balance Sheet'!AZ151/1000</f>
        <v>5258.4430000000002</v>
      </c>
      <c r="BZ592" s="12">
        <f>'Balance Sheet'!BA151/1000</f>
        <v>5327.2780000000002</v>
      </c>
      <c r="CA592" s="12">
        <f>'Balance Sheet'!BB151/1000</f>
        <v>5421.1890000000003</v>
      </c>
      <c r="CB592" s="12">
        <f>'Balance Sheet'!BC151/1000</f>
        <v>5313.8220000000001</v>
      </c>
      <c r="CC592" s="12">
        <f>'Balance Sheet'!BD151/1000</f>
        <v>5313.8220000000001</v>
      </c>
      <c r="CD592" s="12">
        <f>'Balance Sheet'!BE151/1000</f>
        <v>5348.951</v>
      </c>
      <c r="CE592" s="12">
        <f>'Balance Sheet'!BF151/1000</f>
        <v>5211.4049999999997</v>
      </c>
      <c r="CF592" s="12">
        <f>'Balance Sheet'!BG151/1000</f>
        <v>5573.2380000000003</v>
      </c>
      <c r="CG592" s="12">
        <f>'Balance Sheet'!BH151/1000</f>
        <v>5544.0910000000003</v>
      </c>
      <c r="CH592" s="12">
        <f>'Balance Sheet'!BI151/1000</f>
        <v>5544.0910000000003</v>
      </c>
      <c r="CI592" s="12">
        <f>'Balance Sheet'!BJ151/1000</f>
        <v>5640.5870000000004</v>
      </c>
      <c r="CJ592" s="12">
        <f>'Balance Sheet'!BK151/1000</f>
        <v>5680.3980000000001</v>
      </c>
      <c r="CK592" s="12">
        <f>'Balance Sheet'!BL151/1000</f>
        <v>5710.4350000000004</v>
      </c>
      <c r="CL592" s="12">
        <f>'Balance Sheet'!BM151/1000</f>
        <v>5717.598</v>
      </c>
      <c r="CM592" s="12">
        <f>'Balance Sheet'!BN151/1000</f>
        <v>5717.598</v>
      </c>
      <c r="CN592" s="12">
        <f>'Balance Sheet'!BO151/1000</f>
        <v>5732.4</v>
      </c>
      <c r="CO592" s="12">
        <f>'Balance Sheet'!BP151/1000</f>
        <v>5610.4570000000003</v>
      </c>
      <c r="CP592" s="12">
        <f>'Balance Sheet'!BQ151/1000</f>
        <v>5606.8050000000003</v>
      </c>
      <c r="CQ592" s="12">
        <f>'Balance Sheet'!BR151/1000</f>
        <v>5666.241</v>
      </c>
      <c r="CR592" s="12">
        <f>'Balance Sheet'!BS151/1000</f>
        <v>5666.241</v>
      </c>
      <c r="CS592" s="12">
        <f>'Balance Sheet'!BT151/1000</f>
        <v>5427.7979999999998</v>
      </c>
      <c r="CT592" s="12">
        <f>'Balance Sheet'!BU151/1000</f>
        <v>5206.7569999999996</v>
      </c>
      <c r="CU592" s="12">
        <f>'Balance Sheet'!BV151/1000</f>
        <v>5081.3090000000002</v>
      </c>
      <c r="CV592" s="12">
        <f>'Balance Sheet'!BW151/1000</f>
        <v>4912.0749999999998</v>
      </c>
      <c r="CW592" s="12">
        <f>'Balance Sheet'!BX151/1000</f>
        <v>4912.0749999999998</v>
      </c>
      <c r="CX592" s="12">
        <f>'Balance Sheet'!BY151/1000</f>
        <v>4976.268</v>
      </c>
      <c r="CY592" s="12">
        <f>'Balance Sheet'!BZ151/1000</f>
        <v>4933.442</v>
      </c>
      <c r="CZ592" s="12">
        <f>'Balance Sheet'!CA151/1000</f>
        <v>4908.2820000000002</v>
      </c>
      <c r="DA592" s="12">
        <f>'Balance Sheet'!CB151/1000</f>
        <v>4564.4110000000001</v>
      </c>
      <c r="DB592" s="12">
        <f>'Balance Sheet'!CC151/1000</f>
        <v>4564.4110000000001</v>
      </c>
      <c r="DC592" s="12">
        <f>'Balance Sheet'!CD151/1000</f>
        <v>4599.0950000000003</v>
      </c>
      <c r="DD592" s="12">
        <f>'Balance Sheet'!CE151/1000</f>
        <v>4681.7070000000003</v>
      </c>
      <c r="DE592" s="12">
        <f>'Balance Sheet'!CF151/1000</f>
        <v>6117.87</v>
      </c>
      <c r="DF592" s="12">
        <f>'Balance Sheet'!CG151/1000</f>
        <v>5374.1589999999997</v>
      </c>
      <c r="DG592" s="12">
        <f>'Balance Sheet'!CH151/1000</f>
        <v>5374.1589999999997</v>
      </c>
      <c r="DH592" s="12">
        <f>'Balance Sheet'!CI151/1000</f>
        <v>5570.3770000000004</v>
      </c>
      <c r="DI592" s="12">
        <f>'Balance Sheet'!CJ151/1000</f>
        <v>5828.3980000000001</v>
      </c>
      <c r="DJ592" s="12">
        <f>'Balance Sheet'!CK151/1000</f>
        <v>6045.2479999999996</v>
      </c>
      <c r="DK592" s="12">
        <f>'Balance Sheet'!CL151/1000</f>
        <v>6014.3140000000003</v>
      </c>
      <c r="DL592" s="12">
        <f>'Balance Sheet'!CM151/1000</f>
        <v>6014.3140000000003</v>
      </c>
      <c r="DM592" s="12">
        <f>'Balance Sheet'!CN151/1000</f>
        <v>6160.9669999999996</v>
      </c>
      <c r="DN592" s="12">
        <f>'Balance Sheet'!CO151/1000</f>
        <v>6227.4880000000003</v>
      </c>
      <c r="DO592" s="12">
        <f>'Balance Sheet'!CP151/1000</f>
        <v>5731.5889999999999</v>
      </c>
      <c r="DP592" s="12">
        <f>'Balance Sheet'!CQ151/1000</f>
        <v>6745.2749999999996</v>
      </c>
      <c r="DQ592" s="12">
        <f>'Balance Sheet'!CR151/1000</f>
        <v>6745.2749999999996</v>
      </c>
      <c r="DR592" s="12">
        <f>'Balance Sheet'!CS151/1000</f>
        <v>6838.576</v>
      </c>
      <c r="DS592" s="12">
        <f>'Balance Sheet'!CT151/1000</f>
        <v>7133.9139999999998</v>
      </c>
      <c r="DT592" s="12">
        <f>'Balance Sheet'!CU151/1000</f>
        <v>7384.6840000000002</v>
      </c>
      <c r="DU592" s="12">
        <f>'Balance Sheet'!CV151/1000</f>
        <v>7306.1589999999997</v>
      </c>
      <c r="DV592" s="12">
        <f>'Balance Sheet'!CW151/1000</f>
        <v>7306.1589999999997</v>
      </c>
      <c r="DW592" s="12">
        <f>'Balance Sheet'!CX151/1000</f>
        <v>7328.7939999999999</v>
      </c>
      <c r="DX592" s="12">
        <f>'Balance Sheet'!CY151/1000</f>
        <v>8105.65</v>
      </c>
      <c r="DY592" s="12">
        <f>'Balance Sheet'!CZ151/1000</f>
        <v>8558.1939999999995</v>
      </c>
      <c r="DZ592" s="12">
        <f>'Balance Sheet'!DA151/1000</f>
        <v>8492.5990000000002</v>
      </c>
      <c r="EA592" s="12">
        <f>'Balance Sheet'!DB151/1000</f>
        <v>8492.5990000000002</v>
      </c>
      <c r="EB592" s="417"/>
    </row>
    <row r="593" spans="1:132" s="7" customFormat="1">
      <c r="A593" s="11" t="s">
        <v>626</v>
      </c>
      <c r="B593" s="419"/>
      <c r="C593" s="419"/>
      <c r="D593" s="419"/>
      <c r="E593" s="419"/>
      <c r="F593" s="419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>
        <v>0</v>
      </c>
      <c r="AB593" s="12">
        <v>0</v>
      </c>
      <c r="AC593" s="12">
        <v>0</v>
      </c>
      <c r="AD593" s="12">
        <v>0</v>
      </c>
      <c r="AE593" s="12">
        <v>0</v>
      </c>
      <c r="AF593" s="12">
        <v>0</v>
      </c>
      <c r="AG593" s="12">
        <v>0</v>
      </c>
      <c r="AH593" s="12">
        <v>0</v>
      </c>
      <c r="AI593" s="12">
        <v>0</v>
      </c>
      <c r="AJ593" s="12">
        <v>0</v>
      </c>
      <c r="AK593" s="12">
        <v>0</v>
      </c>
      <c r="AL593" s="12">
        <v>0</v>
      </c>
      <c r="AM593" s="12">
        <v>0</v>
      </c>
      <c r="AN593" s="12">
        <v>0</v>
      </c>
      <c r="AO593" s="12">
        <v>0</v>
      </c>
      <c r="AP593" s="12">
        <v>0</v>
      </c>
      <c r="AQ593" s="12">
        <v>0</v>
      </c>
      <c r="AR593" s="12">
        <v>0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F593" s="12">
        <v>0</v>
      </c>
      <c r="BG593" s="12">
        <v>0</v>
      </c>
      <c r="BH593" s="12">
        <v>0</v>
      </c>
      <c r="BI593" s="12">
        <v>0</v>
      </c>
      <c r="BJ593" s="12">
        <v>0</v>
      </c>
      <c r="BK593" s="12">
        <v>0</v>
      </c>
      <c r="BL593" s="12">
        <v>0</v>
      </c>
      <c r="BM593" s="12">
        <v>0</v>
      </c>
      <c r="BN593" s="12">
        <v>0</v>
      </c>
      <c r="BO593" s="12">
        <v>0</v>
      </c>
      <c r="BP593" s="12">
        <v>0</v>
      </c>
      <c r="BQ593" s="12">
        <v>0</v>
      </c>
      <c r="BR593" s="12">
        <v>0</v>
      </c>
      <c r="BS593" s="12">
        <v>0</v>
      </c>
      <c r="BT593" s="12">
        <v>0</v>
      </c>
      <c r="BU593" s="12">
        <v>0</v>
      </c>
      <c r="BV593" s="12">
        <v>0</v>
      </c>
      <c r="BW593" s="12">
        <v>0</v>
      </c>
      <c r="BX593" s="12">
        <v>0</v>
      </c>
      <c r="BY593" s="12">
        <v>0</v>
      </c>
      <c r="BZ593" s="12">
        <v>0</v>
      </c>
      <c r="CA593" s="12">
        <v>0</v>
      </c>
      <c r="CB593" s="12">
        <v>0</v>
      </c>
      <c r="CC593" s="12">
        <v>0</v>
      </c>
      <c r="CD593" s="12">
        <v>0</v>
      </c>
      <c r="CE593" s="12">
        <v>0</v>
      </c>
      <c r="CF593" s="12">
        <v>0</v>
      </c>
      <c r="CG593" s="12">
        <v>0</v>
      </c>
      <c r="CH593" s="12">
        <v>0</v>
      </c>
      <c r="CI593" s="12">
        <v>0</v>
      </c>
      <c r="CJ593" s="12">
        <v>0</v>
      </c>
      <c r="CK593" s="12">
        <v>0</v>
      </c>
      <c r="CL593" s="12">
        <v>0</v>
      </c>
      <c r="CM593" s="12">
        <v>0</v>
      </c>
      <c r="CN593" s="12">
        <v>0</v>
      </c>
      <c r="CO593" s="12">
        <v>0</v>
      </c>
      <c r="CP593" s="12">
        <v>0</v>
      </c>
      <c r="CQ593" s="12">
        <v>0</v>
      </c>
      <c r="CR593" s="12">
        <v>0</v>
      </c>
      <c r="CS593" s="12">
        <v>0</v>
      </c>
      <c r="CT593" s="12">
        <v>0</v>
      </c>
      <c r="CU593" s="12">
        <v>0</v>
      </c>
      <c r="CV593" s="12">
        <v>0</v>
      </c>
      <c r="CW593" s="12">
        <v>0</v>
      </c>
      <c r="CX593" s="12">
        <v>0</v>
      </c>
      <c r="CY593" s="12">
        <v>0</v>
      </c>
      <c r="CZ593" s="12">
        <v>0</v>
      </c>
      <c r="DA593" s="12">
        <v>0</v>
      </c>
      <c r="DB593" s="12">
        <v>0</v>
      </c>
      <c r="DC593" s="12">
        <v>0</v>
      </c>
      <c r="DD593" s="12">
        <v>0</v>
      </c>
      <c r="DE593" s="12">
        <v>0</v>
      </c>
      <c r="DF593" s="12">
        <v>0</v>
      </c>
      <c r="DG593" s="12">
        <v>0</v>
      </c>
      <c r="DH593" s="12">
        <v>0</v>
      </c>
      <c r="DI593" s="12">
        <v>0</v>
      </c>
      <c r="DJ593" s="12">
        <v>0</v>
      </c>
      <c r="DK593" s="12">
        <v>0</v>
      </c>
      <c r="DL593" s="12">
        <v>0</v>
      </c>
      <c r="DM593" s="12">
        <v>0</v>
      </c>
      <c r="DN593" s="12">
        <v>0</v>
      </c>
      <c r="DO593" s="12">
        <v>0</v>
      </c>
      <c r="DP593" s="12">
        <v>0</v>
      </c>
      <c r="DQ593" s="12">
        <v>0</v>
      </c>
      <c r="DR593" s="12">
        <v>0</v>
      </c>
      <c r="DS593" s="12">
        <v>0</v>
      </c>
      <c r="DT593" s="12">
        <v>0</v>
      </c>
      <c r="DU593" s="12">
        <v>0</v>
      </c>
      <c r="DV593" s="12">
        <v>0</v>
      </c>
      <c r="DW593" s="12">
        <v>0</v>
      </c>
      <c r="DX593" s="12">
        <v>0</v>
      </c>
      <c r="DY593" s="12">
        <v>0</v>
      </c>
      <c r="DZ593" s="12">
        <v>0</v>
      </c>
      <c r="EA593" s="12">
        <v>0</v>
      </c>
      <c r="EB593" s="417"/>
    </row>
    <row r="594" spans="1:132" s="7" customFormat="1">
      <c r="A594" s="11" t="s">
        <v>627</v>
      </c>
      <c r="EB594" s="417"/>
    </row>
    <row r="595" spans="1:132">
      <c r="A595" s="11" t="s">
        <v>628</v>
      </c>
      <c r="EB595" s="417"/>
    </row>
    <row r="596" spans="1:132">
      <c r="A596" s="11" t="s">
        <v>629</v>
      </c>
      <c r="EB596" s="417"/>
    </row>
    <row r="597" spans="1:132">
      <c r="A597" s="11" t="s">
        <v>630</v>
      </c>
      <c r="EB597" s="417"/>
    </row>
    <row r="598" spans="1:132">
      <c r="A598" s="11" t="s">
        <v>631</v>
      </c>
      <c r="EB598" s="417"/>
    </row>
    <row r="599" spans="1:132">
      <c r="A599" s="11" t="s">
        <v>632</v>
      </c>
      <c r="EB599" s="417"/>
    </row>
    <row r="600" spans="1:132">
      <c r="A600" s="11" t="s">
        <v>633</v>
      </c>
      <c r="EB600" s="417"/>
    </row>
    <row r="601" spans="1:132">
      <c r="A601" s="11" t="s">
        <v>634</v>
      </c>
      <c r="EB601" s="417"/>
    </row>
    <row r="602" spans="1:132">
      <c r="A602" s="11" t="s">
        <v>635</v>
      </c>
      <c r="EB602" s="417"/>
    </row>
    <row r="603" spans="1:132">
      <c r="A603" s="11" t="s">
        <v>636</v>
      </c>
      <c r="EB603" s="417"/>
    </row>
    <row r="604" spans="1:132">
      <c r="A604" s="11" t="s">
        <v>637</v>
      </c>
      <c r="EB604" s="417"/>
    </row>
    <row r="605" spans="1:132">
      <c r="A605" s="11" t="s">
        <v>638</v>
      </c>
      <c r="EB605" s="417"/>
    </row>
    <row r="606" spans="1:132">
      <c r="A606" s="11" t="s">
        <v>639</v>
      </c>
      <c r="EB606" s="417"/>
    </row>
    <row r="607" spans="1:132">
      <c r="A607" s="11" t="s">
        <v>640</v>
      </c>
      <c r="EB607" s="417"/>
    </row>
    <row r="608" spans="1:132">
      <c r="A608" s="11" t="s">
        <v>641</v>
      </c>
      <c r="EB608" s="417"/>
    </row>
    <row r="609" spans="1:132">
      <c r="A609" s="11" t="s">
        <v>642</v>
      </c>
      <c r="EB609" s="417"/>
    </row>
    <row r="610" spans="1:132">
      <c r="A610" s="11" t="s">
        <v>643</v>
      </c>
      <c r="EB610" s="417"/>
    </row>
    <row r="611" spans="1:132">
      <c r="A611" s="11" t="s">
        <v>644</v>
      </c>
      <c r="EB611" s="417"/>
    </row>
    <row r="612" spans="1:132">
      <c r="A612" s="11" t="s">
        <v>645</v>
      </c>
      <c r="EB612" s="417"/>
    </row>
    <row r="613" spans="1:132">
      <c r="A613" s="11" t="s">
        <v>646</v>
      </c>
      <c r="EB613" s="417"/>
    </row>
    <row r="614" spans="1:132">
      <c r="A614" s="11" t="s">
        <v>647</v>
      </c>
      <c r="EB614" s="417"/>
    </row>
    <row r="615" spans="1:132">
      <c r="A615" s="11" t="s">
        <v>648</v>
      </c>
      <c r="EB615" s="417"/>
    </row>
    <row r="616" spans="1:132">
      <c r="A616" s="11" t="s">
        <v>649</v>
      </c>
      <c r="EB616" s="417"/>
    </row>
    <row r="617" spans="1:132">
      <c r="A617" s="11" t="s">
        <v>650</v>
      </c>
      <c r="EB617" s="417"/>
    </row>
    <row r="618" spans="1:132">
      <c r="A618" s="11" t="s">
        <v>651</v>
      </c>
      <c r="EB618" s="417"/>
    </row>
    <row r="619" spans="1:132">
      <c r="A619" s="11" t="s">
        <v>652</v>
      </c>
      <c r="EB619" s="417"/>
    </row>
    <row r="620" spans="1:132">
      <c r="A620" s="11" t="s">
        <v>653</v>
      </c>
      <c r="EB620" s="417"/>
    </row>
    <row r="621" spans="1:132">
      <c r="A621" s="11" t="s">
        <v>654</v>
      </c>
      <c r="EB621" s="417"/>
    </row>
    <row r="622" spans="1:132">
      <c r="A622" s="11" t="s">
        <v>655</v>
      </c>
      <c r="EB622" s="417"/>
    </row>
    <row r="623" spans="1:132">
      <c r="A623" s="11" t="s">
        <v>656</v>
      </c>
      <c r="EB623" s="417"/>
    </row>
    <row r="624" spans="1:132">
      <c r="A624" s="11" t="s">
        <v>75</v>
      </c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>
        <f>DCF!$B$23</f>
        <v>0.1608</v>
      </c>
      <c r="AB624" s="61">
        <f>DCF!$B$23</f>
        <v>0.1608</v>
      </c>
      <c r="AC624" s="61">
        <f>DCF!$B$23</f>
        <v>0.1608</v>
      </c>
      <c r="AD624" s="61">
        <f>DCF!$B$23</f>
        <v>0.1608</v>
      </c>
      <c r="AE624" s="61">
        <f>DCF!$B$23</f>
        <v>0.1608</v>
      </c>
      <c r="AF624" s="61">
        <f>DCF!$B$23</f>
        <v>0.1608</v>
      </c>
      <c r="AG624" s="61">
        <f>DCF!$B$23</f>
        <v>0.1608</v>
      </c>
      <c r="AH624" s="61">
        <f>DCF!$B$23</f>
        <v>0.1608</v>
      </c>
      <c r="AI624" s="61">
        <f>DCF!$B$23</f>
        <v>0.1608</v>
      </c>
      <c r="AJ624" s="61">
        <f>DCF!$B$23</f>
        <v>0.1608</v>
      </c>
      <c r="AK624" s="61">
        <f>DCF!$B$23</f>
        <v>0.1608</v>
      </c>
      <c r="AL624" s="61">
        <f>DCF!$B$23</f>
        <v>0.1608</v>
      </c>
      <c r="AM624" s="61">
        <f>DCF!$B$23</f>
        <v>0.1608</v>
      </c>
      <c r="AN624" s="61">
        <f>DCF!$B$23</f>
        <v>0.1608</v>
      </c>
      <c r="AO624" s="61">
        <f>DCF!$B$23</f>
        <v>0.1608</v>
      </c>
      <c r="AP624" s="61">
        <f>DCF!$B$23</f>
        <v>0.1608</v>
      </c>
      <c r="AQ624" s="61">
        <f>DCF!$B$23</f>
        <v>0.1608</v>
      </c>
      <c r="AR624" s="61">
        <f>DCF!$B$23</f>
        <v>0.1608</v>
      </c>
      <c r="AS624" s="61">
        <f>DCF!$B$23</f>
        <v>0.1608</v>
      </c>
      <c r="AT624" s="61">
        <f>DCF!$B$23</f>
        <v>0.1608</v>
      </c>
      <c r="AU624" s="61">
        <f>DCF!$B$23</f>
        <v>0.1608</v>
      </c>
      <c r="AV624" s="61">
        <f>DCF!$B$23</f>
        <v>0.1608</v>
      </c>
      <c r="AW624" s="61">
        <f>DCF!$B$23</f>
        <v>0.1608</v>
      </c>
      <c r="AX624" s="61">
        <f>DCF!$B$23</f>
        <v>0.1608</v>
      </c>
      <c r="AY624" s="61">
        <f>DCF!$B$23</f>
        <v>0.1608</v>
      </c>
      <c r="AZ624" s="61">
        <f>DCF!$B$23</f>
        <v>0.1608</v>
      </c>
      <c r="BA624" s="61">
        <f>DCF!$B$23</f>
        <v>0.1608</v>
      </c>
      <c r="BB624" s="61">
        <f>DCF!$B$23</f>
        <v>0.1608</v>
      </c>
      <c r="BC624" s="61">
        <f>DCF!$B$23</f>
        <v>0.1608</v>
      </c>
      <c r="BD624" s="61">
        <f>DCF!$B$23</f>
        <v>0.1608</v>
      </c>
      <c r="BE624" s="61">
        <f>DCF!$B$23</f>
        <v>0.1608</v>
      </c>
      <c r="BF624" s="61">
        <f>DCF!$B$23</f>
        <v>0.1608</v>
      </c>
      <c r="BG624" s="61">
        <f>DCF!$B$23</f>
        <v>0.1608</v>
      </c>
      <c r="BH624" s="61">
        <f>DCF!$B$23</f>
        <v>0.1608</v>
      </c>
      <c r="BI624" s="61">
        <f>DCF!$B$23</f>
        <v>0.1608</v>
      </c>
      <c r="BJ624" s="61">
        <f>DCF!$B$23</f>
        <v>0.1608</v>
      </c>
      <c r="BK624" s="61">
        <f>DCF!$B$23</f>
        <v>0.1608</v>
      </c>
      <c r="BL624" s="61">
        <f>DCF!$B$23</f>
        <v>0.1608</v>
      </c>
      <c r="BM624" s="61">
        <f>DCF!$B$23</f>
        <v>0.1608</v>
      </c>
      <c r="BN624" s="61">
        <f>DCF!$B$23</f>
        <v>0.1608</v>
      </c>
      <c r="BO624" s="61">
        <f>DCF!$B$23</f>
        <v>0.1608</v>
      </c>
      <c r="BP624" s="61">
        <f>DCF!$B$23</f>
        <v>0.1608</v>
      </c>
      <c r="BQ624" s="61">
        <f>DCF!$B$23</f>
        <v>0.1608</v>
      </c>
      <c r="BR624" s="61">
        <f>DCF!$B$23</f>
        <v>0.1608</v>
      </c>
      <c r="BS624" s="61">
        <f>DCF!$B$23</f>
        <v>0.1608</v>
      </c>
      <c r="BT624" s="61">
        <f>DCF!$B$23</f>
        <v>0.1608</v>
      </c>
      <c r="BU624" s="61">
        <f>DCF!$B$23</f>
        <v>0.1608</v>
      </c>
      <c r="BV624" s="61">
        <f>DCF!$B$23</f>
        <v>0.1608</v>
      </c>
      <c r="BW624" s="61">
        <f>DCF!$B$23</f>
        <v>0.1608</v>
      </c>
      <c r="BX624" s="61">
        <f>DCF!$B$23</f>
        <v>0.1608</v>
      </c>
      <c r="BY624" s="61">
        <f>DCF!$B$23</f>
        <v>0.1608</v>
      </c>
      <c r="BZ624" s="61">
        <f>DCF!$B$23</f>
        <v>0.1608</v>
      </c>
      <c r="CA624" s="61">
        <f>DCF!$B$23</f>
        <v>0.1608</v>
      </c>
      <c r="CB624" s="61">
        <f>DCF!$B$23</f>
        <v>0.1608</v>
      </c>
      <c r="CC624" s="61">
        <f>DCF!$B$23</f>
        <v>0.1608</v>
      </c>
      <c r="CD624" s="61">
        <f>DCF!$B$23</f>
        <v>0.1608</v>
      </c>
      <c r="CE624" s="61">
        <f>DCF!$B$23</f>
        <v>0.1608</v>
      </c>
      <c r="CF624" s="61">
        <f>DCF!$B$23</f>
        <v>0.1608</v>
      </c>
      <c r="CG624" s="61">
        <f>DCF!$B$23</f>
        <v>0.1608</v>
      </c>
      <c r="CH624" s="61">
        <f>DCF!$B$23</f>
        <v>0.1608</v>
      </c>
      <c r="CI624" s="61">
        <f>DCF!$B$23</f>
        <v>0.1608</v>
      </c>
      <c r="CJ624" s="61">
        <f>DCF!$B$23</f>
        <v>0.1608</v>
      </c>
      <c r="CK624" s="61">
        <f>DCF!$B$23</f>
        <v>0.1608</v>
      </c>
      <c r="CL624" s="61">
        <f>DCF!$B$23</f>
        <v>0.1608</v>
      </c>
      <c r="CM624" s="61">
        <f>DCF!$B$23</f>
        <v>0.1608</v>
      </c>
      <c r="CN624" s="61">
        <f>DCF!$B$23</f>
        <v>0.1608</v>
      </c>
      <c r="CO624" s="61">
        <f>DCF!$B$23</f>
        <v>0.1608</v>
      </c>
      <c r="CP624" s="61">
        <f>DCF!$B$23</f>
        <v>0.1608</v>
      </c>
      <c r="CQ624" s="61">
        <f>DCF!$B$23</f>
        <v>0.1608</v>
      </c>
      <c r="CR624" s="61">
        <f>DCF!$B$23</f>
        <v>0.1608</v>
      </c>
      <c r="CS624" s="61">
        <f>DCF!$B$23</f>
        <v>0.1608</v>
      </c>
      <c r="CT624" s="61">
        <f>DCF!$B$23</f>
        <v>0.1608</v>
      </c>
      <c r="CU624" s="61">
        <f>DCF!$B$23</f>
        <v>0.1608</v>
      </c>
      <c r="CV624" s="61">
        <f>DCF!$B$23</f>
        <v>0.1608</v>
      </c>
      <c r="CW624" s="61">
        <f>DCF!$B$23</f>
        <v>0.1608</v>
      </c>
      <c r="CX624" s="61">
        <f>DCF!$B$23</f>
        <v>0.1608</v>
      </c>
      <c r="CY624" s="61">
        <f>DCF!$B$23</f>
        <v>0.1608</v>
      </c>
      <c r="CZ624" s="61">
        <f>DCF!$B$23</f>
        <v>0.1608</v>
      </c>
      <c r="DA624" s="61">
        <f>DCF!$B$23</f>
        <v>0.1608</v>
      </c>
      <c r="DB624" s="61">
        <f>DCF!$B$23</f>
        <v>0.1608</v>
      </c>
      <c r="DC624" s="61">
        <f>DCF!$B$23</f>
        <v>0.1608</v>
      </c>
      <c r="DD624" s="61">
        <f>DCF!$B$23</f>
        <v>0.1608</v>
      </c>
      <c r="DE624" s="61">
        <f>DCF!$B$23</f>
        <v>0.1608</v>
      </c>
      <c r="DF624" s="61">
        <f>DCF!$B$23</f>
        <v>0.1608</v>
      </c>
      <c r="DG624" s="61">
        <f>DCF!$B$23</f>
        <v>0.1608</v>
      </c>
      <c r="DH624" s="61">
        <f>DCF!$B$23</f>
        <v>0.1608</v>
      </c>
      <c r="DI624" s="61">
        <f>DCF!$B$23</f>
        <v>0.1608</v>
      </c>
      <c r="DJ624" s="61">
        <f>DCF!$B$23</f>
        <v>0.1608</v>
      </c>
      <c r="DK624" s="61">
        <f>DCF!$B$23</f>
        <v>0.1608</v>
      </c>
      <c r="DL624" s="61">
        <f>DCF!$B$23</f>
        <v>0.1608</v>
      </c>
      <c r="DM624" s="61">
        <f>DCF!$B$23</f>
        <v>0.1608</v>
      </c>
      <c r="DN624" s="61">
        <f>DCF!$B$23</f>
        <v>0.1608</v>
      </c>
      <c r="DO624" s="61">
        <f>DCF!$B$23</f>
        <v>0.1608</v>
      </c>
      <c r="DP624" s="61">
        <f>DCF!$B$23</f>
        <v>0.1608</v>
      </c>
      <c r="DQ624" s="61">
        <f>DCF!$B$23</f>
        <v>0.1608</v>
      </c>
      <c r="DR624" s="61">
        <f>DCF!$B$23</f>
        <v>0.1608</v>
      </c>
      <c r="DS624" s="61">
        <f>DCF!$B$23</f>
        <v>0.1608</v>
      </c>
      <c r="DT624" s="61">
        <f>DCF!$B$23</f>
        <v>0.1608</v>
      </c>
      <c r="DU624" s="61">
        <f>DCF!$B$23</f>
        <v>0.1608</v>
      </c>
      <c r="DV624" s="61">
        <f>DCF!$B$23</f>
        <v>0.1608</v>
      </c>
      <c r="DW624" s="61">
        <f>DCF!$B$23</f>
        <v>0.1608</v>
      </c>
      <c r="DX624" s="61">
        <f>DCF!$B$23</f>
        <v>0.1608</v>
      </c>
      <c r="DY624" s="61">
        <f>DCF!$B$23</f>
        <v>0.1608</v>
      </c>
      <c r="DZ624" s="61">
        <f>DCF!$B$23</f>
        <v>0.1608</v>
      </c>
      <c r="EA624" s="61">
        <f>DCF!$B$23</f>
        <v>0.1608</v>
      </c>
      <c r="EB624" s="417"/>
    </row>
    <row r="625" spans="1:267">
      <c r="A625" s="11" t="s">
        <v>55</v>
      </c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  <c r="BV625" s="61"/>
      <c r="BW625" s="61"/>
      <c r="BX625" s="61"/>
      <c r="BY625" s="61"/>
      <c r="BZ625" s="61"/>
      <c r="CA625" s="61"/>
      <c r="CB625" s="61"/>
      <c r="CC625" s="61"/>
      <c r="CD625" s="61"/>
      <c r="CE625" s="61"/>
      <c r="CF625" s="61"/>
      <c r="CG625" s="61"/>
      <c r="CH625" s="61"/>
      <c r="CI625" s="61"/>
      <c r="CJ625" s="61"/>
      <c r="CK625" s="61"/>
      <c r="CL625" s="61"/>
      <c r="CM625" s="61"/>
      <c r="CN625" s="61"/>
      <c r="CO625" s="61"/>
      <c r="CP625" s="61"/>
      <c r="CQ625" s="61"/>
      <c r="CR625" s="61"/>
      <c r="CS625" s="61"/>
      <c r="CT625" s="61"/>
      <c r="CU625" s="61"/>
      <c r="CV625" s="61"/>
      <c r="CW625" s="61"/>
      <c r="CX625" s="61"/>
      <c r="CY625" s="61"/>
      <c r="CZ625" s="61"/>
      <c r="DA625" s="61"/>
      <c r="DB625" s="61"/>
      <c r="DC625" s="61"/>
      <c r="DD625" s="61"/>
      <c r="DE625" s="61"/>
      <c r="DF625" s="61"/>
      <c r="DG625" s="61"/>
      <c r="DH625" s="61"/>
      <c r="DI625" s="61"/>
      <c r="DJ625" s="61"/>
      <c r="DK625" s="61"/>
      <c r="DL625" s="61"/>
      <c r="DM625" s="61"/>
      <c r="DN625" s="61"/>
      <c r="DO625" s="61"/>
      <c r="DP625" s="61"/>
      <c r="DQ625" s="61"/>
      <c r="DR625" s="61"/>
      <c r="DS625" s="61"/>
      <c r="DT625" s="61"/>
      <c r="DU625" s="61"/>
      <c r="DV625" s="61"/>
      <c r="DW625" s="61"/>
      <c r="DX625" s="61"/>
      <c r="DY625" s="61"/>
      <c r="DZ625" s="61"/>
      <c r="EA625" s="61"/>
      <c r="EB625" s="417"/>
    </row>
    <row r="626" spans="1:267">
      <c r="A626" s="11" t="s">
        <v>911</v>
      </c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>
        <f>DCF!$B$25</f>
        <v>4.3119999999999825E-2</v>
      </c>
      <c r="AB626" s="61">
        <f>DCF!$B$25</f>
        <v>4.3119999999999825E-2</v>
      </c>
      <c r="AC626" s="61">
        <f>DCF!$B$25</f>
        <v>4.3119999999999825E-2</v>
      </c>
      <c r="AD626" s="61">
        <f>DCF!$B$25</f>
        <v>4.3119999999999825E-2</v>
      </c>
      <c r="AE626" s="61">
        <f>DCF!$B$25</f>
        <v>4.3119999999999825E-2</v>
      </c>
      <c r="AF626" s="61">
        <f>DCF!$B$25</f>
        <v>4.3119999999999825E-2</v>
      </c>
      <c r="AG626" s="61">
        <f>DCF!$B$25</f>
        <v>4.3119999999999825E-2</v>
      </c>
      <c r="AH626" s="61">
        <f>DCF!$B$25</f>
        <v>4.3119999999999825E-2</v>
      </c>
      <c r="AI626" s="61">
        <f>DCF!$B$25</f>
        <v>4.3119999999999825E-2</v>
      </c>
      <c r="AJ626" s="61">
        <f>DCF!$B$25</f>
        <v>4.3119999999999825E-2</v>
      </c>
      <c r="AK626" s="61">
        <f>DCF!$B$25</f>
        <v>4.3119999999999825E-2</v>
      </c>
      <c r="AL626" s="61">
        <f>DCF!$B$25</f>
        <v>4.3119999999999825E-2</v>
      </c>
      <c r="AM626" s="61">
        <f>DCF!$B$25</f>
        <v>4.3119999999999825E-2</v>
      </c>
      <c r="AN626" s="61">
        <f>DCF!$B$25</f>
        <v>4.3119999999999825E-2</v>
      </c>
      <c r="AO626" s="61">
        <f>DCF!$B$25</f>
        <v>4.3119999999999825E-2</v>
      </c>
      <c r="AP626" s="61">
        <f>DCF!$B$25</f>
        <v>4.3119999999999825E-2</v>
      </c>
      <c r="AQ626" s="61">
        <f>DCF!$B$25</f>
        <v>4.3119999999999825E-2</v>
      </c>
      <c r="AR626" s="61">
        <f>DCF!$B$25</f>
        <v>4.3119999999999825E-2</v>
      </c>
      <c r="AS626" s="61">
        <f>DCF!$B$25</f>
        <v>4.3119999999999825E-2</v>
      </c>
      <c r="AT626" s="61">
        <f>DCF!$B$25</f>
        <v>4.3119999999999825E-2</v>
      </c>
      <c r="AU626" s="61">
        <f>DCF!$B$25</f>
        <v>4.3119999999999825E-2</v>
      </c>
      <c r="AV626" s="61">
        <f>DCF!$B$25</f>
        <v>4.3119999999999825E-2</v>
      </c>
      <c r="AW626" s="61">
        <f>DCF!$B$25</f>
        <v>4.3119999999999825E-2</v>
      </c>
      <c r="AX626" s="61">
        <f>DCF!$B$25</f>
        <v>4.3119999999999825E-2</v>
      </c>
      <c r="AY626" s="61">
        <f>DCF!$B$25</f>
        <v>4.3119999999999825E-2</v>
      </c>
      <c r="AZ626" s="61">
        <f>DCF!$B$25</f>
        <v>4.3119999999999825E-2</v>
      </c>
      <c r="BA626" s="61">
        <f>DCF!$B$25</f>
        <v>4.3119999999999825E-2</v>
      </c>
      <c r="BB626" s="61">
        <f>DCF!$B$25</f>
        <v>4.3119999999999825E-2</v>
      </c>
      <c r="BC626" s="61">
        <f>DCF!$B$25</f>
        <v>4.3119999999999825E-2</v>
      </c>
      <c r="BD626" s="61">
        <f>DCF!$B$25</f>
        <v>4.3119999999999825E-2</v>
      </c>
      <c r="BE626" s="61">
        <f>DCF!$B$25</f>
        <v>4.3119999999999825E-2</v>
      </c>
      <c r="BF626" s="61">
        <f>DCF!$B$25</f>
        <v>4.3119999999999825E-2</v>
      </c>
      <c r="BG626" s="61">
        <f>DCF!$B$25</f>
        <v>4.3119999999999825E-2</v>
      </c>
      <c r="BH626" s="61">
        <f>DCF!$B$25</f>
        <v>4.3119999999999825E-2</v>
      </c>
      <c r="BI626" s="61">
        <f>DCF!$B$25</f>
        <v>4.3119999999999825E-2</v>
      </c>
      <c r="BJ626" s="61">
        <f>DCF!$B$25</f>
        <v>4.3119999999999825E-2</v>
      </c>
      <c r="BK626" s="61">
        <f>DCF!$B$25</f>
        <v>4.3119999999999825E-2</v>
      </c>
      <c r="BL626" s="61">
        <f>DCF!$B$25</f>
        <v>4.3119999999999825E-2</v>
      </c>
      <c r="BM626" s="61">
        <f>DCF!$B$25</f>
        <v>4.3119999999999825E-2</v>
      </c>
      <c r="BN626" s="61">
        <f>DCF!$B$25</f>
        <v>4.3119999999999825E-2</v>
      </c>
      <c r="BO626" s="61">
        <f>DCF!$B$25</f>
        <v>4.3119999999999825E-2</v>
      </c>
      <c r="BP626" s="61">
        <f>DCF!$B$25</f>
        <v>4.3119999999999825E-2</v>
      </c>
      <c r="BQ626" s="61">
        <f>DCF!$B$25</f>
        <v>4.3119999999999825E-2</v>
      </c>
      <c r="BR626" s="61">
        <f>DCF!$B$25</f>
        <v>4.3119999999999825E-2</v>
      </c>
      <c r="BS626" s="61">
        <f>DCF!$B$25</f>
        <v>4.3119999999999825E-2</v>
      </c>
      <c r="BT626" s="61">
        <f>DCF!$B$25</f>
        <v>4.3119999999999825E-2</v>
      </c>
      <c r="BU626" s="61">
        <f>DCF!$B$25</f>
        <v>4.3119999999999825E-2</v>
      </c>
      <c r="BV626" s="61">
        <f>DCF!$B$25</f>
        <v>4.3119999999999825E-2</v>
      </c>
      <c r="BW626" s="61">
        <f>DCF!$B$25</f>
        <v>4.3119999999999825E-2</v>
      </c>
      <c r="BX626" s="61">
        <f>DCF!$B$25</f>
        <v>4.3119999999999825E-2</v>
      </c>
      <c r="BY626" s="61">
        <f>DCF!$B$25</f>
        <v>4.3119999999999825E-2</v>
      </c>
      <c r="BZ626" s="61">
        <f>DCF!$B$25</f>
        <v>4.3119999999999825E-2</v>
      </c>
      <c r="CA626" s="61">
        <f>DCF!$B$25</f>
        <v>4.3119999999999825E-2</v>
      </c>
      <c r="CB626" s="61">
        <f>DCF!$B$25</f>
        <v>4.3119999999999825E-2</v>
      </c>
      <c r="CC626" s="61">
        <f>DCF!$B$25</f>
        <v>4.3119999999999825E-2</v>
      </c>
      <c r="CD626" s="61">
        <f>DCF!$B$25</f>
        <v>4.3119999999999825E-2</v>
      </c>
      <c r="CE626" s="61">
        <f>DCF!$B$25</f>
        <v>4.3119999999999825E-2</v>
      </c>
      <c r="CF626" s="61">
        <f>DCF!$B$25</f>
        <v>4.3119999999999825E-2</v>
      </c>
      <c r="CG626" s="61">
        <f>DCF!$B$25</f>
        <v>4.3119999999999825E-2</v>
      </c>
      <c r="CH626" s="61">
        <f>DCF!$B$25</f>
        <v>4.3119999999999825E-2</v>
      </c>
      <c r="CI626" s="61">
        <f>DCF!$B$25</f>
        <v>4.3119999999999825E-2</v>
      </c>
      <c r="CJ626" s="61">
        <f>DCF!$B$25</f>
        <v>4.3119999999999825E-2</v>
      </c>
      <c r="CK626" s="61">
        <f>DCF!$B$25</f>
        <v>4.3119999999999825E-2</v>
      </c>
      <c r="CL626" s="61">
        <f>DCF!$B$25</f>
        <v>4.3119999999999825E-2</v>
      </c>
      <c r="CM626" s="61">
        <f>DCF!$B$25</f>
        <v>4.3119999999999825E-2</v>
      </c>
      <c r="CN626" s="61">
        <f>DCF!$B$25</f>
        <v>4.3119999999999825E-2</v>
      </c>
      <c r="CO626" s="61">
        <f>DCF!$B$25</f>
        <v>4.3119999999999825E-2</v>
      </c>
      <c r="CP626" s="61">
        <f>DCF!$B$25</f>
        <v>4.3119999999999825E-2</v>
      </c>
      <c r="CQ626" s="61">
        <f>DCF!$B$25</f>
        <v>4.3119999999999825E-2</v>
      </c>
      <c r="CR626" s="61">
        <f>DCF!$B$25</f>
        <v>4.3119999999999825E-2</v>
      </c>
      <c r="CS626" s="61">
        <f>DCF!$B$25</f>
        <v>4.3119999999999825E-2</v>
      </c>
      <c r="CT626" s="61">
        <f>DCF!$B$25</f>
        <v>4.3119999999999825E-2</v>
      </c>
      <c r="CU626" s="61">
        <f>DCF!$B$25</f>
        <v>4.3119999999999825E-2</v>
      </c>
      <c r="CV626" s="61">
        <f>DCF!$B$25</f>
        <v>4.3119999999999825E-2</v>
      </c>
      <c r="CW626" s="61">
        <f>DCF!$B$25</f>
        <v>4.3119999999999825E-2</v>
      </c>
      <c r="CX626" s="61">
        <f>DCF!$B$25</f>
        <v>4.3119999999999825E-2</v>
      </c>
      <c r="CY626" s="61">
        <f>DCF!$B$25</f>
        <v>4.3119999999999825E-2</v>
      </c>
      <c r="CZ626" s="61">
        <f>DCF!$B$25</f>
        <v>4.3119999999999825E-2</v>
      </c>
      <c r="DA626" s="61">
        <f>DCF!$B$25</f>
        <v>4.3119999999999825E-2</v>
      </c>
      <c r="DB626" s="61">
        <f>DCF!$B$25</f>
        <v>4.3119999999999825E-2</v>
      </c>
      <c r="DC626" s="61">
        <f>DCF!$B$25</f>
        <v>4.3119999999999825E-2</v>
      </c>
      <c r="DD626" s="61">
        <f>DCF!$B$25</f>
        <v>4.3119999999999825E-2</v>
      </c>
      <c r="DE626" s="61">
        <f>DCF!$B$25</f>
        <v>4.3119999999999825E-2</v>
      </c>
      <c r="DF626" s="61">
        <f>DCF!$B$25</f>
        <v>4.3119999999999825E-2</v>
      </c>
      <c r="DG626" s="61">
        <f>DCF!$B$25</f>
        <v>4.3119999999999825E-2</v>
      </c>
      <c r="DH626" s="61">
        <f>DCF!$B$25</f>
        <v>4.3119999999999825E-2</v>
      </c>
      <c r="DI626" s="61">
        <f>DCF!$B$25</f>
        <v>4.3119999999999825E-2</v>
      </c>
      <c r="DJ626" s="61">
        <f>DCF!$B$25</f>
        <v>4.3119999999999825E-2</v>
      </c>
      <c r="DK626" s="61">
        <f>DCF!$B$25</f>
        <v>4.3119999999999825E-2</v>
      </c>
      <c r="DL626" s="61">
        <f>DCF!$B$25</f>
        <v>4.3119999999999825E-2</v>
      </c>
      <c r="DM626" s="61">
        <f>DCF!$B$25</f>
        <v>4.3119999999999825E-2</v>
      </c>
      <c r="DN626" s="61">
        <f>DCF!$B$25</f>
        <v>4.3119999999999825E-2</v>
      </c>
      <c r="DO626" s="61">
        <f>DCF!$B$25</f>
        <v>4.3119999999999825E-2</v>
      </c>
      <c r="DP626" s="61">
        <f>DCF!$B$25</f>
        <v>4.3119999999999825E-2</v>
      </c>
      <c r="DQ626" s="61">
        <f>DCF!$B$25</f>
        <v>4.3119999999999825E-2</v>
      </c>
      <c r="DR626" s="61">
        <f>DCF!$B$25</f>
        <v>4.3119999999999825E-2</v>
      </c>
      <c r="DS626" s="61">
        <f>DCF!$B$25</f>
        <v>4.3119999999999825E-2</v>
      </c>
      <c r="DT626" s="61">
        <f>DCF!$B$25</f>
        <v>4.3119999999999825E-2</v>
      </c>
      <c r="DU626" s="61">
        <f>DCF!$B$25</f>
        <v>4.3119999999999825E-2</v>
      </c>
      <c r="DV626" s="61">
        <f>DCF!$B$25</f>
        <v>4.3119999999999825E-2</v>
      </c>
      <c r="DW626" s="61">
        <f>DCF!$B$25</f>
        <v>4.3119999999999825E-2</v>
      </c>
      <c r="DX626" s="61">
        <f>DCF!$B$25</f>
        <v>4.3119999999999825E-2</v>
      </c>
      <c r="DY626" s="61">
        <f>DCF!$B$25</f>
        <v>4.3119999999999825E-2</v>
      </c>
      <c r="DZ626" s="61">
        <f>DCF!$B$25</f>
        <v>4.3119999999999825E-2</v>
      </c>
      <c r="EA626" s="61">
        <f>DCF!$B$25</f>
        <v>4.3119999999999825E-2</v>
      </c>
      <c r="EB626" s="417"/>
    </row>
    <row r="627" spans="1:267">
      <c r="A627" s="11" t="s">
        <v>657</v>
      </c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>
        <f>Macro!B11</f>
        <v>2.9085999999999999</v>
      </c>
      <c r="AB627" s="63">
        <f>Macro!C11</f>
        <v>3.1074999999999999</v>
      </c>
      <c r="AC627" s="63">
        <f>Macro!D11</f>
        <v>2.8586</v>
      </c>
      <c r="AD627" s="63">
        <f>Macro!E11</f>
        <v>2.6543999999999999</v>
      </c>
      <c r="AE627" s="63">
        <f>Macro!F11</f>
        <v>2.6543999999999999</v>
      </c>
      <c r="AF627" s="63">
        <f>Macro!G11</f>
        <v>2.6661999999999999</v>
      </c>
      <c r="AG627" s="63">
        <f>Macro!H11</f>
        <v>2.3504</v>
      </c>
      <c r="AH627" s="63">
        <f>Macro!I11</f>
        <v>2.2222</v>
      </c>
      <c r="AI627" s="63">
        <f>Macro!J11</f>
        <v>2.3407</v>
      </c>
      <c r="AJ627" s="63">
        <f>Macro!K11</f>
        <v>2.3407</v>
      </c>
      <c r="AK627" s="63">
        <f>Macro!L11</f>
        <v>2.1724000000000001</v>
      </c>
      <c r="AL627" s="63">
        <f>Macro!M11</f>
        <v>2.1642999999999999</v>
      </c>
      <c r="AM627" s="63">
        <f>Macro!N11</f>
        <v>2.1741999999999999</v>
      </c>
      <c r="AN627" s="63">
        <f>Macro!O11</f>
        <v>2.1379999999999999</v>
      </c>
      <c r="AO627" s="63">
        <f>Macro!P11</f>
        <v>2.1379999999999999</v>
      </c>
      <c r="AP627" s="63">
        <f>Macro!Q11</f>
        <v>2.0503999999999998</v>
      </c>
      <c r="AQ627" s="63">
        <f>Macro!R11</f>
        <v>1.9261999999999999</v>
      </c>
      <c r="AR627" s="63">
        <f>Macro!S11</f>
        <v>1.8389</v>
      </c>
      <c r="AS627" s="63">
        <f>Macro!T11</f>
        <v>1.7713000000000001</v>
      </c>
      <c r="AT627" s="63">
        <f>Macro!U11</f>
        <v>1.7713000000000001</v>
      </c>
      <c r="AU627" s="63">
        <f>Macro!V11</f>
        <v>1.7491000000000001</v>
      </c>
      <c r="AV627" s="63">
        <f>Macro!W11</f>
        <v>1.5919000000000001</v>
      </c>
      <c r="AW627" s="63">
        <f>Macro!X11</f>
        <v>1.9142999999999999</v>
      </c>
      <c r="AX627" s="63">
        <f>Macro!Y11</f>
        <v>2.3370000000000002</v>
      </c>
      <c r="AY627" s="63">
        <f>Macro!Z11</f>
        <v>2.3370000000000002</v>
      </c>
      <c r="AZ627" s="63">
        <f>Macro!AA11</f>
        <v>2.3151999999999999</v>
      </c>
      <c r="BA627" s="63">
        <f>Macro!AB11</f>
        <v>1.9516</v>
      </c>
      <c r="BB627" s="63">
        <f>Macro!AC11</f>
        <v>1.7781</v>
      </c>
      <c r="BC627" s="63">
        <f>Macro!AD11</f>
        <v>1.7412000000000001</v>
      </c>
      <c r="BD627" s="63">
        <f>Macro!AE11</f>
        <v>1.7412000000000001</v>
      </c>
      <c r="BE627" s="63">
        <f>Macro!AF11</f>
        <v>1.7810000000000001</v>
      </c>
      <c r="BF627" s="63">
        <f>Macro!AG11</f>
        <v>1.8014999999999999</v>
      </c>
      <c r="BG627" s="63">
        <f>Macro!AH11</f>
        <v>1.6941999999999999</v>
      </c>
      <c r="BH627" s="63">
        <f>Macro!AI11</f>
        <v>1.7161</v>
      </c>
      <c r="BI627" s="63">
        <f>Macro!AJ11</f>
        <v>1.6661999999999999</v>
      </c>
      <c r="BJ627" s="63">
        <f>Macro!AK11</f>
        <v>1.6317999999999999</v>
      </c>
      <c r="BK627" s="63">
        <f>Macro!AL11</f>
        <v>1.5632999999999999</v>
      </c>
      <c r="BL627" s="63">
        <f>Macro!AM11</f>
        <v>1.8793</v>
      </c>
      <c r="BM627" s="63">
        <f>Macro!AN11</f>
        <v>1.8668</v>
      </c>
      <c r="BN627" s="63">
        <f>Macro!AO11</f>
        <v>1.8757999999999999</v>
      </c>
      <c r="BO627" s="63">
        <f>Macro!AP11</f>
        <v>1.82</v>
      </c>
      <c r="BP627" s="63">
        <f>Macro!AQ11</f>
        <v>2.02</v>
      </c>
      <c r="BQ627" s="63">
        <f>Macro!AR11</f>
        <v>2.0299999999999998</v>
      </c>
      <c r="BR627" s="63">
        <f>Macro!AS11</f>
        <v>2.04</v>
      </c>
      <c r="BS627" s="63">
        <f>Macro!AT11</f>
        <v>2.04</v>
      </c>
      <c r="BT627" s="63">
        <f>Macro!AU11</f>
        <v>2.0137999999999998</v>
      </c>
      <c r="BU627" s="63">
        <f>Macro!AV11</f>
        <v>2.2155999999999998</v>
      </c>
      <c r="BV627" s="63">
        <f>Macro!AW11</f>
        <v>2.23</v>
      </c>
      <c r="BW627" s="63">
        <f>Macro!AX11</f>
        <v>2.3426</v>
      </c>
      <c r="BX627" s="63">
        <f>Macro!AY11</f>
        <v>2.34</v>
      </c>
      <c r="BY627" s="63">
        <f>Macro!AZ11</f>
        <v>2.2629999999999999</v>
      </c>
      <c r="BZ627" s="63">
        <f>Macro!BA11</f>
        <v>2.29</v>
      </c>
      <c r="CA627" s="63">
        <f>Macro!BB11</f>
        <v>2.34</v>
      </c>
      <c r="CB627" s="63">
        <f>Macro!BC11</f>
        <v>2.4</v>
      </c>
      <c r="CC627" s="63">
        <f>Macro!BD11</f>
        <v>2.6562000000000001</v>
      </c>
      <c r="CD627" s="63">
        <f>Macro!BE11</f>
        <v>3.2080000000000002</v>
      </c>
      <c r="CE627" s="63">
        <f>Macro!BF11</f>
        <v>3.1025999999999998</v>
      </c>
      <c r="CF627" s="63">
        <f>Macro!BG11</f>
        <v>3.9729000000000001</v>
      </c>
      <c r="CG627" s="63">
        <f>Macro!BH11</f>
        <v>3.9047999999999998</v>
      </c>
      <c r="CH627" s="63">
        <f>Macro!BI11</f>
        <v>3.7999999523162842</v>
      </c>
      <c r="CI627" s="63">
        <f>Macro!BJ11</f>
        <v>3.5589</v>
      </c>
      <c r="CJ627" s="63">
        <f>Macro!BK11</f>
        <v>3.2098</v>
      </c>
      <c r="CK627" s="63">
        <f>Macro!BL11</f>
        <v>3.2462</v>
      </c>
      <c r="CL627" s="63">
        <f>Macro!BM11</f>
        <v>3.2591000000000001</v>
      </c>
      <c r="CM627" s="63">
        <f>Macro!BN11</f>
        <v>3.2591000000000001</v>
      </c>
      <c r="CN627" s="63">
        <f>Macro!BO11</f>
        <v>3.2</v>
      </c>
      <c r="CO627" s="63">
        <f>Macro!BP11</f>
        <v>3.12</v>
      </c>
      <c r="CP627" s="63">
        <f>Macro!BQ11</f>
        <v>3.31</v>
      </c>
      <c r="CQ627" s="63">
        <f>Macro!BR11</f>
        <v>3.3079999999999998</v>
      </c>
      <c r="CR627" s="63">
        <f>Macro!BS11</f>
        <v>3.3079999999999998</v>
      </c>
      <c r="CS627" s="63">
        <f>Macro!BT11</f>
        <v>3.3237999999999999</v>
      </c>
      <c r="CT627" s="63">
        <f>Macro!BU11</f>
        <v>3.8557999999999999</v>
      </c>
      <c r="CU627" s="63">
        <f>Macro!BV11</f>
        <v>4.0038999999999998</v>
      </c>
      <c r="CV627" s="63">
        <f>Macro!BW11</f>
        <v>3.88</v>
      </c>
      <c r="CW627" s="63">
        <f>Macro!BX11</f>
        <v>3.88</v>
      </c>
      <c r="CX627" s="63">
        <f>Macro!BY11</f>
        <v>3.9017477950776094</v>
      </c>
      <c r="CY627" s="63">
        <f>Macro!BZ11</f>
        <v>3.9236174887610789</v>
      </c>
      <c r="CZ627" s="63">
        <f>Macro!CA11</f>
        <v>3.9456097643045065</v>
      </c>
      <c r="DA627" s="63">
        <f>Macro!CB11</f>
        <v>3.9677253087916995</v>
      </c>
      <c r="DB627" s="63">
        <f>Macro!CC11</f>
        <v>4.0307000000000004</v>
      </c>
      <c r="DC627" s="63">
        <f>Macro!CD11</f>
        <v>5</v>
      </c>
      <c r="DD627" s="63">
        <f>Macro!CE11</f>
        <v>5.0084135653963973</v>
      </c>
      <c r="DE627" s="63">
        <f>Macro!CF11</f>
        <v>5.0168412884093296</v>
      </c>
      <c r="DF627" s="63">
        <f>Macro!CG11</f>
        <v>5.0252831928620045</v>
      </c>
      <c r="DG627" s="63">
        <f>Macro!CH11</f>
        <v>4.8</v>
      </c>
      <c r="DH627" s="63">
        <f>Macro!CI11</f>
        <v>4.8726419796985514</v>
      </c>
      <c r="DI627" s="63">
        <f>Macro!CJ11</f>
        <v>4.9463833046501291</v>
      </c>
      <c r="DJ627" s="63">
        <f>Macro!CK11</f>
        <v>5.0212406120663058</v>
      </c>
      <c r="DK627" s="63">
        <f>Macro!CL11</f>
        <v>5.0972307909419854</v>
      </c>
      <c r="DL627" s="63">
        <f>Macro!CM11</f>
        <v>5.5804999999999998</v>
      </c>
      <c r="DM627" s="63">
        <f>Macro!CN11</f>
        <v>5.6316783282881326</v>
      </c>
      <c r="DN627" s="63">
        <f>Macro!CO11</f>
        <v>5.6833260090153601</v>
      </c>
      <c r="DO627" s="63">
        <f>Macro!CP11</f>
        <v>5.7354473465761293</v>
      </c>
      <c r="DP627" s="63">
        <f>Macro!CQ11</f>
        <v>5.7880466848401513</v>
      </c>
      <c r="DQ627" s="63">
        <f>Macro!CR11</f>
        <v>5.2176999999999998</v>
      </c>
      <c r="DR627" s="63">
        <f>Macro!CS11</f>
        <v>5.2508591277992398</v>
      </c>
      <c r="DS627" s="63">
        <f>Macro!CT11</f>
        <v>5.2842289859502456</v>
      </c>
      <c r="DT627" s="63">
        <f>Macro!CU11</f>
        <v>5.3178109136704235</v>
      </c>
      <c r="DU627" s="63">
        <f>Macro!CV11</f>
        <v>5.3516062586880739</v>
      </c>
      <c r="DV627" s="63">
        <f>Macro!CW11</f>
        <v>4.8513000000000002</v>
      </c>
      <c r="DW627" s="63">
        <f>Macro!CX11</f>
        <v>4.8845908634638056</v>
      </c>
      <c r="DX627" s="63">
        <f>Macro!CY11</f>
        <v>4.9181101773615499</v>
      </c>
      <c r="DY627" s="63">
        <f>Macro!CZ11</f>
        <v>4.9518595093786377</v>
      </c>
      <c r="DZ627" s="63">
        <f>Macro!DA11</f>
        <v>4.9858404379583323</v>
      </c>
      <c r="EA627" s="63">
        <f>Macro!DB11</f>
        <v>6.1923000000000004</v>
      </c>
      <c r="EB627" s="417"/>
    </row>
    <row r="628" spans="1:267">
      <c r="A628" s="11" t="s">
        <v>658</v>
      </c>
      <c r="EB628" s="417"/>
    </row>
    <row r="629" spans="1:267">
      <c r="A629" s="11" t="s">
        <v>659</v>
      </c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>
        <f>Macro!B13</f>
        <v>2.8958666666666666</v>
      </c>
      <c r="AB629" s="63">
        <f>Macro!C13</f>
        <v>3.0451666666666668</v>
      </c>
      <c r="AC629" s="63">
        <f>Macro!D13</f>
        <v>2.9769333333333332</v>
      </c>
      <c r="AD629" s="63">
        <f>Macro!E13</f>
        <v>2.7856999999999998</v>
      </c>
      <c r="AE629" s="63">
        <f>Macro!F13</f>
        <v>2.9259166666666667</v>
      </c>
      <c r="AF629" s="63">
        <f>Macro!G13</f>
        <v>2.6651666666666665</v>
      </c>
      <c r="AG629" s="63">
        <f>Macro!H13</f>
        <v>2.4818333333333333</v>
      </c>
      <c r="AH629" s="63">
        <f>Macro!I13</f>
        <v>2.3428333333333331</v>
      </c>
      <c r="AI629" s="63">
        <f>Macro!J13</f>
        <v>2.2509333333333332</v>
      </c>
      <c r="AJ629" s="63">
        <f>Macro!K13</f>
        <v>2.4351916666666664</v>
      </c>
      <c r="AK629" s="63">
        <f>Macro!L13</f>
        <v>2.1959333333333335</v>
      </c>
      <c r="AL629" s="63">
        <f>Macro!M13</f>
        <v>2.1852333333333331</v>
      </c>
      <c r="AM629" s="63">
        <f>Macro!N13</f>
        <v>2.1713</v>
      </c>
      <c r="AN629" s="63">
        <f>Macro!O13</f>
        <v>2.1520333333333337</v>
      </c>
      <c r="AO629" s="63">
        <f>Macro!P13</f>
        <v>2.1761250000000003</v>
      </c>
      <c r="AP629" s="63">
        <f>Macro!Q13</f>
        <v>2.1078166666666664</v>
      </c>
      <c r="AQ629" s="63">
        <f>Macro!R13</f>
        <v>1.9818333333333333</v>
      </c>
      <c r="AR629" s="63">
        <f>Macro!S13</f>
        <v>1.9161333333333335</v>
      </c>
      <c r="AS629" s="63">
        <f>Macro!T13</f>
        <v>1.7856333333333332</v>
      </c>
      <c r="AT629" s="63">
        <f>Macro!U13</f>
        <v>1.9478541666666667</v>
      </c>
      <c r="AU629" s="63">
        <f>Macro!V13</f>
        <v>1.7365333333333333</v>
      </c>
      <c r="AV629" s="63">
        <f>Macro!W13</f>
        <v>1.6561000000000001</v>
      </c>
      <c r="AW629" s="63">
        <f>Macro!X13</f>
        <v>1.6677666666666668</v>
      </c>
      <c r="AX629" s="63">
        <f>Macro!Y13</f>
        <v>2.2778666666666667</v>
      </c>
      <c r="AY629" s="63">
        <f>Macro!Z13</f>
        <v>1.8345666666666669</v>
      </c>
      <c r="AZ629" s="63">
        <f>Macro!AA13</f>
        <v>2.3112999999999997</v>
      </c>
      <c r="BA629" s="63">
        <f>Macro!AB13</f>
        <v>2.0748000000000002</v>
      </c>
      <c r="BB629" s="63">
        <f>Macro!AC13</f>
        <v>1.8659333333333334</v>
      </c>
      <c r="BC629" s="63">
        <f>Macro!AD13</f>
        <v>1.7383666666666666</v>
      </c>
      <c r="BD629" s="63">
        <f>Macro!AE13</f>
        <v>1.9976</v>
      </c>
      <c r="BE629" s="63">
        <f>Macro!AF13</f>
        <v>1.8416333333333332</v>
      </c>
      <c r="BF629" s="63">
        <f>Macro!AG13</f>
        <v>1.813190476190476</v>
      </c>
      <c r="BG629" s="63">
        <f>Macro!AH13</f>
        <v>1.759563636363636</v>
      </c>
      <c r="BH629" s="63">
        <f>Macro!AI13</f>
        <v>1.7133300000000002</v>
      </c>
      <c r="BI629" s="63">
        <f>Macro!AJ13</f>
        <v>1.7593000000000001</v>
      </c>
      <c r="BJ629" s="63">
        <f>Macro!AK13</f>
        <v>1.66683064516129</v>
      </c>
      <c r="BK629" s="63">
        <f>Macro!AL13</f>
        <v>1.5953516129032264</v>
      </c>
      <c r="BL629" s="63">
        <f>Macro!AM13</f>
        <v>1.6363953846153851</v>
      </c>
      <c r="BM629" s="63">
        <f>Macro!AN13</f>
        <v>1.8029258064516125</v>
      </c>
      <c r="BN629" s="63">
        <f>Macro!AO13</f>
        <v>1.6746000000000001</v>
      </c>
      <c r="BO629" s="63">
        <f>Macro!AP13</f>
        <v>1.7687873015873015</v>
      </c>
      <c r="BP629" s="63">
        <f>Macro!AQ13</f>
        <v>1.9633</v>
      </c>
      <c r="BQ629" s="63">
        <f>Macro!AR13</f>
        <v>2.0278999999999998</v>
      </c>
      <c r="BR629" s="63">
        <f>Macro!AS13</f>
        <v>2.06</v>
      </c>
      <c r="BS629" s="63">
        <f>Macro!AT13</f>
        <v>1.9549968253968255</v>
      </c>
      <c r="BT629" s="63">
        <f>Macro!AU13</f>
        <v>1.9957333333333336</v>
      </c>
      <c r="BU629" s="63">
        <f>Macro!AV13</f>
        <v>2.0700000000000003</v>
      </c>
      <c r="BV629" s="63">
        <f>Macro!AW13</f>
        <v>2.2883</v>
      </c>
      <c r="BW629" s="63">
        <f>Macro!AX13</f>
        <v>2.2765</v>
      </c>
      <c r="BX629" s="63">
        <f>Macro!AY13</f>
        <v>2.1576333333333335</v>
      </c>
      <c r="BY629" s="63">
        <f>Macro!AZ13</f>
        <v>2.3639964913333333</v>
      </c>
      <c r="BZ629" s="63">
        <f>Macro!BA13</f>
        <v>2.2688319718766357</v>
      </c>
      <c r="CA629" s="63">
        <f>Macro!BB13</f>
        <v>2.33</v>
      </c>
      <c r="CB629" s="63">
        <f>Macro!BC13</f>
        <v>2.38</v>
      </c>
      <c r="CC629" s="63">
        <f>Macro!BD13</f>
        <v>2.3357071158024922</v>
      </c>
      <c r="CD629" s="63">
        <f>Macro!BE13</f>
        <v>2.8691</v>
      </c>
      <c r="CE629" s="63">
        <f>Macro!BF13</f>
        <v>3.0709</v>
      </c>
      <c r="CF629" s="63">
        <f>Macro!BG13</f>
        <v>3.5398999999999998</v>
      </c>
      <c r="CG629" s="63">
        <f>Macro!BH13</f>
        <v>3.8471000000000002</v>
      </c>
      <c r="CH629" s="63">
        <f>Macro!BI13</f>
        <v>3.3317499999999995</v>
      </c>
      <c r="CI629" s="63">
        <f>Macro!BJ13</f>
        <v>3.6794499761581418</v>
      </c>
      <c r="CJ629" s="63">
        <f>Macro!BK13</f>
        <v>3.38435</v>
      </c>
      <c r="CK629" s="63">
        <f>Macro!BL13</f>
        <v>3.2279999999999998</v>
      </c>
      <c r="CL629" s="63">
        <f>Macro!BM13</f>
        <v>3.25265</v>
      </c>
      <c r="CM629" s="63">
        <f>Macro!BN13</f>
        <v>3.3861124940395353</v>
      </c>
      <c r="CN629" s="63">
        <f>Macro!BO13</f>
        <v>3.2295500000000001</v>
      </c>
      <c r="CO629" s="63">
        <f>Macro!BP13</f>
        <v>3.16</v>
      </c>
      <c r="CP629" s="63">
        <f>Macro!BQ13</f>
        <v>3.2149999999999999</v>
      </c>
      <c r="CQ629" s="63">
        <f>Macro!BR13</f>
        <v>3.3090000000000002</v>
      </c>
      <c r="CR629" s="63">
        <f>Macro!BS13</f>
        <v>3.2283875000000002</v>
      </c>
      <c r="CS629" s="63">
        <f>Macro!BT13</f>
        <v>3.3159000000000001</v>
      </c>
      <c r="CT629" s="63">
        <f>Macro!BU13</f>
        <v>3.5897999999999999</v>
      </c>
      <c r="CU629" s="63">
        <f>Macro!BV13</f>
        <v>3.9298500000000001</v>
      </c>
      <c r="CV629" s="63">
        <f>Macro!BW13</f>
        <v>3.9419499999999998</v>
      </c>
      <c r="CW629" s="63">
        <f>Macro!BX13</f>
        <v>3.694375</v>
      </c>
      <c r="CX629" s="63">
        <f>Macro!BY13</f>
        <v>3.8908738975388046</v>
      </c>
      <c r="CY629" s="63">
        <f>Macro!BZ13</f>
        <v>3.9126826419193441</v>
      </c>
      <c r="CZ629" s="63">
        <f>Macro!CA13</f>
        <v>3.9346136265327925</v>
      </c>
      <c r="DA629" s="63">
        <f>Macro!CB13</f>
        <v>3.9566675365481032</v>
      </c>
      <c r="DB629" s="63">
        <f>Macro!CC13</f>
        <v>3.9237094256347609</v>
      </c>
      <c r="DC629" s="63">
        <f>Macro!CD13</f>
        <v>4.5153499999999998</v>
      </c>
      <c r="DD629" s="63">
        <f>Macro!CE13</f>
        <v>5.0042067826981986</v>
      </c>
      <c r="DE629" s="63">
        <f>Macro!CF13</f>
        <v>5.0126274269028634</v>
      </c>
      <c r="DF629" s="63">
        <f>Macro!CG13</f>
        <v>5.0210622406356666</v>
      </c>
      <c r="DG629" s="63">
        <f>Macro!CH13</f>
        <v>4.8883116125591819</v>
      </c>
      <c r="DH629" s="63">
        <f>Macro!CI13</f>
        <v>4.8363209898492752</v>
      </c>
      <c r="DI629" s="63">
        <f>Macro!CJ13</f>
        <v>4.9095126421743398</v>
      </c>
      <c r="DJ629" s="63">
        <f>Macro!CK13</f>
        <v>4.983811958358217</v>
      </c>
      <c r="DK629" s="63">
        <f>Macro!CL13</f>
        <v>5.0592357015041456</v>
      </c>
      <c r="DL629" s="63">
        <f>Macro!CM13</f>
        <v>4.9472203229714946</v>
      </c>
      <c r="DM629" s="63">
        <f>Macro!CN13</f>
        <v>5.6060891641440662</v>
      </c>
      <c r="DN629" s="63">
        <f>Macro!CO13</f>
        <v>5.6575021686517459</v>
      </c>
      <c r="DO629" s="63">
        <f>Macro!CP13</f>
        <v>5.7093866777957452</v>
      </c>
      <c r="DP629" s="63">
        <f>Macro!CQ13</f>
        <v>5.7617470157081403</v>
      </c>
      <c r="DQ629" s="63">
        <f>Macro!CR13</f>
        <v>5.6836812565749248</v>
      </c>
      <c r="DR629" s="63">
        <f>Macro!CS13</f>
        <v>5.2342795638996193</v>
      </c>
      <c r="DS629" s="63">
        <f>Macro!CT13</f>
        <v>5.2675440568747423</v>
      </c>
      <c r="DT629" s="63">
        <f>Macro!CU13</f>
        <v>5.3010199498103345</v>
      </c>
      <c r="DU629" s="63">
        <f>Macro!CV13</f>
        <v>5.3347085861792483</v>
      </c>
      <c r="DV629" s="63">
        <f>Macro!CW13</f>
        <v>5.2843880391909863</v>
      </c>
      <c r="DW629" s="63">
        <f>Macro!CX13</f>
        <v>4.8679454317319024</v>
      </c>
      <c r="DX629" s="63">
        <f>Macro!CY13</f>
        <v>4.9013505204126773</v>
      </c>
      <c r="DY629" s="63">
        <f>Macro!CZ13</f>
        <v>4.9349848433700938</v>
      </c>
      <c r="DZ629" s="63">
        <f>Macro!DA13</f>
        <v>4.968849973668485</v>
      </c>
      <c r="EA629" s="63">
        <f>Macro!DB13</f>
        <v>4.9182826922957901</v>
      </c>
      <c r="EB629" s="417"/>
    </row>
    <row r="630" spans="1:267">
      <c r="A630" s="416"/>
      <c r="B630" s="416"/>
      <c r="C630" s="416"/>
      <c r="D630" s="416"/>
      <c r="E630" s="416"/>
      <c r="F630" s="416"/>
      <c r="G630" s="416"/>
      <c r="H630" s="416"/>
      <c r="I630" s="416"/>
      <c r="J630" s="416"/>
      <c r="K630" s="416"/>
      <c r="L630" s="416"/>
      <c r="M630" s="416"/>
      <c r="N630" s="416"/>
      <c r="O630" s="416"/>
      <c r="P630" s="416"/>
      <c r="Q630" s="416"/>
      <c r="R630" s="416"/>
      <c r="S630" s="416"/>
      <c r="T630" s="416"/>
      <c r="U630" s="416"/>
      <c r="V630" s="416"/>
      <c r="W630" s="416"/>
      <c r="X630" s="416"/>
      <c r="Y630" s="416"/>
      <c r="Z630" s="416"/>
      <c r="AA630" s="416"/>
      <c r="AB630" s="416"/>
      <c r="AC630" s="416"/>
      <c r="AD630" s="416"/>
      <c r="AE630" s="416"/>
      <c r="AF630" s="416"/>
      <c r="AG630" s="416"/>
      <c r="AH630" s="416"/>
      <c r="AI630" s="416"/>
      <c r="AJ630" s="416"/>
      <c r="AK630" s="416"/>
      <c r="AL630" s="416"/>
      <c r="AM630" s="416"/>
      <c r="AN630" s="416"/>
      <c r="AO630" s="416"/>
      <c r="AP630" s="416"/>
      <c r="AQ630" s="416"/>
      <c r="AR630" s="416"/>
      <c r="AS630" s="416"/>
      <c r="AT630" s="416"/>
      <c r="AU630" s="416"/>
      <c r="AV630" s="416"/>
      <c r="AW630" s="416"/>
      <c r="AX630" s="416"/>
      <c r="AY630" s="416"/>
      <c r="AZ630" s="416"/>
      <c r="BA630" s="416"/>
      <c r="BB630" s="416"/>
      <c r="BC630" s="416"/>
      <c r="BD630" s="416"/>
      <c r="BE630" s="416"/>
      <c r="BF630" s="416"/>
      <c r="BG630" s="416"/>
      <c r="BH630" s="416"/>
      <c r="BI630" s="416"/>
      <c r="BJ630" s="416"/>
      <c r="BK630" s="416"/>
      <c r="BL630" s="416"/>
      <c r="BM630" s="416"/>
      <c r="BN630" s="416"/>
      <c r="BO630" s="416"/>
      <c r="BP630" s="416"/>
      <c r="BQ630" s="416"/>
      <c r="BR630" s="416"/>
      <c r="BS630" s="416"/>
      <c r="BT630" s="416"/>
      <c r="BU630" s="416"/>
      <c r="BV630" s="416"/>
      <c r="BW630" s="416"/>
      <c r="BX630" s="416"/>
      <c r="BY630" s="416"/>
      <c r="BZ630" s="416"/>
      <c r="CA630" s="416"/>
      <c r="CB630" s="416"/>
      <c r="CC630" s="416"/>
      <c r="CD630" s="416"/>
      <c r="CE630" s="416"/>
      <c r="CF630" s="416"/>
      <c r="CG630" s="416"/>
      <c r="CH630" s="416"/>
      <c r="CI630" s="416"/>
      <c r="CJ630" s="416"/>
      <c r="CK630" s="416"/>
      <c r="CL630" s="416"/>
      <c r="CM630" s="416"/>
      <c r="CN630" s="416"/>
      <c r="CO630" s="416"/>
      <c r="CP630" s="416"/>
      <c r="CQ630" s="416"/>
      <c r="CR630" s="416"/>
      <c r="CS630" s="416"/>
      <c r="CT630" s="416"/>
      <c r="CU630" s="416"/>
      <c r="CV630" s="416"/>
      <c r="CW630" s="416"/>
      <c r="CX630" s="416"/>
      <c r="CY630" s="416"/>
      <c r="CZ630" s="416"/>
      <c r="DA630" s="416"/>
      <c r="DB630" s="416"/>
      <c r="DC630" s="416"/>
      <c r="DD630" s="416"/>
      <c r="DE630" s="416"/>
      <c r="DF630" s="416"/>
      <c r="DG630" s="416"/>
      <c r="DH630" s="416"/>
      <c r="DI630" s="416"/>
      <c r="DJ630" s="416"/>
      <c r="DK630" s="416"/>
      <c r="DL630" s="416"/>
      <c r="DM630" s="416"/>
      <c r="DN630" s="416"/>
      <c r="DO630" s="416"/>
      <c r="DP630" s="416"/>
      <c r="DQ630" s="416"/>
      <c r="DR630" s="416"/>
      <c r="DS630" s="416"/>
      <c r="DT630" s="416"/>
      <c r="DU630" s="416"/>
      <c r="DV630" s="416"/>
      <c r="DW630" s="416"/>
      <c r="DX630" s="416"/>
      <c r="DY630" s="416"/>
      <c r="DZ630" s="416"/>
      <c r="EA630" s="416"/>
      <c r="EB630" s="415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</row>
  </sheetData>
  <dataConsolidate link="1"/>
  <pageMargins left="0.75" right="0.75" top="1" bottom="1" header="0.5" footer="0.5"/>
  <pageSetup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36973</vt:i4>
      </vt:variant>
    </vt:vector>
  </HeadingPairs>
  <TitlesOfParts>
    <vt:vector size="36984" baseType="lpstr">
      <vt:lpstr>Macro</vt:lpstr>
      <vt:lpstr>Income Statement</vt:lpstr>
      <vt:lpstr>Balance Sheet</vt:lpstr>
      <vt:lpstr>Forecasts</vt:lpstr>
      <vt:lpstr>Cash Flow</vt:lpstr>
      <vt:lpstr>TP Calculation</vt:lpstr>
      <vt:lpstr>DCF</vt:lpstr>
      <vt:lpstr>Tables</vt:lpstr>
      <vt:lpstr>FCF build up</vt:lpstr>
      <vt:lpstr>Tags_ols</vt:lpstr>
      <vt:lpstr>Tags</vt:lpstr>
      <vt:lpstr>ACCDEP_1995</vt:lpstr>
      <vt:lpstr>ACCDEP_1996</vt:lpstr>
      <vt:lpstr>ACCDEP_1997</vt:lpstr>
      <vt:lpstr>ACCDEP_1998</vt:lpstr>
      <vt:lpstr>ACCDEP_1999</vt:lpstr>
      <vt:lpstr>Tags!ACCDEP_1Q00</vt:lpstr>
      <vt:lpstr>ACCDEP_1Q00</vt:lpstr>
      <vt:lpstr>Tags!ACCDEP_1Q01</vt:lpstr>
      <vt:lpstr>ACCDEP_1Q01</vt:lpstr>
      <vt:lpstr>Tags!ACCDEP_1Q02</vt:lpstr>
      <vt:lpstr>ACCDEP_1Q02</vt:lpstr>
      <vt:lpstr>Tags!ACCDEP_1Q03</vt:lpstr>
      <vt:lpstr>ACCDEP_1Q03</vt:lpstr>
      <vt:lpstr>Tags!ACCDEP_1Q04</vt:lpstr>
      <vt:lpstr>ACCDEP_1Q04</vt:lpstr>
      <vt:lpstr>Tags!ACCDEP_1Q05</vt:lpstr>
      <vt:lpstr>ACCDEP_1Q05</vt:lpstr>
      <vt:lpstr>Tags!ACCDEP_1Q06</vt:lpstr>
      <vt:lpstr>ACCDEP_1Q06</vt:lpstr>
      <vt:lpstr>Tags!ACCDEP_1Q07</vt:lpstr>
      <vt:lpstr>ACCDEP_1Q07</vt:lpstr>
      <vt:lpstr>Tags!ACCDEP_1Q08</vt:lpstr>
      <vt:lpstr>ACCDEP_1Q08</vt:lpstr>
      <vt:lpstr>Tags!ACCDEP_1Q09</vt:lpstr>
      <vt:lpstr>ACCDEP_1Q09</vt:lpstr>
      <vt:lpstr>Tags!ACCDEP_1Q10</vt:lpstr>
      <vt:lpstr>ACCDEP_1Q10</vt:lpstr>
      <vt:lpstr>Tags!ACCDEP_1Q11</vt:lpstr>
      <vt:lpstr>ACCDEP_1Q11</vt:lpstr>
      <vt:lpstr>Tags!ACCDEP_1Q12</vt:lpstr>
      <vt:lpstr>ACCDEP_1Q12</vt:lpstr>
      <vt:lpstr>Tags!ACCDEP_1Q13</vt:lpstr>
      <vt:lpstr>ACCDEP_1Q13</vt:lpstr>
      <vt:lpstr>Tags!ACCDEP_1Q14</vt:lpstr>
      <vt:lpstr>ACCDEP_1Q14</vt:lpstr>
      <vt:lpstr>Tags!ACCDEP_1Q15</vt:lpstr>
      <vt:lpstr>ACCDEP_1Q15</vt:lpstr>
      <vt:lpstr>Tags!ACCDEP_1Q16</vt:lpstr>
      <vt:lpstr>ACCDEP_1Q16</vt:lpstr>
      <vt:lpstr>Tags!ACCDEP_1Q17</vt:lpstr>
      <vt:lpstr>ACCDEP_1Q17</vt:lpstr>
      <vt:lpstr>Tags!ACCDEP_1Q18</vt:lpstr>
      <vt:lpstr>ACCDEP_1Q18</vt:lpstr>
      <vt:lpstr>Tags!ACCDEP_1Q19</vt:lpstr>
      <vt:lpstr>ACCDEP_1Q19</vt:lpstr>
      <vt:lpstr>Tags!ACCDEP_1Q20</vt:lpstr>
      <vt:lpstr>ACCDEP_1Q20</vt:lpstr>
      <vt:lpstr>ACCDEP_1Q21</vt:lpstr>
      <vt:lpstr>ACCDEP_1Q22</vt:lpstr>
      <vt:lpstr>ACCDEP_1Q23</vt:lpstr>
      <vt:lpstr>ACCDEP_1Q24</vt:lpstr>
      <vt:lpstr>Tags!ACCDEP_2000</vt:lpstr>
      <vt:lpstr>ACCDEP_2000</vt:lpstr>
      <vt:lpstr>Tags!ACCDEP_2001</vt:lpstr>
      <vt:lpstr>ACCDEP_2001</vt:lpstr>
      <vt:lpstr>Tags!ACCDEP_2002</vt:lpstr>
      <vt:lpstr>ACCDEP_2002</vt:lpstr>
      <vt:lpstr>Tags!ACCDEP_2003</vt:lpstr>
      <vt:lpstr>ACCDEP_2003</vt:lpstr>
      <vt:lpstr>Tags!ACCDEP_2004</vt:lpstr>
      <vt:lpstr>ACCDEP_2004</vt:lpstr>
      <vt:lpstr>Tags!ACCDEP_2005</vt:lpstr>
      <vt:lpstr>ACCDEP_2005</vt:lpstr>
      <vt:lpstr>Tags!ACCDEP_2006</vt:lpstr>
      <vt:lpstr>ACCDEP_2006</vt:lpstr>
      <vt:lpstr>Tags!ACCDEP_2007</vt:lpstr>
      <vt:lpstr>ACCDEP_2007</vt:lpstr>
      <vt:lpstr>Tags!ACCDEP_2008</vt:lpstr>
      <vt:lpstr>ACCDEP_2008</vt:lpstr>
      <vt:lpstr>Tags!ACCDEP_2009</vt:lpstr>
      <vt:lpstr>ACCDEP_2009</vt:lpstr>
      <vt:lpstr>Tags!ACCDEP_2010</vt:lpstr>
      <vt:lpstr>ACCDEP_2010</vt:lpstr>
      <vt:lpstr>Tags!ACCDEP_2011</vt:lpstr>
      <vt:lpstr>ACCDEP_2011</vt:lpstr>
      <vt:lpstr>Tags!ACCDEP_2012</vt:lpstr>
      <vt:lpstr>ACCDEP_2012</vt:lpstr>
      <vt:lpstr>Tags!ACCDEP_2013</vt:lpstr>
      <vt:lpstr>ACCDEP_2013</vt:lpstr>
      <vt:lpstr>Tags!ACCDEP_2014</vt:lpstr>
      <vt:lpstr>ACCDEP_2014</vt:lpstr>
      <vt:lpstr>ACCDEP_2015</vt:lpstr>
      <vt:lpstr>Tags!ACCDEP_2016</vt:lpstr>
      <vt:lpstr>ACCDEP_2016</vt:lpstr>
      <vt:lpstr>Tags!ACCDEP_2017</vt:lpstr>
      <vt:lpstr>ACCDEP_2017</vt:lpstr>
      <vt:lpstr>Tags!ACCDEP_2018</vt:lpstr>
      <vt:lpstr>ACCDEP_2018</vt:lpstr>
      <vt:lpstr>Tags!ACCDEP_2019</vt:lpstr>
      <vt:lpstr>ACCDEP_2019</vt:lpstr>
      <vt:lpstr>Tags!ACCDEP_2020</vt:lpstr>
      <vt:lpstr>ACCDEP_2020</vt:lpstr>
      <vt:lpstr>ACCDEP_2021</vt:lpstr>
      <vt:lpstr>ACCDEP_2022</vt:lpstr>
      <vt:lpstr>ACCDEP_2023</vt:lpstr>
      <vt:lpstr>ACCDEP_2024</vt:lpstr>
      <vt:lpstr>Tags!ACCDEP_2Q00</vt:lpstr>
      <vt:lpstr>ACCDEP_2Q00</vt:lpstr>
      <vt:lpstr>Tags!ACCDEP_2Q01</vt:lpstr>
      <vt:lpstr>ACCDEP_2Q01</vt:lpstr>
      <vt:lpstr>Tags!ACCDEP_2Q02</vt:lpstr>
      <vt:lpstr>ACCDEP_2Q02</vt:lpstr>
      <vt:lpstr>Tags!ACCDEP_2Q03</vt:lpstr>
      <vt:lpstr>ACCDEP_2Q03</vt:lpstr>
      <vt:lpstr>Tags!ACCDEP_2Q04</vt:lpstr>
      <vt:lpstr>ACCDEP_2Q04</vt:lpstr>
      <vt:lpstr>Tags!ACCDEP_2Q05</vt:lpstr>
      <vt:lpstr>ACCDEP_2Q05</vt:lpstr>
      <vt:lpstr>Tags!ACCDEP_2Q06</vt:lpstr>
      <vt:lpstr>ACCDEP_2Q06</vt:lpstr>
      <vt:lpstr>Tags!ACCDEP_2Q07</vt:lpstr>
      <vt:lpstr>ACCDEP_2Q07</vt:lpstr>
      <vt:lpstr>Tags!ACCDEP_2Q08</vt:lpstr>
      <vt:lpstr>ACCDEP_2Q08</vt:lpstr>
      <vt:lpstr>Tags!ACCDEP_2Q09</vt:lpstr>
      <vt:lpstr>ACCDEP_2Q09</vt:lpstr>
      <vt:lpstr>Tags!ACCDEP_2Q10</vt:lpstr>
      <vt:lpstr>ACCDEP_2Q10</vt:lpstr>
      <vt:lpstr>Tags!ACCDEP_2Q11</vt:lpstr>
      <vt:lpstr>ACCDEP_2Q11</vt:lpstr>
      <vt:lpstr>Tags!ACCDEP_2Q12</vt:lpstr>
      <vt:lpstr>ACCDEP_2Q12</vt:lpstr>
      <vt:lpstr>Tags!ACCDEP_2Q13</vt:lpstr>
      <vt:lpstr>ACCDEP_2Q13</vt:lpstr>
      <vt:lpstr>Tags!ACCDEP_2Q14</vt:lpstr>
      <vt:lpstr>ACCDEP_2Q14</vt:lpstr>
      <vt:lpstr>Tags!ACCDEP_2Q15</vt:lpstr>
      <vt:lpstr>ACCDEP_2Q15</vt:lpstr>
      <vt:lpstr>Tags!ACCDEP_2Q16</vt:lpstr>
      <vt:lpstr>ACCDEP_2Q16</vt:lpstr>
      <vt:lpstr>Tags!ACCDEP_2Q17</vt:lpstr>
      <vt:lpstr>ACCDEP_2Q17</vt:lpstr>
      <vt:lpstr>Tags!ACCDEP_2Q18</vt:lpstr>
      <vt:lpstr>ACCDEP_2Q18</vt:lpstr>
      <vt:lpstr>Tags!ACCDEP_2Q19</vt:lpstr>
      <vt:lpstr>ACCDEP_2Q19</vt:lpstr>
      <vt:lpstr>Tags!ACCDEP_2Q20</vt:lpstr>
      <vt:lpstr>ACCDEP_2Q20</vt:lpstr>
      <vt:lpstr>ACCDEP_2Q21</vt:lpstr>
      <vt:lpstr>ACCDEP_2Q22</vt:lpstr>
      <vt:lpstr>ACCDEP_2Q23</vt:lpstr>
      <vt:lpstr>ACCDEP_2Q24</vt:lpstr>
      <vt:lpstr>Tags!ACCDEP_3Q00</vt:lpstr>
      <vt:lpstr>ACCDEP_3Q00</vt:lpstr>
      <vt:lpstr>Tags!ACCDEP_3Q01</vt:lpstr>
      <vt:lpstr>ACCDEP_3Q01</vt:lpstr>
      <vt:lpstr>Tags!ACCDEP_3Q02</vt:lpstr>
      <vt:lpstr>ACCDEP_3Q02</vt:lpstr>
      <vt:lpstr>Tags!ACCDEP_3Q03</vt:lpstr>
      <vt:lpstr>ACCDEP_3Q03</vt:lpstr>
      <vt:lpstr>Tags!ACCDEP_3Q04</vt:lpstr>
      <vt:lpstr>ACCDEP_3Q04</vt:lpstr>
      <vt:lpstr>Tags!ACCDEP_3Q05</vt:lpstr>
      <vt:lpstr>ACCDEP_3Q05</vt:lpstr>
      <vt:lpstr>Tags!ACCDEP_3Q06</vt:lpstr>
      <vt:lpstr>ACCDEP_3Q06</vt:lpstr>
      <vt:lpstr>Tags!ACCDEP_3Q07</vt:lpstr>
      <vt:lpstr>ACCDEP_3Q07</vt:lpstr>
      <vt:lpstr>Tags!ACCDEP_3Q08</vt:lpstr>
      <vt:lpstr>ACCDEP_3Q08</vt:lpstr>
      <vt:lpstr>Tags!ACCDEP_3Q09</vt:lpstr>
      <vt:lpstr>ACCDEP_3Q09</vt:lpstr>
      <vt:lpstr>Tags!ACCDEP_3Q10</vt:lpstr>
      <vt:lpstr>ACCDEP_3Q10</vt:lpstr>
      <vt:lpstr>Tags!ACCDEP_3Q11</vt:lpstr>
      <vt:lpstr>ACCDEP_3Q11</vt:lpstr>
      <vt:lpstr>Tags!ACCDEP_3Q12</vt:lpstr>
      <vt:lpstr>ACCDEP_3Q12</vt:lpstr>
      <vt:lpstr>Tags!ACCDEP_3Q13</vt:lpstr>
      <vt:lpstr>ACCDEP_3Q13</vt:lpstr>
      <vt:lpstr>Tags!ACCDEP_3Q14</vt:lpstr>
      <vt:lpstr>ACCDEP_3Q14</vt:lpstr>
      <vt:lpstr>Tags!ACCDEP_3Q15</vt:lpstr>
      <vt:lpstr>ACCDEP_3Q15</vt:lpstr>
      <vt:lpstr>Tags!ACCDEP_3Q16</vt:lpstr>
      <vt:lpstr>ACCDEP_3Q16</vt:lpstr>
      <vt:lpstr>Tags!ACCDEP_3Q17</vt:lpstr>
      <vt:lpstr>ACCDEP_3Q17</vt:lpstr>
      <vt:lpstr>Tags!ACCDEP_3Q18</vt:lpstr>
      <vt:lpstr>ACCDEP_3Q18</vt:lpstr>
      <vt:lpstr>Tags!ACCDEP_3Q19</vt:lpstr>
      <vt:lpstr>ACCDEP_3Q19</vt:lpstr>
      <vt:lpstr>Tags!ACCDEP_3Q20</vt:lpstr>
      <vt:lpstr>ACCDEP_3Q20</vt:lpstr>
      <vt:lpstr>ACCDEP_3Q21</vt:lpstr>
      <vt:lpstr>ACCDEP_3Q22</vt:lpstr>
      <vt:lpstr>ACCDEP_3Q23</vt:lpstr>
      <vt:lpstr>ACCDEP_3Q24</vt:lpstr>
      <vt:lpstr>Tags!ACCDEP_4Q00</vt:lpstr>
      <vt:lpstr>ACCDEP_4Q00</vt:lpstr>
      <vt:lpstr>Tags!ACCDEP_4Q01</vt:lpstr>
      <vt:lpstr>ACCDEP_4Q01</vt:lpstr>
      <vt:lpstr>Tags!ACCDEP_4Q02</vt:lpstr>
      <vt:lpstr>ACCDEP_4Q02</vt:lpstr>
      <vt:lpstr>Tags!ACCDEP_4Q03</vt:lpstr>
      <vt:lpstr>ACCDEP_4Q03</vt:lpstr>
      <vt:lpstr>Tags!ACCDEP_4Q04</vt:lpstr>
      <vt:lpstr>ACCDEP_4Q04</vt:lpstr>
      <vt:lpstr>Tags!ACCDEP_4Q05</vt:lpstr>
      <vt:lpstr>ACCDEP_4Q05</vt:lpstr>
      <vt:lpstr>Tags!ACCDEP_4Q06</vt:lpstr>
      <vt:lpstr>ACCDEP_4Q06</vt:lpstr>
      <vt:lpstr>Tags!ACCDEP_4Q07</vt:lpstr>
      <vt:lpstr>ACCDEP_4Q07</vt:lpstr>
      <vt:lpstr>Tags!ACCDEP_4Q08</vt:lpstr>
      <vt:lpstr>ACCDEP_4Q08</vt:lpstr>
      <vt:lpstr>Tags!ACCDEP_4Q09</vt:lpstr>
      <vt:lpstr>ACCDEP_4Q09</vt:lpstr>
      <vt:lpstr>Tags!ACCDEP_4Q10</vt:lpstr>
      <vt:lpstr>ACCDEP_4Q10</vt:lpstr>
      <vt:lpstr>Tags!ACCDEP_4Q11</vt:lpstr>
      <vt:lpstr>ACCDEP_4Q11</vt:lpstr>
      <vt:lpstr>Tags!ACCDEP_4Q12</vt:lpstr>
      <vt:lpstr>ACCDEP_4Q12</vt:lpstr>
      <vt:lpstr>Tags!ACCDEP_4Q13</vt:lpstr>
      <vt:lpstr>ACCDEP_4Q13</vt:lpstr>
      <vt:lpstr>Tags!ACCDEP_4Q14</vt:lpstr>
      <vt:lpstr>ACCDEP_4Q14</vt:lpstr>
      <vt:lpstr>Tags!ACCDEP_4Q15</vt:lpstr>
      <vt:lpstr>ACCDEP_4Q15</vt:lpstr>
      <vt:lpstr>Tags!ACCDEP_4Q16</vt:lpstr>
      <vt:lpstr>ACCDEP_4Q16</vt:lpstr>
      <vt:lpstr>Tags!ACCDEP_4Q17</vt:lpstr>
      <vt:lpstr>ACCDEP_4Q17</vt:lpstr>
      <vt:lpstr>Tags!ACCDEP_4Q18</vt:lpstr>
      <vt:lpstr>ACCDEP_4Q18</vt:lpstr>
      <vt:lpstr>Tags!ACCDEP_4Q19</vt:lpstr>
      <vt:lpstr>ACCDEP_4Q19</vt:lpstr>
      <vt:lpstr>Tags!ACCDEP_4Q20</vt:lpstr>
      <vt:lpstr>ACCDEP_4Q20</vt:lpstr>
      <vt:lpstr>ACCDEP_4Q21</vt:lpstr>
      <vt:lpstr>ACCDEP_4Q22</vt:lpstr>
      <vt:lpstr>ACCDEP_4Q23</vt:lpstr>
      <vt:lpstr>ACCDEP_4Q24</vt:lpstr>
      <vt:lpstr>ACCREC_1995</vt:lpstr>
      <vt:lpstr>ACCREC_1996</vt:lpstr>
      <vt:lpstr>ACCREC_1997</vt:lpstr>
      <vt:lpstr>ACCREC_1998</vt:lpstr>
      <vt:lpstr>ACCREC_1999</vt:lpstr>
      <vt:lpstr>Tags!ACCREC_1Q00</vt:lpstr>
      <vt:lpstr>ACCREC_1Q00</vt:lpstr>
      <vt:lpstr>Tags!ACCREC_1Q01</vt:lpstr>
      <vt:lpstr>ACCREC_1Q01</vt:lpstr>
      <vt:lpstr>Tags!ACCREC_1Q02</vt:lpstr>
      <vt:lpstr>ACCREC_1Q02</vt:lpstr>
      <vt:lpstr>Tags!ACCREC_1Q03</vt:lpstr>
      <vt:lpstr>ACCREC_1Q03</vt:lpstr>
      <vt:lpstr>Tags!ACCREC_1Q04</vt:lpstr>
      <vt:lpstr>ACCREC_1Q04</vt:lpstr>
      <vt:lpstr>Tags!ACCREC_1Q05</vt:lpstr>
      <vt:lpstr>ACCREC_1Q05</vt:lpstr>
      <vt:lpstr>Tags!ACCREC_1Q06</vt:lpstr>
      <vt:lpstr>ACCREC_1Q06</vt:lpstr>
      <vt:lpstr>Tags!ACCREC_1Q07</vt:lpstr>
      <vt:lpstr>ACCREC_1Q07</vt:lpstr>
      <vt:lpstr>Tags!ACCREC_1Q08</vt:lpstr>
      <vt:lpstr>ACCREC_1Q08</vt:lpstr>
      <vt:lpstr>Tags!ACCREC_1Q09</vt:lpstr>
      <vt:lpstr>ACCREC_1Q09</vt:lpstr>
      <vt:lpstr>Tags!ACCREC_1Q10</vt:lpstr>
      <vt:lpstr>ACCREC_1Q10</vt:lpstr>
      <vt:lpstr>Tags!ACCREC_1Q11</vt:lpstr>
      <vt:lpstr>ACCREC_1Q11</vt:lpstr>
      <vt:lpstr>Tags!ACCREC_1Q12</vt:lpstr>
      <vt:lpstr>ACCREC_1Q12</vt:lpstr>
      <vt:lpstr>Tags!ACCREC_1Q13</vt:lpstr>
      <vt:lpstr>ACCREC_1Q13</vt:lpstr>
      <vt:lpstr>Tags!ACCREC_1Q14</vt:lpstr>
      <vt:lpstr>ACCREC_1Q14</vt:lpstr>
      <vt:lpstr>Tags!ACCREC_1Q15</vt:lpstr>
      <vt:lpstr>ACCREC_1Q15</vt:lpstr>
      <vt:lpstr>Tags!ACCREC_1Q16</vt:lpstr>
      <vt:lpstr>ACCREC_1Q16</vt:lpstr>
      <vt:lpstr>Tags!ACCREC_1Q17</vt:lpstr>
      <vt:lpstr>ACCREC_1Q17</vt:lpstr>
      <vt:lpstr>Tags!ACCREC_1Q18</vt:lpstr>
      <vt:lpstr>ACCREC_1Q18</vt:lpstr>
      <vt:lpstr>Tags!ACCREC_1Q19</vt:lpstr>
      <vt:lpstr>ACCREC_1Q19</vt:lpstr>
      <vt:lpstr>Tags!ACCREC_1Q20</vt:lpstr>
      <vt:lpstr>ACCREC_1Q20</vt:lpstr>
      <vt:lpstr>ACCREC_1Q21</vt:lpstr>
      <vt:lpstr>ACCREC_1Q22</vt:lpstr>
      <vt:lpstr>ACCREC_1Q23</vt:lpstr>
      <vt:lpstr>ACCREC_1Q24</vt:lpstr>
      <vt:lpstr>Tags!ACCREC_2000</vt:lpstr>
      <vt:lpstr>ACCREC_2000</vt:lpstr>
      <vt:lpstr>Tags!ACCREC_2001</vt:lpstr>
      <vt:lpstr>ACCREC_2001</vt:lpstr>
      <vt:lpstr>Tags!ACCREC_2002</vt:lpstr>
      <vt:lpstr>ACCREC_2002</vt:lpstr>
      <vt:lpstr>Tags!ACCREC_2003</vt:lpstr>
      <vt:lpstr>ACCREC_2003</vt:lpstr>
      <vt:lpstr>Tags!ACCREC_2004</vt:lpstr>
      <vt:lpstr>ACCREC_2004</vt:lpstr>
      <vt:lpstr>Tags!ACCREC_2005</vt:lpstr>
      <vt:lpstr>ACCREC_2005</vt:lpstr>
      <vt:lpstr>Tags!ACCREC_2006</vt:lpstr>
      <vt:lpstr>ACCREC_2006</vt:lpstr>
      <vt:lpstr>Tags!ACCREC_2007</vt:lpstr>
      <vt:lpstr>ACCREC_2007</vt:lpstr>
      <vt:lpstr>Tags!ACCREC_2008</vt:lpstr>
      <vt:lpstr>ACCREC_2008</vt:lpstr>
      <vt:lpstr>Tags!ACCREC_2009</vt:lpstr>
      <vt:lpstr>ACCREC_2009</vt:lpstr>
      <vt:lpstr>Tags!ACCREC_2010</vt:lpstr>
      <vt:lpstr>ACCREC_2010</vt:lpstr>
      <vt:lpstr>Tags!ACCREC_2011</vt:lpstr>
      <vt:lpstr>ACCREC_2011</vt:lpstr>
      <vt:lpstr>Tags!ACCREC_2012</vt:lpstr>
      <vt:lpstr>ACCREC_2012</vt:lpstr>
      <vt:lpstr>Tags!ACCREC_2013</vt:lpstr>
      <vt:lpstr>ACCREC_2013</vt:lpstr>
      <vt:lpstr>Tags!ACCREC_2014</vt:lpstr>
      <vt:lpstr>ACCREC_2014</vt:lpstr>
      <vt:lpstr>ACCREC_2015</vt:lpstr>
      <vt:lpstr>Tags!ACCREC_2016</vt:lpstr>
      <vt:lpstr>ACCREC_2016</vt:lpstr>
      <vt:lpstr>Tags!ACCREC_2017</vt:lpstr>
      <vt:lpstr>ACCREC_2017</vt:lpstr>
      <vt:lpstr>Tags!ACCREC_2018</vt:lpstr>
      <vt:lpstr>ACCREC_2018</vt:lpstr>
      <vt:lpstr>Tags!ACCREC_2019</vt:lpstr>
      <vt:lpstr>ACCREC_2019</vt:lpstr>
      <vt:lpstr>Tags!ACCREC_2020</vt:lpstr>
      <vt:lpstr>ACCREC_2020</vt:lpstr>
      <vt:lpstr>ACCREC_2021</vt:lpstr>
      <vt:lpstr>ACCREC_2022</vt:lpstr>
      <vt:lpstr>ACCREC_2023</vt:lpstr>
      <vt:lpstr>ACCREC_2024</vt:lpstr>
      <vt:lpstr>Tags!ACCREC_2Q00</vt:lpstr>
      <vt:lpstr>ACCREC_2Q00</vt:lpstr>
      <vt:lpstr>Tags!ACCREC_2Q01</vt:lpstr>
      <vt:lpstr>ACCREC_2Q01</vt:lpstr>
      <vt:lpstr>Tags!ACCREC_2Q02</vt:lpstr>
      <vt:lpstr>ACCREC_2Q02</vt:lpstr>
      <vt:lpstr>Tags!ACCREC_2Q03</vt:lpstr>
      <vt:lpstr>ACCREC_2Q03</vt:lpstr>
      <vt:lpstr>Tags!ACCREC_2Q04</vt:lpstr>
      <vt:lpstr>ACCREC_2Q04</vt:lpstr>
      <vt:lpstr>Tags!ACCREC_2Q05</vt:lpstr>
      <vt:lpstr>ACCREC_2Q05</vt:lpstr>
      <vt:lpstr>Tags!ACCREC_2Q06</vt:lpstr>
      <vt:lpstr>ACCREC_2Q06</vt:lpstr>
      <vt:lpstr>Tags!ACCREC_2Q07</vt:lpstr>
      <vt:lpstr>ACCREC_2Q07</vt:lpstr>
      <vt:lpstr>Tags!ACCREC_2Q08</vt:lpstr>
      <vt:lpstr>ACCREC_2Q08</vt:lpstr>
      <vt:lpstr>Tags!ACCREC_2Q09</vt:lpstr>
      <vt:lpstr>ACCREC_2Q09</vt:lpstr>
      <vt:lpstr>Tags!ACCREC_2Q10</vt:lpstr>
      <vt:lpstr>ACCREC_2Q10</vt:lpstr>
      <vt:lpstr>Tags!ACCREC_2Q11</vt:lpstr>
      <vt:lpstr>ACCREC_2Q11</vt:lpstr>
      <vt:lpstr>Tags!ACCREC_2Q12</vt:lpstr>
      <vt:lpstr>ACCREC_2Q12</vt:lpstr>
      <vt:lpstr>Tags!ACCREC_2Q13</vt:lpstr>
      <vt:lpstr>ACCREC_2Q13</vt:lpstr>
      <vt:lpstr>Tags!ACCREC_2Q14</vt:lpstr>
      <vt:lpstr>ACCREC_2Q14</vt:lpstr>
      <vt:lpstr>Tags!ACCREC_2Q15</vt:lpstr>
      <vt:lpstr>ACCREC_2Q15</vt:lpstr>
      <vt:lpstr>Tags!ACCREC_2Q16</vt:lpstr>
      <vt:lpstr>ACCREC_2Q16</vt:lpstr>
      <vt:lpstr>Tags!ACCREC_2Q17</vt:lpstr>
      <vt:lpstr>ACCREC_2Q17</vt:lpstr>
      <vt:lpstr>Tags!ACCREC_2Q18</vt:lpstr>
      <vt:lpstr>ACCREC_2Q18</vt:lpstr>
      <vt:lpstr>Tags!ACCREC_2Q19</vt:lpstr>
      <vt:lpstr>ACCREC_2Q19</vt:lpstr>
      <vt:lpstr>Tags!ACCREC_2Q20</vt:lpstr>
      <vt:lpstr>ACCREC_2Q20</vt:lpstr>
      <vt:lpstr>ACCREC_2Q21</vt:lpstr>
      <vt:lpstr>ACCREC_2Q22</vt:lpstr>
      <vt:lpstr>ACCREC_2Q23</vt:lpstr>
      <vt:lpstr>ACCREC_2Q24</vt:lpstr>
      <vt:lpstr>Tags!ACCREC_3Q00</vt:lpstr>
      <vt:lpstr>ACCREC_3Q00</vt:lpstr>
      <vt:lpstr>Tags!ACCREC_3Q01</vt:lpstr>
      <vt:lpstr>ACCREC_3Q01</vt:lpstr>
      <vt:lpstr>Tags!ACCREC_3Q02</vt:lpstr>
      <vt:lpstr>ACCREC_3Q02</vt:lpstr>
      <vt:lpstr>Tags!ACCREC_3Q03</vt:lpstr>
      <vt:lpstr>ACCREC_3Q03</vt:lpstr>
      <vt:lpstr>Tags!ACCREC_3Q04</vt:lpstr>
      <vt:lpstr>ACCREC_3Q04</vt:lpstr>
      <vt:lpstr>Tags!ACCREC_3Q05</vt:lpstr>
      <vt:lpstr>ACCREC_3Q05</vt:lpstr>
      <vt:lpstr>Tags!ACCREC_3Q06</vt:lpstr>
      <vt:lpstr>ACCREC_3Q06</vt:lpstr>
      <vt:lpstr>Tags!ACCREC_3Q07</vt:lpstr>
      <vt:lpstr>ACCREC_3Q07</vt:lpstr>
      <vt:lpstr>Tags!ACCREC_3Q08</vt:lpstr>
      <vt:lpstr>ACCREC_3Q08</vt:lpstr>
      <vt:lpstr>Tags!ACCREC_3Q09</vt:lpstr>
      <vt:lpstr>ACCREC_3Q09</vt:lpstr>
      <vt:lpstr>Tags!ACCREC_3Q10</vt:lpstr>
      <vt:lpstr>ACCREC_3Q10</vt:lpstr>
      <vt:lpstr>Tags!ACCREC_3Q11</vt:lpstr>
      <vt:lpstr>ACCREC_3Q11</vt:lpstr>
      <vt:lpstr>Tags!ACCREC_3Q12</vt:lpstr>
      <vt:lpstr>ACCREC_3Q12</vt:lpstr>
      <vt:lpstr>Tags!ACCREC_3Q13</vt:lpstr>
      <vt:lpstr>ACCREC_3Q13</vt:lpstr>
      <vt:lpstr>Tags!ACCREC_3Q14</vt:lpstr>
      <vt:lpstr>ACCREC_3Q14</vt:lpstr>
      <vt:lpstr>Tags!ACCREC_3Q15</vt:lpstr>
      <vt:lpstr>ACCREC_3Q15</vt:lpstr>
      <vt:lpstr>Tags!ACCREC_3Q16</vt:lpstr>
      <vt:lpstr>ACCREC_3Q16</vt:lpstr>
      <vt:lpstr>Tags!ACCREC_3Q17</vt:lpstr>
      <vt:lpstr>ACCREC_3Q17</vt:lpstr>
      <vt:lpstr>Tags!ACCREC_3Q18</vt:lpstr>
      <vt:lpstr>ACCREC_3Q18</vt:lpstr>
      <vt:lpstr>Tags!ACCREC_3Q19</vt:lpstr>
      <vt:lpstr>ACCREC_3Q19</vt:lpstr>
      <vt:lpstr>Tags!ACCREC_3Q20</vt:lpstr>
      <vt:lpstr>ACCREC_3Q20</vt:lpstr>
      <vt:lpstr>ACCREC_3Q21</vt:lpstr>
      <vt:lpstr>ACCREC_3Q22</vt:lpstr>
      <vt:lpstr>ACCREC_3Q23</vt:lpstr>
      <vt:lpstr>ACCREC_3Q24</vt:lpstr>
      <vt:lpstr>Tags!ACCREC_4Q00</vt:lpstr>
      <vt:lpstr>ACCREC_4Q00</vt:lpstr>
      <vt:lpstr>Tags!ACCREC_4Q01</vt:lpstr>
      <vt:lpstr>ACCREC_4Q01</vt:lpstr>
      <vt:lpstr>Tags!ACCREC_4Q02</vt:lpstr>
      <vt:lpstr>ACCREC_4Q02</vt:lpstr>
      <vt:lpstr>Tags!ACCREC_4Q03</vt:lpstr>
      <vt:lpstr>ACCREC_4Q03</vt:lpstr>
      <vt:lpstr>Tags!ACCREC_4Q04</vt:lpstr>
      <vt:lpstr>ACCREC_4Q04</vt:lpstr>
      <vt:lpstr>Tags!ACCREC_4Q05</vt:lpstr>
      <vt:lpstr>ACCREC_4Q05</vt:lpstr>
      <vt:lpstr>Tags!ACCREC_4Q06</vt:lpstr>
      <vt:lpstr>ACCREC_4Q06</vt:lpstr>
      <vt:lpstr>Tags!ACCREC_4Q07</vt:lpstr>
      <vt:lpstr>ACCREC_4Q07</vt:lpstr>
      <vt:lpstr>Tags!ACCREC_4Q08</vt:lpstr>
      <vt:lpstr>ACCREC_4Q08</vt:lpstr>
      <vt:lpstr>Tags!ACCREC_4Q09</vt:lpstr>
      <vt:lpstr>ACCREC_4Q09</vt:lpstr>
      <vt:lpstr>Tags!ACCREC_4Q10</vt:lpstr>
      <vt:lpstr>ACCREC_4Q10</vt:lpstr>
      <vt:lpstr>Tags!ACCREC_4Q11</vt:lpstr>
      <vt:lpstr>ACCREC_4Q11</vt:lpstr>
      <vt:lpstr>Tags!ACCREC_4Q12</vt:lpstr>
      <vt:lpstr>ACCREC_4Q12</vt:lpstr>
      <vt:lpstr>Tags!ACCREC_4Q13</vt:lpstr>
      <vt:lpstr>ACCREC_4Q13</vt:lpstr>
      <vt:lpstr>Tags!ACCREC_4Q14</vt:lpstr>
      <vt:lpstr>ACCREC_4Q14</vt:lpstr>
      <vt:lpstr>Tags!ACCREC_4Q15</vt:lpstr>
      <vt:lpstr>ACCREC_4Q15</vt:lpstr>
      <vt:lpstr>Tags!ACCREC_4Q16</vt:lpstr>
      <vt:lpstr>ACCREC_4Q16</vt:lpstr>
      <vt:lpstr>Tags!ACCREC_4Q17</vt:lpstr>
      <vt:lpstr>ACCREC_4Q17</vt:lpstr>
      <vt:lpstr>Tags!ACCREC_4Q18</vt:lpstr>
      <vt:lpstr>ACCREC_4Q18</vt:lpstr>
      <vt:lpstr>Tags!ACCREC_4Q19</vt:lpstr>
      <vt:lpstr>ACCREC_4Q19</vt:lpstr>
      <vt:lpstr>Tags!ACCREC_4Q20</vt:lpstr>
      <vt:lpstr>ACCREC_4Q20</vt:lpstr>
      <vt:lpstr>ACCREC_4Q21</vt:lpstr>
      <vt:lpstr>ACCREC_4Q22</vt:lpstr>
      <vt:lpstr>ACCREC_4Q23</vt:lpstr>
      <vt:lpstr>ACCREC_4Q24</vt:lpstr>
      <vt:lpstr>AIIGNI_1995</vt:lpstr>
      <vt:lpstr>AIIGNI_1996</vt:lpstr>
      <vt:lpstr>AIIGNI_1997</vt:lpstr>
      <vt:lpstr>AIIGNI_1998</vt:lpstr>
      <vt:lpstr>AIIGNI_1999</vt:lpstr>
      <vt:lpstr>Tags!AIIGNI_1Q00</vt:lpstr>
      <vt:lpstr>AIIGNI_1Q00</vt:lpstr>
      <vt:lpstr>Tags!AIIGNI_1Q01</vt:lpstr>
      <vt:lpstr>AIIGNI_1Q01</vt:lpstr>
      <vt:lpstr>Tags!AIIGNI_1Q02</vt:lpstr>
      <vt:lpstr>AIIGNI_1Q02</vt:lpstr>
      <vt:lpstr>Tags!AIIGNI_1Q03</vt:lpstr>
      <vt:lpstr>AIIGNI_1Q03</vt:lpstr>
      <vt:lpstr>Tags!AIIGNI_1Q04</vt:lpstr>
      <vt:lpstr>AIIGNI_1Q04</vt:lpstr>
      <vt:lpstr>Tags!AIIGNI_1Q05</vt:lpstr>
      <vt:lpstr>AIIGNI_1Q05</vt:lpstr>
      <vt:lpstr>Tags!AIIGNI_1Q06</vt:lpstr>
      <vt:lpstr>AIIGNI_1Q06</vt:lpstr>
      <vt:lpstr>Tags!AIIGNI_1Q07</vt:lpstr>
      <vt:lpstr>AIIGNI_1Q07</vt:lpstr>
      <vt:lpstr>Tags!AIIGNI_1Q08</vt:lpstr>
      <vt:lpstr>AIIGNI_1Q08</vt:lpstr>
      <vt:lpstr>Tags!AIIGNI_1Q09</vt:lpstr>
      <vt:lpstr>AIIGNI_1Q09</vt:lpstr>
      <vt:lpstr>Tags!AIIGNI_1Q10</vt:lpstr>
      <vt:lpstr>AIIGNI_1Q10</vt:lpstr>
      <vt:lpstr>Tags!AIIGNI_1Q11</vt:lpstr>
      <vt:lpstr>AIIGNI_1Q11</vt:lpstr>
      <vt:lpstr>Tags!AIIGNI_1Q12</vt:lpstr>
      <vt:lpstr>AIIGNI_1Q12</vt:lpstr>
      <vt:lpstr>Tags!AIIGNI_1Q13</vt:lpstr>
      <vt:lpstr>AIIGNI_1Q13</vt:lpstr>
      <vt:lpstr>Tags!AIIGNI_1Q14</vt:lpstr>
      <vt:lpstr>AIIGNI_1Q14</vt:lpstr>
      <vt:lpstr>Tags!AIIGNI_1Q15</vt:lpstr>
      <vt:lpstr>AIIGNI_1Q15</vt:lpstr>
      <vt:lpstr>Tags!AIIGNI_1Q16</vt:lpstr>
      <vt:lpstr>AIIGNI_1Q16</vt:lpstr>
      <vt:lpstr>Tags!AIIGNI_1Q17</vt:lpstr>
      <vt:lpstr>AIIGNI_1Q17</vt:lpstr>
      <vt:lpstr>Tags!AIIGNI_1Q18</vt:lpstr>
      <vt:lpstr>AIIGNI_1Q18</vt:lpstr>
      <vt:lpstr>Tags!AIIGNI_1Q19</vt:lpstr>
      <vt:lpstr>AIIGNI_1Q19</vt:lpstr>
      <vt:lpstr>Tags!AIIGNI_1Q20</vt:lpstr>
      <vt:lpstr>AIIGNI_1Q20</vt:lpstr>
      <vt:lpstr>AIIGNI_1Q21</vt:lpstr>
      <vt:lpstr>AIIGNI_1Q22</vt:lpstr>
      <vt:lpstr>AIIGNI_1Q23</vt:lpstr>
      <vt:lpstr>AIIGNI_1Q24</vt:lpstr>
      <vt:lpstr>Tags!AIIGNI_2000</vt:lpstr>
      <vt:lpstr>AIIGNI_2000</vt:lpstr>
      <vt:lpstr>Tags!AIIGNI_2001</vt:lpstr>
      <vt:lpstr>AIIGNI_2001</vt:lpstr>
      <vt:lpstr>Tags!AIIGNI_2002</vt:lpstr>
      <vt:lpstr>AIIGNI_2002</vt:lpstr>
      <vt:lpstr>Tags!AIIGNI_2003</vt:lpstr>
      <vt:lpstr>AIIGNI_2003</vt:lpstr>
      <vt:lpstr>Tags!AIIGNI_2004</vt:lpstr>
      <vt:lpstr>AIIGNI_2004</vt:lpstr>
      <vt:lpstr>Tags!AIIGNI_2005</vt:lpstr>
      <vt:lpstr>AIIGNI_2005</vt:lpstr>
      <vt:lpstr>Tags!AIIGNI_2006</vt:lpstr>
      <vt:lpstr>AIIGNI_2006</vt:lpstr>
      <vt:lpstr>Tags!AIIGNI_2007</vt:lpstr>
      <vt:lpstr>AIIGNI_2007</vt:lpstr>
      <vt:lpstr>Tags!AIIGNI_2008</vt:lpstr>
      <vt:lpstr>AIIGNI_2008</vt:lpstr>
      <vt:lpstr>Tags!AIIGNI_2009</vt:lpstr>
      <vt:lpstr>AIIGNI_2009</vt:lpstr>
      <vt:lpstr>Tags!AIIGNI_2010</vt:lpstr>
      <vt:lpstr>AIIGNI_2010</vt:lpstr>
      <vt:lpstr>Tags!AIIGNI_2011</vt:lpstr>
      <vt:lpstr>AIIGNI_2011</vt:lpstr>
      <vt:lpstr>Tags!AIIGNI_2012</vt:lpstr>
      <vt:lpstr>AIIGNI_2012</vt:lpstr>
      <vt:lpstr>Tags!AIIGNI_2013</vt:lpstr>
      <vt:lpstr>AIIGNI_2013</vt:lpstr>
      <vt:lpstr>Tags!AIIGNI_2014</vt:lpstr>
      <vt:lpstr>AIIGNI_2014</vt:lpstr>
      <vt:lpstr>AIIGNI_2015</vt:lpstr>
      <vt:lpstr>Tags!AIIGNI_2016</vt:lpstr>
      <vt:lpstr>AIIGNI_2016</vt:lpstr>
      <vt:lpstr>Tags!AIIGNI_2017</vt:lpstr>
      <vt:lpstr>AIIGNI_2017</vt:lpstr>
      <vt:lpstr>Tags!AIIGNI_2018</vt:lpstr>
      <vt:lpstr>AIIGNI_2018</vt:lpstr>
      <vt:lpstr>Tags!AIIGNI_2019</vt:lpstr>
      <vt:lpstr>AIIGNI_2019</vt:lpstr>
      <vt:lpstr>Tags!AIIGNI_2020</vt:lpstr>
      <vt:lpstr>AIIGNI_2020</vt:lpstr>
      <vt:lpstr>AIIGNI_2021</vt:lpstr>
      <vt:lpstr>AIIGNI_2022</vt:lpstr>
      <vt:lpstr>AIIGNI_2023</vt:lpstr>
      <vt:lpstr>AIIGNI_2024</vt:lpstr>
      <vt:lpstr>Tags!AIIGNI_2Q00</vt:lpstr>
      <vt:lpstr>AIIGNI_2Q00</vt:lpstr>
      <vt:lpstr>Tags!AIIGNI_2Q01</vt:lpstr>
      <vt:lpstr>AIIGNI_2Q01</vt:lpstr>
      <vt:lpstr>Tags!AIIGNI_2Q02</vt:lpstr>
      <vt:lpstr>AIIGNI_2Q02</vt:lpstr>
      <vt:lpstr>Tags!AIIGNI_2Q03</vt:lpstr>
      <vt:lpstr>AIIGNI_2Q03</vt:lpstr>
      <vt:lpstr>Tags!AIIGNI_2Q04</vt:lpstr>
      <vt:lpstr>AIIGNI_2Q04</vt:lpstr>
      <vt:lpstr>Tags!AIIGNI_2Q05</vt:lpstr>
      <vt:lpstr>AIIGNI_2Q05</vt:lpstr>
      <vt:lpstr>Tags!AIIGNI_2Q06</vt:lpstr>
      <vt:lpstr>AIIGNI_2Q06</vt:lpstr>
      <vt:lpstr>Tags!AIIGNI_2Q07</vt:lpstr>
      <vt:lpstr>AIIGNI_2Q07</vt:lpstr>
      <vt:lpstr>Tags!AIIGNI_2Q08</vt:lpstr>
      <vt:lpstr>AIIGNI_2Q08</vt:lpstr>
      <vt:lpstr>Tags!AIIGNI_2Q09</vt:lpstr>
      <vt:lpstr>AIIGNI_2Q09</vt:lpstr>
      <vt:lpstr>Tags!AIIGNI_2Q10</vt:lpstr>
      <vt:lpstr>AIIGNI_2Q10</vt:lpstr>
      <vt:lpstr>Tags!AIIGNI_2Q11</vt:lpstr>
      <vt:lpstr>AIIGNI_2Q11</vt:lpstr>
      <vt:lpstr>Tags!AIIGNI_2Q12</vt:lpstr>
      <vt:lpstr>AIIGNI_2Q12</vt:lpstr>
      <vt:lpstr>Tags!AIIGNI_2Q13</vt:lpstr>
      <vt:lpstr>AIIGNI_2Q13</vt:lpstr>
      <vt:lpstr>Tags!AIIGNI_2Q14</vt:lpstr>
      <vt:lpstr>AIIGNI_2Q14</vt:lpstr>
      <vt:lpstr>Tags!AIIGNI_2Q15</vt:lpstr>
      <vt:lpstr>AIIGNI_2Q15</vt:lpstr>
      <vt:lpstr>Tags!AIIGNI_2Q16</vt:lpstr>
      <vt:lpstr>AIIGNI_2Q16</vt:lpstr>
      <vt:lpstr>Tags!AIIGNI_2Q17</vt:lpstr>
      <vt:lpstr>AIIGNI_2Q17</vt:lpstr>
      <vt:lpstr>Tags!AIIGNI_2Q18</vt:lpstr>
      <vt:lpstr>AIIGNI_2Q18</vt:lpstr>
      <vt:lpstr>Tags!AIIGNI_2Q19</vt:lpstr>
      <vt:lpstr>AIIGNI_2Q19</vt:lpstr>
      <vt:lpstr>Tags!AIIGNI_2Q20</vt:lpstr>
      <vt:lpstr>AIIGNI_2Q20</vt:lpstr>
      <vt:lpstr>AIIGNI_2Q21</vt:lpstr>
      <vt:lpstr>AIIGNI_2Q22</vt:lpstr>
      <vt:lpstr>AIIGNI_2Q23</vt:lpstr>
      <vt:lpstr>AIIGNI_2Q24</vt:lpstr>
      <vt:lpstr>Tags!AIIGNI_3Q00</vt:lpstr>
      <vt:lpstr>AIIGNI_3Q00</vt:lpstr>
      <vt:lpstr>Tags!AIIGNI_3Q01</vt:lpstr>
      <vt:lpstr>AIIGNI_3Q01</vt:lpstr>
      <vt:lpstr>Tags!AIIGNI_3Q02</vt:lpstr>
      <vt:lpstr>AIIGNI_3Q02</vt:lpstr>
      <vt:lpstr>Tags!AIIGNI_3Q03</vt:lpstr>
      <vt:lpstr>AIIGNI_3Q03</vt:lpstr>
      <vt:lpstr>Tags!AIIGNI_3Q04</vt:lpstr>
      <vt:lpstr>AIIGNI_3Q04</vt:lpstr>
      <vt:lpstr>Tags!AIIGNI_3Q05</vt:lpstr>
      <vt:lpstr>AIIGNI_3Q05</vt:lpstr>
      <vt:lpstr>Tags!AIIGNI_3Q06</vt:lpstr>
      <vt:lpstr>AIIGNI_3Q06</vt:lpstr>
      <vt:lpstr>Tags!AIIGNI_3Q07</vt:lpstr>
      <vt:lpstr>AIIGNI_3Q07</vt:lpstr>
      <vt:lpstr>Tags!AIIGNI_3Q08</vt:lpstr>
      <vt:lpstr>AIIGNI_3Q08</vt:lpstr>
      <vt:lpstr>Tags!AIIGNI_3Q09</vt:lpstr>
      <vt:lpstr>AIIGNI_3Q09</vt:lpstr>
      <vt:lpstr>Tags!AIIGNI_3Q10</vt:lpstr>
      <vt:lpstr>AIIGNI_3Q10</vt:lpstr>
      <vt:lpstr>Tags!AIIGNI_3Q11</vt:lpstr>
      <vt:lpstr>AIIGNI_3Q11</vt:lpstr>
      <vt:lpstr>Tags!AIIGNI_3Q12</vt:lpstr>
      <vt:lpstr>AIIGNI_3Q12</vt:lpstr>
      <vt:lpstr>Tags!AIIGNI_3Q13</vt:lpstr>
      <vt:lpstr>AIIGNI_3Q13</vt:lpstr>
      <vt:lpstr>Tags!AIIGNI_3Q14</vt:lpstr>
      <vt:lpstr>AIIGNI_3Q14</vt:lpstr>
      <vt:lpstr>Tags!AIIGNI_3Q15</vt:lpstr>
      <vt:lpstr>AIIGNI_3Q15</vt:lpstr>
      <vt:lpstr>Tags!AIIGNI_3Q16</vt:lpstr>
      <vt:lpstr>AIIGNI_3Q16</vt:lpstr>
      <vt:lpstr>Tags!AIIGNI_3Q17</vt:lpstr>
      <vt:lpstr>AIIGNI_3Q17</vt:lpstr>
      <vt:lpstr>Tags!AIIGNI_3Q18</vt:lpstr>
      <vt:lpstr>AIIGNI_3Q18</vt:lpstr>
      <vt:lpstr>Tags!AIIGNI_3Q19</vt:lpstr>
      <vt:lpstr>AIIGNI_3Q19</vt:lpstr>
      <vt:lpstr>Tags!AIIGNI_3Q20</vt:lpstr>
      <vt:lpstr>AIIGNI_3Q20</vt:lpstr>
      <vt:lpstr>AIIGNI_3Q21</vt:lpstr>
      <vt:lpstr>AIIGNI_3Q22</vt:lpstr>
      <vt:lpstr>AIIGNI_3Q23</vt:lpstr>
      <vt:lpstr>AIIGNI_3Q24</vt:lpstr>
      <vt:lpstr>Tags!AIIGNI_4Q00</vt:lpstr>
      <vt:lpstr>AIIGNI_4Q00</vt:lpstr>
      <vt:lpstr>Tags!AIIGNI_4Q01</vt:lpstr>
      <vt:lpstr>AIIGNI_4Q01</vt:lpstr>
      <vt:lpstr>Tags!AIIGNI_4Q02</vt:lpstr>
      <vt:lpstr>AIIGNI_4Q02</vt:lpstr>
      <vt:lpstr>Tags!AIIGNI_4Q03</vt:lpstr>
      <vt:lpstr>AIIGNI_4Q03</vt:lpstr>
      <vt:lpstr>Tags!AIIGNI_4Q04</vt:lpstr>
      <vt:lpstr>AIIGNI_4Q04</vt:lpstr>
      <vt:lpstr>Tags!AIIGNI_4Q05</vt:lpstr>
      <vt:lpstr>AIIGNI_4Q05</vt:lpstr>
      <vt:lpstr>Tags!AIIGNI_4Q06</vt:lpstr>
      <vt:lpstr>AIIGNI_4Q06</vt:lpstr>
      <vt:lpstr>Tags!AIIGNI_4Q07</vt:lpstr>
      <vt:lpstr>AIIGNI_4Q07</vt:lpstr>
      <vt:lpstr>Tags!AIIGNI_4Q08</vt:lpstr>
      <vt:lpstr>AIIGNI_4Q08</vt:lpstr>
      <vt:lpstr>Tags!AIIGNI_4Q09</vt:lpstr>
      <vt:lpstr>AIIGNI_4Q09</vt:lpstr>
      <vt:lpstr>Tags!AIIGNI_4Q10</vt:lpstr>
      <vt:lpstr>AIIGNI_4Q10</vt:lpstr>
      <vt:lpstr>Tags!AIIGNI_4Q11</vt:lpstr>
      <vt:lpstr>AIIGNI_4Q11</vt:lpstr>
      <vt:lpstr>Tags!AIIGNI_4Q12</vt:lpstr>
      <vt:lpstr>AIIGNI_4Q12</vt:lpstr>
      <vt:lpstr>Tags!AIIGNI_4Q13</vt:lpstr>
      <vt:lpstr>AIIGNI_4Q13</vt:lpstr>
      <vt:lpstr>Tags!AIIGNI_4Q14</vt:lpstr>
      <vt:lpstr>AIIGNI_4Q14</vt:lpstr>
      <vt:lpstr>Tags!AIIGNI_4Q15</vt:lpstr>
      <vt:lpstr>AIIGNI_4Q15</vt:lpstr>
      <vt:lpstr>Tags!AIIGNI_4Q16</vt:lpstr>
      <vt:lpstr>AIIGNI_4Q16</vt:lpstr>
      <vt:lpstr>Tags!AIIGNI_4Q17</vt:lpstr>
      <vt:lpstr>AIIGNI_4Q17</vt:lpstr>
      <vt:lpstr>Tags!AIIGNI_4Q18</vt:lpstr>
      <vt:lpstr>AIIGNI_4Q18</vt:lpstr>
      <vt:lpstr>Tags!AIIGNI_4Q19</vt:lpstr>
      <vt:lpstr>AIIGNI_4Q19</vt:lpstr>
      <vt:lpstr>Tags!AIIGNI_4Q20</vt:lpstr>
      <vt:lpstr>AIIGNI_4Q20</vt:lpstr>
      <vt:lpstr>AIIGNI_4Q21</vt:lpstr>
      <vt:lpstr>AIIGNI_4Q22</vt:lpstr>
      <vt:lpstr>AIIGNI_4Q23</vt:lpstr>
      <vt:lpstr>AIIGNI_4Q24</vt:lpstr>
      <vt:lpstr>ALSTAJ_1995</vt:lpstr>
      <vt:lpstr>ALSTAJ_1996</vt:lpstr>
      <vt:lpstr>ALSTAJ_1997</vt:lpstr>
      <vt:lpstr>ALSTAJ_1998</vt:lpstr>
      <vt:lpstr>ALSTAJ_1999</vt:lpstr>
      <vt:lpstr>Tags!ALSTAJ_1Q00</vt:lpstr>
      <vt:lpstr>ALSTAJ_1Q00</vt:lpstr>
      <vt:lpstr>Tags!ALSTAJ_1Q01</vt:lpstr>
      <vt:lpstr>ALSTAJ_1Q01</vt:lpstr>
      <vt:lpstr>Tags!ALSTAJ_1Q02</vt:lpstr>
      <vt:lpstr>ALSTAJ_1Q02</vt:lpstr>
      <vt:lpstr>Tags!ALSTAJ_1Q03</vt:lpstr>
      <vt:lpstr>ALSTAJ_1Q03</vt:lpstr>
      <vt:lpstr>Tags!ALSTAJ_1Q04</vt:lpstr>
      <vt:lpstr>ALSTAJ_1Q04</vt:lpstr>
      <vt:lpstr>Tags!ALSTAJ_1Q05</vt:lpstr>
      <vt:lpstr>ALSTAJ_1Q05</vt:lpstr>
      <vt:lpstr>Tags!ALSTAJ_1Q06</vt:lpstr>
      <vt:lpstr>ALSTAJ_1Q06</vt:lpstr>
      <vt:lpstr>Tags!ALSTAJ_1Q07</vt:lpstr>
      <vt:lpstr>ALSTAJ_1Q07</vt:lpstr>
      <vt:lpstr>Tags!ALSTAJ_1Q08</vt:lpstr>
      <vt:lpstr>ALSTAJ_1Q08</vt:lpstr>
      <vt:lpstr>Tags!ALSTAJ_1Q09</vt:lpstr>
      <vt:lpstr>ALSTAJ_1Q09</vt:lpstr>
      <vt:lpstr>Tags!ALSTAJ_1Q10</vt:lpstr>
      <vt:lpstr>ALSTAJ_1Q10</vt:lpstr>
      <vt:lpstr>Tags!ALSTAJ_1Q11</vt:lpstr>
      <vt:lpstr>ALSTAJ_1Q11</vt:lpstr>
      <vt:lpstr>Tags!ALSTAJ_1Q12</vt:lpstr>
      <vt:lpstr>ALSTAJ_1Q12</vt:lpstr>
      <vt:lpstr>Tags!ALSTAJ_1Q13</vt:lpstr>
      <vt:lpstr>ALSTAJ_1Q13</vt:lpstr>
      <vt:lpstr>Tags!ALSTAJ_1Q14</vt:lpstr>
      <vt:lpstr>ALSTAJ_1Q14</vt:lpstr>
      <vt:lpstr>Tags!ALSTAJ_1Q15</vt:lpstr>
      <vt:lpstr>ALSTAJ_1Q15</vt:lpstr>
      <vt:lpstr>Tags!ALSTAJ_1Q16</vt:lpstr>
      <vt:lpstr>ALSTAJ_1Q16</vt:lpstr>
      <vt:lpstr>Tags!ALSTAJ_1Q17</vt:lpstr>
      <vt:lpstr>ALSTAJ_1Q17</vt:lpstr>
      <vt:lpstr>Tags!ALSTAJ_1Q18</vt:lpstr>
      <vt:lpstr>ALSTAJ_1Q18</vt:lpstr>
      <vt:lpstr>Tags!ALSTAJ_1Q19</vt:lpstr>
      <vt:lpstr>ALSTAJ_1Q19</vt:lpstr>
      <vt:lpstr>Tags!ALSTAJ_1Q20</vt:lpstr>
      <vt:lpstr>ALSTAJ_1Q20</vt:lpstr>
      <vt:lpstr>ALSTAJ_1Q21</vt:lpstr>
      <vt:lpstr>ALSTAJ_1Q22</vt:lpstr>
      <vt:lpstr>ALSTAJ_1Q23</vt:lpstr>
      <vt:lpstr>ALSTAJ_1Q24</vt:lpstr>
      <vt:lpstr>Tags!ALSTAJ_2000</vt:lpstr>
      <vt:lpstr>ALSTAJ_2000</vt:lpstr>
      <vt:lpstr>Tags!ALSTAJ_2001</vt:lpstr>
      <vt:lpstr>ALSTAJ_2001</vt:lpstr>
      <vt:lpstr>Tags!ALSTAJ_2002</vt:lpstr>
      <vt:lpstr>ALSTAJ_2002</vt:lpstr>
      <vt:lpstr>Tags!ALSTAJ_2003</vt:lpstr>
      <vt:lpstr>ALSTAJ_2003</vt:lpstr>
      <vt:lpstr>Tags!ALSTAJ_2004</vt:lpstr>
      <vt:lpstr>ALSTAJ_2004</vt:lpstr>
      <vt:lpstr>Tags!ALSTAJ_2005</vt:lpstr>
      <vt:lpstr>ALSTAJ_2005</vt:lpstr>
      <vt:lpstr>Tags!ALSTAJ_2006</vt:lpstr>
      <vt:lpstr>ALSTAJ_2006</vt:lpstr>
      <vt:lpstr>Tags!ALSTAJ_2007</vt:lpstr>
      <vt:lpstr>ALSTAJ_2007</vt:lpstr>
      <vt:lpstr>Tags!ALSTAJ_2008</vt:lpstr>
      <vt:lpstr>ALSTAJ_2008</vt:lpstr>
      <vt:lpstr>Tags!ALSTAJ_2009</vt:lpstr>
      <vt:lpstr>ALSTAJ_2009</vt:lpstr>
      <vt:lpstr>Tags!ALSTAJ_2010</vt:lpstr>
      <vt:lpstr>ALSTAJ_2010</vt:lpstr>
      <vt:lpstr>Tags!ALSTAJ_2011</vt:lpstr>
      <vt:lpstr>ALSTAJ_2011</vt:lpstr>
      <vt:lpstr>Tags!ALSTAJ_2012</vt:lpstr>
      <vt:lpstr>ALSTAJ_2012</vt:lpstr>
      <vt:lpstr>Tags!ALSTAJ_2013</vt:lpstr>
      <vt:lpstr>ALSTAJ_2013</vt:lpstr>
      <vt:lpstr>Tags!ALSTAJ_2014</vt:lpstr>
      <vt:lpstr>ALSTAJ_2014</vt:lpstr>
      <vt:lpstr>ALSTAJ_2015</vt:lpstr>
      <vt:lpstr>Tags!ALSTAJ_2016</vt:lpstr>
      <vt:lpstr>ALSTAJ_2016</vt:lpstr>
      <vt:lpstr>Tags!ALSTAJ_2017</vt:lpstr>
      <vt:lpstr>ALSTAJ_2017</vt:lpstr>
      <vt:lpstr>Tags!ALSTAJ_2018</vt:lpstr>
      <vt:lpstr>ALSTAJ_2018</vt:lpstr>
      <vt:lpstr>Tags!ALSTAJ_2019</vt:lpstr>
      <vt:lpstr>ALSTAJ_2019</vt:lpstr>
      <vt:lpstr>Tags!ALSTAJ_2020</vt:lpstr>
      <vt:lpstr>ALSTAJ_2020</vt:lpstr>
      <vt:lpstr>ALSTAJ_2021</vt:lpstr>
      <vt:lpstr>ALSTAJ_2022</vt:lpstr>
      <vt:lpstr>ALSTAJ_2023</vt:lpstr>
      <vt:lpstr>ALSTAJ_2024</vt:lpstr>
      <vt:lpstr>Tags!ALSTAJ_2Q00</vt:lpstr>
      <vt:lpstr>ALSTAJ_2Q00</vt:lpstr>
      <vt:lpstr>Tags!ALSTAJ_2Q01</vt:lpstr>
      <vt:lpstr>ALSTAJ_2Q01</vt:lpstr>
      <vt:lpstr>Tags!ALSTAJ_2Q02</vt:lpstr>
      <vt:lpstr>ALSTAJ_2Q02</vt:lpstr>
      <vt:lpstr>Tags!ALSTAJ_2Q03</vt:lpstr>
      <vt:lpstr>ALSTAJ_2Q03</vt:lpstr>
      <vt:lpstr>Tags!ALSTAJ_2Q04</vt:lpstr>
      <vt:lpstr>ALSTAJ_2Q04</vt:lpstr>
      <vt:lpstr>Tags!ALSTAJ_2Q05</vt:lpstr>
      <vt:lpstr>ALSTAJ_2Q05</vt:lpstr>
      <vt:lpstr>Tags!ALSTAJ_2Q06</vt:lpstr>
      <vt:lpstr>ALSTAJ_2Q06</vt:lpstr>
      <vt:lpstr>Tags!ALSTAJ_2Q07</vt:lpstr>
      <vt:lpstr>ALSTAJ_2Q07</vt:lpstr>
      <vt:lpstr>Tags!ALSTAJ_2Q08</vt:lpstr>
      <vt:lpstr>ALSTAJ_2Q08</vt:lpstr>
      <vt:lpstr>Tags!ALSTAJ_2Q09</vt:lpstr>
      <vt:lpstr>ALSTAJ_2Q09</vt:lpstr>
      <vt:lpstr>Tags!ALSTAJ_2Q10</vt:lpstr>
      <vt:lpstr>ALSTAJ_2Q10</vt:lpstr>
      <vt:lpstr>Tags!ALSTAJ_2Q11</vt:lpstr>
      <vt:lpstr>ALSTAJ_2Q11</vt:lpstr>
      <vt:lpstr>Tags!ALSTAJ_2Q12</vt:lpstr>
      <vt:lpstr>ALSTAJ_2Q12</vt:lpstr>
      <vt:lpstr>Tags!ALSTAJ_2Q13</vt:lpstr>
      <vt:lpstr>ALSTAJ_2Q13</vt:lpstr>
      <vt:lpstr>Tags!ALSTAJ_2Q14</vt:lpstr>
      <vt:lpstr>ALSTAJ_2Q14</vt:lpstr>
      <vt:lpstr>Tags!ALSTAJ_2Q15</vt:lpstr>
      <vt:lpstr>ALSTAJ_2Q15</vt:lpstr>
      <vt:lpstr>Tags!ALSTAJ_2Q16</vt:lpstr>
      <vt:lpstr>ALSTAJ_2Q16</vt:lpstr>
      <vt:lpstr>Tags!ALSTAJ_2Q17</vt:lpstr>
      <vt:lpstr>ALSTAJ_2Q17</vt:lpstr>
      <vt:lpstr>Tags!ALSTAJ_2Q18</vt:lpstr>
      <vt:lpstr>ALSTAJ_2Q18</vt:lpstr>
      <vt:lpstr>Tags!ALSTAJ_2Q19</vt:lpstr>
      <vt:lpstr>ALSTAJ_2Q19</vt:lpstr>
      <vt:lpstr>Tags!ALSTAJ_2Q20</vt:lpstr>
      <vt:lpstr>ALSTAJ_2Q20</vt:lpstr>
      <vt:lpstr>ALSTAJ_2Q21</vt:lpstr>
      <vt:lpstr>ALSTAJ_2Q22</vt:lpstr>
      <vt:lpstr>ALSTAJ_2Q23</vt:lpstr>
      <vt:lpstr>ALSTAJ_2Q24</vt:lpstr>
      <vt:lpstr>Tags!ALSTAJ_3Q00</vt:lpstr>
      <vt:lpstr>ALSTAJ_3Q00</vt:lpstr>
      <vt:lpstr>Tags!ALSTAJ_3Q01</vt:lpstr>
      <vt:lpstr>ALSTAJ_3Q01</vt:lpstr>
      <vt:lpstr>Tags!ALSTAJ_3Q02</vt:lpstr>
      <vt:lpstr>ALSTAJ_3Q02</vt:lpstr>
      <vt:lpstr>Tags!ALSTAJ_3Q03</vt:lpstr>
      <vt:lpstr>ALSTAJ_3Q03</vt:lpstr>
      <vt:lpstr>Tags!ALSTAJ_3Q04</vt:lpstr>
      <vt:lpstr>ALSTAJ_3Q04</vt:lpstr>
      <vt:lpstr>Tags!ALSTAJ_3Q05</vt:lpstr>
      <vt:lpstr>ALSTAJ_3Q05</vt:lpstr>
      <vt:lpstr>Tags!ALSTAJ_3Q06</vt:lpstr>
      <vt:lpstr>ALSTAJ_3Q06</vt:lpstr>
      <vt:lpstr>Tags!ALSTAJ_3Q07</vt:lpstr>
      <vt:lpstr>ALSTAJ_3Q07</vt:lpstr>
      <vt:lpstr>Tags!ALSTAJ_3Q08</vt:lpstr>
      <vt:lpstr>ALSTAJ_3Q08</vt:lpstr>
      <vt:lpstr>Tags!ALSTAJ_3Q09</vt:lpstr>
      <vt:lpstr>ALSTAJ_3Q09</vt:lpstr>
      <vt:lpstr>Tags!ALSTAJ_3Q10</vt:lpstr>
      <vt:lpstr>ALSTAJ_3Q10</vt:lpstr>
      <vt:lpstr>Tags!ALSTAJ_3Q11</vt:lpstr>
      <vt:lpstr>ALSTAJ_3Q11</vt:lpstr>
      <vt:lpstr>Tags!ALSTAJ_3Q12</vt:lpstr>
      <vt:lpstr>ALSTAJ_3Q12</vt:lpstr>
      <vt:lpstr>Tags!ALSTAJ_3Q13</vt:lpstr>
      <vt:lpstr>ALSTAJ_3Q13</vt:lpstr>
      <vt:lpstr>Tags!ALSTAJ_3Q14</vt:lpstr>
      <vt:lpstr>ALSTAJ_3Q14</vt:lpstr>
      <vt:lpstr>Tags!ALSTAJ_3Q15</vt:lpstr>
      <vt:lpstr>ALSTAJ_3Q15</vt:lpstr>
      <vt:lpstr>Tags!ALSTAJ_3Q16</vt:lpstr>
      <vt:lpstr>ALSTAJ_3Q16</vt:lpstr>
      <vt:lpstr>Tags!ALSTAJ_3Q17</vt:lpstr>
      <vt:lpstr>ALSTAJ_3Q17</vt:lpstr>
      <vt:lpstr>Tags!ALSTAJ_3Q18</vt:lpstr>
      <vt:lpstr>ALSTAJ_3Q18</vt:lpstr>
      <vt:lpstr>Tags!ALSTAJ_3Q19</vt:lpstr>
      <vt:lpstr>ALSTAJ_3Q19</vt:lpstr>
      <vt:lpstr>Tags!ALSTAJ_3Q20</vt:lpstr>
      <vt:lpstr>ALSTAJ_3Q20</vt:lpstr>
      <vt:lpstr>ALSTAJ_3Q21</vt:lpstr>
      <vt:lpstr>ALSTAJ_3Q22</vt:lpstr>
      <vt:lpstr>ALSTAJ_3Q23</vt:lpstr>
      <vt:lpstr>ALSTAJ_3Q24</vt:lpstr>
      <vt:lpstr>Tags!ALSTAJ_4Q00</vt:lpstr>
      <vt:lpstr>ALSTAJ_4Q00</vt:lpstr>
      <vt:lpstr>Tags!ALSTAJ_4Q01</vt:lpstr>
      <vt:lpstr>ALSTAJ_4Q01</vt:lpstr>
      <vt:lpstr>Tags!ALSTAJ_4Q02</vt:lpstr>
      <vt:lpstr>ALSTAJ_4Q02</vt:lpstr>
      <vt:lpstr>Tags!ALSTAJ_4Q03</vt:lpstr>
      <vt:lpstr>ALSTAJ_4Q03</vt:lpstr>
      <vt:lpstr>Tags!ALSTAJ_4Q04</vt:lpstr>
      <vt:lpstr>ALSTAJ_4Q04</vt:lpstr>
      <vt:lpstr>Tags!ALSTAJ_4Q05</vt:lpstr>
      <vt:lpstr>ALSTAJ_4Q05</vt:lpstr>
      <vt:lpstr>Tags!ALSTAJ_4Q06</vt:lpstr>
      <vt:lpstr>ALSTAJ_4Q06</vt:lpstr>
      <vt:lpstr>Tags!ALSTAJ_4Q07</vt:lpstr>
      <vt:lpstr>ALSTAJ_4Q07</vt:lpstr>
      <vt:lpstr>Tags!ALSTAJ_4Q08</vt:lpstr>
      <vt:lpstr>ALSTAJ_4Q08</vt:lpstr>
      <vt:lpstr>Tags!ALSTAJ_4Q09</vt:lpstr>
      <vt:lpstr>ALSTAJ_4Q09</vt:lpstr>
      <vt:lpstr>Tags!ALSTAJ_4Q10</vt:lpstr>
      <vt:lpstr>ALSTAJ_4Q10</vt:lpstr>
      <vt:lpstr>Tags!ALSTAJ_4Q11</vt:lpstr>
      <vt:lpstr>ALSTAJ_4Q11</vt:lpstr>
      <vt:lpstr>Tags!ALSTAJ_4Q12</vt:lpstr>
      <vt:lpstr>ALSTAJ_4Q12</vt:lpstr>
      <vt:lpstr>Tags!ALSTAJ_4Q13</vt:lpstr>
      <vt:lpstr>ALSTAJ_4Q13</vt:lpstr>
      <vt:lpstr>Tags!ALSTAJ_4Q14</vt:lpstr>
      <vt:lpstr>ALSTAJ_4Q14</vt:lpstr>
      <vt:lpstr>Tags!ALSTAJ_4Q15</vt:lpstr>
      <vt:lpstr>ALSTAJ_4Q15</vt:lpstr>
      <vt:lpstr>Tags!ALSTAJ_4Q16</vt:lpstr>
      <vt:lpstr>ALSTAJ_4Q16</vt:lpstr>
      <vt:lpstr>Tags!ALSTAJ_4Q17</vt:lpstr>
      <vt:lpstr>ALSTAJ_4Q17</vt:lpstr>
      <vt:lpstr>Tags!ALSTAJ_4Q18</vt:lpstr>
      <vt:lpstr>ALSTAJ_4Q18</vt:lpstr>
      <vt:lpstr>Tags!ALSTAJ_4Q19</vt:lpstr>
      <vt:lpstr>ALSTAJ_4Q19</vt:lpstr>
      <vt:lpstr>Tags!ALSTAJ_4Q20</vt:lpstr>
      <vt:lpstr>ALSTAJ_4Q20</vt:lpstr>
      <vt:lpstr>ALSTAJ_4Q21</vt:lpstr>
      <vt:lpstr>ALSTAJ_4Q22</vt:lpstr>
      <vt:lpstr>ALSTAJ_4Q23</vt:lpstr>
      <vt:lpstr>ALSTAJ_4Q24</vt:lpstr>
      <vt:lpstr>AMGOOD_1995</vt:lpstr>
      <vt:lpstr>AMGOOD_1996</vt:lpstr>
      <vt:lpstr>AMGOOD_1997</vt:lpstr>
      <vt:lpstr>AMGOOD_1998</vt:lpstr>
      <vt:lpstr>AMGOOD_1999</vt:lpstr>
      <vt:lpstr>Tags!AMGOOD_1Q00</vt:lpstr>
      <vt:lpstr>AMGOOD_1Q00</vt:lpstr>
      <vt:lpstr>Tags!AMGOOD_1Q01</vt:lpstr>
      <vt:lpstr>AMGOOD_1Q01</vt:lpstr>
      <vt:lpstr>Tags!AMGOOD_1Q02</vt:lpstr>
      <vt:lpstr>AMGOOD_1Q02</vt:lpstr>
      <vt:lpstr>Tags!AMGOOD_1Q03</vt:lpstr>
      <vt:lpstr>AMGOOD_1Q03</vt:lpstr>
      <vt:lpstr>Tags!AMGOOD_1Q04</vt:lpstr>
      <vt:lpstr>AMGOOD_1Q04</vt:lpstr>
      <vt:lpstr>Tags!AMGOOD_1Q05</vt:lpstr>
      <vt:lpstr>AMGOOD_1Q05</vt:lpstr>
      <vt:lpstr>Tags!AMGOOD_1Q06</vt:lpstr>
      <vt:lpstr>AMGOOD_1Q06</vt:lpstr>
      <vt:lpstr>Tags!AMGOOD_1Q07</vt:lpstr>
      <vt:lpstr>AMGOOD_1Q07</vt:lpstr>
      <vt:lpstr>Tags!AMGOOD_1Q08</vt:lpstr>
      <vt:lpstr>AMGOOD_1Q08</vt:lpstr>
      <vt:lpstr>Tags!AMGOOD_1Q09</vt:lpstr>
      <vt:lpstr>AMGOOD_1Q09</vt:lpstr>
      <vt:lpstr>Tags!AMGOOD_1Q10</vt:lpstr>
      <vt:lpstr>AMGOOD_1Q10</vt:lpstr>
      <vt:lpstr>Tags!AMGOOD_1Q11</vt:lpstr>
      <vt:lpstr>AMGOOD_1Q11</vt:lpstr>
      <vt:lpstr>Tags!AMGOOD_1Q12</vt:lpstr>
      <vt:lpstr>AMGOOD_1Q12</vt:lpstr>
      <vt:lpstr>Tags!AMGOOD_1Q13</vt:lpstr>
      <vt:lpstr>AMGOOD_1Q13</vt:lpstr>
      <vt:lpstr>Tags!AMGOOD_1Q14</vt:lpstr>
      <vt:lpstr>AMGOOD_1Q14</vt:lpstr>
      <vt:lpstr>Tags!AMGOOD_1Q15</vt:lpstr>
      <vt:lpstr>AMGOOD_1Q15</vt:lpstr>
      <vt:lpstr>Tags!AMGOOD_1Q16</vt:lpstr>
      <vt:lpstr>AMGOOD_1Q16</vt:lpstr>
      <vt:lpstr>Tags!AMGOOD_1Q17</vt:lpstr>
      <vt:lpstr>AMGOOD_1Q17</vt:lpstr>
      <vt:lpstr>Tags!AMGOOD_1Q18</vt:lpstr>
      <vt:lpstr>AMGOOD_1Q18</vt:lpstr>
      <vt:lpstr>Tags!AMGOOD_1Q19</vt:lpstr>
      <vt:lpstr>AMGOOD_1Q19</vt:lpstr>
      <vt:lpstr>Tags!AMGOOD_1Q20</vt:lpstr>
      <vt:lpstr>AMGOOD_1Q20</vt:lpstr>
      <vt:lpstr>AMGOOD_1Q21</vt:lpstr>
      <vt:lpstr>AMGOOD_1Q22</vt:lpstr>
      <vt:lpstr>AMGOOD_1Q23</vt:lpstr>
      <vt:lpstr>AMGOOD_1Q24</vt:lpstr>
      <vt:lpstr>Tags!AMGOOD_2000</vt:lpstr>
      <vt:lpstr>AMGOOD_2000</vt:lpstr>
      <vt:lpstr>Tags!AMGOOD_2001</vt:lpstr>
      <vt:lpstr>AMGOOD_2001</vt:lpstr>
      <vt:lpstr>Tags!AMGOOD_2002</vt:lpstr>
      <vt:lpstr>AMGOOD_2002</vt:lpstr>
      <vt:lpstr>Tags!AMGOOD_2003</vt:lpstr>
      <vt:lpstr>AMGOOD_2003</vt:lpstr>
      <vt:lpstr>Tags!AMGOOD_2004</vt:lpstr>
      <vt:lpstr>AMGOOD_2004</vt:lpstr>
      <vt:lpstr>Tags!AMGOOD_2005</vt:lpstr>
      <vt:lpstr>AMGOOD_2005</vt:lpstr>
      <vt:lpstr>Tags!AMGOOD_2006</vt:lpstr>
      <vt:lpstr>AMGOOD_2006</vt:lpstr>
      <vt:lpstr>Tags!AMGOOD_2007</vt:lpstr>
      <vt:lpstr>AMGOOD_2007</vt:lpstr>
      <vt:lpstr>Tags!AMGOOD_2008</vt:lpstr>
      <vt:lpstr>AMGOOD_2008</vt:lpstr>
      <vt:lpstr>Tags!AMGOOD_2009</vt:lpstr>
      <vt:lpstr>AMGOOD_2009</vt:lpstr>
      <vt:lpstr>Tags!AMGOOD_2010</vt:lpstr>
      <vt:lpstr>AMGOOD_2010</vt:lpstr>
      <vt:lpstr>Tags!AMGOOD_2011</vt:lpstr>
      <vt:lpstr>AMGOOD_2011</vt:lpstr>
      <vt:lpstr>Tags!AMGOOD_2012</vt:lpstr>
      <vt:lpstr>AMGOOD_2012</vt:lpstr>
      <vt:lpstr>Tags!AMGOOD_2013</vt:lpstr>
      <vt:lpstr>AMGOOD_2013</vt:lpstr>
      <vt:lpstr>Tags!AMGOOD_2014</vt:lpstr>
      <vt:lpstr>AMGOOD_2014</vt:lpstr>
      <vt:lpstr>AMGOOD_2015</vt:lpstr>
      <vt:lpstr>Tags!AMGOOD_2016</vt:lpstr>
      <vt:lpstr>AMGOOD_2016</vt:lpstr>
      <vt:lpstr>Tags!AMGOOD_2017</vt:lpstr>
      <vt:lpstr>AMGOOD_2017</vt:lpstr>
      <vt:lpstr>Tags!AMGOOD_2018</vt:lpstr>
      <vt:lpstr>AMGOOD_2018</vt:lpstr>
      <vt:lpstr>Tags!AMGOOD_2019</vt:lpstr>
      <vt:lpstr>AMGOOD_2019</vt:lpstr>
      <vt:lpstr>Tags!AMGOOD_2020</vt:lpstr>
      <vt:lpstr>AMGOOD_2020</vt:lpstr>
      <vt:lpstr>AMGOOD_2021</vt:lpstr>
      <vt:lpstr>AMGOOD_2022</vt:lpstr>
      <vt:lpstr>AMGOOD_2023</vt:lpstr>
      <vt:lpstr>AMGOOD_2024</vt:lpstr>
      <vt:lpstr>Tags!AMGOOD_2Q00</vt:lpstr>
      <vt:lpstr>AMGOOD_2Q00</vt:lpstr>
      <vt:lpstr>Tags!AMGOOD_2Q01</vt:lpstr>
      <vt:lpstr>AMGOOD_2Q01</vt:lpstr>
      <vt:lpstr>Tags!AMGOOD_2Q02</vt:lpstr>
      <vt:lpstr>AMGOOD_2Q02</vt:lpstr>
      <vt:lpstr>Tags!AMGOOD_2Q03</vt:lpstr>
      <vt:lpstr>AMGOOD_2Q03</vt:lpstr>
      <vt:lpstr>Tags!AMGOOD_2Q04</vt:lpstr>
      <vt:lpstr>AMGOOD_2Q04</vt:lpstr>
      <vt:lpstr>Tags!AMGOOD_2Q05</vt:lpstr>
      <vt:lpstr>AMGOOD_2Q05</vt:lpstr>
      <vt:lpstr>Tags!AMGOOD_2Q06</vt:lpstr>
      <vt:lpstr>AMGOOD_2Q06</vt:lpstr>
      <vt:lpstr>Tags!AMGOOD_2Q07</vt:lpstr>
      <vt:lpstr>AMGOOD_2Q07</vt:lpstr>
      <vt:lpstr>Tags!AMGOOD_2Q08</vt:lpstr>
      <vt:lpstr>AMGOOD_2Q08</vt:lpstr>
      <vt:lpstr>Tags!AMGOOD_2Q09</vt:lpstr>
      <vt:lpstr>AMGOOD_2Q09</vt:lpstr>
      <vt:lpstr>Tags!AMGOOD_2Q10</vt:lpstr>
      <vt:lpstr>AMGOOD_2Q10</vt:lpstr>
      <vt:lpstr>Tags!AMGOOD_2Q11</vt:lpstr>
      <vt:lpstr>AMGOOD_2Q11</vt:lpstr>
      <vt:lpstr>Tags!AMGOOD_2Q12</vt:lpstr>
      <vt:lpstr>AMGOOD_2Q12</vt:lpstr>
      <vt:lpstr>Tags!AMGOOD_2Q13</vt:lpstr>
      <vt:lpstr>AMGOOD_2Q13</vt:lpstr>
      <vt:lpstr>Tags!AMGOOD_2Q14</vt:lpstr>
      <vt:lpstr>AMGOOD_2Q14</vt:lpstr>
      <vt:lpstr>Tags!AMGOOD_2Q15</vt:lpstr>
      <vt:lpstr>AMGOOD_2Q15</vt:lpstr>
      <vt:lpstr>Tags!AMGOOD_2Q16</vt:lpstr>
      <vt:lpstr>AMGOOD_2Q16</vt:lpstr>
      <vt:lpstr>Tags!AMGOOD_2Q17</vt:lpstr>
      <vt:lpstr>AMGOOD_2Q17</vt:lpstr>
      <vt:lpstr>Tags!AMGOOD_2Q18</vt:lpstr>
      <vt:lpstr>AMGOOD_2Q18</vt:lpstr>
      <vt:lpstr>Tags!AMGOOD_2Q19</vt:lpstr>
      <vt:lpstr>AMGOOD_2Q19</vt:lpstr>
      <vt:lpstr>Tags!AMGOOD_2Q20</vt:lpstr>
      <vt:lpstr>AMGOOD_2Q20</vt:lpstr>
      <vt:lpstr>AMGOOD_2Q21</vt:lpstr>
      <vt:lpstr>AMGOOD_2Q22</vt:lpstr>
      <vt:lpstr>AMGOOD_2Q23</vt:lpstr>
      <vt:lpstr>AMGOOD_2Q24</vt:lpstr>
      <vt:lpstr>Tags!AMGOOD_3Q00</vt:lpstr>
      <vt:lpstr>AMGOOD_3Q00</vt:lpstr>
      <vt:lpstr>Tags!AMGOOD_3Q01</vt:lpstr>
      <vt:lpstr>AMGOOD_3Q01</vt:lpstr>
      <vt:lpstr>Tags!AMGOOD_3Q02</vt:lpstr>
      <vt:lpstr>AMGOOD_3Q02</vt:lpstr>
      <vt:lpstr>Tags!AMGOOD_3Q03</vt:lpstr>
      <vt:lpstr>AMGOOD_3Q03</vt:lpstr>
      <vt:lpstr>Tags!AMGOOD_3Q04</vt:lpstr>
      <vt:lpstr>AMGOOD_3Q04</vt:lpstr>
      <vt:lpstr>Tags!AMGOOD_3Q05</vt:lpstr>
      <vt:lpstr>AMGOOD_3Q05</vt:lpstr>
      <vt:lpstr>Tags!AMGOOD_3Q06</vt:lpstr>
      <vt:lpstr>AMGOOD_3Q06</vt:lpstr>
      <vt:lpstr>Tags!AMGOOD_3Q07</vt:lpstr>
      <vt:lpstr>AMGOOD_3Q07</vt:lpstr>
      <vt:lpstr>Tags!AMGOOD_3Q08</vt:lpstr>
      <vt:lpstr>AMGOOD_3Q08</vt:lpstr>
      <vt:lpstr>Tags!AMGOOD_3Q09</vt:lpstr>
      <vt:lpstr>AMGOOD_3Q09</vt:lpstr>
      <vt:lpstr>Tags!AMGOOD_3Q10</vt:lpstr>
      <vt:lpstr>AMGOOD_3Q10</vt:lpstr>
      <vt:lpstr>Tags!AMGOOD_3Q11</vt:lpstr>
      <vt:lpstr>AMGOOD_3Q11</vt:lpstr>
      <vt:lpstr>Tags!AMGOOD_3Q12</vt:lpstr>
      <vt:lpstr>AMGOOD_3Q12</vt:lpstr>
      <vt:lpstr>Tags!AMGOOD_3Q13</vt:lpstr>
      <vt:lpstr>AMGOOD_3Q13</vt:lpstr>
      <vt:lpstr>Tags!AMGOOD_3Q14</vt:lpstr>
      <vt:lpstr>AMGOOD_3Q14</vt:lpstr>
      <vt:lpstr>Tags!AMGOOD_3Q15</vt:lpstr>
      <vt:lpstr>AMGOOD_3Q15</vt:lpstr>
      <vt:lpstr>Tags!AMGOOD_3Q16</vt:lpstr>
      <vt:lpstr>AMGOOD_3Q16</vt:lpstr>
      <vt:lpstr>Tags!AMGOOD_3Q17</vt:lpstr>
      <vt:lpstr>AMGOOD_3Q17</vt:lpstr>
      <vt:lpstr>Tags!AMGOOD_3Q18</vt:lpstr>
      <vt:lpstr>AMGOOD_3Q18</vt:lpstr>
      <vt:lpstr>Tags!AMGOOD_3Q19</vt:lpstr>
      <vt:lpstr>AMGOOD_3Q19</vt:lpstr>
      <vt:lpstr>Tags!AMGOOD_3Q20</vt:lpstr>
      <vt:lpstr>AMGOOD_3Q20</vt:lpstr>
      <vt:lpstr>AMGOOD_3Q21</vt:lpstr>
      <vt:lpstr>AMGOOD_3Q22</vt:lpstr>
      <vt:lpstr>AMGOOD_3Q23</vt:lpstr>
      <vt:lpstr>AMGOOD_3Q24</vt:lpstr>
      <vt:lpstr>Tags!AMGOOD_4Q00</vt:lpstr>
      <vt:lpstr>AMGOOD_4Q00</vt:lpstr>
      <vt:lpstr>Tags!AMGOOD_4Q01</vt:lpstr>
      <vt:lpstr>AMGOOD_4Q01</vt:lpstr>
      <vt:lpstr>Tags!AMGOOD_4Q02</vt:lpstr>
      <vt:lpstr>AMGOOD_4Q02</vt:lpstr>
      <vt:lpstr>Tags!AMGOOD_4Q03</vt:lpstr>
      <vt:lpstr>AMGOOD_4Q03</vt:lpstr>
      <vt:lpstr>Tags!AMGOOD_4Q04</vt:lpstr>
      <vt:lpstr>AMGOOD_4Q04</vt:lpstr>
      <vt:lpstr>Tags!AMGOOD_4Q05</vt:lpstr>
      <vt:lpstr>AMGOOD_4Q05</vt:lpstr>
      <vt:lpstr>Tags!AMGOOD_4Q06</vt:lpstr>
      <vt:lpstr>AMGOOD_4Q06</vt:lpstr>
      <vt:lpstr>Tags!AMGOOD_4Q07</vt:lpstr>
      <vt:lpstr>AMGOOD_4Q07</vt:lpstr>
      <vt:lpstr>Tags!AMGOOD_4Q08</vt:lpstr>
      <vt:lpstr>AMGOOD_4Q08</vt:lpstr>
      <vt:lpstr>Tags!AMGOOD_4Q09</vt:lpstr>
      <vt:lpstr>AMGOOD_4Q09</vt:lpstr>
      <vt:lpstr>Tags!AMGOOD_4Q10</vt:lpstr>
      <vt:lpstr>AMGOOD_4Q10</vt:lpstr>
      <vt:lpstr>Tags!AMGOOD_4Q11</vt:lpstr>
      <vt:lpstr>AMGOOD_4Q11</vt:lpstr>
      <vt:lpstr>Tags!AMGOOD_4Q12</vt:lpstr>
      <vt:lpstr>AMGOOD_4Q12</vt:lpstr>
      <vt:lpstr>Tags!AMGOOD_4Q13</vt:lpstr>
      <vt:lpstr>AMGOOD_4Q13</vt:lpstr>
      <vt:lpstr>Tags!AMGOOD_4Q14</vt:lpstr>
      <vt:lpstr>AMGOOD_4Q14</vt:lpstr>
      <vt:lpstr>Tags!AMGOOD_4Q15</vt:lpstr>
      <vt:lpstr>AMGOOD_4Q15</vt:lpstr>
      <vt:lpstr>Tags!AMGOOD_4Q16</vt:lpstr>
      <vt:lpstr>AMGOOD_4Q16</vt:lpstr>
      <vt:lpstr>Tags!AMGOOD_4Q17</vt:lpstr>
      <vt:lpstr>AMGOOD_4Q17</vt:lpstr>
      <vt:lpstr>Tags!AMGOOD_4Q18</vt:lpstr>
      <vt:lpstr>AMGOOD_4Q18</vt:lpstr>
      <vt:lpstr>Tags!AMGOOD_4Q19</vt:lpstr>
      <vt:lpstr>AMGOOD_4Q19</vt:lpstr>
      <vt:lpstr>Tags!AMGOOD_4Q20</vt:lpstr>
      <vt:lpstr>AMGOOD_4Q20</vt:lpstr>
      <vt:lpstr>AMGOOD_4Q21</vt:lpstr>
      <vt:lpstr>AMGOOD_4Q22</vt:lpstr>
      <vt:lpstr>AMGOOD_4Q23</vt:lpstr>
      <vt:lpstr>AMGOOD_4Q24</vt:lpstr>
      <vt:lpstr>AMITA_1995</vt:lpstr>
      <vt:lpstr>AMITA_1996</vt:lpstr>
      <vt:lpstr>AMITA_1997</vt:lpstr>
      <vt:lpstr>AMITA_1998</vt:lpstr>
      <vt:lpstr>AMITA_1999</vt:lpstr>
      <vt:lpstr>Tags!AMITA_1Q00</vt:lpstr>
      <vt:lpstr>AMITA_1Q00</vt:lpstr>
      <vt:lpstr>Tags!AMITA_1Q01</vt:lpstr>
      <vt:lpstr>AMITA_1Q01</vt:lpstr>
      <vt:lpstr>Tags!AMITA_1Q02</vt:lpstr>
      <vt:lpstr>AMITA_1Q02</vt:lpstr>
      <vt:lpstr>Tags!AMITA_1Q03</vt:lpstr>
      <vt:lpstr>AMITA_1Q03</vt:lpstr>
      <vt:lpstr>Tags!AMITA_1Q04</vt:lpstr>
      <vt:lpstr>AMITA_1Q04</vt:lpstr>
      <vt:lpstr>Tags!AMITA_1Q05</vt:lpstr>
      <vt:lpstr>AMITA_1Q05</vt:lpstr>
      <vt:lpstr>Tags!AMITA_1Q06</vt:lpstr>
      <vt:lpstr>AMITA_1Q06</vt:lpstr>
      <vt:lpstr>Tags!AMITA_1Q07</vt:lpstr>
      <vt:lpstr>AMITA_1Q07</vt:lpstr>
      <vt:lpstr>Tags!AMITA_1Q08</vt:lpstr>
      <vt:lpstr>AMITA_1Q08</vt:lpstr>
      <vt:lpstr>Tags!AMITA_1Q09</vt:lpstr>
      <vt:lpstr>AMITA_1Q09</vt:lpstr>
      <vt:lpstr>Tags!AMITA_1Q10</vt:lpstr>
      <vt:lpstr>AMITA_1Q10</vt:lpstr>
      <vt:lpstr>Tags!AMITA_1Q11</vt:lpstr>
      <vt:lpstr>AMITA_1Q11</vt:lpstr>
      <vt:lpstr>Tags!AMITA_1Q12</vt:lpstr>
      <vt:lpstr>AMITA_1Q12</vt:lpstr>
      <vt:lpstr>Tags!AMITA_1Q13</vt:lpstr>
      <vt:lpstr>AMITA_1Q13</vt:lpstr>
      <vt:lpstr>Tags!AMITA_1Q14</vt:lpstr>
      <vt:lpstr>AMITA_1Q14</vt:lpstr>
      <vt:lpstr>Tags!AMITA_1Q15</vt:lpstr>
      <vt:lpstr>AMITA_1Q15</vt:lpstr>
      <vt:lpstr>Tags!AMITA_1Q16</vt:lpstr>
      <vt:lpstr>AMITA_1Q16</vt:lpstr>
      <vt:lpstr>Tags!AMITA_1Q17</vt:lpstr>
      <vt:lpstr>AMITA_1Q17</vt:lpstr>
      <vt:lpstr>Tags!AMITA_1Q18</vt:lpstr>
      <vt:lpstr>AMITA_1Q18</vt:lpstr>
      <vt:lpstr>Tags!AMITA_1Q19</vt:lpstr>
      <vt:lpstr>AMITA_1Q19</vt:lpstr>
      <vt:lpstr>Tags!AMITA_1Q20</vt:lpstr>
      <vt:lpstr>AMITA_1Q20</vt:lpstr>
      <vt:lpstr>AMITA_1Q21</vt:lpstr>
      <vt:lpstr>AMITA_1Q22</vt:lpstr>
      <vt:lpstr>AMITA_1Q23</vt:lpstr>
      <vt:lpstr>AMITA_1Q24</vt:lpstr>
      <vt:lpstr>Tags!AMITA_2000</vt:lpstr>
      <vt:lpstr>AMITA_2000</vt:lpstr>
      <vt:lpstr>Tags!AMITA_2001</vt:lpstr>
      <vt:lpstr>AMITA_2001</vt:lpstr>
      <vt:lpstr>Tags!AMITA_2002</vt:lpstr>
      <vt:lpstr>AMITA_2002</vt:lpstr>
      <vt:lpstr>Tags!AMITA_2003</vt:lpstr>
      <vt:lpstr>AMITA_2003</vt:lpstr>
      <vt:lpstr>Tags!AMITA_2004</vt:lpstr>
      <vt:lpstr>AMITA_2004</vt:lpstr>
      <vt:lpstr>Tags!AMITA_2005</vt:lpstr>
      <vt:lpstr>AMITA_2005</vt:lpstr>
      <vt:lpstr>Tags!AMITA_2006</vt:lpstr>
      <vt:lpstr>AMITA_2006</vt:lpstr>
      <vt:lpstr>Tags!AMITA_2007</vt:lpstr>
      <vt:lpstr>AMITA_2007</vt:lpstr>
      <vt:lpstr>Tags!AMITA_2008</vt:lpstr>
      <vt:lpstr>AMITA_2008</vt:lpstr>
      <vt:lpstr>Tags!AMITA_2009</vt:lpstr>
      <vt:lpstr>AMITA_2009</vt:lpstr>
      <vt:lpstr>Tags!AMITA_2010</vt:lpstr>
      <vt:lpstr>AMITA_2010</vt:lpstr>
      <vt:lpstr>Tags!AMITA_2011</vt:lpstr>
      <vt:lpstr>AMITA_2011</vt:lpstr>
      <vt:lpstr>Tags!AMITA_2012</vt:lpstr>
      <vt:lpstr>AMITA_2012</vt:lpstr>
      <vt:lpstr>Tags!AMITA_2013</vt:lpstr>
      <vt:lpstr>AMITA_2013</vt:lpstr>
      <vt:lpstr>Tags!AMITA_2014</vt:lpstr>
      <vt:lpstr>AMITA_2014</vt:lpstr>
      <vt:lpstr>AMITA_2015</vt:lpstr>
      <vt:lpstr>Tags!AMITA_2016</vt:lpstr>
      <vt:lpstr>AMITA_2016</vt:lpstr>
      <vt:lpstr>Tags!AMITA_2017</vt:lpstr>
      <vt:lpstr>AMITA_2017</vt:lpstr>
      <vt:lpstr>Tags!AMITA_2018</vt:lpstr>
      <vt:lpstr>AMITA_2018</vt:lpstr>
      <vt:lpstr>Tags!AMITA_2019</vt:lpstr>
      <vt:lpstr>AMITA_2019</vt:lpstr>
      <vt:lpstr>Tags!AMITA_2020</vt:lpstr>
      <vt:lpstr>AMITA_2020</vt:lpstr>
      <vt:lpstr>AMITA_2021</vt:lpstr>
      <vt:lpstr>AMITA_2022</vt:lpstr>
      <vt:lpstr>AMITA_2023</vt:lpstr>
      <vt:lpstr>AMITA_2024</vt:lpstr>
      <vt:lpstr>Tags!AMITA_2Q00</vt:lpstr>
      <vt:lpstr>AMITA_2Q00</vt:lpstr>
      <vt:lpstr>Tags!AMITA_2Q01</vt:lpstr>
      <vt:lpstr>AMITA_2Q01</vt:lpstr>
      <vt:lpstr>Tags!AMITA_2Q02</vt:lpstr>
      <vt:lpstr>AMITA_2Q02</vt:lpstr>
      <vt:lpstr>Tags!AMITA_2Q03</vt:lpstr>
      <vt:lpstr>AMITA_2Q03</vt:lpstr>
      <vt:lpstr>Tags!AMITA_2Q04</vt:lpstr>
      <vt:lpstr>AMITA_2Q04</vt:lpstr>
      <vt:lpstr>Tags!AMITA_2Q05</vt:lpstr>
      <vt:lpstr>AMITA_2Q05</vt:lpstr>
      <vt:lpstr>Tags!AMITA_2Q06</vt:lpstr>
      <vt:lpstr>AMITA_2Q06</vt:lpstr>
      <vt:lpstr>Tags!AMITA_2Q07</vt:lpstr>
      <vt:lpstr>AMITA_2Q07</vt:lpstr>
      <vt:lpstr>Tags!AMITA_2Q08</vt:lpstr>
      <vt:lpstr>AMITA_2Q08</vt:lpstr>
      <vt:lpstr>Tags!AMITA_2Q09</vt:lpstr>
      <vt:lpstr>AMITA_2Q09</vt:lpstr>
      <vt:lpstr>Tags!AMITA_2Q10</vt:lpstr>
      <vt:lpstr>AMITA_2Q10</vt:lpstr>
      <vt:lpstr>Tags!AMITA_2Q11</vt:lpstr>
      <vt:lpstr>AMITA_2Q11</vt:lpstr>
      <vt:lpstr>Tags!AMITA_2Q12</vt:lpstr>
      <vt:lpstr>AMITA_2Q12</vt:lpstr>
      <vt:lpstr>Tags!AMITA_2Q13</vt:lpstr>
      <vt:lpstr>AMITA_2Q13</vt:lpstr>
      <vt:lpstr>Tags!AMITA_2Q14</vt:lpstr>
      <vt:lpstr>AMITA_2Q14</vt:lpstr>
      <vt:lpstr>Tags!AMITA_2Q15</vt:lpstr>
      <vt:lpstr>AMITA_2Q15</vt:lpstr>
      <vt:lpstr>Tags!AMITA_2Q16</vt:lpstr>
      <vt:lpstr>AMITA_2Q16</vt:lpstr>
      <vt:lpstr>Tags!AMITA_2Q17</vt:lpstr>
      <vt:lpstr>AMITA_2Q17</vt:lpstr>
      <vt:lpstr>Tags!AMITA_2Q18</vt:lpstr>
      <vt:lpstr>AMITA_2Q18</vt:lpstr>
      <vt:lpstr>Tags!AMITA_2Q19</vt:lpstr>
      <vt:lpstr>AMITA_2Q19</vt:lpstr>
      <vt:lpstr>Tags!AMITA_2Q20</vt:lpstr>
      <vt:lpstr>AMITA_2Q20</vt:lpstr>
      <vt:lpstr>AMITA_2Q21</vt:lpstr>
      <vt:lpstr>AMITA_2Q22</vt:lpstr>
      <vt:lpstr>AMITA_2Q23</vt:lpstr>
      <vt:lpstr>AMITA_2Q24</vt:lpstr>
      <vt:lpstr>Tags!AMITA_3Q00</vt:lpstr>
      <vt:lpstr>AMITA_3Q00</vt:lpstr>
      <vt:lpstr>Tags!AMITA_3Q01</vt:lpstr>
      <vt:lpstr>AMITA_3Q01</vt:lpstr>
      <vt:lpstr>Tags!AMITA_3Q02</vt:lpstr>
      <vt:lpstr>AMITA_3Q02</vt:lpstr>
      <vt:lpstr>Tags!AMITA_3Q03</vt:lpstr>
      <vt:lpstr>AMITA_3Q03</vt:lpstr>
      <vt:lpstr>Tags!AMITA_3Q04</vt:lpstr>
      <vt:lpstr>AMITA_3Q04</vt:lpstr>
      <vt:lpstr>Tags!AMITA_3Q05</vt:lpstr>
      <vt:lpstr>AMITA_3Q05</vt:lpstr>
      <vt:lpstr>Tags!AMITA_3Q06</vt:lpstr>
      <vt:lpstr>AMITA_3Q06</vt:lpstr>
      <vt:lpstr>Tags!AMITA_3Q07</vt:lpstr>
      <vt:lpstr>AMITA_3Q07</vt:lpstr>
      <vt:lpstr>Tags!AMITA_3Q08</vt:lpstr>
      <vt:lpstr>AMITA_3Q08</vt:lpstr>
      <vt:lpstr>Tags!AMITA_3Q09</vt:lpstr>
      <vt:lpstr>AMITA_3Q09</vt:lpstr>
      <vt:lpstr>Tags!AMITA_3Q10</vt:lpstr>
      <vt:lpstr>AMITA_3Q10</vt:lpstr>
      <vt:lpstr>Tags!AMITA_3Q11</vt:lpstr>
      <vt:lpstr>AMITA_3Q11</vt:lpstr>
      <vt:lpstr>Tags!AMITA_3Q12</vt:lpstr>
      <vt:lpstr>AMITA_3Q12</vt:lpstr>
      <vt:lpstr>Tags!AMITA_3Q13</vt:lpstr>
      <vt:lpstr>AMITA_3Q13</vt:lpstr>
      <vt:lpstr>Tags!AMITA_3Q14</vt:lpstr>
      <vt:lpstr>AMITA_3Q14</vt:lpstr>
      <vt:lpstr>Tags!AMITA_3Q15</vt:lpstr>
      <vt:lpstr>AMITA_3Q15</vt:lpstr>
      <vt:lpstr>Tags!AMITA_3Q16</vt:lpstr>
      <vt:lpstr>AMITA_3Q16</vt:lpstr>
      <vt:lpstr>Tags!AMITA_3Q17</vt:lpstr>
      <vt:lpstr>AMITA_3Q17</vt:lpstr>
      <vt:lpstr>Tags!AMITA_3Q18</vt:lpstr>
      <vt:lpstr>AMITA_3Q18</vt:lpstr>
      <vt:lpstr>Tags!AMITA_3Q19</vt:lpstr>
      <vt:lpstr>AMITA_3Q19</vt:lpstr>
      <vt:lpstr>Tags!AMITA_3Q20</vt:lpstr>
      <vt:lpstr>AMITA_3Q20</vt:lpstr>
      <vt:lpstr>AMITA_3Q21</vt:lpstr>
      <vt:lpstr>AMITA_3Q22</vt:lpstr>
      <vt:lpstr>AMITA_3Q23</vt:lpstr>
      <vt:lpstr>AMITA_3Q24</vt:lpstr>
      <vt:lpstr>Tags!AMITA_4Q00</vt:lpstr>
      <vt:lpstr>AMITA_4Q00</vt:lpstr>
      <vt:lpstr>Tags!AMITA_4Q01</vt:lpstr>
      <vt:lpstr>AMITA_4Q01</vt:lpstr>
      <vt:lpstr>Tags!AMITA_4Q02</vt:lpstr>
      <vt:lpstr>AMITA_4Q02</vt:lpstr>
      <vt:lpstr>Tags!AMITA_4Q03</vt:lpstr>
      <vt:lpstr>AMITA_4Q03</vt:lpstr>
      <vt:lpstr>Tags!AMITA_4Q04</vt:lpstr>
      <vt:lpstr>AMITA_4Q04</vt:lpstr>
      <vt:lpstr>Tags!AMITA_4Q05</vt:lpstr>
      <vt:lpstr>AMITA_4Q05</vt:lpstr>
      <vt:lpstr>Tags!AMITA_4Q06</vt:lpstr>
      <vt:lpstr>AMITA_4Q06</vt:lpstr>
      <vt:lpstr>Tags!AMITA_4Q07</vt:lpstr>
      <vt:lpstr>AMITA_4Q07</vt:lpstr>
      <vt:lpstr>Tags!AMITA_4Q08</vt:lpstr>
      <vt:lpstr>AMITA_4Q08</vt:lpstr>
      <vt:lpstr>Tags!AMITA_4Q09</vt:lpstr>
      <vt:lpstr>AMITA_4Q09</vt:lpstr>
      <vt:lpstr>Tags!AMITA_4Q10</vt:lpstr>
      <vt:lpstr>AMITA_4Q10</vt:lpstr>
      <vt:lpstr>Tags!AMITA_4Q11</vt:lpstr>
      <vt:lpstr>AMITA_4Q11</vt:lpstr>
      <vt:lpstr>Tags!AMITA_4Q12</vt:lpstr>
      <vt:lpstr>AMITA_4Q12</vt:lpstr>
      <vt:lpstr>Tags!AMITA_4Q13</vt:lpstr>
      <vt:lpstr>AMITA_4Q13</vt:lpstr>
      <vt:lpstr>Tags!AMITA_4Q14</vt:lpstr>
      <vt:lpstr>AMITA_4Q14</vt:lpstr>
      <vt:lpstr>Tags!AMITA_4Q15</vt:lpstr>
      <vt:lpstr>AMITA_4Q15</vt:lpstr>
      <vt:lpstr>Tags!AMITA_4Q16</vt:lpstr>
      <vt:lpstr>AMITA_4Q16</vt:lpstr>
      <vt:lpstr>Tags!AMITA_4Q17</vt:lpstr>
      <vt:lpstr>AMITA_4Q17</vt:lpstr>
      <vt:lpstr>Tags!AMITA_4Q18</vt:lpstr>
      <vt:lpstr>AMITA_4Q18</vt:lpstr>
      <vt:lpstr>Tags!AMITA_4Q19</vt:lpstr>
      <vt:lpstr>AMITA_4Q19</vt:lpstr>
      <vt:lpstr>Tags!AMITA_4Q20</vt:lpstr>
      <vt:lpstr>AMITA_4Q20</vt:lpstr>
      <vt:lpstr>AMITA_4Q21</vt:lpstr>
      <vt:lpstr>AMITA_4Q22</vt:lpstr>
      <vt:lpstr>AMITA_4Q23</vt:lpstr>
      <vt:lpstr>AMITA_4Q24</vt:lpstr>
      <vt:lpstr>AMPACT_1995</vt:lpstr>
      <vt:lpstr>AMPACT_1996</vt:lpstr>
      <vt:lpstr>AMPACT_1997</vt:lpstr>
      <vt:lpstr>AMPACT_1998</vt:lpstr>
      <vt:lpstr>AMPACT_1999</vt:lpstr>
      <vt:lpstr>Tags!AMPACT_1Q00</vt:lpstr>
      <vt:lpstr>AMPACT_1Q00</vt:lpstr>
      <vt:lpstr>Tags!AMPACT_1Q01</vt:lpstr>
      <vt:lpstr>AMPACT_1Q01</vt:lpstr>
      <vt:lpstr>Tags!AMPACT_1Q02</vt:lpstr>
      <vt:lpstr>AMPACT_1Q02</vt:lpstr>
      <vt:lpstr>Tags!AMPACT_1Q03</vt:lpstr>
      <vt:lpstr>AMPACT_1Q03</vt:lpstr>
      <vt:lpstr>Tags!AMPACT_1Q04</vt:lpstr>
      <vt:lpstr>AMPACT_1Q04</vt:lpstr>
      <vt:lpstr>Tags!AMPACT_1Q05</vt:lpstr>
      <vt:lpstr>AMPACT_1Q05</vt:lpstr>
      <vt:lpstr>Tags!AMPACT_1Q06</vt:lpstr>
      <vt:lpstr>AMPACT_1Q06</vt:lpstr>
      <vt:lpstr>Tags!AMPACT_1Q07</vt:lpstr>
      <vt:lpstr>AMPACT_1Q07</vt:lpstr>
      <vt:lpstr>Tags!AMPACT_1Q08</vt:lpstr>
      <vt:lpstr>AMPACT_1Q08</vt:lpstr>
      <vt:lpstr>Tags!AMPACT_1Q09</vt:lpstr>
      <vt:lpstr>AMPACT_1Q09</vt:lpstr>
      <vt:lpstr>Tags!AMPACT_1Q10</vt:lpstr>
      <vt:lpstr>AMPACT_1Q10</vt:lpstr>
      <vt:lpstr>Tags!AMPACT_1Q11</vt:lpstr>
      <vt:lpstr>AMPACT_1Q11</vt:lpstr>
      <vt:lpstr>Tags!AMPACT_1Q12</vt:lpstr>
      <vt:lpstr>AMPACT_1Q12</vt:lpstr>
      <vt:lpstr>Tags!AMPACT_1Q13</vt:lpstr>
      <vt:lpstr>AMPACT_1Q13</vt:lpstr>
      <vt:lpstr>Tags!AMPACT_1Q14</vt:lpstr>
      <vt:lpstr>AMPACT_1Q14</vt:lpstr>
      <vt:lpstr>Tags!AMPACT_1Q15</vt:lpstr>
      <vt:lpstr>AMPACT_1Q15</vt:lpstr>
      <vt:lpstr>Tags!AMPACT_1Q16</vt:lpstr>
      <vt:lpstr>AMPACT_1Q16</vt:lpstr>
      <vt:lpstr>Tags!AMPACT_1Q17</vt:lpstr>
      <vt:lpstr>AMPACT_1Q17</vt:lpstr>
      <vt:lpstr>Tags!AMPACT_1Q18</vt:lpstr>
      <vt:lpstr>AMPACT_1Q18</vt:lpstr>
      <vt:lpstr>Tags!AMPACT_1Q19</vt:lpstr>
      <vt:lpstr>AMPACT_1Q19</vt:lpstr>
      <vt:lpstr>Tags!AMPACT_1Q20</vt:lpstr>
      <vt:lpstr>AMPACT_1Q20</vt:lpstr>
      <vt:lpstr>AMPACT_1Q21</vt:lpstr>
      <vt:lpstr>AMPACT_1Q22</vt:lpstr>
      <vt:lpstr>AMPACT_1Q23</vt:lpstr>
      <vt:lpstr>AMPACT_1Q24</vt:lpstr>
      <vt:lpstr>Tags!AMPACT_2000</vt:lpstr>
      <vt:lpstr>AMPACT_2000</vt:lpstr>
      <vt:lpstr>Tags!AMPACT_2001</vt:lpstr>
      <vt:lpstr>AMPACT_2001</vt:lpstr>
      <vt:lpstr>Tags!AMPACT_2002</vt:lpstr>
      <vt:lpstr>AMPACT_2002</vt:lpstr>
      <vt:lpstr>Tags!AMPACT_2003</vt:lpstr>
      <vt:lpstr>AMPACT_2003</vt:lpstr>
      <vt:lpstr>Tags!AMPACT_2004</vt:lpstr>
      <vt:lpstr>AMPACT_2004</vt:lpstr>
      <vt:lpstr>Tags!AMPACT_2005</vt:lpstr>
      <vt:lpstr>AMPACT_2005</vt:lpstr>
      <vt:lpstr>Tags!AMPACT_2006</vt:lpstr>
      <vt:lpstr>AMPACT_2006</vt:lpstr>
      <vt:lpstr>Tags!AMPACT_2007</vt:lpstr>
      <vt:lpstr>AMPACT_2007</vt:lpstr>
      <vt:lpstr>Tags!AMPACT_2008</vt:lpstr>
      <vt:lpstr>AMPACT_2008</vt:lpstr>
      <vt:lpstr>Tags!AMPACT_2009</vt:lpstr>
      <vt:lpstr>AMPACT_2009</vt:lpstr>
      <vt:lpstr>Tags!AMPACT_2010</vt:lpstr>
      <vt:lpstr>AMPACT_2010</vt:lpstr>
      <vt:lpstr>Tags!AMPACT_2011</vt:lpstr>
      <vt:lpstr>AMPACT_2011</vt:lpstr>
      <vt:lpstr>Tags!AMPACT_2012</vt:lpstr>
      <vt:lpstr>AMPACT_2012</vt:lpstr>
      <vt:lpstr>Tags!AMPACT_2013</vt:lpstr>
      <vt:lpstr>AMPACT_2013</vt:lpstr>
      <vt:lpstr>Tags!AMPACT_2014</vt:lpstr>
      <vt:lpstr>AMPACT_2014</vt:lpstr>
      <vt:lpstr>AMPACT_2015</vt:lpstr>
      <vt:lpstr>Tags!AMPACT_2016</vt:lpstr>
      <vt:lpstr>AMPACT_2016</vt:lpstr>
      <vt:lpstr>Tags!AMPACT_2017</vt:lpstr>
      <vt:lpstr>AMPACT_2017</vt:lpstr>
      <vt:lpstr>Tags!AMPACT_2018</vt:lpstr>
      <vt:lpstr>AMPACT_2018</vt:lpstr>
      <vt:lpstr>Tags!AMPACT_2019</vt:lpstr>
      <vt:lpstr>AMPACT_2019</vt:lpstr>
      <vt:lpstr>Tags!AMPACT_2020</vt:lpstr>
      <vt:lpstr>AMPACT_2020</vt:lpstr>
      <vt:lpstr>AMPACT_2021</vt:lpstr>
      <vt:lpstr>AMPACT_2022</vt:lpstr>
      <vt:lpstr>AMPACT_2023</vt:lpstr>
      <vt:lpstr>AMPACT_2024</vt:lpstr>
      <vt:lpstr>Tags!AMPACT_2Q00</vt:lpstr>
      <vt:lpstr>AMPACT_2Q00</vt:lpstr>
      <vt:lpstr>Tags!AMPACT_2Q01</vt:lpstr>
      <vt:lpstr>AMPACT_2Q01</vt:lpstr>
      <vt:lpstr>Tags!AMPACT_2Q02</vt:lpstr>
      <vt:lpstr>AMPACT_2Q02</vt:lpstr>
      <vt:lpstr>Tags!AMPACT_2Q03</vt:lpstr>
      <vt:lpstr>AMPACT_2Q03</vt:lpstr>
      <vt:lpstr>Tags!AMPACT_2Q04</vt:lpstr>
      <vt:lpstr>AMPACT_2Q04</vt:lpstr>
      <vt:lpstr>Tags!AMPACT_2Q05</vt:lpstr>
      <vt:lpstr>AMPACT_2Q05</vt:lpstr>
      <vt:lpstr>Tags!AMPACT_2Q06</vt:lpstr>
      <vt:lpstr>AMPACT_2Q06</vt:lpstr>
      <vt:lpstr>Tags!AMPACT_2Q07</vt:lpstr>
      <vt:lpstr>AMPACT_2Q07</vt:lpstr>
      <vt:lpstr>Tags!AMPACT_2Q08</vt:lpstr>
      <vt:lpstr>AMPACT_2Q08</vt:lpstr>
      <vt:lpstr>Tags!AMPACT_2Q09</vt:lpstr>
      <vt:lpstr>AMPACT_2Q09</vt:lpstr>
      <vt:lpstr>Tags!AMPACT_2Q10</vt:lpstr>
      <vt:lpstr>AMPACT_2Q10</vt:lpstr>
      <vt:lpstr>Tags!AMPACT_2Q11</vt:lpstr>
      <vt:lpstr>AMPACT_2Q11</vt:lpstr>
      <vt:lpstr>Tags!AMPACT_2Q12</vt:lpstr>
      <vt:lpstr>AMPACT_2Q12</vt:lpstr>
      <vt:lpstr>Tags!AMPACT_2Q13</vt:lpstr>
      <vt:lpstr>AMPACT_2Q13</vt:lpstr>
      <vt:lpstr>Tags!AMPACT_2Q14</vt:lpstr>
      <vt:lpstr>AMPACT_2Q14</vt:lpstr>
      <vt:lpstr>Tags!AMPACT_2Q15</vt:lpstr>
      <vt:lpstr>AMPACT_2Q15</vt:lpstr>
      <vt:lpstr>Tags!AMPACT_2Q16</vt:lpstr>
      <vt:lpstr>AMPACT_2Q16</vt:lpstr>
      <vt:lpstr>Tags!AMPACT_2Q17</vt:lpstr>
      <vt:lpstr>AMPACT_2Q17</vt:lpstr>
      <vt:lpstr>Tags!AMPACT_2Q18</vt:lpstr>
      <vt:lpstr>AMPACT_2Q18</vt:lpstr>
      <vt:lpstr>Tags!AMPACT_2Q19</vt:lpstr>
      <vt:lpstr>AMPACT_2Q19</vt:lpstr>
      <vt:lpstr>Tags!AMPACT_2Q20</vt:lpstr>
      <vt:lpstr>AMPACT_2Q20</vt:lpstr>
      <vt:lpstr>AMPACT_2Q21</vt:lpstr>
      <vt:lpstr>AMPACT_2Q22</vt:lpstr>
      <vt:lpstr>AMPACT_2Q23</vt:lpstr>
      <vt:lpstr>AMPACT_2Q24</vt:lpstr>
      <vt:lpstr>Tags!AMPACT_3Q00</vt:lpstr>
      <vt:lpstr>AMPACT_3Q00</vt:lpstr>
      <vt:lpstr>Tags!AMPACT_3Q01</vt:lpstr>
      <vt:lpstr>AMPACT_3Q01</vt:lpstr>
      <vt:lpstr>Tags!AMPACT_3Q02</vt:lpstr>
      <vt:lpstr>AMPACT_3Q02</vt:lpstr>
      <vt:lpstr>Tags!AMPACT_3Q03</vt:lpstr>
      <vt:lpstr>AMPACT_3Q03</vt:lpstr>
      <vt:lpstr>Tags!AMPACT_3Q04</vt:lpstr>
      <vt:lpstr>AMPACT_3Q04</vt:lpstr>
      <vt:lpstr>Tags!AMPACT_3Q05</vt:lpstr>
      <vt:lpstr>AMPACT_3Q05</vt:lpstr>
      <vt:lpstr>Tags!AMPACT_3Q06</vt:lpstr>
      <vt:lpstr>AMPACT_3Q06</vt:lpstr>
      <vt:lpstr>Tags!AMPACT_3Q07</vt:lpstr>
      <vt:lpstr>AMPACT_3Q07</vt:lpstr>
      <vt:lpstr>Tags!AMPACT_3Q08</vt:lpstr>
      <vt:lpstr>AMPACT_3Q08</vt:lpstr>
      <vt:lpstr>Tags!AMPACT_3Q09</vt:lpstr>
      <vt:lpstr>AMPACT_3Q09</vt:lpstr>
      <vt:lpstr>Tags!AMPACT_3Q10</vt:lpstr>
      <vt:lpstr>AMPACT_3Q10</vt:lpstr>
      <vt:lpstr>Tags!AMPACT_3Q11</vt:lpstr>
      <vt:lpstr>AMPACT_3Q11</vt:lpstr>
      <vt:lpstr>Tags!AMPACT_3Q12</vt:lpstr>
      <vt:lpstr>AMPACT_3Q12</vt:lpstr>
      <vt:lpstr>Tags!AMPACT_3Q13</vt:lpstr>
      <vt:lpstr>AMPACT_3Q13</vt:lpstr>
      <vt:lpstr>Tags!AMPACT_3Q14</vt:lpstr>
      <vt:lpstr>AMPACT_3Q14</vt:lpstr>
      <vt:lpstr>Tags!AMPACT_3Q15</vt:lpstr>
      <vt:lpstr>AMPACT_3Q15</vt:lpstr>
      <vt:lpstr>Tags!AMPACT_3Q16</vt:lpstr>
      <vt:lpstr>AMPACT_3Q16</vt:lpstr>
      <vt:lpstr>Tags!AMPACT_3Q17</vt:lpstr>
      <vt:lpstr>AMPACT_3Q17</vt:lpstr>
      <vt:lpstr>Tags!AMPACT_3Q18</vt:lpstr>
      <vt:lpstr>AMPACT_3Q18</vt:lpstr>
      <vt:lpstr>Tags!AMPACT_3Q19</vt:lpstr>
      <vt:lpstr>AMPACT_3Q19</vt:lpstr>
      <vt:lpstr>Tags!AMPACT_3Q20</vt:lpstr>
      <vt:lpstr>AMPACT_3Q20</vt:lpstr>
      <vt:lpstr>AMPACT_3Q21</vt:lpstr>
      <vt:lpstr>AMPACT_3Q22</vt:lpstr>
      <vt:lpstr>AMPACT_3Q23</vt:lpstr>
      <vt:lpstr>AMPACT_3Q24</vt:lpstr>
      <vt:lpstr>Tags!AMPACT_4Q00</vt:lpstr>
      <vt:lpstr>AMPACT_4Q00</vt:lpstr>
      <vt:lpstr>Tags!AMPACT_4Q01</vt:lpstr>
      <vt:lpstr>AMPACT_4Q01</vt:lpstr>
      <vt:lpstr>Tags!AMPACT_4Q02</vt:lpstr>
      <vt:lpstr>AMPACT_4Q02</vt:lpstr>
      <vt:lpstr>Tags!AMPACT_4Q03</vt:lpstr>
      <vt:lpstr>AMPACT_4Q03</vt:lpstr>
      <vt:lpstr>Tags!AMPACT_4Q04</vt:lpstr>
      <vt:lpstr>AMPACT_4Q04</vt:lpstr>
      <vt:lpstr>Tags!AMPACT_4Q05</vt:lpstr>
      <vt:lpstr>AMPACT_4Q05</vt:lpstr>
      <vt:lpstr>Tags!AMPACT_4Q06</vt:lpstr>
      <vt:lpstr>AMPACT_4Q06</vt:lpstr>
      <vt:lpstr>Tags!AMPACT_4Q07</vt:lpstr>
      <vt:lpstr>AMPACT_4Q07</vt:lpstr>
      <vt:lpstr>Tags!AMPACT_4Q08</vt:lpstr>
      <vt:lpstr>AMPACT_4Q08</vt:lpstr>
      <vt:lpstr>Tags!AMPACT_4Q09</vt:lpstr>
      <vt:lpstr>AMPACT_4Q09</vt:lpstr>
      <vt:lpstr>Tags!AMPACT_4Q10</vt:lpstr>
      <vt:lpstr>AMPACT_4Q10</vt:lpstr>
      <vt:lpstr>Tags!AMPACT_4Q11</vt:lpstr>
      <vt:lpstr>AMPACT_4Q11</vt:lpstr>
      <vt:lpstr>Tags!AMPACT_4Q12</vt:lpstr>
      <vt:lpstr>AMPACT_4Q12</vt:lpstr>
      <vt:lpstr>Tags!AMPACT_4Q13</vt:lpstr>
      <vt:lpstr>AMPACT_4Q13</vt:lpstr>
      <vt:lpstr>Tags!AMPACT_4Q14</vt:lpstr>
      <vt:lpstr>AMPACT_4Q14</vt:lpstr>
      <vt:lpstr>Tags!AMPACT_4Q15</vt:lpstr>
      <vt:lpstr>AMPACT_4Q15</vt:lpstr>
      <vt:lpstr>Tags!AMPACT_4Q16</vt:lpstr>
      <vt:lpstr>AMPACT_4Q16</vt:lpstr>
      <vt:lpstr>Tags!AMPACT_4Q17</vt:lpstr>
      <vt:lpstr>AMPACT_4Q17</vt:lpstr>
      <vt:lpstr>Tags!AMPACT_4Q18</vt:lpstr>
      <vt:lpstr>AMPACT_4Q18</vt:lpstr>
      <vt:lpstr>Tags!AMPACT_4Q19</vt:lpstr>
      <vt:lpstr>AMPACT_4Q19</vt:lpstr>
      <vt:lpstr>Tags!AMPACT_4Q20</vt:lpstr>
      <vt:lpstr>AMPACT_4Q20</vt:lpstr>
      <vt:lpstr>AMPACT_4Q21</vt:lpstr>
      <vt:lpstr>AMPACT_4Q22</vt:lpstr>
      <vt:lpstr>AMPACT_4Q23</vt:lpstr>
      <vt:lpstr>AMPACT_4Q24</vt:lpstr>
      <vt:lpstr>ASSACQ_1995</vt:lpstr>
      <vt:lpstr>ASSACQ_1996</vt:lpstr>
      <vt:lpstr>ASSACQ_1997</vt:lpstr>
      <vt:lpstr>ASSACQ_1998</vt:lpstr>
      <vt:lpstr>ASSACQ_1999</vt:lpstr>
      <vt:lpstr>Tags!ASSACQ_1Q00</vt:lpstr>
      <vt:lpstr>ASSACQ_1Q00</vt:lpstr>
      <vt:lpstr>Tags!ASSACQ_1Q01</vt:lpstr>
      <vt:lpstr>ASSACQ_1Q01</vt:lpstr>
      <vt:lpstr>Tags!ASSACQ_1Q02</vt:lpstr>
      <vt:lpstr>ASSACQ_1Q02</vt:lpstr>
      <vt:lpstr>Tags!ASSACQ_1Q03</vt:lpstr>
      <vt:lpstr>ASSACQ_1Q03</vt:lpstr>
      <vt:lpstr>Tags!ASSACQ_1Q04</vt:lpstr>
      <vt:lpstr>ASSACQ_1Q04</vt:lpstr>
      <vt:lpstr>Tags!ASSACQ_1Q05</vt:lpstr>
      <vt:lpstr>ASSACQ_1Q05</vt:lpstr>
      <vt:lpstr>Tags!ASSACQ_1Q06</vt:lpstr>
      <vt:lpstr>ASSACQ_1Q06</vt:lpstr>
      <vt:lpstr>Tags!ASSACQ_1Q07</vt:lpstr>
      <vt:lpstr>ASSACQ_1Q07</vt:lpstr>
      <vt:lpstr>Tags!ASSACQ_1Q08</vt:lpstr>
      <vt:lpstr>ASSACQ_1Q08</vt:lpstr>
      <vt:lpstr>Tags!ASSACQ_1Q09</vt:lpstr>
      <vt:lpstr>ASSACQ_1Q09</vt:lpstr>
      <vt:lpstr>Tags!ASSACQ_1Q10</vt:lpstr>
      <vt:lpstr>ASSACQ_1Q10</vt:lpstr>
      <vt:lpstr>Tags!ASSACQ_1Q11</vt:lpstr>
      <vt:lpstr>ASSACQ_1Q11</vt:lpstr>
      <vt:lpstr>Tags!ASSACQ_1Q12</vt:lpstr>
      <vt:lpstr>ASSACQ_1Q12</vt:lpstr>
      <vt:lpstr>Tags!ASSACQ_1Q13</vt:lpstr>
      <vt:lpstr>ASSACQ_1Q13</vt:lpstr>
      <vt:lpstr>Tags!ASSACQ_1Q14</vt:lpstr>
      <vt:lpstr>ASSACQ_1Q14</vt:lpstr>
      <vt:lpstr>Tags!ASSACQ_1Q15</vt:lpstr>
      <vt:lpstr>ASSACQ_1Q15</vt:lpstr>
      <vt:lpstr>Tags!ASSACQ_1Q16</vt:lpstr>
      <vt:lpstr>ASSACQ_1Q16</vt:lpstr>
      <vt:lpstr>Tags!ASSACQ_1Q17</vt:lpstr>
      <vt:lpstr>ASSACQ_1Q17</vt:lpstr>
      <vt:lpstr>Tags!ASSACQ_1Q18</vt:lpstr>
      <vt:lpstr>ASSACQ_1Q18</vt:lpstr>
      <vt:lpstr>Tags!ASSACQ_1Q19</vt:lpstr>
      <vt:lpstr>ASSACQ_1Q19</vt:lpstr>
      <vt:lpstr>Tags!ASSACQ_1Q20</vt:lpstr>
      <vt:lpstr>ASSACQ_1Q20</vt:lpstr>
      <vt:lpstr>ASSACQ_1Q21</vt:lpstr>
      <vt:lpstr>ASSACQ_1Q22</vt:lpstr>
      <vt:lpstr>ASSACQ_1Q23</vt:lpstr>
      <vt:lpstr>ASSACQ_1Q24</vt:lpstr>
      <vt:lpstr>Tags!ASSACQ_2000</vt:lpstr>
      <vt:lpstr>ASSACQ_2000</vt:lpstr>
      <vt:lpstr>Tags!ASSACQ_2001</vt:lpstr>
      <vt:lpstr>ASSACQ_2001</vt:lpstr>
      <vt:lpstr>Tags!ASSACQ_2002</vt:lpstr>
      <vt:lpstr>ASSACQ_2002</vt:lpstr>
      <vt:lpstr>Tags!ASSACQ_2003</vt:lpstr>
      <vt:lpstr>ASSACQ_2003</vt:lpstr>
      <vt:lpstr>Tags!ASSACQ_2004</vt:lpstr>
      <vt:lpstr>ASSACQ_2004</vt:lpstr>
      <vt:lpstr>Tags!ASSACQ_2005</vt:lpstr>
      <vt:lpstr>ASSACQ_2005</vt:lpstr>
      <vt:lpstr>Tags!ASSACQ_2006</vt:lpstr>
      <vt:lpstr>ASSACQ_2006</vt:lpstr>
      <vt:lpstr>Tags!ASSACQ_2007</vt:lpstr>
      <vt:lpstr>ASSACQ_2007</vt:lpstr>
      <vt:lpstr>Tags!ASSACQ_2008</vt:lpstr>
      <vt:lpstr>ASSACQ_2008</vt:lpstr>
      <vt:lpstr>Tags!ASSACQ_2009</vt:lpstr>
      <vt:lpstr>ASSACQ_2009</vt:lpstr>
      <vt:lpstr>Tags!ASSACQ_2010</vt:lpstr>
      <vt:lpstr>ASSACQ_2010</vt:lpstr>
      <vt:lpstr>Tags!ASSACQ_2011</vt:lpstr>
      <vt:lpstr>ASSACQ_2011</vt:lpstr>
      <vt:lpstr>Tags!ASSACQ_2012</vt:lpstr>
      <vt:lpstr>ASSACQ_2012</vt:lpstr>
      <vt:lpstr>Tags!ASSACQ_2013</vt:lpstr>
      <vt:lpstr>ASSACQ_2013</vt:lpstr>
      <vt:lpstr>Tags!ASSACQ_2014</vt:lpstr>
      <vt:lpstr>ASSACQ_2014</vt:lpstr>
      <vt:lpstr>ASSACQ_2015</vt:lpstr>
      <vt:lpstr>Tags!ASSACQ_2016</vt:lpstr>
      <vt:lpstr>ASSACQ_2016</vt:lpstr>
      <vt:lpstr>Tags!ASSACQ_2017</vt:lpstr>
      <vt:lpstr>ASSACQ_2017</vt:lpstr>
      <vt:lpstr>Tags!ASSACQ_2018</vt:lpstr>
      <vt:lpstr>ASSACQ_2018</vt:lpstr>
      <vt:lpstr>Tags!ASSACQ_2019</vt:lpstr>
      <vt:lpstr>ASSACQ_2019</vt:lpstr>
      <vt:lpstr>Tags!ASSACQ_2020</vt:lpstr>
      <vt:lpstr>ASSACQ_2020</vt:lpstr>
      <vt:lpstr>ASSACQ_2021</vt:lpstr>
      <vt:lpstr>ASSACQ_2022</vt:lpstr>
      <vt:lpstr>ASSACQ_2023</vt:lpstr>
      <vt:lpstr>ASSACQ_2024</vt:lpstr>
      <vt:lpstr>Tags!ASSACQ_2Q00</vt:lpstr>
      <vt:lpstr>ASSACQ_2Q00</vt:lpstr>
      <vt:lpstr>Tags!ASSACQ_2Q01</vt:lpstr>
      <vt:lpstr>ASSACQ_2Q01</vt:lpstr>
      <vt:lpstr>Tags!ASSACQ_2Q02</vt:lpstr>
      <vt:lpstr>ASSACQ_2Q02</vt:lpstr>
      <vt:lpstr>Tags!ASSACQ_2Q03</vt:lpstr>
      <vt:lpstr>ASSACQ_2Q03</vt:lpstr>
      <vt:lpstr>Tags!ASSACQ_2Q04</vt:lpstr>
      <vt:lpstr>ASSACQ_2Q04</vt:lpstr>
      <vt:lpstr>Tags!ASSACQ_2Q05</vt:lpstr>
      <vt:lpstr>ASSACQ_2Q05</vt:lpstr>
      <vt:lpstr>Tags!ASSACQ_2Q06</vt:lpstr>
      <vt:lpstr>ASSACQ_2Q06</vt:lpstr>
      <vt:lpstr>Tags!ASSACQ_2Q07</vt:lpstr>
      <vt:lpstr>ASSACQ_2Q07</vt:lpstr>
      <vt:lpstr>Tags!ASSACQ_2Q08</vt:lpstr>
      <vt:lpstr>ASSACQ_2Q08</vt:lpstr>
      <vt:lpstr>Tags!ASSACQ_2Q09</vt:lpstr>
      <vt:lpstr>ASSACQ_2Q09</vt:lpstr>
      <vt:lpstr>Tags!ASSACQ_2Q10</vt:lpstr>
      <vt:lpstr>ASSACQ_2Q10</vt:lpstr>
      <vt:lpstr>Tags!ASSACQ_2Q11</vt:lpstr>
      <vt:lpstr>ASSACQ_2Q11</vt:lpstr>
      <vt:lpstr>Tags!ASSACQ_2Q12</vt:lpstr>
      <vt:lpstr>ASSACQ_2Q12</vt:lpstr>
      <vt:lpstr>Tags!ASSACQ_2Q13</vt:lpstr>
      <vt:lpstr>ASSACQ_2Q13</vt:lpstr>
      <vt:lpstr>Tags!ASSACQ_2Q14</vt:lpstr>
      <vt:lpstr>ASSACQ_2Q14</vt:lpstr>
      <vt:lpstr>Tags!ASSACQ_2Q15</vt:lpstr>
      <vt:lpstr>ASSACQ_2Q15</vt:lpstr>
      <vt:lpstr>Tags!ASSACQ_2Q16</vt:lpstr>
      <vt:lpstr>ASSACQ_2Q16</vt:lpstr>
      <vt:lpstr>Tags!ASSACQ_2Q17</vt:lpstr>
      <vt:lpstr>ASSACQ_2Q17</vt:lpstr>
      <vt:lpstr>Tags!ASSACQ_2Q18</vt:lpstr>
      <vt:lpstr>ASSACQ_2Q18</vt:lpstr>
      <vt:lpstr>Tags!ASSACQ_2Q19</vt:lpstr>
      <vt:lpstr>ASSACQ_2Q19</vt:lpstr>
      <vt:lpstr>Tags!ASSACQ_2Q20</vt:lpstr>
      <vt:lpstr>ASSACQ_2Q20</vt:lpstr>
      <vt:lpstr>ASSACQ_2Q21</vt:lpstr>
      <vt:lpstr>ASSACQ_2Q22</vt:lpstr>
      <vt:lpstr>ASSACQ_2Q23</vt:lpstr>
      <vt:lpstr>ASSACQ_2Q24</vt:lpstr>
      <vt:lpstr>Tags!ASSACQ_3Q00</vt:lpstr>
      <vt:lpstr>ASSACQ_3Q00</vt:lpstr>
      <vt:lpstr>Tags!ASSACQ_3Q01</vt:lpstr>
      <vt:lpstr>ASSACQ_3Q01</vt:lpstr>
      <vt:lpstr>Tags!ASSACQ_3Q02</vt:lpstr>
      <vt:lpstr>ASSACQ_3Q02</vt:lpstr>
      <vt:lpstr>Tags!ASSACQ_3Q03</vt:lpstr>
      <vt:lpstr>ASSACQ_3Q03</vt:lpstr>
      <vt:lpstr>Tags!ASSACQ_3Q04</vt:lpstr>
      <vt:lpstr>ASSACQ_3Q04</vt:lpstr>
      <vt:lpstr>Tags!ASSACQ_3Q05</vt:lpstr>
      <vt:lpstr>ASSACQ_3Q05</vt:lpstr>
      <vt:lpstr>Tags!ASSACQ_3Q06</vt:lpstr>
      <vt:lpstr>ASSACQ_3Q06</vt:lpstr>
      <vt:lpstr>Tags!ASSACQ_3Q07</vt:lpstr>
      <vt:lpstr>ASSACQ_3Q07</vt:lpstr>
      <vt:lpstr>Tags!ASSACQ_3Q08</vt:lpstr>
      <vt:lpstr>ASSACQ_3Q08</vt:lpstr>
      <vt:lpstr>Tags!ASSACQ_3Q09</vt:lpstr>
      <vt:lpstr>ASSACQ_3Q09</vt:lpstr>
      <vt:lpstr>Tags!ASSACQ_3Q10</vt:lpstr>
      <vt:lpstr>ASSACQ_3Q10</vt:lpstr>
      <vt:lpstr>Tags!ASSACQ_3Q11</vt:lpstr>
      <vt:lpstr>ASSACQ_3Q11</vt:lpstr>
      <vt:lpstr>Tags!ASSACQ_3Q12</vt:lpstr>
      <vt:lpstr>ASSACQ_3Q12</vt:lpstr>
      <vt:lpstr>Tags!ASSACQ_3Q13</vt:lpstr>
      <vt:lpstr>ASSACQ_3Q13</vt:lpstr>
      <vt:lpstr>Tags!ASSACQ_3Q14</vt:lpstr>
      <vt:lpstr>ASSACQ_3Q14</vt:lpstr>
      <vt:lpstr>Tags!ASSACQ_3Q15</vt:lpstr>
      <vt:lpstr>ASSACQ_3Q15</vt:lpstr>
      <vt:lpstr>Tags!ASSACQ_3Q16</vt:lpstr>
      <vt:lpstr>ASSACQ_3Q16</vt:lpstr>
      <vt:lpstr>Tags!ASSACQ_3Q17</vt:lpstr>
      <vt:lpstr>ASSACQ_3Q17</vt:lpstr>
      <vt:lpstr>Tags!ASSACQ_3Q18</vt:lpstr>
      <vt:lpstr>ASSACQ_3Q18</vt:lpstr>
      <vt:lpstr>Tags!ASSACQ_3Q19</vt:lpstr>
      <vt:lpstr>ASSACQ_3Q19</vt:lpstr>
      <vt:lpstr>Tags!ASSACQ_3Q20</vt:lpstr>
      <vt:lpstr>ASSACQ_3Q20</vt:lpstr>
      <vt:lpstr>ASSACQ_3Q21</vt:lpstr>
      <vt:lpstr>ASSACQ_3Q22</vt:lpstr>
      <vt:lpstr>ASSACQ_3Q23</vt:lpstr>
      <vt:lpstr>ASSACQ_3Q24</vt:lpstr>
      <vt:lpstr>Tags!ASSACQ_4Q00</vt:lpstr>
      <vt:lpstr>ASSACQ_4Q00</vt:lpstr>
      <vt:lpstr>Tags!ASSACQ_4Q01</vt:lpstr>
      <vt:lpstr>ASSACQ_4Q01</vt:lpstr>
      <vt:lpstr>Tags!ASSACQ_4Q02</vt:lpstr>
      <vt:lpstr>ASSACQ_4Q02</vt:lpstr>
      <vt:lpstr>Tags!ASSACQ_4Q03</vt:lpstr>
      <vt:lpstr>ASSACQ_4Q03</vt:lpstr>
      <vt:lpstr>Tags!ASSACQ_4Q04</vt:lpstr>
      <vt:lpstr>ASSACQ_4Q04</vt:lpstr>
      <vt:lpstr>Tags!ASSACQ_4Q05</vt:lpstr>
      <vt:lpstr>ASSACQ_4Q05</vt:lpstr>
      <vt:lpstr>Tags!ASSACQ_4Q06</vt:lpstr>
      <vt:lpstr>ASSACQ_4Q06</vt:lpstr>
      <vt:lpstr>Tags!ASSACQ_4Q07</vt:lpstr>
      <vt:lpstr>ASSACQ_4Q07</vt:lpstr>
      <vt:lpstr>Tags!ASSACQ_4Q08</vt:lpstr>
      <vt:lpstr>ASSACQ_4Q08</vt:lpstr>
      <vt:lpstr>Tags!ASSACQ_4Q09</vt:lpstr>
      <vt:lpstr>ASSACQ_4Q09</vt:lpstr>
      <vt:lpstr>Tags!ASSACQ_4Q10</vt:lpstr>
      <vt:lpstr>ASSACQ_4Q10</vt:lpstr>
      <vt:lpstr>Tags!ASSACQ_4Q11</vt:lpstr>
      <vt:lpstr>ASSACQ_4Q11</vt:lpstr>
      <vt:lpstr>Tags!ASSACQ_4Q12</vt:lpstr>
      <vt:lpstr>ASSACQ_4Q12</vt:lpstr>
      <vt:lpstr>Tags!ASSACQ_4Q13</vt:lpstr>
      <vt:lpstr>ASSACQ_4Q13</vt:lpstr>
      <vt:lpstr>Tags!ASSACQ_4Q14</vt:lpstr>
      <vt:lpstr>ASSACQ_4Q14</vt:lpstr>
      <vt:lpstr>Tags!ASSACQ_4Q15</vt:lpstr>
      <vt:lpstr>ASSACQ_4Q15</vt:lpstr>
      <vt:lpstr>Tags!ASSACQ_4Q16</vt:lpstr>
      <vt:lpstr>ASSACQ_4Q16</vt:lpstr>
      <vt:lpstr>Tags!ASSACQ_4Q17</vt:lpstr>
      <vt:lpstr>ASSACQ_4Q17</vt:lpstr>
      <vt:lpstr>Tags!ASSACQ_4Q18</vt:lpstr>
      <vt:lpstr>ASSACQ_4Q18</vt:lpstr>
      <vt:lpstr>Tags!ASSACQ_4Q19</vt:lpstr>
      <vt:lpstr>ASSACQ_4Q19</vt:lpstr>
      <vt:lpstr>Tags!ASSACQ_4Q20</vt:lpstr>
      <vt:lpstr>ASSACQ_4Q20</vt:lpstr>
      <vt:lpstr>ASSACQ_4Q21</vt:lpstr>
      <vt:lpstr>ASSACQ_4Q22</vt:lpstr>
      <vt:lpstr>ASSACQ_4Q23</vt:lpstr>
      <vt:lpstr>ASSACQ_4Q24</vt:lpstr>
      <vt:lpstr>ASSOC_1995</vt:lpstr>
      <vt:lpstr>ASSOC_1996</vt:lpstr>
      <vt:lpstr>ASSOC_1997</vt:lpstr>
      <vt:lpstr>ASSOC_1998</vt:lpstr>
      <vt:lpstr>ASSOC_1999</vt:lpstr>
      <vt:lpstr>Tags!ASSOC_1Q00</vt:lpstr>
      <vt:lpstr>ASSOC_1Q00</vt:lpstr>
      <vt:lpstr>Tags!ASSOC_1Q01</vt:lpstr>
      <vt:lpstr>ASSOC_1Q01</vt:lpstr>
      <vt:lpstr>Tags!ASSOC_1Q02</vt:lpstr>
      <vt:lpstr>ASSOC_1Q02</vt:lpstr>
      <vt:lpstr>Tags!ASSOC_1Q03</vt:lpstr>
      <vt:lpstr>ASSOC_1Q03</vt:lpstr>
      <vt:lpstr>Tags!ASSOC_1Q04</vt:lpstr>
      <vt:lpstr>ASSOC_1Q04</vt:lpstr>
      <vt:lpstr>Tags!ASSOC_1Q05</vt:lpstr>
      <vt:lpstr>ASSOC_1Q05</vt:lpstr>
      <vt:lpstr>Tags!ASSOC_1Q06</vt:lpstr>
      <vt:lpstr>ASSOC_1Q06</vt:lpstr>
      <vt:lpstr>Tags!ASSOC_1Q07</vt:lpstr>
      <vt:lpstr>ASSOC_1Q07</vt:lpstr>
      <vt:lpstr>Tags!ASSOC_1Q08</vt:lpstr>
      <vt:lpstr>ASSOC_1Q08</vt:lpstr>
      <vt:lpstr>Tags!ASSOC_1Q09</vt:lpstr>
      <vt:lpstr>ASSOC_1Q09</vt:lpstr>
      <vt:lpstr>Tags!ASSOC_1Q10</vt:lpstr>
      <vt:lpstr>ASSOC_1Q10</vt:lpstr>
      <vt:lpstr>Tags!ASSOC_1Q11</vt:lpstr>
      <vt:lpstr>ASSOC_1Q11</vt:lpstr>
      <vt:lpstr>Tags!ASSOC_1Q12</vt:lpstr>
      <vt:lpstr>ASSOC_1Q12</vt:lpstr>
      <vt:lpstr>Tags!ASSOC_1Q13</vt:lpstr>
      <vt:lpstr>ASSOC_1Q13</vt:lpstr>
      <vt:lpstr>Tags!ASSOC_1Q14</vt:lpstr>
      <vt:lpstr>ASSOC_1Q14</vt:lpstr>
      <vt:lpstr>Tags!ASSOC_1Q15</vt:lpstr>
      <vt:lpstr>ASSOC_1Q15</vt:lpstr>
      <vt:lpstr>Tags!ASSOC_1Q16</vt:lpstr>
      <vt:lpstr>ASSOC_1Q16</vt:lpstr>
      <vt:lpstr>Tags!ASSOC_1Q17</vt:lpstr>
      <vt:lpstr>ASSOC_1Q17</vt:lpstr>
      <vt:lpstr>Tags!ASSOC_1Q18</vt:lpstr>
      <vt:lpstr>ASSOC_1Q18</vt:lpstr>
      <vt:lpstr>Tags!ASSOC_1Q19</vt:lpstr>
      <vt:lpstr>ASSOC_1Q19</vt:lpstr>
      <vt:lpstr>Tags!ASSOC_1Q20</vt:lpstr>
      <vt:lpstr>ASSOC_1Q20</vt:lpstr>
      <vt:lpstr>ASSOC_1Q21</vt:lpstr>
      <vt:lpstr>ASSOC_1Q22</vt:lpstr>
      <vt:lpstr>ASSOC_1Q23</vt:lpstr>
      <vt:lpstr>ASSOC_1Q24</vt:lpstr>
      <vt:lpstr>Tags!ASSOC_2000</vt:lpstr>
      <vt:lpstr>ASSOC_2000</vt:lpstr>
      <vt:lpstr>Tags!ASSOC_2001</vt:lpstr>
      <vt:lpstr>ASSOC_2001</vt:lpstr>
      <vt:lpstr>Tags!ASSOC_2002</vt:lpstr>
      <vt:lpstr>ASSOC_2002</vt:lpstr>
      <vt:lpstr>Tags!ASSOC_2003</vt:lpstr>
      <vt:lpstr>ASSOC_2003</vt:lpstr>
      <vt:lpstr>Tags!ASSOC_2004</vt:lpstr>
      <vt:lpstr>ASSOC_2004</vt:lpstr>
      <vt:lpstr>Tags!ASSOC_2005</vt:lpstr>
      <vt:lpstr>ASSOC_2005</vt:lpstr>
      <vt:lpstr>Tags!ASSOC_2006</vt:lpstr>
      <vt:lpstr>ASSOC_2006</vt:lpstr>
      <vt:lpstr>Tags!ASSOC_2007</vt:lpstr>
      <vt:lpstr>ASSOC_2007</vt:lpstr>
      <vt:lpstr>Tags!ASSOC_2008</vt:lpstr>
      <vt:lpstr>ASSOC_2008</vt:lpstr>
      <vt:lpstr>Tags!ASSOC_2009</vt:lpstr>
      <vt:lpstr>ASSOC_2009</vt:lpstr>
      <vt:lpstr>Tags!ASSOC_2010</vt:lpstr>
      <vt:lpstr>ASSOC_2010</vt:lpstr>
      <vt:lpstr>Tags!ASSOC_2011</vt:lpstr>
      <vt:lpstr>ASSOC_2011</vt:lpstr>
      <vt:lpstr>Tags!ASSOC_2012</vt:lpstr>
      <vt:lpstr>ASSOC_2012</vt:lpstr>
      <vt:lpstr>Tags!ASSOC_2013</vt:lpstr>
      <vt:lpstr>ASSOC_2013</vt:lpstr>
      <vt:lpstr>Tags!ASSOC_2014</vt:lpstr>
      <vt:lpstr>ASSOC_2014</vt:lpstr>
      <vt:lpstr>ASSOC_2015</vt:lpstr>
      <vt:lpstr>Tags!ASSOC_2016</vt:lpstr>
      <vt:lpstr>ASSOC_2016</vt:lpstr>
      <vt:lpstr>Tags!ASSOC_2017</vt:lpstr>
      <vt:lpstr>ASSOC_2017</vt:lpstr>
      <vt:lpstr>Tags!ASSOC_2018</vt:lpstr>
      <vt:lpstr>ASSOC_2018</vt:lpstr>
      <vt:lpstr>Tags!ASSOC_2019</vt:lpstr>
      <vt:lpstr>ASSOC_2019</vt:lpstr>
      <vt:lpstr>Tags!ASSOC_2020</vt:lpstr>
      <vt:lpstr>ASSOC_2020</vt:lpstr>
      <vt:lpstr>ASSOC_2021</vt:lpstr>
      <vt:lpstr>ASSOC_2022</vt:lpstr>
      <vt:lpstr>ASSOC_2023</vt:lpstr>
      <vt:lpstr>ASSOC_2024</vt:lpstr>
      <vt:lpstr>Tags!ASSOC_2Q00</vt:lpstr>
      <vt:lpstr>ASSOC_2Q00</vt:lpstr>
      <vt:lpstr>Tags!ASSOC_2Q01</vt:lpstr>
      <vt:lpstr>ASSOC_2Q01</vt:lpstr>
      <vt:lpstr>Tags!ASSOC_2Q02</vt:lpstr>
      <vt:lpstr>ASSOC_2Q02</vt:lpstr>
      <vt:lpstr>Tags!ASSOC_2Q03</vt:lpstr>
      <vt:lpstr>ASSOC_2Q03</vt:lpstr>
      <vt:lpstr>Tags!ASSOC_2Q04</vt:lpstr>
      <vt:lpstr>ASSOC_2Q04</vt:lpstr>
      <vt:lpstr>Tags!ASSOC_2Q05</vt:lpstr>
      <vt:lpstr>ASSOC_2Q05</vt:lpstr>
      <vt:lpstr>Tags!ASSOC_2Q06</vt:lpstr>
      <vt:lpstr>ASSOC_2Q06</vt:lpstr>
      <vt:lpstr>Tags!ASSOC_2Q07</vt:lpstr>
      <vt:lpstr>ASSOC_2Q07</vt:lpstr>
      <vt:lpstr>Tags!ASSOC_2Q08</vt:lpstr>
      <vt:lpstr>ASSOC_2Q08</vt:lpstr>
      <vt:lpstr>Tags!ASSOC_2Q09</vt:lpstr>
      <vt:lpstr>ASSOC_2Q09</vt:lpstr>
      <vt:lpstr>Tags!ASSOC_2Q10</vt:lpstr>
      <vt:lpstr>ASSOC_2Q10</vt:lpstr>
      <vt:lpstr>Tags!ASSOC_2Q11</vt:lpstr>
      <vt:lpstr>ASSOC_2Q11</vt:lpstr>
      <vt:lpstr>Tags!ASSOC_2Q12</vt:lpstr>
      <vt:lpstr>ASSOC_2Q12</vt:lpstr>
      <vt:lpstr>Tags!ASSOC_2Q13</vt:lpstr>
      <vt:lpstr>ASSOC_2Q13</vt:lpstr>
      <vt:lpstr>Tags!ASSOC_2Q14</vt:lpstr>
      <vt:lpstr>ASSOC_2Q14</vt:lpstr>
      <vt:lpstr>Tags!ASSOC_2Q15</vt:lpstr>
      <vt:lpstr>ASSOC_2Q15</vt:lpstr>
      <vt:lpstr>Tags!ASSOC_2Q16</vt:lpstr>
      <vt:lpstr>ASSOC_2Q16</vt:lpstr>
      <vt:lpstr>Tags!ASSOC_2Q17</vt:lpstr>
      <vt:lpstr>ASSOC_2Q17</vt:lpstr>
      <vt:lpstr>Tags!ASSOC_2Q18</vt:lpstr>
      <vt:lpstr>ASSOC_2Q18</vt:lpstr>
      <vt:lpstr>Tags!ASSOC_2Q19</vt:lpstr>
      <vt:lpstr>ASSOC_2Q19</vt:lpstr>
      <vt:lpstr>Tags!ASSOC_2Q20</vt:lpstr>
      <vt:lpstr>ASSOC_2Q20</vt:lpstr>
      <vt:lpstr>ASSOC_2Q21</vt:lpstr>
      <vt:lpstr>ASSOC_2Q22</vt:lpstr>
      <vt:lpstr>ASSOC_2Q23</vt:lpstr>
      <vt:lpstr>ASSOC_2Q24</vt:lpstr>
      <vt:lpstr>Tags!ASSOC_3Q00</vt:lpstr>
      <vt:lpstr>ASSOC_3Q00</vt:lpstr>
      <vt:lpstr>Tags!ASSOC_3Q01</vt:lpstr>
      <vt:lpstr>ASSOC_3Q01</vt:lpstr>
      <vt:lpstr>Tags!ASSOC_3Q02</vt:lpstr>
      <vt:lpstr>ASSOC_3Q02</vt:lpstr>
      <vt:lpstr>Tags!ASSOC_3Q03</vt:lpstr>
      <vt:lpstr>ASSOC_3Q03</vt:lpstr>
      <vt:lpstr>Tags!ASSOC_3Q04</vt:lpstr>
      <vt:lpstr>ASSOC_3Q04</vt:lpstr>
      <vt:lpstr>Tags!ASSOC_3Q05</vt:lpstr>
      <vt:lpstr>ASSOC_3Q05</vt:lpstr>
      <vt:lpstr>Tags!ASSOC_3Q06</vt:lpstr>
      <vt:lpstr>ASSOC_3Q06</vt:lpstr>
      <vt:lpstr>Tags!ASSOC_3Q07</vt:lpstr>
      <vt:lpstr>ASSOC_3Q07</vt:lpstr>
      <vt:lpstr>Tags!ASSOC_3Q08</vt:lpstr>
      <vt:lpstr>ASSOC_3Q08</vt:lpstr>
      <vt:lpstr>Tags!ASSOC_3Q09</vt:lpstr>
      <vt:lpstr>ASSOC_3Q09</vt:lpstr>
      <vt:lpstr>Tags!ASSOC_3Q10</vt:lpstr>
      <vt:lpstr>ASSOC_3Q10</vt:lpstr>
      <vt:lpstr>Tags!ASSOC_3Q11</vt:lpstr>
      <vt:lpstr>ASSOC_3Q11</vt:lpstr>
      <vt:lpstr>Tags!ASSOC_3Q12</vt:lpstr>
      <vt:lpstr>ASSOC_3Q12</vt:lpstr>
      <vt:lpstr>Tags!ASSOC_3Q13</vt:lpstr>
      <vt:lpstr>ASSOC_3Q13</vt:lpstr>
      <vt:lpstr>Tags!ASSOC_3Q14</vt:lpstr>
      <vt:lpstr>ASSOC_3Q14</vt:lpstr>
      <vt:lpstr>Tags!ASSOC_3Q15</vt:lpstr>
      <vt:lpstr>ASSOC_3Q15</vt:lpstr>
      <vt:lpstr>Tags!ASSOC_3Q16</vt:lpstr>
      <vt:lpstr>ASSOC_3Q16</vt:lpstr>
      <vt:lpstr>Tags!ASSOC_3Q17</vt:lpstr>
      <vt:lpstr>ASSOC_3Q17</vt:lpstr>
      <vt:lpstr>Tags!ASSOC_3Q18</vt:lpstr>
      <vt:lpstr>ASSOC_3Q18</vt:lpstr>
      <vt:lpstr>Tags!ASSOC_3Q19</vt:lpstr>
      <vt:lpstr>ASSOC_3Q19</vt:lpstr>
      <vt:lpstr>Tags!ASSOC_3Q20</vt:lpstr>
      <vt:lpstr>ASSOC_3Q20</vt:lpstr>
      <vt:lpstr>ASSOC_3Q21</vt:lpstr>
      <vt:lpstr>ASSOC_3Q22</vt:lpstr>
      <vt:lpstr>ASSOC_3Q23</vt:lpstr>
      <vt:lpstr>ASSOC_3Q24</vt:lpstr>
      <vt:lpstr>Tags!ASSOC_4Q00</vt:lpstr>
      <vt:lpstr>ASSOC_4Q00</vt:lpstr>
      <vt:lpstr>Tags!ASSOC_4Q01</vt:lpstr>
      <vt:lpstr>ASSOC_4Q01</vt:lpstr>
      <vt:lpstr>Tags!ASSOC_4Q02</vt:lpstr>
      <vt:lpstr>ASSOC_4Q02</vt:lpstr>
      <vt:lpstr>Tags!ASSOC_4Q03</vt:lpstr>
      <vt:lpstr>ASSOC_4Q03</vt:lpstr>
      <vt:lpstr>Tags!ASSOC_4Q04</vt:lpstr>
      <vt:lpstr>ASSOC_4Q04</vt:lpstr>
      <vt:lpstr>Tags!ASSOC_4Q05</vt:lpstr>
      <vt:lpstr>ASSOC_4Q05</vt:lpstr>
      <vt:lpstr>Tags!ASSOC_4Q06</vt:lpstr>
      <vt:lpstr>ASSOC_4Q06</vt:lpstr>
      <vt:lpstr>Tags!ASSOC_4Q07</vt:lpstr>
      <vt:lpstr>ASSOC_4Q07</vt:lpstr>
      <vt:lpstr>Tags!ASSOC_4Q08</vt:lpstr>
      <vt:lpstr>ASSOC_4Q08</vt:lpstr>
      <vt:lpstr>Tags!ASSOC_4Q09</vt:lpstr>
      <vt:lpstr>ASSOC_4Q09</vt:lpstr>
      <vt:lpstr>Tags!ASSOC_4Q10</vt:lpstr>
      <vt:lpstr>ASSOC_4Q10</vt:lpstr>
      <vt:lpstr>Tags!ASSOC_4Q11</vt:lpstr>
      <vt:lpstr>ASSOC_4Q11</vt:lpstr>
      <vt:lpstr>Tags!ASSOC_4Q12</vt:lpstr>
      <vt:lpstr>ASSOC_4Q12</vt:lpstr>
      <vt:lpstr>Tags!ASSOC_4Q13</vt:lpstr>
      <vt:lpstr>ASSOC_4Q13</vt:lpstr>
      <vt:lpstr>Tags!ASSOC_4Q14</vt:lpstr>
      <vt:lpstr>ASSOC_4Q14</vt:lpstr>
      <vt:lpstr>Tags!ASSOC_4Q15</vt:lpstr>
      <vt:lpstr>ASSOC_4Q15</vt:lpstr>
      <vt:lpstr>Tags!ASSOC_4Q16</vt:lpstr>
      <vt:lpstr>ASSOC_4Q16</vt:lpstr>
      <vt:lpstr>Tags!ASSOC_4Q17</vt:lpstr>
      <vt:lpstr>ASSOC_4Q17</vt:lpstr>
      <vt:lpstr>Tags!ASSOC_4Q18</vt:lpstr>
      <vt:lpstr>ASSOC_4Q18</vt:lpstr>
      <vt:lpstr>Tags!ASSOC_4Q19</vt:lpstr>
      <vt:lpstr>ASSOC_4Q19</vt:lpstr>
      <vt:lpstr>Tags!ASSOC_4Q20</vt:lpstr>
      <vt:lpstr>ASSOC_4Q20</vt:lpstr>
      <vt:lpstr>ASSOC_4Q21</vt:lpstr>
      <vt:lpstr>ASSOC_4Q22</vt:lpstr>
      <vt:lpstr>ASSOC_4Q23</vt:lpstr>
      <vt:lpstr>ASSOC_4Q24</vt:lpstr>
      <vt:lpstr>ATIGTC_1995</vt:lpstr>
      <vt:lpstr>ATIGTC_1996</vt:lpstr>
      <vt:lpstr>ATIGTC_1997</vt:lpstr>
      <vt:lpstr>ATIGTC_1998</vt:lpstr>
      <vt:lpstr>ATIGTC_1999</vt:lpstr>
      <vt:lpstr>Tags!ATIGTC_1Q00</vt:lpstr>
      <vt:lpstr>ATIGTC_1Q00</vt:lpstr>
      <vt:lpstr>Tags!ATIGTC_1Q01</vt:lpstr>
      <vt:lpstr>ATIGTC_1Q01</vt:lpstr>
      <vt:lpstr>Tags!ATIGTC_1Q02</vt:lpstr>
      <vt:lpstr>ATIGTC_1Q02</vt:lpstr>
      <vt:lpstr>Tags!ATIGTC_1Q03</vt:lpstr>
      <vt:lpstr>ATIGTC_1Q03</vt:lpstr>
      <vt:lpstr>Tags!ATIGTC_1Q04</vt:lpstr>
      <vt:lpstr>ATIGTC_1Q04</vt:lpstr>
      <vt:lpstr>Tags!ATIGTC_1Q05</vt:lpstr>
      <vt:lpstr>ATIGTC_1Q05</vt:lpstr>
      <vt:lpstr>Tags!ATIGTC_1Q06</vt:lpstr>
      <vt:lpstr>ATIGTC_1Q06</vt:lpstr>
      <vt:lpstr>Tags!ATIGTC_1Q07</vt:lpstr>
      <vt:lpstr>ATIGTC_1Q07</vt:lpstr>
      <vt:lpstr>Tags!ATIGTC_1Q08</vt:lpstr>
      <vt:lpstr>ATIGTC_1Q08</vt:lpstr>
      <vt:lpstr>Tags!ATIGTC_1Q09</vt:lpstr>
      <vt:lpstr>ATIGTC_1Q09</vt:lpstr>
      <vt:lpstr>Tags!ATIGTC_1Q10</vt:lpstr>
      <vt:lpstr>ATIGTC_1Q10</vt:lpstr>
      <vt:lpstr>Tags!ATIGTC_1Q11</vt:lpstr>
      <vt:lpstr>ATIGTC_1Q11</vt:lpstr>
      <vt:lpstr>Tags!ATIGTC_1Q12</vt:lpstr>
      <vt:lpstr>ATIGTC_1Q12</vt:lpstr>
      <vt:lpstr>Tags!ATIGTC_1Q13</vt:lpstr>
      <vt:lpstr>ATIGTC_1Q13</vt:lpstr>
      <vt:lpstr>Tags!ATIGTC_1Q14</vt:lpstr>
      <vt:lpstr>ATIGTC_1Q14</vt:lpstr>
      <vt:lpstr>Tags!ATIGTC_1Q15</vt:lpstr>
      <vt:lpstr>ATIGTC_1Q15</vt:lpstr>
      <vt:lpstr>Tags!ATIGTC_1Q16</vt:lpstr>
      <vt:lpstr>ATIGTC_1Q16</vt:lpstr>
      <vt:lpstr>Tags!ATIGTC_1Q17</vt:lpstr>
      <vt:lpstr>ATIGTC_1Q17</vt:lpstr>
      <vt:lpstr>Tags!ATIGTC_1Q18</vt:lpstr>
      <vt:lpstr>ATIGTC_1Q18</vt:lpstr>
      <vt:lpstr>Tags!ATIGTC_1Q19</vt:lpstr>
      <vt:lpstr>ATIGTC_1Q19</vt:lpstr>
      <vt:lpstr>Tags!ATIGTC_1Q20</vt:lpstr>
      <vt:lpstr>ATIGTC_1Q20</vt:lpstr>
      <vt:lpstr>ATIGTC_1Q21</vt:lpstr>
      <vt:lpstr>ATIGTC_1Q22</vt:lpstr>
      <vt:lpstr>ATIGTC_1Q23</vt:lpstr>
      <vt:lpstr>ATIGTC_1Q24</vt:lpstr>
      <vt:lpstr>Tags!ATIGTC_2000</vt:lpstr>
      <vt:lpstr>ATIGTC_2000</vt:lpstr>
      <vt:lpstr>Tags!ATIGTC_2001</vt:lpstr>
      <vt:lpstr>ATIGTC_2001</vt:lpstr>
      <vt:lpstr>Tags!ATIGTC_2002</vt:lpstr>
      <vt:lpstr>ATIGTC_2002</vt:lpstr>
      <vt:lpstr>Tags!ATIGTC_2003</vt:lpstr>
      <vt:lpstr>ATIGTC_2003</vt:lpstr>
      <vt:lpstr>Tags!ATIGTC_2004</vt:lpstr>
      <vt:lpstr>ATIGTC_2004</vt:lpstr>
      <vt:lpstr>Tags!ATIGTC_2005</vt:lpstr>
      <vt:lpstr>ATIGTC_2005</vt:lpstr>
      <vt:lpstr>Tags!ATIGTC_2006</vt:lpstr>
      <vt:lpstr>ATIGTC_2006</vt:lpstr>
      <vt:lpstr>Tags!ATIGTC_2007</vt:lpstr>
      <vt:lpstr>ATIGTC_2007</vt:lpstr>
      <vt:lpstr>Tags!ATIGTC_2008</vt:lpstr>
      <vt:lpstr>ATIGTC_2008</vt:lpstr>
      <vt:lpstr>Tags!ATIGTC_2009</vt:lpstr>
      <vt:lpstr>ATIGTC_2009</vt:lpstr>
      <vt:lpstr>Tags!ATIGTC_2010</vt:lpstr>
      <vt:lpstr>ATIGTC_2010</vt:lpstr>
      <vt:lpstr>Tags!ATIGTC_2011</vt:lpstr>
      <vt:lpstr>ATIGTC_2011</vt:lpstr>
      <vt:lpstr>Tags!ATIGTC_2012</vt:lpstr>
      <vt:lpstr>ATIGTC_2012</vt:lpstr>
      <vt:lpstr>Tags!ATIGTC_2013</vt:lpstr>
      <vt:lpstr>ATIGTC_2013</vt:lpstr>
      <vt:lpstr>Tags!ATIGTC_2014</vt:lpstr>
      <vt:lpstr>ATIGTC_2014</vt:lpstr>
      <vt:lpstr>ATIGTC_2015</vt:lpstr>
      <vt:lpstr>Tags!ATIGTC_2016</vt:lpstr>
      <vt:lpstr>ATIGTC_2016</vt:lpstr>
      <vt:lpstr>Tags!ATIGTC_2017</vt:lpstr>
      <vt:lpstr>ATIGTC_2017</vt:lpstr>
      <vt:lpstr>Tags!ATIGTC_2018</vt:lpstr>
      <vt:lpstr>ATIGTC_2018</vt:lpstr>
      <vt:lpstr>Tags!ATIGTC_2019</vt:lpstr>
      <vt:lpstr>ATIGTC_2019</vt:lpstr>
      <vt:lpstr>Tags!ATIGTC_2020</vt:lpstr>
      <vt:lpstr>ATIGTC_2020</vt:lpstr>
      <vt:lpstr>ATIGTC_2021</vt:lpstr>
      <vt:lpstr>ATIGTC_2022</vt:lpstr>
      <vt:lpstr>ATIGTC_2023</vt:lpstr>
      <vt:lpstr>ATIGTC_2024</vt:lpstr>
      <vt:lpstr>Tags!ATIGTC_2Q00</vt:lpstr>
      <vt:lpstr>ATIGTC_2Q00</vt:lpstr>
      <vt:lpstr>Tags!ATIGTC_2Q01</vt:lpstr>
      <vt:lpstr>ATIGTC_2Q01</vt:lpstr>
      <vt:lpstr>Tags!ATIGTC_2Q02</vt:lpstr>
      <vt:lpstr>ATIGTC_2Q02</vt:lpstr>
      <vt:lpstr>Tags!ATIGTC_2Q03</vt:lpstr>
      <vt:lpstr>ATIGTC_2Q03</vt:lpstr>
      <vt:lpstr>Tags!ATIGTC_2Q04</vt:lpstr>
      <vt:lpstr>ATIGTC_2Q04</vt:lpstr>
      <vt:lpstr>Tags!ATIGTC_2Q05</vt:lpstr>
      <vt:lpstr>ATIGTC_2Q05</vt:lpstr>
      <vt:lpstr>Tags!ATIGTC_2Q06</vt:lpstr>
      <vt:lpstr>ATIGTC_2Q06</vt:lpstr>
      <vt:lpstr>Tags!ATIGTC_2Q07</vt:lpstr>
      <vt:lpstr>ATIGTC_2Q07</vt:lpstr>
      <vt:lpstr>Tags!ATIGTC_2Q08</vt:lpstr>
      <vt:lpstr>ATIGTC_2Q08</vt:lpstr>
      <vt:lpstr>Tags!ATIGTC_2Q09</vt:lpstr>
      <vt:lpstr>ATIGTC_2Q09</vt:lpstr>
      <vt:lpstr>Tags!ATIGTC_2Q10</vt:lpstr>
      <vt:lpstr>ATIGTC_2Q10</vt:lpstr>
      <vt:lpstr>Tags!ATIGTC_2Q11</vt:lpstr>
      <vt:lpstr>ATIGTC_2Q11</vt:lpstr>
      <vt:lpstr>Tags!ATIGTC_2Q12</vt:lpstr>
      <vt:lpstr>ATIGTC_2Q12</vt:lpstr>
      <vt:lpstr>Tags!ATIGTC_2Q13</vt:lpstr>
      <vt:lpstr>ATIGTC_2Q13</vt:lpstr>
      <vt:lpstr>Tags!ATIGTC_2Q14</vt:lpstr>
      <vt:lpstr>ATIGTC_2Q14</vt:lpstr>
      <vt:lpstr>Tags!ATIGTC_2Q15</vt:lpstr>
      <vt:lpstr>ATIGTC_2Q15</vt:lpstr>
      <vt:lpstr>Tags!ATIGTC_2Q16</vt:lpstr>
      <vt:lpstr>ATIGTC_2Q16</vt:lpstr>
      <vt:lpstr>Tags!ATIGTC_2Q17</vt:lpstr>
      <vt:lpstr>ATIGTC_2Q17</vt:lpstr>
      <vt:lpstr>Tags!ATIGTC_2Q18</vt:lpstr>
      <vt:lpstr>ATIGTC_2Q18</vt:lpstr>
      <vt:lpstr>Tags!ATIGTC_2Q19</vt:lpstr>
      <vt:lpstr>ATIGTC_2Q19</vt:lpstr>
      <vt:lpstr>Tags!ATIGTC_2Q20</vt:lpstr>
      <vt:lpstr>ATIGTC_2Q20</vt:lpstr>
      <vt:lpstr>ATIGTC_2Q21</vt:lpstr>
      <vt:lpstr>ATIGTC_2Q22</vt:lpstr>
      <vt:lpstr>ATIGTC_2Q23</vt:lpstr>
      <vt:lpstr>ATIGTC_2Q24</vt:lpstr>
      <vt:lpstr>Tags!ATIGTC_3Q00</vt:lpstr>
      <vt:lpstr>ATIGTC_3Q00</vt:lpstr>
      <vt:lpstr>Tags!ATIGTC_3Q01</vt:lpstr>
      <vt:lpstr>ATIGTC_3Q01</vt:lpstr>
      <vt:lpstr>Tags!ATIGTC_3Q02</vt:lpstr>
      <vt:lpstr>ATIGTC_3Q02</vt:lpstr>
      <vt:lpstr>Tags!ATIGTC_3Q03</vt:lpstr>
      <vt:lpstr>ATIGTC_3Q03</vt:lpstr>
      <vt:lpstr>Tags!ATIGTC_3Q04</vt:lpstr>
      <vt:lpstr>ATIGTC_3Q04</vt:lpstr>
      <vt:lpstr>Tags!ATIGTC_3Q05</vt:lpstr>
      <vt:lpstr>ATIGTC_3Q05</vt:lpstr>
      <vt:lpstr>Tags!ATIGTC_3Q06</vt:lpstr>
      <vt:lpstr>ATIGTC_3Q06</vt:lpstr>
      <vt:lpstr>Tags!ATIGTC_3Q07</vt:lpstr>
      <vt:lpstr>ATIGTC_3Q07</vt:lpstr>
      <vt:lpstr>Tags!ATIGTC_3Q08</vt:lpstr>
      <vt:lpstr>ATIGTC_3Q08</vt:lpstr>
      <vt:lpstr>Tags!ATIGTC_3Q09</vt:lpstr>
      <vt:lpstr>ATIGTC_3Q09</vt:lpstr>
      <vt:lpstr>Tags!ATIGTC_3Q10</vt:lpstr>
      <vt:lpstr>ATIGTC_3Q10</vt:lpstr>
      <vt:lpstr>Tags!ATIGTC_3Q11</vt:lpstr>
      <vt:lpstr>ATIGTC_3Q11</vt:lpstr>
      <vt:lpstr>Tags!ATIGTC_3Q12</vt:lpstr>
      <vt:lpstr>ATIGTC_3Q12</vt:lpstr>
      <vt:lpstr>Tags!ATIGTC_3Q13</vt:lpstr>
      <vt:lpstr>ATIGTC_3Q13</vt:lpstr>
      <vt:lpstr>Tags!ATIGTC_3Q14</vt:lpstr>
      <vt:lpstr>ATIGTC_3Q14</vt:lpstr>
      <vt:lpstr>Tags!ATIGTC_3Q15</vt:lpstr>
      <vt:lpstr>ATIGTC_3Q15</vt:lpstr>
      <vt:lpstr>Tags!ATIGTC_3Q16</vt:lpstr>
      <vt:lpstr>ATIGTC_3Q16</vt:lpstr>
      <vt:lpstr>Tags!ATIGTC_3Q17</vt:lpstr>
      <vt:lpstr>ATIGTC_3Q17</vt:lpstr>
      <vt:lpstr>Tags!ATIGTC_3Q18</vt:lpstr>
      <vt:lpstr>ATIGTC_3Q18</vt:lpstr>
      <vt:lpstr>Tags!ATIGTC_3Q19</vt:lpstr>
      <vt:lpstr>ATIGTC_3Q19</vt:lpstr>
      <vt:lpstr>Tags!ATIGTC_3Q20</vt:lpstr>
      <vt:lpstr>ATIGTC_3Q20</vt:lpstr>
      <vt:lpstr>ATIGTC_3Q21</vt:lpstr>
      <vt:lpstr>ATIGTC_3Q22</vt:lpstr>
      <vt:lpstr>ATIGTC_3Q23</vt:lpstr>
      <vt:lpstr>ATIGTC_3Q24</vt:lpstr>
      <vt:lpstr>Tags!ATIGTC_4Q00</vt:lpstr>
      <vt:lpstr>ATIGTC_4Q00</vt:lpstr>
      <vt:lpstr>Tags!ATIGTC_4Q01</vt:lpstr>
      <vt:lpstr>ATIGTC_4Q01</vt:lpstr>
      <vt:lpstr>Tags!ATIGTC_4Q02</vt:lpstr>
      <vt:lpstr>ATIGTC_4Q02</vt:lpstr>
      <vt:lpstr>Tags!ATIGTC_4Q03</vt:lpstr>
      <vt:lpstr>ATIGTC_4Q03</vt:lpstr>
      <vt:lpstr>Tags!ATIGTC_4Q04</vt:lpstr>
      <vt:lpstr>ATIGTC_4Q04</vt:lpstr>
      <vt:lpstr>Tags!ATIGTC_4Q05</vt:lpstr>
      <vt:lpstr>ATIGTC_4Q05</vt:lpstr>
      <vt:lpstr>Tags!ATIGTC_4Q06</vt:lpstr>
      <vt:lpstr>ATIGTC_4Q06</vt:lpstr>
      <vt:lpstr>Tags!ATIGTC_4Q07</vt:lpstr>
      <vt:lpstr>ATIGTC_4Q07</vt:lpstr>
      <vt:lpstr>Tags!ATIGTC_4Q08</vt:lpstr>
      <vt:lpstr>ATIGTC_4Q08</vt:lpstr>
      <vt:lpstr>Tags!ATIGTC_4Q09</vt:lpstr>
      <vt:lpstr>ATIGTC_4Q09</vt:lpstr>
      <vt:lpstr>Tags!ATIGTC_4Q10</vt:lpstr>
      <vt:lpstr>ATIGTC_4Q10</vt:lpstr>
      <vt:lpstr>Tags!ATIGTC_4Q11</vt:lpstr>
      <vt:lpstr>ATIGTC_4Q11</vt:lpstr>
      <vt:lpstr>Tags!ATIGTC_4Q12</vt:lpstr>
      <vt:lpstr>ATIGTC_4Q12</vt:lpstr>
      <vt:lpstr>Tags!ATIGTC_4Q13</vt:lpstr>
      <vt:lpstr>ATIGTC_4Q13</vt:lpstr>
      <vt:lpstr>Tags!ATIGTC_4Q14</vt:lpstr>
      <vt:lpstr>ATIGTC_4Q14</vt:lpstr>
      <vt:lpstr>Tags!ATIGTC_4Q15</vt:lpstr>
      <vt:lpstr>ATIGTC_4Q15</vt:lpstr>
      <vt:lpstr>Tags!ATIGTC_4Q16</vt:lpstr>
      <vt:lpstr>ATIGTC_4Q16</vt:lpstr>
      <vt:lpstr>Tags!ATIGTC_4Q17</vt:lpstr>
      <vt:lpstr>ATIGTC_4Q17</vt:lpstr>
      <vt:lpstr>Tags!ATIGTC_4Q18</vt:lpstr>
      <vt:lpstr>ATIGTC_4Q18</vt:lpstr>
      <vt:lpstr>Tags!ATIGTC_4Q19</vt:lpstr>
      <vt:lpstr>ATIGTC_4Q19</vt:lpstr>
      <vt:lpstr>Tags!ATIGTC_4Q20</vt:lpstr>
      <vt:lpstr>ATIGTC_4Q20</vt:lpstr>
      <vt:lpstr>ATIGTC_4Q21</vt:lpstr>
      <vt:lpstr>ATIGTC_4Q22</vt:lpstr>
      <vt:lpstr>ATIGTC_4Q23</vt:lpstr>
      <vt:lpstr>ATIGTC_4Q24</vt:lpstr>
      <vt:lpstr>AVHDC_1995</vt:lpstr>
      <vt:lpstr>AVHDC_1996</vt:lpstr>
      <vt:lpstr>AVHDC_1997</vt:lpstr>
      <vt:lpstr>AVHDC_1998</vt:lpstr>
      <vt:lpstr>AVHDC_1999</vt:lpstr>
      <vt:lpstr>Tags!AVHDC_1Q00</vt:lpstr>
      <vt:lpstr>AVHDC_1Q00</vt:lpstr>
      <vt:lpstr>Tags!AVHDC_1Q01</vt:lpstr>
      <vt:lpstr>AVHDC_1Q01</vt:lpstr>
      <vt:lpstr>Tags!AVHDC_1Q02</vt:lpstr>
      <vt:lpstr>AVHDC_1Q02</vt:lpstr>
      <vt:lpstr>Tags!AVHDC_1Q03</vt:lpstr>
      <vt:lpstr>AVHDC_1Q03</vt:lpstr>
      <vt:lpstr>Tags!AVHDC_1Q04</vt:lpstr>
      <vt:lpstr>AVHDC_1Q04</vt:lpstr>
      <vt:lpstr>Tags!AVHDC_1Q05</vt:lpstr>
      <vt:lpstr>AVHDC_1Q05</vt:lpstr>
      <vt:lpstr>Tags!AVHDC_1Q06</vt:lpstr>
      <vt:lpstr>AVHDC_1Q06</vt:lpstr>
      <vt:lpstr>Tags!AVHDC_1Q07</vt:lpstr>
      <vt:lpstr>AVHDC_1Q07</vt:lpstr>
      <vt:lpstr>Tags!AVHDC_1Q08</vt:lpstr>
      <vt:lpstr>AVHDC_1Q08</vt:lpstr>
      <vt:lpstr>Tags!AVHDC_1Q09</vt:lpstr>
      <vt:lpstr>AVHDC_1Q09</vt:lpstr>
      <vt:lpstr>Tags!AVHDC_1Q10</vt:lpstr>
      <vt:lpstr>AVHDC_1Q10</vt:lpstr>
      <vt:lpstr>Tags!AVHDC_1Q11</vt:lpstr>
      <vt:lpstr>AVHDC_1Q11</vt:lpstr>
      <vt:lpstr>Tags!AVHDC_1Q12</vt:lpstr>
      <vt:lpstr>AVHDC_1Q12</vt:lpstr>
      <vt:lpstr>Tags!AVHDC_1Q13</vt:lpstr>
      <vt:lpstr>AVHDC_1Q13</vt:lpstr>
      <vt:lpstr>Tags!AVHDC_1Q14</vt:lpstr>
      <vt:lpstr>AVHDC_1Q14</vt:lpstr>
      <vt:lpstr>Tags!AVHDC_1Q15</vt:lpstr>
      <vt:lpstr>AVHDC_1Q15</vt:lpstr>
      <vt:lpstr>Tags!AVHDC_1Q16</vt:lpstr>
      <vt:lpstr>AVHDC_1Q16</vt:lpstr>
      <vt:lpstr>Tags!AVHDC_1Q17</vt:lpstr>
      <vt:lpstr>AVHDC_1Q17</vt:lpstr>
      <vt:lpstr>Tags!AVHDC_1Q18</vt:lpstr>
      <vt:lpstr>AVHDC_1Q18</vt:lpstr>
      <vt:lpstr>Tags!AVHDC_1Q19</vt:lpstr>
      <vt:lpstr>AVHDC_1Q19</vt:lpstr>
      <vt:lpstr>Tags!AVHDC_1Q20</vt:lpstr>
      <vt:lpstr>AVHDC_1Q20</vt:lpstr>
      <vt:lpstr>AVHDC_1Q21</vt:lpstr>
      <vt:lpstr>AVHDC_1Q22</vt:lpstr>
      <vt:lpstr>AVHDC_1Q23</vt:lpstr>
      <vt:lpstr>AVHDC_1Q24</vt:lpstr>
      <vt:lpstr>Tags!AVHDC_2000</vt:lpstr>
      <vt:lpstr>AVHDC_2000</vt:lpstr>
      <vt:lpstr>Tags!AVHDC_2001</vt:lpstr>
      <vt:lpstr>AVHDC_2001</vt:lpstr>
      <vt:lpstr>Tags!AVHDC_2002</vt:lpstr>
      <vt:lpstr>AVHDC_2002</vt:lpstr>
      <vt:lpstr>Tags!AVHDC_2003</vt:lpstr>
      <vt:lpstr>AVHDC_2003</vt:lpstr>
      <vt:lpstr>Tags!AVHDC_2004</vt:lpstr>
      <vt:lpstr>AVHDC_2004</vt:lpstr>
      <vt:lpstr>Tags!AVHDC_2005</vt:lpstr>
      <vt:lpstr>AVHDC_2005</vt:lpstr>
      <vt:lpstr>Tags!AVHDC_2006</vt:lpstr>
      <vt:lpstr>AVHDC_2006</vt:lpstr>
      <vt:lpstr>Tags!AVHDC_2007</vt:lpstr>
      <vt:lpstr>AVHDC_2007</vt:lpstr>
      <vt:lpstr>Tags!AVHDC_2008</vt:lpstr>
      <vt:lpstr>AVHDC_2008</vt:lpstr>
      <vt:lpstr>Tags!AVHDC_2009</vt:lpstr>
      <vt:lpstr>AVHDC_2009</vt:lpstr>
      <vt:lpstr>Tags!AVHDC_2010</vt:lpstr>
      <vt:lpstr>AVHDC_2010</vt:lpstr>
      <vt:lpstr>Tags!AVHDC_2011</vt:lpstr>
      <vt:lpstr>AVHDC_2011</vt:lpstr>
      <vt:lpstr>Tags!AVHDC_2012</vt:lpstr>
      <vt:lpstr>AVHDC_2012</vt:lpstr>
      <vt:lpstr>Tags!AVHDC_2013</vt:lpstr>
      <vt:lpstr>AVHDC_2013</vt:lpstr>
      <vt:lpstr>Tags!AVHDC_2014</vt:lpstr>
      <vt:lpstr>AVHDC_2014</vt:lpstr>
      <vt:lpstr>AVHDC_2015</vt:lpstr>
      <vt:lpstr>Tags!AVHDC_2016</vt:lpstr>
      <vt:lpstr>AVHDC_2016</vt:lpstr>
      <vt:lpstr>Tags!AVHDC_2017</vt:lpstr>
      <vt:lpstr>AVHDC_2017</vt:lpstr>
      <vt:lpstr>Tags!AVHDC_2018</vt:lpstr>
      <vt:lpstr>AVHDC_2018</vt:lpstr>
      <vt:lpstr>Tags!AVHDC_2019</vt:lpstr>
      <vt:lpstr>AVHDC_2019</vt:lpstr>
      <vt:lpstr>Tags!AVHDC_2020</vt:lpstr>
      <vt:lpstr>AVHDC_2020</vt:lpstr>
      <vt:lpstr>AVHDC_2021</vt:lpstr>
      <vt:lpstr>AVHDC_2022</vt:lpstr>
      <vt:lpstr>AVHDC_2023</vt:lpstr>
      <vt:lpstr>AVHDC_2024</vt:lpstr>
      <vt:lpstr>Tags!AVHDC_2Q00</vt:lpstr>
      <vt:lpstr>AVHDC_2Q00</vt:lpstr>
      <vt:lpstr>Tags!AVHDC_2Q01</vt:lpstr>
      <vt:lpstr>AVHDC_2Q01</vt:lpstr>
      <vt:lpstr>Tags!AVHDC_2Q02</vt:lpstr>
      <vt:lpstr>AVHDC_2Q02</vt:lpstr>
      <vt:lpstr>Tags!AVHDC_2Q03</vt:lpstr>
      <vt:lpstr>AVHDC_2Q03</vt:lpstr>
      <vt:lpstr>Tags!AVHDC_2Q04</vt:lpstr>
      <vt:lpstr>AVHDC_2Q04</vt:lpstr>
      <vt:lpstr>Tags!AVHDC_2Q05</vt:lpstr>
      <vt:lpstr>AVHDC_2Q05</vt:lpstr>
      <vt:lpstr>Tags!AVHDC_2Q06</vt:lpstr>
      <vt:lpstr>AVHDC_2Q06</vt:lpstr>
      <vt:lpstr>Tags!AVHDC_2Q07</vt:lpstr>
      <vt:lpstr>AVHDC_2Q07</vt:lpstr>
      <vt:lpstr>Tags!AVHDC_2Q08</vt:lpstr>
      <vt:lpstr>AVHDC_2Q08</vt:lpstr>
      <vt:lpstr>Tags!AVHDC_2Q09</vt:lpstr>
      <vt:lpstr>AVHDC_2Q09</vt:lpstr>
      <vt:lpstr>Tags!AVHDC_2Q10</vt:lpstr>
      <vt:lpstr>AVHDC_2Q10</vt:lpstr>
      <vt:lpstr>Tags!AVHDC_2Q11</vt:lpstr>
      <vt:lpstr>AVHDC_2Q11</vt:lpstr>
      <vt:lpstr>Tags!AVHDC_2Q12</vt:lpstr>
      <vt:lpstr>AVHDC_2Q12</vt:lpstr>
      <vt:lpstr>Tags!AVHDC_2Q13</vt:lpstr>
      <vt:lpstr>AVHDC_2Q13</vt:lpstr>
      <vt:lpstr>Tags!AVHDC_2Q14</vt:lpstr>
      <vt:lpstr>AVHDC_2Q14</vt:lpstr>
      <vt:lpstr>Tags!AVHDC_2Q15</vt:lpstr>
      <vt:lpstr>AVHDC_2Q15</vt:lpstr>
      <vt:lpstr>Tags!AVHDC_2Q16</vt:lpstr>
      <vt:lpstr>AVHDC_2Q16</vt:lpstr>
      <vt:lpstr>Tags!AVHDC_2Q17</vt:lpstr>
      <vt:lpstr>AVHDC_2Q17</vt:lpstr>
      <vt:lpstr>Tags!AVHDC_2Q18</vt:lpstr>
      <vt:lpstr>AVHDC_2Q18</vt:lpstr>
      <vt:lpstr>Tags!AVHDC_2Q19</vt:lpstr>
      <vt:lpstr>AVHDC_2Q19</vt:lpstr>
      <vt:lpstr>Tags!AVHDC_2Q20</vt:lpstr>
      <vt:lpstr>AVHDC_2Q20</vt:lpstr>
      <vt:lpstr>AVHDC_2Q21</vt:lpstr>
      <vt:lpstr>AVHDC_2Q22</vt:lpstr>
      <vt:lpstr>AVHDC_2Q23</vt:lpstr>
      <vt:lpstr>AVHDC_2Q24</vt:lpstr>
      <vt:lpstr>Tags!AVHDC_3Q00</vt:lpstr>
      <vt:lpstr>AVHDC_3Q00</vt:lpstr>
      <vt:lpstr>Tags!AVHDC_3Q01</vt:lpstr>
      <vt:lpstr>AVHDC_3Q01</vt:lpstr>
      <vt:lpstr>Tags!AVHDC_3Q02</vt:lpstr>
      <vt:lpstr>AVHDC_3Q02</vt:lpstr>
      <vt:lpstr>Tags!AVHDC_3Q03</vt:lpstr>
      <vt:lpstr>AVHDC_3Q03</vt:lpstr>
      <vt:lpstr>Tags!AVHDC_3Q04</vt:lpstr>
      <vt:lpstr>AVHDC_3Q04</vt:lpstr>
      <vt:lpstr>Tags!AVHDC_3Q05</vt:lpstr>
      <vt:lpstr>AVHDC_3Q05</vt:lpstr>
      <vt:lpstr>Tags!AVHDC_3Q06</vt:lpstr>
      <vt:lpstr>AVHDC_3Q06</vt:lpstr>
      <vt:lpstr>Tags!AVHDC_3Q07</vt:lpstr>
      <vt:lpstr>AVHDC_3Q07</vt:lpstr>
      <vt:lpstr>Tags!AVHDC_3Q08</vt:lpstr>
      <vt:lpstr>AVHDC_3Q08</vt:lpstr>
      <vt:lpstr>Tags!AVHDC_3Q09</vt:lpstr>
      <vt:lpstr>AVHDC_3Q09</vt:lpstr>
      <vt:lpstr>Tags!AVHDC_3Q10</vt:lpstr>
      <vt:lpstr>AVHDC_3Q10</vt:lpstr>
      <vt:lpstr>Tags!AVHDC_3Q11</vt:lpstr>
      <vt:lpstr>AVHDC_3Q11</vt:lpstr>
      <vt:lpstr>Tags!AVHDC_3Q12</vt:lpstr>
      <vt:lpstr>AVHDC_3Q12</vt:lpstr>
      <vt:lpstr>Tags!AVHDC_3Q13</vt:lpstr>
      <vt:lpstr>AVHDC_3Q13</vt:lpstr>
      <vt:lpstr>Tags!AVHDC_3Q14</vt:lpstr>
      <vt:lpstr>AVHDC_3Q14</vt:lpstr>
      <vt:lpstr>Tags!AVHDC_3Q15</vt:lpstr>
      <vt:lpstr>AVHDC_3Q15</vt:lpstr>
      <vt:lpstr>Tags!AVHDC_3Q16</vt:lpstr>
      <vt:lpstr>AVHDC_3Q16</vt:lpstr>
      <vt:lpstr>Tags!AVHDC_3Q17</vt:lpstr>
      <vt:lpstr>AVHDC_3Q17</vt:lpstr>
      <vt:lpstr>Tags!AVHDC_3Q18</vt:lpstr>
      <vt:lpstr>AVHDC_3Q18</vt:lpstr>
      <vt:lpstr>Tags!AVHDC_3Q19</vt:lpstr>
      <vt:lpstr>AVHDC_3Q19</vt:lpstr>
      <vt:lpstr>Tags!AVHDC_3Q20</vt:lpstr>
      <vt:lpstr>AVHDC_3Q20</vt:lpstr>
      <vt:lpstr>AVHDC_3Q21</vt:lpstr>
      <vt:lpstr>AVHDC_3Q22</vt:lpstr>
      <vt:lpstr>AVHDC_3Q23</vt:lpstr>
      <vt:lpstr>AVHDC_3Q24</vt:lpstr>
      <vt:lpstr>Tags!AVHDC_4Q00</vt:lpstr>
      <vt:lpstr>AVHDC_4Q00</vt:lpstr>
      <vt:lpstr>Tags!AVHDC_4Q01</vt:lpstr>
      <vt:lpstr>AVHDC_4Q01</vt:lpstr>
      <vt:lpstr>Tags!AVHDC_4Q02</vt:lpstr>
      <vt:lpstr>AVHDC_4Q02</vt:lpstr>
      <vt:lpstr>Tags!AVHDC_4Q03</vt:lpstr>
      <vt:lpstr>AVHDC_4Q03</vt:lpstr>
      <vt:lpstr>Tags!AVHDC_4Q04</vt:lpstr>
      <vt:lpstr>AVHDC_4Q04</vt:lpstr>
      <vt:lpstr>Tags!AVHDC_4Q05</vt:lpstr>
      <vt:lpstr>AVHDC_4Q05</vt:lpstr>
      <vt:lpstr>Tags!AVHDC_4Q06</vt:lpstr>
      <vt:lpstr>AVHDC_4Q06</vt:lpstr>
      <vt:lpstr>Tags!AVHDC_4Q07</vt:lpstr>
      <vt:lpstr>AVHDC_4Q07</vt:lpstr>
      <vt:lpstr>Tags!AVHDC_4Q08</vt:lpstr>
      <vt:lpstr>AVHDC_4Q08</vt:lpstr>
      <vt:lpstr>Tags!AVHDC_4Q09</vt:lpstr>
      <vt:lpstr>AVHDC_4Q09</vt:lpstr>
      <vt:lpstr>Tags!AVHDC_4Q10</vt:lpstr>
      <vt:lpstr>AVHDC_4Q10</vt:lpstr>
      <vt:lpstr>Tags!AVHDC_4Q11</vt:lpstr>
      <vt:lpstr>AVHDC_4Q11</vt:lpstr>
      <vt:lpstr>Tags!AVHDC_4Q12</vt:lpstr>
      <vt:lpstr>AVHDC_4Q12</vt:lpstr>
      <vt:lpstr>Tags!AVHDC_4Q13</vt:lpstr>
      <vt:lpstr>AVHDC_4Q13</vt:lpstr>
      <vt:lpstr>Tags!AVHDC_4Q14</vt:lpstr>
      <vt:lpstr>AVHDC_4Q14</vt:lpstr>
      <vt:lpstr>Tags!AVHDC_4Q15</vt:lpstr>
      <vt:lpstr>AVHDC_4Q15</vt:lpstr>
      <vt:lpstr>Tags!AVHDC_4Q16</vt:lpstr>
      <vt:lpstr>AVHDC_4Q16</vt:lpstr>
      <vt:lpstr>Tags!AVHDC_4Q17</vt:lpstr>
      <vt:lpstr>AVHDC_4Q17</vt:lpstr>
      <vt:lpstr>Tags!AVHDC_4Q18</vt:lpstr>
      <vt:lpstr>AVHDC_4Q18</vt:lpstr>
      <vt:lpstr>Tags!AVHDC_4Q19</vt:lpstr>
      <vt:lpstr>AVHDC_4Q19</vt:lpstr>
      <vt:lpstr>Tags!AVHDC_4Q20</vt:lpstr>
      <vt:lpstr>AVHDC_4Q20</vt:lpstr>
      <vt:lpstr>AVHDC_4Q21</vt:lpstr>
      <vt:lpstr>AVHDC_4Q22</vt:lpstr>
      <vt:lpstr>AVHDC_4Q23</vt:lpstr>
      <vt:lpstr>AVHDC_4Q24</vt:lpstr>
      <vt:lpstr>CAPEXI_1995</vt:lpstr>
      <vt:lpstr>CAPEXI_1996</vt:lpstr>
      <vt:lpstr>CAPEXI_1997</vt:lpstr>
      <vt:lpstr>CAPEXI_1998</vt:lpstr>
      <vt:lpstr>CAPEXI_1999</vt:lpstr>
      <vt:lpstr>Tags!CAPEXI_1Q00</vt:lpstr>
      <vt:lpstr>CAPEXI_1Q00</vt:lpstr>
      <vt:lpstr>Tags!CAPEXI_1Q01</vt:lpstr>
      <vt:lpstr>CAPEXI_1Q01</vt:lpstr>
      <vt:lpstr>Tags!CAPEXI_1Q02</vt:lpstr>
      <vt:lpstr>CAPEXI_1Q02</vt:lpstr>
      <vt:lpstr>Tags!CAPEXI_1Q03</vt:lpstr>
      <vt:lpstr>CAPEXI_1Q03</vt:lpstr>
      <vt:lpstr>Tags!CAPEXI_1Q04</vt:lpstr>
      <vt:lpstr>CAPEXI_1Q04</vt:lpstr>
      <vt:lpstr>Tags!CAPEXI_1Q05</vt:lpstr>
      <vt:lpstr>CAPEXI_1Q05</vt:lpstr>
      <vt:lpstr>Tags!CAPEXI_1Q06</vt:lpstr>
      <vt:lpstr>CAPEXI_1Q06</vt:lpstr>
      <vt:lpstr>Tags!CAPEXI_1Q07</vt:lpstr>
      <vt:lpstr>CAPEXI_1Q07</vt:lpstr>
      <vt:lpstr>Tags!CAPEXI_1Q08</vt:lpstr>
      <vt:lpstr>CAPEXI_1Q08</vt:lpstr>
      <vt:lpstr>Tags!CAPEXI_1Q09</vt:lpstr>
      <vt:lpstr>CAPEXI_1Q09</vt:lpstr>
      <vt:lpstr>Tags!CAPEXI_1Q10</vt:lpstr>
      <vt:lpstr>CAPEXI_1Q10</vt:lpstr>
      <vt:lpstr>Tags!CAPEXI_1Q11</vt:lpstr>
      <vt:lpstr>CAPEXI_1Q11</vt:lpstr>
      <vt:lpstr>Tags!CAPEXI_1Q12</vt:lpstr>
      <vt:lpstr>CAPEXI_1Q12</vt:lpstr>
      <vt:lpstr>Tags!CAPEXI_1Q13</vt:lpstr>
      <vt:lpstr>CAPEXI_1Q13</vt:lpstr>
      <vt:lpstr>Tags!CAPEXI_1Q14</vt:lpstr>
      <vt:lpstr>CAPEXI_1Q14</vt:lpstr>
      <vt:lpstr>Tags!CAPEXI_1Q15</vt:lpstr>
      <vt:lpstr>CAPEXI_1Q15</vt:lpstr>
      <vt:lpstr>Tags!CAPEXI_1Q16</vt:lpstr>
      <vt:lpstr>CAPEXI_1Q16</vt:lpstr>
      <vt:lpstr>Tags!CAPEXI_1Q17</vt:lpstr>
      <vt:lpstr>CAPEXI_1Q17</vt:lpstr>
      <vt:lpstr>Tags!CAPEXI_1Q18</vt:lpstr>
      <vt:lpstr>CAPEXI_1Q18</vt:lpstr>
      <vt:lpstr>Tags!CAPEXI_1Q19</vt:lpstr>
      <vt:lpstr>CAPEXI_1Q19</vt:lpstr>
      <vt:lpstr>Tags!CAPEXI_1Q20</vt:lpstr>
      <vt:lpstr>CAPEXI_1Q20</vt:lpstr>
      <vt:lpstr>CAPEXI_1Q21</vt:lpstr>
      <vt:lpstr>CAPEXI_1Q22</vt:lpstr>
      <vt:lpstr>CAPEXI_1Q23</vt:lpstr>
      <vt:lpstr>CAPEXI_1Q24</vt:lpstr>
      <vt:lpstr>Tags!CAPEXI_2000</vt:lpstr>
      <vt:lpstr>CAPEXI_2000</vt:lpstr>
      <vt:lpstr>Tags!CAPEXI_2001</vt:lpstr>
      <vt:lpstr>CAPEXI_2001</vt:lpstr>
      <vt:lpstr>Tags!CAPEXI_2002</vt:lpstr>
      <vt:lpstr>CAPEXI_2002</vt:lpstr>
      <vt:lpstr>Tags!CAPEXI_2003</vt:lpstr>
      <vt:lpstr>CAPEXI_2003</vt:lpstr>
      <vt:lpstr>Tags!CAPEXI_2004</vt:lpstr>
      <vt:lpstr>CAPEXI_2004</vt:lpstr>
      <vt:lpstr>Tags!CAPEXI_2005</vt:lpstr>
      <vt:lpstr>CAPEXI_2005</vt:lpstr>
      <vt:lpstr>Tags!CAPEXI_2006</vt:lpstr>
      <vt:lpstr>CAPEXI_2006</vt:lpstr>
      <vt:lpstr>Tags!CAPEXI_2007</vt:lpstr>
      <vt:lpstr>CAPEXI_2007</vt:lpstr>
      <vt:lpstr>Tags!CAPEXI_2008</vt:lpstr>
      <vt:lpstr>CAPEXI_2008</vt:lpstr>
      <vt:lpstr>Tags!CAPEXI_2009</vt:lpstr>
      <vt:lpstr>CAPEXI_2009</vt:lpstr>
      <vt:lpstr>Tags!CAPEXI_2010</vt:lpstr>
      <vt:lpstr>CAPEXI_2010</vt:lpstr>
      <vt:lpstr>Tags!CAPEXI_2011</vt:lpstr>
      <vt:lpstr>CAPEXI_2011</vt:lpstr>
      <vt:lpstr>Tags!CAPEXI_2012</vt:lpstr>
      <vt:lpstr>CAPEXI_2012</vt:lpstr>
      <vt:lpstr>Tags!CAPEXI_2013</vt:lpstr>
      <vt:lpstr>CAPEXI_2013</vt:lpstr>
      <vt:lpstr>Tags!CAPEXI_2014</vt:lpstr>
      <vt:lpstr>CAPEXI_2014</vt:lpstr>
      <vt:lpstr>CAPEXI_2015</vt:lpstr>
      <vt:lpstr>Tags!CAPEXI_2016</vt:lpstr>
      <vt:lpstr>CAPEXI_2016</vt:lpstr>
      <vt:lpstr>Tags!CAPEXI_2017</vt:lpstr>
      <vt:lpstr>CAPEXI_2017</vt:lpstr>
      <vt:lpstr>Tags!CAPEXI_2018</vt:lpstr>
      <vt:lpstr>CAPEXI_2018</vt:lpstr>
      <vt:lpstr>Tags!CAPEXI_2019</vt:lpstr>
      <vt:lpstr>CAPEXI_2019</vt:lpstr>
      <vt:lpstr>Tags!CAPEXI_2020</vt:lpstr>
      <vt:lpstr>CAPEXI_2020</vt:lpstr>
      <vt:lpstr>CAPEXI_2021</vt:lpstr>
      <vt:lpstr>CAPEXI_2022</vt:lpstr>
      <vt:lpstr>CAPEXI_2023</vt:lpstr>
      <vt:lpstr>CAPEXI_2024</vt:lpstr>
      <vt:lpstr>Tags!CAPEXI_2Q00</vt:lpstr>
      <vt:lpstr>CAPEXI_2Q00</vt:lpstr>
      <vt:lpstr>Tags!CAPEXI_2Q01</vt:lpstr>
      <vt:lpstr>CAPEXI_2Q01</vt:lpstr>
      <vt:lpstr>Tags!CAPEXI_2Q02</vt:lpstr>
      <vt:lpstr>CAPEXI_2Q02</vt:lpstr>
      <vt:lpstr>Tags!CAPEXI_2Q03</vt:lpstr>
      <vt:lpstr>CAPEXI_2Q03</vt:lpstr>
      <vt:lpstr>Tags!CAPEXI_2Q04</vt:lpstr>
      <vt:lpstr>CAPEXI_2Q04</vt:lpstr>
      <vt:lpstr>Tags!CAPEXI_2Q05</vt:lpstr>
      <vt:lpstr>CAPEXI_2Q05</vt:lpstr>
      <vt:lpstr>Tags!CAPEXI_2Q06</vt:lpstr>
      <vt:lpstr>CAPEXI_2Q06</vt:lpstr>
      <vt:lpstr>Tags!CAPEXI_2Q07</vt:lpstr>
      <vt:lpstr>CAPEXI_2Q07</vt:lpstr>
      <vt:lpstr>Tags!CAPEXI_2Q08</vt:lpstr>
      <vt:lpstr>CAPEXI_2Q08</vt:lpstr>
      <vt:lpstr>Tags!CAPEXI_2Q09</vt:lpstr>
      <vt:lpstr>CAPEXI_2Q09</vt:lpstr>
      <vt:lpstr>Tags!CAPEXI_2Q10</vt:lpstr>
      <vt:lpstr>CAPEXI_2Q10</vt:lpstr>
      <vt:lpstr>Tags!CAPEXI_2Q11</vt:lpstr>
      <vt:lpstr>CAPEXI_2Q11</vt:lpstr>
      <vt:lpstr>Tags!CAPEXI_2Q12</vt:lpstr>
      <vt:lpstr>CAPEXI_2Q12</vt:lpstr>
      <vt:lpstr>Tags!CAPEXI_2Q13</vt:lpstr>
      <vt:lpstr>CAPEXI_2Q13</vt:lpstr>
      <vt:lpstr>Tags!CAPEXI_2Q14</vt:lpstr>
      <vt:lpstr>CAPEXI_2Q14</vt:lpstr>
      <vt:lpstr>Tags!CAPEXI_2Q15</vt:lpstr>
      <vt:lpstr>CAPEXI_2Q15</vt:lpstr>
      <vt:lpstr>Tags!CAPEXI_2Q16</vt:lpstr>
      <vt:lpstr>CAPEXI_2Q16</vt:lpstr>
      <vt:lpstr>Tags!CAPEXI_2Q17</vt:lpstr>
      <vt:lpstr>CAPEXI_2Q17</vt:lpstr>
      <vt:lpstr>Tags!CAPEXI_2Q18</vt:lpstr>
      <vt:lpstr>CAPEXI_2Q18</vt:lpstr>
      <vt:lpstr>Tags!CAPEXI_2Q19</vt:lpstr>
      <vt:lpstr>CAPEXI_2Q19</vt:lpstr>
      <vt:lpstr>Tags!CAPEXI_2Q20</vt:lpstr>
      <vt:lpstr>CAPEXI_2Q20</vt:lpstr>
      <vt:lpstr>CAPEXI_2Q21</vt:lpstr>
      <vt:lpstr>CAPEXI_2Q22</vt:lpstr>
      <vt:lpstr>CAPEXI_2Q23</vt:lpstr>
      <vt:lpstr>CAPEXI_2Q24</vt:lpstr>
      <vt:lpstr>Tags!CAPEXI_3Q00</vt:lpstr>
      <vt:lpstr>CAPEXI_3Q00</vt:lpstr>
      <vt:lpstr>Tags!CAPEXI_3Q01</vt:lpstr>
      <vt:lpstr>CAPEXI_3Q01</vt:lpstr>
      <vt:lpstr>Tags!CAPEXI_3Q02</vt:lpstr>
      <vt:lpstr>CAPEXI_3Q02</vt:lpstr>
      <vt:lpstr>Tags!CAPEXI_3Q03</vt:lpstr>
      <vt:lpstr>CAPEXI_3Q03</vt:lpstr>
      <vt:lpstr>Tags!CAPEXI_3Q04</vt:lpstr>
      <vt:lpstr>CAPEXI_3Q04</vt:lpstr>
      <vt:lpstr>Tags!CAPEXI_3Q05</vt:lpstr>
      <vt:lpstr>CAPEXI_3Q05</vt:lpstr>
      <vt:lpstr>Tags!CAPEXI_3Q06</vt:lpstr>
      <vt:lpstr>CAPEXI_3Q06</vt:lpstr>
      <vt:lpstr>Tags!CAPEXI_3Q07</vt:lpstr>
      <vt:lpstr>CAPEXI_3Q07</vt:lpstr>
      <vt:lpstr>Tags!CAPEXI_3Q08</vt:lpstr>
      <vt:lpstr>CAPEXI_3Q08</vt:lpstr>
      <vt:lpstr>Tags!CAPEXI_3Q09</vt:lpstr>
      <vt:lpstr>CAPEXI_3Q09</vt:lpstr>
      <vt:lpstr>Tags!CAPEXI_3Q10</vt:lpstr>
      <vt:lpstr>CAPEXI_3Q10</vt:lpstr>
      <vt:lpstr>Tags!CAPEXI_3Q11</vt:lpstr>
      <vt:lpstr>CAPEXI_3Q11</vt:lpstr>
      <vt:lpstr>Tags!CAPEXI_3Q12</vt:lpstr>
      <vt:lpstr>CAPEXI_3Q12</vt:lpstr>
      <vt:lpstr>Tags!CAPEXI_3Q13</vt:lpstr>
      <vt:lpstr>CAPEXI_3Q13</vt:lpstr>
      <vt:lpstr>Tags!CAPEXI_3Q14</vt:lpstr>
      <vt:lpstr>CAPEXI_3Q14</vt:lpstr>
      <vt:lpstr>Tags!CAPEXI_3Q15</vt:lpstr>
      <vt:lpstr>CAPEXI_3Q15</vt:lpstr>
      <vt:lpstr>Tags!CAPEXI_3Q16</vt:lpstr>
      <vt:lpstr>CAPEXI_3Q16</vt:lpstr>
      <vt:lpstr>Tags!CAPEXI_3Q17</vt:lpstr>
      <vt:lpstr>CAPEXI_3Q17</vt:lpstr>
      <vt:lpstr>Tags!CAPEXI_3Q18</vt:lpstr>
      <vt:lpstr>CAPEXI_3Q18</vt:lpstr>
      <vt:lpstr>Tags!CAPEXI_3Q19</vt:lpstr>
      <vt:lpstr>CAPEXI_3Q19</vt:lpstr>
      <vt:lpstr>Tags!CAPEXI_3Q20</vt:lpstr>
      <vt:lpstr>CAPEXI_3Q20</vt:lpstr>
      <vt:lpstr>CAPEXI_3Q21</vt:lpstr>
      <vt:lpstr>CAPEXI_3Q22</vt:lpstr>
      <vt:lpstr>CAPEXI_3Q23</vt:lpstr>
      <vt:lpstr>CAPEXI_3Q24</vt:lpstr>
      <vt:lpstr>Tags!CAPEXI_4Q00</vt:lpstr>
      <vt:lpstr>CAPEXI_4Q00</vt:lpstr>
      <vt:lpstr>Tags!CAPEXI_4Q01</vt:lpstr>
      <vt:lpstr>CAPEXI_4Q01</vt:lpstr>
      <vt:lpstr>Tags!CAPEXI_4Q02</vt:lpstr>
      <vt:lpstr>CAPEXI_4Q02</vt:lpstr>
      <vt:lpstr>Tags!CAPEXI_4Q03</vt:lpstr>
      <vt:lpstr>CAPEXI_4Q03</vt:lpstr>
      <vt:lpstr>Tags!CAPEXI_4Q04</vt:lpstr>
      <vt:lpstr>CAPEXI_4Q04</vt:lpstr>
      <vt:lpstr>Tags!CAPEXI_4Q05</vt:lpstr>
      <vt:lpstr>CAPEXI_4Q05</vt:lpstr>
      <vt:lpstr>Tags!CAPEXI_4Q06</vt:lpstr>
      <vt:lpstr>CAPEXI_4Q06</vt:lpstr>
      <vt:lpstr>Tags!CAPEXI_4Q07</vt:lpstr>
      <vt:lpstr>CAPEXI_4Q07</vt:lpstr>
      <vt:lpstr>Tags!CAPEXI_4Q08</vt:lpstr>
      <vt:lpstr>CAPEXI_4Q08</vt:lpstr>
      <vt:lpstr>Tags!CAPEXI_4Q09</vt:lpstr>
      <vt:lpstr>CAPEXI_4Q09</vt:lpstr>
      <vt:lpstr>Tags!CAPEXI_4Q10</vt:lpstr>
      <vt:lpstr>CAPEXI_4Q10</vt:lpstr>
      <vt:lpstr>Tags!CAPEXI_4Q11</vt:lpstr>
      <vt:lpstr>CAPEXI_4Q11</vt:lpstr>
      <vt:lpstr>Tags!CAPEXI_4Q12</vt:lpstr>
      <vt:lpstr>CAPEXI_4Q12</vt:lpstr>
      <vt:lpstr>Tags!CAPEXI_4Q13</vt:lpstr>
      <vt:lpstr>CAPEXI_4Q13</vt:lpstr>
      <vt:lpstr>Tags!CAPEXI_4Q14</vt:lpstr>
      <vt:lpstr>CAPEXI_4Q14</vt:lpstr>
      <vt:lpstr>Tags!CAPEXI_4Q15</vt:lpstr>
      <vt:lpstr>CAPEXI_4Q15</vt:lpstr>
      <vt:lpstr>Tags!CAPEXI_4Q16</vt:lpstr>
      <vt:lpstr>CAPEXI_4Q16</vt:lpstr>
      <vt:lpstr>Tags!CAPEXI_4Q17</vt:lpstr>
      <vt:lpstr>CAPEXI_4Q17</vt:lpstr>
      <vt:lpstr>Tags!CAPEXI_4Q18</vt:lpstr>
      <vt:lpstr>CAPEXI_4Q18</vt:lpstr>
      <vt:lpstr>Tags!CAPEXI_4Q19</vt:lpstr>
      <vt:lpstr>CAPEXI_4Q19</vt:lpstr>
      <vt:lpstr>Tags!CAPEXI_4Q20</vt:lpstr>
      <vt:lpstr>CAPEXI_4Q20</vt:lpstr>
      <vt:lpstr>CAPEXI_4Q21</vt:lpstr>
      <vt:lpstr>CAPEXI_4Q22</vt:lpstr>
      <vt:lpstr>CAPEXI_4Q23</vt:lpstr>
      <vt:lpstr>CAPEXI_4Q24</vt:lpstr>
      <vt:lpstr>CAPEXT_1995</vt:lpstr>
      <vt:lpstr>CAPEXT_1996</vt:lpstr>
      <vt:lpstr>CAPEXT_1997</vt:lpstr>
      <vt:lpstr>CAPEXT_1998</vt:lpstr>
      <vt:lpstr>CAPEXT_1999</vt:lpstr>
      <vt:lpstr>Tags!CAPEXT_1Q00</vt:lpstr>
      <vt:lpstr>CAPEXT_1Q00</vt:lpstr>
      <vt:lpstr>Tags!CAPEXT_1Q01</vt:lpstr>
      <vt:lpstr>CAPEXT_1Q01</vt:lpstr>
      <vt:lpstr>Tags!CAPEXT_1Q02</vt:lpstr>
      <vt:lpstr>CAPEXT_1Q02</vt:lpstr>
      <vt:lpstr>Tags!CAPEXT_1Q03</vt:lpstr>
      <vt:lpstr>CAPEXT_1Q03</vt:lpstr>
      <vt:lpstr>Tags!CAPEXT_1Q04</vt:lpstr>
      <vt:lpstr>CAPEXT_1Q04</vt:lpstr>
      <vt:lpstr>Tags!CAPEXT_1Q05</vt:lpstr>
      <vt:lpstr>CAPEXT_1Q05</vt:lpstr>
      <vt:lpstr>Tags!CAPEXT_1Q06</vt:lpstr>
      <vt:lpstr>CAPEXT_1Q06</vt:lpstr>
      <vt:lpstr>Tags!CAPEXT_1Q07</vt:lpstr>
      <vt:lpstr>CAPEXT_1Q07</vt:lpstr>
      <vt:lpstr>Tags!CAPEXT_1Q08</vt:lpstr>
      <vt:lpstr>CAPEXT_1Q08</vt:lpstr>
      <vt:lpstr>Tags!CAPEXT_1Q09</vt:lpstr>
      <vt:lpstr>CAPEXT_1Q09</vt:lpstr>
      <vt:lpstr>Tags!CAPEXT_1Q10</vt:lpstr>
      <vt:lpstr>CAPEXT_1Q10</vt:lpstr>
      <vt:lpstr>Tags!CAPEXT_1Q11</vt:lpstr>
      <vt:lpstr>CAPEXT_1Q11</vt:lpstr>
      <vt:lpstr>Tags!CAPEXT_1Q12</vt:lpstr>
      <vt:lpstr>CAPEXT_1Q12</vt:lpstr>
      <vt:lpstr>Tags!CAPEXT_1Q13</vt:lpstr>
      <vt:lpstr>CAPEXT_1Q13</vt:lpstr>
      <vt:lpstr>Tags!CAPEXT_1Q14</vt:lpstr>
      <vt:lpstr>CAPEXT_1Q14</vt:lpstr>
      <vt:lpstr>Tags!CAPEXT_1Q15</vt:lpstr>
      <vt:lpstr>CAPEXT_1Q15</vt:lpstr>
      <vt:lpstr>Tags!CAPEXT_1Q16</vt:lpstr>
      <vt:lpstr>CAPEXT_1Q16</vt:lpstr>
      <vt:lpstr>Tags!CAPEXT_1Q17</vt:lpstr>
      <vt:lpstr>CAPEXT_1Q17</vt:lpstr>
      <vt:lpstr>Tags!CAPEXT_1Q18</vt:lpstr>
      <vt:lpstr>CAPEXT_1Q18</vt:lpstr>
      <vt:lpstr>Tags!CAPEXT_1Q19</vt:lpstr>
      <vt:lpstr>CAPEXT_1Q19</vt:lpstr>
      <vt:lpstr>Tags!CAPEXT_1Q20</vt:lpstr>
      <vt:lpstr>CAPEXT_1Q20</vt:lpstr>
      <vt:lpstr>CAPEXT_1Q21</vt:lpstr>
      <vt:lpstr>CAPEXT_1Q22</vt:lpstr>
      <vt:lpstr>CAPEXT_1Q23</vt:lpstr>
      <vt:lpstr>CAPEXT_1Q24</vt:lpstr>
      <vt:lpstr>Tags!CAPEXT_2000</vt:lpstr>
      <vt:lpstr>CAPEXT_2000</vt:lpstr>
      <vt:lpstr>Tags!CAPEXT_2001</vt:lpstr>
      <vt:lpstr>CAPEXT_2001</vt:lpstr>
      <vt:lpstr>Tags!CAPEXT_2002</vt:lpstr>
      <vt:lpstr>CAPEXT_2002</vt:lpstr>
      <vt:lpstr>Tags!CAPEXT_2003</vt:lpstr>
      <vt:lpstr>CAPEXT_2003</vt:lpstr>
      <vt:lpstr>Tags!CAPEXT_2004</vt:lpstr>
      <vt:lpstr>CAPEXT_2004</vt:lpstr>
      <vt:lpstr>Tags!CAPEXT_2005</vt:lpstr>
      <vt:lpstr>CAPEXT_2005</vt:lpstr>
      <vt:lpstr>Tags!CAPEXT_2006</vt:lpstr>
      <vt:lpstr>CAPEXT_2006</vt:lpstr>
      <vt:lpstr>Tags!CAPEXT_2007</vt:lpstr>
      <vt:lpstr>CAPEXT_2007</vt:lpstr>
      <vt:lpstr>Tags!CAPEXT_2008</vt:lpstr>
      <vt:lpstr>CAPEXT_2008</vt:lpstr>
      <vt:lpstr>Tags!CAPEXT_2009</vt:lpstr>
      <vt:lpstr>CAPEXT_2009</vt:lpstr>
      <vt:lpstr>Tags!CAPEXT_2010</vt:lpstr>
      <vt:lpstr>CAPEXT_2010</vt:lpstr>
      <vt:lpstr>Tags!CAPEXT_2011</vt:lpstr>
      <vt:lpstr>CAPEXT_2011</vt:lpstr>
      <vt:lpstr>Tags!CAPEXT_2012</vt:lpstr>
      <vt:lpstr>CAPEXT_2012</vt:lpstr>
      <vt:lpstr>Tags!CAPEXT_2013</vt:lpstr>
      <vt:lpstr>CAPEXT_2013</vt:lpstr>
      <vt:lpstr>Tags!CAPEXT_2014</vt:lpstr>
      <vt:lpstr>CAPEXT_2014</vt:lpstr>
      <vt:lpstr>CAPEXT_2015</vt:lpstr>
      <vt:lpstr>Tags!CAPEXT_2016</vt:lpstr>
      <vt:lpstr>CAPEXT_2016</vt:lpstr>
      <vt:lpstr>Tags!CAPEXT_2017</vt:lpstr>
      <vt:lpstr>CAPEXT_2017</vt:lpstr>
      <vt:lpstr>Tags!CAPEXT_2018</vt:lpstr>
      <vt:lpstr>CAPEXT_2018</vt:lpstr>
      <vt:lpstr>Tags!CAPEXT_2019</vt:lpstr>
      <vt:lpstr>CAPEXT_2019</vt:lpstr>
      <vt:lpstr>Tags!CAPEXT_2020</vt:lpstr>
      <vt:lpstr>CAPEXT_2020</vt:lpstr>
      <vt:lpstr>CAPEXT_2021</vt:lpstr>
      <vt:lpstr>CAPEXT_2022</vt:lpstr>
      <vt:lpstr>CAPEXT_2023</vt:lpstr>
      <vt:lpstr>CAPEXT_2024</vt:lpstr>
      <vt:lpstr>Tags!CAPEXT_2Q00</vt:lpstr>
      <vt:lpstr>CAPEXT_2Q00</vt:lpstr>
      <vt:lpstr>Tags!CAPEXT_2Q01</vt:lpstr>
      <vt:lpstr>CAPEXT_2Q01</vt:lpstr>
      <vt:lpstr>Tags!CAPEXT_2Q02</vt:lpstr>
      <vt:lpstr>CAPEXT_2Q02</vt:lpstr>
      <vt:lpstr>Tags!CAPEXT_2Q03</vt:lpstr>
      <vt:lpstr>CAPEXT_2Q03</vt:lpstr>
      <vt:lpstr>Tags!CAPEXT_2Q04</vt:lpstr>
      <vt:lpstr>CAPEXT_2Q04</vt:lpstr>
      <vt:lpstr>Tags!CAPEXT_2Q05</vt:lpstr>
      <vt:lpstr>CAPEXT_2Q05</vt:lpstr>
      <vt:lpstr>Tags!CAPEXT_2Q06</vt:lpstr>
      <vt:lpstr>CAPEXT_2Q06</vt:lpstr>
      <vt:lpstr>Tags!CAPEXT_2Q07</vt:lpstr>
      <vt:lpstr>CAPEXT_2Q07</vt:lpstr>
      <vt:lpstr>Tags!CAPEXT_2Q08</vt:lpstr>
      <vt:lpstr>CAPEXT_2Q08</vt:lpstr>
      <vt:lpstr>Tags!CAPEXT_2Q09</vt:lpstr>
      <vt:lpstr>CAPEXT_2Q09</vt:lpstr>
      <vt:lpstr>Tags!CAPEXT_2Q10</vt:lpstr>
      <vt:lpstr>CAPEXT_2Q10</vt:lpstr>
      <vt:lpstr>Tags!CAPEXT_2Q11</vt:lpstr>
      <vt:lpstr>CAPEXT_2Q11</vt:lpstr>
      <vt:lpstr>Tags!CAPEXT_2Q12</vt:lpstr>
      <vt:lpstr>CAPEXT_2Q12</vt:lpstr>
      <vt:lpstr>Tags!CAPEXT_2Q13</vt:lpstr>
      <vt:lpstr>CAPEXT_2Q13</vt:lpstr>
      <vt:lpstr>Tags!CAPEXT_2Q14</vt:lpstr>
      <vt:lpstr>CAPEXT_2Q14</vt:lpstr>
      <vt:lpstr>Tags!CAPEXT_2Q15</vt:lpstr>
      <vt:lpstr>CAPEXT_2Q15</vt:lpstr>
      <vt:lpstr>Tags!CAPEXT_2Q16</vt:lpstr>
      <vt:lpstr>CAPEXT_2Q16</vt:lpstr>
      <vt:lpstr>Tags!CAPEXT_2Q17</vt:lpstr>
      <vt:lpstr>CAPEXT_2Q17</vt:lpstr>
      <vt:lpstr>Tags!CAPEXT_2Q18</vt:lpstr>
      <vt:lpstr>CAPEXT_2Q18</vt:lpstr>
      <vt:lpstr>Tags!CAPEXT_2Q19</vt:lpstr>
      <vt:lpstr>CAPEXT_2Q19</vt:lpstr>
      <vt:lpstr>Tags!CAPEXT_2Q20</vt:lpstr>
      <vt:lpstr>CAPEXT_2Q20</vt:lpstr>
      <vt:lpstr>CAPEXT_2Q21</vt:lpstr>
      <vt:lpstr>CAPEXT_2Q22</vt:lpstr>
      <vt:lpstr>CAPEXT_2Q23</vt:lpstr>
      <vt:lpstr>CAPEXT_2Q24</vt:lpstr>
      <vt:lpstr>Tags!CAPEXT_3Q00</vt:lpstr>
      <vt:lpstr>CAPEXT_3Q00</vt:lpstr>
      <vt:lpstr>Tags!CAPEXT_3Q01</vt:lpstr>
      <vt:lpstr>CAPEXT_3Q01</vt:lpstr>
      <vt:lpstr>Tags!CAPEXT_3Q02</vt:lpstr>
      <vt:lpstr>CAPEXT_3Q02</vt:lpstr>
      <vt:lpstr>Tags!CAPEXT_3Q03</vt:lpstr>
      <vt:lpstr>CAPEXT_3Q03</vt:lpstr>
      <vt:lpstr>Tags!CAPEXT_3Q04</vt:lpstr>
      <vt:lpstr>CAPEXT_3Q04</vt:lpstr>
      <vt:lpstr>Tags!CAPEXT_3Q05</vt:lpstr>
      <vt:lpstr>CAPEXT_3Q05</vt:lpstr>
      <vt:lpstr>Tags!CAPEXT_3Q06</vt:lpstr>
      <vt:lpstr>CAPEXT_3Q06</vt:lpstr>
      <vt:lpstr>Tags!CAPEXT_3Q07</vt:lpstr>
      <vt:lpstr>CAPEXT_3Q07</vt:lpstr>
      <vt:lpstr>Tags!CAPEXT_3Q08</vt:lpstr>
      <vt:lpstr>CAPEXT_3Q08</vt:lpstr>
      <vt:lpstr>Tags!CAPEXT_3Q09</vt:lpstr>
      <vt:lpstr>CAPEXT_3Q09</vt:lpstr>
      <vt:lpstr>Tags!CAPEXT_3Q10</vt:lpstr>
      <vt:lpstr>CAPEXT_3Q10</vt:lpstr>
      <vt:lpstr>Tags!CAPEXT_3Q11</vt:lpstr>
      <vt:lpstr>CAPEXT_3Q11</vt:lpstr>
      <vt:lpstr>Tags!CAPEXT_3Q12</vt:lpstr>
      <vt:lpstr>CAPEXT_3Q12</vt:lpstr>
      <vt:lpstr>Tags!CAPEXT_3Q13</vt:lpstr>
      <vt:lpstr>CAPEXT_3Q13</vt:lpstr>
      <vt:lpstr>Tags!CAPEXT_3Q14</vt:lpstr>
      <vt:lpstr>CAPEXT_3Q14</vt:lpstr>
      <vt:lpstr>Tags!CAPEXT_3Q15</vt:lpstr>
      <vt:lpstr>CAPEXT_3Q15</vt:lpstr>
      <vt:lpstr>Tags!CAPEXT_3Q16</vt:lpstr>
      <vt:lpstr>CAPEXT_3Q16</vt:lpstr>
      <vt:lpstr>Tags!CAPEXT_3Q17</vt:lpstr>
      <vt:lpstr>CAPEXT_3Q17</vt:lpstr>
      <vt:lpstr>Tags!CAPEXT_3Q18</vt:lpstr>
      <vt:lpstr>CAPEXT_3Q18</vt:lpstr>
      <vt:lpstr>Tags!CAPEXT_3Q19</vt:lpstr>
      <vt:lpstr>CAPEXT_3Q19</vt:lpstr>
      <vt:lpstr>Tags!CAPEXT_3Q20</vt:lpstr>
      <vt:lpstr>CAPEXT_3Q20</vt:lpstr>
      <vt:lpstr>CAPEXT_3Q21</vt:lpstr>
      <vt:lpstr>CAPEXT_3Q22</vt:lpstr>
      <vt:lpstr>CAPEXT_3Q23</vt:lpstr>
      <vt:lpstr>CAPEXT_3Q24</vt:lpstr>
      <vt:lpstr>Tags!CAPEXT_4Q00</vt:lpstr>
      <vt:lpstr>CAPEXT_4Q00</vt:lpstr>
      <vt:lpstr>Tags!CAPEXT_4Q01</vt:lpstr>
      <vt:lpstr>CAPEXT_4Q01</vt:lpstr>
      <vt:lpstr>Tags!CAPEXT_4Q02</vt:lpstr>
      <vt:lpstr>CAPEXT_4Q02</vt:lpstr>
      <vt:lpstr>Tags!CAPEXT_4Q03</vt:lpstr>
      <vt:lpstr>CAPEXT_4Q03</vt:lpstr>
      <vt:lpstr>Tags!CAPEXT_4Q04</vt:lpstr>
      <vt:lpstr>CAPEXT_4Q04</vt:lpstr>
      <vt:lpstr>Tags!CAPEXT_4Q05</vt:lpstr>
      <vt:lpstr>CAPEXT_4Q05</vt:lpstr>
      <vt:lpstr>Tags!CAPEXT_4Q06</vt:lpstr>
      <vt:lpstr>CAPEXT_4Q06</vt:lpstr>
      <vt:lpstr>Tags!CAPEXT_4Q07</vt:lpstr>
      <vt:lpstr>CAPEXT_4Q07</vt:lpstr>
      <vt:lpstr>Tags!CAPEXT_4Q08</vt:lpstr>
      <vt:lpstr>CAPEXT_4Q08</vt:lpstr>
      <vt:lpstr>Tags!CAPEXT_4Q09</vt:lpstr>
      <vt:lpstr>CAPEXT_4Q09</vt:lpstr>
      <vt:lpstr>Tags!CAPEXT_4Q10</vt:lpstr>
      <vt:lpstr>CAPEXT_4Q10</vt:lpstr>
      <vt:lpstr>Tags!CAPEXT_4Q11</vt:lpstr>
      <vt:lpstr>CAPEXT_4Q11</vt:lpstr>
      <vt:lpstr>Tags!CAPEXT_4Q12</vt:lpstr>
      <vt:lpstr>CAPEXT_4Q12</vt:lpstr>
      <vt:lpstr>Tags!CAPEXT_4Q13</vt:lpstr>
      <vt:lpstr>CAPEXT_4Q13</vt:lpstr>
      <vt:lpstr>Tags!CAPEXT_4Q14</vt:lpstr>
      <vt:lpstr>CAPEXT_4Q14</vt:lpstr>
      <vt:lpstr>Tags!CAPEXT_4Q15</vt:lpstr>
      <vt:lpstr>CAPEXT_4Q15</vt:lpstr>
      <vt:lpstr>Tags!CAPEXT_4Q16</vt:lpstr>
      <vt:lpstr>CAPEXT_4Q16</vt:lpstr>
      <vt:lpstr>Tags!CAPEXT_4Q17</vt:lpstr>
      <vt:lpstr>CAPEXT_4Q17</vt:lpstr>
      <vt:lpstr>Tags!CAPEXT_4Q18</vt:lpstr>
      <vt:lpstr>CAPEXT_4Q18</vt:lpstr>
      <vt:lpstr>Tags!CAPEXT_4Q19</vt:lpstr>
      <vt:lpstr>CAPEXT_4Q19</vt:lpstr>
      <vt:lpstr>Tags!CAPEXT_4Q20</vt:lpstr>
      <vt:lpstr>CAPEXT_4Q20</vt:lpstr>
      <vt:lpstr>CAPEXT_4Q21</vt:lpstr>
      <vt:lpstr>CAPEXT_4Q22</vt:lpstr>
      <vt:lpstr>CAPEXT_4Q23</vt:lpstr>
      <vt:lpstr>CAPEXT_4Q24</vt:lpstr>
      <vt:lpstr>CAPMES_1995</vt:lpstr>
      <vt:lpstr>CAPMES_1996</vt:lpstr>
      <vt:lpstr>CAPMES_1997</vt:lpstr>
      <vt:lpstr>CAPMES_1998</vt:lpstr>
      <vt:lpstr>CAPMES_1999</vt:lpstr>
      <vt:lpstr>Tags!CAPMES_1Q00</vt:lpstr>
      <vt:lpstr>CAPMES_1Q00</vt:lpstr>
      <vt:lpstr>Tags!CAPMES_1Q01</vt:lpstr>
      <vt:lpstr>CAPMES_1Q01</vt:lpstr>
      <vt:lpstr>Tags!CAPMES_1Q02</vt:lpstr>
      <vt:lpstr>CAPMES_1Q02</vt:lpstr>
      <vt:lpstr>Tags!CAPMES_1Q03</vt:lpstr>
      <vt:lpstr>CAPMES_1Q03</vt:lpstr>
      <vt:lpstr>Tags!CAPMES_1Q04</vt:lpstr>
      <vt:lpstr>CAPMES_1Q04</vt:lpstr>
      <vt:lpstr>Tags!CAPMES_1Q05</vt:lpstr>
      <vt:lpstr>CAPMES_1Q05</vt:lpstr>
      <vt:lpstr>Tags!CAPMES_1Q06</vt:lpstr>
      <vt:lpstr>CAPMES_1Q06</vt:lpstr>
      <vt:lpstr>Tags!CAPMES_1Q07</vt:lpstr>
      <vt:lpstr>CAPMES_1Q07</vt:lpstr>
      <vt:lpstr>Tags!CAPMES_1Q08</vt:lpstr>
      <vt:lpstr>CAPMES_1Q08</vt:lpstr>
      <vt:lpstr>Tags!CAPMES_1Q09</vt:lpstr>
      <vt:lpstr>CAPMES_1Q09</vt:lpstr>
      <vt:lpstr>Tags!CAPMES_1Q10</vt:lpstr>
      <vt:lpstr>CAPMES_1Q10</vt:lpstr>
      <vt:lpstr>Tags!CAPMES_1Q11</vt:lpstr>
      <vt:lpstr>CAPMES_1Q11</vt:lpstr>
      <vt:lpstr>Tags!CAPMES_1Q12</vt:lpstr>
      <vt:lpstr>CAPMES_1Q12</vt:lpstr>
      <vt:lpstr>Tags!CAPMES_1Q13</vt:lpstr>
      <vt:lpstr>CAPMES_1Q13</vt:lpstr>
      <vt:lpstr>Tags!CAPMES_1Q14</vt:lpstr>
      <vt:lpstr>CAPMES_1Q14</vt:lpstr>
      <vt:lpstr>Tags!CAPMES_1Q15</vt:lpstr>
      <vt:lpstr>CAPMES_1Q15</vt:lpstr>
      <vt:lpstr>Tags!CAPMES_1Q16</vt:lpstr>
      <vt:lpstr>CAPMES_1Q16</vt:lpstr>
      <vt:lpstr>Tags!CAPMES_1Q17</vt:lpstr>
      <vt:lpstr>CAPMES_1Q17</vt:lpstr>
      <vt:lpstr>Tags!CAPMES_1Q18</vt:lpstr>
      <vt:lpstr>CAPMES_1Q18</vt:lpstr>
      <vt:lpstr>Tags!CAPMES_1Q19</vt:lpstr>
      <vt:lpstr>CAPMES_1Q19</vt:lpstr>
      <vt:lpstr>Tags!CAPMES_1Q20</vt:lpstr>
      <vt:lpstr>CAPMES_1Q20</vt:lpstr>
      <vt:lpstr>CAPMES_1Q21</vt:lpstr>
      <vt:lpstr>CAPMES_1Q22</vt:lpstr>
      <vt:lpstr>CAPMES_1Q23</vt:lpstr>
      <vt:lpstr>CAPMES_1Q24</vt:lpstr>
      <vt:lpstr>Tags!CAPMES_2000</vt:lpstr>
      <vt:lpstr>CAPMES_2000</vt:lpstr>
      <vt:lpstr>Tags!CAPMES_2001</vt:lpstr>
      <vt:lpstr>CAPMES_2001</vt:lpstr>
      <vt:lpstr>Tags!CAPMES_2002</vt:lpstr>
      <vt:lpstr>CAPMES_2002</vt:lpstr>
      <vt:lpstr>Tags!CAPMES_2003</vt:lpstr>
      <vt:lpstr>CAPMES_2003</vt:lpstr>
      <vt:lpstr>Tags!CAPMES_2004</vt:lpstr>
      <vt:lpstr>CAPMES_2004</vt:lpstr>
      <vt:lpstr>Tags!CAPMES_2005</vt:lpstr>
      <vt:lpstr>CAPMES_2005</vt:lpstr>
      <vt:lpstr>Tags!CAPMES_2006</vt:lpstr>
      <vt:lpstr>CAPMES_2006</vt:lpstr>
      <vt:lpstr>Tags!CAPMES_2007</vt:lpstr>
      <vt:lpstr>CAPMES_2007</vt:lpstr>
      <vt:lpstr>Tags!CAPMES_2008</vt:lpstr>
      <vt:lpstr>CAPMES_2008</vt:lpstr>
      <vt:lpstr>Tags!CAPMES_2009</vt:lpstr>
      <vt:lpstr>CAPMES_2009</vt:lpstr>
      <vt:lpstr>Tags!CAPMES_2010</vt:lpstr>
      <vt:lpstr>CAPMES_2010</vt:lpstr>
      <vt:lpstr>Tags!CAPMES_2011</vt:lpstr>
      <vt:lpstr>CAPMES_2011</vt:lpstr>
      <vt:lpstr>Tags!CAPMES_2012</vt:lpstr>
      <vt:lpstr>CAPMES_2012</vt:lpstr>
      <vt:lpstr>Tags!CAPMES_2013</vt:lpstr>
      <vt:lpstr>CAPMES_2013</vt:lpstr>
      <vt:lpstr>Tags!CAPMES_2014</vt:lpstr>
      <vt:lpstr>CAPMES_2014</vt:lpstr>
      <vt:lpstr>CAPMES_2015</vt:lpstr>
      <vt:lpstr>Tags!CAPMES_2016</vt:lpstr>
      <vt:lpstr>CAPMES_2016</vt:lpstr>
      <vt:lpstr>Tags!CAPMES_2017</vt:lpstr>
      <vt:lpstr>CAPMES_2017</vt:lpstr>
      <vt:lpstr>Tags!CAPMES_2018</vt:lpstr>
      <vt:lpstr>CAPMES_2018</vt:lpstr>
      <vt:lpstr>Tags!CAPMES_2019</vt:lpstr>
      <vt:lpstr>CAPMES_2019</vt:lpstr>
      <vt:lpstr>Tags!CAPMES_2020</vt:lpstr>
      <vt:lpstr>CAPMES_2020</vt:lpstr>
      <vt:lpstr>CAPMES_2021</vt:lpstr>
      <vt:lpstr>CAPMES_2022</vt:lpstr>
      <vt:lpstr>CAPMES_2023</vt:lpstr>
      <vt:lpstr>CAPMES_2024</vt:lpstr>
      <vt:lpstr>Tags!CAPMES_2Q00</vt:lpstr>
      <vt:lpstr>CAPMES_2Q00</vt:lpstr>
      <vt:lpstr>Tags!CAPMES_2Q01</vt:lpstr>
      <vt:lpstr>CAPMES_2Q01</vt:lpstr>
      <vt:lpstr>Tags!CAPMES_2Q02</vt:lpstr>
      <vt:lpstr>CAPMES_2Q02</vt:lpstr>
      <vt:lpstr>Tags!CAPMES_2Q03</vt:lpstr>
      <vt:lpstr>CAPMES_2Q03</vt:lpstr>
      <vt:lpstr>Tags!CAPMES_2Q04</vt:lpstr>
      <vt:lpstr>CAPMES_2Q04</vt:lpstr>
      <vt:lpstr>Tags!CAPMES_2Q05</vt:lpstr>
      <vt:lpstr>CAPMES_2Q05</vt:lpstr>
      <vt:lpstr>Tags!CAPMES_2Q06</vt:lpstr>
      <vt:lpstr>CAPMES_2Q06</vt:lpstr>
      <vt:lpstr>Tags!CAPMES_2Q07</vt:lpstr>
      <vt:lpstr>CAPMES_2Q07</vt:lpstr>
      <vt:lpstr>Tags!CAPMES_2Q08</vt:lpstr>
      <vt:lpstr>CAPMES_2Q08</vt:lpstr>
      <vt:lpstr>Tags!CAPMES_2Q09</vt:lpstr>
      <vt:lpstr>CAPMES_2Q09</vt:lpstr>
      <vt:lpstr>Tags!CAPMES_2Q10</vt:lpstr>
      <vt:lpstr>CAPMES_2Q10</vt:lpstr>
      <vt:lpstr>Tags!CAPMES_2Q11</vt:lpstr>
      <vt:lpstr>CAPMES_2Q11</vt:lpstr>
      <vt:lpstr>Tags!CAPMES_2Q12</vt:lpstr>
      <vt:lpstr>CAPMES_2Q12</vt:lpstr>
      <vt:lpstr>Tags!CAPMES_2Q13</vt:lpstr>
      <vt:lpstr>CAPMES_2Q13</vt:lpstr>
      <vt:lpstr>Tags!CAPMES_2Q14</vt:lpstr>
      <vt:lpstr>CAPMES_2Q14</vt:lpstr>
      <vt:lpstr>Tags!CAPMES_2Q15</vt:lpstr>
      <vt:lpstr>CAPMES_2Q15</vt:lpstr>
      <vt:lpstr>Tags!CAPMES_2Q16</vt:lpstr>
      <vt:lpstr>CAPMES_2Q16</vt:lpstr>
      <vt:lpstr>Tags!CAPMES_2Q17</vt:lpstr>
      <vt:lpstr>CAPMES_2Q17</vt:lpstr>
      <vt:lpstr>Tags!CAPMES_2Q18</vt:lpstr>
      <vt:lpstr>CAPMES_2Q18</vt:lpstr>
      <vt:lpstr>Tags!CAPMES_2Q19</vt:lpstr>
      <vt:lpstr>CAPMES_2Q19</vt:lpstr>
      <vt:lpstr>Tags!CAPMES_2Q20</vt:lpstr>
      <vt:lpstr>CAPMES_2Q20</vt:lpstr>
      <vt:lpstr>CAPMES_2Q21</vt:lpstr>
      <vt:lpstr>CAPMES_2Q22</vt:lpstr>
      <vt:lpstr>CAPMES_2Q23</vt:lpstr>
      <vt:lpstr>CAPMES_2Q24</vt:lpstr>
      <vt:lpstr>Tags!CAPMES_3Q00</vt:lpstr>
      <vt:lpstr>CAPMES_3Q00</vt:lpstr>
      <vt:lpstr>Tags!CAPMES_3Q01</vt:lpstr>
      <vt:lpstr>CAPMES_3Q01</vt:lpstr>
      <vt:lpstr>Tags!CAPMES_3Q02</vt:lpstr>
      <vt:lpstr>CAPMES_3Q02</vt:lpstr>
      <vt:lpstr>Tags!CAPMES_3Q03</vt:lpstr>
      <vt:lpstr>CAPMES_3Q03</vt:lpstr>
      <vt:lpstr>Tags!CAPMES_3Q04</vt:lpstr>
      <vt:lpstr>CAPMES_3Q04</vt:lpstr>
      <vt:lpstr>Tags!CAPMES_3Q05</vt:lpstr>
      <vt:lpstr>CAPMES_3Q05</vt:lpstr>
      <vt:lpstr>Tags!CAPMES_3Q06</vt:lpstr>
      <vt:lpstr>CAPMES_3Q06</vt:lpstr>
      <vt:lpstr>Tags!CAPMES_3Q07</vt:lpstr>
      <vt:lpstr>CAPMES_3Q07</vt:lpstr>
      <vt:lpstr>Tags!CAPMES_3Q08</vt:lpstr>
      <vt:lpstr>CAPMES_3Q08</vt:lpstr>
      <vt:lpstr>Tags!CAPMES_3Q09</vt:lpstr>
      <vt:lpstr>CAPMES_3Q09</vt:lpstr>
      <vt:lpstr>Tags!CAPMES_3Q10</vt:lpstr>
      <vt:lpstr>CAPMES_3Q10</vt:lpstr>
      <vt:lpstr>Tags!CAPMES_3Q11</vt:lpstr>
      <vt:lpstr>CAPMES_3Q11</vt:lpstr>
      <vt:lpstr>Tags!CAPMES_3Q12</vt:lpstr>
      <vt:lpstr>CAPMES_3Q12</vt:lpstr>
      <vt:lpstr>Tags!CAPMES_3Q13</vt:lpstr>
      <vt:lpstr>CAPMES_3Q13</vt:lpstr>
      <vt:lpstr>Tags!CAPMES_3Q14</vt:lpstr>
      <vt:lpstr>CAPMES_3Q14</vt:lpstr>
      <vt:lpstr>Tags!CAPMES_3Q15</vt:lpstr>
      <vt:lpstr>CAPMES_3Q15</vt:lpstr>
      <vt:lpstr>Tags!CAPMES_3Q16</vt:lpstr>
      <vt:lpstr>CAPMES_3Q16</vt:lpstr>
      <vt:lpstr>Tags!CAPMES_3Q17</vt:lpstr>
      <vt:lpstr>CAPMES_3Q17</vt:lpstr>
      <vt:lpstr>Tags!CAPMES_3Q18</vt:lpstr>
      <vt:lpstr>CAPMES_3Q18</vt:lpstr>
      <vt:lpstr>Tags!CAPMES_3Q19</vt:lpstr>
      <vt:lpstr>CAPMES_3Q19</vt:lpstr>
      <vt:lpstr>Tags!CAPMES_3Q20</vt:lpstr>
      <vt:lpstr>CAPMES_3Q20</vt:lpstr>
      <vt:lpstr>CAPMES_3Q21</vt:lpstr>
      <vt:lpstr>CAPMES_3Q22</vt:lpstr>
      <vt:lpstr>CAPMES_3Q23</vt:lpstr>
      <vt:lpstr>CAPMES_3Q24</vt:lpstr>
      <vt:lpstr>Tags!CAPMES_4Q00</vt:lpstr>
      <vt:lpstr>CAPMES_4Q00</vt:lpstr>
      <vt:lpstr>Tags!CAPMES_4Q01</vt:lpstr>
      <vt:lpstr>CAPMES_4Q01</vt:lpstr>
      <vt:lpstr>Tags!CAPMES_4Q02</vt:lpstr>
      <vt:lpstr>CAPMES_4Q02</vt:lpstr>
      <vt:lpstr>Tags!CAPMES_4Q03</vt:lpstr>
      <vt:lpstr>CAPMES_4Q03</vt:lpstr>
      <vt:lpstr>Tags!CAPMES_4Q04</vt:lpstr>
      <vt:lpstr>CAPMES_4Q04</vt:lpstr>
      <vt:lpstr>Tags!CAPMES_4Q05</vt:lpstr>
      <vt:lpstr>CAPMES_4Q05</vt:lpstr>
      <vt:lpstr>Tags!CAPMES_4Q06</vt:lpstr>
      <vt:lpstr>CAPMES_4Q06</vt:lpstr>
      <vt:lpstr>Tags!CAPMES_4Q07</vt:lpstr>
      <vt:lpstr>CAPMES_4Q07</vt:lpstr>
      <vt:lpstr>Tags!CAPMES_4Q08</vt:lpstr>
      <vt:lpstr>CAPMES_4Q08</vt:lpstr>
      <vt:lpstr>Tags!CAPMES_4Q09</vt:lpstr>
      <vt:lpstr>CAPMES_4Q09</vt:lpstr>
      <vt:lpstr>Tags!CAPMES_4Q10</vt:lpstr>
      <vt:lpstr>CAPMES_4Q10</vt:lpstr>
      <vt:lpstr>Tags!CAPMES_4Q11</vt:lpstr>
      <vt:lpstr>CAPMES_4Q11</vt:lpstr>
      <vt:lpstr>Tags!CAPMES_4Q12</vt:lpstr>
      <vt:lpstr>CAPMES_4Q12</vt:lpstr>
      <vt:lpstr>Tags!CAPMES_4Q13</vt:lpstr>
      <vt:lpstr>CAPMES_4Q13</vt:lpstr>
      <vt:lpstr>Tags!CAPMES_4Q14</vt:lpstr>
      <vt:lpstr>CAPMES_4Q14</vt:lpstr>
      <vt:lpstr>Tags!CAPMES_4Q15</vt:lpstr>
      <vt:lpstr>CAPMES_4Q15</vt:lpstr>
      <vt:lpstr>Tags!CAPMES_4Q16</vt:lpstr>
      <vt:lpstr>CAPMES_4Q16</vt:lpstr>
      <vt:lpstr>Tags!CAPMES_4Q17</vt:lpstr>
      <vt:lpstr>CAPMES_4Q17</vt:lpstr>
      <vt:lpstr>Tags!CAPMES_4Q18</vt:lpstr>
      <vt:lpstr>CAPMES_4Q18</vt:lpstr>
      <vt:lpstr>Tags!CAPMES_4Q19</vt:lpstr>
      <vt:lpstr>CAPMES_4Q19</vt:lpstr>
      <vt:lpstr>Tags!CAPMES_4Q20</vt:lpstr>
      <vt:lpstr>CAPMES_4Q20</vt:lpstr>
      <vt:lpstr>CAPMES_4Q21</vt:lpstr>
      <vt:lpstr>CAPMES_4Q22</vt:lpstr>
      <vt:lpstr>CAPMES_4Q23</vt:lpstr>
      <vt:lpstr>CAPMES_4Q24</vt:lpstr>
      <vt:lpstr>CASH_1995</vt:lpstr>
      <vt:lpstr>CASH_1996</vt:lpstr>
      <vt:lpstr>CASH_1997</vt:lpstr>
      <vt:lpstr>CASH_1998</vt:lpstr>
      <vt:lpstr>CASH_1999</vt:lpstr>
      <vt:lpstr>Tags!CASH_1Q00</vt:lpstr>
      <vt:lpstr>CASH_1Q00</vt:lpstr>
      <vt:lpstr>Tags!CASH_1Q01</vt:lpstr>
      <vt:lpstr>CASH_1Q01</vt:lpstr>
      <vt:lpstr>Tags!CASH_1Q02</vt:lpstr>
      <vt:lpstr>CASH_1Q02</vt:lpstr>
      <vt:lpstr>Tags!CASH_1Q03</vt:lpstr>
      <vt:lpstr>CASH_1Q03</vt:lpstr>
      <vt:lpstr>Tags!CASH_1Q04</vt:lpstr>
      <vt:lpstr>CASH_1Q04</vt:lpstr>
      <vt:lpstr>Tags!CASH_1Q05</vt:lpstr>
      <vt:lpstr>CASH_1Q05</vt:lpstr>
      <vt:lpstr>Tags!CASH_1Q06</vt:lpstr>
      <vt:lpstr>CASH_1Q06</vt:lpstr>
      <vt:lpstr>Tags!CASH_1Q07</vt:lpstr>
      <vt:lpstr>CASH_1Q07</vt:lpstr>
      <vt:lpstr>Tags!CASH_1Q08</vt:lpstr>
      <vt:lpstr>CASH_1Q08</vt:lpstr>
      <vt:lpstr>Tags!CASH_1Q09</vt:lpstr>
      <vt:lpstr>CASH_1Q09</vt:lpstr>
      <vt:lpstr>Tags!CASH_1Q10</vt:lpstr>
      <vt:lpstr>CASH_1Q10</vt:lpstr>
      <vt:lpstr>Tags!CASH_1Q11</vt:lpstr>
      <vt:lpstr>CASH_1Q11</vt:lpstr>
      <vt:lpstr>Tags!CASH_1Q12</vt:lpstr>
      <vt:lpstr>CASH_1Q12</vt:lpstr>
      <vt:lpstr>Tags!CASH_1Q13</vt:lpstr>
      <vt:lpstr>CASH_1Q13</vt:lpstr>
      <vt:lpstr>Tags!CASH_1Q14</vt:lpstr>
      <vt:lpstr>CASH_1Q14</vt:lpstr>
      <vt:lpstr>Tags!CASH_1Q15</vt:lpstr>
      <vt:lpstr>CASH_1Q15</vt:lpstr>
      <vt:lpstr>Tags!CASH_1Q16</vt:lpstr>
      <vt:lpstr>CASH_1Q16</vt:lpstr>
      <vt:lpstr>Tags!CASH_1Q17</vt:lpstr>
      <vt:lpstr>CASH_1Q17</vt:lpstr>
      <vt:lpstr>Tags!CASH_1Q18</vt:lpstr>
      <vt:lpstr>CASH_1Q18</vt:lpstr>
      <vt:lpstr>Tags!CASH_1Q19</vt:lpstr>
      <vt:lpstr>CASH_1Q19</vt:lpstr>
      <vt:lpstr>Tags!CASH_1Q20</vt:lpstr>
      <vt:lpstr>CASH_1Q20</vt:lpstr>
      <vt:lpstr>CASH_1Q21</vt:lpstr>
      <vt:lpstr>CASH_1Q22</vt:lpstr>
      <vt:lpstr>CASH_1Q23</vt:lpstr>
      <vt:lpstr>CASH_1Q24</vt:lpstr>
      <vt:lpstr>Tags!CASH_2000</vt:lpstr>
      <vt:lpstr>CASH_2000</vt:lpstr>
      <vt:lpstr>Tags!CASH_2001</vt:lpstr>
      <vt:lpstr>CASH_2001</vt:lpstr>
      <vt:lpstr>Tags!CASH_2002</vt:lpstr>
      <vt:lpstr>CASH_2002</vt:lpstr>
      <vt:lpstr>Tags!CASH_2003</vt:lpstr>
      <vt:lpstr>CASH_2003</vt:lpstr>
      <vt:lpstr>Tags!CASH_2004</vt:lpstr>
      <vt:lpstr>CASH_2004</vt:lpstr>
      <vt:lpstr>Tags!CASH_2005</vt:lpstr>
      <vt:lpstr>CASH_2005</vt:lpstr>
      <vt:lpstr>Tags!CASH_2006</vt:lpstr>
      <vt:lpstr>CASH_2006</vt:lpstr>
      <vt:lpstr>Tags!CASH_2007</vt:lpstr>
      <vt:lpstr>CASH_2007</vt:lpstr>
      <vt:lpstr>Tags!CASH_2008</vt:lpstr>
      <vt:lpstr>CASH_2008</vt:lpstr>
      <vt:lpstr>Tags!CASH_2009</vt:lpstr>
      <vt:lpstr>CASH_2009</vt:lpstr>
      <vt:lpstr>Tags!CASH_2010</vt:lpstr>
      <vt:lpstr>CASH_2010</vt:lpstr>
      <vt:lpstr>Tags!CASH_2011</vt:lpstr>
      <vt:lpstr>CASH_2011</vt:lpstr>
      <vt:lpstr>Tags!CASH_2012</vt:lpstr>
      <vt:lpstr>CASH_2012</vt:lpstr>
      <vt:lpstr>Tags!CASH_2013</vt:lpstr>
      <vt:lpstr>CASH_2013</vt:lpstr>
      <vt:lpstr>Tags!CASH_2014</vt:lpstr>
      <vt:lpstr>CASH_2014</vt:lpstr>
      <vt:lpstr>CASH_2015</vt:lpstr>
      <vt:lpstr>Tags!CASH_2016</vt:lpstr>
      <vt:lpstr>CASH_2016</vt:lpstr>
      <vt:lpstr>Tags!CASH_2017</vt:lpstr>
      <vt:lpstr>CASH_2017</vt:lpstr>
      <vt:lpstr>Tags!CASH_2018</vt:lpstr>
      <vt:lpstr>CASH_2018</vt:lpstr>
      <vt:lpstr>Tags!CASH_2019</vt:lpstr>
      <vt:lpstr>CASH_2019</vt:lpstr>
      <vt:lpstr>Tags!CASH_2020</vt:lpstr>
      <vt:lpstr>CASH_2020</vt:lpstr>
      <vt:lpstr>CASH_2021</vt:lpstr>
      <vt:lpstr>CASH_2022</vt:lpstr>
      <vt:lpstr>CASH_2023</vt:lpstr>
      <vt:lpstr>CASH_2024</vt:lpstr>
      <vt:lpstr>Tags!CASH_2Q00</vt:lpstr>
      <vt:lpstr>CASH_2Q00</vt:lpstr>
      <vt:lpstr>Tags!CASH_2Q01</vt:lpstr>
      <vt:lpstr>CASH_2Q01</vt:lpstr>
      <vt:lpstr>Tags!CASH_2Q02</vt:lpstr>
      <vt:lpstr>CASH_2Q02</vt:lpstr>
      <vt:lpstr>Tags!CASH_2Q03</vt:lpstr>
      <vt:lpstr>CASH_2Q03</vt:lpstr>
      <vt:lpstr>Tags!CASH_2Q04</vt:lpstr>
      <vt:lpstr>CASH_2Q04</vt:lpstr>
      <vt:lpstr>Tags!CASH_2Q05</vt:lpstr>
      <vt:lpstr>CASH_2Q05</vt:lpstr>
      <vt:lpstr>Tags!CASH_2Q06</vt:lpstr>
      <vt:lpstr>CASH_2Q06</vt:lpstr>
      <vt:lpstr>Tags!CASH_2Q07</vt:lpstr>
      <vt:lpstr>CASH_2Q07</vt:lpstr>
      <vt:lpstr>Tags!CASH_2Q08</vt:lpstr>
      <vt:lpstr>CASH_2Q08</vt:lpstr>
      <vt:lpstr>Tags!CASH_2Q09</vt:lpstr>
      <vt:lpstr>CASH_2Q09</vt:lpstr>
      <vt:lpstr>Tags!CASH_2Q10</vt:lpstr>
      <vt:lpstr>CASH_2Q10</vt:lpstr>
      <vt:lpstr>Tags!CASH_2Q11</vt:lpstr>
      <vt:lpstr>CASH_2Q11</vt:lpstr>
      <vt:lpstr>Tags!CASH_2Q12</vt:lpstr>
      <vt:lpstr>CASH_2Q12</vt:lpstr>
      <vt:lpstr>Tags!CASH_2Q13</vt:lpstr>
      <vt:lpstr>CASH_2Q13</vt:lpstr>
      <vt:lpstr>Tags!CASH_2Q14</vt:lpstr>
      <vt:lpstr>CASH_2Q14</vt:lpstr>
      <vt:lpstr>Tags!CASH_2Q15</vt:lpstr>
      <vt:lpstr>CASH_2Q15</vt:lpstr>
      <vt:lpstr>Tags!CASH_2Q16</vt:lpstr>
      <vt:lpstr>CASH_2Q16</vt:lpstr>
      <vt:lpstr>Tags!CASH_2Q17</vt:lpstr>
      <vt:lpstr>CASH_2Q17</vt:lpstr>
      <vt:lpstr>Tags!CASH_2Q18</vt:lpstr>
      <vt:lpstr>CASH_2Q18</vt:lpstr>
      <vt:lpstr>Tags!CASH_2Q19</vt:lpstr>
      <vt:lpstr>CASH_2Q19</vt:lpstr>
      <vt:lpstr>Tags!CASH_2Q20</vt:lpstr>
      <vt:lpstr>CASH_2Q20</vt:lpstr>
      <vt:lpstr>CASH_2Q21</vt:lpstr>
      <vt:lpstr>CASH_2Q22</vt:lpstr>
      <vt:lpstr>CASH_2Q23</vt:lpstr>
      <vt:lpstr>CASH_2Q24</vt:lpstr>
      <vt:lpstr>Tags!CASH_3Q00</vt:lpstr>
      <vt:lpstr>CASH_3Q00</vt:lpstr>
      <vt:lpstr>Tags!CASH_3Q01</vt:lpstr>
      <vt:lpstr>CASH_3Q01</vt:lpstr>
      <vt:lpstr>Tags!CASH_3Q02</vt:lpstr>
      <vt:lpstr>CASH_3Q02</vt:lpstr>
      <vt:lpstr>Tags!CASH_3Q03</vt:lpstr>
      <vt:lpstr>CASH_3Q03</vt:lpstr>
      <vt:lpstr>Tags!CASH_3Q04</vt:lpstr>
      <vt:lpstr>CASH_3Q04</vt:lpstr>
      <vt:lpstr>Tags!CASH_3Q05</vt:lpstr>
      <vt:lpstr>CASH_3Q05</vt:lpstr>
      <vt:lpstr>Tags!CASH_3Q06</vt:lpstr>
      <vt:lpstr>CASH_3Q06</vt:lpstr>
      <vt:lpstr>Tags!CASH_3Q07</vt:lpstr>
      <vt:lpstr>CASH_3Q07</vt:lpstr>
      <vt:lpstr>Tags!CASH_3Q08</vt:lpstr>
      <vt:lpstr>CASH_3Q08</vt:lpstr>
      <vt:lpstr>Tags!CASH_3Q09</vt:lpstr>
      <vt:lpstr>CASH_3Q09</vt:lpstr>
      <vt:lpstr>Tags!CASH_3Q10</vt:lpstr>
      <vt:lpstr>CASH_3Q10</vt:lpstr>
      <vt:lpstr>Tags!CASH_3Q11</vt:lpstr>
      <vt:lpstr>CASH_3Q11</vt:lpstr>
      <vt:lpstr>Tags!CASH_3Q12</vt:lpstr>
      <vt:lpstr>CASH_3Q12</vt:lpstr>
      <vt:lpstr>Tags!CASH_3Q13</vt:lpstr>
      <vt:lpstr>CASH_3Q13</vt:lpstr>
      <vt:lpstr>Tags!CASH_3Q14</vt:lpstr>
      <vt:lpstr>CASH_3Q14</vt:lpstr>
      <vt:lpstr>Tags!CASH_3Q15</vt:lpstr>
      <vt:lpstr>CASH_3Q15</vt:lpstr>
      <vt:lpstr>Tags!CASH_3Q16</vt:lpstr>
      <vt:lpstr>CASH_3Q16</vt:lpstr>
      <vt:lpstr>Tags!CASH_3Q17</vt:lpstr>
      <vt:lpstr>CASH_3Q17</vt:lpstr>
      <vt:lpstr>Tags!CASH_3Q18</vt:lpstr>
      <vt:lpstr>CASH_3Q18</vt:lpstr>
      <vt:lpstr>Tags!CASH_3Q19</vt:lpstr>
      <vt:lpstr>CASH_3Q19</vt:lpstr>
      <vt:lpstr>Tags!CASH_3Q20</vt:lpstr>
      <vt:lpstr>CASH_3Q20</vt:lpstr>
      <vt:lpstr>CASH_3Q21</vt:lpstr>
      <vt:lpstr>CASH_3Q22</vt:lpstr>
      <vt:lpstr>CASH_3Q23</vt:lpstr>
      <vt:lpstr>CASH_3Q24</vt:lpstr>
      <vt:lpstr>Tags!CASH_4Q00</vt:lpstr>
      <vt:lpstr>CASH_4Q00</vt:lpstr>
      <vt:lpstr>Tags!CASH_4Q01</vt:lpstr>
      <vt:lpstr>CASH_4Q01</vt:lpstr>
      <vt:lpstr>Tags!CASH_4Q02</vt:lpstr>
      <vt:lpstr>CASH_4Q02</vt:lpstr>
      <vt:lpstr>Tags!CASH_4Q03</vt:lpstr>
      <vt:lpstr>CASH_4Q03</vt:lpstr>
      <vt:lpstr>Tags!CASH_4Q04</vt:lpstr>
      <vt:lpstr>CASH_4Q04</vt:lpstr>
      <vt:lpstr>Tags!CASH_4Q05</vt:lpstr>
      <vt:lpstr>CASH_4Q05</vt:lpstr>
      <vt:lpstr>Tags!CASH_4Q06</vt:lpstr>
      <vt:lpstr>CASH_4Q06</vt:lpstr>
      <vt:lpstr>Tags!CASH_4Q07</vt:lpstr>
      <vt:lpstr>CASH_4Q07</vt:lpstr>
      <vt:lpstr>Tags!CASH_4Q08</vt:lpstr>
      <vt:lpstr>CASH_4Q08</vt:lpstr>
      <vt:lpstr>Tags!CASH_4Q09</vt:lpstr>
      <vt:lpstr>CASH_4Q09</vt:lpstr>
      <vt:lpstr>Tags!CASH_4Q10</vt:lpstr>
      <vt:lpstr>CASH_4Q10</vt:lpstr>
      <vt:lpstr>Tags!CASH_4Q11</vt:lpstr>
      <vt:lpstr>CASH_4Q11</vt:lpstr>
      <vt:lpstr>Tags!CASH_4Q12</vt:lpstr>
      <vt:lpstr>CASH_4Q12</vt:lpstr>
      <vt:lpstr>Tags!CASH_4Q13</vt:lpstr>
      <vt:lpstr>CASH_4Q13</vt:lpstr>
      <vt:lpstr>Tags!CASH_4Q14</vt:lpstr>
      <vt:lpstr>CASH_4Q14</vt:lpstr>
      <vt:lpstr>Tags!CASH_4Q15</vt:lpstr>
      <vt:lpstr>CASH_4Q15</vt:lpstr>
      <vt:lpstr>Tags!CASH_4Q16</vt:lpstr>
      <vt:lpstr>CASH_4Q16</vt:lpstr>
      <vt:lpstr>Tags!CASH_4Q17</vt:lpstr>
      <vt:lpstr>CASH_4Q17</vt:lpstr>
      <vt:lpstr>Tags!CASH_4Q18</vt:lpstr>
      <vt:lpstr>CASH_4Q18</vt:lpstr>
      <vt:lpstr>Tags!CASH_4Q19</vt:lpstr>
      <vt:lpstr>CASH_4Q19</vt:lpstr>
      <vt:lpstr>Tags!CASH_4Q20</vt:lpstr>
      <vt:lpstr>CASH_4Q20</vt:lpstr>
      <vt:lpstr>CASH_4Q21</vt:lpstr>
      <vt:lpstr>CASH_4Q22</vt:lpstr>
      <vt:lpstr>CASH_4Q23</vt:lpstr>
      <vt:lpstr>CASH_4Q24</vt:lpstr>
      <vt:lpstr>CBOOM_1995</vt:lpstr>
      <vt:lpstr>CBOOM_1996</vt:lpstr>
      <vt:lpstr>CBOOM_1997</vt:lpstr>
      <vt:lpstr>CBOOM_1998</vt:lpstr>
      <vt:lpstr>CBOOM_1999</vt:lpstr>
      <vt:lpstr>Tags!CBOOM_1Q00</vt:lpstr>
      <vt:lpstr>CBOOM_1Q00</vt:lpstr>
      <vt:lpstr>Tags!CBOOM_1Q01</vt:lpstr>
      <vt:lpstr>CBOOM_1Q01</vt:lpstr>
      <vt:lpstr>Tags!CBOOM_1Q02</vt:lpstr>
      <vt:lpstr>CBOOM_1Q02</vt:lpstr>
      <vt:lpstr>Tags!CBOOM_1Q03</vt:lpstr>
      <vt:lpstr>CBOOM_1Q03</vt:lpstr>
      <vt:lpstr>Tags!CBOOM_1Q04</vt:lpstr>
      <vt:lpstr>CBOOM_1Q04</vt:lpstr>
      <vt:lpstr>Tags!CBOOM_1Q05</vt:lpstr>
      <vt:lpstr>CBOOM_1Q05</vt:lpstr>
      <vt:lpstr>Tags!CBOOM_1Q06</vt:lpstr>
      <vt:lpstr>CBOOM_1Q06</vt:lpstr>
      <vt:lpstr>Tags!CBOOM_1Q07</vt:lpstr>
      <vt:lpstr>CBOOM_1Q07</vt:lpstr>
      <vt:lpstr>Tags!CBOOM_1Q08</vt:lpstr>
      <vt:lpstr>CBOOM_1Q08</vt:lpstr>
      <vt:lpstr>Tags!CBOOM_1Q09</vt:lpstr>
      <vt:lpstr>CBOOM_1Q09</vt:lpstr>
      <vt:lpstr>Tags!CBOOM_1Q10</vt:lpstr>
      <vt:lpstr>CBOOM_1Q10</vt:lpstr>
      <vt:lpstr>Tags!CBOOM_1Q11</vt:lpstr>
      <vt:lpstr>CBOOM_1Q11</vt:lpstr>
      <vt:lpstr>Tags!CBOOM_1Q12</vt:lpstr>
      <vt:lpstr>CBOOM_1Q12</vt:lpstr>
      <vt:lpstr>Tags!CBOOM_1Q13</vt:lpstr>
      <vt:lpstr>CBOOM_1Q13</vt:lpstr>
      <vt:lpstr>Tags!CBOOM_1Q14</vt:lpstr>
      <vt:lpstr>CBOOM_1Q14</vt:lpstr>
      <vt:lpstr>Tags!CBOOM_1Q15</vt:lpstr>
      <vt:lpstr>CBOOM_1Q15</vt:lpstr>
      <vt:lpstr>Tags!CBOOM_1Q16</vt:lpstr>
      <vt:lpstr>CBOOM_1Q16</vt:lpstr>
      <vt:lpstr>Tags!CBOOM_1Q17</vt:lpstr>
      <vt:lpstr>CBOOM_1Q17</vt:lpstr>
      <vt:lpstr>Tags!CBOOM_1Q18</vt:lpstr>
      <vt:lpstr>CBOOM_1Q18</vt:lpstr>
      <vt:lpstr>Tags!CBOOM_1Q19</vt:lpstr>
      <vt:lpstr>CBOOM_1Q19</vt:lpstr>
      <vt:lpstr>Tags!CBOOM_1Q20</vt:lpstr>
      <vt:lpstr>CBOOM_1Q20</vt:lpstr>
      <vt:lpstr>CBOOM_1Q21</vt:lpstr>
      <vt:lpstr>CBOOM_1Q22</vt:lpstr>
      <vt:lpstr>CBOOM_1Q23</vt:lpstr>
      <vt:lpstr>CBOOM_1Q24</vt:lpstr>
      <vt:lpstr>Tags!CBOOM_2000</vt:lpstr>
      <vt:lpstr>CBOOM_2000</vt:lpstr>
      <vt:lpstr>Tags!CBOOM_2001</vt:lpstr>
      <vt:lpstr>CBOOM_2001</vt:lpstr>
      <vt:lpstr>Tags!CBOOM_2002</vt:lpstr>
      <vt:lpstr>CBOOM_2002</vt:lpstr>
      <vt:lpstr>Tags!CBOOM_2003</vt:lpstr>
      <vt:lpstr>CBOOM_2003</vt:lpstr>
      <vt:lpstr>Tags!CBOOM_2004</vt:lpstr>
      <vt:lpstr>CBOOM_2004</vt:lpstr>
      <vt:lpstr>Tags!CBOOM_2005</vt:lpstr>
      <vt:lpstr>CBOOM_2005</vt:lpstr>
      <vt:lpstr>Tags!CBOOM_2006</vt:lpstr>
      <vt:lpstr>CBOOM_2006</vt:lpstr>
      <vt:lpstr>Tags!CBOOM_2007</vt:lpstr>
      <vt:lpstr>CBOOM_2007</vt:lpstr>
      <vt:lpstr>Tags!CBOOM_2008</vt:lpstr>
      <vt:lpstr>CBOOM_2008</vt:lpstr>
      <vt:lpstr>Tags!CBOOM_2009</vt:lpstr>
      <vt:lpstr>CBOOM_2009</vt:lpstr>
      <vt:lpstr>Tags!CBOOM_2010</vt:lpstr>
      <vt:lpstr>CBOOM_2010</vt:lpstr>
      <vt:lpstr>Tags!CBOOM_2011</vt:lpstr>
      <vt:lpstr>CBOOM_2011</vt:lpstr>
      <vt:lpstr>Tags!CBOOM_2012</vt:lpstr>
      <vt:lpstr>CBOOM_2012</vt:lpstr>
      <vt:lpstr>Tags!CBOOM_2013</vt:lpstr>
      <vt:lpstr>CBOOM_2013</vt:lpstr>
      <vt:lpstr>Tags!CBOOM_2014</vt:lpstr>
      <vt:lpstr>CBOOM_2014</vt:lpstr>
      <vt:lpstr>CBOOM_2015</vt:lpstr>
      <vt:lpstr>Tags!CBOOM_2016</vt:lpstr>
      <vt:lpstr>CBOOM_2016</vt:lpstr>
      <vt:lpstr>Tags!CBOOM_2017</vt:lpstr>
      <vt:lpstr>CBOOM_2017</vt:lpstr>
      <vt:lpstr>Tags!CBOOM_2018</vt:lpstr>
      <vt:lpstr>CBOOM_2018</vt:lpstr>
      <vt:lpstr>Tags!CBOOM_2019</vt:lpstr>
      <vt:lpstr>CBOOM_2019</vt:lpstr>
      <vt:lpstr>Tags!CBOOM_2020</vt:lpstr>
      <vt:lpstr>CBOOM_2020</vt:lpstr>
      <vt:lpstr>CBOOM_2021</vt:lpstr>
      <vt:lpstr>CBOOM_2022</vt:lpstr>
      <vt:lpstr>CBOOM_2023</vt:lpstr>
      <vt:lpstr>CBOOM_2024</vt:lpstr>
      <vt:lpstr>Tags!CBOOM_2Q00</vt:lpstr>
      <vt:lpstr>CBOOM_2Q00</vt:lpstr>
      <vt:lpstr>Tags!CBOOM_2Q01</vt:lpstr>
      <vt:lpstr>CBOOM_2Q01</vt:lpstr>
      <vt:lpstr>Tags!CBOOM_2Q02</vt:lpstr>
      <vt:lpstr>CBOOM_2Q02</vt:lpstr>
      <vt:lpstr>Tags!CBOOM_2Q03</vt:lpstr>
      <vt:lpstr>CBOOM_2Q03</vt:lpstr>
      <vt:lpstr>Tags!CBOOM_2Q04</vt:lpstr>
      <vt:lpstr>CBOOM_2Q04</vt:lpstr>
      <vt:lpstr>Tags!CBOOM_2Q05</vt:lpstr>
      <vt:lpstr>CBOOM_2Q05</vt:lpstr>
      <vt:lpstr>Tags!CBOOM_2Q06</vt:lpstr>
      <vt:lpstr>CBOOM_2Q06</vt:lpstr>
      <vt:lpstr>Tags!CBOOM_2Q07</vt:lpstr>
      <vt:lpstr>CBOOM_2Q07</vt:lpstr>
      <vt:lpstr>Tags!CBOOM_2Q08</vt:lpstr>
      <vt:lpstr>CBOOM_2Q08</vt:lpstr>
      <vt:lpstr>Tags!CBOOM_2Q09</vt:lpstr>
      <vt:lpstr>CBOOM_2Q09</vt:lpstr>
      <vt:lpstr>Tags!CBOOM_2Q10</vt:lpstr>
      <vt:lpstr>CBOOM_2Q10</vt:lpstr>
      <vt:lpstr>Tags!CBOOM_2Q11</vt:lpstr>
      <vt:lpstr>CBOOM_2Q11</vt:lpstr>
      <vt:lpstr>Tags!CBOOM_2Q12</vt:lpstr>
      <vt:lpstr>CBOOM_2Q12</vt:lpstr>
      <vt:lpstr>Tags!CBOOM_2Q13</vt:lpstr>
      <vt:lpstr>CBOOM_2Q13</vt:lpstr>
      <vt:lpstr>Tags!CBOOM_2Q14</vt:lpstr>
      <vt:lpstr>CBOOM_2Q14</vt:lpstr>
      <vt:lpstr>Tags!CBOOM_2Q15</vt:lpstr>
      <vt:lpstr>CBOOM_2Q15</vt:lpstr>
      <vt:lpstr>Tags!CBOOM_2Q16</vt:lpstr>
      <vt:lpstr>CBOOM_2Q16</vt:lpstr>
      <vt:lpstr>Tags!CBOOM_2Q17</vt:lpstr>
      <vt:lpstr>CBOOM_2Q17</vt:lpstr>
      <vt:lpstr>Tags!CBOOM_2Q18</vt:lpstr>
      <vt:lpstr>CBOOM_2Q18</vt:lpstr>
      <vt:lpstr>Tags!CBOOM_2Q19</vt:lpstr>
      <vt:lpstr>CBOOM_2Q19</vt:lpstr>
      <vt:lpstr>Tags!CBOOM_2Q20</vt:lpstr>
      <vt:lpstr>CBOOM_2Q20</vt:lpstr>
      <vt:lpstr>CBOOM_2Q21</vt:lpstr>
      <vt:lpstr>CBOOM_2Q22</vt:lpstr>
      <vt:lpstr>CBOOM_2Q23</vt:lpstr>
      <vt:lpstr>CBOOM_2Q24</vt:lpstr>
      <vt:lpstr>Tags!CBOOM_3Q00</vt:lpstr>
      <vt:lpstr>CBOOM_3Q00</vt:lpstr>
      <vt:lpstr>Tags!CBOOM_3Q01</vt:lpstr>
      <vt:lpstr>CBOOM_3Q01</vt:lpstr>
      <vt:lpstr>Tags!CBOOM_3Q02</vt:lpstr>
      <vt:lpstr>CBOOM_3Q02</vt:lpstr>
      <vt:lpstr>Tags!CBOOM_3Q03</vt:lpstr>
      <vt:lpstr>CBOOM_3Q03</vt:lpstr>
      <vt:lpstr>Tags!CBOOM_3Q04</vt:lpstr>
      <vt:lpstr>CBOOM_3Q04</vt:lpstr>
      <vt:lpstr>Tags!CBOOM_3Q05</vt:lpstr>
      <vt:lpstr>CBOOM_3Q05</vt:lpstr>
      <vt:lpstr>Tags!CBOOM_3Q06</vt:lpstr>
      <vt:lpstr>CBOOM_3Q06</vt:lpstr>
      <vt:lpstr>Tags!CBOOM_3Q07</vt:lpstr>
      <vt:lpstr>CBOOM_3Q07</vt:lpstr>
      <vt:lpstr>Tags!CBOOM_3Q08</vt:lpstr>
      <vt:lpstr>CBOOM_3Q08</vt:lpstr>
      <vt:lpstr>Tags!CBOOM_3Q09</vt:lpstr>
      <vt:lpstr>CBOOM_3Q09</vt:lpstr>
      <vt:lpstr>Tags!CBOOM_3Q10</vt:lpstr>
      <vt:lpstr>CBOOM_3Q10</vt:lpstr>
      <vt:lpstr>Tags!CBOOM_3Q11</vt:lpstr>
      <vt:lpstr>CBOOM_3Q11</vt:lpstr>
      <vt:lpstr>Tags!CBOOM_3Q12</vt:lpstr>
      <vt:lpstr>CBOOM_3Q12</vt:lpstr>
      <vt:lpstr>Tags!CBOOM_3Q13</vt:lpstr>
      <vt:lpstr>CBOOM_3Q13</vt:lpstr>
      <vt:lpstr>Tags!CBOOM_3Q14</vt:lpstr>
      <vt:lpstr>CBOOM_3Q14</vt:lpstr>
      <vt:lpstr>Tags!CBOOM_3Q15</vt:lpstr>
      <vt:lpstr>CBOOM_3Q15</vt:lpstr>
      <vt:lpstr>Tags!CBOOM_3Q16</vt:lpstr>
      <vt:lpstr>CBOOM_3Q16</vt:lpstr>
      <vt:lpstr>Tags!CBOOM_3Q17</vt:lpstr>
      <vt:lpstr>CBOOM_3Q17</vt:lpstr>
      <vt:lpstr>Tags!CBOOM_3Q18</vt:lpstr>
      <vt:lpstr>CBOOM_3Q18</vt:lpstr>
      <vt:lpstr>Tags!CBOOM_3Q19</vt:lpstr>
      <vt:lpstr>CBOOM_3Q19</vt:lpstr>
      <vt:lpstr>Tags!CBOOM_3Q20</vt:lpstr>
      <vt:lpstr>CBOOM_3Q20</vt:lpstr>
      <vt:lpstr>CBOOM_3Q21</vt:lpstr>
      <vt:lpstr>CBOOM_3Q22</vt:lpstr>
      <vt:lpstr>CBOOM_3Q23</vt:lpstr>
      <vt:lpstr>CBOOM_3Q24</vt:lpstr>
      <vt:lpstr>Tags!CBOOM_4Q00</vt:lpstr>
      <vt:lpstr>CBOOM_4Q00</vt:lpstr>
      <vt:lpstr>Tags!CBOOM_4Q01</vt:lpstr>
      <vt:lpstr>CBOOM_4Q01</vt:lpstr>
      <vt:lpstr>Tags!CBOOM_4Q02</vt:lpstr>
      <vt:lpstr>CBOOM_4Q02</vt:lpstr>
      <vt:lpstr>Tags!CBOOM_4Q03</vt:lpstr>
      <vt:lpstr>CBOOM_4Q03</vt:lpstr>
      <vt:lpstr>Tags!CBOOM_4Q04</vt:lpstr>
      <vt:lpstr>CBOOM_4Q04</vt:lpstr>
      <vt:lpstr>Tags!CBOOM_4Q05</vt:lpstr>
      <vt:lpstr>CBOOM_4Q05</vt:lpstr>
      <vt:lpstr>Tags!CBOOM_4Q06</vt:lpstr>
      <vt:lpstr>CBOOM_4Q06</vt:lpstr>
      <vt:lpstr>Tags!CBOOM_4Q07</vt:lpstr>
      <vt:lpstr>CBOOM_4Q07</vt:lpstr>
      <vt:lpstr>Tags!CBOOM_4Q08</vt:lpstr>
      <vt:lpstr>CBOOM_4Q08</vt:lpstr>
      <vt:lpstr>Tags!CBOOM_4Q09</vt:lpstr>
      <vt:lpstr>CBOOM_4Q09</vt:lpstr>
      <vt:lpstr>Tags!CBOOM_4Q10</vt:lpstr>
      <vt:lpstr>CBOOM_4Q10</vt:lpstr>
      <vt:lpstr>Tags!CBOOM_4Q11</vt:lpstr>
      <vt:lpstr>CBOOM_4Q11</vt:lpstr>
      <vt:lpstr>Tags!CBOOM_4Q12</vt:lpstr>
      <vt:lpstr>CBOOM_4Q12</vt:lpstr>
      <vt:lpstr>Tags!CBOOM_4Q13</vt:lpstr>
      <vt:lpstr>CBOOM_4Q13</vt:lpstr>
      <vt:lpstr>Tags!CBOOM_4Q14</vt:lpstr>
      <vt:lpstr>CBOOM_4Q14</vt:lpstr>
      <vt:lpstr>Tags!CBOOM_4Q15</vt:lpstr>
      <vt:lpstr>CBOOM_4Q15</vt:lpstr>
      <vt:lpstr>Tags!CBOOM_4Q16</vt:lpstr>
      <vt:lpstr>CBOOM_4Q16</vt:lpstr>
      <vt:lpstr>Tags!CBOOM_4Q17</vt:lpstr>
      <vt:lpstr>CBOOM_4Q17</vt:lpstr>
      <vt:lpstr>Tags!CBOOM_4Q18</vt:lpstr>
      <vt:lpstr>CBOOM_4Q18</vt:lpstr>
      <vt:lpstr>Tags!CBOOM_4Q19</vt:lpstr>
      <vt:lpstr>CBOOM_4Q19</vt:lpstr>
      <vt:lpstr>Tags!CBOOM_4Q20</vt:lpstr>
      <vt:lpstr>CBOOM_4Q20</vt:lpstr>
      <vt:lpstr>CBOOM_4Q21</vt:lpstr>
      <vt:lpstr>CBOOM_4Q22</vt:lpstr>
      <vt:lpstr>CBOOM_4Q23</vt:lpstr>
      <vt:lpstr>CBOOM_4Q24</vt:lpstr>
      <vt:lpstr>CCNCND_1995</vt:lpstr>
      <vt:lpstr>CCNCND_1996</vt:lpstr>
      <vt:lpstr>CCNCND_1997</vt:lpstr>
      <vt:lpstr>CCNCND_1998</vt:lpstr>
      <vt:lpstr>CCNCND_1999</vt:lpstr>
      <vt:lpstr>Tags!CCNCND_1Q00</vt:lpstr>
      <vt:lpstr>CCNCND_1Q00</vt:lpstr>
      <vt:lpstr>Tags!CCNCND_1Q01</vt:lpstr>
      <vt:lpstr>CCNCND_1Q01</vt:lpstr>
      <vt:lpstr>Tags!CCNCND_1Q02</vt:lpstr>
      <vt:lpstr>CCNCND_1Q02</vt:lpstr>
      <vt:lpstr>Tags!CCNCND_1Q03</vt:lpstr>
      <vt:lpstr>CCNCND_1Q03</vt:lpstr>
      <vt:lpstr>Tags!CCNCND_1Q04</vt:lpstr>
      <vt:lpstr>CCNCND_1Q04</vt:lpstr>
      <vt:lpstr>Tags!CCNCND_1Q05</vt:lpstr>
      <vt:lpstr>CCNCND_1Q05</vt:lpstr>
      <vt:lpstr>Tags!CCNCND_1Q06</vt:lpstr>
      <vt:lpstr>CCNCND_1Q06</vt:lpstr>
      <vt:lpstr>Tags!CCNCND_1Q07</vt:lpstr>
      <vt:lpstr>CCNCND_1Q07</vt:lpstr>
      <vt:lpstr>Tags!CCNCND_1Q08</vt:lpstr>
      <vt:lpstr>CCNCND_1Q08</vt:lpstr>
      <vt:lpstr>Tags!CCNCND_1Q09</vt:lpstr>
      <vt:lpstr>CCNCND_1Q09</vt:lpstr>
      <vt:lpstr>Tags!CCNCND_1Q10</vt:lpstr>
      <vt:lpstr>CCNCND_1Q10</vt:lpstr>
      <vt:lpstr>Tags!CCNCND_1Q11</vt:lpstr>
      <vt:lpstr>CCNCND_1Q11</vt:lpstr>
      <vt:lpstr>Tags!CCNCND_1Q12</vt:lpstr>
      <vt:lpstr>CCNCND_1Q12</vt:lpstr>
      <vt:lpstr>Tags!CCNCND_1Q13</vt:lpstr>
      <vt:lpstr>CCNCND_1Q13</vt:lpstr>
      <vt:lpstr>Tags!CCNCND_1Q14</vt:lpstr>
      <vt:lpstr>CCNCND_1Q14</vt:lpstr>
      <vt:lpstr>Tags!CCNCND_1Q15</vt:lpstr>
      <vt:lpstr>CCNCND_1Q15</vt:lpstr>
      <vt:lpstr>Tags!CCNCND_1Q16</vt:lpstr>
      <vt:lpstr>CCNCND_1Q16</vt:lpstr>
      <vt:lpstr>Tags!CCNCND_1Q17</vt:lpstr>
      <vt:lpstr>CCNCND_1Q17</vt:lpstr>
      <vt:lpstr>Tags!CCNCND_1Q18</vt:lpstr>
      <vt:lpstr>CCNCND_1Q18</vt:lpstr>
      <vt:lpstr>Tags!CCNCND_1Q19</vt:lpstr>
      <vt:lpstr>CCNCND_1Q19</vt:lpstr>
      <vt:lpstr>Tags!CCNCND_1Q20</vt:lpstr>
      <vt:lpstr>CCNCND_1Q20</vt:lpstr>
      <vt:lpstr>CCNCND_1Q21</vt:lpstr>
      <vt:lpstr>CCNCND_1Q22</vt:lpstr>
      <vt:lpstr>CCNCND_1Q23</vt:lpstr>
      <vt:lpstr>CCNCND_1Q24</vt:lpstr>
      <vt:lpstr>Tags!CCNCND_2000</vt:lpstr>
      <vt:lpstr>CCNCND_2000</vt:lpstr>
      <vt:lpstr>Tags!CCNCND_2001</vt:lpstr>
      <vt:lpstr>CCNCND_2001</vt:lpstr>
      <vt:lpstr>Tags!CCNCND_2002</vt:lpstr>
      <vt:lpstr>CCNCND_2002</vt:lpstr>
      <vt:lpstr>Tags!CCNCND_2003</vt:lpstr>
      <vt:lpstr>CCNCND_2003</vt:lpstr>
      <vt:lpstr>Tags!CCNCND_2004</vt:lpstr>
      <vt:lpstr>CCNCND_2004</vt:lpstr>
      <vt:lpstr>Tags!CCNCND_2005</vt:lpstr>
      <vt:lpstr>CCNCND_2005</vt:lpstr>
      <vt:lpstr>Tags!CCNCND_2006</vt:lpstr>
      <vt:lpstr>CCNCND_2006</vt:lpstr>
      <vt:lpstr>Tags!CCNCND_2007</vt:lpstr>
      <vt:lpstr>CCNCND_2007</vt:lpstr>
      <vt:lpstr>Tags!CCNCND_2008</vt:lpstr>
      <vt:lpstr>CCNCND_2008</vt:lpstr>
      <vt:lpstr>Tags!CCNCND_2009</vt:lpstr>
      <vt:lpstr>CCNCND_2009</vt:lpstr>
      <vt:lpstr>Tags!CCNCND_2010</vt:lpstr>
      <vt:lpstr>CCNCND_2010</vt:lpstr>
      <vt:lpstr>Tags!CCNCND_2011</vt:lpstr>
      <vt:lpstr>CCNCND_2011</vt:lpstr>
      <vt:lpstr>Tags!CCNCND_2012</vt:lpstr>
      <vt:lpstr>CCNCND_2012</vt:lpstr>
      <vt:lpstr>Tags!CCNCND_2013</vt:lpstr>
      <vt:lpstr>CCNCND_2013</vt:lpstr>
      <vt:lpstr>Tags!CCNCND_2014</vt:lpstr>
      <vt:lpstr>CCNCND_2014</vt:lpstr>
      <vt:lpstr>CCNCND_2015</vt:lpstr>
      <vt:lpstr>Tags!CCNCND_2016</vt:lpstr>
      <vt:lpstr>CCNCND_2016</vt:lpstr>
      <vt:lpstr>Tags!CCNCND_2017</vt:lpstr>
      <vt:lpstr>CCNCND_2017</vt:lpstr>
      <vt:lpstr>Tags!CCNCND_2018</vt:lpstr>
      <vt:lpstr>CCNCND_2018</vt:lpstr>
      <vt:lpstr>Tags!CCNCND_2019</vt:lpstr>
      <vt:lpstr>CCNCND_2019</vt:lpstr>
      <vt:lpstr>Tags!CCNCND_2020</vt:lpstr>
      <vt:lpstr>CCNCND_2020</vt:lpstr>
      <vt:lpstr>CCNCND_2021</vt:lpstr>
      <vt:lpstr>CCNCND_2022</vt:lpstr>
      <vt:lpstr>CCNCND_2023</vt:lpstr>
      <vt:lpstr>CCNCND_2024</vt:lpstr>
      <vt:lpstr>Tags!CCNCND_2Q00</vt:lpstr>
      <vt:lpstr>CCNCND_2Q00</vt:lpstr>
      <vt:lpstr>Tags!CCNCND_2Q01</vt:lpstr>
      <vt:lpstr>CCNCND_2Q01</vt:lpstr>
      <vt:lpstr>Tags!CCNCND_2Q02</vt:lpstr>
      <vt:lpstr>CCNCND_2Q02</vt:lpstr>
      <vt:lpstr>Tags!CCNCND_2Q03</vt:lpstr>
      <vt:lpstr>CCNCND_2Q03</vt:lpstr>
      <vt:lpstr>Tags!CCNCND_2Q04</vt:lpstr>
      <vt:lpstr>CCNCND_2Q04</vt:lpstr>
      <vt:lpstr>Tags!CCNCND_2Q05</vt:lpstr>
      <vt:lpstr>CCNCND_2Q05</vt:lpstr>
      <vt:lpstr>Tags!CCNCND_2Q06</vt:lpstr>
      <vt:lpstr>CCNCND_2Q06</vt:lpstr>
      <vt:lpstr>Tags!CCNCND_2Q07</vt:lpstr>
      <vt:lpstr>CCNCND_2Q07</vt:lpstr>
      <vt:lpstr>Tags!CCNCND_2Q08</vt:lpstr>
      <vt:lpstr>CCNCND_2Q08</vt:lpstr>
      <vt:lpstr>Tags!CCNCND_2Q09</vt:lpstr>
      <vt:lpstr>CCNCND_2Q09</vt:lpstr>
      <vt:lpstr>Tags!CCNCND_2Q10</vt:lpstr>
      <vt:lpstr>CCNCND_2Q10</vt:lpstr>
      <vt:lpstr>Tags!CCNCND_2Q11</vt:lpstr>
      <vt:lpstr>CCNCND_2Q11</vt:lpstr>
      <vt:lpstr>Tags!CCNCND_2Q12</vt:lpstr>
      <vt:lpstr>CCNCND_2Q12</vt:lpstr>
      <vt:lpstr>Tags!CCNCND_2Q13</vt:lpstr>
      <vt:lpstr>CCNCND_2Q13</vt:lpstr>
      <vt:lpstr>Tags!CCNCND_2Q14</vt:lpstr>
      <vt:lpstr>CCNCND_2Q14</vt:lpstr>
      <vt:lpstr>Tags!CCNCND_2Q15</vt:lpstr>
      <vt:lpstr>CCNCND_2Q15</vt:lpstr>
      <vt:lpstr>Tags!CCNCND_2Q16</vt:lpstr>
      <vt:lpstr>CCNCND_2Q16</vt:lpstr>
      <vt:lpstr>Tags!CCNCND_2Q17</vt:lpstr>
      <vt:lpstr>CCNCND_2Q17</vt:lpstr>
      <vt:lpstr>Tags!CCNCND_2Q18</vt:lpstr>
      <vt:lpstr>CCNCND_2Q18</vt:lpstr>
      <vt:lpstr>Tags!CCNCND_2Q19</vt:lpstr>
      <vt:lpstr>CCNCND_2Q19</vt:lpstr>
      <vt:lpstr>Tags!CCNCND_2Q20</vt:lpstr>
      <vt:lpstr>CCNCND_2Q20</vt:lpstr>
      <vt:lpstr>CCNCND_2Q21</vt:lpstr>
      <vt:lpstr>CCNCND_2Q22</vt:lpstr>
      <vt:lpstr>CCNCND_2Q23</vt:lpstr>
      <vt:lpstr>CCNCND_2Q24</vt:lpstr>
      <vt:lpstr>Tags!CCNCND_3Q00</vt:lpstr>
      <vt:lpstr>CCNCND_3Q00</vt:lpstr>
      <vt:lpstr>Tags!CCNCND_3Q01</vt:lpstr>
      <vt:lpstr>CCNCND_3Q01</vt:lpstr>
      <vt:lpstr>Tags!CCNCND_3Q02</vt:lpstr>
      <vt:lpstr>CCNCND_3Q02</vt:lpstr>
      <vt:lpstr>Tags!CCNCND_3Q03</vt:lpstr>
      <vt:lpstr>CCNCND_3Q03</vt:lpstr>
      <vt:lpstr>Tags!CCNCND_3Q04</vt:lpstr>
      <vt:lpstr>CCNCND_3Q04</vt:lpstr>
      <vt:lpstr>Tags!CCNCND_3Q05</vt:lpstr>
      <vt:lpstr>CCNCND_3Q05</vt:lpstr>
      <vt:lpstr>Tags!CCNCND_3Q06</vt:lpstr>
      <vt:lpstr>CCNCND_3Q06</vt:lpstr>
      <vt:lpstr>Tags!CCNCND_3Q07</vt:lpstr>
      <vt:lpstr>CCNCND_3Q07</vt:lpstr>
      <vt:lpstr>Tags!CCNCND_3Q08</vt:lpstr>
      <vt:lpstr>CCNCND_3Q08</vt:lpstr>
      <vt:lpstr>Tags!CCNCND_3Q09</vt:lpstr>
      <vt:lpstr>CCNCND_3Q09</vt:lpstr>
      <vt:lpstr>Tags!CCNCND_3Q10</vt:lpstr>
      <vt:lpstr>CCNCND_3Q10</vt:lpstr>
      <vt:lpstr>Tags!CCNCND_3Q11</vt:lpstr>
      <vt:lpstr>CCNCND_3Q11</vt:lpstr>
      <vt:lpstr>Tags!CCNCND_3Q12</vt:lpstr>
      <vt:lpstr>CCNCND_3Q12</vt:lpstr>
      <vt:lpstr>Tags!CCNCND_3Q13</vt:lpstr>
      <vt:lpstr>CCNCND_3Q13</vt:lpstr>
      <vt:lpstr>Tags!CCNCND_3Q14</vt:lpstr>
      <vt:lpstr>CCNCND_3Q14</vt:lpstr>
      <vt:lpstr>Tags!CCNCND_3Q15</vt:lpstr>
      <vt:lpstr>CCNCND_3Q15</vt:lpstr>
      <vt:lpstr>Tags!CCNCND_3Q16</vt:lpstr>
      <vt:lpstr>CCNCND_3Q16</vt:lpstr>
      <vt:lpstr>Tags!CCNCND_3Q17</vt:lpstr>
      <vt:lpstr>CCNCND_3Q17</vt:lpstr>
      <vt:lpstr>Tags!CCNCND_3Q18</vt:lpstr>
      <vt:lpstr>CCNCND_3Q18</vt:lpstr>
      <vt:lpstr>Tags!CCNCND_3Q19</vt:lpstr>
      <vt:lpstr>CCNCND_3Q19</vt:lpstr>
      <vt:lpstr>Tags!CCNCND_3Q20</vt:lpstr>
      <vt:lpstr>CCNCND_3Q20</vt:lpstr>
      <vt:lpstr>CCNCND_3Q21</vt:lpstr>
      <vt:lpstr>CCNCND_3Q22</vt:lpstr>
      <vt:lpstr>CCNCND_3Q23</vt:lpstr>
      <vt:lpstr>CCNCND_3Q24</vt:lpstr>
      <vt:lpstr>Tags!CCNCND_4Q00</vt:lpstr>
      <vt:lpstr>CCNCND_4Q00</vt:lpstr>
      <vt:lpstr>Tags!CCNCND_4Q01</vt:lpstr>
      <vt:lpstr>CCNCND_4Q01</vt:lpstr>
      <vt:lpstr>Tags!CCNCND_4Q02</vt:lpstr>
      <vt:lpstr>CCNCND_4Q02</vt:lpstr>
      <vt:lpstr>Tags!CCNCND_4Q03</vt:lpstr>
      <vt:lpstr>CCNCND_4Q03</vt:lpstr>
      <vt:lpstr>Tags!CCNCND_4Q04</vt:lpstr>
      <vt:lpstr>CCNCND_4Q04</vt:lpstr>
      <vt:lpstr>Tags!CCNCND_4Q05</vt:lpstr>
      <vt:lpstr>CCNCND_4Q05</vt:lpstr>
      <vt:lpstr>Tags!CCNCND_4Q06</vt:lpstr>
      <vt:lpstr>CCNCND_4Q06</vt:lpstr>
      <vt:lpstr>Tags!CCNCND_4Q07</vt:lpstr>
      <vt:lpstr>CCNCND_4Q07</vt:lpstr>
      <vt:lpstr>Tags!CCNCND_4Q08</vt:lpstr>
      <vt:lpstr>CCNCND_4Q08</vt:lpstr>
      <vt:lpstr>Tags!CCNCND_4Q09</vt:lpstr>
      <vt:lpstr>CCNCND_4Q09</vt:lpstr>
      <vt:lpstr>Tags!CCNCND_4Q10</vt:lpstr>
      <vt:lpstr>CCNCND_4Q10</vt:lpstr>
      <vt:lpstr>Tags!CCNCND_4Q11</vt:lpstr>
      <vt:lpstr>CCNCND_4Q11</vt:lpstr>
      <vt:lpstr>Tags!CCNCND_4Q12</vt:lpstr>
      <vt:lpstr>CCNCND_4Q12</vt:lpstr>
      <vt:lpstr>Tags!CCNCND_4Q13</vt:lpstr>
      <vt:lpstr>CCNCND_4Q13</vt:lpstr>
      <vt:lpstr>Tags!CCNCND_4Q14</vt:lpstr>
      <vt:lpstr>CCNCND_4Q14</vt:lpstr>
      <vt:lpstr>Tags!CCNCND_4Q15</vt:lpstr>
      <vt:lpstr>CCNCND_4Q15</vt:lpstr>
      <vt:lpstr>Tags!CCNCND_4Q16</vt:lpstr>
      <vt:lpstr>CCNCND_4Q16</vt:lpstr>
      <vt:lpstr>Tags!CCNCND_4Q17</vt:lpstr>
      <vt:lpstr>CCNCND_4Q17</vt:lpstr>
      <vt:lpstr>Tags!CCNCND_4Q18</vt:lpstr>
      <vt:lpstr>CCNCND_4Q18</vt:lpstr>
      <vt:lpstr>Tags!CCNCND_4Q19</vt:lpstr>
      <vt:lpstr>CCNCND_4Q19</vt:lpstr>
      <vt:lpstr>Tags!CCNCND_4Q20</vt:lpstr>
      <vt:lpstr>CCNCND_4Q20</vt:lpstr>
      <vt:lpstr>CCNCND_4Q21</vt:lpstr>
      <vt:lpstr>CCNCND_4Q22</vt:lpstr>
      <vt:lpstr>CCNCND_4Q23</vt:lpstr>
      <vt:lpstr>CCNCND_4Q24</vt:lpstr>
      <vt:lpstr>CEVNPA_1995</vt:lpstr>
      <vt:lpstr>CEVNPA_1996</vt:lpstr>
      <vt:lpstr>CEVNPA_1997</vt:lpstr>
      <vt:lpstr>CEVNPA_1998</vt:lpstr>
      <vt:lpstr>CEVNPA_1999</vt:lpstr>
      <vt:lpstr>Tags!CEVNPA_1Q00</vt:lpstr>
      <vt:lpstr>CEVNPA_1Q00</vt:lpstr>
      <vt:lpstr>Tags!CEVNPA_1Q01</vt:lpstr>
      <vt:lpstr>CEVNPA_1Q01</vt:lpstr>
      <vt:lpstr>Tags!CEVNPA_1Q02</vt:lpstr>
      <vt:lpstr>CEVNPA_1Q02</vt:lpstr>
      <vt:lpstr>Tags!CEVNPA_1Q03</vt:lpstr>
      <vt:lpstr>CEVNPA_1Q03</vt:lpstr>
      <vt:lpstr>Tags!CEVNPA_1Q04</vt:lpstr>
      <vt:lpstr>CEVNPA_1Q04</vt:lpstr>
      <vt:lpstr>Tags!CEVNPA_1Q05</vt:lpstr>
      <vt:lpstr>CEVNPA_1Q05</vt:lpstr>
      <vt:lpstr>Tags!CEVNPA_1Q06</vt:lpstr>
      <vt:lpstr>CEVNPA_1Q06</vt:lpstr>
      <vt:lpstr>Tags!CEVNPA_1Q07</vt:lpstr>
      <vt:lpstr>CEVNPA_1Q07</vt:lpstr>
      <vt:lpstr>Tags!CEVNPA_1Q08</vt:lpstr>
      <vt:lpstr>CEVNPA_1Q08</vt:lpstr>
      <vt:lpstr>Tags!CEVNPA_1Q09</vt:lpstr>
      <vt:lpstr>CEVNPA_1Q09</vt:lpstr>
      <vt:lpstr>Tags!CEVNPA_1Q10</vt:lpstr>
      <vt:lpstr>CEVNPA_1Q10</vt:lpstr>
      <vt:lpstr>Tags!CEVNPA_1Q11</vt:lpstr>
      <vt:lpstr>CEVNPA_1Q11</vt:lpstr>
      <vt:lpstr>Tags!CEVNPA_1Q12</vt:lpstr>
      <vt:lpstr>CEVNPA_1Q12</vt:lpstr>
      <vt:lpstr>Tags!CEVNPA_1Q13</vt:lpstr>
      <vt:lpstr>CEVNPA_1Q13</vt:lpstr>
      <vt:lpstr>Tags!CEVNPA_1Q14</vt:lpstr>
      <vt:lpstr>CEVNPA_1Q14</vt:lpstr>
      <vt:lpstr>Tags!CEVNPA_1Q15</vt:lpstr>
      <vt:lpstr>CEVNPA_1Q15</vt:lpstr>
      <vt:lpstr>Tags!CEVNPA_1Q16</vt:lpstr>
      <vt:lpstr>CEVNPA_1Q16</vt:lpstr>
      <vt:lpstr>Tags!CEVNPA_1Q17</vt:lpstr>
      <vt:lpstr>CEVNPA_1Q17</vt:lpstr>
      <vt:lpstr>Tags!CEVNPA_1Q18</vt:lpstr>
      <vt:lpstr>CEVNPA_1Q18</vt:lpstr>
      <vt:lpstr>Tags!CEVNPA_1Q19</vt:lpstr>
      <vt:lpstr>CEVNPA_1Q19</vt:lpstr>
      <vt:lpstr>Tags!CEVNPA_1Q20</vt:lpstr>
      <vt:lpstr>CEVNPA_1Q20</vt:lpstr>
      <vt:lpstr>CEVNPA_1Q21</vt:lpstr>
      <vt:lpstr>CEVNPA_1Q22</vt:lpstr>
      <vt:lpstr>CEVNPA_1Q23</vt:lpstr>
      <vt:lpstr>CEVNPA_1Q24</vt:lpstr>
      <vt:lpstr>Tags!CEVNPA_2000</vt:lpstr>
      <vt:lpstr>CEVNPA_2000</vt:lpstr>
      <vt:lpstr>Tags!CEVNPA_2001</vt:lpstr>
      <vt:lpstr>CEVNPA_2001</vt:lpstr>
      <vt:lpstr>Tags!CEVNPA_2002</vt:lpstr>
      <vt:lpstr>CEVNPA_2002</vt:lpstr>
      <vt:lpstr>Tags!CEVNPA_2003</vt:lpstr>
      <vt:lpstr>CEVNPA_2003</vt:lpstr>
      <vt:lpstr>Tags!CEVNPA_2004</vt:lpstr>
      <vt:lpstr>CEVNPA_2004</vt:lpstr>
      <vt:lpstr>Tags!CEVNPA_2005</vt:lpstr>
      <vt:lpstr>CEVNPA_2005</vt:lpstr>
      <vt:lpstr>Tags!CEVNPA_2006</vt:lpstr>
      <vt:lpstr>CEVNPA_2006</vt:lpstr>
      <vt:lpstr>Tags!CEVNPA_2007</vt:lpstr>
      <vt:lpstr>CEVNPA_2007</vt:lpstr>
      <vt:lpstr>Tags!CEVNPA_2008</vt:lpstr>
      <vt:lpstr>CEVNPA_2008</vt:lpstr>
      <vt:lpstr>Tags!CEVNPA_2009</vt:lpstr>
      <vt:lpstr>CEVNPA_2009</vt:lpstr>
      <vt:lpstr>Tags!CEVNPA_2010</vt:lpstr>
      <vt:lpstr>CEVNPA_2010</vt:lpstr>
      <vt:lpstr>Tags!CEVNPA_2011</vt:lpstr>
      <vt:lpstr>CEVNPA_2011</vt:lpstr>
      <vt:lpstr>Tags!CEVNPA_2012</vt:lpstr>
      <vt:lpstr>CEVNPA_2012</vt:lpstr>
      <vt:lpstr>Tags!CEVNPA_2013</vt:lpstr>
      <vt:lpstr>CEVNPA_2013</vt:lpstr>
      <vt:lpstr>Tags!CEVNPA_2014</vt:lpstr>
      <vt:lpstr>CEVNPA_2014</vt:lpstr>
      <vt:lpstr>CEVNPA_2015</vt:lpstr>
      <vt:lpstr>Tags!CEVNPA_2016</vt:lpstr>
      <vt:lpstr>CEVNPA_2016</vt:lpstr>
      <vt:lpstr>Tags!CEVNPA_2017</vt:lpstr>
      <vt:lpstr>CEVNPA_2017</vt:lpstr>
      <vt:lpstr>Tags!CEVNPA_2018</vt:lpstr>
      <vt:lpstr>CEVNPA_2018</vt:lpstr>
      <vt:lpstr>Tags!CEVNPA_2019</vt:lpstr>
      <vt:lpstr>CEVNPA_2019</vt:lpstr>
      <vt:lpstr>Tags!CEVNPA_2020</vt:lpstr>
      <vt:lpstr>CEVNPA_2020</vt:lpstr>
      <vt:lpstr>CEVNPA_2021</vt:lpstr>
      <vt:lpstr>CEVNPA_2022</vt:lpstr>
      <vt:lpstr>CEVNPA_2023</vt:lpstr>
      <vt:lpstr>CEVNPA_2024</vt:lpstr>
      <vt:lpstr>Tags!CEVNPA_2Q00</vt:lpstr>
      <vt:lpstr>CEVNPA_2Q00</vt:lpstr>
      <vt:lpstr>Tags!CEVNPA_2Q01</vt:lpstr>
      <vt:lpstr>CEVNPA_2Q01</vt:lpstr>
      <vt:lpstr>Tags!CEVNPA_2Q02</vt:lpstr>
      <vt:lpstr>CEVNPA_2Q02</vt:lpstr>
      <vt:lpstr>Tags!CEVNPA_2Q03</vt:lpstr>
      <vt:lpstr>CEVNPA_2Q03</vt:lpstr>
      <vt:lpstr>Tags!CEVNPA_2Q04</vt:lpstr>
      <vt:lpstr>CEVNPA_2Q04</vt:lpstr>
      <vt:lpstr>Tags!CEVNPA_2Q05</vt:lpstr>
      <vt:lpstr>CEVNPA_2Q05</vt:lpstr>
      <vt:lpstr>Tags!CEVNPA_2Q06</vt:lpstr>
      <vt:lpstr>CEVNPA_2Q06</vt:lpstr>
      <vt:lpstr>Tags!CEVNPA_2Q07</vt:lpstr>
      <vt:lpstr>CEVNPA_2Q07</vt:lpstr>
      <vt:lpstr>Tags!CEVNPA_2Q08</vt:lpstr>
      <vt:lpstr>CEVNPA_2Q08</vt:lpstr>
      <vt:lpstr>Tags!CEVNPA_2Q09</vt:lpstr>
      <vt:lpstr>CEVNPA_2Q09</vt:lpstr>
      <vt:lpstr>Tags!CEVNPA_2Q10</vt:lpstr>
      <vt:lpstr>CEVNPA_2Q10</vt:lpstr>
      <vt:lpstr>Tags!CEVNPA_2Q11</vt:lpstr>
      <vt:lpstr>CEVNPA_2Q11</vt:lpstr>
      <vt:lpstr>Tags!CEVNPA_2Q12</vt:lpstr>
      <vt:lpstr>CEVNPA_2Q12</vt:lpstr>
      <vt:lpstr>Tags!CEVNPA_2Q13</vt:lpstr>
      <vt:lpstr>CEVNPA_2Q13</vt:lpstr>
      <vt:lpstr>Tags!CEVNPA_2Q14</vt:lpstr>
      <vt:lpstr>CEVNPA_2Q14</vt:lpstr>
      <vt:lpstr>Tags!CEVNPA_2Q15</vt:lpstr>
      <vt:lpstr>CEVNPA_2Q15</vt:lpstr>
      <vt:lpstr>Tags!CEVNPA_2Q16</vt:lpstr>
      <vt:lpstr>CEVNPA_2Q16</vt:lpstr>
      <vt:lpstr>Tags!CEVNPA_2Q17</vt:lpstr>
      <vt:lpstr>CEVNPA_2Q17</vt:lpstr>
      <vt:lpstr>Tags!CEVNPA_2Q18</vt:lpstr>
      <vt:lpstr>CEVNPA_2Q18</vt:lpstr>
      <vt:lpstr>Tags!CEVNPA_2Q19</vt:lpstr>
      <vt:lpstr>CEVNPA_2Q19</vt:lpstr>
      <vt:lpstr>Tags!CEVNPA_2Q20</vt:lpstr>
      <vt:lpstr>CEVNPA_2Q20</vt:lpstr>
      <vt:lpstr>CEVNPA_2Q21</vt:lpstr>
      <vt:lpstr>CEVNPA_2Q22</vt:lpstr>
      <vt:lpstr>CEVNPA_2Q23</vt:lpstr>
      <vt:lpstr>CEVNPA_2Q24</vt:lpstr>
      <vt:lpstr>Tags!CEVNPA_3Q00</vt:lpstr>
      <vt:lpstr>CEVNPA_3Q00</vt:lpstr>
      <vt:lpstr>Tags!CEVNPA_3Q01</vt:lpstr>
      <vt:lpstr>CEVNPA_3Q01</vt:lpstr>
      <vt:lpstr>Tags!CEVNPA_3Q02</vt:lpstr>
      <vt:lpstr>CEVNPA_3Q02</vt:lpstr>
      <vt:lpstr>Tags!CEVNPA_3Q03</vt:lpstr>
      <vt:lpstr>CEVNPA_3Q03</vt:lpstr>
      <vt:lpstr>Tags!CEVNPA_3Q04</vt:lpstr>
      <vt:lpstr>CEVNPA_3Q04</vt:lpstr>
      <vt:lpstr>Tags!CEVNPA_3Q05</vt:lpstr>
      <vt:lpstr>CEVNPA_3Q05</vt:lpstr>
      <vt:lpstr>Tags!CEVNPA_3Q06</vt:lpstr>
      <vt:lpstr>CEVNPA_3Q06</vt:lpstr>
      <vt:lpstr>Tags!CEVNPA_3Q07</vt:lpstr>
      <vt:lpstr>CEVNPA_3Q07</vt:lpstr>
      <vt:lpstr>Tags!CEVNPA_3Q08</vt:lpstr>
      <vt:lpstr>CEVNPA_3Q08</vt:lpstr>
      <vt:lpstr>Tags!CEVNPA_3Q09</vt:lpstr>
      <vt:lpstr>CEVNPA_3Q09</vt:lpstr>
      <vt:lpstr>Tags!CEVNPA_3Q10</vt:lpstr>
      <vt:lpstr>CEVNPA_3Q10</vt:lpstr>
      <vt:lpstr>Tags!CEVNPA_3Q11</vt:lpstr>
      <vt:lpstr>CEVNPA_3Q11</vt:lpstr>
      <vt:lpstr>Tags!CEVNPA_3Q12</vt:lpstr>
      <vt:lpstr>CEVNPA_3Q12</vt:lpstr>
      <vt:lpstr>Tags!CEVNPA_3Q13</vt:lpstr>
      <vt:lpstr>CEVNPA_3Q13</vt:lpstr>
      <vt:lpstr>Tags!CEVNPA_3Q14</vt:lpstr>
      <vt:lpstr>CEVNPA_3Q14</vt:lpstr>
      <vt:lpstr>Tags!CEVNPA_3Q15</vt:lpstr>
      <vt:lpstr>CEVNPA_3Q15</vt:lpstr>
      <vt:lpstr>Tags!CEVNPA_3Q16</vt:lpstr>
      <vt:lpstr>CEVNPA_3Q16</vt:lpstr>
      <vt:lpstr>Tags!CEVNPA_3Q17</vt:lpstr>
      <vt:lpstr>CEVNPA_3Q17</vt:lpstr>
      <vt:lpstr>Tags!CEVNPA_3Q18</vt:lpstr>
      <vt:lpstr>CEVNPA_3Q18</vt:lpstr>
      <vt:lpstr>Tags!CEVNPA_3Q19</vt:lpstr>
      <vt:lpstr>CEVNPA_3Q19</vt:lpstr>
      <vt:lpstr>Tags!CEVNPA_3Q20</vt:lpstr>
      <vt:lpstr>CEVNPA_3Q20</vt:lpstr>
      <vt:lpstr>CEVNPA_3Q21</vt:lpstr>
      <vt:lpstr>CEVNPA_3Q22</vt:lpstr>
      <vt:lpstr>CEVNPA_3Q23</vt:lpstr>
      <vt:lpstr>CEVNPA_3Q24</vt:lpstr>
      <vt:lpstr>Tags!CEVNPA_4Q00</vt:lpstr>
      <vt:lpstr>CEVNPA_4Q00</vt:lpstr>
      <vt:lpstr>Tags!CEVNPA_4Q01</vt:lpstr>
      <vt:lpstr>CEVNPA_4Q01</vt:lpstr>
      <vt:lpstr>Tags!CEVNPA_4Q02</vt:lpstr>
      <vt:lpstr>CEVNPA_4Q02</vt:lpstr>
      <vt:lpstr>Tags!CEVNPA_4Q03</vt:lpstr>
      <vt:lpstr>CEVNPA_4Q03</vt:lpstr>
      <vt:lpstr>Tags!CEVNPA_4Q04</vt:lpstr>
      <vt:lpstr>CEVNPA_4Q04</vt:lpstr>
      <vt:lpstr>Tags!CEVNPA_4Q05</vt:lpstr>
      <vt:lpstr>CEVNPA_4Q05</vt:lpstr>
      <vt:lpstr>Tags!CEVNPA_4Q06</vt:lpstr>
      <vt:lpstr>CEVNPA_4Q06</vt:lpstr>
      <vt:lpstr>Tags!CEVNPA_4Q07</vt:lpstr>
      <vt:lpstr>CEVNPA_4Q07</vt:lpstr>
      <vt:lpstr>Tags!CEVNPA_4Q08</vt:lpstr>
      <vt:lpstr>CEVNPA_4Q08</vt:lpstr>
      <vt:lpstr>Tags!CEVNPA_4Q09</vt:lpstr>
      <vt:lpstr>CEVNPA_4Q09</vt:lpstr>
      <vt:lpstr>Tags!CEVNPA_4Q10</vt:lpstr>
      <vt:lpstr>CEVNPA_4Q10</vt:lpstr>
      <vt:lpstr>Tags!CEVNPA_4Q11</vt:lpstr>
      <vt:lpstr>CEVNPA_4Q11</vt:lpstr>
      <vt:lpstr>Tags!CEVNPA_4Q12</vt:lpstr>
      <vt:lpstr>CEVNPA_4Q12</vt:lpstr>
      <vt:lpstr>Tags!CEVNPA_4Q13</vt:lpstr>
      <vt:lpstr>CEVNPA_4Q13</vt:lpstr>
      <vt:lpstr>Tags!CEVNPA_4Q14</vt:lpstr>
      <vt:lpstr>CEVNPA_4Q14</vt:lpstr>
      <vt:lpstr>Tags!CEVNPA_4Q15</vt:lpstr>
      <vt:lpstr>CEVNPA_4Q15</vt:lpstr>
      <vt:lpstr>Tags!CEVNPA_4Q16</vt:lpstr>
      <vt:lpstr>CEVNPA_4Q16</vt:lpstr>
      <vt:lpstr>Tags!CEVNPA_4Q17</vt:lpstr>
      <vt:lpstr>CEVNPA_4Q17</vt:lpstr>
      <vt:lpstr>Tags!CEVNPA_4Q18</vt:lpstr>
      <vt:lpstr>CEVNPA_4Q18</vt:lpstr>
      <vt:lpstr>Tags!CEVNPA_4Q19</vt:lpstr>
      <vt:lpstr>CEVNPA_4Q19</vt:lpstr>
      <vt:lpstr>Tags!CEVNPA_4Q20</vt:lpstr>
      <vt:lpstr>CEVNPA_4Q20</vt:lpstr>
      <vt:lpstr>CEVNPA_4Q21</vt:lpstr>
      <vt:lpstr>CEVNPA_4Q22</vt:lpstr>
      <vt:lpstr>CEVNPA_4Q23</vt:lpstr>
      <vt:lpstr>CEVNPA_4Q24</vt:lpstr>
      <vt:lpstr>CEVNWC_1995</vt:lpstr>
      <vt:lpstr>CEVNWC_1996</vt:lpstr>
      <vt:lpstr>CEVNWC_1997</vt:lpstr>
      <vt:lpstr>CEVNWC_1998</vt:lpstr>
      <vt:lpstr>CEVNWC_1999</vt:lpstr>
      <vt:lpstr>Tags!CEVNWC_1Q00</vt:lpstr>
      <vt:lpstr>CEVNWC_1Q00</vt:lpstr>
      <vt:lpstr>Tags!CEVNWC_1Q01</vt:lpstr>
      <vt:lpstr>CEVNWC_1Q01</vt:lpstr>
      <vt:lpstr>Tags!CEVNWC_1Q02</vt:lpstr>
      <vt:lpstr>CEVNWC_1Q02</vt:lpstr>
      <vt:lpstr>Tags!CEVNWC_1Q03</vt:lpstr>
      <vt:lpstr>CEVNWC_1Q03</vt:lpstr>
      <vt:lpstr>Tags!CEVNWC_1Q04</vt:lpstr>
      <vt:lpstr>CEVNWC_1Q04</vt:lpstr>
      <vt:lpstr>Tags!CEVNWC_1Q05</vt:lpstr>
      <vt:lpstr>CEVNWC_1Q05</vt:lpstr>
      <vt:lpstr>Tags!CEVNWC_1Q06</vt:lpstr>
      <vt:lpstr>CEVNWC_1Q06</vt:lpstr>
      <vt:lpstr>Tags!CEVNWC_1Q07</vt:lpstr>
      <vt:lpstr>CEVNWC_1Q07</vt:lpstr>
      <vt:lpstr>Tags!CEVNWC_1Q08</vt:lpstr>
      <vt:lpstr>CEVNWC_1Q08</vt:lpstr>
      <vt:lpstr>Tags!CEVNWC_1Q09</vt:lpstr>
      <vt:lpstr>CEVNWC_1Q09</vt:lpstr>
      <vt:lpstr>Tags!CEVNWC_1Q10</vt:lpstr>
      <vt:lpstr>CEVNWC_1Q10</vt:lpstr>
      <vt:lpstr>Tags!CEVNWC_1Q11</vt:lpstr>
      <vt:lpstr>CEVNWC_1Q11</vt:lpstr>
      <vt:lpstr>Tags!CEVNWC_1Q12</vt:lpstr>
      <vt:lpstr>CEVNWC_1Q12</vt:lpstr>
      <vt:lpstr>Tags!CEVNWC_1Q13</vt:lpstr>
      <vt:lpstr>CEVNWC_1Q13</vt:lpstr>
      <vt:lpstr>Tags!CEVNWC_1Q14</vt:lpstr>
      <vt:lpstr>CEVNWC_1Q14</vt:lpstr>
      <vt:lpstr>Tags!CEVNWC_1Q15</vt:lpstr>
      <vt:lpstr>CEVNWC_1Q15</vt:lpstr>
      <vt:lpstr>Tags!CEVNWC_1Q16</vt:lpstr>
      <vt:lpstr>CEVNWC_1Q16</vt:lpstr>
      <vt:lpstr>Tags!CEVNWC_1Q17</vt:lpstr>
      <vt:lpstr>CEVNWC_1Q17</vt:lpstr>
      <vt:lpstr>Tags!CEVNWC_1Q18</vt:lpstr>
      <vt:lpstr>CEVNWC_1Q18</vt:lpstr>
      <vt:lpstr>Tags!CEVNWC_1Q19</vt:lpstr>
      <vt:lpstr>CEVNWC_1Q19</vt:lpstr>
      <vt:lpstr>Tags!CEVNWC_1Q20</vt:lpstr>
      <vt:lpstr>CEVNWC_1Q20</vt:lpstr>
      <vt:lpstr>CEVNWC_1Q21</vt:lpstr>
      <vt:lpstr>CEVNWC_1Q22</vt:lpstr>
      <vt:lpstr>CEVNWC_1Q23</vt:lpstr>
      <vt:lpstr>CEVNWC_1Q24</vt:lpstr>
      <vt:lpstr>Tags!CEVNWC_2000</vt:lpstr>
      <vt:lpstr>CEVNWC_2000</vt:lpstr>
      <vt:lpstr>Tags!CEVNWC_2001</vt:lpstr>
      <vt:lpstr>CEVNWC_2001</vt:lpstr>
      <vt:lpstr>Tags!CEVNWC_2002</vt:lpstr>
      <vt:lpstr>CEVNWC_2002</vt:lpstr>
      <vt:lpstr>Tags!CEVNWC_2003</vt:lpstr>
      <vt:lpstr>CEVNWC_2003</vt:lpstr>
      <vt:lpstr>Tags!CEVNWC_2004</vt:lpstr>
      <vt:lpstr>CEVNWC_2004</vt:lpstr>
      <vt:lpstr>Tags!CEVNWC_2005</vt:lpstr>
      <vt:lpstr>CEVNWC_2005</vt:lpstr>
      <vt:lpstr>Tags!CEVNWC_2006</vt:lpstr>
      <vt:lpstr>CEVNWC_2006</vt:lpstr>
      <vt:lpstr>Tags!CEVNWC_2007</vt:lpstr>
      <vt:lpstr>CEVNWC_2007</vt:lpstr>
      <vt:lpstr>Tags!CEVNWC_2008</vt:lpstr>
      <vt:lpstr>CEVNWC_2008</vt:lpstr>
      <vt:lpstr>Tags!CEVNWC_2009</vt:lpstr>
      <vt:lpstr>CEVNWC_2009</vt:lpstr>
      <vt:lpstr>Tags!CEVNWC_2010</vt:lpstr>
      <vt:lpstr>CEVNWC_2010</vt:lpstr>
      <vt:lpstr>Tags!CEVNWC_2011</vt:lpstr>
      <vt:lpstr>CEVNWC_2011</vt:lpstr>
      <vt:lpstr>Tags!CEVNWC_2012</vt:lpstr>
      <vt:lpstr>CEVNWC_2012</vt:lpstr>
      <vt:lpstr>Tags!CEVNWC_2013</vt:lpstr>
      <vt:lpstr>CEVNWC_2013</vt:lpstr>
      <vt:lpstr>Tags!CEVNWC_2014</vt:lpstr>
      <vt:lpstr>CEVNWC_2014</vt:lpstr>
      <vt:lpstr>CEVNWC_2015</vt:lpstr>
      <vt:lpstr>Tags!CEVNWC_2016</vt:lpstr>
      <vt:lpstr>CEVNWC_2016</vt:lpstr>
      <vt:lpstr>Tags!CEVNWC_2017</vt:lpstr>
      <vt:lpstr>CEVNWC_2017</vt:lpstr>
      <vt:lpstr>Tags!CEVNWC_2018</vt:lpstr>
      <vt:lpstr>CEVNWC_2018</vt:lpstr>
      <vt:lpstr>Tags!CEVNWC_2019</vt:lpstr>
      <vt:lpstr>CEVNWC_2019</vt:lpstr>
      <vt:lpstr>Tags!CEVNWC_2020</vt:lpstr>
      <vt:lpstr>CEVNWC_2020</vt:lpstr>
      <vt:lpstr>CEVNWC_2021</vt:lpstr>
      <vt:lpstr>CEVNWC_2022</vt:lpstr>
      <vt:lpstr>CEVNWC_2023</vt:lpstr>
      <vt:lpstr>CEVNWC_2024</vt:lpstr>
      <vt:lpstr>Tags!CEVNWC_2Q00</vt:lpstr>
      <vt:lpstr>CEVNWC_2Q00</vt:lpstr>
      <vt:lpstr>Tags!CEVNWC_2Q01</vt:lpstr>
      <vt:lpstr>CEVNWC_2Q01</vt:lpstr>
      <vt:lpstr>Tags!CEVNWC_2Q02</vt:lpstr>
      <vt:lpstr>CEVNWC_2Q02</vt:lpstr>
      <vt:lpstr>Tags!CEVNWC_2Q03</vt:lpstr>
      <vt:lpstr>CEVNWC_2Q03</vt:lpstr>
      <vt:lpstr>Tags!CEVNWC_2Q04</vt:lpstr>
      <vt:lpstr>CEVNWC_2Q04</vt:lpstr>
      <vt:lpstr>Tags!CEVNWC_2Q05</vt:lpstr>
      <vt:lpstr>CEVNWC_2Q05</vt:lpstr>
      <vt:lpstr>Tags!CEVNWC_2Q06</vt:lpstr>
      <vt:lpstr>CEVNWC_2Q06</vt:lpstr>
      <vt:lpstr>Tags!CEVNWC_2Q07</vt:lpstr>
      <vt:lpstr>CEVNWC_2Q07</vt:lpstr>
      <vt:lpstr>Tags!CEVNWC_2Q08</vt:lpstr>
      <vt:lpstr>CEVNWC_2Q08</vt:lpstr>
      <vt:lpstr>Tags!CEVNWC_2Q09</vt:lpstr>
      <vt:lpstr>CEVNWC_2Q09</vt:lpstr>
      <vt:lpstr>Tags!CEVNWC_2Q10</vt:lpstr>
      <vt:lpstr>CEVNWC_2Q10</vt:lpstr>
      <vt:lpstr>Tags!CEVNWC_2Q11</vt:lpstr>
      <vt:lpstr>CEVNWC_2Q11</vt:lpstr>
      <vt:lpstr>Tags!CEVNWC_2Q12</vt:lpstr>
      <vt:lpstr>CEVNWC_2Q12</vt:lpstr>
      <vt:lpstr>Tags!CEVNWC_2Q13</vt:lpstr>
      <vt:lpstr>CEVNWC_2Q13</vt:lpstr>
      <vt:lpstr>Tags!CEVNWC_2Q14</vt:lpstr>
      <vt:lpstr>CEVNWC_2Q14</vt:lpstr>
      <vt:lpstr>Tags!CEVNWC_2Q15</vt:lpstr>
      <vt:lpstr>CEVNWC_2Q15</vt:lpstr>
      <vt:lpstr>Tags!CEVNWC_2Q16</vt:lpstr>
      <vt:lpstr>CEVNWC_2Q16</vt:lpstr>
      <vt:lpstr>Tags!CEVNWC_2Q17</vt:lpstr>
      <vt:lpstr>CEVNWC_2Q17</vt:lpstr>
      <vt:lpstr>Tags!CEVNWC_2Q18</vt:lpstr>
      <vt:lpstr>CEVNWC_2Q18</vt:lpstr>
      <vt:lpstr>Tags!CEVNWC_2Q19</vt:lpstr>
      <vt:lpstr>CEVNWC_2Q19</vt:lpstr>
      <vt:lpstr>Tags!CEVNWC_2Q20</vt:lpstr>
      <vt:lpstr>CEVNWC_2Q20</vt:lpstr>
      <vt:lpstr>CEVNWC_2Q21</vt:lpstr>
      <vt:lpstr>CEVNWC_2Q22</vt:lpstr>
      <vt:lpstr>CEVNWC_2Q23</vt:lpstr>
      <vt:lpstr>CEVNWC_2Q24</vt:lpstr>
      <vt:lpstr>Tags!CEVNWC_3Q00</vt:lpstr>
      <vt:lpstr>CEVNWC_3Q00</vt:lpstr>
      <vt:lpstr>Tags!CEVNWC_3Q01</vt:lpstr>
      <vt:lpstr>CEVNWC_3Q01</vt:lpstr>
      <vt:lpstr>Tags!CEVNWC_3Q02</vt:lpstr>
      <vt:lpstr>CEVNWC_3Q02</vt:lpstr>
      <vt:lpstr>Tags!CEVNWC_3Q03</vt:lpstr>
      <vt:lpstr>CEVNWC_3Q03</vt:lpstr>
      <vt:lpstr>Tags!CEVNWC_3Q04</vt:lpstr>
      <vt:lpstr>CEVNWC_3Q04</vt:lpstr>
      <vt:lpstr>Tags!CEVNWC_3Q05</vt:lpstr>
      <vt:lpstr>CEVNWC_3Q05</vt:lpstr>
      <vt:lpstr>Tags!CEVNWC_3Q06</vt:lpstr>
      <vt:lpstr>CEVNWC_3Q06</vt:lpstr>
      <vt:lpstr>Tags!CEVNWC_3Q07</vt:lpstr>
      <vt:lpstr>CEVNWC_3Q07</vt:lpstr>
      <vt:lpstr>Tags!CEVNWC_3Q08</vt:lpstr>
      <vt:lpstr>CEVNWC_3Q08</vt:lpstr>
      <vt:lpstr>Tags!CEVNWC_3Q09</vt:lpstr>
      <vt:lpstr>CEVNWC_3Q09</vt:lpstr>
      <vt:lpstr>Tags!CEVNWC_3Q10</vt:lpstr>
      <vt:lpstr>CEVNWC_3Q10</vt:lpstr>
      <vt:lpstr>Tags!CEVNWC_3Q11</vt:lpstr>
      <vt:lpstr>CEVNWC_3Q11</vt:lpstr>
      <vt:lpstr>Tags!CEVNWC_3Q12</vt:lpstr>
      <vt:lpstr>CEVNWC_3Q12</vt:lpstr>
      <vt:lpstr>Tags!CEVNWC_3Q13</vt:lpstr>
      <vt:lpstr>CEVNWC_3Q13</vt:lpstr>
      <vt:lpstr>Tags!CEVNWC_3Q14</vt:lpstr>
      <vt:lpstr>CEVNWC_3Q14</vt:lpstr>
      <vt:lpstr>Tags!CEVNWC_3Q15</vt:lpstr>
      <vt:lpstr>CEVNWC_3Q15</vt:lpstr>
      <vt:lpstr>Tags!CEVNWC_3Q16</vt:lpstr>
      <vt:lpstr>CEVNWC_3Q16</vt:lpstr>
      <vt:lpstr>Tags!CEVNWC_3Q17</vt:lpstr>
      <vt:lpstr>CEVNWC_3Q17</vt:lpstr>
      <vt:lpstr>Tags!CEVNWC_3Q18</vt:lpstr>
      <vt:lpstr>CEVNWC_3Q18</vt:lpstr>
      <vt:lpstr>Tags!CEVNWC_3Q19</vt:lpstr>
      <vt:lpstr>CEVNWC_3Q19</vt:lpstr>
      <vt:lpstr>Tags!CEVNWC_3Q20</vt:lpstr>
      <vt:lpstr>CEVNWC_3Q20</vt:lpstr>
      <vt:lpstr>CEVNWC_3Q21</vt:lpstr>
      <vt:lpstr>CEVNWC_3Q22</vt:lpstr>
      <vt:lpstr>CEVNWC_3Q23</vt:lpstr>
      <vt:lpstr>CEVNWC_3Q24</vt:lpstr>
      <vt:lpstr>Tags!CEVNWC_4Q00</vt:lpstr>
      <vt:lpstr>CEVNWC_4Q00</vt:lpstr>
      <vt:lpstr>Tags!CEVNWC_4Q01</vt:lpstr>
      <vt:lpstr>CEVNWC_4Q01</vt:lpstr>
      <vt:lpstr>Tags!CEVNWC_4Q02</vt:lpstr>
      <vt:lpstr>CEVNWC_4Q02</vt:lpstr>
      <vt:lpstr>Tags!CEVNWC_4Q03</vt:lpstr>
      <vt:lpstr>CEVNWC_4Q03</vt:lpstr>
      <vt:lpstr>Tags!CEVNWC_4Q04</vt:lpstr>
      <vt:lpstr>CEVNWC_4Q04</vt:lpstr>
      <vt:lpstr>Tags!CEVNWC_4Q05</vt:lpstr>
      <vt:lpstr>CEVNWC_4Q05</vt:lpstr>
      <vt:lpstr>Tags!CEVNWC_4Q06</vt:lpstr>
      <vt:lpstr>CEVNWC_4Q06</vt:lpstr>
      <vt:lpstr>Tags!CEVNWC_4Q07</vt:lpstr>
      <vt:lpstr>CEVNWC_4Q07</vt:lpstr>
      <vt:lpstr>Tags!CEVNWC_4Q08</vt:lpstr>
      <vt:lpstr>CEVNWC_4Q08</vt:lpstr>
      <vt:lpstr>Tags!CEVNWC_4Q09</vt:lpstr>
      <vt:lpstr>CEVNWC_4Q09</vt:lpstr>
      <vt:lpstr>Tags!CEVNWC_4Q10</vt:lpstr>
      <vt:lpstr>CEVNWC_4Q10</vt:lpstr>
      <vt:lpstr>Tags!CEVNWC_4Q11</vt:lpstr>
      <vt:lpstr>CEVNWC_4Q11</vt:lpstr>
      <vt:lpstr>Tags!CEVNWC_4Q12</vt:lpstr>
      <vt:lpstr>CEVNWC_4Q12</vt:lpstr>
      <vt:lpstr>Tags!CEVNWC_4Q13</vt:lpstr>
      <vt:lpstr>CEVNWC_4Q13</vt:lpstr>
      <vt:lpstr>Tags!CEVNWC_4Q14</vt:lpstr>
      <vt:lpstr>CEVNWC_4Q14</vt:lpstr>
      <vt:lpstr>Tags!CEVNWC_4Q15</vt:lpstr>
      <vt:lpstr>CEVNWC_4Q15</vt:lpstr>
      <vt:lpstr>Tags!CEVNWC_4Q16</vt:lpstr>
      <vt:lpstr>CEVNWC_4Q16</vt:lpstr>
      <vt:lpstr>Tags!CEVNWC_4Q17</vt:lpstr>
      <vt:lpstr>CEVNWC_4Q17</vt:lpstr>
      <vt:lpstr>Tags!CEVNWC_4Q18</vt:lpstr>
      <vt:lpstr>CEVNWC_4Q18</vt:lpstr>
      <vt:lpstr>Tags!CEVNWC_4Q19</vt:lpstr>
      <vt:lpstr>CEVNWC_4Q19</vt:lpstr>
      <vt:lpstr>Tags!CEVNWC_4Q20</vt:lpstr>
      <vt:lpstr>CEVNWC_4Q20</vt:lpstr>
      <vt:lpstr>CEVNWC_4Q21</vt:lpstr>
      <vt:lpstr>CEVNWC_4Q22</vt:lpstr>
      <vt:lpstr>CEVNWC_4Q23</vt:lpstr>
      <vt:lpstr>CEVNWC_4Q24</vt:lpstr>
      <vt:lpstr>CGPWO_1995</vt:lpstr>
      <vt:lpstr>CGPWO_1996</vt:lpstr>
      <vt:lpstr>CGPWO_1997</vt:lpstr>
      <vt:lpstr>CGPWO_1998</vt:lpstr>
      <vt:lpstr>CGPWO_1999</vt:lpstr>
      <vt:lpstr>Tags!CGPWO_1Q00</vt:lpstr>
      <vt:lpstr>CGPWO_1Q00</vt:lpstr>
      <vt:lpstr>Tags!CGPWO_1Q01</vt:lpstr>
      <vt:lpstr>CGPWO_1Q01</vt:lpstr>
      <vt:lpstr>Tags!CGPWO_1Q02</vt:lpstr>
      <vt:lpstr>CGPWO_1Q02</vt:lpstr>
      <vt:lpstr>Tags!CGPWO_1Q03</vt:lpstr>
      <vt:lpstr>CGPWO_1Q03</vt:lpstr>
      <vt:lpstr>Tags!CGPWO_1Q04</vt:lpstr>
      <vt:lpstr>CGPWO_1Q04</vt:lpstr>
      <vt:lpstr>Tags!CGPWO_1Q05</vt:lpstr>
      <vt:lpstr>CGPWO_1Q05</vt:lpstr>
      <vt:lpstr>Tags!CGPWO_1Q06</vt:lpstr>
      <vt:lpstr>CGPWO_1Q06</vt:lpstr>
      <vt:lpstr>Tags!CGPWO_1Q07</vt:lpstr>
      <vt:lpstr>CGPWO_1Q07</vt:lpstr>
      <vt:lpstr>Tags!CGPWO_1Q08</vt:lpstr>
      <vt:lpstr>CGPWO_1Q08</vt:lpstr>
      <vt:lpstr>Tags!CGPWO_1Q09</vt:lpstr>
      <vt:lpstr>CGPWO_1Q09</vt:lpstr>
      <vt:lpstr>Tags!CGPWO_1Q10</vt:lpstr>
      <vt:lpstr>CGPWO_1Q10</vt:lpstr>
      <vt:lpstr>Tags!CGPWO_1Q11</vt:lpstr>
      <vt:lpstr>CGPWO_1Q11</vt:lpstr>
      <vt:lpstr>Tags!CGPWO_1Q12</vt:lpstr>
      <vt:lpstr>CGPWO_1Q12</vt:lpstr>
      <vt:lpstr>Tags!CGPWO_1Q13</vt:lpstr>
      <vt:lpstr>CGPWO_1Q13</vt:lpstr>
      <vt:lpstr>Tags!CGPWO_1Q14</vt:lpstr>
      <vt:lpstr>CGPWO_1Q14</vt:lpstr>
      <vt:lpstr>Tags!CGPWO_1Q15</vt:lpstr>
      <vt:lpstr>CGPWO_1Q15</vt:lpstr>
      <vt:lpstr>Tags!CGPWO_1Q16</vt:lpstr>
      <vt:lpstr>CGPWO_1Q16</vt:lpstr>
      <vt:lpstr>Tags!CGPWO_1Q17</vt:lpstr>
      <vt:lpstr>CGPWO_1Q17</vt:lpstr>
      <vt:lpstr>Tags!CGPWO_1Q18</vt:lpstr>
      <vt:lpstr>CGPWO_1Q18</vt:lpstr>
      <vt:lpstr>Tags!CGPWO_1Q19</vt:lpstr>
      <vt:lpstr>CGPWO_1Q19</vt:lpstr>
      <vt:lpstr>Tags!CGPWO_1Q20</vt:lpstr>
      <vt:lpstr>CGPWO_1Q20</vt:lpstr>
      <vt:lpstr>CGPWO_1Q21</vt:lpstr>
      <vt:lpstr>CGPWO_1Q22</vt:lpstr>
      <vt:lpstr>CGPWO_1Q23</vt:lpstr>
      <vt:lpstr>CGPWO_1Q24</vt:lpstr>
      <vt:lpstr>Tags!CGPWO_2000</vt:lpstr>
      <vt:lpstr>CGPWO_2000</vt:lpstr>
      <vt:lpstr>Tags!CGPWO_2001</vt:lpstr>
      <vt:lpstr>CGPWO_2001</vt:lpstr>
      <vt:lpstr>Tags!CGPWO_2002</vt:lpstr>
      <vt:lpstr>CGPWO_2002</vt:lpstr>
      <vt:lpstr>Tags!CGPWO_2003</vt:lpstr>
      <vt:lpstr>CGPWO_2003</vt:lpstr>
      <vt:lpstr>Tags!CGPWO_2004</vt:lpstr>
      <vt:lpstr>CGPWO_2004</vt:lpstr>
      <vt:lpstr>Tags!CGPWO_2005</vt:lpstr>
      <vt:lpstr>CGPWO_2005</vt:lpstr>
      <vt:lpstr>Tags!CGPWO_2006</vt:lpstr>
      <vt:lpstr>CGPWO_2006</vt:lpstr>
      <vt:lpstr>Tags!CGPWO_2007</vt:lpstr>
      <vt:lpstr>CGPWO_2007</vt:lpstr>
      <vt:lpstr>Tags!CGPWO_2008</vt:lpstr>
      <vt:lpstr>CGPWO_2008</vt:lpstr>
      <vt:lpstr>Tags!CGPWO_2009</vt:lpstr>
      <vt:lpstr>CGPWO_2009</vt:lpstr>
      <vt:lpstr>Tags!CGPWO_2010</vt:lpstr>
      <vt:lpstr>CGPWO_2010</vt:lpstr>
      <vt:lpstr>Tags!CGPWO_2011</vt:lpstr>
      <vt:lpstr>CGPWO_2011</vt:lpstr>
      <vt:lpstr>Tags!CGPWO_2012</vt:lpstr>
      <vt:lpstr>CGPWO_2012</vt:lpstr>
      <vt:lpstr>Tags!CGPWO_2013</vt:lpstr>
      <vt:lpstr>CGPWO_2013</vt:lpstr>
      <vt:lpstr>Tags!CGPWO_2014</vt:lpstr>
      <vt:lpstr>CGPWO_2014</vt:lpstr>
      <vt:lpstr>CGPWO_2015</vt:lpstr>
      <vt:lpstr>Tags!CGPWO_2016</vt:lpstr>
      <vt:lpstr>CGPWO_2016</vt:lpstr>
      <vt:lpstr>Tags!CGPWO_2017</vt:lpstr>
      <vt:lpstr>CGPWO_2017</vt:lpstr>
      <vt:lpstr>Tags!CGPWO_2018</vt:lpstr>
      <vt:lpstr>CGPWO_2018</vt:lpstr>
      <vt:lpstr>Tags!CGPWO_2019</vt:lpstr>
      <vt:lpstr>CGPWO_2019</vt:lpstr>
      <vt:lpstr>Tags!CGPWO_2020</vt:lpstr>
      <vt:lpstr>CGPWO_2020</vt:lpstr>
      <vt:lpstr>CGPWO_2021</vt:lpstr>
      <vt:lpstr>CGPWO_2022</vt:lpstr>
      <vt:lpstr>CGPWO_2023</vt:lpstr>
      <vt:lpstr>CGPWO_2024</vt:lpstr>
      <vt:lpstr>Tags!CGPWO_2Q00</vt:lpstr>
      <vt:lpstr>CGPWO_2Q00</vt:lpstr>
      <vt:lpstr>Tags!CGPWO_2Q01</vt:lpstr>
      <vt:lpstr>CGPWO_2Q01</vt:lpstr>
      <vt:lpstr>Tags!CGPWO_2Q02</vt:lpstr>
      <vt:lpstr>CGPWO_2Q02</vt:lpstr>
      <vt:lpstr>Tags!CGPWO_2Q03</vt:lpstr>
      <vt:lpstr>CGPWO_2Q03</vt:lpstr>
      <vt:lpstr>Tags!CGPWO_2Q04</vt:lpstr>
      <vt:lpstr>CGPWO_2Q04</vt:lpstr>
      <vt:lpstr>Tags!CGPWO_2Q05</vt:lpstr>
      <vt:lpstr>CGPWO_2Q05</vt:lpstr>
      <vt:lpstr>Tags!CGPWO_2Q06</vt:lpstr>
      <vt:lpstr>CGPWO_2Q06</vt:lpstr>
      <vt:lpstr>Tags!CGPWO_2Q07</vt:lpstr>
      <vt:lpstr>CGPWO_2Q07</vt:lpstr>
      <vt:lpstr>Tags!CGPWO_2Q08</vt:lpstr>
      <vt:lpstr>CGPWO_2Q08</vt:lpstr>
      <vt:lpstr>Tags!CGPWO_2Q09</vt:lpstr>
      <vt:lpstr>CGPWO_2Q09</vt:lpstr>
      <vt:lpstr>Tags!CGPWO_2Q10</vt:lpstr>
      <vt:lpstr>CGPWO_2Q10</vt:lpstr>
      <vt:lpstr>Tags!CGPWO_2Q11</vt:lpstr>
      <vt:lpstr>CGPWO_2Q11</vt:lpstr>
      <vt:lpstr>Tags!CGPWO_2Q12</vt:lpstr>
      <vt:lpstr>CGPWO_2Q12</vt:lpstr>
      <vt:lpstr>Tags!CGPWO_2Q13</vt:lpstr>
      <vt:lpstr>CGPWO_2Q13</vt:lpstr>
      <vt:lpstr>Tags!CGPWO_2Q14</vt:lpstr>
      <vt:lpstr>CGPWO_2Q14</vt:lpstr>
      <vt:lpstr>Tags!CGPWO_2Q15</vt:lpstr>
      <vt:lpstr>CGPWO_2Q15</vt:lpstr>
      <vt:lpstr>Tags!CGPWO_2Q16</vt:lpstr>
      <vt:lpstr>CGPWO_2Q16</vt:lpstr>
      <vt:lpstr>Tags!CGPWO_2Q17</vt:lpstr>
      <vt:lpstr>CGPWO_2Q17</vt:lpstr>
      <vt:lpstr>Tags!CGPWO_2Q18</vt:lpstr>
      <vt:lpstr>CGPWO_2Q18</vt:lpstr>
      <vt:lpstr>Tags!CGPWO_2Q19</vt:lpstr>
      <vt:lpstr>CGPWO_2Q19</vt:lpstr>
      <vt:lpstr>Tags!CGPWO_2Q20</vt:lpstr>
      <vt:lpstr>CGPWO_2Q20</vt:lpstr>
      <vt:lpstr>CGPWO_2Q21</vt:lpstr>
      <vt:lpstr>CGPWO_2Q22</vt:lpstr>
      <vt:lpstr>CGPWO_2Q23</vt:lpstr>
      <vt:lpstr>CGPWO_2Q24</vt:lpstr>
      <vt:lpstr>Tags!CGPWO_3Q00</vt:lpstr>
      <vt:lpstr>CGPWO_3Q00</vt:lpstr>
      <vt:lpstr>Tags!CGPWO_3Q01</vt:lpstr>
      <vt:lpstr>CGPWO_3Q01</vt:lpstr>
      <vt:lpstr>Tags!CGPWO_3Q02</vt:lpstr>
      <vt:lpstr>CGPWO_3Q02</vt:lpstr>
      <vt:lpstr>Tags!CGPWO_3Q03</vt:lpstr>
      <vt:lpstr>CGPWO_3Q03</vt:lpstr>
      <vt:lpstr>Tags!CGPWO_3Q04</vt:lpstr>
      <vt:lpstr>CGPWO_3Q04</vt:lpstr>
      <vt:lpstr>Tags!CGPWO_3Q05</vt:lpstr>
      <vt:lpstr>CGPWO_3Q05</vt:lpstr>
      <vt:lpstr>Tags!CGPWO_3Q06</vt:lpstr>
      <vt:lpstr>CGPWO_3Q06</vt:lpstr>
      <vt:lpstr>Tags!CGPWO_3Q07</vt:lpstr>
      <vt:lpstr>CGPWO_3Q07</vt:lpstr>
      <vt:lpstr>Tags!CGPWO_3Q08</vt:lpstr>
      <vt:lpstr>CGPWO_3Q08</vt:lpstr>
      <vt:lpstr>Tags!CGPWO_3Q09</vt:lpstr>
      <vt:lpstr>CGPWO_3Q09</vt:lpstr>
      <vt:lpstr>Tags!CGPWO_3Q10</vt:lpstr>
      <vt:lpstr>CGPWO_3Q10</vt:lpstr>
      <vt:lpstr>Tags!CGPWO_3Q11</vt:lpstr>
      <vt:lpstr>CGPWO_3Q11</vt:lpstr>
      <vt:lpstr>Tags!CGPWO_3Q12</vt:lpstr>
      <vt:lpstr>CGPWO_3Q12</vt:lpstr>
      <vt:lpstr>Tags!CGPWO_3Q13</vt:lpstr>
      <vt:lpstr>CGPWO_3Q13</vt:lpstr>
      <vt:lpstr>Tags!CGPWO_3Q14</vt:lpstr>
      <vt:lpstr>CGPWO_3Q14</vt:lpstr>
      <vt:lpstr>Tags!CGPWO_3Q15</vt:lpstr>
      <vt:lpstr>CGPWO_3Q15</vt:lpstr>
      <vt:lpstr>Tags!CGPWO_3Q16</vt:lpstr>
      <vt:lpstr>CGPWO_3Q16</vt:lpstr>
      <vt:lpstr>Tags!CGPWO_3Q17</vt:lpstr>
      <vt:lpstr>CGPWO_3Q17</vt:lpstr>
      <vt:lpstr>Tags!CGPWO_3Q18</vt:lpstr>
      <vt:lpstr>CGPWO_3Q18</vt:lpstr>
      <vt:lpstr>Tags!CGPWO_3Q19</vt:lpstr>
      <vt:lpstr>CGPWO_3Q19</vt:lpstr>
      <vt:lpstr>Tags!CGPWO_3Q20</vt:lpstr>
      <vt:lpstr>CGPWO_3Q20</vt:lpstr>
      <vt:lpstr>CGPWO_3Q21</vt:lpstr>
      <vt:lpstr>CGPWO_3Q22</vt:lpstr>
      <vt:lpstr>CGPWO_3Q23</vt:lpstr>
      <vt:lpstr>CGPWO_3Q24</vt:lpstr>
      <vt:lpstr>Tags!CGPWO_4Q00</vt:lpstr>
      <vt:lpstr>CGPWO_4Q00</vt:lpstr>
      <vt:lpstr>Tags!CGPWO_4Q01</vt:lpstr>
      <vt:lpstr>CGPWO_4Q01</vt:lpstr>
      <vt:lpstr>Tags!CGPWO_4Q02</vt:lpstr>
      <vt:lpstr>CGPWO_4Q02</vt:lpstr>
      <vt:lpstr>Tags!CGPWO_4Q03</vt:lpstr>
      <vt:lpstr>CGPWO_4Q03</vt:lpstr>
      <vt:lpstr>Tags!CGPWO_4Q04</vt:lpstr>
      <vt:lpstr>CGPWO_4Q04</vt:lpstr>
      <vt:lpstr>Tags!CGPWO_4Q05</vt:lpstr>
      <vt:lpstr>CGPWO_4Q05</vt:lpstr>
      <vt:lpstr>Tags!CGPWO_4Q06</vt:lpstr>
      <vt:lpstr>CGPWO_4Q06</vt:lpstr>
      <vt:lpstr>Tags!CGPWO_4Q07</vt:lpstr>
      <vt:lpstr>CGPWO_4Q07</vt:lpstr>
      <vt:lpstr>Tags!CGPWO_4Q08</vt:lpstr>
      <vt:lpstr>CGPWO_4Q08</vt:lpstr>
      <vt:lpstr>Tags!CGPWO_4Q09</vt:lpstr>
      <vt:lpstr>CGPWO_4Q09</vt:lpstr>
      <vt:lpstr>Tags!CGPWO_4Q10</vt:lpstr>
      <vt:lpstr>CGPWO_4Q10</vt:lpstr>
      <vt:lpstr>Tags!CGPWO_4Q11</vt:lpstr>
      <vt:lpstr>CGPWO_4Q11</vt:lpstr>
      <vt:lpstr>Tags!CGPWO_4Q12</vt:lpstr>
      <vt:lpstr>CGPWO_4Q12</vt:lpstr>
      <vt:lpstr>Tags!CGPWO_4Q13</vt:lpstr>
      <vt:lpstr>CGPWO_4Q13</vt:lpstr>
      <vt:lpstr>Tags!CGPWO_4Q14</vt:lpstr>
      <vt:lpstr>CGPWO_4Q14</vt:lpstr>
      <vt:lpstr>Tags!CGPWO_4Q15</vt:lpstr>
      <vt:lpstr>CGPWO_4Q15</vt:lpstr>
      <vt:lpstr>Tags!CGPWO_4Q16</vt:lpstr>
      <vt:lpstr>CGPWO_4Q16</vt:lpstr>
      <vt:lpstr>Tags!CGPWO_4Q17</vt:lpstr>
      <vt:lpstr>CGPWO_4Q17</vt:lpstr>
      <vt:lpstr>Tags!CGPWO_4Q18</vt:lpstr>
      <vt:lpstr>CGPWO_4Q18</vt:lpstr>
      <vt:lpstr>Tags!CGPWO_4Q19</vt:lpstr>
      <vt:lpstr>CGPWO_4Q19</vt:lpstr>
      <vt:lpstr>Tags!CGPWO_4Q20</vt:lpstr>
      <vt:lpstr>CGPWO_4Q20</vt:lpstr>
      <vt:lpstr>CGPWO_4Q21</vt:lpstr>
      <vt:lpstr>CGPWO_4Q22</vt:lpstr>
      <vt:lpstr>CGPWO_4Q23</vt:lpstr>
      <vt:lpstr>CGPWO_4Q24</vt:lpstr>
      <vt:lpstr>Tags!CO.TAG</vt:lpstr>
      <vt:lpstr>CO.TAG</vt:lpstr>
      <vt:lpstr>COGS_1995</vt:lpstr>
      <vt:lpstr>COGS_1996</vt:lpstr>
      <vt:lpstr>COGS_1997</vt:lpstr>
      <vt:lpstr>COGS_1998</vt:lpstr>
      <vt:lpstr>COGS_1999</vt:lpstr>
      <vt:lpstr>Tags!COGS_1Q00</vt:lpstr>
      <vt:lpstr>COGS_1Q00</vt:lpstr>
      <vt:lpstr>Tags!COGS_1Q01</vt:lpstr>
      <vt:lpstr>COGS_1Q01</vt:lpstr>
      <vt:lpstr>Tags!COGS_1Q02</vt:lpstr>
      <vt:lpstr>COGS_1Q02</vt:lpstr>
      <vt:lpstr>Tags!COGS_1Q03</vt:lpstr>
      <vt:lpstr>COGS_1Q03</vt:lpstr>
      <vt:lpstr>Tags!COGS_1Q04</vt:lpstr>
      <vt:lpstr>COGS_1Q04</vt:lpstr>
      <vt:lpstr>Tags!COGS_1Q05</vt:lpstr>
      <vt:lpstr>COGS_1Q05</vt:lpstr>
      <vt:lpstr>Tags!COGS_1Q06</vt:lpstr>
      <vt:lpstr>COGS_1Q06</vt:lpstr>
      <vt:lpstr>Tags!COGS_1Q07</vt:lpstr>
      <vt:lpstr>COGS_1Q07</vt:lpstr>
      <vt:lpstr>Tags!COGS_1Q08</vt:lpstr>
      <vt:lpstr>COGS_1Q08</vt:lpstr>
      <vt:lpstr>Tags!COGS_1Q09</vt:lpstr>
      <vt:lpstr>COGS_1Q09</vt:lpstr>
      <vt:lpstr>Tags!COGS_1Q10</vt:lpstr>
      <vt:lpstr>COGS_1Q10</vt:lpstr>
      <vt:lpstr>Tags!COGS_1Q11</vt:lpstr>
      <vt:lpstr>COGS_1Q11</vt:lpstr>
      <vt:lpstr>Tags!COGS_1Q12</vt:lpstr>
      <vt:lpstr>COGS_1Q12</vt:lpstr>
      <vt:lpstr>Tags!COGS_1Q13</vt:lpstr>
      <vt:lpstr>COGS_1Q13</vt:lpstr>
      <vt:lpstr>Tags!COGS_1Q14</vt:lpstr>
      <vt:lpstr>COGS_1Q14</vt:lpstr>
      <vt:lpstr>Tags!COGS_1Q15</vt:lpstr>
      <vt:lpstr>COGS_1Q15</vt:lpstr>
      <vt:lpstr>Tags!COGS_1Q16</vt:lpstr>
      <vt:lpstr>COGS_1Q16</vt:lpstr>
      <vt:lpstr>Tags!COGS_1Q17</vt:lpstr>
      <vt:lpstr>COGS_1Q17</vt:lpstr>
      <vt:lpstr>Tags!COGS_1Q18</vt:lpstr>
      <vt:lpstr>COGS_1Q18</vt:lpstr>
      <vt:lpstr>Tags!COGS_1Q19</vt:lpstr>
      <vt:lpstr>COGS_1Q19</vt:lpstr>
      <vt:lpstr>Tags!COGS_1Q20</vt:lpstr>
      <vt:lpstr>COGS_1Q20</vt:lpstr>
      <vt:lpstr>COGS_1Q21</vt:lpstr>
      <vt:lpstr>COGS_1Q22</vt:lpstr>
      <vt:lpstr>COGS_1Q23</vt:lpstr>
      <vt:lpstr>COGS_1Q24</vt:lpstr>
      <vt:lpstr>Tags!COGS_2000</vt:lpstr>
      <vt:lpstr>COGS_2000</vt:lpstr>
      <vt:lpstr>Tags!COGS_2001</vt:lpstr>
      <vt:lpstr>COGS_2001</vt:lpstr>
      <vt:lpstr>Tags!COGS_2002</vt:lpstr>
      <vt:lpstr>COGS_2002</vt:lpstr>
      <vt:lpstr>Tags!COGS_2003</vt:lpstr>
      <vt:lpstr>COGS_2003</vt:lpstr>
      <vt:lpstr>Tags!COGS_2004</vt:lpstr>
      <vt:lpstr>COGS_2004</vt:lpstr>
      <vt:lpstr>Tags!COGS_2005</vt:lpstr>
      <vt:lpstr>COGS_2005</vt:lpstr>
      <vt:lpstr>Tags!COGS_2006</vt:lpstr>
      <vt:lpstr>COGS_2006</vt:lpstr>
      <vt:lpstr>Tags!COGS_2007</vt:lpstr>
      <vt:lpstr>COGS_2007</vt:lpstr>
      <vt:lpstr>Tags!COGS_2008</vt:lpstr>
      <vt:lpstr>COGS_2008</vt:lpstr>
      <vt:lpstr>Tags!COGS_2009</vt:lpstr>
      <vt:lpstr>COGS_2009</vt:lpstr>
      <vt:lpstr>Tags!COGS_2010</vt:lpstr>
      <vt:lpstr>COGS_2010</vt:lpstr>
      <vt:lpstr>Tags!COGS_2011</vt:lpstr>
      <vt:lpstr>COGS_2011</vt:lpstr>
      <vt:lpstr>Tags!COGS_2012</vt:lpstr>
      <vt:lpstr>COGS_2012</vt:lpstr>
      <vt:lpstr>Tags!COGS_2013</vt:lpstr>
      <vt:lpstr>COGS_2013</vt:lpstr>
      <vt:lpstr>Tags!COGS_2014</vt:lpstr>
      <vt:lpstr>COGS_2014</vt:lpstr>
      <vt:lpstr>COGS_2015</vt:lpstr>
      <vt:lpstr>Tags!COGS_2016</vt:lpstr>
      <vt:lpstr>COGS_2016</vt:lpstr>
      <vt:lpstr>Tags!COGS_2017</vt:lpstr>
      <vt:lpstr>COGS_2017</vt:lpstr>
      <vt:lpstr>Tags!COGS_2018</vt:lpstr>
      <vt:lpstr>COGS_2018</vt:lpstr>
      <vt:lpstr>Tags!COGS_2019</vt:lpstr>
      <vt:lpstr>COGS_2019</vt:lpstr>
      <vt:lpstr>Tags!COGS_2020</vt:lpstr>
      <vt:lpstr>COGS_2020</vt:lpstr>
      <vt:lpstr>COGS_2021</vt:lpstr>
      <vt:lpstr>COGS_2022</vt:lpstr>
      <vt:lpstr>COGS_2023</vt:lpstr>
      <vt:lpstr>COGS_2024</vt:lpstr>
      <vt:lpstr>Tags!COGS_2Q00</vt:lpstr>
      <vt:lpstr>COGS_2Q00</vt:lpstr>
      <vt:lpstr>Tags!COGS_2Q01</vt:lpstr>
      <vt:lpstr>COGS_2Q01</vt:lpstr>
      <vt:lpstr>Tags!COGS_2Q02</vt:lpstr>
      <vt:lpstr>COGS_2Q02</vt:lpstr>
      <vt:lpstr>Tags!COGS_2Q03</vt:lpstr>
      <vt:lpstr>COGS_2Q03</vt:lpstr>
      <vt:lpstr>Tags!COGS_2Q04</vt:lpstr>
      <vt:lpstr>COGS_2Q04</vt:lpstr>
      <vt:lpstr>Tags!COGS_2Q05</vt:lpstr>
      <vt:lpstr>COGS_2Q05</vt:lpstr>
      <vt:lpstr>Tags!COGS_2Q06</vt:lpstr>
      <vt:lpstr>COGS_2Q06</vt:lpstr>
      <vt:lpstr>Tags!COGS_2Q07</vt:lpstr>
      <vt:lpstr>COGS_2Q07</vt:lpstr>
      <vt:lpstr>Tags!COGS_2Q08</vt:lpstr>
      <vt:lpstr>COGS_2Q08</vt:lpstr>
      <vt:lpstr>Tags!COGS_2Q09</vt:lpstr>
      <vt:lpstr>COGS_2Q09</vt:lpstr>
      <vt:lpstr>Tags!COGS_2Q10</vt:lpstr>
      <vt:lpstr>COGS_2Q10</vt:lpstr>
      <vt:lpstr>Tags!COGS_2Q11</vt:lpstr>
      <vt:lpstr>COGS_2Q11</vt:lpstr>
      <vt:lpstr>Tags!COGS_2Q12</vt:lpstr>
      <vt:lpstr>COGS_2Q12</vt:lpstr>
      <vt:lpstr>Tags!COGS_2Q13</vt:lpstr>
      <vt:lpstr>COGS_2Q13</vt:lpstr>
      <vt:lpstr>Tags!COGS_2Q14</vt:lpstr>
      <vt:lpstr>COGS_2Q14</vt:lpstr>
      <vt:lpstr>Tags!COGS_2Q15</vt:lpstr>
      <vt:lpstr>COGS_2Q15</vt:lpstr>
      <vt:lpstr>Tags!COGS_2Q16</vt:lpstr>
      <vt:lpstr>COGS_2Q16</vt:lpstr>
      <vt:lpstr>Tags!COGS_2Q17</vt:lpstr>
      <vt:lpstr>COGS_2Q17</vt:lpstr>
      <vt:lpstr>Tags!COGS_2Q18</vt:lpstr>
      <vt:lpstr>COGS_2Q18</vt:lpstr>
      <vt:lpstr>Tags!COGS_2Q19</vt:lpstr>
      <vt:lpstr>COGS_2Q19</vt:lpstr>
      <vt:lpstr>Tags!COGS_2Q20</vt:lpstr>
      <vt:lpstr>COGS_2Q20</vt:lpstr>
      <vt:lpstr>COGS_2Q21</vt:lpstr>
      <vt:lpstr>COGS_2Q22</vt:lpstr>
      <vt:lpstr>COGS_2Q23</vt:lpstr>
      <vt:lpstr>COGS_2Q24</vt:lpstr>
      <vt:lpstr>Tags!COGS_3Q00</vt:lpstr>
      <vt:lpstr>COGS_3Q00</vt:lpstr>
      <vt:lpstr>Tags!COGS_3Q01</vt:lpstr>
      <vt:lpstr>COGS_3Q01</vt:lpstr>
      <vt:lpstr>Tags!COGS_3Q02</vt:lpstr>
      <vt:lpstr>COGS_3Q02</vt:lpstr>
      <vt:lpstr>Tags!COGS_3Q03</vt:lpstr>
      <vt:lpstr>COGS_3Q03</vt:lpstr>
      <vt:lpstr>Tags!COGS_3Q04</vt:lpstr>
      <vt:lpstr>COGS_3Q04</vt:lpstr>
      <vt:lpstr>Tags!COGS_3Q05</vt:lpstr>
      <vt:lpstr>COGS_3Q05</vt:lpstr>
      <vt:lpstr>Tags!COGS_3Q06</vt:lpstr>
      <vt:lpstr>COGS_3Q06</vt:lpstr>
      <vt:lpstr>Tags!COGS_3Q07</vt:lpstr>
      <vt:lpstr>COGS_3Q07</vt:lpstr>
      <vt:lpstr>Tags!COGS_3Q08</vt:lpstr>
      <vt:lpstr>COGS_3Q08</vt:lpstr>
      <vt:lpstr>Tags!COGS_3Q09</vt:lpstr>
      <vt:lpstr>COGS_3Q09</vt:lpstr>
      <vt:lpstr>Tags!COGS_3Q10</vt:lpstr>
      <vt:lpstr>COGS_3Q10</vt:lpstr>
      <vt:lpstr>Tags!COGS_3Q11</vt:lpstr>
      <vt:lpstr>COGS_3Q11</vt:lpstr>
      <vt:lpstr>Tags!COGS_3Q12</vt:lpstr>
      <vt:lpstr>COGS_3Q12</vt:lpstr>
      <vt:lpstr>Tags!COGS_3Q13</vt:lpstr>
      <vt:lpstr>COGS_3Q13</vt:lpstr>
      <vt:lpstr>Tags!COGS_3Q14</vt:lpstr>
      <vt:lpstr>COGS_3Q14</vt:lpstr>
      <vt:lpstr>Tags!COGS_3Q15</vt:lpstr>
      <vt:lpstr>COGS_3Q15</vt:lpstr>
      <vt:lpstr>Tags!COGS_3Q16</vt:lpstr>
      <vt:lpstr>COGS_3Q16</vt:lpstr>
      <vt:lpstr>Tags!COGS_3Q17</vt:lpstr>
      <vt:lpstr>COGS_3Q17</vt:lpstr>
      <vt:lpstr>Tags!COGS_3Q18</vt:lpstr>
      <vt:lpstr>COGS_3Q18</vt:lpstr>
      <vt:lpstr>Tags!COGS_3Q19</vt:lpstr>
      <vt:lpstr>COGS_3Q19</vt:lpstr>
      <vt:lpstr>Tags!COGS_3Q20</vt:lpstr>
      <vt:lpstr>COGS_3Q20</vt:lpstr>
      <vt:lpstr>COGS_3Q21</vt:lpstr>
      <vt:lpstr>COGS_3Q22</vt:lpstr>
      <vt:lpstr>COGS_3Q23</vt:lpstr>
      <vt:lpstr>COGS_3Q24</vt:lpstr>
      <vt:lpstr>Tags!COGS_4Q00</vt:lpstr>
      <vt:lpstr>COGS_4Q00</vt:lpstr>
      <vt:lpstr>Tags!COGS_4Q01</vt:lpstr>
      <vt:lpstr>COGS_4Q01</vt:lpstr>
      <vt:lpstr>Tags!COGS_4Q02</vt:lpstr>
      <vt:lpstr>COGS_4Q02</vt:lpstr>
      <vt:lpstr>Tags!COGS_4Q03</vt:lpstr>
      <vt:lpstr>COGS_4Q03</vt:lpstr>
      <vt:lpstr>Tags!COGS_4Q04</vt:lpstr>
      <vt:lpstr>COGS_4Q04</vt:lpstr>
      <vt:lpstr>Tags!COGS_4Q05</vt:lpstr>
      <vt:lpstr>COGS_4Q05</vt:lpstr>
      <vt:lpstr>Tags!COGS_4Q06</vt:lpstr>
      <vt:lpstr>COGS_4Q06</vt:lpstr>
      <vt:lpstr>Tags!COGS_4Q07</vt:lpstr>
      <vt:lpstr>COGS_4Q07</vt:lpstr>
      <vt:lpstr>Tags!COGS_4Q08</vt:lpstr>
      <vt:lpstr>COGS_4Q08</vt:lpstr>
      <vt:lpstr>Tags!COGS_4Q09</vt:lpstr>
      <vt:lpstr>COGS_4Q09</vt:lpstr>
      <vt:lpstr>Tags!COGS_4Q10</vt:lpstr>
      <vt:lpstr>COGS_4Q10</vt:lpstr>
      <vt:lpstr>Tags!COGS_4Q11</vt:lpstr>
      <vt:lpstr>COGS_4Q11</vt:lpstr>
      <vt:lpstr>Tags!COGS_4Q12</vt:lpstr>
      <vt:lpstr>COGS_4Q12</vt:lpstr>
      <vt:lpstr>Tags!COGS_4Q13</vt:lpstr>
      <vt:lpstr>COGS_4Q13</vt:lpstr>
      <vt:lpstr>Tags!COGS_4Q14</vt:lpstr>
      <vt:lpstr>COGS_4Q14</vt:lpstr>
      <vt:lpstr>Tags!COGS_4Q15</vt:lpstr>
      <vt:lpstr>COGS_4Q15</vt:lpstr>
      <vt:lpstr>Tags!COGS_4Q16</vt:lpstr>
      <vt:lpstr>COGS_4Q16</vt:lpstr>
      <vt:lpstr>Tags!COGS_4Q17</vt:lpstr>
      <vt:lpstr>COGS_4Q17</vt:lpstr>
      <vt:lpstr>Tags!COGS_4Q18</vt:lpstr>
      <vt:lpstr>COGS_4Q18</vt:lpstr>
      <vt:lpstr>Tags!COGS_4Q19</vt:lpstr>
      <vt:lpstr>COGS_4Q19</vt:lpstr>
      <vt:lpstr>Tags!COGS_4Q20</vt:lpstr>
      <vt:lpstr>COGS_4Q20</vt:lpstr>
      <vt:lpstr>COGS_4Q21</vt:lpstr>
      <vt:lpstr>COGS_4Q22</vt:lpstr>
      <vt:lpstr>COGS_4Q23</vt:lpstr>
      <vt:lpstr>COGS_4Q24</vt:lpstr>
      <vt:lpstr>CPPROV_1995</vt:lpstr>
      <vt:lpstr>CPPROV_1996</vt:lpstr>
      <vt:lpstr>CPPROV_1997</vt:lpstr>
      <vt:lpstr>CPPROV_1998</vt:lpstr>
      <vt:lpstr>CPPROV_1999</vt:lpstr>
      <vt:lpstr>Tags!CPPROV_1Q00</vt:lpstr>
      <vt:lpstr>CPPROV_1Q00</vt:lpstr>
      <vt:lpstr>Tags!CPPROV_1Q01</vt:lpstr>
      <vt:lpstr>CPPROV_1Q01</vt:lpstr>
      <vt:lpstr>Tags!CPPROV_1Q02</vt:lpstr>
      <vt:lpstr>CPPROV_1Q02</vt:lpstr>
      <vt:lpstr>Tags!CPPROV_1Q03</vt:lpstr>
      <vt:lpstr>CPPROV_1Q03</vt:lpstr>
      <vt:lpstr>Tags!CPPROV_1Q04</vt:lpstr>
      <vt:lpstr>CPPROV_1Q04</vt:lpstr>
      <vt:lpstr>Tags!CPPROV_1Q05</vt:lpstr>
      <vt:lpstr>CPPROV_1Q05</vt:lpstr>
      <vt:lpstr>Tags!CPPROV_1Q06</vt:lpstr>
      <vt:lpstr>CPPROV_1Q06</vt:lpstr>
      <vt:lpstr>Tags!CPPROV_1Q07</vt:lpstr>
      <vt:lpstr>CPPROV_1Q07</vt:lpstr>
      <vt:lpstr>Tags!CPPROV_1Q08</vt:lpstr>
      <vt:lpstr>CPPROV_1Q08</vt:lpstr>
      <vt:lpstr>Tags!CPPROV_1Q09</vt:lpstr>
      <vt:lpstr>CPPROV_1Q09</vt:lpstr>
      <vt:lpstr>Tags!CPPROV_1Q10</vt:lpstr>
      <vt:lpstr>CPPROV_1Q10</vt:lpstr>
      <vt:lpstr>Tags!CPPROV_1Q11</vt:lpstr>
      <vt:lpstr>CPPROV_1Q11</vt:lpstr>
      <vt:lpstr>Tags!CPPROV_1Q12</vt:lpstr>
      <vt:lpstr>CPPROV_1Q12</vt:lpstr>
      <vt:lpstr>Tags!CPPROV_1Q13</vt:lpstr>
      <vt:lpstr>CPPROV_1Q13</vt:lpstr>
      <vt:lpstr>Tags!CPPROV_1Q14</vt:lpstr>
      <vt:lpstr>CPPROV_1Q14</vt:lpstr>
      <vt:lpstr>Tags!CPPROV_1Q15</vt:lpstr>
      <vt:lpstr>CPPROV_1Q15</vt:lpstr>
      <vt:lpstr>Tags!CPPROV_1Q16</vt:lpstr>
      <vt:lpstr>CPPROV_1Q16</vt:lpstr>
      <vt:lpstr>Tags!CPPROV_1Q17</vt:lpstr>
      <vt:lpstr>CPPROV_1Q17</vt:lpstr>
      <vt:lpstr>Tags!CPPROV_1Q18</vt:lpstr>
      <vt:lpstr>CPPROV_1Q18</vt:lpstr>
      <vt:lpstr>Tags!CPPROV_1Q19</vt:lpstr>
      <vt:lpstr>CPPROV_1Q19</vt:lpstr>
      <vt:lpstr>Tags!CPPROV_1Q20</vt:lpstr>
      <vt:lpstr>CPPROV_1Q20</vt:lpstr>
      <vt:lpstr>CPPROV_1Q21</vt:lpstr>
      <vt:lpstr>CPPROV_1Q22</vt:lpstr>
      <vt:lpstr>CPPROV_1Q23</vt:lpstr>
      <vt:lpstr>CPPROV_1Q24</vt:lpstr>
      <vt:lpstr>Tags!CPPROV_2000</vt:lpstr>
      <vt:lpstr>CPPROV_2000</vt:lpstr>
      <vt:lpstr>Tags!CPPROV_2001</vt:lpstr>
      <vt:lpstr>CPPROV_2001</vt:lpstr>
      <vt:lpstr>Tags!CPPROV_2002</vt:lpstr>
      <vt:lpstr>CPPROV_2002</vt:lpstr>
      <vt:lpstr>Tags!CPPROV_2003</vt:lpstr>
      <vt:lpstr>CPPROV_2003</vt:lpstr>
      <vt:lpstr>Tags!CPPROV_2004</vt:lpstr>
      <vt:lpstr>CPPROV_2004</vt:lpstr>
      <vt:lpstr>Tags!CPPROV_2005</vt:lpstr>
      <vt:lpstr>CPPROV_2005</vt:lpstr>
      <vt:lpstr>Tags!CPPROV_2006</vt:lpstr>
      <vt:lpstr>CPPROV_2006</vt:lpstr>
      <vt:lpstr>Tags!CPPROV_2007</vt:lpstr>
      <vt:lpstr>CPPROV_2007</vt:lpstr>
      <vt:lpstr>Tags!CPPROV_2008</vt:lpstr>
      <vt:lpstr>CPPROV_2008</vt:lpstr>
      <vt:lpstr>Tags!CPPROV_2009</vt:lpstr>
      <vt:lpstr>CPPROV_2009</vt:lpstr>
      <vt:lpstr>Tags!CPPROV_2010</vt:lpstr>
      <vt:lpstr>CPPROV_2010</vt:lpstr>
      <vt:lpstr>Tags!CPPROV_2011</vt:lpstr>
      <vt:lpstr>CPPROV_2011</vt:lpstr>
      <vt:lpstr>Tags!CPPROV_2012</vt:lpstr>
      <vt:lpstr>CPPROV_2012</vt:lpstr>
      <vt:lpstr>Tags!CPPROV_2013</vt:lpstr>
      <vt:lpstr>CPPROV_2013</vt:lpstr>
      <vt:lpstr>Tags!CPPROV_2014</vt:lpstr>
      <vt:lpstr>CPPROV_2014</vt:lpstr>
      <vt:lpstr>CPPROV_2015</vt:lpstr>
      <vt:lpstr>Tags!CPPROV_2016</vt:lpstr>
      <vt:lpstr>CPPROV_2016</vt:lpstr>
      <vt:lpstr>Tags!CPPROV_2017</vt:lpstr>
      <vt:lpstr>CPPROV_2017</vt:lpstr>
      <vt:lpstr>Tags!CPPROV_2018</vt:lpstr>
      <vt:lpstr>CPPROV_2018</vt:lpstr>
      <vt:lpstr>Tags!CPPROV_2019</vt:lpstr>
      <vt:lpstr>CPPROV_2019</vt:lpstr>
      <vt:lpstr>Tags!CPPROV_2020</vt:lpstr>
      <vt:lpstr>CPPROV_2020</vt:lpstr>
      <vt:lpstr>CPPROV_2021</vt:lpstr>
      <vt:lpstr>CPPROV_2022</vt:lpstr>
      <vt:lpstr>CPPROV_2023</vt:lpstr>
      <vt:lpstr>CPPROV_2024</vt:lpstr>
      <vt:lpstr>Tags!CPPROV_2Q00</vt:lpstr>
      <vt:lpstr>CPPROV_2Q00</vt:lpstr>
      <vt:lpstr>Tags!CPPROV_2Q01</vt:lpstr>
      <vt:lpstr>CPPROV_2Q01</vt:lpstr>
      <vt:lpstr>Tags!CPPROV_2Q02</vt:lpstr>
      <vt:lpstr>CPPROV_2Q02</vt:lpstr>
      <vt:lpstr>Tags!CPPROV_2Q03</vt:lpstr>
      <vt:lpstr>CPPROV_2Q03</vt:lpstr>
      <vt:lpstr>Tags!CPPROV_2Q04</vt:lpstr>
      <vt:lpstr>CPPROV_2Q04</vt:lpstr>
      <vt:lpstr>Tags!CPPROV_2Q05</vt:lpstr>
      <vt:lpstr>CPPROV_2Q05</vt:lpstr>
      <vt:lpstr>Tags!CPPROV_2Q06</vt:lpstr>
      <vt:lpstr>CPPROV_2Q06</vt:lpstr>
      <vt:lpstr>Tags!CPPROV_2Q07</vt:lpstr>
      <vt:lpstr>CPPROV_2Q07</vt:lpstr>
      <vt:lpstr>Tags!CPPROV_2Q08</vt:lpstr>
      <vt:lpstr>CPPROV_2Q08</vt:lpstr>
      <vt:lpstr>Tags!CPPROV_2Q09</vt:lpstr>
      <vt:lpstr>CPPROV_2Q09</vt:lpstr>
      <vt:lpstr>Tags!CPPROV_2Q10</vt:lpstr>
      <vt:lpstr>CPPROV_2Q10</vt:lpstr>
      <vt:lpstr>Tags!CPPROV_2Q11</vt:lpstr>
      <vt:lpstr>CPPROV_2Q11</vt:lpstr>
      <vt:lpstr>Tags!CPPROV_2Q12</vt:lpstr>
      <vt:lpstr>CPPROV_2Q12</vt:lpstr>
      <vt:lpstr>Tags!CPPROV_2Q13</vt:lpstr>
      <vt:lpstr>CPPROV_2Q13</vt:lpstr>
      <vt:lpstr>Tags!CPPROV_2Q14</vt:lpstr>
      <vt:lpstr>CPPROV_2Q14</vt:lpstr>
      <vt:lpstr>Tags!CPPROV_2Q15</vt:lpstr>
      <vt:lpstr>CPPROV_2Q15</vt:lpstr>
      <vt:lpstr>Tags!CPPROV_2Q16</vt:lpstr>
      <vt:lpstr>CPPROV_2Q16</vt:lpstr>
      <vt:lpstr>Tags!CPPROV_2Q17</vt:lpstr>
      <vt:lpstr>CPPROV_2Q17</vt:lpstr>
      <vt:lpstr>Tags!CPPROV_2Q18</vt:lpstr>
      <vt:lpstr>CPPROV_2Q18</vt:lpstr>
      <vt:lpstr>Tags!CPPROV_2Q19</vt:lpstr>
      <vt:lpstr>CPPROV_2Q19</vt:lpstr>
      <vt:lpstr>Tags!CPPROV_2Q20</vt:lpstr>
      <vt:lpstr>CPPROV_2Q20</vt:lpstr>
      <vt:lpstr>CPPROV_2Q21</vt:lpstr>
      <vt:lpstr>CPPROV_2Q22</vt:lpstr>
      <vt:lpstr>CPPROV_2Q23</vt:lpstr>
      <vt:lpstr>CPPROV_2Q24</vt:lpstr>
      <vt:lpstr>Tags!CPPROV_3Q00</vt:lpstr>
      <vt:lpstr>CPPROV_3Q00</vt:lpstr>
      <vt:lpstr>Tags!CPPROV_3Q01</vt:lpstr>
      <vt:lpstr>CPPROV_3Q01</vt:lpstr>
      <vt:lpstr>Tags!CPPROV_3Q02</vt:lpstr>
      <vt:lpstr>CPPROV_3Q02</vt:lpstr>
      <vt:lpstr>Tags!CPPROV_3Q03</vt:lpstr>
      <vt:lpstr>CPPROV_3Q03</vt:lpstr>
      <vt:lpstr>Tags!CPPROV_3Q04</vt:lpstr>
      <vt:lpstr>CPPROV_3Q04</vt:lpstr>
      <vt:lpstr>Tags!CPPROV_3Q05</vt:lpstr>
      <vt:lpstr>CPPROV_3Q05</vt:lpstr>
      <vt:lpstr>Tags!CPPROV_3Q06</vt:lpstr>
      <vt:lpstr>CPPROV_3Q06</vt:lpstr>
      <vt:lpstr>Tags!CPPROV_3Q07</vt:lpstr>
      <vt:lpstr>CPPROV_3Q07</vt:lpstr>
      <vt:lpstr>Tags!CPPROV_3Q08</vt:lpstr>
      <vt:lpstr>CPPROV_3Q08</vt:lpstr>
      <vt:lpstr>Tags!CPPROV_3Q09</vt:lpstr>
      <vt:lpstr>CPPROV_3Q09</vt:lpstr>
      <vt:lpstr>Tags!CPPROV_3Q10</vt:lpstr>
      <vt:lpstr>CPPROV_3Q10</vt:lpstr>
      <vt:lpstr>Tags!CPPROV_3Q11</vt:lpstr>
      <vt:lpstr>CPPROV_3Q11</vt:lpstr>
      <vt:lpstr>Tags!CPPROV_3Q12</vt:lpstr>
      <vt:lpstr>CPPROV_3Q12</vt:lpstr>
      <vt:lpstr>Tags!CPPROV_3Q13</vt:lpstr>
      <vt:lpstr>CPPROV_3Q13</vt:lpstr>
      <vt:lpstr>Tags!CPPROV_3Q14</vt:lpstr>
      <vt:lpstr>CPPROV_3Q14</vt:lpstr>
      <vt:lpstr>Tags!CPPROV_3Q15</vt:lpstr>
      <vt:lpstr>CPPROV_3Q15</vt:lpstr>
      <vt:lpstr>Tags!CPPROV_3Q16</vt:lpstr>
      <vt:lpstr>CPPROV_3Q16</vt:lpstr>
      <vt:lpstr>Tags!CPPROV_3Q17</vt:lpstr>
      <vt:lpstr>CPPROV_3Q17</vt:lpstr>
      <vt:lpstr>Tags!CPPROV_3Q18</vt:lpstr>
      <vt:lpstr>CPPROV_3Q18</vt:lpstr>
      <vt:lpstr>Tags!CPPROV_3Q19</vt:lpstr>
      <vt:lpstr>CPPROV_3Q19</vt:lpstr>
      <vt:lpstr>Tags!CPPROV_3Q20</vt:lpstr>
      <vt:lpstr>CPPROV_3Q20</vt:lpstr>
      <vt:lpstr>CPPROV_3Q21</vt:lpstr>
      <vt:lpstr>CPPROV_3Q22</vt:lpstr>
      <vt:lpstr>CPPROV_3Q23</vt:lpstr>
      <vt:lpstr>CPPROV_3Q24</vt:lpstr>
      <vt:lpstr>Tags!CPPROV_4Q00</vt:lpstr>
      <vt:lpstr>CPPROV_4Q00</vt:lpstr>
      <vt:lpstr>Tags!CPPROV_4Q01</vt:lpstr>
      <vt:lpstr>CPPROV_4Q01</vt:lpstr>
      <vt:lpstr>Tags!CPPROV_4Q02</vt:lpstr>
      <vt:lpstr>CPPROV_4Q02</vt:lpstr>
      <vt:lpstr>Tags!CPPROV_4Q03</vt:lpstr>
      <vt:lpstr>CPPROV_4Q03</vt:lpstr>
      <vt:lpstr>Tags!CPPROV_4Q04</vt:lpstr>
      <vt:lpstr>CPPROV_4Q04</vt:lpstr>
      <vt:lpstr>Tags!CPPROV_4Q05</vt:lpstr>
      <vt:lpstr>CPPROV_4Q05</vt:lpstr>
      <vt:lpstr>Tags!CPPROV_4Q06</vt:lpstr>
      <vt:lpstr>CPPROV_4Q06</vt:lpstr>
      <vt:lpstr>Tags!CPPROV_4Q07</vt:lpstr>
      <vt:lpstr>CPPROV_4Q07</vt:lpstr>
      <vt:lpstr>Tags!CPPROV_4Q08</vt:lpstr>
      <vt:lpstr>CPPROV_4Q08</vt:lpstr>
      <vt:lpstr>Tags!CPPROV_4Q09</vt:lpstr>
      <vt:lpstr>CPPROV_4Q09</vt:lpstr>
      <vt:lpstr>Tags!CPPROV_4Q10</vt:lpstr>
      <vt:lpstr>CPPROV_4Q10</vt:lpstr>
      <vt:lpstr>Tags!CPPROV_4Q11</vt:lpstr>
      <vt:lpstr>CPPROV_4Q11</vt:lpstr>
      <vt:lpstr>Tags!CPPROV_4Q12</vt:lpstr>
      <vt:lpstr>CPPROV_4Q12</vt:lpstr>
      <vt:lpstr>Tags!CPPROV_4Q13</vt:lpstr>
      <vt:lpstr>CPPROV_4Q13</vt:lpstr>
      <vt:lpstr>Tags!CPPROV_4Q14</vt:lpstr>
      <vt:lpstr>CPPROV_4Q14</vt:lpstr>
      <vt:lpstr>Tags!CPPROV_4Q15</vt:lpstr>
      <vt:lpstr>CPPROV_4Q15</vt:lpstr>
      <vt:lpstr>Tags!CPPROV_4Q16</vt:lpstr>
      <vt:lpstr>CPPROV_4Q16</vt:lpstr>
      <vt:lpstr>Tags!CPPROV_4Q17</vt:lpstr>
      <vt:lpstr>CPPROV_4Q17</vt:lpstr>
      <vt:lpstr>Tags!CPPROV_4Q18</vt:lpstr>
      <vt:lpstr>CPPROV_4Q18</vt:lpstr>
      <vt:lpstr>Tags!CPPROV_4Q19</vt:lpstr>
      <vt:lpstr>CPPROV_4Q19</vt:lpstr>
      <vt:lpstr>Tags!CPPROV_4Q20</vt:lpstr>
      <vt:lpstr>CPPROV_4Q20</vt:lpstr>
      <vt:lpstr>CPPROV_4Q21</vt:lpstr>
      <vt:lpstr>CPPROV_4Q22</vt:lpstr>
      <vt:lpstr>CPPROV_4Q23</vt:lpstr>
      <vt:lpstr>CPPROV_4Q24</vt:lpstr>
      <vt:lpstr>CUPEIT_1995</vt:lpstr>
      <vt:lpstr>CUPEIT_1996</vt:lpstr>
      <vt:lpstr>CUPEIT_1997</vt:lpstr>
      <vt:lpstr>CUPEIT_1998</vt:lpstr>
      <vt:lpstr>CUPEIT_1999</vt:lpstr>
      <vt:lpstr>Tags!CUPEIT_1Q00</vt:lpstr>
      <vt:lpstr>CUPEIT_1Q00</vt:lpstr>
      <vt:lpstr>Tags!CUPEIT_1Q01</vt:lpstr>
      <vt:lpstr>CUPEIT_1Q01</vt:lpstr>
      <vt:lpstr>Tags!CUPEIT_1Q02</vt:lpstr>
      <vt:lpstr>CUPEIT_1Q02</vt:lpstr>
      <vt:lpstr>Tags!CUPEIT_1Q03</vt:lpstr>
      <vt:lpstr>CUPEIT_1Q03</vt:lpstr>
      <vt:lpstr>Tags!CUPEIT_1Q04</vt:lpstr>
      <vt:lpstr>CUPEIT_1Q04</vt:lpstr>
      <vt:lpstr>Tags!CUPEIT_1Q05</vt:lpstr>
      <vt:lpstr>CUPEIT_1Q05</vt:lpstr>
      <vt:lpstr>Tags!CUPEIT_1Q06</vt:lpstr>
      <vt:lpstr>CUPEIT_1Q06</vt:lpstr>
      <vt:lpstr>Tags!CUPEIT_1Q07</vt:lpstr>
      <vt:lpstr>CUPEIT_1Q07</vt:lpstr>
      <vt:lpstr>Tags!CUPEIT_1Q08</vt:lpstr>
      <vt:lpstr>CUPEIT_1Q08</vt:lpstr>
      <vt:lpstr>Tags!CUPEIT_1Q09</vt:lpstr>
      <vt:lpstr>CUPEIT_1Q09</vt:lpstr>
      <vt:lpstr>Tags!CUPEIT_1Q10</vt:lpstr>
      <vt:lpstr>CUPEIT_1Q10</vt:lpstr>
      <vt:lpstr>Tags!CUPEIT_1Q11</vt:lpstr>
      <vt:lpstr>CUPEIT_1Q11</vt:lpstr>
      <vt:lpstr>Tags!CUPEIT_1Q12</vt:lpstr>
      <vt:lpstr>CUPEIT_1Q12</vt:lpstr>
      <vt:lpstr>Tags!CUPEIT_1Q13</vt:lpstr>
      <vt:lpstr>CUPEIT_1Q13</vt:lpstr>
      <vt:lpstr>Tags!CUPEIT_1Q14</vt:lpstr>
      <vt:lpstr>CUPEIT_1Q14</vt:lpstr>
      <vt:lpstr>Tags!CUPEIT_1Q15</vt:lpstr>
      <vt:lpstr>CUPEIT_1Q15</vt:lpstr>
      <vt:lpstr>Tags!CUPEIT_1Q16</vt:lpstr>
      <vt:lpstr>CUPEIT_1Q16</vt:lpstr>
      <vt:lpstr>Tags!CUPEIT_1Q17</vt:lpstr>
      <vt:lpstr>CUPEIT_1Q17</vt:lpstr>
      <vt:lpstr>Tags!CUPEIT_1Q18</vt:lpstr>
      <vt:lpstr>CUPEIT_1Q18</vt:lpstr>
      <vt:lpstr>Tags!CUPEIT_1Q19</vt:lpstr>
      <vt:lpstr>CUPEIT_1Q19</vt:lpstr>
      <vt:lpstr>Tags!CUPEIT_1Q20</vt:lpstr>
      <vt:lpstr>CUPEIT_1Q20</vt:lpstr>
      <vt:lpstr>CUPEIT_1Q21</vt:lpstr>
      <vt:lpstr>CUPEIT_1Q22</vt:lpstr>
      <vt:lpstr>CUPEIT_1Q23</vt:lpstr>
      <vt:lpstr>CUPEIT_1Q24</vt:lpstr>
      <vt:lpstr>Tags!CUPEIT_2000</vt:lpstr>
      <vt:lpstr>CUPEIT_2000</vt:lpstr>
      <vt:lpstr>Tags!CUPEIT_2001</vt:lpstr>
      <vt:lpstr>CUPEIT_2001</vt:lpstr>
      <vt:lpstr>Tags!CUPEIT_2002</vt:lpstr>
      <vt:lpstr>CUPEIT_2002</vt:lpstr>
      <vt:lpstr>Tags!CUPEIT_2003</vt:lpstr>
      <vt:lpstr>CUPEIT_2003</vt:lpstr>
      <vt:lpstr>Tags!CUPEIT_2004</vt:lpstr>
      <vt:lpstr>CUPEIT_2004</vt:lpstr>
      <vt:lpstr>Tags!CUPEIT_2005</vt:lpstr>
      <vt:lpstr>CUPEIT_2005</vt:lpstr>
      <vt:lpstr>Tags!CUPEIT_2006</vt:lpstr>
      <vt:lpstr>CUPEIT_2006</vt:lpstr>
      <vt:lpstr>Tags!CUPEIT_2007</vt:lpstr>
      <vt:lpstr>CUPEIT_2007</vt:lpstr>
      <vt:lpstr>Tags!CUPEIT_2008</vt:lpstr>
      <vt:lpstr>CUPEIT_2008</vt:lpstr>
      <vt:lpstr>Tags!CUPEIT_2009</vt:lpstr>
      <vt:lpstr>CUPEIT_2009</vt:lpstr>
      <vt:lpstr>Tags!CUPEIT_2010</vt:lpstr>
      <vt:lpstr>CUPEIT_2010</vt:lpstr>
      <vt:lpstr>Tags!CUPEIT_2011</vt:lpstr>
      <vt:lpstr>CUPEIT_2011</vt:lpstr>
      <vt:lpstr>Tags!CUPEIT_2012</vt:lpstr>
      <vt:lpstr>CUPEIT_2012</vt:lpstr>
      <vt:lpstr>Tags!CUPEIT_2013</vt:lpstr>
      <vt:lpstr>CUPEIT_2013</vt:lpstr>
      <vt:lpstr>Tags!CUPEIT_2014</vt:lpstr>
      <vt:lpstr>CUPEIT_2014</vt:lpstr>
      <vt:lpstr>CUPEIT_2015</vt:lpstr>
      <vt:lpstr>Tags!CUPEIT_2016</vt:lpstr>
      <vt:lpstr>CUPEIT_2016</vt:lpstr>
      <vt:lpstr>Tags!CUPEIT_2017</vt:lpstr>
      <vt:lpstr>CUPEIT_2017</vt:lpstr>
      <vt:lpstr>Tags!CUPEIT_2018</vt:lpstr>
      <vt:lpstr>CUPEIT_2018</vt:lpstr>
      <vt:lpstr>Tags!CUPEIT_2019</vt:lpstr>
      <vt:lpstr>CUPEIT_2019</vt:lpstr>
      <vt:lpstr>Tags!CUPEIT_2020</vt:lpstr>
      <vt:lpstr>CUPEIT_2020</vt:lpstr>
      <vt:lpstr>CUPEIT_2021</vt:lpstr>
      <vt:lpstr>CUPEIT_2022</vt:lpstr>
      <vt:lpstr>CUPEIT_2023</vt:lpstr>
      <vt:lpstr>CUPEIT_2024</vt:lpstr>
      <vt:lpstr>Tags!CUPEIT_2Q00</vt:lpstr>
      <vt:lpstr>CUPEIT_2Q00</vt:lpstr>
      <vt:lpstr>Tags!CUPEIT_2Q01</vt:lpstr>
      <vt:lpstr>CUPEIT_2Q01</vt:lpstr>
      <vt:lpstr>Tags!CUPEIT_2Q02</vt:lpstr>
      <vt:lpstr>CUPEIT_2Q02</vt:lpstr>
      <vt:lpstr>Tags!CUPEIT_2Q03</vt:lpstr>
      <vt:lpstr>CUPEIT_2Q03</vt:lpstr>
      <vt:lpstr>Tags!CUPEIT_2Q04</vt:lpstr>
      <vt:lpstr>CUPEIT_2Q04</vt:lpstr>
      <vt:lpstr>Tags!CUPEIT_2Q05</vt:lpstr>
      <vt:lpstr>CUPEIT_2Q05</vt:lpstr>
      <vt:lpstr>Tags!CUPEIT_2Q06</vt:lpstr>
      <vt:lpstr>CUPEIT_2Q06</vt:lpstr>
      <vt:lpstr>Tags!CUPEIT_2Q07</vt:lpstr>
      <vt:lpstr>CUPEIT_2Q07</vt:lpstr>
      <vt:lpstr>Tags!CUPEIT_2Q08</vt:lpstr>
      <vt:lpstr>CUPEIT_2Q08</vt:lpstr>
      <vt:lpstr>Tags!CUPEIT_2Q09</vt:lpstr>
      <vt:lpstr>CUPEIT_2Q09</vt:lpstr>
      <vt:lpstr>Tags!CUPEIT_2Q10</vt:lpstr>
      <vt:lpstr>CUPEIT_2Q10</vt:lpstr>
      <vt:lpstr>Tags!CUPEIT_2Q11</vt:lpstr>
      <vt:lpstr>CUPEIT_2Q11</vt:lpstr>
      <vt:lpstr>Tags!CUPEIT_2Q12</vt:lpstr>
      <vt:lpstr>CUPEIT_2Q12</vt:lpstr>
      <vt:lpstr>Tags!CUPEIT_2Q13</vt:lpstr>
      <vt:lpstr>CUPEIT_2Q13</vt:lpstr>
      <vt:lpstr>Tags!CUPEIT_2Q14</vt:lpstr>
      <vt:lpstr>CUPEIT_2Q14</vt:lpstr>
      <vt:lpstr>Tags!CUPEIT_2Q15</vt:lpstr>
      <vt:lpstr>CUPEIT_2Q15</vt:lpstr>
      <vt:lpstr>Tags!CUPEIT_2Q16</vt:lpstr>
      <vt:lpstr>CUPEIT_2Q16</vt:lpstr>
      <vt:lpstr>Tags!CUPEIT_2Q17</vt:lpstr>
      <vt:lpstr>CUPEIT_2Q17</vt:lpstr>
      <vt:lpstr>Tags!CUPEIT_2Q18</vt:lpstr>
      <vt:lpstr>CUPEIT_2Q18</vt:lpstr>
      <vt:lpstr>Tags!CUPEIT_2Q19</vt:lpstr>
      <vt:lpstr>CUPEIT_2Q19</vt:lpstr>
      <vt:lpstr>Tags!CUPEIT_2Q20</vt:lpstr>
      <vt:lpstr>CUPEIT_2Q20</vt:lpstr>
      <vt:lpstr>CUPEIT_2Q21</vt:lpstr>
      <vt:lpstr>CUPEIT_2Q22</vt:lpstr>
      <vt:lpstr>CUPEIT_2Q23</vt:lpstr>
      <vt:lpstr>CUPEIT_2Q24</vt:lpstr>
      <vt:lpstr>Tags!CUPEIT_3Q00</vt:lpstr>
      <vt:lpstr>CUPEIT_3Q00</vt:lpstr>
      <vt:lpstr>Tags!CUPEIT_3Q01</vt:lpstr>
      <vt:lpstr>CUPEIT_3Q01</vt:lpstr>
      <vt:lpstr>Tags!CUPEIT_3Q02</vt:lpstr>
      <vt:lpstr>CUPEIT_3Q02</vt:lpstr>
      <vt:lpstr>Tags!CUPEIT_3Q03</vt:lpstr>
      <vt:lpstr>CUPEIT_3Q03</vt:lpstr>
      <vt:lpstr>Tags!CUPEIT_3Q04</vt:lpstr>
      <vt:lpstr>CUPEIT_3Q04</vt:lpstr>
      <vt:lpstr>Tags!CUPEIT_3Q05</vt:lpstr>
      <vt:lpstr>CUPEIT_3Q05</vt:lpstr>
      <vt:lpstr>Tags!CUPEIT_3Q06</vt:lpstr>
      <vt:lpstr>CUPEIT_3Q06</vt:lpstr>
      <vt:lpstr>Tags!CUPEIT_3Q07</vt:lpstr>
      <vt:lpstr>CUPEIT_3Q07</vt:lpstr>
      <vt:lpstr>Tags!CUPEIT_3Q08</vt:lpstr>
      <vt:lpstr>CUPEIT_3Q08</vt:lpstr>
      <vt:lpstr>Tags!CUPEIT_3Q09</vt:lpstr>
      <vt:lpstr>CUPEIT_3Q09</vt:lpstr>
      <vt:lpstr>Tags!CUPEIT_3Q10</vt:lpstr>
      <vt:lpstr>CUPEIT_3Q10</vt:lpstr>
      <vt:lpstr>Tags!CUPEIT_3Q11</vt:lpstr>
      <vt:lpstr>CUPEIT_3Q11</vt:lpstr>
      <vt:lpstr>Tags!CUPEIT_3Q12</vt:lpstr>
      <vt:lpstr>CUPEIT_3Q12</vt:lpstr>
      <vt:lpstr>Tags!CUPEIT_3Q13</vt:lpstr>
      <vt:lpstr>CUPEIT_3Q13</vt:lpstr>
      <vt:lpstr>Tags!CUPEIT_3Q14</vt:lpstr>
      <vt:lpstr>CUPEIT_3Q14</vt:lpstr>
      <vt:lpstr>Tags!CUPEIT_3Q15</vt:lpstr>
      <vt:lpstr>CUPEIT_3Q15</vt:lpstr>
      <vt:lpstr>Tags!CUPEIT_3Q16</vt:lpstr>
      <vt:lpstr>CUPEIT_3Q16</vt:lpstr>
      <vt:lpstr>Tags!CUPEIT_3Q17</vt:lpstr>
      <vt:lpstr>CUPEIT_3Q17</vt:lpstr>
      <vt:lpstr>Tags!CUPEIT_3Q18</vt:lpstr>
      <vt:lpstr>CUPEIT_3Q18</vt:lpstr>
      <vt:lpstr>Tags!CUPEIT_3Q19</vt:lpstr>
      <vt:lpstr>CUPEIT_3Q19</vt:lpstr>
      <vt:lpstr>Tags!CUPEIT_3Q20</vt:lpstr>
      <vt:lpstr>CUPEIT_3Q20</vt:lpstr>
      <vt:lpstr>CUPEIT_3Q21</vt:lpstr>
      <vt:lpstr>CUPEIT_3Q22</vt:lpstr>
      <vt:lpstr>CUPEIT_3Q23</vt:lpstr>
      <vt:lpstr>CUPEIT_3Q24</vt:lpstr>
      <vt:lpstr>Tags!CUPEIT_4Q00</vt:lpstr>
      <vt:lpstr>CUPEIT_4Q00</vt:lpstr>
      <vt:lpstr>Tags!CUPEIT_4Q01</vt:lpstr>
      <vt:lpstr>CUPEIT_4Q01</vt:lpstr>
      <vt:lpstr>Tags!CUPEIT_4Q02</vt:lpstr>
      <vt:lpstr>CUPEIT_4Q02</vt:lpstr>
      <vt:lpstr>Tags!CUPEIT_4Q03</vt:lpstr>
      <vt:lpstr>CUPEIT_4Q03</vt:lpstr>
      <vt:lpstr>Tags!CUPEIT_4Q04</vt:lpstr>
      <vt:lpstr>CUPEIT_4Q04</vt:lpstr>
      <vt:lpstr>Tags!CUPEIT_4Q05</vt:lpstr>
      <vt:lpstr>CUPEIT_4Q05</vt:lpstr>
      <vt:lpstr>Tags!CUPEIT_4Q06</vt:lpstr>
      <vt:lpstr>CUPEIT_4Q06</vt:lpstr>
      <vt:lpstr>Tags!CUPEIT_4Q07</vt:lpstr>
      <vt:lpstr>CUPEIT_4Q07</vt:lpstr>
      <vt:lpstr>Tags!CUPEIT_4Q08</vt:lpstr>
      <vt:lpstr>CUPEIT_4Q08</vt:lpstr>
      <vt:lpstr>Tags!CUPEIT_4Q09</vt:lpstr>
      <vt:lpstr>CUPEIT_4Q09</vt:lpstr>
      <vt:lpstr>Tags!CUPEIT_4Q10</vt:lpstr>
      <vt:lpstr>CUPEIT_4Q10</vt:lpstr>
      <vt:lpstr>Tags!CUPEIT_4Q11</vt:lpstr>
      <vt:lpstr>CUPEIT_4Q11</vt:lpstr>
      <vt:lpstr>Tags!CUPEIT_4Q12</vt:lpstr>
      <vt:lpstr>CUPEIT_4Q12</vt:lpstr>
      <vt:lpstr>Tags!CUPEIT_4Q13</vt:lpstr>
      <vt:lpstr>CUPEIT_4Q13</vt:lpstr>
      <vt:lpstr>Tags!CUPEIT_4Q14</vt:lpstr>
      <vt:lpstr>CUPEIT_4Q14</vt:lpstr>
      <vt:lpstr>Tags!CUPEIT_4Q15</vt:lpstr>
      <vt:lpstr>CUPEIT_4Q15</vt:lpstr>
      <vt:lpstr>Tags!CUPEIT_4Q16</vt:lpstr>
      <vt:lpstr>CUPEIT_4Q16</vt:lpstr>
      <vt:lpstr>Tags!CUPEIT_4Q17</vt:lpstr>
      <vt:lpstr>CUPEIT_4Q17</vt:lpstr>
      <vt:lpstr>Tags!CUPEIT_4Q18</vt:lpstr>
      <vt:lpstr>CUPEIT_4Q18</vt:lpstr>
      <vt:lpstr>Tags!CUPEIT_4Q19</vt:lpstr>
      <vt:lpstr>CUPEIT_4Q19</vt:lpstr>
      <vt:lpstr>Tags!CUPEIT_4Q20</vt:lpstr>
      <vt:lpstr>CUPEIT_4Q20</vt:lpstr>
      <vt:lpstr>CUPEIT_4Q21</vt:lpstr>
      <vt:lpstr>CUPEIT_4Q22</vt:lpstr>
      <vt:lpstr>CUPEIT_4Q23</vt:lpstr>
      <vt:lpstr>CUPEIT_4Q24</vt:lpstr>
      <vt:lpstr>CVMCPX_1995</vt:lpstr>
      <vt:lpstr>CVMCPX_1996</vt:lpstr>
      <vt:lpstr>CVMCPX_1997</vt:lpstr>
      <vt:lpstr>CVMCPX_1998</vt:lpstr>
      <vt:lpstr>CVMCPX_1999</vt:lpstr>
      <vt:lpstr>Tags!CVMCPX_1Q00</vt:lpstr>
      <vt:lpstr>CVMCPX_1Q00</vt:lpstr>
      <vt:lpstr>Tags!CVMCPX_1Q01</vt:lpstr>
      <vt:lpstr>CVMCPX_1Q01</vt:lpstr>
      <vt:lpstr>Tags!CVMCPX_1Q02</vt:lpstr>
      <vt:lpstr>CVMCPX_1Q02</vt:lpstr>
      <vt:lpstr>Tags!CVMCPX_1Q03</vt:lpstr>
      <vt:lpstr>CVMCPX_1Q03</vt:lpstr>
      <vt:lpstr>Tags!CVMCPX_1Q04</vt:lpstr>
      <vt:lpstr>CVMCPX_1Q04</vt:lpstr>
      <vt:lpstr>Tags!CVMCPX_1Q05</vt:lpstr>
      <vt:lpstr>CVMCPX_1Q05</vt:lpstr>
      <vt:lpstr>Tags!CVMCPX_1Q06</vt:lpstr>
      <vt:lpstr>CVMCPX_1Q06</vt:lpstr>
      <vt:lpstr>Tags!CVMCPX_1Q07</vt:lpstr>
      <vt:lpstr>CVMCPX_1Q07</vt:lpstr>
      <vt:lpstr>Tags!CVMCPX_1Q08</vt:lpstr>
      <vt:lpstr>CVMCPX_1Q08</vt:lpstr>
      <vt:lpstr>Tags!CVMCPX_1Q09</vt:lpstr>
      <vt:lpstr>CVMCPX_1Q09</vt:lpstr>
      <vt:lpstr>Tags!CVMCPX_1Q10</vt:lpstr>
      <vt:lpstr>CVMCPX_1Q10</vt:lpstr>
      <vt:lpstr>Tags!CVMCPX_1Q11</vt:lpstr>
      <vt:lpstr>CVMCPX_1Q11</vt:lpstr>
      <vt:lpstr>Tags!CVMCPX_1Q12</vt:lpstr>
      <vt:lpstr>CVMCPX_1Q12</vt:lpstr>
      <vt:lpstr>Tags!CVMCPX_1Q13</vt:lpstr>
      <vt:lpstr>CVMCPX_1Q13</vt:lpstr>
      <vt:lpstr>Tags!CVMCPX_1Q14</vt:lpstr>
      <vt:lpstr>CVMCPX_1Q14</vt:lpstr>
      <vt:lpstr>Tags!CVMCPX_1Q15</vt:lpstr>
      <vt:lpstr>CVMCPX_1Q15</vt:lpstr>
      <vt:lpstr>Tags!CVMCPX_1Q16</vt:lpstr>
      <vt:lpstr>CVMCPX_1Q16</vt:lpstr>
      <vt:lpstr>Tags!CVMCPX_1Q17</vt:lpstr>
      <vt:lpstr>CVMCPX_1Q17</vt:lpstr>
      <vt:lpstr>Tags!CVMCPX_1Q18</vt:lpstr>
      <vt:lpstr>CVMCPX_1Q18</vt:lpstr>
      <vt:lpstr>Tags!CVMCPX_1Q19</vt:lpstr>
      <vt:lpstr>CVMCPX_1Q19</vt:lpstr>
      <vt:lpstr>Tags!CVMCPX_1Q20</vt:lpstr>
      <vt:lpstr>CVMCPX_1Q20</vt:lpstr>
      <vt:lpstr>CVMCPX_1Q21</vt:lpstr>
      <vt:lpstr>CVMCPX_1Q22</vt:lpstr>
      <vt:lpstr>CVMCPX_1Q23</vt:lpstr>
      <vt:lpstr>CVMCPX_1Q24</vt:lpstr>
      <vt:lpstr>Tags!CVMCPX_2000</vt:lpstr>
      <vt:lpstr>CVMCPX_2000</vt:lpstr>
      <vt:lpstr>Tags!CVMCPX_2001</vt:lpstr>
      <vt:lpstr>CVMCPX_2001</vt:lpstr>
      <vt:lpstr>Tags!CVMCPX_2002</vt:lpstr>
      <vt:lpstr>CVMCPX_2002</vt:lpstr>
      <vt:lpstr>Tags!CVMCPX_2003</vt:lpstr>
      <vt:lpstr>CVMCPX_2003</vt:lpstr>
      <vt:lpstr>Tags!CVMCPX_2004</vt:lpstr>
      <vt:lpstr>CVMCPX_2004</vt:lpstr>
      <vt:lpstr>Tags!CVMCPX_2005</vt:lpstr>
      <vt:lpstr>CVMCPX_2005</vt:lpstr>
      <vt:lpstr>Tags!CVMCPX_2006</vt:lpstr>
      <vt:lpstr>CVMCPX_2006</vt:lpstr>
      <vt:lpstr>Tags!CVMCPX_2007</vt:lpstr>
      <vt:lpstr>CVMCPX_2007</vt:lpstr>
      <vt:lpstr>Tags!CVMCPX_2008</vt:lpstr>
      <vt:lpstr>CVMCPX_2008</vt:lpstr>
      <vt:lpstr>Tags!CVMCPX_2009</vt:lpstr>
      <vt:lpstr>CVMCPX_2009</vt:lpstr>
      <vt:lpstr>Tags!CVMCPX_2010</vt:lpstr>
      <vt:lpstr>CVMCPX_2010</vt:lpstr>
      <vt:lpstr>Tags!CVMCPX_2011</vt:lpstr>
      <vt:lpstr>CVMCPX_2011</vt:lpstr>
      <vt:lpstr>Tags!CVMCPX_2012</vt:lpstr>
      <vt:lpstr>CVMCPX_2012</vt:lpstr>
      <vt:lpstr>Tags!CVMCPX_2013</vt:lpstr>
      <vt:lpstr>CVMCPX_2013</vt:lpstr>
      <vt:lpstr>Tags!CVMCPX_2014</vt:lpstr>
      <vt:lpstr>CVMCPX_2014</vt:lpstr>
      <vt:lpstr>CVMCPX_2015</vt:lpstr>
      <vt:lpstr>Tags!CVMCPX_2016</vt:lpstr>
      <vt:lpstr>CVMCPX_2016</vt:lpstr>
      <vt:lpstr>Tags!CVMCPX_2017</vt:lpstr>
      <vt:lpstr>CVMCPX_2017</vt:lpstr>
      <vt:lpstr>Tags!CVMCPX_2018</vt:lpstr>
      <vt:lpstr>CVMCPX_2018</vt:lpstr>
      <vt:lpstr>Tags!CVMCPX_2019</vt:lpstr>
      <vt:lpstr>CVMCPX_2019</vt:lpstr>
      <vt:lpstr>Tags!CVMCPX_2020</vt:lpstr>
      <vt:lpstr>CVMCPX_2020</vt:lpstr>
      <vt:lpstr>CVMCPX_2021</vt:lpstr>
      <vt:lpstr>CVMCPX_2022</vt:lpstr>
      <vt:lpstr>CVMCPX_2023</vt:lpstr>
      <vt:lpstr>CVMCPX_2024</vt:lpstr>
      <vt:lpstr>Tags!CVMCPX_2Q00</vt:lpstr>
      <vt:lpstr>CVMCPX_2Q00</vt:lpstr>
      <vt:lpstr>Tags!CVMCPX_2Q01</vt:lpstr>
      <vt:lpstr>CVMCPX_2Q01</vt:lpstr>
      <vt:lpstr>Tags!CVMCPX_2Q02</vt:lpstr>
      <vt:lpstr>CVMCPX_2Q02</vt:lpstr>
      <vt:lpstr>Tags!CVMCPX_2Q03</vt:lpstr>
      <vt:lpstr>CVMCPX_2Q03</vt:lpstr>
      <vt:lpstr>Tags!CVMCPX_2Q04</vt:lpstr>
      <vt:lpstr>CVMCPX_2Q04</vt:lpstr>
      <vt:lpstr>Tags!CVMCPX_2Q05</vt:lpstr>
      <vt:lpstr>CVMCPX_2Q05</vt:lpstr>
      <vt:lpstr>Tags!CVMCPX_2Q06</vt:lpstr>
      <vt:lpstr>CVMCPX_2Q06</vt:lpstr>
      <vt:lpstr>Tags!CVMCPX_2Q07</vt:lpstr>
      <vt:lpstr>CVMCPX_2Q07</vt:lpstr>
      <vt:lpstr>Tags!CVMCPX_2Q08</vt:lpstr>
      <vt:lpstr>CVMCPX_2Q08</vt:lpstr>
      <vt:lpstr>Tags!CVMCPX_2Q09</vt:lpstr>
      <vt:lpstr>CVMCPX_2Q09</vt:lpstr>
      <vt:lpstr>Tags!CVMCPX_2Q10</vt:lpstr>
      <vt:lpstr>CVMCPX_2Q10</vt:lpstr>
      <vt:lpstr>Tags!CVMCPX_2Q11</vt:lpstr>
      <vt:lpstr>CVMCPX_2Q11</vt:lpstr>
      <vt:lpstr>Tags!CVMCPX_2Q12</vt:lpstr>
      <vt:lpstr>CVMCPX_2Q12</vt:lpstr>
      <vt:lpstr>Tags!CVMCPX_2Q13</vt:lpstr>
      <vt:lpstr>CVMCPX_2Q13</vt:lpstr>
      <vt:lpstr>Tags!CVMCPX_2Q14</vt:lpstr>
      <vt:lpstr>CVMCPX_2Q14</vt:lpstr>
      <vt:lpstr>Tags!CVMCPX_2Q15</vt:lpstr>
      <vt:lpstr>CVMCPX_2Q15</vt:lpstr>
      <vt:lpstr>Tags!CVMCPX_2Q16</vt:lpstr>
      <vt:lpstr>CVMCPX_2Q16</vt:lpstr>
      <vt:lpstr>Tags!CVMCPX_2Q17</vt:lpstr>
      <vt:lpstr>CVMCPX_2Q17</vt:lpstr>
      <vt:lpstr>Tags!CVMCPX_2Q18</vt:lpstr>
      <vt:lpstr>CVMCPX_2Q18</vt:lpstr>
      <vt:lpstr>Tags!CVMCPX_2Q19</vt:lpstr>
      <vt:lpstr>CVMCPX_2Q19</vt:lpstr>
      <vt:lpstr>Tags!CVMCPX_2Q20</vt:lpstr>
      <vt:lpstr>CVMCPX_2Q20</vt:lpstr>
      <vt:lpstr>CVMCPX_2Q21</vt:lpstr>
      <vt:lpstr>CVMCPX_2Q22</vt:lpstr>
      <vt:lpstr>CVMCPX_2Q23</vt:lpstr>
      <vt:lpstr>CVMCPX_2Q24</vt:lpstr>
      <vt:lpstr>Tags!CVMCPX_3Q00</vt:lpstr>
      <vt:lpstr>CVMCPX_3Q00</vt:lpstr>
      <vt:lpstr>Tags!CVMCPX_3Q01</vt:lpstr>
      <vt:lpstr>CVMCPX_3Q01</vt:lpstr>
      <vt:lpstr>Tags!CVMCPX_3Q02</vt:lpstr>
      <vt:lpstr>CVMCPX_3Q02</vt:lpstr>
      <vt:lpstr>Tags!CVMCPX_3Q03</vt:lpstr>
      <vt:lpstr>CVMCPX_3Q03</vt:lpstr>
      <vt:lpstr>Tags!CVMCPX_3Q04</vt:lpstr>
      <vt:lpstr>CVMCPX_3Q04</vt:lpstr>
      <vt:lpstr>Tags!CVMCPX_3Q05</vt:lpstr>
      <vt:lpstr>CVMCPX_3Q05</vt:lpstr>
      <vt:lpstr>Tags!CVMCPX_3Q06</vt:lpstr>
      <vt:lpstr>CVMCPX_3Q06</vt:lpstr>
      <vt:lpstr>Tags!CVMCPX_3Q07</vt:lpstr>
      <vt:lpstr>CVMCPX_3Q07</vt:lpstr>
      <vt:lpstr>Tags!CVMCPX_3Q08</vt:lpstr>
      <vt:lpstr>CVMCPX_3Q08</vt:lpstr>
      <vt:lpstr>Tags!CVMCPX_3Q09</vt:lpstr>
      <vt:lpstr>CVMCPX_3Q09</vt:lpstr>
      <vt:lpstr>Tags!CVMCPX_3Q10</vt:lpstr>
      <vt:lpstr>CVMCPX_3Q10</vt:lpstr>
      <vt:lpstr>Tags!CVMCPX_3Q11</vt:lpstr>
      <vt:lpstr>CVMCPX_3Q11</vt:lpstr>
      <vt:lpstr>Tags!CVMCPX_3Q12</vt:lpstr>
      <vt:lpstr>CVMCPX_3Q12</vt:lpstr>
      <vt:lpstr>Tags!CVMCPX_3Q13</vt:lpstr>
      <vt:lpstr>CVMCPX_3Q13</vt:lpstr>
      <vt:lpstr>Tags!CVMCPX_3Q14</vt:lpstr>
      <vt:lpstr>CVMCPX_3Q14</vt:lpstr>
      <vt:lpstr>Tags!CVMCPX_3Q15</vt:lpstr>
      <vt:lpstr>CVMCPX_3Q15</vt:lpstr>
      <vt:lpstr>Tags!CVMCPX_3Q16</vt:lpstr>
      <vt:lpstr>CVMCPX_3Q16</vt:lpstr>
      <vt:lpstr>Tags!CVMCPX_3Q17</vt:lpstr>
      <vt:lpstr>CVMCPX_3Q17</vt:lpstr>
      <vt:lpstr>Tags!CVMCPX_3Q18</vt:lpstr>
      <vt:lpstr>CVMCPX_3Q18</vt:lpstr>
      <vt:lpstr>Tags!CVMCPX_3Q19</vt:lpstr>
      <vt:lpstr>CVMCPX_3Q19</vt:lpstr>
      <vt:lpstr>Tags!CVMCPX_3Q20</vt:lpstr>
      <vt:lpstr>CVMCPX_3Q20</vt:lpstr>
      <vt:lpstr>CVMCPX_3Q21</vt:lpstr>
      <vt:lpstr>CVMCPX_3Q22</vt:lpstr>
      <vt:lpstr>CVMCPX_3Q23</vt:lpstr>
      <vt:lpstr>CVMCPX_3Q24</vt:lpstr>
      <vt:lpstr>Tags!CVMCPX_4Q00</vt:lpstr>
      <vt:lpstr>CVMCPX_4Q00</vt:lpstr>
      <vt:lpstr>Tags!CVMCPX_4Q01</vt:lpstr>
      <vt:lpstr>CVMCPX_4Q01</vt:lpstr>
      <vt:lpstr>Tags!CVMCPX_4Q02</vt:lpstr>
      <vt:lpstr>CVMCPX_4Q02</vt:lpstr>
      <vt:lpstr>Tags!CVMCPX_4Q03</vt:lpstr>
      <vt:lpstr>CVMCPX_4Q03</vt:lpstr>
      <vt:lpstr>Tags!CVMCPX_4Q04</vt:lpstr>
      <vt:lpstr>CVMCPX_4Q04</vt:lpstr>
      <vt:lpstr>Tags!CVMCPX_4Q05</vt:lpstr>
      <vt:lpstr>CVMCPX_4Q05</vt:lpstr>
      <vt:lpstr>Tags!CVMCPX_4Q06</vt:lpstr>
      <vt:lpstr>CVMCPX_4Q06</vt:lpstr>
      <vt:lpstr>Tags!CVMCPX_4Q07</vt:lpstr>
      <vt:lpstr>CVMCPX_4Q07</vt:lpstr>
      <vt:lpstr>Tags!CVMCPX_4Q08</vt:lpstr>
      <vt:lpstr>CVMCPX_4Q08</vt:lpstr>
      <vt:lpstr>Tags!CVMCPX_4Q09</vt:lpstr>
      <vt:lpstr>CVMCPX_4Q09</vt:lpstr>
      <vt:lpstr>Tags!CVMCPX_4Q10</vt:lpstr>
      <vt:lpstr>CVMCPX_4Q10</vt:lpstr>
      <vt:lpstr>Tags!CVMCPX_4Q11</vt:lpstr>
      <vt:lpstr>CVMCPX_4Q11</vt:lpstr>
      <vt:lpstr>Tags!CVMCPX_4Q12</vt:lpstr>
      <vt:lpstr>CVMCPX_4Q12</vt:lpstr>
      <vt:lpstr>Tags!CVMCPX_4Q13</vt:lpstr>
      <vt:lpstr>CVMCPX_4Q13</vt:lpstr>
      <vt:lpstr>Tags!CVMCPX_4Q14</vt:lpstr>
      <vt:lpstr>CVMCPX_4Q14</vt:lpstr>
      <vt:lpstr>Tags!CVMCPX_4Q15</vt:lpstr>
      <vt:lpstr>CVMCPX_4Q15</vt:lpstr>
      <vt:lpstr>Tags!CVMCPX_4Q16</vt:lpstr>
      <vt:lpstr>CVMCPX_4Q16</vt:lpstr>
      <vt:lpstr>Tags!CVMCPX_4Q17</vt:lpstr>
      <vt:lpstr>CVMCPX_4Q17</vt:lpstr>
      <vt:lpstr>Tags!CVMCPX_4Q18</vt:lpstr>
      <vt:lpstr>CVMCPX_4Q18</vt:lpstr>
      <vt:lpstr>Tags!CVMCPX_4Q19</vt:lpstr>
      <vt:lpstr>CVMCPX_4Q19</vt:lpstr>
      <vt:lpstr>Tags!CVMCPX_4Q20</vt:lpstr>
      <vt:lpstr>CVMCPX_4Q20</vt:lpstr>
      <vt:lpstr>CVMCPX_4Q21</vt:lpstr>
      <vt:lpstr>CVMCPX_4Q22</vt:lpstr>
      <vt:lpstr>CVMCPX_4Q23</vt:lpstr>
      <vt:lpstr>CVMCPX_4Q24</vt:lpstr>
      <vt:lpstr>CVOPLE_1995</vt:lpstr>
      <vt:lpstr>CVOPLE_1996</vt:lpstr>
      <vt:lpstr>CVOPLE_1997</vt:lpstr>
      <vt:lpstr>CVOPLE_1998</vt:lpstr>
      <vt:lpstr>CVOPLE_1999</vt:lpstr>
      <vt:lpstr>Tags!CVOPLE_1Q00</vt:lpstr>
      <vt:lpstr>CVOPLE_1Q00</vt:lpstr>
      <vt:lpstr>Tags!CVOPLE_1Q01</vt:lpstr>
      <vt:lpstr>CVOPLE_1Q01</vt:lpstr>
      <vt:lpstr>Tags!CVOPLE_1Q02</vt:lpstr>
      <vt:lpstr>CVOPLE_1Q02</vt:lpstr>
      <vt:lpstr>Tags!CVOPLE_1Q03</vt:lpstr>
      <vt:lpstr>CVOPLE_1Q03</vt:lpstr>
      <vt:lpstr>Tags!CVOPLE_1Q04</vt:lpstr>
      <vt:lpstr>CVOPLE_1Q04</vt:lpstr>
      <vt:lpstr>Tags!CVOPLE_1Q05</vt:lpstr>
      <vt:lpstr>CVOPLE_1Q05</vt:lpstr>
      <vt:lpstr>Tags!CVOPLE_1Q06</vt:lpstr>
      <vt:lpstr>CVOPLE_1Q06</vt:lpstr>
      <vt:lpstr>Tags!CVOPLE_1Q07</vt:lpstr>
      <vt:lpstr>CVOPLE_1Q07</vt:lpstr>
      <vt:lpstr>Tags!CVOPLE_1Q08</vt:lpstr>
      <vt:lpstr>CVOPLE_1Q08</vt:lpstr>
      <vt:lpstr>Tags!CVOPLE_1Q09</vt:lpstr>
      <vt:lpstr>CVOPLE_1Q09</vt:lpstr>
      <vt:lpstr>Tags!CVOPLE_1Q10</vt:lpstr>
      <vt:lpstr>CVOPLE_1Q10</vt:lpstr>
      <vt:lpstr>Tags!CVOPLE_1Q11</vt:lpstr>
      <vt:lpstr>CVOPLE_1Q11</vt:lpstr>
      <vt:lpstr>Tags!CVOPLE_1Q12</vt:lpstr>
      <vt:lpstr>CVOPLE_1Q12</vt:lpstr>
      <vt:lpstr>Tags!CVOPLE_1Q13</vt:lpstr>
      <vt:lpstr>CVOPLE_1Q13</vt:lpstr>
      <vt:lpstr>Tags!CVOPLE_1Q14</vt:lpstr>
      <vt:lpstr>CVOPLE_1Q14</vt:lpstr>
      <vt:lpstr>Tags!CVOPLE_1Q15</vt:lpstr>
      <vt:lpstr>CVOPLE_1Q15</vt:lpstr>
      <vt:lpstr>Tags!CVOPLE_1Q16</vt:lpstr>
      <vt:lpstr>CVOPLE_1Q16</vt:lpstr>
      <vt:lpstr>Tags!CVOPLE_1Q17</vt:lpstr>
      <vt:lpstr>CVOPLE_1Q17</vt:lpstr>
      <vt:lpstr>Tags!CVOPLE_1Q18</vt:lpstr>
      <vt:lpstr>CVOPLE_1Q18</vt:lpstr>
      <vt:lpstr>Tags!CVOPLE_1Q19</vt:lpstr>
      <vt:lpstr>CVOPLE_1Q19</vt:lpstr>
      <vt:lpstr>Tags!CVOPLE_1Q20</vt:lpstr>
      <vt:lpstr>CVOPLE_1Q20</vt:lpstr>
      <vt:lpstr>CVOPLE_1Q21</vt:lpstr>
      <vt:lpstr>CVOPLE_1Q22</vt:lpstr>
      <vt:lpstr>CVOPLE_1Q23</vt:lpstr>
      <vt:lpstr>CVOPLE_1Q24</vt:lpstr>
      <vt:lpstr>Tags!CVOPLE_2000</vt:lpstr>
      <vt:lpstr>CVOPLE_2000</vt:lpstr>
      <vt:lpstr>Tags!CVOPLE_2001</vt:lpstr>
      <vt:lpstr>CVOPLE_2001</vt:lpstr>
      <vt:lpstr>Tags!CVOPLE_2002</vt:lpstr>
      <vt:lpstr>CVOPLE_2002</vt:lpstr>
      <vt:lpstr>Tags!CVOPLE_2003</vt:lpstr>
      <vt:lpstr>CVOPLE_2003</vt:lpstr>
      <vt:lpstr>Tags!CVOPLE_2004</vt:lpstr>
      <vt:lpstr>CVOPLE_2004</vt:lpstr>
      <vt:lpstr>Tags!CVOPLE_2005</vt:lpstr>
      <vt:lpstr>CVOPLE_2005</vt:lpstr>
      <vt:lpstr>Tags!CVOPLE_2006</vt:lpstr>
      <vt:lpstr>CVOPLE_2006</vt:lpstr>
      <vt:lpstr>Tags!CVOPLE_2007</vt:lpstr>
      <vt:lpstr>CVOPLE_2007</vt:lpstr>
      <vt:lpstr>Tags!CVOPLE_2008</vt:lpstr>
      <vt:lpstr>CVOPLE_2008</vt:lpstr>
      <vt:lpstr>Tags!CVOPLE_2009</vt:lpstr>
      <vt:lpstr>CVOPLE_2009</vt:lpstr>
      <vt:lpstr>Tags!CVOPLE_2010</vt:lpstr>
      <vt:lpstr>CVOPLE_2010</vt:lpstr>
      <vt:lpstr>Tags!CVOPLE_2011</vt:lpstr>
      <vt:lpstr>CVOPLE_2011</vt:lpstr>
      <vt:lpstr>Tags!CVOPLE_2012</vt:lpstr>
      <vt:lpstr>CVOPLE_2012</vt:lpstr>
      <vt:lpstr>Tags!CVOPLE_2013</vt:lpstr>
      <vt:lpstr>CVOPLE_2013</vt:lpstr>
      <vt:lpstr>Tags!CVOPLE_2014</vt:lpstr>
      <vt:lpstr>CVOPLE_2014</vt:lpstr>
      <vt:lpstr>CVOPLE_2015</vt:lpstr>
      <vt:lpstr>Tags!CVOPLE_2016</vt:lpstr>
      <vt:lpstr>CVOPLE_2016</vt:lpstr>
      <vt:lpstr>Tags!CVOPLE_2017</vt:lpstr>
      <vt:lpstr>CVOPLE_2017</vt:lpstr>
      <vt:lpstr>Tags!CVOPLE_2018</vt:lpstr>
      <vt:lpstr>CVOPLE_2018</vt:lpstr>
      <vt:lpstr>Tags!CVOPLE_2019</vt:lpstr>
      <vt:lpstr>CVOPLE_2019</vt:lpstr>
      <vt:lpstr>Tags!CVOPLE_2020</vt:lpstr>
      <vt:lpstr>CVOPLE_2020</vt:lpstr>
      <vt:lpstr>CVOPLE_2021</vt:lpstr>
      <vt:lpstr>CVOPLE_2022</vt:lpstr>
      <vt:lpstr>CVOPLE_2023</vt:lpstr>
      <vt:lpstr>CVOPLE_2024</vt:lpstr>
      <vt:lpstr>Tags!CVOPLE_2Q00</vt:lpstr>
      <vt:lpstr>CVOPLE_2Q00</vt:lpstr>
      <vt:lpstr>Tags!CVOPLE_2Q01</vt:lpstr>
      <vt:lpstr>CVOPLE_2Q01</vt:lpstr>
      <vt:lpstr>Tags!CVOPLE_2Q02</vt:lpstr>
      <vt:lpstr>CVOPLE_2Q02</vt:lpstr>
      <vt:lpstr>Tags!CVOPLE_2Q03</vt:lpstr>
      <vt:lpstr>CVOPLE_2Q03</vt:lpstr>
      <vt:lpstr>Tags!CVOPLE_2Q04</vt:lpstr>
      <vt:lpstr>CVOPLE_2Q04</vt:lpstr>
      <vt:lpstr>Tags!CVOPLE_2Q05</vt:lpstr>
      <vt:lpstr>CVOPLE_2Q05</vt:lpstr>
      <vt:lpstr>Tags!CVOPLE_2Q06</vt:lpstr>
      <vt:lpstr>CVOPLE_2Q06</vt:lpstr>
      <vt:lpstr>Tags!CVOPLE_2Q07</vt:lpstr>
      <vt:lpstr>CVOPLE_2Q07</vt:lpstr>
      <vt:lpstr>Tags!CVOPLE_2Q08</vt:lpstr>
      <vt:lpstr>CVOPLE_2Q08</vt:lpstr>
      <vt:lpstr>Tags!CVOPLE_2Q09</vt:lpstr>
      <vt:lpstr>CVOPLE_2Q09</vt:lpstr>
      <vt:lpstr>Tags!CVOPLE_2Q10</vt:lpstr>
      <vt:lpstr>CVOPLE_2Q10</vt:lpstr>
      <vt:lpstr>Tags!CVOPLE_2Q11</vt:lpstr>
      <vt:lpstr>CVOPLE_2Q11</vt:lpstr>
      <vt:lpstr>Tags!CVOPLE_2Q12</vt:lpstr>
      <vt:lpstr>CVOPLE_2Q12</vt:lpstr>
      <vt:lpstr>Tags!CVOPLE_2Q13</vt:lpstr>
      <vt:lpstr>CVOPLE_2Q13</vt:lpstr>
      <vt:lpstr>Tags!CVOPLE_2Q14</vt:lpstr>
      <vt:lpstr>CVOPLE_2Q14</vt:lpstr>
      <vt:lpstr>Tags!CVOPLE_2Q15</vt:lpstr>
      <vt:lpstr>CVOPLE_2Q15</vt:lpstr>
      <vt:lpstr>Tags!CVOPLE_2Q16</vt:lpstr>
      <vt:lpstr>CVOPLE_2Q16</vt:lpstr>
      <vt:lpstr>Tags!CVOPLE_2Q17</vt:lpstr>
      <vt:lpstr>CVOPLE_2Q17</vt:lpstr>
      <vt:lpstr>Tags!CVOPLE_2Q18</vt:lpstr>
      <vt:lpstr>CVOPLE_2Q18</vt:lpstr>
      <vt:lpstr>Tags!CVOPLE_2Q19</vt:lpstr>
      <vt:lpstr>CVOPLE_2Q19</vt:lpstr>
      <vt:lpstr>Tags!CVOPLE_2Q20</vt:lpstr>
      <vt:lpstr>CVOPLE_2Q20</vt:lpstr>
      <vt:lpstr>CVOPLE_2Q21</vt:lpstr>
      <vt:lpstr>CVOPLE_2Q22</vt:lpstr>
      <vt:lpstr>CVOPLE_2Q23</vt:lpstr>
      <vt:lpstr>CVOPLE_2Q24</vt:lpstr>
      <vt:lpstr>Tags!CVOPLE_3Q00</vt:lpstr>
      <vt:lpstr>CVOPLE_3Q00</vt:lpstr>
      <vt:lpstr>Tags!CVOPLE_3Q01</vt:lpstr>
      <vt:lpstr>CVOPLE_3Q01</vt:lpstr>
      <vt:lpstr>Tags!CVOPLE_3Q02</vt:lpstr>
      <vt:lpstr>CVOPLE_3Q02</vt:lpstr>
      <vt:lpstr>Tags!CVOPLE_3Q03</vt:lpstr>
      <vt:lpstr>CVOPLE_3Q03</vt:lpstr>
      <vt:lpstr>Tags!CVOPLE_3Q04</vt:lpstr>
      <vt:lpstr>CVOPLE_3Q04</vt:lpstr>
      <vt:lpstr>Tags!CVOPLE_3Q05</vt:lpstr>
      <vt:lpstr>CVOPLE_3Q05</vt:lpstr>
      <vt:lpstr>Tags!CVOPLE_3Q06</vt:lpstr>
      <vt:lpstr>CVOPLE_3Q06</vt:lpstr>
      <vt:lpstr>Tags!CVOPLE_3Q07</vt:lpstr>
      <vt:lpstr>CVOPLE_3Q07</vt:lpstr>
      <vt:lpstr>Tags!CVOPLE_3Q08</vt:lpstr>
      <vt:lpstr>CVOPLE_3Q08</vt:lpstr>
      <vt:lpstr>Tags!CVOPLE_3Q09</vt:lpstr>
      <vt:lpstr>CVOPLE_3Q09</vt:lpstr>
      <vt:lpstr>Tags!CVOPLE_3Q10</vt:lpstr>
      <vt:lpstr>CVOPLE_3Q10</vt:lpstr>
      <vt:lpstr>Tags!CVOPLE_3Q11</vt:lpstr>
      <vt:lpstr>CVOPLE_3Q11</vt:lpstr>
      <vt:lpstr>Tags!CVOPLE_3Q12</vt:lpstr>
      <vt:lpstr>CVOPLE_3Q12</vt:lpstr>
      <vt:lpstr>Tags!CVOPLE_3Q13</vt:lpstr>
      <vt:lpstr>CVOPLE_3Q13</vt:lpstr>
      <vt:lpstr>Tags!CVOPLE_3Q14</vt:lpstr>
      <vt:lpstr>CVOPLE_3Q14</vt:lpstr>
      <vt:lpstr>Tags!CVOPLE_3Q15</vt:lpstr>
      <vt:lpstr>CVOPLE_3Q15</vt:lpstr>
      <vt:lpstr>Tags!CVOPLE_3Q16</vt:lpstr>
      <vt:lpstr>CVOPLE_3Q16</vt:lpstr>
      <vt:lpstr>Tags!CVOPLE_3Q17</vt:lpstr>
      <vt:lpstr>CVOPLE_3Q17</vt:lpstr>
      <vt:lpstr>Tags!CVOPLE_3Q18</vt:lpstr>
      <vt:lpstr>CVOPLE_3Q18</vt:lpstr>
      <vt:lpstr>Tags!CVOPLE_3Q19</vt:lpstr>
      <vt:lpstr>CVOPLE_3Q19</vt:lpstr>
      <vt:lpstr>Tags!CVOPLE_3Q20</vt:lpstr>
      <vt:lpstr>CVOPLE_3Q20</vt:lpstr>
      <vt:lpstr>CVOPLE_3Q21</vt:lpstr>
      <vt:lpstr>CVOPLE_3Q22</vt:lpstr>
      <vt:lpstr>CVOPLE_3Q23</vt:lpstr>
      <vt:lpstr>CVOPLE_3Q24</vt:lpstr>
      <vt:lpstr>Tags!CVOPLE_4Q00</vt:lpstr>
      <vt:lpstr>CVOPLE_4Q00</vt:lpstr>
      <vt:lpstr>Tags!CVOPLE_4Q01</vt:lpstr>
      <vt:lpstr>CVOPLE_4Q01</vt:lpstr>
      <vt:lpstr>Tags!CVOPLE_4Q02</vt:lpstr>
      <vt:lpstr>CVOPLE_4Q02</vt:lpstr>
      <vt:lpstr>Tags!CVOPLE_4Q03</vt:lpstr>
      <vt:lpstr>CVOPLE_4Q03</vt:lpstr>
      <vt:lpstr>Tags!CVOPLE_4Q04</vt:lpstr>
      <vt:lpstr>CVOPLE_4Q04</vt:lpstr>
      <vt:lpstr>Tags!CVOPLE_4Q05</vt:lpstr>
      <vt:lpstr>CVOPLE_4Q05</vt:lpstr>
      <vt:lpstr>Tags!CVOPLE_4Q06</vt:lpstr>
      <vt:lpstr>CVOPLE_4Q06</vt:lpstr>
      <vt:lpstr>Tags!CVOPLE_4Q07</vt:lpstr>
      <vt:lpstr>CVOPLE_4Q07</vt:lpstr>
      <vt:lpstr>Tags!CVOPLE_4Q08</vt:lpstr>
      <vt:lpstr>CVOPLE_4Q08</vt:lpstr>
      <vt:lpstr>Tags!CVOPLE_4Q09</vt:lpstr>
      <vt:lpstr>CVOPLE_4Q09</vt:lpstr>
      <vt:lpstr>Tags!CVOPLE_4Q10</vt:lpstr>
      <vt:lpstr>CVOPLE_4Q10</vt:lpstr>
      <vt:lpstr>Tags!CVOPLE_4Q11</vt:lpstr>
      <vt:lpstr>CVOPLE_4Q11</vt:lpstr>
      <vt:lpstr>Tags!CVOPLE_4Q12</vt:lpstr>
      <vt:lpstr>CVOPLE_4Q12</vt:lpstr>
      <vt:lpstr>Tags!CVOPLE_4Q13</vt:lpstr>
      <vt:lpstr>CVOPLE_4Q13</vt:lpstr>
      <vt:lpstr>Tags!CVOPLE_4Q14</vt:lpstr>
      <vt:lpstr>CVOPLE_4Q14</vt:lpstr>
      <vt:lpstr>Tags!CVOPLE_4Q15</vt:lpstr>
      <vt:lpstr>CVOPLE_4Q15</vt:lpstr>
      <vt:lpstr>Tags!CVOPLE_4Q16</vt:lpstr>
      <vt:lpstr>CVOPLE_4Q16</vt:lpstr>
      <vt:lpstr>Tags!CVOPLE_4Q17</vt:lpstr>
      <vt:lpstr>CVOPLE_4Q17</vt:lpstr>
      <vt:lpstr>Tags!CVOPLE_4Q18</vt:lpstr>
      <vt:lpstr>CVOPLE_4Q18</vt:lpstr>
      <vt:lpstr>Tags!CVOPLE_4Q19</vt:lpstr>
      <vt:lpstr>CVOPLE_4Q19</vt:lpstr>
      <vt:lpstr>Tags!CVOPLE_4Q20</vt:lpstr>
      <vt:lpstr>CVOPLE_4Q20</vt:lpstr>
      <vt:lpstr>CVOPLE_4Q21</vt:lpstr>
      <vt:lpstr>CVOPLE_4Q22</vt:lpstr>
      <vt:lpstr>CVOPLE_4Q23</vt:lpstr>
      <vt:lpstr>CVOPLE_4Q24</vt:lpstr>
      <vt:lpstr>DEP_1995</vt:lpstr>
      <vt:lpstr>DEP_1996</vt:lpstr>
      <vt:lpstr>DEP_1997</vt:lpstr>
      <vt:lpstr>DEP_1998</vt:lpstr>
      <vt:lpstr>DEP_1999</vt:lpstr>
      <vt:lpstr>Tags!DEP_1Q00</vt:lpstr>
      <vt:lpstr>DEP_1Q00</vt:lpstr>
      <vt:lpstr>Tags!DEP_1Q01</vt:lpstr>
      <vt:lpstr>DEP_1Q01</vt:lpstr>
      <vt:lpstr>Tags!DEP_1Q02</vt:lpstr>
      <vt:lpstr>DEP_1Q02</vt:lpstr>
      <vt:lpstr>Tags!DEP_1Q03</vt:lpstr>
      <vt:lpstr>DEP_1Q03</vt:lpstr>
      <vt:lpstr>Tags!DEP_1Q04</vt:lpstr>
      <vt:lpstr>DEP_1Q04</vt:lpstr>
      <vt:lpstr>Tags!DEP_1Q05</vt:lpstr>
      <vt:lpstr>DEP_1Q05</vt:lpstr>
      <vt:lpstr>Tags!DEP_1Q06</vt:lpstr>
      <vt:lpstr>DEP_1Q06</vt:lpstr>
      <vt:lpstr>Tags!DEP_1Q07</vt:lpstr>
      <vt:lpstr>DEP_1Q07</vt:lpstr>
      <vt:lpstr>Tags!DEP_1Q08</vt:lpstr>
      <vt:lpstr>DEP_1Q08</vt:lpstr>
      <vt:lpstr>Tags!DEP_1Q09</vt:lpstr>
      <vt:lpstr>DEP_1Q09</vt:lpstr>
      <vt:lpstr>Tags!DEP_1Q10</vt:lpstr>
      <vt:lpstr>DEP_1Q10</vt:lpstr>
      <vt:lpstr>Tags!DEP_1Q11</vt:lpstr>
      <vt:lpstr>DEP_1Q11</vt:lpstr>
      <vt:lpstr>Tags!DEP_1Q12</vt:lpstr>
      <vt:lpstr>DEP_1Q12</vt:lpstr>
      <vt:lpstr>Tags!DEP_1Q13</vt:lpstr>
      <vt:lpstr>DEP_1Q13</vt:lpstr>
      <vt:lpstr>Tags!DEP_1Q14</vt:lpstr>
      <vt:lpstr>DEP_1Q14</vt:lpstr>
      <vt:lpstr>Tags!DEP_1Q15</vt:lpstr>
      <vt:lpstr>DEP_1Q15</vt:lpstr>
      <vt:lpstr>Tags!DEP_1Q16</vt:lpstr>
      <vt:lpstr>DEP_1Q16</vt:lpstr>
      <vt:lpstr>Tags!DEP_1Q17</vt:lpstr>
      <vt:lpstr>DEP_1Q17</vt:lpstr>
      <vt:lpstr>Tags!DEP_1Q18</vt:lpstr>
      <vt:lpstr>DEP_1Q18</vt:lpstr>
      <vt:lpstr>Tags!DEP_1Q19</vt:lpstr>
      <vt:lpstr>DEP_1Q19</vt:lpstr>
      <vt:lpstr>Tags!DEP_1Q20</vt:lpstr>
      <vt:lpstr>DEP_1Q20</vt:lpstr>
      <vt:lpstr>DEP_1Q21</vt:lpstr>
      <vt:lpstr>DEP_1Q22</vt:lpstr>
      <vt:lpstr>DEP_1Q23</vt:lpstr>
      <vt:lpstr>DEP_1Q24</vt:lpstr>
      <vt:lpstr>Tags!DEP_2000</vt:lpstr>
      <vt:lpstr>DEP_2000</vt:lpstr>
      <vt:lpstr>Tags!DEP_2001</vt:lpstr>
      <vt:lpstr>DEP_2001</vt:lpstr>
      <vt:lpstr>Tags!DEP_2002</vt:lpstr>
      <vt:lpstr>DEP_2002</vt:lpstr>
      <vt:lpstr>Tags!DEP_2003</vt:lpstr>
      <vt:lpstr>DEP_2003</vt:lpstr>
      <vt:lpstr>Tags!DEP_2004</vt:lpstr>
      <vt:lpstr>DEP_2004</vt:lpstr>
      <vt:lpstr>Tags!DEP_2005</vt:lpstr>
      <vt:lpstr>DEP_2005</vt:lpstr>
      <vt:lpstr>Tags!DEP_2006</vt:lpstr>
      <vt:lpstr>DEP_2006</vt:lpstr>
      <vt:lpstr>Tags!DEP_2007</vt:lpstr>
      <vt:lpstr>DEP_2007</vt:lpstr>
      <vt:lpstr>Tags!DEP_2008</vt:lpstr>
      <vt:lpstr>DEP_2008</vt:lpstr>
      <vt:lpstr>Tags!DEP_2009</vt:lpstr>
      <vt:lpstr>DEP_2009</vt:lpstr>
      <vt:lpstr>Tags!DEP_2010</vt:lpstr>
      <vt:lpstr>DEP_2010</vt:lpstr>
      <vt:lpstr>Tags!DEP_2011</vt:lpstr>
      <vt:lpstr>DEP_2011</vt:lpstr>
      <vt:lpstr>Tags!DEP_2012</vt:lpstr>
      <vt:lpstr>DEP_2012</vt:lpstr>
      <vt:lpstr>Tags!DEP_2013</vt:lpstr>
      <vt:lpstr>DEP_2013</vt:lpstr>
      <vt:lpstr>Tags!DEP_2014</vt:lpstr>
      <vt:lpstr>DEP_2014</vt:lpstr>
      <vt:lpstr>DEP_2015</vt:lpstr>
      <vt:lpstr>Tags!DEP_2016</vt:lpstr>
      <vt:lpstr>DEP_2016</vt:lpstr>
      <vt:lpstr>Tags!DEP_2017</vt:lpstr>
      <vt:lpstr>DEP_2017</vt:lpstr>
      <vt:lpstr>Tags!DEP_2018</vt:lpstr>
      <vt:lpstr>DEP_2018</vt:lpstr>
      <vt:lpstr>Tags!DEP_2019</vt:lpstr>
      <vt:lpstr>DEP_2019</vt:lpstr>
      <vt:lpstr>Tags!DEP_2020</vt:lpstr>
      <vt:lpstr>DEP_2020</vt:lpstr>
      <vt:lpstr>DEP_2021</vt:lpstr>
      <vt:lpstr>DEP_2022</vt:lpstr>
      <vt:lpstr>DEP_2023</vt:lpstr>
      <vt:lpstr>DEP_2024</vt:lpstr>
      <vt:lpstr>Tags!DEP_2Q00</vt:lpstr>
      <vt:lpstr>DEP_2Q00</vt:lpstr>
      <vt:lpstr>Tags!DEP_2Q01</vt:lpstr>
      <vt:lpstr>DEP_2Q01</vt:lpstr>
      <vt:lpstr>Tags!DEP_2Q02</vt:lpstr>
      <vt:lpstr>DEP_2Q02</vt:lpstr>
      <vt:lpstr>Tags!DEP_2Q03</vt:lpstr>
      <vt:lpstr>DEP_2Q03</vt:lpstr>
      <vt:lpstr>Tags!DEP_2Q04</vt:lpstr>
      <vt:lpstr>DEP_2Q04</vt:lpstr>
      <vt:lpstr>Tags!DEP_2Q05</vt:lpstr>
      <vt:lpstr>DEP_2Q05</vt:lpstr>
      <vt:lpstr>Tags!DEP_2Q06</vt:lpstr>
      <vt:lpstr>DEP_2Q06</vt:lpstr>
      <vt:lpstr>Tags!DEP_2Q07</vt:lpstr>
      <vt:lpstr>DEP_2Q07</vt:lpstr>
      <vt:lpstr>Tags!DEP_2Q08</vt:lpstr>
      <vt:lpstr>DEP_2Q08</vt:lpstr>
      <vt:lpstr>Tags!DEP_2Q09</vt:lpstr>
      <vt:lpstr>DEP_2Q09</vt:lpstr>
      <vt:lpstr>Tags!DEP_2Q10</vt:lpstr>
      <vt:lpstr>DEP_2Q10</vt:lpstr>
      <vt:lpstr>Tags!DEP_2Q11</vt:lpstr>
      <vt:lpstr>DEP_2Q11</vt:lpstr>
      <vt:lpstr>Tags!DEP_2Q12</vt:lpstr>
      <vt:lpstr>DEP_2Q12</vt:lpstr>
      <vt:lpstr>Tags!DEP_2Q13</vt:lpstr>
      <vt:lpstr>DEP_2Q13</vt:lpstr>
      <vt:lpstr>Tags!DEP_2Q14</vt:lpstr>
      <vt:lpstr>DEP_2Q14</vt:lpstr>
      <vt:lpstr>Tags!DEP_2Q15</vt:lpstr>
      <vt:lpstr>DEP_2Q15</vt:lpstr>
      <vt:lpstr>Tags!DEP_2Q16</vt:lpstr>
      <vt:lpstr>DEP_2Q16</vt:lpstr>
      <vt:lpstr>Tags!DEP_2Q17</vt:lpstr>
      <vt:lpstr>DEP_2Q17</vt:lpstr>
      <vt:lpstr>Tags!DEP_2Q18</vt:lpstr>
      <vt:lpstr>DEP_2Q18</vt:lpstr>
      <vt:lpstr>Tags!DEP_2Q19</vt:lpstr>
      <vt:lpstr>DEP_2Q19</vt:lpstr>
      <vt:lpstr>Tags!DEP_2Q20</vt:lpstr>
      <vt:lpstr>DEP_2Q20</vt:lpstr>
      <vt:lpstr>DEP_2Q21</vt:lpstr>
      <vt:lpstr>DEP_2Q22</vt:lpstr>
      <vt:lpstr>DEP_2Q23</vt:lpstr>
      <vt:lpstr>DEP_2Q24</vt:lpstr>
      <vt:lpstr>Tags!DEP_3Q00</vt:lpstr>
      <vt:lpstr>DEP_3Q00</vt:lpstr>
      <vt:lpstr>Tags!DEP_3Q01</vt:lpstr>
      <vt:lpstr>DEP_3Q01</vt:lpstr>
      <vt:lpstr>Tags!DEP_3Q02</vt:lpstr>
      <vt:lpstr>DEP_3Q02</vt:lpstr>
      <vt:lpstr>Tags!DEP_3Q03</vt:lpstr>
      <vt:lpstr>DEP_3Q03</vt:lpstr>
      <vt:lpstr>Tags!DEP_3Q04</vt:lpstr>
      <vt:lpstr>DEP_3Q04</vt:lpstr>
      <vt:lpstr>Tags!DEP_3Q05</vt:lpstr>
      <vt:lpstr>DEP_3Q05</vt:lpstr>
      <vt:lpstr>Tags!DEP_3Q06</vt:lpstr>
      <vt:lpstr>DEP_3Q06</vt:lpstr>
      <vt:lpstr>Tags!DEP_3Q07</vt:lpstr>
      <vt:lpstr>DEP_3Q07</vt:lpstr>
      <vt:lpstr>Tags!DEP_3Q08</vt:lpstr>
      <vt:lpstr>DEP_3Q08</vt:lpstr>
      <vt:lpstr>Tags!DEP_3Q09</vt:lpstr>
      <vt:lpstr>DEP_3Q09</vt:lpstr>
      <vt:lpstr>Tags!DEP_3Q10</vt:lpstr>
      <vt:lpstr>DEP_3Q10</vt:lpstr>
      <vt:lpstr>Tags!DEP_3Q11</vt:lpstr>
      <vt:lpstr>DEP_3Q11</vt:lpstr>
      <vt:lpstr>Tags!DEP_3Q12</vt:lpstr>
      <vt:lpstr>DEP_3Q12</vt:lpstr>
      <vt:lpstr>Tags!DEP_3Q13</vt:lpstr>
      <vt:lpstr>DEP_3Q13</vt:lpstr>
      <vt:lpstr>Tags!DEP_3Q14</vt:lpstr>
      <vt:lpstr>DEP_3Q14</vt:lpstr>
      <vt:lpstr>Tags!DEP_3Q15</vt:lpstr>
      <vt:lpstr>DEP_3Q15</vt:lpstr>
      <vt:lpstr>Tags!DEP_3Q16</vt:lpstr>
      <vt:lpstr>DEP_3Q16</vt:lpstr>
      <vt:lpstr>Tags!DEP_3Q17</vt:lpstr>
      <vt:lpstr>DEP_3Q17</vt:lpstr>
      <vt:lpstr>Tags!DEP_3Q18</vt:lpstr>
      <vt:lpstr>DEP_3Q18</vt:lpstr>
      <vt:lpstr>Tags!DEP_3Q19</vt:lpstr>
      <vt:lpstr>DEP_3Q19</vt:lpstr>
      <vt:lpstr>Tags!DEP_3Q20</vt:lpstr>
      <vt:lpstr>DEP_3Q20</vt:lpstr>
      <vt:lpstr>DEP_3Q21</vt:lpstr>
      <vt:lpstr>DEP_3Q22</vt:lpstr>
      <vt:lpstr>DEP_3Q23</vt:lpstr>
      <vt:lpstr>DEP_3Q24</vt:lpstr>
      <vt:lpstr>Tags!DEP_4Q00</vt:lpstr>
      <vt:lpstr>DEP_4Q00</vt:lpstr>
      <vt:lpstr>Tags!DEP_4Q01</vt:lpstr>
      <vt:lpstr>DEP_4Q01</vt:lpstr>
      <vt:lpstr>Tags!DEP_4Q02</vt:lpstr>
      <vt:lpstr>DEP_4Q02</vt:lpstr>
      <vt:lpstr>Tags!DEP_4Q03</vt:lpstr>
      <vt:lpstr>DEP_4Q03</vt:lpstr>
      <vt:lpstr>Tags!DEP_4Q04</vt:lpstr>
      <vt:lpstr>DEP_4Q04</vt:lpstr>
      <vt:lpstr>Tags!DEP_4Q05</vt:lpstr>
      <vt:lpstr>DEP_4Q05</vt:lpstr>
      <vt:lpstr>Tags!DEP_4Q06</vt:lpstr>
      <vt:lpstr>DEP_4Q06</vt:lpstr>
      <vt:lpstr>Tags!DEP_4Q07</vt:lpstr>
      <vt:lpstr>DEP_4Q07</vt:lpstr>
      <vt:lpstr>Tags!DEP_4Q08</vt:lpstr>
      <vt:lpstr>DEP_4Q08</vt:lpstr>
      <vt:lpstr>Tags!DEP_4Q09</vt:lpstr>
      <vt:lpstr>DEP_4Q09</vt:lpstr>
      <vt:lpstr>Tags!DEP_4Q10</vt:lpstr>
      <vt:lpstr>DEP_4Q10</vt:lpstr>
      <vt:lpstr>Tags!DEP_4Q11</vt:lpstr>
      <vt:lpstr>DEP_4Q11</vt:lpstr>
      <vt:lpstr>Tags!DEP_4Q12</vt:lpstr>
      <vt:lpstr>DEP_4Q12</vt:lpstr>
      <vt:lpstr>Tags!DEP_4Q13</vt:lpstr>
      <vt:lpstr>DEP_4Q13</vt:lpstr>
      <vt:lpstr>Tags!DEP_4Q14</vt:lpstr>
      <vt:lpstr>DEP_4Q14</vt:lpstr>
      <vt:lpstr>Tags!DEP_4Q15</vt:lpstr>
      <vt:lpstr>DEP_4Q15</vt:lpstr>
      <vt:lpstr>Tags!DEP_4Q16</vt:lpstr>
      <vt:lpstr>DEP_4Q16</vt:lpstr>
      <vt:lpstr>Tags!DEP_4Q17</vt:lpstr>
      <vt:lpstr>DEP_4Q17</vt:lpstr>
      <vt:lpstr>Tags!DEP_4Q18</vt:lpstr>
      <vt:lpstr>DEP_4Q18</vt:lpstr>
      <vt:lpstr>Tags!DEP_4Q19</vt:lpstr>
      <vt:lpstr>DEP_4Q19</vt:lpstr>
      <vt:lpstr>Tags!DEP_4Q20</vt:lpstr>
      <vt:lpstr>DEP_4Q20</vt:lpstr>
      <vt:lpstr>DEP_4Q21</vt:lpstr>
      <vt:lpstr>DEP_4Q22</vt:lpstr>
      <vt:lpstr>DEP_4Q23</vt:lpstr>
      <vt:lpstr>DEP_4Q24</vt:lpstr>
      <vt:lpstr>DISCOP_1995</vt:lpstr>
      <vt:lpstr>DISCOP_1996</vt:lpstr>
      <vt:lpstr>DISCOP_1997</vt:lpstr>
      <vt:lpstr>DISCOP_1998</vt:lpstr>
      <vt:lpstr>DISCOP_1999</vt:lpstr>
      <vt:lpstr>Tags!DISCOP_1Q00</vt:lpstr>
      <vt:lpstr>DISCOP_1Q00</vt:lpstr>
      <vt:lpstr>Tags!DISCOP_1Q01</vt:lpstr>
      <vt:lpstr>DISCOP_1Q01</vt:lpstr>
      <vt:lpstr>Tags!DISCOP_1Q02</vt:lpstr>
      <vt:lpstr>DISCOP_1Q02</vt:lpstr>
      <vt:lpstr>Tags!DISCOP_1Q03</vt:lpstr>
      <vt:lpstr>DISCOP_1Q03</vt:lpstr>
      <vt:lpstr>Tags!DISCOP_1Q04</vt:lpstr>
      <vt:lpstr>DISCOP_1Q04</vt:lpstr>
      <vt:lpstr>Tags!DISCOP_1Q05</vt:lpstr>
      <vt:lpstr>DISCOP_1Q05</vt:lpstr>
      <vt:lpstr>Tags!DISCOP_1Q06</vt:lpstr>
      <vt:lpstr>DISCOP_1Q06</vt:lpstr>
      <vt:lpstr>Tags!DISCOP_1Q07</vt:lpstr>
      <vt:lpstr>DISCOP_1Q07</vt:lpstr>
      <vt:lpstr>Tags!DISCOP_1Q08</vt:lpstr>
      <vt:lpstr>DISCOP_1Q08</vt:lpstr>
      <vt:lpstr>Tags!DISCOP_1Q09</vt:lpstr>
      <vt:lpstr>DISCOP_1Q09</vt:lpstr>
      <vt:lpstr>Tags!DISCOP_1Q10</vt:lpstr>
      <vt:lpstr>DISCOP_1Q10</vt:lpstr>
      <vt:lpstr>Tags!DISCOP_1Q11</vt:lpstr>
      <vt:lpstr>DISCOP_1Q11</vt:lpstr>
      <vt:lpstr>Tags!DISCOP_1Q12</vt:lpstr>
      <vt:lpstr>DISCOP_1Q12</vt:lpstr>
      <vt:lpstr>Tags!DISCOP_1Q13</vt:lpstr>
      <vt:lpstr>DISCOP_1Q13</vt:lpstr>
      <vt:lpstr>Tags!DISCOP_1Q14</vt:lpstr>
      <vt:lpstr>DISCOP_1Q14</vt:lpstr>
      <vt:lpstr>Tags!DISCOP_1Q15</vt:lpstr>
      <vt:lpstr>DISCOP_1Q15</vt:lpstr>
      <vt:lpstr>Tags!DISCOP_1Q16</vt:lpstr>
      <vt:lpstr>DISCOP_1Q16</vt:lpstr>
      <vt:lpstr>Tags!DISCOP_1Q17</vt:lpstr>
      <vt:lpstr>DISCOP_1Q17</vt:lpstr>
      <vt:lpstr>Tags!DISCOP_1Q18</vt:lpstr>
      <vt:lpstr>DISCOP_1Q18</vt:lpstr>
      <vt:lpstr>Tags!DISCOP_1Q19</vt:lpstr>
      <vt:lpstr>DISCOP_1Q19</vt:lpstr>
      <vt:lpstr>Tags!DISCOP_1Q20</vt:lpstr>
      <vt:lpstr>DISCOP_1Q20</vt:lpstr>
      <vt:lpstr>DISCOP_1Q21</vt:lpstr>
      <vt:lpstr>DISCOP_1Q22</vt:lpstr>
      <vt:lpstr>DISCOP_1Q23</vt:lpstr>
      <vt:lpstr>DISCOP_1Q24</vt:lpstr>
      <vt:lpstr>Tags!DISCOP_2000</vt:lpstr>
      <vt:lpstr>DISCOP_2000</vt:lpstr>
      <vt:lpstr>Tags!DISCOP_2001</vt:lpstr>
      <vt:lpstr>DISCOP_2001</vt:lpstr>
      <vt:lpstr>Tags!DISCOP_2002</vt:lpstr>
      <vt:lpstr>DISCOP_2002</vt:lpstr>
      <vt:lpstr>Tags!DISCOP_2003</vt:lpstr>
      <vt:lpstr>DISCOP_2003</vt:lpstr>
      <vt:lpstr>Tags!DISCOP_2004</vt:lpstr>
      <vt:lpstr>DISCOP_2004</vt:lpstr>
      <vt:lpstr>Tags!DISCOP_2005</vt:lpstr>
      <vt:lpstr>DISCOP_2005</vt:lpstr>
      <vt:lpstr>Tags!DISCOP_2006</vt:lpstr>
      <vt:lpstr>DISCOP_2006</vt:lpstr>
      <vt:lpstr>Tags!DISCOP_2007</vt:lpstr>
      <vt:lpstr>DISCOP_2007</vt:lpstr>
      <vt:lpstr>Tags!DISCOP_2008</vt:lpstr>
      <vt:lpstr>DISCOP_2008</vt:lpstr>
      <vt:lpstr>Tags!DISCOP_2009</vt:lpstr>
      <vt:lpstr>DISCOP_2009</vt:lpstr>
      <vt:lpstr>Tags!DISCOP_2010</vt:lpstr>
      <vt:lpstr>DISCOP_2010</vt:lpstr>
      <vt:lpstr>Tags!DISCOP_2011</vt:lpstr>
      <vt:lpstr>DISCOP_2011</vt:lpstr>
      <vt:lpstr>Tags!DISCOP_2012</vt:lpstr>
      <vt:lpstr>DISCOP_2012</vt:lpstr>
      <vt:lpstr>Tags!DISCOP_2013</vt:lpstr>
      <vt:lpstr>DISCOP_2013</vt:lpstr>
      <vt:lpstr>Tags!DISCOP_2014</vt:lpstr>
      <vt:lpstr>DISCOP_2014</vt:lpstr>
      <vt:lpstr>DISCOP_2015</vt:lpstr>
      <vt:lpstr>Tags!DISCOP_2016</vt:lpstr>
      <vt:lpstr>DISCOP_2016</vt:lpstr>
      <vt:lpstr>Tags!DISCOP_2017</vt:lpstr>
      <vt:lpstr>DISCOP_2017</vt:lpstr>
      <vt:lpstr>Tags!DISCOP_2018</vt:lpstr>
      <vt:lpstr>DISCOP_2018</vt:lpstr>
      <vt:lpstr>Tags!DISCOP_2019</vt:lpstr>
      <vt:lpstr>DISCOP_2019</vt:lpstr>
      <vt:lpstr>Tags!DISCOP_2020</vt:lpstr>
      <vt:lpstr>DISCOP_2020</vt:lpstr>
      <vt:lpstr>DISCOP_2021</vt:lpstr>
      <vt:lpstr>DISCOP_2022</vt:lpstr>
      <vt:lpstr>DISCOP_2023</vt:lpstr>
      <vt:lpstr>DISCOP_2024</vt:lpstr>
      <vt:lpstr>Tags!DISCOP_2Q00</vt:lpstr>
      <vt:lpstr>DISCOP_2Q00</vt:lpstr>
      <vt:lpstr>Tags!DISCOP_2Q01</vt:lpstr>
      <vt:lpstr>DISCOP_2Q01</vt:lpstr>
      <vt:lpstr>Tags!DISCOP_2Q02</vt:lpstr>
      <vt:lpstr>DISCOP_2Q02</vt:lpstr>
      <vt:lpstr>Tags!DISCOP_2Q03</vt:lpstr>
      <vt:lpstr>DISCOP_2Q03</vt:lpstr>
      <vt:lpstr>Tags!DISCOP_2Q04</vt:lpstr>
      <vt:lpstr>DISCOP_2Q04</vt:lpstr>
      <vt:lpstr>Tags!DISCOP_2Q05</vt:lpstr>
      <vt:lpstr>DISCOP_2Q05</vt:lpstr>
      <vt:lpstr>Tags!DISCOP_2Q06</vt:lpstr>
      <vt:lpstr>DISCOP_2Q06</vt:lpstr>
      <vt:lpstr>Tags!DISCOP_2Q07</vt:lpstr>
      <vt:lpstr>DISCOP_2Q07</vt:lpstr>
      <vt:lpstr>Tags!DISCOP_2Q08</vt:lpstr>
      <vt:lpstr>DISCOP_2Q08</vt:lpstr>
      <vt:lpstr>Tags!DISCOP_2Q09</vt:lpstr>
      <vt:lpstr>DISCOP_2Q09</vt:lpstr>
      <vt:lpstr>Tags!DISCOP_2Q10</vt:lpstr>
      <vt:lpstr>DISCOP_2Q10</vt:lpstr>
      <vt:lpstr>Tags!DISCOP_2Q11</vt:lpstr>
      <vt:lpstr>DISCOP_2Q11</vt:lpstr>
      <vt:lpstr>Tags!DISCOP_2Q12</vt:lpstr>
      <vt:lpstr>DISCOP_2Q12</vt:lpstr>
      <vt:lpstr>Tags!DISCOP_2Q13</vt:lpstr>
      <vt:lpstr>DISCOP_2Q13</vt:lpstr>
      <vt:lpstr>Tags!DISCOP_2Q14</vt:lpstr>
      <vt:lpstr>DISCOP_2Q14</vt:lpstr>
      <vt:lpstr>Tags!DISCOP_2Q15</vt:lpstr>
      <vt:lpstr>DISCOP_2Q15</vt:lpstr>
      <vt:lpstr>Tags!DISCOP_2Q16</vt:lpstr>
      <vt:lpstr>DISCOP_2Q16</vt:lpstr>
      <vt:lpstr>Tags!DISCOP_2Q17</vt:lpstr>
      <vt:lpstr>DISCOP_2Q17</vt:lpstr>
      <vt:lpstr>Tags!DISCOP_2Q18</vt:lpstr>
      <vt:lpstr>DISCOP_2Q18</vt:lpstr>
      <vt:lpstr>Tags!DISCOP_2Q19</vt:lpstr>
      <vt:lpstr>DISCOP_2Q19</vt:lpstr>
      <vt:lpstr>Tags!DISCOP_2Q20</vt:lpstr>
      <vt:lpstr>DISCOP_2Q20</vt:lpstr>
      <vt:lpstr>DISCOP_2Q21</vt:lpstr>
      <vt:lpstr>DISCOP_2Q22</vt:lpstr>
      <vt:lpstr>DISCOP_2Q23</vt:lpstr>
      <vt:lpstr>DISCOP_2Q24</vt:lpstr>
      <vt:lpstr>Tags!DISCOP_3Q00</vt:lpstr>
      <vt:lpstr>DISCOP_3Q00</vt:lpstr>
      <vt:lpstr>Tags!DISCOP_3Q01</vt:lpstr>
      <vt:lpstr>DISCOP_3Q01</vt:lpstr>
      <vt:lpstr>Tags!DISCOP_3Q02</vt:lpstr>
      <vt:lpstr>DISCOP_3Q02</vt:lpstr>
      <vt:lpstr>Tags!DISCOP_3Q03</vt:lpstr>
      <vt:lpstr>DISCOP_3Q03</vt:lpstr>
      <vt:lpstr>Tags!DISCOP_3Q04</vt:lpstr>
      <vt:lpstr>DISCOP_3Q04</vt:lpstr>
      <vt:lpstr>Tags!DISCOP_3Q05</vt:lpstr>
      <vt:lpstr>DISCOP_3Q05</vt:lpstr>
      <vt:lpstr>Tags!DISCOP_3Q06</vt:lpstr>
      <vt:lpstr>DISCOP_3Q06</vt:lpstr>
      <vt:lpstr>Tags!DISCOP_3Q07</vt:lpstr>
      <vt:lpstr>DISCOP_3Q07</vt:lpstr>
      <vt:lpstr>Tags!DISCOP_3Q08</vt:lpstr>
      <vt:lpstr>DISCOP_3Q08</vt:lpstr>
      <vt:lpstr>Tags!DISCOP_3Q09</vt:lpstr>
      <vt:lpstr>DISCOP_3Q09</vt:lpstr>
      <vt:lpstr>Tags!DISCOP_3Q10</vt:lpstr>
      <vt:lpstr>DISCOP_3Q10</vt:lpstr>
      <vt:lpstr>Tags!DISCOP_3Q11</vt:lpstr>
      <vt:lpstr>DISCOP_3Q11</vt:lpstr>
      <vt:lpstr>Tags!DISCOP_3Q12</vt:lpstr>
      <vt:lpstr>DISCOP_3Q12</vt:lpstr>
      <vt:lpstr>Tags!DISCOP_3Q13</vt:lpstr>
      <vt:lpstr>DISCOP_3Q13</vt:lpstr>
      <vt:lpstr>Tags!DISCOP_3Q14</vt:lpstr>
      <vt:lpstr>DISCOP_3Q14</vt:lpstr>
      <vt:lpstr>Tags!DISCOP_3Q15</vt:lpstr>
      <vt:lpstr>DISCOP_3Q15</vt:lpstr>
      <vt:lpstr>Tags!DISCOP_3Q16</vt:lpstr>
      <vt:lpstr>DISCOP_3Q16</vt:lpstr>
      <vt:lpstr>Tags!DISCOP_3Q17</vt:lpstr>
      <vt:lpstr>DISCOP_3Q17</vt:lpstr>
      <vt:lpstr>Tags!DISCOP_3Q18</vt:lpstr>
      <vt:lpstr>DISCOP_3Q18</vt:lpstr>
      <vt:lpstr>Tags!DISCOP_3Q19</vt:lpstr>
      <vt:lpstr>DISCOP_3Q19</vt:lpstr>
      <vt:lpstr>Tags!DISCOP_3Q20</vt:lpstr>
      <vt:lpstr>DISCOP_3Q20</vt:lpstr>
      <vt:lpstr>DISCOP_3Q21</vt:lpstr>
      <vt:lpstr>DISCOP_3Q22</vt:lpstr>
      <vt:lpstr>DISCOP_3Q23</vt:lpstr>
      <vt:lpstr>DISCOP_3Q24</vt:lpstr>
      <vt:lpstr>Tags!DISCOP_4Q00</vt:lpstr>
      <vt:lpstr>DISCOP_4Q00</vt:lpstr>
      <vt:lpstr>Tags!DISCOP_4Q01</vt:lpstr>
      <vt:lpstr>DISCOP_4Q01</vt:lpstr>
      <vt:lpstr>Tags!DISCOP_4Q02</vt:lpstr>
      <vt:lpstr>DISCOP_4Q02</vt:lpstr>
      <vt:lpstr>Tags!DISCOP_4Q03</vt:lpstr>
      <vt:lpstr>DISCOP_4Q03</vt:lpstr>
      <vt:lpstr>Tags!DISCOP_4Q04</vt:lpstr>
      <vt:lpstr>DISCOP_4Q04</vt:lpstr>
      <vt:lpstr>Tags!DISCOP_4Q05</vt:lpstr>
      <vt:lpstr>DISCOP_4Q05</vt:lpstr>
      <vt:lpstr>Tags!DISCOP_4Q06</vt:lpstr>
      <vt:lpstr>DISCOP_4Q06</vt:lpstr>
      <vt:lpstr>Tags!DISCOP_4Q07</vt:lpstr>
      <vt:lpstr>DISCOP_4Q07</vt:lpstr>
      <vt:lpstr>Tags!DISCOP_4Q08</vt:lpstr>
      <vt:lpstr>DISCOP_4Q08</vt:lpstr>
      <vt:lpstr>Tags!DISCOP_4Q09</vt:lpstr>
      <vt:lpstr>DISCOP_4Q09</vt:lpstr>
      <vt:lpstr>Tags!DISCOP_4Q10</vt:lpstr>
      <vt:lpstr>DISCOP_4Q10</vt:lpstr>
      <vt:lpstr>Tags!DISCOP_4Q11</vt:lpstr>
      <vt:lpstr>DISCOP_4Q11</vt:lpstr>
      <vt:lpstr>Tags!DISCOP_4Q12</vt:lpstr>
      <vt:lpstr>DISCOP_4Q12</vt:lpstr>
      <vt:lpstr>Tags!DISCOP_4Q13</vt:lpstr>
      <vt:lpstr>DISCOP_4Q13</vt:lpstr>
      <vt:lpstr>Tags!DISCOP_4Q14</vt:lpstr>
      <vt:lpstr>DISCOP_4Q14</vt:lpstr>
      <vt:lpstr>Tags!DISCOP_4Q15</vt:lpstr>
      <vt:lpstr>DISCOP_4Q15</vt:lpstr>
      <vt:lpstr>Tags!DISCOP_4Q16</vt:lpstr>
      <vt:lpstr>DISCOP_4Q16</vt:lpstr>
      <vt:lpstr>Tags!DISCOP_4Q17</vt:lpstr>
      <vt:lpstr>DISCOP_4Q17</vt:lpstr>
      <vt:lpstr>Tags!DISCOP_4Q18</vt:lpstr>
      <vt:lpstr>DISCOP_4Q18</vt:lpstr>
      <vt:lpstr>Tags!DISCOP_4Q19</vt:lpstr>
      <vt:lpstr>DISCOP_4Q19</vt:lpstr>
      <vt:lpstr>Tags!DISCOP_4Q20</vt:lpstr>
      <vt:lpstr>DISCOP_4Q20</vt:lpstr>
      <vt:lpstr>DISCOP_4Q21</vt:lpstr>
      <vt:lpstr>DISCOP_4Q22</vt:lpstr>
      <vt:lpstr>DISCOP_4Q23</vt:lpstr>
      <vt:lpstr>DISCOP_4Q24</vt:lpstr>
      <vt:lpstr>Dividends_Common_1995</vt:lpstr>
      <vt:lpstr>Dividends_Common_1996</vt:lpstr>
      <vt:lpstr>Dividends_Common_1997</vt:lpstr>
      <vt:lpstr>Dividends_Common_1998</vt:lpstr>
      <vt:lpstr>Dividends_Common_1999</vt:lpstr>
      <vt:lpstr>Tags!DIVIDENDS_COMMON_1Q00</vt:lpstr>
      <vt:lpstr>Dividends_Common_1Q00</vt:lpstr>
      <vt:lpstr>Tags!DIVIDENDS_COMMON_1Q01</vt:lpstr>
      <vt:lpstr>Dividends_Common_1Q01</vt:lpstr>
      <vt:lpstr>Tags!DIVIDENDS_COMMON_1Q02</vt:lpstr>
      <vt:lpstr>Dividends_Common_1Q02</vt:lpstr>
      <vt:lpstr>Tags!DIVIDENDS_COMMON_1Q03</vt:lpstr>
      <vt:lpstr>Dividends_Common_1Q03</vt:lpstr>
      <vt:lpstr>Tags!DIVIDENDS_COMMON_1Q04</vt:lpstr>
      <vt:lpstr>Dividends_Common_1Q04</vt:lpstr>
      <vt:lpstr>Tags!DIVIDENDS_COMMON_1Q05</vt:lpstr>
      <vt:lpstr>Dividends_Common_1Q05</vt:lpstr>
      <vt:lpstr>Tags!DIVIDENDS_COMMON_1Q06</vt:lpstr>
      <vt:lpstr>Dividends_Common_1Q06</vt:lpstr>
      <vt:lpstr>Tags!DIVIDENDS_COMMON_1Q07</vt:lpstr>
      <vt:lpstr>Dividends_Common_1Q07</vt:lpstr>
      <vt:lpstr>Tags!DIVIDENDS_COMMON_1Q08</vt:lpstr>
      <vt:lpstr>Dividends_Common_1Q08</vt:lpstr>
      <vt:lpstr>Tags!DIVIDENDS_COMMON_1Q09</vt:lpstr>
      <vt:lpstr>Dividends_Common_1Q09</vt:lpstr>
      <vt:lpstr>Tags!DIVIDENDS_COMMON_1Q10</vt:lpstr>
      <vt:lpstr>Dividends_Common_1Q10</vt:lpstr>
      <vt:lpstr>Tags!DIVIDENDS_COMMON_1Q11</vt:lpstr>
      <vt:lpstr>Dividends_Common_1Q11</vt:lpstr>
      <vt:lpstr>Tags!DIVIDENDS_COMMON_1Q12</vt:lpstr>
      <vt:lpstr>Dividends_Common_1Q12</vt:lpstr>
      <vt:lpstr>Tags!DIVIDENDS_COMMON_1Q13</vt:lpstr>
      <vt:lpstr>Dividends_Common_1Q13</vt:lpstr>
      <vt:lpstr>Tags!DIVIDENDS_COMMON_1Q14</vt:lpstr>
      <vt:lpstr>Dividends_Common_1Q14</vt:lpstr>
      <vt:lpstr>Tags!DIVIDENDS_COMMON_1Q15</vt:lpstr>
      <vt:lpstr>Dividends_Common_1Q15</vt:lpstr>
      <vt:lpstr>Tags!DIVIDENDS_COMMON_1Q16</vt:lpstr>
      <vt:lpstr>Dividends_Common_1Q16</vt:lpstr>
      <vt:lpstr>Tags!DIVIDENDS_COMMON_1Q17</vt:lpstr>
      <vt:lpstr>Dividends_Common_1Q17</vt:lpstr>
      <vt:lpstr>Tags!DIVIDENDS_COMMON_1Q18</vt:lpstr>
      <vt:lpstr>Dividends_Common_1Q18</vt:lpstr>
      <vt:lpstr>Tags!DIVIDENDS_COMMON_1Q19</vt:lpstr>
      <vt:lpstr>Dividends_Common_1Q19</vt:lpstr>
      <vt:lpstr>Tags!DIVIDENDS_COMMON_1Q20</vt:lpstr>
      <vt:lpstr>Dividends_Common_1Q20</vt:lpstr>
      <vt:lpstr>DIVIDENDS_COMMON_1Q21</vt:lpstr>
      <vt:lpstr>DIVIDENDS_COMMON_1Q22</vt:lpstr>
      <vt:lpstr>DIVIDENDS_COMMON_1Q23</vt:lpstr>
      <vt:lpstr>DIVIDENDS_COMMON_1Q24</vt:lpstr>
      <vt:lpstr>Tags!DIVIDENDS_COMMON_2000</vt:lpstr>
      <vt:lpstr>Dividends_Common_2000</vt:lpstr>
      <vt:lpstr>Tags!DIVIDENDS_COMMON_2001</vt:lpstr>
      <vt:lpstr>Dividends_Common_2001</vt:lpstr>
      <vt:lpstr>Tags!DIVIDENDS_COMMON_2002</vt:lpstr>
      <vt:lpstr>Dividends_Common_2002</vt:lpstr>
      <vt:lpstr>Tags!DIVIDENDS_COMMON_2003</vt:lpstr>
      <vt:lpstr>Dividends_Common_2003</vt:lpstr>
      <vt:lpstr>Tags!DIVIDENDS_COMMON_2004</vt:lpstr>
      <vt:lpstr>Dividends_Common_2004</vt:lpstr>
      <vt:lpstr>Tags!DIVIDENDS_COMMON_2005</vt:lpstr>
      <vt:lpstr>Dividends_Common_2005</vt:lpstr>
      <vt:lpstr>Tags!DIVIDENDS_COMMON_2006</vt:lpstr>
      <vt:lpstr>Dividends_Common_2006</vt:lpstr>
      <vt:lpstr>Tags!DIVIDENDS_COMMON_2007</vt:lpstr>
      <vt:lpstr>Dividends_Common_2007</vt:lpstr>
      <vt:lpstr>Tags!DIVIDENDS_COMMON_2008</vt:lpstr>
      <vt:lpstr>Dividends_Common_2008</vt:lpstr>
      <vt:lpstr>Tags!DIVIDENDS_COMMON_2009</vt:lpstr>
      <vt:lpstr>Dividends_Common_2009</vt:lpstr>
      <vt:lpstr>Tags!DIVIDENDS_COMMON_2010</vt:lpstr>
      <vt:lpstr>Dividends_Common_2010</vt:lpstr>
      <vt:lpstr>Tags!DIVIDENDS_COMMON_2011</vt:lpstr>
      <vt:lpstr>Dividends_Common_2011</vt:lpstr>
      <vt:lpstr>Tags!DIVIDENDS_COMMON_2012</vt:lpstr>
      <vt:lpstr>Dividends_Common_2012</vt:lpstr>
      <vt:lpstr>Tags!DIVIDENDS_COMMON_2013</vt:lpstr>
      <vt:lpstr>Dividends_Common_2013</vt:lpstr>
      <vt:lpstr>Tags!DIVIDENDS_COMMON_2014</vt:lpstr>
      <vt:lpstr>Dividends_Common_2014</vt:lpstr>
      <vt:lpstr>Dividends_Common_2015</vt:lpstr>
      <vt:lpstr>Tags!DIVIDENDS_COMMON_2016</vt:lpstr>
      <vt:lpstr>Dividends_Common_2016</vt:lpstr>
      <vt:lpstr>Tags!DIVIDENDS_COMMON_2017</vt:lpstr>
      <vt:lpstr>Dividends_Common_2017</vt:lpstr>
      <vt:lpstr>Tags!DIVIDENDS_COMMON_2018</vt:lpstr>
      <vt:lpstr>Dividends_Common_2018</vt:lpstr>
      <vt:lpstr>Tags!DIVIDENDS_COMMON_2019</vt:lpstr>
      <vt:lpstr>Dividends_Common_2019</vt:lpstr>
      <vt:lpstr>Tags!DIVIDENDS_COMMON_2020</vt:lpstr>
      <vt:lpstr>Dividends_Common_2020</vt:lpstr>
      <vt:lpstr>DIVIDENDS_COMMON_2021</vt:lpstr>
      <vt:lpstr>DIVIDENDS_COMMON_2022</vt:lpstr>
      <vt:lpstr>DIVIDENDS_COMMON_2023</vt:lpstr>
      <vt:lpstr>DIVIDENDS_COMMON_2024</vt:lpstr>
      <vt:lpstr>Tags!DIVIDENDS_COMMON_2Q00</vt:lpstr>
      <vt:lpstr>Dividends_Common_2Q00</vt:lpstr>
      <vt:lpstr>Tags!DIVIDENDS_COMMON_2Q01</vt:lpstr>
      <vt:lpstr>Dividends_Common_2Q01</vt:lpstr>
      <vt:lpstr>Tags!DIVIDENDS_COMMON_2Q02</vt:lpstr>
      <vt:lpstr>Dividends_Common_2Q02</vt:lpstr>
      <vt:lpstr>Tags!DIVIDENDS_COMMON_2Q03</vt:lpstr>
      <vt:lpstr>Dividends_Common_2Q03</vt:lpstr>
      <vt:lpstr>Tags!DIVIDENDS_COMMON_2Q04</vt:lpstr>
      <vt:lpstr>Dividends_Common_2Q04</vt:lpstr>
      <vt:lpstr>Tags!DIVIDENDS_COMMON_2Q05</vt:lpstr>
      <vt:lpstr>Dividends_Common_2Q05</vt:lpstr>
      <vt:lpstr>Tags!DIVIDENDS_COMMON_2Q06</vt:lpstr>
      <vt:lpstr>Dividends_Common_2Q06</vt:lpstr>
      <vt:lpstr>Tags!DIVIDENDS_COMMON_2Q07</vt:lpstr>
      <vt:lpstr>Dividends_Common_2Q07</vt:lpstr>
      <vt:lpstr>Tags!DIVIDENDS_COMMON_2Q08</vt:lpstr>
      <vt:lpstr>Dividends_Common_2Q08</vt:lpstr>
      <vt:lpstr>Tags!DIVIDENDS_COMMON_2Q09</vt:lpstr>
      <vt:lpstr>Dividends_Common_2Q09</vt:lpstr>
      <vt:lpstr>Tags!DIVIDENDS_COMMON_2Q10</vt:lpstr>
      <vt:lpstr>Dividends_Common_2Q10</vt:lpstr>
      <vt:lpstr>Tags!DIVIDENDS_COMMON_2Q11</vt:lpstr>
      <vt:lpstr>Dividends_Common_2Q11</vt:lpstr>
      <vt:lpstr>Tags!DIVIDENDS_COMMON_2Q12</vt:lpstr>
      <vt:lpstr>Dividends_Common_2Q12</vt:lpstr>
      <vt:lpstr>Tags!DIVIDENDS_COMMON_2Q13</vt:lpstr>
      <vt:lpstr>Dividends_Common_2Q13</vt:lpstr>
      <vt:lpstr>Tags!DIVIDENDS_COMMON_2Q14</vt:lpstr>
      <vt:lpstr>Dividends_Common_2Q14</vt:lpstr>
      <vt:lpstr>Tags!DIVIDENDS_COMMON_2Q15</vt:lpstr>
      <vt:lpstr>Dividends_Common_2Q15</vt:lpstr>
      <vt:lpstr>Tags!DIVIDENDS_COMMON_2Q16</vt:lpstr>
      <vt:lpstr>Dividends_Common_2Q16</vt:lpstr>
      <vt:lpstr>Tags!DIVIDENDS_COMMON_2Q17</vt:lpstr>
      <vt:lpstr>Dividends_Common_2Q17</vt:lpstr>
      <vt:lpstr>Tags!DIVIDENDS_COMMON_2Q18</vt:lpstr>
      <vt:lpstr>Dividends_Common_2Q18</vt:lpstr>
      <vt:lpstr>Tags!DIVIDENDS_COMMON_2Q19</vt:lpstr>
      <vt:lpstr>Dividends_Common_2Q19</vt:lpstr>
      <vt:lpstr>Tags!DIVIDENDS_COMMON_2Q20</vt:lpstr>
      <vt:lpstr>Dividends_Common_2Q20</vt:lpstr>
      <vt:lpstr>DIVIDENDS_COMMON_2Q21</vt:lpstr>
      <vt:lpstr>DIVIDENDS_COMMON_2Q22</vt:lpstr>
      <vt:lpstr>DIVIDENDS_COMMON_2Q23</vt:lpstr>
      <vt:lpstr>DIVIDENDS_COMMON_2Q24</vt:lpstr>
      <vt:lpstr>Tags!DIVIDENDS_COMMON_3Q00</vt:lpstr>
      <vt:lpstr>Dividends_Common_3Q00</vt:lpstr>
      <vt:lpstr>Tags!DIVIDENDS_COMMON_3Q01</vt:lpstr>
      <vt:lpstr>Dividends_Common_3Q01</vt:lpstr>
      <vt:lpstr>Tags!DIVIDENDS_COMMON_3Q02</vt:lpstr>
      <vt:lpstr>Dividends_Common_3Q02</vt:lpstr>
      <vt:lpstr>Tags!DIVIDENDS_COMMON_3Q03</vt:lpstr>
      <vt:lpstr>Dividends_Common_3Q03</vt:lpstr>
      <vt:lpstr>Tags!DIVIDENDS_COMMON_3Q04</vt:lpstr>
      <vt:lpstr>Dividends_Common_3Q04</vt:lpstr>
      <vt:lpstr>Tags!DIVIDENDS_COMMON_3Q05</vt:lpstr>
      <vt:lpstr>Dividends_Common_3Q05</vt:lpstr>
      <vt:lpstr>Tags!DIVIDENDS_COMMON_3Q06</vt:lpstr>
      <vt:lpstr>Dividends_Common_3Q06</vt:lpstr>
      <vt:lpstr>Tags!DIVIDENDS_COMMON_3Q07</vt:lpstr>
      <vt:lpstr>Dividends_Common_3Q07</vt:lpstr>
      <vt:lpstr>Tags!DIVIDENDS_COMMON_3Q08</vt:lpstr>
      <vt:lpstr>Dividends_Common_3Q08</vt:lpstr>
      <vt:lpstr>Tags!DIVIDENDS_COMMON_3Q09</vt:lpstr>
      <vt:lpstr>Dividends_Common_3Q09</vt:lpstr>
      <vt:lpstr>Tags!DIVIDENDS_COMMON_3Q10</vt:lpstr>
      <vt:lpstr>Dividends_Common_3Q10</vt:lpstr>
      <vt:lpstr>Tags!DIVIDENDS_COMMON_3Q11</vt:lpstr>
      <vt:lpstr>Dividends_Common_3Q11</vt:lpstr>
      <vt:lpstr>Tags!DIVIDENDS_COMMON_3Q12</vt:lpstr>
      <vt:lpstr>Dividends_Common_3Q12</vt:lpstr>
      <vt:lpstr>Tags!DIVIDENDS_COMMON_3Q13</vt:lpstr>
      <vt:lpstr>Dividends_Common_3Q13</vt:lpstr>
      <vt:lpstr>Tags!DIVIDENDS_COMMON_3Q14</vt:lpstr>
      <vt:lpstr>Dividends_Common_3Q14</vt:lpstr>
      <vt:lpstr>Tags!DIVIDENDS_COMMON_3Q15</vt:lpstr>
      <vt:lpstr>Dividends_Common_3Q15</vt:lpstr>
      <vt:lpstr>Tags!DIVIDENDS_COMMON_3Q16</vt:lpstr>
      <vt:lpstr>Dividends_Common_3Q16</vt:lpstr>
      <vt:lpstr>Tags!DIVIDENDS_COMMON_3Q17</vt:lpstr>
      <vt:lpstr>Dividends_Common_3Q17</vt:lpstr>
      <vt:lpstr>Tags!DIVIDENDS_COMMON_3Q18</vt:lpstr>
      <vt:lpstr>Dividends_Common_3Q18</vt:lpstr>
      <vt:lpstr>Tags!DIVIDENDS_COMMON_3Q19</vt:lpstr>
      <vt:lpstr>Dividends_Common_3Q19</vt:lpstr>
      <vt:lpstr>Tags!DIVIDENDS_COMMON_3Q20</vt:lpstr>
      <vt:lpstr>Dividends_Common_3Q20</vt:lpstr>
      <vt:lpstr>DIVIDENDS_COMMON_3Q21</vt:lpstr>
      <vt:lpstr>DIVIDENDS_COMMON_3Q22</vt:lpstr>
      <vt:lpstr>DIVIDENDS_COMMON_3Q23</vt:lpstr>
      <vt:lpstr>DIVIDENDS_COMMON_3Q24</vt:lpstr>
      <vt:lpstr>Tags!DIVIDENDS_COMMON_4Q00</vt:lpstr>
      <vt:lpstr>Dividends_Common_4Q00</vt:lpstr>
      <vt:lpstr>Tags!DIVIDENDS_COMMON_4Q01</vt:lpstr>
      <vt:lpstr>Dividends_Common_4Q01</vt:lpstr>
      <vt:lpstr>Tags!DIVIDENDS_COMMON_4Q02</vt:lpstr>
      <vt:lpstr>Dividends_Common_4Q02</vt:lpstr>
      <vt:lpstr>Tags!DIVIDENDS_COMMON_4Q03</vt:lpstr>
      <vt:lpstr>Dividends_Common_4Q03</vt:lpstr>
      <vt:lpstr>Tags!DIVIDENDS_COMMON_4Q04</vt:lpstr>
      <vt:lpstr>Dividends_Common_4Q04</vt:lpstr>
      <vt:lpstr>Tags!DIVIDENDS_COMMON_4Q05</vt:lpstr>
      <vt:lpstr>Dividends_Common_4Q05</vt:lpstr>
      <vt:lpstr>Tags!DIVIDENDS_COMMON_4Q06</vt:lpstr>
      <vt:lpstr>Dividends_Common_4Q06</vt:lpstr>
      <vt:lpstr>Tags!DIVIDENDS_COMMON_4Q07</vt:lpstr>
      <vt:lpstr>Dividends_Common_4Q07</vt:lpstr>
      <vt:lpstr>Tags!DIVIDENDS_COMMON_4Q08</vt:lpstr>
      <vt:lpstr>Dividends_Common_4Q08</vt:lpstr>
      <vt:lpstr>Tags!DIVIDENDS_COMMON_4Q09</vt:lpstr>
      <vt:lpstr>Dividends_Common_4Q09</vt:lpstr>
      <vt:lpstr>Tags!DIVIDENDS_COMMON_4Q10</vt:lpstr>
      <vt:lpstr>Dividends_Common_4Q10</vt:lpstr>
      <vt:lpstr>Tags!DIVIDENDS_COMMON_4Q11</vt:lpstr>
      <vt:lpstr>Dividends_Common_4Q11</vt:lpstr>
      <vt:lpstr>Tags!DIVIDENDS_COMMON_4Q12</vt:lpstr>
      <vt:lpstr>Dividends_Common_4Q12</vt:lpstr>
      <vt:lpstr>Tags!DIVIDENDS_COMMON_4Q13</vt:lpstr>
      <vt:lpstr>Dividends_Common_4Q13</vt:lpstr>
      <vt:lpstr>Tags!DIVIDENDS_COMMON_4Q14</vt:lpstr>
      <vt:lpstr>Dividends_Common_4Q14</vt:lpstr>
      <vt:lpstr>Tags!DIVIDENDS_COMMON_4Q15</vt:lpstr>
      <vt:lpstr>Dividends_Common_4Q15</vt:lpstr>
      <vt:lpstr>Tags!DIVIDENDS_COMMON_4Q16</vt:lpstr>
      <vt:lpstr>Dividends_Common_4Q16</vt:lpstr>
      <vt:lpstr>Tags!DIVIDENDS_COMMON_4Q17</vt:lpstr>
      <vt:lpstr>Dividends_Common_4Q17</vt:lpstr>
      <vt:lpstr>Tags!DIVIDENDS_COMMON_4Q18</vt:lpstr>
      <vt:lpstr>Dividends_Common_4Q18</vt:lpstr>
      <vt:lpstr>Tags!DIVIDENDS_COMMON_4Q19</vt:lpstr>
      <vt:lpstr>Dividends_Common_4Q19</vt:lpstr>
      <vt:lpstr>Tags!DIVIDENDS_COMMON_4Q20</vt:lpstr>
      <vt:lpstr>Dividends_Common_4Q20</vt:lpstr>
      <vt:lpstr>DIVIDENDS_COMMON_4Q21</vt:lpstr>
      <vt:lpstr>DIVIDENDS_COMMON_4Q22</vt:lpstr>
      <vt:lpstr>DIVIDENDS_COMMON_4Q23</vt:lpstr>
      <vt:lpstr>DIVIDENDS_COMMON_4Q24</vt:lpstr>
      <vt:lpstr>Dividends_Preferred_1995</vt:lpstr>
      <vt:lpstr>Dividends_Preferred_1996</vt:lpstr>
      <vt:lpstr>Dividends_Preferred_1997</vt:lpstr>
      <vt:lpstr>Dividends_Preferred_1998</vt:lpstr>
      <vt:lpstr>Dividends_Preferred_1999</vt:lpstr>
      <vt:lpstr>Tags!DIVIDENDS_PREFERRED_1Q00</vt:lpstr>
      <vt:lpstr>Dividends_Preferred_1Q00</vt:lpstr>
      <vt:lpstr>Tags!DIVIDENDS_PREFERRED_1Q01</vt:lpstr>
      <vt:lpstr>Dividends_Preferred_1Q01</vt:lpstr>
      <vt:lpstr>Tags!DIVIDENDS_PREFERRED_1Q02</vt:lpstr>
      <vt:lpstr>Dividends_Preferred_1Q02</vt:lpstr>
      <vt:lpstr>Tags!DIVIDENDS_PREFERRED_1Q03</vt:lpstr>
      <vt:lpstr>Dividends_Preferred_1Q03</vt:lpstr>
      <vt:lpstr>Tags!DIVIDENDS_PREFERRED_1Q04</vt:lpstr>
      <vt:lpstr>Dividends_Preferred_1Q04</vt:lpstr>
      <vt:lpstr>Tags!DIVIDENDS_PREFERRED_1Q05</vt:lpstr>
      <vt:lpstr>Dividends_Preferred_1Q05</vt:lpstr>
      <vt:lpstr>Tags!DIVIDENDS_PREFERRED_1Q06</vt:lpstr>
      <vt:lpstr>Dividends_Preferred_1Q06</vt:lpstr>
      <vt:lpstr>Tags!DIVIDENDS_PREFERRED_1Q07</vt:lpstr>
      <vt:lpstr>Dividends_Preferred_1Q07</vt:lpstr>
      <vt:lpstr>Tags!DIVIDENDS_PREFERRED_1Q08</vt:lpstr>
      <vt:lpstr>Dividends_Preferred_1Q08</vt:lpstr>
      <vt:lpstr>Tags!DIVIDENDS_PREFERRED_1Q09</vt:lpstr>
      <vt:lpstr>Dividends_Preferred_1Q09</vt:lpstr>
      <vt:lpstr>Tags!DIVIDENDS_PREFERRED_1Q10</vt:lpstr>
      <vt:lpstr>Dividends_Preferred_1Q10</vt:lpstr>
      <vt:lpstr>Tags!DIVIDENDS_PREFERRED_1Q11</vt:lpstr>
      <vt:lpstr>Dividends_Preferred_1Q11</vt:lpstr>
      <vt:lpstr>Tags!DIVIDENDS_PREFERRED_1Q12</vt:lpstr>
      <vt:lpstr>Dividends_Preferred_1Q12</vt:lpstr>
      <vt:lpstr>Tags!DIVIDENDS_PREFERRED_1Q13</vt:lpstr>
      <vt:lpstr>Dividends_Preferred_1Q13</vt:lpstr>
      <vt:lpstr>Tags!DIVIDENDS_PREFERRED_1Q14</vt:lpstr>
      <vt:lpstr>Dividends_Preferred_1Q14</vt:lpstr>
      <vt:lpstr>Tags!DIVIDENDS_PREFERRED_1Q15</vt:lpstr>
      <vt:lpstr>Dividends_Preferred_1Q15</vt:lpstr>
      <vt:lpstr>Tags!DIVIDENDS_PREFERRED_1Q16</vt:lpstr>
      <vt:lpstr>Dividends_Preferred_1Q16</vt:lpstr>
      <vt:lpstr>Tags!DIVIDENDS_PREFERRED_1Q17</vt:lpstr>
      <vt:lpstr>Dividends_Preferred_1Q17</vt:lpstr>
      <vt:lpstr>Tags!DIVIDENDS_PREFERRED_1Q18</vt:lpstr>
      <vt:lpstr>Dividends_Preferred_1Q18</vt:lpstr>
      <vt:lpstr>Tags!DIVIDENDS_PREFERRED_1Q19</vt:lpstr>
      <vt:lpstr>Dividends_Preferred_1Q19</vt:lpstr>
      <vt:lpstr>Tags!DIVIDENDS_PREFERRED_1Q20</vt:lpstr>
      <vt:lpstr>Dividends_Preferred_1Q20</vt:lpstr>
      <vt:lpstr>DIVIDENDS_PREFERRED_1Q21</vt:lpstr>
      <vt:lpstr>DIVIDENDS_PREFERRED_1Q22</vt:lpstr>
      <vt:lpstr>DIVIDENDS_PREFERRED_1Q23</vt:lpstr>
      <vt:lpstr>DIVIDENDS_PREFERRED_1Q24</vt:lpstr>
      <vt:lpstr>Tags!DIVIDENDS_PREFERRED_2000</vt:lpstr>
      <vt:lpstr>Dividends_Preferred_2000</vt:lpstr>
      <vt:lpstr>Tags!DIVIDENDS_PREFERRED_2001</vt:lpstr>
      <vt:lpstr>Dividends_Preferred_2001</vt:lpstr>
      <vt:lpstr>Tags!DIVIDENDS_PREFERRED_2002</vt:lpstr>
      <vt:lpstr>Dividends_Preferred_2002</vt:lpstr>
      <vt:lpstr>Tags!DIVIDENDS_PREFERRED_2003</vt:lpstr>
      <vt:lpstr>Dividends_Preferred_2003</vt:lpstr>
      <vt:lpstr>Tags!DIVIDENDS_PREFERRED_2004</vt:lpstr>
      <vt:lpstr>Dividends_Preferred_2004</vt:lpstr>
      <vt:lpstr>Tags!DIVIDENDS_PREFERRED_2005</vt:lpstr>
      <vt:lpstr>Dividends_Preferred_2005</vt:lpstr>
      <vt:lpstr>Tags!DIVIDENDS_PREFERRED_2006</vt:lpstr>
      <vt:lpstr>Dividends_Preferred_2006</vt:lpstr>
      <vt:lpstr>Tags!DIVIDENDS_PREFERRED_2007</vt:lpstr>
      <vt:lpstr>Dividends_Preferred_2007</vt:lpstr>
      <vt:lpstr>Tags!DIVIDENDS_PREFERRED_2008</vt:lpstr>
      <vt:lpstr>Dividends_Preferred_2008</vt:lpstr>
      <vt:lpstr>Tags!DIVIDENDS_PREFERRED_2009</vt:lpstr>
      <vt:lpstr>Dividends_Preferred_2009</vt:lpstr>
      <vt:lpstr>Tags!DIVIDENDS_PREFERRED_2010</vt:lpstr>
      <vt:lpstr>Dividends_Preferred_2010</vt:lpstr>
      <vt:lpstr>Tags!DIVIDENDS_PREFERRED_2011</vt:lpstr>
      <vt:lpstr>Dividends_Preferred_2011</vt:lpstr>
      <vt:lpstr>Tags!DIVIDENDS_PREFERRED_2012</vt:lpstr>
      <vt:lpstr>Dividends_Preferred_2012</vt:lpstr>
      <vt:lpstr>Tags!DIVIDENDS_PREFERRED_2013</vt:lpstr>
      <vt:lpstr>Dividends_Preferred_2013</vt:lpstr>
      <vt:lpstr>Tags!DIVIDENDS_PREFERRED_2014</vt:lpstr>
      <vt:lpstr>Dividends_Preferred_2014</vt:lpstr>
      <vt:lpstr>Dividends_Preferred_2015</vt:lpstr>
      <vt:lpstr>Tags!DIVIDENDS_PREFERRED_2016</vt:lpstr>
      <vt:lpstr>Dividends_Preferred_2016</vt:lpstr>
      <vt:lpstr>Tags!DIVIDENDS_PREFERRED_2017</vt:lpstr>
      <vt:lpstr>Dividends_Preferred_2017</vt:lpstr>
      <vt:lpstr>Tags!DIVIDENDS_PREFERRED_2018</vt:lpstr>
      <vt:lpstr>Dividends_Preferred_2018</vt:lpstr>
      <vt:lpstr>Tags!DIVIDENDS_PREFERRED_2019</vt:lpstr>
      <vt:lpstr>Dividends_Preferred_2019</vt:lpstr>
      <vt:lpstr>Tags!DIVIDENDS_PREFERRED_2020</vt:lpstr>
      <vt:lpstr>Dividends_Preferred_2020</vt:lpstr>
      <vt:lpstr>DIVIDENDS_PREFERRED_2021</vt:lpstr>
      <vt:lpstr>DIVIDENDS_PREFERRED_2022</vt:lpstr>
      <vt:lpstr>DIVIDENDS_PREFERRED_2023</vt:lpstr>
      <vt:lpstr>DIVIDENDS_PREFERRED_2024</vt:lpstr>
      <vt:lpstr>Tags!DIVIDENDS_PREFERRED_2Q00</vt:lpstr>
      <vt:lpstr>Dividends_Preferred_2Q00</vt:lpstr>
      <vt:lpstr>Tags!DIVIDENDS_PREFERRED_2Q01</vt:lpstr>
      <vt:lpstr>Dividends_Preferred_2Q01</vt:lpstr>
      <vt:lpstr>Tags!DIVIDENDS_PREFERRED_2Q02</vt:lpstr>
      <vt:lpstr>Dividends_Preferred_2Q02</vt:lpstr>
      <vt:lpstr>Tags!DIVIDENDS_PREFERRED_2Q03</vt:lpstr>
      <vt:lpstr>Dividends_Preferred_2Q03</vt:lpstr>
      <vt:lpstr>Tags!DIVIDENDS_PREFERRED_2Q04</vt:lpstr>
      <vt:lpstr>Dividends_Preferred_2Q04</vt:lpstr>
      <vt:lpstr>Tags!DIVIDENDS_PREFERRED_2Q05</vt:lpstr>
      <vt:lpstr>Dividends_Preferred_2Q05</vt:lpstr>
      <vt:lpstr>Tags!DIVIDENDS_PREFERRED_2Q06</vt:lpstr>
      <vt:lpstr>Dividends_Preferred_2Q06</vt:lpstr>
      <vt:lpstr>Tags!DIVIDENDS_PREFERRED_2Q07</vt:lpstr>
      <vt:lpstr>Dividends_Preferred_2Q07</vt:lpstr>
      <vt:lpstr>Tags!DIVIDENDS_PREFERRED_2Q08</vt:lpstr>
      <vt:lpstr>Dividends_Preferred_2Q08</vt:lpstr>
      <vt:lpstr>Tags!DIVIDENDS_PREFERRED_2Q09</vt:lpstr>
      <vt:lpstr>Dividends_Preferred_2Q09</vt:lpstr>
      <vt:lpstr>Tags!DIVIDENDS_PREFERRED_2Q10</vt:lpstr>
      <vt:lpstr>Dividends_Preferred_2Q10</vt:lpstr>
      <vt:lpstr>Tags!DIVIDENDS_PREFERRED_2Q11</vt:lpstr>
      <vt:lpstr>Dividends_Preferred_2Q11</vt:lpstr>
      <vt:lpstr>Tags!DIVIDENDS_PREFERRED_2Q12</vt:lpstr>
      <vt:lpstr>Dividends_Preferred_2Q12</vt:lpstr>
      <vt:lpstr>Tags!DIVIDENDS_PREFERRED_2Q13</vt:lpstr>
      <vt:lpstr>Dividends_Preferred_2Q13</vt:lpstr>
      <vt:lpstr>Tags!DIVIDENDS_PREFERRED_2Q14</vt:lpstr>
      <vt:lpstr>Dividends_Preferred_2Q14</vt:lpstr>
      <vt:lpstr>Tags!DIVIDENDS_PREFERRED_2Q15</vt:lpstr>
      <vt:lpstr>Dividends_Preferred_2Q15</vt:lpstr>
      <vt:lpstr>Tags!DIVIDENDS_PREFERRED_2Q16</vt:lpstr>
      <vt:lpstr>Dividends_Preferred_2Q16</vt:lpstr>
      <vt:lpstr>Tags!DIVIDENDS_PREFERRED_2Q17</vt:lpstr>
      <vt:lpstr>Dividends_Preferred_2Q17</vt:lpstr>
      <vt:lpstr>Tags!DIVIDENDS_PREFERRED_2Q18</vt:lpstr>
      <vt:lpstr>Dividends_Preferred_2Q18</vt:lpstr>
      <vt:lpstr>Tags!DIVIDENDS_PREFERRED_2Q19</vt:lpstr>
      <vt:lpstr>Dividends_Preferred_2Q19</vt:lpstr>
      <vt:lpstr>Tags!DIVIDENDS_PREFERRED_2Q20</vt:lpstr>
      <vt:lpstr>Dividends_Preferred_2Q20</vt:lpstr>
      <vt:lpstr>DIVIDENDS_PREFERRED_2Q21</vt:lpstr>
      <vt:lpstr>DIVIDENDS_PREFERRED_2Q22</vt:lpstr>
      <vt:lpstr>DIVIDENDS_PREFERRED_2Q23</vt:lpstr>
      <vt:lpstr>DIVIDENDS_PREFERRED_2Q24</vt:lpstr>
      <vt:lpstr>Tags!DIVIDENDS_PREFERRED_3Q00</vt:lpstr>
      <vt:lpstr>Dividends_Preferred_3Q00</vt:lpstr>
      <vt:lpstr>Tags!DIVIDENDS_PREFERRED_3Q01</vt:lpstr>
      <vt:lpstr>Dividends_Preferred_3Q01</vt:lpstr>
      <vt:lpstr>Tags!DIVIDENDS_PREFERRED_3Q02</vt:lpstr>
      <vt:lpstr>Dividends_Preferred_3Q02</vt:lpstr>
      <vt:lpstr>Tags!DIVIDENDS_PREFERRED_3Q03</vt:lpstr>
      <vt:lpstr>Dividends_Preferred_3Q03</vt:lpstr>
      <vt:lpstr>Tags!DIVIDENDS_PREFERRED_3Q04</vt:lpstr>
      <vt:lpstr>Dividends_Preferred_3Q04</vt:lpstr>
      <vt:lpstr>Tags!DIVIDENDS_PREFERRED_3Q05</vt:lpstr>
      <vt:lpstr>Dividends_Preferred_3Q05</vt:lpstr>
      <vt:lpstr>Tags!DIVIDENDS_PREFERRED_3Q06</vt:lpstr>
      <vt:lpstr>Dividends_Preferred_3Q06</vt:lpstr>
      <vt:lpstr>Tags!DIVIDENDS_PREFERRED_3Q07</vt:lpstr>
      <vt:lpstr>Dividends_Preferred_3Q07</vt:lpstr>
      <vt:lpstr>Tags!DIVIDENDS_PREFERRED_3Q08</vt:lpstr>
      <vt:lpstr>Dividends_Preferred_3Q08</vt:lpstr>
      <vt:lpstr>Tags!DIVIDENDS_PREFERRED_3Q09</vt:lpstr>
      <vt:lpstr>Dividends_Preferred_3Q09</vt:lpstr>
      <vt:lpstr>Tags!DIVIDENDS_PREFERRED_3Q10</vt:lpstr>
      <vt:lpstr>Dividends_Preferred_3Q10</vt:lpstr>
      <vt:lpstr>Tags!DIVIDENDS_PREFERRED_3Q11</vt:lpstr>
      <vt:lpstr>Dividends_Preferred_3Q11</vt:lpstr>
      <vt:lpstr>Tags!DIVIDENDS_PREFERRED_3Q12</vt:lpstr>
      <vt:lpstr>Dividends_Preferred_3Q12</vt:lpstr>
      <vt:lpstr>Tags!DIVIDENDS_PREFERRED_3Q13</vt:lpstr>
      <vt:lpstr>Dividends_Preferred_3Q13</vt:lpstr>
      <vt:lpstr>Tags!DIVIDENDS_PREFERRED_3Q14</vt:lpstr>
      <vt:lpstr>Dividends_Preferred_3Q14</vt:lpstr>
      <vt:lpstr>Tags!DIVIDENDS_PREFERRED_3Q15</vt:lpstr>
      <vt:lpstr>Dividends_Preferred_3Q15</vt:lpstr>
      <vt:lpstr>Tags!DIVIDENDS_PREFERRED_3Q16</vt:lpstr>
      <vt:lpstr>Dividends_Preferred_3Q16</vt:lpstr>
      <vt:lpstr>Tags!DIVIDENDS_PREFERRED_3Q17</vt:lpstr>
      <vt:lpstr>Dividends_Preferred_3Q17</vt:lpstr>
      <vt:lpstr>Tags!DIVIDENDS_PREFERRED_3Q18</vt:lpstr>
      <vt:lpstr>Dividends_Preferred_3Q18</vt:lpstr>
      <vt:lpstr>Tags!DIVIDENDS_PREFERRED_3Q19</vt:lpstr>
      <vt:lpstr>Dividends_Preferred_3Q19</vt:lpstr>
      <vt:lpstr>Tags!DIVIDENDS_PREFERRED_3Q20</vt:lpstr>
      <vt:lpstr>Dividends_Preferred_3Q20</vt:lpstr>
      <vt:lpstr>DIVIDENDS_PREFERRED_3Q21</vt:lpstr>
      <vt:lpstr>DIVIDENDS_PREFERRED_3Q22</vt:lpstr>
      <vt:lpstr>DIVIDENDS_PREFERRED_3Q23</vt:lpstr>
      <vt:lpstr>DIVIDENDS_PREFERRED_3Q24</vt:lpstr>
      <vt:lpstr>Tags!DIVIDENDS_PREFERRED_4Q00</vt:lpstr>
      <vt:lpstr>Dividends_Preferred_4Q00</vt:lpstr>
      <vt:lpstr>Tags!DIVIDENDS_PREFERRED_4Q01</vt:lpstr>
      <vt:lpstr>Dividends_Preferred_4Q01</vt:lpstr>
      <vt:lpstr>Tags!DIVIDENDS_PREFERRED_4Q02</vt:lpstr>
      <vt:lpstr>Dividends_Preferred_4Q02</vt:lpstr>
      <vt:lpstr>Tags!DIVIDENDS_PREFERRED_4Q03</vt:lpstr>
      <vt:lpstr>Dividends_Preferred_4Q03</vt:lpstr>
      <vt:lpstr>Tags!DIVIDENDS_PREFERRED_4Q04</vt:lpstr>
      <vt:lpstr>Dividends_Preferred_4Q04</vt:lpstr>
      <vt:lpstr>Tags!DIVIDENDS_PREFERRED_4Q05</vt:lpstr>
      <vt:lpstr>Dividends_Preferred_4Q05</vt:lpstr>
      <vt:lpstr>Tags!DIVIDENDS_PREFERRED_4Q06</vt:lpstr>
      <vt:lpstr>Dividends_Preferred_4Q06</vt:lpstr>
      <vt:lpstr>Tags!DIVIDENDS_PREFERRED_4Q07</vt:lpstr>
      <vt:lpstr>Dividends_Preferred_4Q07</vt:lpstr>
      <vt:lpstr>Tags!DIVIDENDS_PREFERRED_4Q08</vt:lpstr>
      <vt:lpstr>Dividends_Preferred_4Q08</vt:lpstr>
      <vt:lpstr>Tags!DIVIDENDS_PREFERRED_4Q09</vt:lpstr>
      <vt:lpstr>Dividends_Preferred_4Q09</vt:lpstr>
      <vt:lpstr>Tags!DIVIDENDS_PREFERRED_4Q10</vt:lpstr>
      <vt:lpstr>Dividends_Preferred_4Q10</vt:lpstr>
      <vt:lpstr>Tags!DIVIDENDS_PREFERRED_4Q11</vt:lpstr>
      <vt:lpstr>Dividends_Preferred_4Q11</vt:lpstr>
      <vt:lpstr>Tags!DIVIDENDS_PREFERRED_4Q12</vt:lpstr>
      <vt:lpstr>Dividends_Preferred_4Q12</vt:lpstr>
      <vt:lpstr>Tags!DIVIDENDS_PREFERRED_4Q13</vt:lpstr>
      <vt:lpstr>Dividends_Preferred_4Q13</vt:lpstr>
      <vt:lpstr>Tags!DIVIDENDS_PREFERRED_4Q14</vt:lpstr>
      <vt:lpstr>Dividends_Preferred_4Q14</vt:lpstr>
      <vt:lpstr>Tags!DIVIDENDS_PREFERRED_4Q15</vt:lpstr>
      <vt:lpstr>Dividends_Preferred_4Q15</vt:lpstr>
      <vt:lpstr>Tags!DIVIDENDS_PREFERRED_4Q16</vt:lpstr>
      <vt:lpstr>Dividends_Preferred_4Q16</vt:lpstr>
      <vt:lpstr>Tags!DIVIDENDS_PREFERRED_4Q17</vt:lpstr>
      <vt:lpstr>Dividends_Preferred_4Q17</vt:lpstr>
      <vt:lpstr>Tags!DIVIDENDS_PREFERRED_4Q18</vt:lpstr>
      <vt:lpstr>Dividends_Preferred_4Q18</vt:lpstr>
      <vt:lpstr>Tags!DIVIDENDS_PREFERRED_4Q19</vt:lpstr>
      <vt:lpstr>Dividends_Preferred_4Q19</vt:lpstr>
      <vt:lpstr>Tags!DIVIDENDS_PREFERRED_4Q20</vt:lpstr>
      <vt:lpstr>Dividends_Preferred_4Q20</vt:lpstr>
      <vt:lpstr>DIVIDENDS_PREFERRED_4Q21</vt:lpstr>
      <vt:lpstr>DIVIDENDS_PREFERRED_4Q22</vt:lpstr>
      <vt:lpstr>DIVIDENDS_PREFERRED_4Q23</vt:lpstr>
      <vt:lpstr>DIVIDENDS_PREFERRED_4Q24</vt:lpstr>
      <vt:lpstr>DTCCTC_1995</vt:lpstr>
      <vt:lpstr>DTCCTC_1996</vt:lpstr>
      <vt:lpstr>DTCCTC_1997</vt:lpstr>
      <vt:lpstr>DTCCTC_1998</vt:lpstr>
      <vt:lpstr>DTCCTC_1999</vt:lpstr>
      <vt:lpstr>Tags!DTCCTC_1Q00</vt:lpstr>
      <vt:lpstr>DTCCTC_1Q00</vt:lpstr>
      <vt:lpstr>Tags!DTCCTC_1Q01</vt:lpstr>
      <vt:lpstr>DTCCTC_1Q01</vt:lpstr>
      <vt:lpstr>Tags!DTCCTC_1Q02</vt:lpstr>
      <vt:lpstr>DTCCTC_1Q02</vt:lpstr>
      <vt:lpstr>Tags!DTCCTC_1Q03</vt:lpstr>
      <vt:lpstr>DTCCTC_1Q03</vt:lpstr>
      <vt:lpstr>Tags!DTCCTC_1Q04</vt:lpstr>
      <vt:lpstr>DTCCTC_1Q04</vt:lpstr>
      <vt:lpstr>Tags!DTCCTC_1Q05</vt:lpstr>
      <vt:lpstr>DTCCTC_1Q05</vt:lpstr>
      <vt:lpstr>Tags!DTCCTC_1Q06</vt:lpstr>
      <vt:lpstr>DTCCTC_1Q06</vt:lpstr>
      <vt:lpstr>Tags!DTCCTC_1Q07</vt:lpstr>
      <vt:lpstr>DTCCTC_1Q07</vt:lpstr>
      <vt:lpstr>Tags!DTCCTC_1Q08</vt:lpstr>
      <vt:lpstr>DTCCTC_1Q08</vt:lpstr>
      <vt:lpstr>Tags!DTCCTC_1Q09</vt:lpstr>
      <vt:lpstr>DTCCTC_1Q09</vt:lpstr>
      <vt:lpstr>Tags!DTCCTC_1Q10</vt:lpstr>
      <vt:lpstr>DTCCTC_1Q10</vt:lpstr>
      <vt:lpstr>Tags!DTCCTC_1Q11</vt:lpstr>
      <vt:lpstr>DTCCTC_1Q11</vt:lpstr>
      <vt:lpstr>Tags!DTCCTC_1Q12</vt:lpstr>
      <vt:lpstr>DTCCTC_1Q12</vt:lpstr>
      <vt:lpstr>Tags!DTCCTC_1Q13</vt:lpstr>
      <vt:lpstr>DTCCTC_1Q13</vt:lpstr>
      <vt:lpstr>Tags!DTCCTC_1Q14</vt:lpstr>
      <vt:lpstr>DTCCTC_1Q14</vt:lpstr>
      <vt:lpstr>Tags!DTCCTC_1Q15</vt:lpstr>
      <vt:lpstr>DTCCTC_1Q15</vt:lpstr>
      <vt:lpstr>Tags!DTCCTC_1Q16</vt:lpstr>
      <vt:lpstr>DTCCTC_1Q16</vt:lpstr>
      <vt:lpstr>Tags!DTCCTC_1Q17</vt:lpstr>
      <vt:lpstr>DTCCTC_1Q17</vt:lpstr>
      <vt:lpstr>Tags!DTCCTC_1Q18</vt:lpstr>
      <vt:lpstr>DTCCTC_1Q18</vt:lpstr>
      <vt:lpstr>Tags!DTCCTC_1Q19</vt:lpstr>
      <vt:lpstr>DTCCTC_1Q19</vt:lpstr>
      <vt:lpstr>Tags!DTCCTC_1Q20</vt:lpstr>
      <vt:lpstr>DTCCTC_1Q20</vt:lpstr>
      <vt:lpstr>DTCCTC_1Q21</vt:lpstr>
      <vt:lpstr>DTCCTC_1Q22</vt:lpstr>
      <vt:lpstr>DTCCTC_1Q23</vt:lpstr>
      <vt:lpstr>DTCCTC_1Q24</vt:lpstr>
      <vt:lpstr>Tags!DTCCTC_2000</vt:lpstr>
      <vt:lpstr>DTCCTC_2000</vt:lpstr>
      <vt:lpstr>Tags!DTCCTC_2001</vt:lpstr>
      <vt:lpstr>DTCCTC_2001</vt:lpstr>
      <vt:lpstr>Tags!DTCCTC_2002</vt:lpstr>
      <vt:lpstr>DTCCTC_2002</vt:lpstr>
      <vt:lpstr>Tags!DTCCTC_2003</vt:lpstr>
      <vt:lpstr>DTCCTC_2003</vt:lpstr>
      <vt:lpstr>Tags!DTCCTC_2004</vt:lpstr>
      <vt:lpstr>DTCCTC_2004</vt:lpstr>
      <vt:lpstr>Tags!DTCCTC_2005</vt:lpstr>
      <vt:lpstr>DTCCTC_2005</vt:lpstr>
      <vt:lpstr>Tags!DTCCTC_2006</vt:lpstr>
      <vt:lpstr>DTCCTC_2006</vt:lpstr>
      <vt:lpstr>Tags!DTCCTC_2007</vt:lpstr>
      <vt:lpstr>DTCCTC_2007</vt:lpstr>
      <vt:lpstr>Tags!DTCCTC_2008</vt:lpstr>
      <vt:lpstr>DTCCTC_2008</vt:lpstr>
      <vt:lpstr>Tags!DTCCTC_2009</vt:lpstr>
      <vt:lpstr>DTCCTC_2009</vt:lpstr>
      <vt:lpstr>Tags!DTCCTC_2010</vt:lpstr>
      <vt:lpstr>DTCCTC_2010</vt:lpstr>
      <vt:lpstr>Tags!DTCCTC_2011</vt:lpstr>
      <vt:lpstr>DTCCTC_2011</vt:lpstr>
      <vt:lpstr>Tags!DTCCTC_2012</vt:lpstr>
      <vt:lpstr>DTCCTC_2012</vt:lpstr>
      <vt:lpstr>Tags!DTCCTC_2013</vt:lpstr>
      <vt:lpstr>DTCCTC_2013</vt:lpstr>
      <vt:lpstr>Tags!DTCCTC_2014</vt:lpstr>
      <vt:lpstr>DTCCTC_2014</vt:lpstr>
      <vt:lpstr>DTCCTC_2015</vt:lpstr>
      <vt:lpstr>Tags!DTCCTC_2016</vt:lpstr>
      <vt:lpstr>DTCCTC_2016</vt:lpstr>
      <vt:lpstr>Tags!DTCCTC_2017</vt:lpstr>
      <vt:lpstr>DTCCTC_2017</vt:lpstr>
      <vt:lpstr>Tags!DTCCTC_2018</vt:lpstr>
      <vt:lpstr>DTCCTC_2018</vt:lpstr>
      <vt:lpstr>Tags!DTCCTC_2019</vt:lpstr>
      <vt:lpstr>DTCCTC_2019</vt:lpstr>
      <vt:lpstr>Tags!DTCCTC_2020</vt:lpstr>
      <vt:lpstr>DTCCTC_2020</vt:lpstr>
      <vt:lpstr>DTCCTC_2021</vt:lpstr>
      <vt:lpstr>DTCCTC_2022</vt:lpstr>
      <vt:lpstr>DTCCTC_2023</vt:lpstr>
      <vt:lpstr>DTCCTC_2024</vt:lpstr>
      <vt:lpstr>Tags!DTCCTC_2Q00</vt:lpstr>
      <vt:lpstr>DTCCTC_2Q00</vt:lpstr>
      <vt:lpstr>Tags!DTCCTC_2Q01</vt:lpstr>
      <vt:lpstr>DTCCTC_2Q01</vt:lpstr>
      <vt:lpstr>Tags!DTCCTC_2Q02</vt:lpstr>
      <vt:lpstr>DTCCTC_2Q02</vt:lpstr>
      <vt:lpstr>Tags!DTCCTC_2Q03</vt:lpstr>
      <vt:lpstr>DTCCTC_2Q03</vt:lpstr>
      <vt:lpstr>Tags!DTCCTC_2Q04</vt:lpstr>
      <vt:lpstr>DTCCTC_2Q04</vt:lpstr>
      <vt:lpstr>Tags!DTCCTC_2Q05</vt:lpstr>
      <vt:lpstr>DTCCTC_2Q05</vt:lpstr>
      <vt:lpstr>Tags!DTCCTC_2Q06</vt:lpstr>
      <vt:lpstr>DTCCTC_2Q06</vt:lpstr>
      <vt:lpstr>Tags!DTCCTC_2Q07</vt:lpstr>
      <vt:lpstr>DTCCTC_2Q07</vt:lpstr>
      <vt:lpstr>Tags!DTCCTC_2Q08</vt:lpstr>
      <vt:lpstr>DTCCTC_2Q08</vt:lpstr>
      <vt:lpstr>Tags!DTCCTC_2Q09</vt:lpstr>
      <vt:lpstr>DTCCTC_2Q09</vt:lpstr>
      <vt:lpstr>Tags!DTCCTC_2Q10</vt:lpstr>
      <vt:lpstr>DTCCTC_2Q10</vt:lpstr>
      <vt:lpstr>Tags!DTCCTC_2Q11</vt:lpstr>
      <vt:lpstr>DTCCTC_2Q11</vt:lpstr>
      <vt:lpstr>Tags!DTCCTC_2Q12</vt:lpstr>
      <vt:lpstr>DTCCTC_2Q12</vt:lpstr>
      <vt:lpstr>Tags!DTCCTC_2Q13</vt:lpstr>
      <vt:lpstr>DTCCTC_2Q13</vt:lpstr>
      <vt:lpstr>Tags!DTCCTC_2Q14</vt:lpstr>
      <vt:lpstr>DTCCTC_2Q14</vt:lpstr>
      <vt:lpstr>Tags!DTCCTC_2Q15</vt:lpstr>
      <vt:lpstr>DTCCTC_2Q15</vt:lpstr>
      <vt:lpstr>Tags!DTCCTC_2Q16</vt:lpstr>
      <vt:lpstr>DTCCTC_2Q16</vt:lpstr>
      <vt:lpstr>Tags!DTCCTC_2Q17</vt:lpstr>
      <vt:lpstr>DTCCTC_2Q17</vt:lpstr>
      <vt:lpstr>Tags!DTCCTC_2Q18</vt:lpstr>
      <vt:lpstr>DTCCTC_2Q18</vt:lpstr>
      <vt:lpstr>Tags!DTCCTC_2Q19</vt:lpstr>
      <vt:lpstr>DTCCTC_2Q19</vt:lpstr>
      <vt:lpstr>Tags!DTCCTC_2Q20</vt:lpstr>
      <vt:lpstr>DTCCTC_2Q20</vt:lpstr>
      <vt:lpstr>DTCCTC_2Q21</vt:lpstr>
      <vt:lpstr>DTCCTC_2Q22</vt:lpstr>
      <vt:lpstr>DTCCTC_2Q23</vt:lpstr>
      <vt:lpstr>DTCCTC_2Q24</vt:lpstr>
      <vt:lpstr>Tags!DTCCTC_3Q00</vt:lpstr>
      <vt:lpstr>DTCCTC_3Q00</vt:lpstr>
      <vt:lpstr>Tags!DTCCTC_3Q01</vt:lpstr>
      <vt:lpstr>DTCCTC_3Q01</vt:lpstr>
      <vt:lpstr>Tags!DTCCTC_3Q02</vt:lpstr>
      <vt:lpstr>DTCCTC_3Q02</vt:lpstr>
      <vt:lpstr>Tags!DTCCTC_3Q03</vt:lpstr>
      <vt:lpstr>DTCCTC_3Q03</vt:lpstr>
      <vt:lpstr>Tags!DTCCTC_3Q04</vt:lpstr>
      <vt:lpstr>DTCCTC_3Q04</vt:lpstr>
      <vt:lpstr>Tags!DTCCTC_3Q05</vt:lpstr>
      <vt:lpstr>DTCCTC_3Q05</vt:lpstr>
      <vt:lpstr>Tags!DTCCTC_3Q06</vt:lpstr>
      <vt:lpstr>DTCCTC_3Q06</vt:lpstr>
      <vt:lpstr>Tags!DTCCTC_3Q07</vt:lpstr>
      <vt:lpstr>DTCCTC_3Q07</vt:lpstr>
      <vt:lpstr>Tags!DTCCTC_3Q08</vt:lpstr>
      <vt:lpstr>DTCCTC_3Q08</vt:lpstr>
      <vt:lpstr>Tags!DTCCTC_3Q09</vt:lpstr>
      <vt:lpstr>DTCCTC_3Q09</vt:lpstr>
      <vt:lpstr>Tags!DTCCTC_3Q10</vt:lpstr>
      <vt:lpstr>DTCCTC_3Q10</vt:lpstr>
      <vt:lpstr>Tags!DTCCTC_3Q11</vt:lpstr>
      <vt:lpstr>DTCCTC_3Q11</vt:lpstr>
      <vt:lpstr>Tags!DTCCTC_3Q12</vt:lpstr>
      <vt:lpstr>DTCCTC_3Q12</vt:lpstr>
      <vt:lpstr>Tags!DTCCTC_3Q13</vt:lpstr>
      <vt:lpstr>DTCCTC_3Q13</vt:lpstr>
      <vt:lpstr>Tags!DTCCTC_3Q14</vt:lpstr>
      <vt:lpstr>DTCCTC_3Q14</vt:lpstr>
      <vt:lpstr>Tags!DTCCTC_3Q15</vt:lpstr>
      <vt:lpstr>DTCCTC_3Q15</vt:lpstr>
      <vt:lpstr>Tags!DTCCTC_3Q16</vt:lpstr>
      <vt:lpstr>DTCCTC_3Q16</vt:lpstr>
      <vt:lpstr>Tags!DTCCTC_3Q17</vt:lpstr>
      <vt:lpstr>DTCCTC_3Q17</vt:lpstr>
      <vt:lpstr>Tags!DTCCTC_3Q18</vt:lpstr>
      <vt:lpstr>DTCCTC_3Q18</vt:lpstr>
      <vt:lpstr>Tags!DTCCTC_3Q19</vt:lpstr>
      <vt:lpstr>DTCCTC_3Q19</vt:lpstr>
      <vt:lpstr>Tags!DTCCTC_3Q20</vt:lpstr>
      <vt:lpstr>DTCCTC_3Q20</vt:lpstr>
      <vt:lpstr>DTCCTC_3Q21</vt:lpstr>
      <vt:lpstr>DTCCTC_3Q22</vt:lpstr>
      <vt:lpstr>DTCCTC_3Q23</vt:lpstr>
      <vt:lpstr>DTCCTC_3Q24</vt:lpstr>
      <vt:lpstr>Tags!DTCCTC_4Q00</vt:lpstr>
      <vt:lpstr>DTCCTC_4Q00</vt:lpstr>
      <vt:lpstr>Tags!DTCCTC_4Q01</vt:lpstr>
      <vt:lpstr>DTCCTC_4Q01</vt:lpstr>
      <vt:lpstr>Tags!DTCCTC_4Q02</vt:lpstr>
      <vt:lpstr>DTCCTC_4Q02</vt:lpstr>
      <vt:lpstr>Tags!DTCCTC_4Q03</vt:lpstr>
      <vt:lpstr>DTCCTC_4Q03</vt:lpstr>
      <vt:lpstr>Tags!DTCCTC_4Q04</vt:lpstr>
      <vt:lpstr>DTCCTC_4Q04</vt:lpstr>
      <vt:lpstr>Tags!DTCCTC_4Q05</vt:lpstr>
      <vt:lpstr>DTCCTC_4Q05</vt:lpstr>
      <vt:lpstr>Tags!DTCCTC_4Q06</vt:lpstr>
      <vt:lpstr>DTCCTC_4Q06</vt:lpstr>
      <vt:lpstr>Tags!DTCCTC_4Q07</vt:lpstr>
      <vt:lpstr>DTCCTC_4Q07</vt:lpstr>
      <vt:lpstr>Tags!DTCCTC_4Q08</vt:lpstr>
      <vt:lpstr>DTCCTC_4Q08</vt:lpstr>
      <vt:lpstr>Tags!DTCCTC_4Q09</vt:lpstr>
      <vt:lpstr>DTCCTC_4Q09</vt:lpstr>
      <vt:lpstr>Tags!DTCCTC_4Q10</vt:lpstr>
      <vt:lpstr>DTCCTC_4Q10</vt:lpstr>
      <vt:lpstr>Tags!DTCCTC_4Q11</vt:lpstr>
      <vt:lpstr>DTCCTC_4Q11</vt:lpstr>
      <vt:lpstr>Tags!DTCCTC_4Q12</vt:lpstr>
      <vt:lpstr>DTCCTC_4Q12</vt:lpstr>
      <vt:lpstr>Tags!DTCCTC_4Q13</vt:lpstr>
      <vt:lpstr>DTCCTC_4Q13</vt:lpstr>
      <vt:lpstr>Tags!DTCCTC_4Q14</vt:lpstr>
      <vt:lpstr>DTCCTC_4Q14</vt:lpstr>
      <vt:lpstr>Tags!DTCCTC_4Q15</vt:lpstr>
      <vt:lpstr>DTCCTC_4Q15</vt:lpstr>
      <vt:lpstr>Tags!DTCCTC_4Q16</vt:lpstr>
      <vt:lpstr>DTCCTC_4Q16</vt:lpstr>
      <vt:lpstr>Tags!DTCCTC_4Q17</vt:lpstr>
      <vt:lpstr>DTCCTC_4Q17</vt:lpstr>
      <vt:lpstr>Tags!DTCCTC_4Q18</vt:lpstr>
      <vt:lpstr>DTCCTC_4Q18</vt:lpstr>
      <vt:lpstr>Tags!DTCCTC_4Q19</vt:lpstr>
      <vt:lpstr>DTCCTC_4Q19</vt:lpstr>
      <vt:lpstr>Tags!DTCCTC_4Q20</vt:lpstr>
      <vt:lpstr>DTCCTC_4Q20</vt:lpstr>
      <vt:lpstr>DTCCTC_4Q21</vt:lpstr>
      <vt:lpstr>DTCCTC_4Q22</vt:lpstr>
      <vt:lpstr>DTCCTC_4Q23</vt:lpstr>
      <vt:lpstr>DTCCTC_4Q24</vt:lpstr>
      <vt:lpstr>ENANAJ_1995</vt:lpstr>
      <vt:lpstr>ENANAJ_1996</vt:lpstr>
      <vt:lpstr>ENANAJ_1997</vt:lpstr>
      <vt:lpstr>ENANAJ_1998</vt:lpstr>
      <vt:lpstr>ENANAJ_1999</vt:lpstr>
      <vt:lpstr>Tags!ENANAJ_1Q00</vt:lpstr>
      <vt:lpstr>ENANAJ_1Q00</vt:lpstr>
      <vt:lpstr>Tags!ENANAJ_1Q01</vt:lpstr>
      <vt:lpstr>ENANAJ_1Q01</vt:lpstr>
      <vt:lpstr>Tags!ENANAJ_1Q02</vt:lpstr>
      <vt:lpstr>ENANAJ_1Q02</vt:lpstr>
      <vt:lpstr>Tags!ENANAJ_1Q03</vt:lpstr>
      <vt:lpstr>ENANAJ_1Q03</vt:lpstr>
      <vt:lpstr>Tags!ENANAJ_1Q04</vt:lpstr>
      <vt:lpstr>ENANAJ_1Q04</vt:lpstr>
      <vt:lpstr>Tags!ENANAJ_1Q05</vt:lpstr>
      <vt:lpstr>ENANAJ_1Q05</vt:lpstr>
      <vt:lpstr>Tags!ENANAJ_1Q06</vt:lpstr>
      <vt:lpstr>ENANAJ_1Q06</vt:lpstr>
      <vt:lpstr>Tags!ENANAJ_1Q07</vt:lpstr>
      <vt:lpstr>ENANAJ_1Q07</vt:lpstr>
      <vt:lpstr>Tags!ENANAJ_1Q08</vt:lpstr>
      <vt:lpstr>ENANAJ_1Q08</vt:lpstr>
      <vt:lpstr>Tags!ENANAJ_1Q09</vt:lpstr>
      <vt:lpstr>ENANAJ_1Q09</vt:lpstr>
      <vt:lpstr>Tags!ENANAJ_1Q10</vt:lpstr>
      <vt:lpstr>ENANAJ_1Q10</vt:lpstr>
      <vt:lpstr>Tags!ENANAJ_1Q11</vt:lpstr>
      <vt:lpstr>ENANAJ_1Q11</vt:lpstr>
      <vt:lpstr>Tags!ENANAJ_1Q12</vt:lpstr>
      <vt:lpstr>ENANAJ_1Q12</vt:lpstr>
      <vt:lpstr>Tags!ENANAJ_1Q13</vt:lpstr>
      <vt:lpstr>ENANAJ_1Q13</vt:lpstr>
      <vt:lpstr>Tags!ENANAJ_1Q14</vt:lpstr>
      <vt:lpstr>ENANAJ_1Q14</vt:lpstr>
      <vt:lpstr>Tags!ENANAJ_1Q15</vt:lpstr>
      <vt:lpstr>ENANAJ_1Q15</vt:lpstr>
      <vt:lpstr>Tags!ENANAJ_1Q16</vt:lpstr>
      <vt:lpstr>ENANAJ_1Q16</vt:lpstr>
      <vt:lpstr>Tags!ENANAJ_1Q17</vt:lpstr>
      <vt:lpstr>ENANAJ_1Q17</vt:lpstr>
      <vt:lpstr>Tags!ENANAJ_1Q18</vt:lpstr>
      <vt:lpstr>ENANAJ_1Q18</vt:lpstr>
      <vt:lpstr>Tags!ENANAJ_1Q19</vt:lpstr>
      <vt:lpstr>ENANAJ_1Q19</vt:lpstr>
      <vt:lpstr>Tags!ENANAJ_1Q20</vt:lpstr>
      <vt:lpstr>ENANAJ_1Q20</vt:lpstr>
      <vt:lpstr>ENANAJ_1Q21</vt:lpstr>
      <vt:lpstr>ENANAJ_1Q22</vt:lpstr>
      <vt:lpstr>ENANAJ_1Q23</vt:lpstr>
      <vt:lpstr>ENANAJ_1Q24</vt:lpstr>
      <vt:lpstr>Tags!ENANAJ_2000</vt:lpstr>
      <vt:lpstr>ENANAJ_2000</vt:lpstr>
      <vt:lpstr>Tags!ENANAJ_2001</vt:lpstr>
      <vt:lpstr>ENANAJ_2001</vt:lpstr>
      <vt:lpstr>Tags!ENANAJ_2002</vt:lpstr>
      <vt:lpstr>ENANAJ_2002</vt:lpstr>
      <vt:lpstr>Tags!ENANAJ_2003</vt:lpstr>
      <vt:lpstr>ENANAJ_2003</vt:lpstr>
      <vt:lpstr>Tags!ENANAJ_2004</vt:lpstr>
      <vt:lpstr>ENANAJ_2004</vt:lpstr>
      <vt:lpstr>Tags!ENANAJ_2005</vt:lpstr>
      <vt:lpstr>ENANAJ_2005</vt:lpstr>
      <vt:lpstr>Tags!ENANAJ_2006</vt:lpstr>
      <vt:lpstr>ENANAJ_2006</vt:lpstr>
      <vt:lpstr>Tags!ENANAJ_2007</vt:lpstr>
      <vt:lpstr>ENANAJ_2007</vt:lpstr>
      <vt:lpstr>Tags!ENANAJ_2008</vt:lpstr>
      <vt:lpstr>ENANAJ_2008</vt:lpstr>
      <vt:lpstr>Tags!ENANAJ_2009</vt:lpstr>
      <vt:lpstr>ENANAJ_2009</vt:lpstr>
      <vt:lpstr>Tags!ENANAJ_2010</vt:lpstr>
      <vt:lpstr>ENANAJ_2010</vt:lpstr>
      <vt:lpstr>Tags!ENANAJ_2011</vt:lpstr>
      <vt:lpstr>ENANAJ_2011</vt:lpstr>
      <vt:lpstr>Tags!ENANAJ_2012</vt:lpstr>
      <vt:lpstr>ENANAJ_2012</vt:lpstr>
      <vt:lpstr>Tags!ENANAJ_2013</vt:lpstr>
      <vt:lpstr>ENANAJ_2013</vt:lpstr>
      <vt:lpstr>Tags!ENANAJ_2014</vt:lpstr>
      <vt:lpstr>ENANAJ_2014</vt:lpstr>
      <vt:lpstr>ENANAJ_2015</vt:lpstr>
      <vt:lpstr>Tags!ENANAJ_2016</vt:lpstr>
      <vt:lpstr>ENANAJ_2016</vt:lpstr>
      <vt:lpstr>Tags!ENANAJ_2017</vt:lpstr>
      <vt:lpstr>ENANAJ_2017</vt:lpstr>
      <vt:lpstr>Tags!ENANAJ_2018</vt:lpstr>
      <vt:lpstr>ENANAJ_2018</vt:lpstr>
      <vt:lpstr>Tags!ENANAJ_2019</vt:lpstr>
      <vt:lpstr>ENANAJ_2019</vt:lpstr>
      <vt:lpstr>Tags!ENANAJ_2020</vt:lpstr>
      <vt:lpstr>ENANAJ_2020</vt:lpstr>
      <vt:lpstr>ENANAJ_2021</vt:lpstr>
      <vt:lpstr>ENANAJ_2022</vt:lpstr>
      <vt:lpstr>ENANAJ_2023</vt:lpstr>
      <vt:lpstr>ENANAJ_2024</vt:lpstr>
      <vt:lpstr>Tags!ENANAJ_2Q00</vt:lpstr>
      <vt:lpstr>ENANAJ_2Q00</vt:lpstr>
      <vt:lpstr>Tags!ENANAJ_2Q01</vt:lpstr>
      <vt:lpstr>ENANAJ_2Q01</vt:lpstr>
      <vt:lpstr>Tags!ENANAJ_2Q02</vt:lpstr>
      <vt:lpstr>ENANAJ_2Q02</vt:lpstr>
      <vt:lpstr>Tags!ENANAJ_2Q03</vt:lpstr>
      <vt:lpstr>ENANAJ_2Q03</vt:lpstr>
      <vt:lpstr>Tags!ENANAJ_2Q04</vt:lpstr>
      <vt:lpstr>ENANAJ_2Q04</vt:lpstr>
      <vt:lpstr>Tags!ENANAJ_2Q05</vt:lpstr>
      <vt:lpstr>ENANAJ_2Q05</vt:lpstr>
      <vt:lpstr>Tags!ENANAJ_2Q06</vt:lpstr>
      <vt:lpstr>ENANAJ_2Q06</vt:lpstr>
      <vt:lpstr>Tags!ENANAJ_2Q07</vt:lpstr>
      <vt:lpstr>ENANAJ_2Q07</vt:lpstr>
      <vt:lpstr>Tags!ENANAJ_2Q08</vt:lpstr>
      <vt:lpstr>ENANAJ_2Q08</vt:lpstr>
      <vt:lpstr>Tags!ENANAJ_2Q09</vt:lpstr>
      <vt:lpstr>ENANAJ_2Q09</vt:lpstr>
      <vt:lpstr>Tags!ENANAJ_2Q10</vt:lpstr>
      <vt:lpstr>ENANAJ_2Q10</vt:lpstr>
      <vt:lpstr>Tags!ENANAJ_2Q11</vt:lpstr>
      <vt:lpstr>ENANAJ_2Q11</vt:lpstr>
      <vt:lpstr>Tags!ENANAJ_2Q12</vt:lpstr>
      <vt:lpstr>ENANAJ_2Q12</vt:lpstr>
      <vt:lpstr>Tags!ENANAJ_2Q13</vt:lpstr>
      <vt:lpstr>ENANAJ_2Q13</vt:lpstr>
      <vt:lpstr>Tags!ENANAJ_2Q14</vt:lpstr>
      <vt:lpstr>ENANAJ_2Q14</vt:lpstr>
      <vt:lpstr>Tags!ENANAJ_2Q15</vt:lpstr>
      <vt:lpstr>ENANAJ_2Q15</vt:lpstr>
      <vt:lpstr>Tags!ENANAJ_2Q16</vt:lpstr>
      <vt:lpstr>ENANAJ_2Q16</vt:lpstr>
      <vt:lpstr>Tags!ENANAJ_2Q17</vt:lpstr>
      <vt:lpstr>ENANAJ_2Q17</vt:lpstr>
      <vt:lpstr>Tags!ENANAJ_2Q18</vt:lpstr>
      <vt:lpstr>ENANAJ_2Q18</vt:lpstr>
      <vt:lpstr>Tags!ENANAJ_2Q19</vt:lpstr>
      <vt:lpstr>ENANAJ_2Q19</vt:lpstr>
      <vt:lpstr>Tags!ENANAJ_2Q20</vt:lpstr>
      <vt:lpstr>ENANAJ_2Q20</vt:lpstr>
      <vt:lpstr>ENANAJ_2Q21</vt:lpstr>
      <vt:lpstr>ENANAJ_2Q22</vt:lpstr>
      <vt:lpstr>ENANAJ_2Q23</vt:lpstr>
      <vt:lpstr>ENANAJ_2Q24</vt:lpstr>
      <vt:lpstr>Tags!ENANAJ_3Q00</vt:lpstr>
      <vt:lpstr>ENANAJ_3Q00</vt:lpstr>
      <vt:lpstr>Tags!ENANAJ_3Q01</vt:lpstr>
      <vt:lpstr>ENANAJ_3Q01</vt:lpstr>
      <vt:lpstr>Tags!ENANAJ_3Q02</vt:lpstr>
      <vt:lpstr>ENANAJ_3Q02</vt:lpstr>
      <vt:lpstr>Tags!ENANAJ_3Q03</vt:lpstr>
      <vt:lpstr>ENANAJ_3Q03</vt:lpstr>
      <vt:lpstr>Tags!ENANAJ_3Q04</vt:lpstr>
      <vt:lpstr>ENANAJ_3Q04</vt:lpstr>
      <vt:lpstr>Tags!ENANAJ_3Q05</vt:lpstr>
      <vt:lpstr>ENANAJ_3Q05</vt:lpstr>
      <vt:lpstr>Tags!ENANAJ_3Q06</vt:lpstr>
      <vt:lpstr>ENANAJ_3Q06</vt:lpstr>
      <vt:lpstr>Tags!ENANAJ_3Q07</vt:lpstr>
      <vt:lpstr>ENANAJ_3Q07</vt:lpstr>
      <vt:lpstr>Tags!ENANAJ_3Q08</vt:lpstr>
      <vt:lpstr>ENANAJ_3Q08</vt:lpstr>
      <vt:lpstr>Tags!ENANAJ_3Q09</vt:lpstr>
      <vt:lpstr>ENANAJ_3Q09</vt:lpstr>
      <vt:lpstr>Tags!ENANAJ_3Q10</vt:lpstr>
      <vt:lpstr>ENANAJ_3Q10</vt:lpstr>
      <vt:lpstr>Tags!ENANAJ_3Q11</vt:lpstr>
      <vt:lpstr>ENANAJ_3Q11</vt:lpstr>
      <vt:lpstr>Tags!ENANAJ_3Q12</vt:lpstr>
      <vt:lpstr>ENANAJ_3Q12</vt:lpstr>
      <vt:lpstr>Tags!ENANAJ_3Q13</vt:lpstr>
      <vt:lpstr>ENANAJ_3Q13</vt:lpstr>
      <vt:lpstr>Tags!ENANAJ_3Q14</vt:lpstr>
      <vt:lpstr>ENANAJ_3Q14</vt:lpstr>
      <vt:lpstr>Tags!ENANAJ_3Q15</vt:lpstr>
      <vt:lpstr>ENANAJ_3Q15</vt:lpstr>
      <vt:lpstr>Tags!ENANAJ_3Q16</vt:lpstr>
      <vt:lpstr>ENANAJ_3Q16</vt:lpstr>
      <vt:lpstr>Tags!ENANAJ_3Q17</vt:lpstr>
      <vt:lpstr>ENANAJ_3Q17</vt:lpstr>
      <vt:lpstr>Tags!ENANAJ_3Q18</vt:lpstr>
      <vt:lpstr>ENANAJ_3Q18</vt:lpstr>
      <vt:lpstr>Tags!ENANAJ_3Q19</vt:lpstr>
      <vt:lpstr>ENANAJ_3Q19</vt:lpstr>
      <vt:lpstr>Tags!ENANAJ_3Q20</vt:lpstr>
      <vt:lpstr>ENANAJ_3Q20</vt:lpstr>
      <vt:lpstr>ENANAJ_3Q21</vt:lpstr>
      <vt:lpstr>ENANAJ_3Q22</vt:lpstr>
      <vt:lpstr>ENANAJ_3Q23</vt:lpstr>
      <vt:lpstr>ENANAJ_3Q24</vt:lpstr>
      <vt:lpstr>Tags!ENANAJ_4Q00</vt:lpstr>
      <vt:lpstr>ENANAJ_4Q00</vt:lpstr>
      <vt:lpstr>Tags!ENANAJ_4Q01</vt:lpstr>
      <vt:lpstr>ENANAJ_4Q01</vt:lpstr>
      <vt:lpstr>Tags!ENANAJ_4Q02</vt:lpstr>
      <vt:lpstr>ENANAJ_4Q02</vt:lpstr>
      <vt:lpstr>Tags!ENANAJ_4Q03</vt:lpstr>
      <vt:lpstr>ENANAJ_4Q03</vt:lpstr>
      <vt:lpstr>Tags!ENANAJ_4Q04</vt:lpstr>
      <vt:lpstr>ENANAJ_4Q04</vt:lpstr>
      <vt:lpstr>Tags!ENANAJ_4Q05</vt:lpstr>
      <vt:lpstr>ENANAJ_4Q05</vt:lpstr>
      <vt:lpstr>Tags!ENANAJ_4Q06</vt:lpstr>
      <vt:lpstr>ENANAJ_4Q06</vt:lpstr>
      <vt:lpstr>Tags!ENANAJ_4Q07</vt:lpstr>
      <vt:lpstr>ENANAJ_4Q07</vt:lpstr>
      <vt:lpstr>Tags!ENANAJ_4Q08</vt:lpstr>
      <vt:lpstr>ENANAJ_4Q08</vt:lpstr>
      <vt:lpstr>Tags!ENANAJ_4Q09</vt:lpstr>
      <vt:lpstr>ENANAJ_4Q09</vt:lpstr>
      <vt:lpstr>Tags!ENANAJ_4Q10</vt:lpstr>
      <vt:lpstr>ENANAJ_4Q10</vt:lpstr>
      <vt:lpstr>Tags!ENANAJ_4Q11</vt:lpstr>
      <vt:lpstr>ENANAJ_4Q11</vt:lpstr>
      <vt:lpstr>Tags!ENANAJ_4Q12</vt:lpstr>
      <vt:lpstr>ENANAJ_4Q12</vt:lpstr>
      <vt:lpstr>Tags!ENANAJ_4Q13</vt:lpstr>
      <vt:lpstr>ENANAJ_4Q13</vt:lpstr>
      <vt:lpstr>Tags!ENANAJ_4Q14</vt:lpstr>
      <vt:lpstr>ENANAJ_4Q14</vt:lpstr>
      <vt:lpstr>Tags!ENANAJ_4Q15</vt:lpstr>
      <vt:lpstr>ENANAJ_4Q15</vt:lpstr>
      <vt:lpstr>Tags!ENANAJ_4Q16</vt:lpstr>
      <vt:lpstr>ENANAJ_4Q16</vt:lpstr>
      <vt:lpstr>Tags!ENANAJ_4Q17</vt:lpstr>
      <vt:lpstr>ENANAJ_4Q17</vt:lpstr>
      <vt:lpstr>Tags!ENANAJ_4Q18</vt:lpstr>
      <vt:lpstr>ENANAJ_4Q18</vt:lpstr>
      <vt:lpstr>Tags!ENANAJ_4Q19</vt:lpstr>
      <vt:lpstr>ENANAJ_4Q19</vt:lpstr>
      <vt:lpstr>Tags!ENANAJ_4Q20</vt:lpstr>
      <vt:lpstr>ENANAJ_4Q20</vt:lpstr>
      <vt:lpstr>ENANAJ_4Q21</vt:lpstr>
      <vt:lpstr>ENANAJ_4Q22</vt:lpstr>
      <vt:lpstr>ENANAJ_4Q23</vt:lpstr>
      <vt:lpstr>ENANAJ_4Q24</vt:lpstr>
      <vt:lpstr>EPEFIA_1995</vt:lpstr>
      <vt:lpstr>EPEFIA_1996</vt:lpstr>
      <vt:lpstr>EPEFIA_1997</vt:lpstr>
      <vt:lpstr>EPEFIA_1998</vt:lpstr>
      <vt:lpstr>EPEFIA_1999</vt:lpstr>
      <vt:lpstr>Tags!EPEFIA_1Q00</vt:lpstr>
      <vt:lpstr>EPEFIA_1Q00</vt:lpstr>
      <vt:lpstr>Tags!EPEFIA_1Q01</vt:lpstr>
      <vt:lpstr>EPEFIA_1Q01</vt:lpstr>
      <vt:lpstr>Tags!EPEFIA_1Q02</vt:lpstr>
      <vt:lpstr>EPEFIA_1Q02</vt:lpstr>
      <vt:lpstr>Tags!EPEFIA_1Q03</vt:lpstr>
      <vt:lpstr>EPEFIA_1Q03</vt:lpstr>
      <vt:lpstr>Tags!EPEFIA_1Q04</vt:lpstr>
      <vt:lpstr>EPEFIA_1Q04</vt:lpstr>
      <vt:lpstr>Tags!EPEFIA_1Q05</vt:lpstr>
      <vt:lpstr>EPEFIA_1Q05</vt:lpstr>
      <vt:lpstr>Tags!EPEFIA_1Q06</vt:lpstr>
      <vt:lpstr>EPEFIA_1Q06</vt:lpstr>
      <vt:lpstr>Tags!EPEFIA_1Q07</vt:lpstr>
      <vt:lpstr>EPEFIA_1Q07</vt:lpstr>
      <vt:lpstr>Tags!EPEFIA_1Q08</vt:lpstr>
      <vt:lpstr>EPEFIA_1Q08</vt:lpstr>
      <vt:lpstr>Tags!EPEFIA_1Q09</vt:lpstr>
      <vt:lpstr>EPEFIA_1Q09</vt:lpstr>
      <vt:lpstr>Tags!EPEFIA_1Q10</vt:lpstr>
      <vt:lpstr>EPEFIA_1Q10</vt:lpstr>
      <vt:lpstr>Tags!EPEFIA_1Q11</vt:lpstr>
      <vt:lpstr>EPEFIA_1Q11</vt:lpstr>
      <vt:lpstr>Tags!EPEFIA_1Q12</vt:lpstr>
      <vt:lpstr>EPEFIA_1Q12</vt:lpstr>
      <vt:lpstr>Tags!EPEFIA_1Q13</vt:lpstr>
      <vt:lpstr>EPEFIA_1Q13</vt:lpstr>
      <vt:lpstr>Tags!EPEFIA_1Q14</vt:lpstr>
      <vt:lpstr>EPEFIA_1Q14</vt:lpstr>
      <vt:lpstr>Tags!EPEFIA_1Q15</vt:lpstr>
      <vt:lpstr>EPEFIA_1Q15</vt:lpstr>
      <vt:lpstr>Tags!EPEFIA_1Q16</vt:lpstr>
      <vt:lpstr>EPEFIA_1Q16</vt:lpstr>
      <vt:lpstr>Tags!EPEFIA_1Q17</vt:lpstr>
      <vt:lpstr>EPEFIA_1Q17</vt:lpstr>
      <vt:lpstr>Tags!EPEFIA_1Q18</vt:lpstr>
      <vt:lpstr>EPEFIA_1Q18</vt:lpstr>
      <vt:lpstr>Tags!EPEFIA_1Q19</vt:lpstr>
      <vt:lpstr>EPEFIA_1Q19</vt:lpstr>
      <vt:lpstr>Tags!EPEFIA_1Q20</vt:lpstr>
      <vt:lpstr>EPEFIA_1Q20</vt:lpstr>
      <vt:lpstr>EPEFIA_1Q21</vt:lpstr>
      <vt:lpstr>EPEFIA_1Q22</vt:lpstr>
      <vt:lpstr>EPEFIA_1Q23</vt:lpstr>
      <vt:lpstr>EPEFIA_1Q24</vt:lpstr>
      <vt:lpstr>Tags!EPEFIA_2000</vt:lpstr>
      <vt:lpstr>EPEFIA_2000</vt:lpstr>
      <vt:lpstr>Tags!EPEFIA_2001</vt:lpstr>
      <vt:lpstr>EPEFIA_2001</vt:lpstr>
      <vt:lpstr>Tags!EPEFIA_2002</vt:lpstr>
      <vt:lpstr>EPEFIA_2002</vt:lpstr>
      <vt:lpstr>Tags!EPEFIA_2003</vt:lpstr>
      <vt:lpstr>EPEFIA_2003</vt:lpstr>
      <vt:lpstr>Tags!EPEFIA_2004</vt:lpstr>
      <vt:lpstr>EPEFIA_2004</vt:lpstr>
      <vt:lpstr>Tags!EPEFIA_2005</vt:lpstr>
      <vt:lpstr>EPEFIA_2005</vt:lpstr>
      <vt:lpstr>Tags!EPEFIA_2006</vt:lpstr>
      <vt:lpstr>EPEFIA_2006</vt:lpstr>
      <vt:lpstr>Tags!EPEFIA_2007</vt:lpstr>
      <vt:lpstr>EPEFIA_2007</vt:lpstr>
      <vt:lpstr>Tags!EPEFIA_2008</vt:lpstr>
      <vt:lpstr>EPEFIA_2008</vt:lpstr>
      <vt:lpstr>Tags!EPEFIA_2009</vt:lpstr>
      <vt:lpstr>EPEFIA_2009</vt:lpstr>
      <vt:lpstr>Tags!EPEFIA_2010</vt:lpstr>
      <vt:lpstr>EPEFIA_2010</vt:lpstr>
      <vt:lpstr>Tags!EPEFIA_2011</vt:lpstr>
      <vt:lpstr>EPEFIA_2011</vt:lpstr>
      <vt:lpstr>Tags!EPEFIA_2012</vt:lpstr>
      <vt:lpstr>EPEFIA_2012</vt:lpstr>
      <vt:lpstr>Tags!EPEFIA_2013</vt:lpstr>
      <vt:lpstr>EPEFIA_2013</vt:lpstr>
      <vt:lpstr>Tags!EPEFIA_2014</vt:lpstr>
      <vt:lpstr>EPEFIA_2014</vt:lpstr>
      <vt:lpstr>EPEFIA_2015</vt:lpstr>
      <vt:lpstr>Tags!EPEFIA_2016</vt:lpstr>
      <vt:lpstr>EPEFIA_2016</vt:lpstr>
      <vt:lpstr>Tags!EPEFIA_2017</vt:lpstr>
      <vt:lpstr>EPEFIA_2017</vt:lpstr>
      <vt:lpstr>Tags!EPEFIA_2018</vt:lpstr>
      <vt:lpstr>EPEFIA_2018</vt:lpstr>
      <vt:lpstr>Tags!EPEFIA_2019</vt:lpstr>
      <vt:lpstr>EPEFIA_2019</vt:lpstr>
      <vt:lpstr>Tags!EPEFIA_2020</vt:lpstr>
      <vt:lpstr>EPEFIA_2020</vt:lpstr>
      <vt:lpstr>EPEFIA_2021</vt:lpstr>
      <vt:lpstr>EPEFIA_2022</vt:lpstr>
      <vt:lpstr>EPEFIA_2023</vt:lpstr>
      <vt:lpstr>EPEFIA_2024</vt:lpstr>
      <vt:lpstr>Tags!EPEFIA_2Q00</vt:lpstr>
      <vt:lpstr>EPEFIA_2Q00</vt:lpstr>
      <vt:lpstr>Tags!EPEFIA_2Q01</vt:lpstr>
      <vt:lpstr>EPEFIA_2Q01</vt:lpstr>
      <vt:lpstr>Tags!EPEFIA_2Q02</vt:lpstr>
      <vt:lpstr>EPEFIA_2Q02</vt:lpstr>
      <vt:lpstr>Tags!EPEFIA_2Q03</vt:lpstr>
      <vt:lpstr>EPEFIA_2Q03</vt:lpstr>
      <vt:lpstr>Tags!EPEFIA_2Q04</vt:lpstr>
      <vt:lpstr>EPEFIA_2Q04</vt:lpstr>
      <vt:lpstr>Tags!EPEFIA_2Q05</vt:lpstr>
      <vt:lpstr>EPEFIA_2Q05</vt:lpstr>
      <vt:lpstr>Tags!EPEFIA_2Q06</vt:lpstr>
      <vt:lpstr>EPEFIA_2Q06</vt:lpstr>
      <vt:lpstr>Tags!EPEFIA_2Q07</vt:lpstr>
      <vt:lpstr>EPEFIA_2Q07</vt:lpstr>
      <vt:lpstr>Tags!EPEFIA_2Q08</vt:lpstr>
      <vt:lpstr>EPEFIA_2Q08</vt:lpstr>
      <vt:lpstr>Tags!EPEFIA_2Q09</vt:lpstr>
      <vt:lpstr>EPEFIA_2Q09</vt:lpstr>
      <vt:lpstr>Tags!EPEFIA_2Q10</vt:lpstr>
      <vt:lpstr>EPEFIA_2Q10</vt:lpstr>
      <vt:lpstr>Tags!EPEFIA_2Q11</vt:lpstr>
      <vt:lpstr>EPEFIA_2Q11</vt:lpstr>
      <vt:lpstr>Tags!EPEFIA_2Q12</vt:lpstr>
      <vt:lpstr>EPEFIA_2Q12</vt:lpstr>
      <vt:lpstr>Tags!EPEFIA_2Q13</vt:lpstr>
      <vt:lpstr>EPEFIA_2Q13</vt:lpstr>
      <vt:lpstr>Tags!EPEFIA_2Q14</vt:lpstr>
      <vt:lpstr>EPEFIA_2Q14</vt:lpstr>
      <vt:lpstr>Tags!EPEFIA_2Q15</vt:lpstr>
      <vt:lpstr>EPEFIA_2Q15</vt:lpstr>
      <vt:lpstr>Tags!EPEFIA_2Q16</vt:lpstr>
      <vt:lpstr>EPEFIA_2Q16</vt:lpstr>
      <vt:lpstr>Tags!EPEFIA_2Q17</vt:lpstr>
      <vt:lpstr>EPEFIA_2Q17</vt:lpstr>
      <vt:lpstr>Tags!EPEFIA_2Q18</vt:lpstr>
      <vt:lpstr>EPEFIA_2Q18</vt:lpstr>
      <vt:lpstr>Tags!EPEFIA_2Q19</vt:lpstr>
      <vt:lpstr>EPEFIA_2Q19</vt:lpstr>
      <vt:lpstr>Tags!EPEFIA_2Q20</vt:lpstr>
      <vt:lpstr>EPEFIA_2Q20</vt:lpstr>
      <vt:lpstr>EPEFIA_2Q21</vt:lpstr>
      <vt:lpstr>EPEFIA_2Q22</vt:lpstr>
      <vt:lpstr>EPEFIA_2Q23</vt:lpstr>
      <vt:lpstr>EPEFIA_2Q24</vt:lpstr>
      <vt:lpstr>Tags!EPEFIA_3Q00</vt:lpstr>
      <vt:lpstr>EPEFIA_3Q00</vt:lpstr>
      <vt:lpstr>Tags!EPEFIA_3Q01</vt:lpstr>
      <vt:lpstr>EPEFIA_3Q01</vt:lpstr>
      <vt:lpstr>Tags!EPEFIA_3Q02</vt:lpstr>
      <vt:lpstr>EPEFIA_3Q02</vt:lpstr>
      <vt:lpstr>Tags!EPEFIA_3Q03</vt:lpstr>
      <vt:lpstr>EPEFIA_3Q03</vt:lpstr>
      <vt:lpstr>Tags!EPEFIA_3Q04</vt:lpstr>
      <vt:lpstr>EPEFIA_3Q04</vt:lpstr>
      <vt:lpstr>Tags!EPEFIA_3Q05</vt:lpstr>
      <vt:lpstr>EPEFIA_3Q05</vt:lpstr>
      <vt:lpstr>Tags!EPEFIA_3Q06</vt:lpstr>
      <vt:lpstr>EPEFIA_3Q06</vt:lpstr>
      <vt:lpstr>Tags!EPEFIA_3Q07</vt:lpstr>
      <vt:lpstr>EPEFIA_3Q07</vt:lpstr>
      <vt:lpstr>Tags!EPEFIA_3Q08</vt:lpstr>
      <vt:lpstr>EPEFIA_3Q08</vt:lpstr>
      <vt:lpstr>Tags!EPEFIA_3Q09</vt:lpstr>
      <vt:lpstr>EPEFIA_3Q09</vt:lpstr>
      <vt:lpstr>Tags!EPEFIA_3Q10</vt:lpstr>
      <vt:lpstr>EPEFIA_3Q10</vt:lpstr>
      <vt:lpstr>Tags!EPEFIA_3Q11</vt:lpstr>
      <vt:lpstr>EPEFIA_3Q11</vt:lpstr>
      <vt:lpstr>Tags!EPEFIA_3Q12</vt:lpstr>
      <vt:lpstr>EPEFIA_3Q12</vt:lpstr>
      <vt:lpstr>Tags!EPEFIA_3Q13</vt:lpstr>
      <vt:lpstr>EPEFIA_3Q13</vt:lpstr>
      <vt:lpstr>Tags!EPEFIA_3Q14</vt:lpstr>
      <vt:lpstr>EPEFIA_3Q14</vt:lpstr>
      <vt:lpstr>Tags!EPEFIA_3Q15</vt:lpstr>
      <vt:lpstr>EPEFIA_3Q15</vt:lpstr>
      <vt:lpstr>Tags!EPEFIA_3Q16</vt:lpstr>
      <vt:lpstr>EPEFIA_3Q16</vt:lpstr>
      <vt:lpstr>Tags!EPEFIA_3Q17</vt:lpstr>
      <vt:lpstr>EPEFIA_3Q17</vt:lpstr>
      <vt:lpstr>Tags!EPEFIA_3Q18</vt:lpstr>
      <vt:lpstr>EPEFIA_3Q18</vt:lpstr>
      <vt:lpstr>Tags!EPEFIA_3Q19</vt:lpstr>
      <vt:lpstr>EPEFIA_3Q19</vt:lpstr>
      <vt:lpstr>Tags!EPEFIA_3Q20</vt:lpstr>
      <vt:lpstr>EPEFIA_3Q20</vt:lpstr>
      <vt:lpstr>EPEFIA_3Q21</vt:lpstr>
      <vt:lpstr>EPEFIA_3Q22</vt:lpstr>
      <vt:lpstr>EPEFIA_3Q23</vt:lpstr>
      <vt:lpstr>EPEFIA_3Q24</vt:lpstr>
      <vt:lpstr>Tags!EPEFIA_4Q00</vt:lpstr>
      <vt:lpstr>EPEFIA_4Q00</vt:lpstr>
      <vt:lpstr>Tags!EPEFIA_4Q01</vt:lpstr>
      <vt:lpstr>EPEFIA_4Q01</vt:lpstr>
      <vt:lpstr>Tags!EPEFIA_4Q02</vt:lpstr>
      <vt:lpstr>EPEFIA_4Q02</vt:lpstr>
      <vt:lpstr>Tags!EPEFIA_4Q03</vt:lpstr>
      <vt:lpstr>EPEFIA_4Q03</vt:lpstr>
      <vt:lpstr>Tags!EPEFIA_4Q04</vt:lpstr>
      <vt:lpstr>EPEFIA_4Q04</vt:lpstr>
      <vt:lpstr>Tags!EPEFIA_4Q05</vt:lpstr>
      <vt:lpstr>EPEFIA_4Q05</vt:lpstr>
      <vt:lpstr>Tags!EPEFIA_4Q06</vt:lpstr>
      <vt:lpstr>EPEFIA_4Q06</vt:lpstr>
      <vt:lpstr>Tags!EPEFIA_4Q07</vt:lpstr>
      <vt:lpstr>EPEFIA_4Q07</vt:lpstr>
      <vt:lpstr>Tags!EPEFIA_4Q08</vt:lpstr>
      <vt:lpstr>EPEFIA_4Q08</vt:lpstr>
      <vt:lpstr>Tags!EPEFIA_4Q09</vt:lpstr>
      <vt:lpstr>EPEFIA_4Q09</vt:lpstr>
      <vt:lpstr>Tags!EPEFIA_4Q10</vt:lpstr>
      <vt:lpstr>EPEFIA_4Q10</vt:lpstr>
      <vt:lpstr>Tags!EPEFIA_4Q11</vt:lpstr>
      <vt:lpstr>EPEFIA_4Q11</vt:lpstr>
      <vt:lpstr>Tags!EPEFIA_4Q12</vt:lpstr>
      <vt:lpstr>EPEFIA_4Q12</vt:lpstr>
      <vt:lpstr>Tags!EPEFIA_4Q13</vt:lpstr>
      <vt:lpstr>EPEFIA_4Q13</vt:lpstr>
      <vt:lpstr>Tags!EPEFIA_4Q14</vt:lpstr>
      <vt:lpstr>EPEFIA_4Q14</vt:lpstr>
      <vt:lpstr>Tags!EPEFIA_4Q15</vt:lpstr>
      <vt:lpstr>EPEFIA_4Q15</vt:lpstr>
      <vt:lpstr>Tags!EPEFIA_4Q16</vt:lpstr>
      <vt:lpstr>EPEFIA_4Q16</vt:lpstr>
      <vt:lpstr>Tags!EPEFIA_4Q17</vt:lpstr>
      <vt:lpstr>EPEFIA_4Q17</vt:lpstr>
      <vt:lpstr>Tags!EPEFIA_4Q18</vt:lpstr>
      <vt:lpstr>EPEFIA_4Q18</vt:lpstr>
      <vt:lpstr>Tags!EPEFIA_4Q19</vt:lpstr>
      <vt:lpstr>EPEFIA_4Q19</vt:lpstr>
      <vt:lpstr>Tags!EPEFIA_4Q20</vt:lpstr>
      <vt:lpstr>EPEFIA_4Q20</vt:lpstr>
      <vt:lpstr>EPEFIA_4Q21</vt:lpstr>
      <vt:lpstr>EPEFIA_4Q22</vt:lpstr>
      <vt:lpstr>EPEFIA_4Q23</vt:lpstr>
      <vt:lpstr>EPEFIA_4Q24</vt:lpstr>
      <vt:lpstr>EQANAJ_1995</vt:lpstr>
      <vt:lpstr>EQANAJ_1996</vt:lpstr>
      <vt:lpstr>EQANAJ_1997</vt:lpstr>
      <vt:lpstr>EQANAJ_1998</vt:lpstr>
      <vt:lpstr>EQANAJ_1999</vt:lpstr>
      <vt:lpstr>Tags!EQANAJ_1Q00</vt:lpstr>
      <vt:lpstr>EQANAJ_1Q00</vt:lpstr>
      <vt:lpstr>Tags!EQANAJ_1Q01</vt:lpstr>
      <vt:lpstr>EQANAJ_1Q01</vt:lpstr>
      <vt:lpstr>Tags!EQANAJ_1Q02</vt:lpstr>
      <vt:lpstr>EQANAJ_1Q02</vt:lpstr>
      <vt:lpstr>Tags!EQANAJ_1Q03</vt:lpstr>
      <vt:lpstr>EQANAJ_1Q03</vt:lpstr>
      <vt:lpstr>Tags!EQANAJ_1Q04</vt:lpstr>
      <vt:lpstr>EQANAJ_1Q04</vt:lpstr>
      <vt:lpstr>Tags!EQANAJ_1Q05</vt:lpstr>
      <vt:lpstr>EQANAJ_1Q05</vt:lpstr>
      <vt:lpstr>Tags!EQANAJ_1Q06</vt:lpstr>
      <vt:lpstr>EQANAJ_1Q06</vt:lpstr>
      <vt:lpstr>Tags!EQANAJ_1Q07</vt:lpstr>
      <vt:lpstr>EQANAJ_1Q07</vt:lpstr>
      <vt:lpstr>Tags!EQANAJ_1Q08</vt:lpstr>
      <vt:lpstr>EQANAJ_1Q08</vt:lpstr>
      <vt:lpstr>Tags!EQANAJ_1Q09</vt:lpstr>
      <vt:lpstr>EQANAJ_1Q09</vt:lpstr>
      <vt:lpstr>Tags!EQANAJ_1Q10</vt:lpstr>
      <vt:lpstr>EQANAJ_1Q10</vt:lpstr>
      <vt:lpstr>Tags!EQANAJ_1Q11</vt:lpstr>
      <vt:lpstr>EQANAJ_1Q11</vt:lpstr>
      <vt:lpstr>Tags!EQANAJ_1Q12</vt:lpstr>
      <vt:lpstr>EQANAJ_1Q12</vt:lpstr>
      <vt:lpstr>Tags!EQANAJ_1Q13</vt:lpstr>
      <vt:lpstr>EQANAJ_1Q13</vt:lpstr>
      <vt:lpstr>Tags!EQANAJ_1Q14</vt:lpstr>
      <vt:lpstr>EQANAJ_1Q14</vt:lpstr>
      <vt:lpstr>Tags!EQANAJ_1Q15</vt:lpstr>
      <vt:lpstr>EQANAJ_1Q15</vt:lpstr>
      <vt:lpstr>Tags!EQANAJ_1Q16</vt:lpstr>
      <vt:lpstr>EQANAJ_1Q16</vt:lpstr>
      <vt:lpstr>Tags!EQANAJ_1Q17</vt:lpstr>
      <vt:lpstr>EQANAJ_1Q17</vt:lpstr>
      <vt:lpstr>Tags!EQANAJ_1Q18</vt:lpstr>
      <vt:lpstr>EQANAJ_1Q18</vt:lpstr>
      <vt:lpstr>Tags!EQANAJ_1Q19</vt:lpstr>
      <vt:lpstr>EQANAJ_1Q19</vt:lpstr>
      <vt:lpstr>Tags!EQANAJ_1Q20</vt:lpstr>
      <vt:lpstr>EQANAJ_1Q20</vt:lpstr>
      <vt:lpstr>EQANAJ_1Q21</vt:lpstr>
      <vt:lpstr>EQANAJ_1Q22</vt:lpstr>
      <vt:lpstr>EQANAJ_1Q23</vt:lpstr>
      <vt:lpstr>EQANAJ_1Q24</vt:lpstr>
      <vt:lpstr>Tags!EQANAJ_2000</vt:lpstr>
      <vt:lpstr>EQANAJ_2000</vt:lpstr>
      <vt:lpstr>Tags!EQANAJ_2001</vt:lpstr>
      <vt:lpstr>EQANAJ_2001</vt:lpstr>
      <vt:lpstr>Tags!EQANAJ_2002</vt:lpstr>
      <vt:lpstr>EQANAJ_2002</vt:lpstr>
      <vt:lpstr>Tags!EQANAJ_2003</vt:lpstr>
      <vt:lpstr>EQANAJ_2003</vt:lpstr>
      <vt:lpstr>Tags!EQANAJ_2004</vt:lpstr>
      <vt:lpstr>EQANAJ_2004</vt:lpstr>
      <vt:lpstr>Tags!EQANAJ_2005</vt:lpstr>
      <vt:lpstr>EQANAJ_2005</vt:lpstr>
      <vt:lpstr>Tags!EQANAJ_2006</vt:lpstr>
      <vt:lpstr>EQANAJ_2006</vt:lpstr>
      <vt:lpstr>Tags!EQANAJ_2007</vt:lpstr>
      <vt:lpstr>EQANAJ_2007</vt:lpstr>
      <vt:lpstr>Tags!EQANAJ_2008</vt:lpstr>
      <vt:lpstr>EQANAJ_2008</vt:lpstr>
      <vt:lpstr>Tags!EQANAJ_2009</vt:lpstr>
      <vt:lpstr>EQANAJ_2009</vt:lpstr>
      <vt:lpstr>Tags!EQANAJ_2010</vt:lpstr>
      <vt:lpstr>EQANAJ_2010</vt:lpstr>
      <vt:lpstr>Tags!EQANAJ_2011</vt:lpstr>
      <vt:lpstr>EQANAJ_2011</vt:lpstr>
      <vt:lpstr>Tags!EQANAJ_2012</vt:lpstr>
      <vt:lpstr>EQANAJ_2012</vt:lpstr>
      <vt:lpstr>Tags!EQANAJ_2013</vt:lpstr>
      <vt:lpstr>EQANAJ_2013</vt:lpstr>
      <vt:lpstr>Tags!EQANAJ_2014</vt:lpstr>
      <vt:lpstr>EQANAJ_2014</vt:lpstr>
      <vt:lpstr>EQANAJ_2015</vt:lpstr>
      <vt:lpstr>Tags!EQANAJ_2016</vt:lpstr>
      <vt:lpstr>EQANAJ_2016</vt:lpstr>
      <vt:lpstr>Tags!EQANAJ_2017</vt:lpstr>
      <vt:lpstr>EQANAJ_2017</vt:lpstr>
      <vt:lpstr>Tags!EQANAJ_2018</vt:lpstr>
      <vt:lpstr>EQANAJ_2018</vt:lpstr>
      <vt:lpstr>Tags!EQANAJ_2019</vt:lpstr>
      <vt:lpstr>EQANAJ_2019</vt:lpstr>
      <vt:lpstr>Tags!EQANAJ_2020</vt:lpstr>
      <vt:lpstr>EQANAJ_2020</vt:lpstr>
      <vt:lpstr>EQANAJ_2021</vt:lpstr>
      <vt:lpstr>EQANAJ_2022</vt:lpstr>
      <vt:lpstr>EQANAJ_2023</vt:lpstr>
      <vt:lpstr>EQANAJ_2024</vt:lpstr>
      <vt:lpstr>Tags!EQANAJ_2Q00</vt:lpstr>
      <vt:lpstr>EQANAJ_2Q00</vt:lpstr>
      <vt:lpstr>Tags!EQANAJ_2Q01</vt:lpstr>
      <vt:lpstr>EQANAJ_2Q01</vt:lpstr>
      <vt:lpstr>Tags!EQANAJ_2Q02</vt:lpstr>
      <vt:lpstr>EQANAJ_2Q02</vt:lpstr>
      <vt:lpstr>Tags!EQANAJ_2Q03</vt:lpstr>
      <vt:lpstr>EQANAJ_2Q03</vt:lpstr>
      <vt:lpstr>Tags!EQANAJ_2Q04</vt:lpstr>
      <vt:lpstr>EQANAJ_2Q04</vt:lpstr>
      <vt:lpstr>Tags!EQANAJ_2Q05</vt:lpstr>
      <vt:lpstr>EQANAJ_2Q05</vt:lpstr>
      <vt:lpstr>Tags!EQANAJ_2Q06</vt:lpstr>
      <vt:lpstr>EQANAJ_2Q06</vt:lpstr>
      <vt:lpstr>Tags!EQANAJ_2Q07</vt:lpstr>
      <vt:lpstr>EQANAJ_2Q07</vt:lpstr>
      <vt:lpstr>Tags!EQANAJ_2Q08</vt:lpstr>
      <vt:lpstr>EQANAJ_2Q08</vt:lpstr>
      <vt:lpstr>Tags!EQANAJ_2Q09</vt:lpstr>
      <vt:lpstr>EQANAJ_2Q09</vt:lpstr>
      <vt:lpstr>Tags!EQANAJ_2Q10</vt:lpstr>
      <vt:lpstr>EQANAJ_2Q10</vt:lpstr>
      <vt:lpstr>Tags!EQANAJ_2Q11</vt:lpstr>
      <vt:lpstr>EQANAJ_2Q11</vt:lpstr>
      <vt:lpstr>Tags!EQANAJ_2Q12</vt:lpstr>
      <vt:lpstr>EQANAJ_2Q12</vt:lpstr>
      <vt:lpstr>Tags!EQANAJ_2Q13</vt:lpstr>
      <vt:lpstr>EQANAJ_2Q13</vt:lpstr>
      <vt:lpstr>Tags!EQANAJ_2Q14</vt:lpstr>
      <vt:lpstr>EQANAJ_2Q14</vt:lpstr>
      <vt:lpstr>Tags!EQANAJ_2Q15</vt:lpstr>
      <vt:lpstr>EQANAJ_2Q15</vt:lpstr>
      <vt:lpstr>Tags!EQANAJ_2Q16</vt:lpstr>
      <vt:lpstr>EQANAJ_2Q16</vt:lpstr>
      <vt:lpstr>Tags!EQANAJ_2Q17</vt:lpstr>
      <vt:lpstr>EQANAJ_2Q17</vt:lpstr>
      <vt:lpstr>Tags!EQANAJ_2Q18</vt:lpstr>
      <vt:lpstr>EQANAJ_2Q18</vt:lpstr>
      <vt:lpstr>Tags!EQANAJ_2Q19</vt:lpstr>
      <vt:lpstr>EQANAJ_2Q19</vt:lpstr>
      <vt:lpstr>Tags!EQANAJ_2Q20</vt:lpstr>
      <vt:lpstr>EQANAJ_2Q20</vt:lpstr>
      <vt:lpstr>EQANAJ_2Q21</vt:lpstr>
      <vt:lpstr>EQANAJ_2Q22</vt:lpstr>
      <vt:lpstr>EQANAJ_2Q23</vt:lpstr>
      <vt:lpstr>EQANAJ_2Q24</vt:lpstr>
      <vt:lpstr>Tags!EQANAJ_3Q00</vt:lpstr>
      <vt:lpstr>EQANAJ_3Q00</vt:lpstr>
      <vt:lpstr>Tags!EQANAJ_3Q01</vt:lpstr>
      <vt:lpstr>EQANAJ_3Q01</vt:lpstr>
      <vt:lpstr>Tags!EQANAJ_3Q02</vt:lpstr>
      <vt:lpstr>EQANAJ_3Q02</vt:lpstr>
      <vt:lpstr>Tags!EQANAJ_3Q03</vt:lpstr>
      <vt:lpstr>EQANAJ_3Q03</vt:lpstr>
      <vt:lpstr>Tags!EQANAJ_3Q04</vt:lpstr>
      <vt:lpstr>EQANAJ_3Q04</vt:lpstr>
      <vt:lpstr>Tags!EQANAJ_3Q05</vt:lpstr>
      <vt:lpstr>EQANAJ_3Q05</vt:lpstr>
      <vt:lpstr>Tags!EQANAJ_3Q06</vt:lpstr>
      <vt:lpstr>EQANAJ_3Q06</vt:lpstr>
      <vt:lpstr>Tags!EQANAJ_3Q07</vt:lpstr>
      <vt:lpstr>EQANAJ_3Q07</vt:lpstr>
      <vt:lpstr>Tags!EQANAJ_3Q08</vt:lpstr>
      <vt:lpstr>EQANAJ_3Q08</vt:lpstr>
      <vt:lpstr>Tags!EQANAJ_3Q09</vt:lpstr>
      <vt:lpstr>EQANAJ_3Q09</vt:lpstr>
      <vt:lpstr>Tags!EQANAJ_3Q10</vt:lpstr>
      <vt:lpstr>EQANAJ_3Q10</vt:lpstr>
      <vt:lpstr>Tags!EQANAJ_3Q11</vt:lpstr>
      <vt:lpstr>EQANAJ_3Q11</vt:lpstr>
      <vt:lpstr>Tags!EQANAJ_3Q12</vt:lpstr>
      <vt:lpstr>EQANAJ_3Q12</vt:lpstr>
      <vt:lpstr>Tags!EQANAJ_3Q13</vt:lpstr>
      <vt:lpstr>EQANAJ_3Q13</vt:lpstr>
      <vt:lpstr>Tags!EQANAJ_3Q14</vt:lpstr>
      <vt:lpstr>EQANAJ_3Q14</vt:lpstr>
      <vt:lpstr>Tags!EQANAJ_3Q15</vt:lpstr>
      <vt:lpstr>EQANAJ_3Q15</vt:lpstr>
      <vt:lpstr>Tags!EQANAJ_3Q16</vt:lpstr>
      <vt:lpstr>EQANAJ_3Q16</vt:lpstr>
      <vt:lpstr>Tags!EQANAJ_3Q17</vt:lpstr>
      <vt:lpstr>EQANAJ_3Q17</vt:lpstr>
      <vt:lpstr>Tags!EQANAJ_3Q18</vt:lpstr>
      <vt:lpstr>EQANAJ_3Q18</vt:lpstr>
      <vt:lpstr>Tags!EQANAJ_3Q19</vt:lpstr>
      <vt:lpstr>EQANAJ_3Q19</vt:lpstr>
      <vt:lpstr>Tags!EQANAJ_3Q20</vt:lpstr>
      <vt:lpstr>EQANAJ_3Q20</vt:lpstr>
      <vt:lpstr>EQANAJ_3Q21</vt:lpstr>
      <vt:lpstr>EQANAJ_3Q22</vt:lpstr>
      <vt:lpstr>EQANAJ_3Q23</vt:lpstr>
      <vt:lpstr>EQANAJ_3Q24</vt:lpstr>
      <vt:lpstr>Tags!EQANAJ_4Q00</vt:lpstr>
      <vt:lpstr>EQANAJ_4Q00</vt:lpstr>
      <vt:lpstr>Tags!EQANAJ_4Q01</vt:lpstr>
      <vt:lpstr>EQANAJ_4Q01</vt:lpstr>
      <vt:lpstr>Tags!EQANAJ_4Q02</vt:lpstr>
      <vt:lpstr>EQANAJ_4Q02</vt:lpstr>
      <vt:lpstr>Tags!EQANAJ_4Q03</vt:lpstr>
      <vt:lpstr>EQANAJ_4Q03</vt:lpstr>
      <vt:lpstr>Tags!EQANAJ_4Q04</vt:lpstr>
      <vt:lpstr>EQANAJ_4Q04</vt:lpstr>
      <vt:lpstr>Tags!EQANAJ_4Q05</vt:lpstr>
      <vt:lpstr>EQANAJ_4Q05</vt:lpstr>
      <vt:lpstr>Tags!EQANAJ_4Q06</vt:lpstr>
      <vt:lpstr>EQANAJ_4Q06</vt:lpstr>
      <vt:lpstr>Tags!EQANAJ_4Q07</vt:lpstr>
      <vt:lpstr>EQANAJ_4Q07</vt:lpstr>
      <vt:lpstr>Tags!EQANAJ_4Q08</vt:lpstr>
      <vt:lpstr>EQANAJ_4Q08</vt:lpstr>
      <vt:lpstr>Tags!EQANAJ_4Q09</vt:lpstr>
      <vt:lpstr>EQANAJ_4Q09</vt:lpstr>
      <vt:lpstr>Tags!EQANAJ_4Q10</vt:lpstr>
      <vt:lpstr>EQANAJ_4Q10</vt:lpstr>
      <vt:lpstr>Tags!EQANAJ_4Q11</vt:lpstr>
      <vt:lpstr>EQANAJ_4Q11</vt:lpstr>
      <vt:lpstr>Tags!EQANAJ_4Q12</vt:lpstr>
      <vt:lpstr>EQANAJ_4Q12</vt:lpstr>
      <vt:lpstr>Tags!EQANAJ_4Q13</vt:lpstr>
      <vt:lpstr>EQANAJ_4Q13</vt:lpstr>
      <vt:lpstr>Tags!EQANAJ_4Q14</vt:lpstr>
      <vt:lpstr>EQANAJ_4Q14</vt:lpstr>
      <vt:lpstr>Tags!EQANAJ_4Q15</vt:lpstr>
      <vt:lpstr>EQANAJ_4Q15</vt:lpstr>
      <vt:lpstr>Tags!EQANAJ_4Q16</vt:lpstr>
      <vt:lpstr>EQANAJ_4Q16</vt:lpstr>
      <vt:lpstr>Tags!EQANAJ_4Q17</vt:lpstr>
      <vt:lpstr>EQANAJ_4Q17</vt:lpstr>
      <vt:lpstr>Tags!EQANAJ_4Q18</vt:lpstr>
      <vt:lpstr>EQANAJ_4Q18</vt:lpstr>
      <vt:lpstr>Tags!EQANAJ_4Q19</vt:lpstr>
      <vt:lpstr>EQANAJ_4Q19</vt:lpstr>
      <vt:lpstr>Tags!EQANAJ_4Q20</vt:lpstr>
      <vt:lpstr>EQANAJ_4Q20</vt:lpstr>
      <vt:lpstr>EQANAJ_4Q21</vt:lpstr>
      <vt:lpstr>EQANAJ_4Q22</vt:lpstr>
      <vt:lpstr>EQANAJ_4Q23</vt:lpstr>
      <vt:lpstr>EQANAJ_4Q24</vt:lpstr>
      <vt:lpstr>EVSBB_1995</vt:lpstr>
      <vt:lpstr>EVSBB_1996</vt:lpstr>
      <vt:lpstr>EVSBB_1997</vt:lpstr>
      <vt:lpstr>EVSBB_1998</vt:lpstr>
      <vt:lpstr>EVSBB_1999</vt:lpstr>
      <vt:lpstr>Tags!EVSBB_1Q00</vt:lpstr>
      <vt:lpstr>EVSBB_1Q00</vt:lpstr>
      <vt:lpstr>Tags!EVSBB_1Q01</vt:lpstr>
      <vt:lpstr>EVSBB_1Q01</vt:lpstr>
      <vt:lpstr>Tags!EVSBB_1Q02</vt:lpstr>
      <vt:lpstr>EVSBB_1Q02</vt:lpstr>
      <vt:lpstr>Tags!EVSBB_1Q03</vt:lpstr>
      <vt:lpstr>EVSBB_1Q03</vt:lpstr>
      <vt:lpstr>Tags!EVSBB_1Q04</vt:lpstr>
      <vt:lpstr>EVSBB_1Q04</vt:lpstr>
      <vt:lpstr>Tags!EVSBB_1Q05</vt:lpstr>
      <vt:lpstr>EVSBB_1Q05</vt:lpstr>
      <vt:lpstr>Tags!EVSBB_1Q06</vt:lpstr>
      <vt:lpstr>EVSBB_1Q06</vt:lpstr>
      <vt:lpstr>Tags!EVSBB_1Q07</vt:lpstr>
      <vt:lpstr>EVSBB_1Q07</vt:lpstr>
      <vt:lpstr>Tags!EVSBB_1Q08</vt:lpstr>
      <vt:lpstr>EVSBB_1Q08</vt:lpstr>
      <vt:lpstr>Tags!EVSBB_1Q09</vt:lpstr>
      <vt:lpstr>EVSBB_1Q09</vt:lpstr>
      <vt:lpstr>Tags!EVSBB_1Q10</vt:lpstr>
      <vt:lpstr>EVSBB_1Q10</vt:lpstr>
      <vt:lpstr>Tags!EVSBB_1Q11</vt:lpstr>
      <vt:lpstr>EVSBB_1Q11</vt:lpstr>
      <vt:lpstr>Tags!EVSBB_1Q12</vt:lpstr>
      <vt:lpstr>EVSBB_1Q12</vt:lpstr>
      <vt:lpstr>Tags!EVSBB_1Q13</vt:lpstr>
      <vt:lpstr>EVSBB_1Q13</vt:lpstr>
      <vt:lpstr>Tags!EVSBB_1Q14</vt:lpstr>
      <vt:lpstr>EVSBB_1Q14</vt:lpstr>
      <vt:lpstr>Tags!EVSBB_1Q15</vt:lpstr>
      <vt:lpstr>EVSBB_1Q15</vt:lpstr>
      <vt:lpstr>Tags!EVSBB_1Q16</vt:lpstr>
      <vt:lpstr>EVSBB_1Q16</vt:lpstr>
      <vt:lpstr>Tags!EVSBB_1Q17</vt:lpstr>
      <vt:lpstr>EVSBB_1Q17</vt:lpstr>
      <vt:lpstr>Tags!EVSBB_1Q18</vt:lpstr>
      <vt:lpstr>EVSBB_1Q18</vt:lpstr>
      <vt:lpstr>Tags!EVSBB_1Q19</vt:lpstr>
      <vt:lpstr>EVSBB_1Q19</vt:lpstr>
      <vt:lpstr>Tags!EVSBB_1Q20</vt:lpstr>
      <vt:lpstr>EVSBB_1Q20</vt:lpstr>
      <vt:lpstr>EVSBB_1Q21</vt:lpstr>
      <vt:lpstr>EVSBB_1Q22</vt:lpstr>
      <vt:lpstr>EVSBB_1Q23</vt:lpstr>
      <vt:lpstr>EVSBB_1Q24</vt:lpstr>
      <vt:lpstr>Tags!EVSBB_2000</vt:lpstr>
      <vt:lpstr>EVSBB_2000</vt:lpstr>
      <vt:lpstr>Tags!EVSBB_2001</vt:lpstr>
      <vt:lpstr>EVSBB_2001</vt:lpstr>
      <vt:lpstr>Tags!EVSBB_2002</vt:lpstr>
      <vt:lpstr>EVSBB_2002</vt:lpstr>
      <vt:lpstr>Tags!EVSBB_2003</vt:lpstr>
      <vt:lpstr>EVSBB_2003</vt:lpstr>
      <vt:lpstr>Tags!EVSBB_2004</vt:lpstr>
      <vt:lpstr>EVSBB_2004</vt:lpstr>
      <vt:lpstr>Tags!EVSBB_2005</vt:lpstr>
      <vt:lpstr>EVSBB_2005</vt:lpstr>
      <vt:lpstr>Tags!EVSBB_2006</vt:lpstr>
      <vt:lpstr>EVSBB_2006</vt:lpstr>
      <vt:lpstr>Tags!EVSBB_2007</vt:lpstr>
      <vt:lpstr>EVSBB_2007</vt:lpstr>
      <vt:lpstr>Tags!EVSBB_2008</vt:lpstr>
      <vt:lpstr>EVSBB_2008</vt:lpstr>
      <vt:lpstr>Tags!EVSBB_2009</vt:lpstr>
      <vt:lpstr>EVSBB_2009</vt:lpstr>
      <vt:lpstr>Tags!EVSBB_2010</vt:lpstr>
      <vt:lpstr>EVSBB_2010</vt:lpstr>
      <vt:lpstr>Tags!EVSBB_2011</vt:lpstr>
      <vt:lpstr>EVSBB_2011</vt:lpstr>
      <vt:lpstr>Tags!EVSBB_2012</vt:lpstr>
      <vt:lpstr>EVSBB_2012</vt:lpstr>
      <vt:lpstr>Tags!EVSBB_2013</vt:lpstr>
      <vt:lpstr>EVSBB_2013</vt:lpstr>
      <vt:lpstr>Tags!EVSBB_2014</vt:lpstr>
      <vt:lpstr>EVSBB_2014</vt:lpstr>
      <vt:lpstr>EVSBB_2015</vt:lpstr>
      <vt:lpstr>Tags!EVSBB_2016</vt:lpstr>
      <vt:lpstr>EVSBB_2016</vt:lpstr>
      <vt:lpstr>Tags!EVSBB_2017</vt:lpstr>
      <vt:lpstr>EVSBB_2017</vt:lpstr>
      <vt:lpstr>Tags!EVSBB_2018</vt:lpstr>
      <vt:lpstr>EVSBB_2018</vt:lpstr>
      <vt:lpstr>Tags!EVSBB_2019</vt:lpstr>
      <vt:lpstr>EVSBB_2019</vt:lpstr>
      <vt:lpstr>Tags!EVSBB_2020</vt:lpstr>
      <vt:lpstr>EVSBB_2020</vt:lpstr>
      <vt:lpstr>EVSBB_2021</vt:lpstr>
      <vt:lpstr>EVSBB_2022</vt:lpstr>
      <vt:lpstr>EVSBB_2023</vt:lpstr>
      <vt:lpstr>EVSBB_2024</vt:lpstr>
      <vt:lpstr>Tags!EVSBB_2Q00</vt:lpstr>
      <vt:lpstr>EVSBB_2Q00</vt:lpstr>
      <vt:lpstr>Tags!EVSBB_2Q01</vt:lpstr>
      <vt:lpstr>EVSBB_2Q01</vt:lpstr>
      <vt:lpstr>Tags!EVSBB_2Q02</vt:lpstr>
      <vt:lpstr>EVSBB_2Q02</vt:lpstr>
      <vt:lpstr>Tags!EVSBB_2Q03</vt:lpstr>
      <vt:lpstr>EVSBB_2Q03</vt:lpstr>
      <vt:lpstr>Tags!EVSBB_2Q04</vt:lpstr>
      <vt:lpstr>EVSBB_2Q04</vt:lpstr>
      <vt:lpstr>Tags!EVSBB_2Q05</vt:lpstr>
      <vt:lpstr>EVSBB_2Q05</vt:lpstr>
      <vt:lpstr>Tags!EVSBB_2Q06</vt:lpstr>
      <vt:lpstr>EVSBB_2Q06</vt:lpstr>
      <vt:lpstr>Tags!EVSBB_2Q07</vt:lpstr>
      <vt:lpstr>EVSBB_2Q07</vt:lpstr>
      <vt:lpstr>Tags!EVSBB_2Q08</vt:lpstr>
      <vt:lpstr>EVSBB_2Q08</vt:lpstr>
      <vt:lpstr>Tags!EVSBB_2Q09</vt:lpstr>
      <vt:lpstr>EVSBB_2Q09</vt:lpstr>
      <vt:lpstr>Tags!EVSBB_2Q10</vt:lpstr>
      <vt:lpstr>EVSBB_2Q10</vt:lpstr>
      <vt:lpstr>Tags!EVSBB_2Q11</vt:lpstr>
      <vt:lpstr>EVSBB_2Q11</vt:lpstr>
      <vt:lpstr>Tags!EVSBB_2Q12</vt:lpstr>
      <vt:lpstr>EVSBB_2Q12</vt:lpstr>
      <vt:lpstr>Tags!EVSBB_2Q13</vt:lpstr>
      <vt:lpstr>EVSBB_2Q13</vt:lpstr>
      <vt:lpstr>Tags!EVSBB_2Q14</vt:lpstr>
      <vt:lpstr>EVSBB_2Q14</vt:lpstr>
      <vt:lpstr>Tags!EVSBB_2Q15</vt:lpstr>
      <vt:lpstr>EVSBB_2Q15</vt:lpstr>
      <vt:lpstr>Tags!EVSBB_2Q16</vt:lpstr>
      <vt:lpstr>EVSBB_2Q16</vt:lpstr>
      <vt:lpstr>Tags!EVSBB_2Q17</vt:lpstr>
      <vt:lpstr>EVSBB_2Q17</vt:lpstr>
      <vt:lpstr>Tags!EVSBB_2Q18</vt:lpstr>
      <vt:lpstr>EVSBB_2Q18</vt:lpstr>
      <vt:lpstr>Tags!EVSBB_2Q19</vt:lpstr>
      <vt:lpstr>EVSBB_2Q19</vt:lpstr>
      <vt:lpstr>Tags!EVSBB_2Q20</vt:lpstr>
      <vt:lpstr>EVSBB_2Q20</vt:lpstr>
      <vt:lpstr>EVSBB_2Q21</vt:lpstr>
      <vt:lpstr>EVSBB_2Q22</vt:lpstr>
      <vt:lpstr>EVSBB_2Q23</vt:lpstr>
      <vt:lpstr>EVSBB_2Q24</vt:lpstr>
      <vt:lpstr>Tags!EVSBB_3Q00</vt:lpstr>
      <vt:lpstr>EVSBB_3Q00</vt:lpstr>
      <vt:lpstr>Tags!EVSBB_3Q01</vt:lpstr>
      <vt:lpstr>EVSBB_3Q01</vt:lpstr>
      <vt:lpstr>Tags!EVSBB_3Q02</vt:lpstr>
      <vt:lpstr>EVSBB_3Q02</vt:lpstr>
      <vt:lpstr>Tags!EVSBB_3Q03</vt:lpstr>
      <vt:lpstr>EVSBB_3Q03</vt:lpstr>
      <vt:lpstr>Tags!EVSBB_3Q04</vt:lpstr>
      <vt:lpstr>EVSBB_3Q04</vt:lpstr>
      <vt:lpstr>Tags!EVSBB_3Q05</vt:lpstr>
      <vt:lpstr>EVSBB_3Q05</vt:lpstr>
      <vt:lpstr>Tags!EVSBB_3Q06</vt:lpstr>
      <vt:lpstr>EVSBB_3Q06</vt:lpstr>
      <vt:lpstr>Tags!EVSBB_3Q07</vt:lpstr>
      <vt:lpstr>EVSBB_3Q07</vt:lpstr>
      <vt:lpstr>Tags!EVSBB_3Q08</vt:lpstr>
      <vt:lpstr>EVSBB_3Q08</vt:lpstr>
      <vt:lpstr>Tags!EVSBB_3Q09</vt:lpstr>
      <vt:lpstr>EVSBB_3Q09</vt:lpstr>
      <vt:lpstr>Tags!EVSBB_3Q10</vt:lpstr>
      <vt:lpstr>EVSBB_3Q10</vt:lpstr>
      <vt:lpstr>Tags!EVSBB_3Q11</vt:lpstr>
      <vt:lpstr>EVSBB_3Q11</vt:lpstr>
      <vt:lpstr>Tags!EVSBB_3Q12</vt:lpstr>
      <vt:lpstr>EVSBB_3Q12</vt:lpstr>
      <vt:lpstr>Tags!EVSBB_3Q13</vt:lpstr>
      <vt:lpstr>EVSBB_3Q13</vt:lpstr>
      <vt:lpstr>Tags!EVSBB_3Q14</vt:lpstr>
      <vt:lpstr>EVSBB_3Q14</vt:lpstr>
      <vt:lpstr>Tags!EVSBB_3Q15</vt:lpstr>
      <vt:lpstr>EVSBB_3Q15</vt:lpstr>
      <vt:lpstr>Tags!EVSBB_3Q16</vt:lpstr>
      <vt:lpstr>EVSBB_3Q16</vt:lpstr>
      <vt:lpstr>Tags!EVSBB_3Q17</vt:lpstr>
      <vt:lpstr>EVSBB_3Q17</vt:lpstr>
      <vt:lpstr>Tags!EVSBB_3Q18</vt:lpstr>
      <vt:lpstr>EVSBB_3Q18</vt:lpstr>
      <vt:lpstr>Tags!EVSBB_3Q19</vt:lpstr>
      <vt:lpstr>EVSBB_3Q19</vt:lpstr>
      <vt:lpstr>Tags!EVSBB_3Q20</vt:lpstr>
      <vt:lpstr>EVSBB_3Q20</vt:lpstr>
      <vt:lpstr>EVSBB_3Q21</vt:lpstr>
      <vt:lpstr>EVSBB_3Q22</vt:lpstr>
      <vt:lpstr>EVSBB_3Q23</vt:lpstr>
      <vt:lpstr>EVSBB_3Q24</vt:lpstr>
      <vt:lpstr>Tags!EVSBB_4Q00</vt:lpstr>
      <vt:lpstr>EVSBB_4Q00</vt:lpstr>
      <vt:lpstr>Tags!EVSBB_4Q01</vt:lpstr>
      <vt:lpstr>EVSBB_4Q01</vt:lpstr>
      <vt:lpstr>Tags!EVSBB_4Q02</vt:lpstr>
      <vt:lpstr>EVSBB_4Q02</vt:lpstr>
      <vt:lpstr>Tags!EVSBB_4Q03</vt:lpstr>
      <vt:lpstr>EVSBB_4Q03</vt:lpstr>
      <vt:lpstr>Tags!EVSBB_4Q04</vt:lpstr>
      <vt:lpstr>EVSBB_4Q04</vt:lpstr>
      <vt:lpstr>Tags!EVSBB_4Q05</vt:lpstr>
      <vt:lpstr>EVSBB_4Q05</vt:lpstr>
      <vt:lpstr>Tags!EVSBB_4Q06</vt:lpstr>
      <vt:lpstr>EVSBB_4Q06</vt:lpstr>
      <vt:lpstr>Tags!EVSBB_4Q07</vt:lpstr>
      <vt:lpstr>EVSBB_4Q07</vt:lpstr>
      <vt:lpstr>Tags!EVSBB_4Q08</vt:lpstr>
      <vt:lpstr>EVSBB_4Q08</vt:lpstr>
      <vt:lpstr>Tags!EVSBB_4Q09</vt:lpstr>
      <vt:lpstr>EVSBB_4Q09</vt:lpstr>
      <vt:lpstr>Tags!EVSBB_4Q10</vt:lpstr>
      <vt:lpstr>EVSBB_4Q10</vt:lpstr>
      <vt:lpstr>Tags!EVSBB_4Q11</vt:lpstr>
      <vt:lpstr>EVSBB_4Q11</vt:lpstr>
      <vt:lpstr>Tags!EVSBB_4Q12</vt:lpstr>
      <vt:lpstr>EVSBB_4Q12</vt:lpstr>
      <vt:lpstr>Tags!EVSBB_4Q13</vt:lpstr>
      <vt:lpstr>EVSBB_4Q13</vt:lpstr>
      <vt:lpstr>Tags!EVSBB_4Q14</vt:lpstr>
      <vt:lpstr>EVSBB_4Q14</vt:lpstr>
      <vt:lpstr>Tags!EVSBB_4Q15</vt:lpstr>
      <vt:lpstr>EVSBB_4Q15</vt:lpstr>
      <vt:lpstr>Tags!EVSBB_4Q16</vt:lpstr>
      <vt:lpstr>EVSBB_4Q16</vt:lpstr>
      <vt:lpstr>Tags!EVSBB_4Q17</vt:lpstr>
      <vt:lpstr>EVSBB_4Q17</vt:lpstr>
      <vt:lpstr>Tags!EVSBB_4Q18</vt:lpstr>
      <vt:lpstr>EVSBB_4Q18</vt:lpstr>
      <vt:lpstr>Tags!EVSBB_4Q19</vt:lpstr>
      <vt:lpstr>EVSBB_4Q19</vt:lpstr>
      <vt:lpstr>Tags!EVSBB_4Q20</vt:lpstr>
      <vt:lpstr>EVSBB_4Q20</vt:lpstr>
      <vt:lpstr>EVSBB_4Q21</vt:lpstr>
      <vt:lpstr>EVSBB_4Q22</vt:lpstr>
      <vt:lpstr>EVSBB_4Q23</vt:lpstr>
      <vt:lpstr>EVSBB_4Q24</vt:lpstr>
      <vt:lpstr>EXCPT_1995</vt:lpstr>
      <vt:lpstr>EXCPT_1996</vt:lpstr>
      <vt:lpstr>EXCPT_1997</vt:lpstr>
      <vt:lpstr>EXCPT_1998</vt:lpstr>
      <vt:lpstr>EXCPT_1999</vt:lpstr>
      <vt:lpstr>Tags!EXCPT_1Q00</vt:lpstr>
      <vt:lpstr>EXCPT_1Q00</vt:lpstr>
      <vt:lpstr>Tags!EXCPT_1Q01</vt:lpstr>
      <vt:lpstr>EXCPT_1Q01</vt:lpstr>
      <vt:lpstr>Tags!EXCPT_1Q02</vt:lpstr>
      <vt:lpstr>EXCPT_1Q02</vt:lpstr>
      <vt:lpstr>Tags!EXCPT_1Q03</vt:lpstr>
      <vt:lpstr>EXCPT_1Q03</vt:lpstr>
      <vt:lpstr>Tags!EXCPT_1Q04</vt:lpstr>
      <vt:lpstr>EXCPT_1Q04</vt:lpstr>
      <vt:lpstr>Tags!EXCPT_1Q05</vt:lpstr>
      <vt:lpstr>EXCPT_1Q05</vt:lpstr>
      <vt:lpstr>Tags!EXCPT_1Q06</vt:lpstr>
      <vt:lpstr>EXCPT_1Q06</vt:lpstr>
      <vt:lpstr>Tags!EXCPT_1Q07</vt:lpstr>
      <vt:lpstr>EXCPT_1Q07</vt:lpstr>
      <vt:lpstr>Tags!EXCPT_1Q08</vt:lpstr>
      <vt:lpstr>EXCPT_1Q08</vt:lpstr>
      <vt:lpstr>Tags!EXCPT_1Q09</vt:lpstr>
      <vt:lpstr>EXCPT_1Q09</vt:lpstr>
      <vt:lpstr>Tags!EXCPT_1Q10</vt:lpstr>
      <vt:lpstr>EXCPT_1Q10</vt:lpstr>
      <vt:lpstr>Tags!EXCPT_1Q11</vt:lpstr>
      <vt:lpstr>EXCPT_1Q11</vt:lpstr>
      <vt:lpstr>Tags!EXCPT_1Q12</vt:lpstr>
      <vt:lpstr>EXCPT_1Q12</vt:lpstr>
      <vt:lpstr>Tags!EXCPT_1Q13</vt:lpstr>
      <vt:lpstr>EXCPT_1Q13</vt:lpstr>
      <vt:lpstr>Tags!EXCPT_1Q14</vt:lpstr>
      <vt:lpstr>EXCPT_1Q14</vt:lpstr>
      <vt:lpstr>Tags!EXCPT_1Q15</vt:lpstr>
      <vt:lpstr>EXCPT_1Q15</vt:lpstr>
      <vt:lpstr>Tags!EXCPT_1Q16</vt:lpstr>
      <vt:lpstr>EXCPT_1Q16</vt:lpstr>
      <vt:lpstr>Tags!EXCPT_1Q17</vt:lpstr>
      <vt:lpstr>EXCPT_1Q17</vt:lpstr>
      <vt:lpstr>Tags!EXCPT_1Q18</vt:lpstr>
      <vt:lpstr>EXCPT_1Q18</vt:lpstr>
      <vt:lpstr>Tags!EXCPT_1Q19</vt:lpstr>
      <vt:lpstr>EXCPT_1Q19</vt:lpstr>
      <vt:lpstr>Tags!EXCPT_1Q20</vt:lpstr>
      <vt:lpstr>EXCPT_1Q20</vt:lpstr>
      <vt:lpstr>EXCPT_1Q21</vt:lpstr>
      <vt:lpstr>EXCPT_1Q22</vt:lpstr>
      <vt:lpstr>EXCPT_1Q23</vt:lpstr>
      <vt:lpstr>EXCPT_1Q24</vt:lpstr>
      <vt:lpstr>Tags!EXCPT_2000</vt:lpstr>
      <vt:lpstr>EXCPT_2000</vt:lpstr>
      <vt:lpstr>Tags!EXCPT_2001</vt:lpstr>
      <vt:lpstr>EXCPT_2001</vt:lpstr>
      <vt:lpstr>Tags!EXCPT_2002</vt:lpstr>
      <vt:lpstr>EXCPT_2002</vt:lpstr>
      <vt:lpstr>Tags!EXCPT_2003</vt:lpstr>
      <vt:lpstr>EXCPT_2003</vt:lpstr>
      <vt:lpstr>Tags!EXCPT_2004</vt:lpstr>
      <vt:lpstr>EXCPT_2004</vt:lpstr>
      <vt:lpstr>Tags!EXCPT_2005</vt:lpstr>
      <vt:lpstr>EXCPT_2005</vt:lpstr>
      <vt:lpstr>Tags!EXCPT_2006</vt:lpstr>
      <vt:lpstr>EXCPT_2006</vt:lpstr>
      <vt:lpstr>Tags!EXCPT_2007</vt:lpstr>
      <vt:lpstr>EXCPT_2007</vt:lpstr>
      <vt:lpstr>Tags!EXCPT_2008</vt:lpstr>
      <vt:lpstr>EXCPT_2008</vt:lpstr>
      <vt:lpstr>Tags!EXCPT_2009</vt:lpstr>
      <vt:lpstr>EXCPT_2009</vt:lpstr>
      <vt:lpstr>Tags!EXCPT_2010</vt:lpstr>
      <vt:lpstr>EXCPT_2010</vt:lpstr>
      <vt:lpstr>Tags!EXCPT_2011</vt:lpstr>
      <vt:lpstr>EXCPT_2011</vt:lpstr>
      <vt:lpstr>Tags!EXCPT_2012</vt:lpstr>
      <vt:lpstr>EXCPT_2012</vt:lpstr>
      <vt:lpstr>Tags!EXCPT_2013</vt:lpstr>
      <vt:lpstr>EXCPT_2013</vt:lpstr>
      <vt:lpstr>Tags!EXCPT_2014</vt:lpstr>
      <vt:lpstr>EXCPT_2014</vt:lpstr>
      <vt:lpstr>EXCPT_2015</vt:lpstr>
      <vt:lpstr>Tags!EXCPT_2016</vt:lpstr>
      <vt:lpstr>EXCPT_2016</vt:lpstr>
      <vt:lpstr>Tags!EXCPT_2017</vt:lpstr>
      <vt:lpstr>EXCPT_2017</vt:lpstr>
      <vt:lpstr>Tags!EXCPT_2018</vt:lpstr>
      <vt:lpstr>EXCPT_2018</vt:lpstr>
      <vt:lpstr>Tags!EXCPT_2019</vt:lpstr>
      <vt:lpstr>EXCPT_2019</vt:lpstr>
      <vt:lpstr>Tags!EXCPT_2020</vt:lpstr>
      <vt:lpstr>EXCPT_2020</vt:lpstr>
      <vt:lpstr>EXCPT_2021</vt:lpstr>
      <vt:lpstr>EXCPT_2022</vt:lpstr>
      <vt:lpstr>EXCPT_2023</vt:lpstr>
      <vt:lpstr>EXCPT_2024</vt:lpstr>
      <vt:lpstr>Tags!EXCPT_2Q00</vt:lpstr>
      <vt:lpstr>EXCPT_2Q00</vt:lpstr>
      <vt:lpstr>Tags!EXCPT_2Q01</vt:lpstr>
      <vt:lpstr>EXCPT_2Q01</vt:lpstr>
      <vt:lpstr>Tags!EXCPT_2Q02</vt:lpstr>
      <vt:lpstr>EXCPT_2Q02</vt:lpstr>
      <vt:lpstr>Tags!EXCPT_2Q03</vt:lpstr>
      <vt:lpstr>EXCPT_2Q03</vt:lpstr>
      <vt:lpstr>Tags!EXCPT_2Q04</vt:lpstr>
      <vt:lpstr>EXCPT_2Q04</vt:lpstr>
      <vt:lpstr>Tags!EXCPT_2Q05</vt:lpstr>
      <vt:lpstr>EXCPT_2Q05</vt:lpstr>
      <vt:lpstr>Tags!EXCPT_2Q06</vt:lpstr>
      <vt:lpstr>EXCPT_2Q06</vt:lpstr>
      <vt:lpstr>Tags!EXCPT_2Q07</vt:lpstr>
      <vt:lpstr>EXCPT_2Q07</vt:lpstr>
      <vt:lpstr>Tags!EXCPT_2Q08</vt:lpstr>
      <vt:lpstr>EXCPT_2Q08</vt:lpstr>
      <vt:lpstr>Tags!EXCPT_2Q09</vt:lpstr>
      <vt:lpstr>EXCPT_2Q09</vt:lpstr>
      <vt:lpstr>Tags!EXCPT_2Q10</vt:lpstr>
      <vt:lpstr>EXCPT_2Q10</vt:lpstr>
      <vt:lpstr>Tags!EXCPT_2Q11</vt:lpstr>
      <vt:lpstr>EXCPT_2Q11</vt:lpstr>
      <vt:lpstr>Tags!EXCPT_2Q12</vt:lpstr>
      <vt:lpstr>EXCPT_2Q12</vt:lpstr>
      <vt:lpstr>Tags!EXCPT_2Q13</vt:lpstr>
      <vt:lpstr>EXCPT_2Q13</vt:lpstr>
      <vt:lpstr>Tags!EXCPT_2Q14</vt:lpstr>
      <vt:lpstr>EXCPT_2Q14</vt:lpstr>
      <vt:lpstr>Tags!EXCPT_2Q15</vt:lpstr>
      <vt:lpstr>EXCPT_2Q15</vt:lpstr>
      <vt:lpstr>Tags!EXCPT_2Q16</vt:lpstr>
      <vt:lpstr>EXCPT_2Q16</vt:lpstr>
      <vt:lpstr>Tags!EXCPT_2Q17</vt:lpstr>
      <vt:lpstr>EXCPT_2Q17</vt:lpstr>
      <vt:lpstr>Tags!EXCPT_2Q18</vt:lpstr>
      <vt:lpstr>EXCPT_2Q18</vt:lpstr>
      <vt:lpstr>Tags!EXCPT_2Q19</vt:lpstr>
      <vt:lpstr>EXCPT_2Q19</vt:lpstr>
      <vt:lpstr>Tags!EXCPT_2Q20</vt:lpstr>
      <vt:lpstr>EXCPT_2Q20</vt:lpstr>
      <vt:lpstr>EXCPT_2Q21</vt:lpstr>
      <vt:lpstr>EXCPT_2Q22</vt:lpstr>
      <vt:lpstr>EXCPT_2Q23</vt:lpstr>
      <vt:lpstr>EXCPT_2Q24</vt:lpstr>
      <vt:lpstr>Tags!EXCPT_3Q00</vt:lpstr>
      <vt:lpstr>EXCPT_3Q00</vt:lpstr>
      <vt:lpstr>Tags!EXCPT_3Q01</vt:lpstr>
      <vt:lpstr>EXCPT_3Q01</vt:lpstr>
      <vt:lpstr>Tags!EXCPT_3Q02</vt:lpstr>
      <vt:lpstr>EXCPT_3Q02</vt:lpstr>
      <vt:lpstr>Tags!EXCPT_3Q03</vt:lpstr>
      <vt:lpstr>EXCPT_3Q03</vt:lpstr>
      <vt:lpstr>Tags!EXCPT_3Q04</vt:lpstr>
      <vt:lpstr>EXCPT_3Q04</vt:lpstr>
      <vt:lpstr>Tags!EXCPT_3Q05</vt:lpstr>
      <vt:lpstr>EXCPT_3Q05</vt:lpstr>
      <vt:lpstr>Tags!EXCPT_3Q06</vt:lpstr>
      <vt:lpstr>EXCPT_3Q06</vt:lpstr>
      <vt:lpstr>Tags!EXCPT_3Q07</vt:lpstr>
      <vt:lpstr>EXCPT_3Q07</vt:lpstr>
      <vt:lpstr>Tags!EXCPT_3Q08</vt:lpstr>
      <vt:lpstr>EXCPT_3Q08</vt:lpstr>
      <vt:lpstr>Tags!EXCPT_3Q09</vt:lpstr>
      <vt:lpstr>EXCPT_3Q09</vt:lpstr>
      <vt:lpstr>Tags!EXCPT_3Q10</vt:lpstr>
      <vt:lpstr>EXCPT_3Q10</vt:lpstr>
      <vt:lpstr>Tags!EXCPT_3Q11</vt:lpstr>
      <vt:lpstr>EXCPT_3Q11</vt:lpstr>
      <vt:lpstr>Tags!EXCPT_3Q12</vt:lpstr>
      <vt:lpstr>EXCPT_3Q12</vt:lpstr>
      <vt:lpstr>Tags!EXCPT_3Q13</vt:lpstr>
      <vt:lpstr>EXCPT_3Q13</vt:lpstr>
      <vt:lpstr>Tags!EXCPT_3Q14</vt:lpstr>
      <vt:lpstr>EXCPT_3Q14</vt:lpstr>
      <vt:lpstr>Tags!EXCPT_3Q15</vt:lpstr>
      <vt:lpstr>EXCPT_3Q15</vt:lpstr>
      <vt:lpstr>Tags!EXCPT_3Q16</vt:lpstr>
      <vt:lpstr>EXCPT_3Q16</vt:lpstr>
      <vt:lpstr>Tags!EXCPT_3Q17</vt:lpstr>
      <vt:lpstr>EXCPT_3Q17</vt:lpstr>
      <vt:lpstr>Tags!EXCPT_3Q18</vt:lpstr>
      <vt:lpstr>EXCPT_3Q18</vt:lpstr>
      <vt:lpstr>Tags!EXCPT_3Q19</vt:lpstr>
      <vt:lpstr>EXCPT_3Q19</vt:lpstr>
      <vt:lpstr>Tags!EXCPT_3Q20</vt:lpstr>
      <vt:lpstr>EXCPT_3Q20</vt:lpstr>
      <vt:lpstr>EXCPT_3Q21</vt:lpstr>
      <vt:lpstr>EXCPT_3Q22</vt:lpstr>
      <vt:lpstr>EXCPT_3Q23</vt:lpstr>
      <vt:lpstr>EXCPT_3Q24</vt:lpstr>
      <vt:lpstr>Tags!EXCPT_4Q00</vt:lpstr>
      <vt:lpstr>EXCPT_4Q00</vt:lpstr>
      <vt:lpstr>Tags!EXCPT_4Q01</vt:lpstr>
      <vt:lpstr>EXCPT_4Q01</vt:lpstr>
      <vt:lpstr>Tags!EXCPT_4Q02</vt:lpstr>
      <vt:lpstr>EXCPT_4Q02</vt:lpstr>
      <vt:lpstr>Tags!EXCPT_4Q03</vt:lpstr>
      <vt:lpstr>EXCPT_4Q03</vt:lpstr>
      <vt:lpstr>Tags!EXCPT_4Q04</vt:lpstr>
      <vt:lpstr>EXCPT_4Q04</vt:lpstr>
      <vt:lpstr>Tags!EXCPT_4Q05</vt:lpstr>
      <vt:lpstr>EXCPT_4Q05</vt:lpstr>
      <vt:lpstr>Tags!EXCPT_4Q06</vt:lpstr>
      <vt:lpstr>EXCPT_4Q06</vt:lpstr>
      <vt:lpstr>Tags!EXCPT_4Q07</vt:lpstr>
      <vt:lpstr>EXCPT_4Q07</vt:lpstr>
      <vt:lpstr>Tags!EXCPT_4Q08</vt:lpstr>
      <vt:lpstr>EXCPT_4Q08</vt:lpstr>
      <vt:lpstr>Tags!EXCPT_4Q09</vt:lpstr>
      <vt:lpstr>EXCPT_4Q09</vt:lpstr>
      <vt:lpstr>Tags!EXCPT_4Q10</vt:lpstr>
      <vt:lpstr>EXCPT_4Q10</vt:lpstr>
      <vt:lpstr>Tags!EXCPT_4Q11</vt:lpstr>
      <vt:lpstr>EXCPT_4Q11</vt:lpstr>
      <vt:lpstr>Tags!EXCPT_4Q12</vt:lpstr>
      <vt:lpstr>EXCPT_4Q12</vt:lpstr>
      <vt:lpstr>Tags!EXCPT_4Q13</vt:lpstr>
      <vt:lpstr>EXCPT_4Q13</vt:lpstr>
      <vt:lpstr>Tags!EXCPT_4Q14</vt:lpstr>
      <vt:lpstr>EXCPT_4Q14</vt:lpstr>
      <vt:lpstr>Tags!EXCPT_4Q15</vt:lpstr>
      <vt:lpstr>EXCPT_4Q15</vt:lpstr>
      <vt:lpstr>Tags!EXCPT_4Q16</vt:lpstr>
      <vt:lpstr>EXCPT_4Q16</vt:lpstr>
      <vt:lpstr>Tags!EXCPT_4Q17</vt:lpstr>
      <vt:lpstr>EXCPT_4Q17</vt:lpstr>
      <vt:lpstr>Tags!EXCPT_4Q18</vt:lpstr>
      <vt:lpstr>EXCPT_4Q18</vt:lpstr>
      <vt:lpstr>Tags!EXCPT_4Q19</vt:lpstr>
      <vt:lpstr>EXCPT_4Q19</vt:lpstr>
      <vt:lpstr>Tags!EXCPT_4Q20</vt:lpstr>
      <vt:lpstr>EXCPT_4Q20</vt:lpstr>
      <vt:lpstr>EXCPT_4Q21</vt:lpstr>
      <vt:lpstr>EXCPT_4Q22</vt:lpstr>
      <vt:lpstr>EXCPT_4Q23</vt:lpstr>
      <vt:lpstr>EXCPT_4Q24</vt:lpstr>
      <vt:lpstr>EXTRA_1995</vt:lpstr>
      <vt:lpstr>EXTRA_1996</vt:lpstr>
      <vt:lpstr>EXTRA_1997</vt:lpstr>
      <vt:lpstr>EXTRA_1998</vt:lpstr>
      <vt:lpstr>EXTRA_1999</vt:lpstr>
      <vt:lpstr>Tags!EXTRA_1Q00</vt:lpstr>
      <vt:lpstr>EXTRA_1Q00</vt:lpstr>
      <vt:lpstr>Tags!EXTRA_1Q01</vt:lpstr>
      <vt:lpstr>EXTRA_1Q01</vt:lpstr>
      <vt:lpstr>Tags!EXTRA_1Q02</vt:lpstr>
      <vt:lpstr>EXTRA_1Q02</vt:lpstr>
      <vt:lpstr>Tags!EXTRA_1Q03</vt:lpstr>
      <vt:lpstr>EXTRA_1Q03</vt:lpstr>
      <vt:lpstr>Tags!EXTRA_1Q04</vt:lpstr>
      <vt:lpstr>EXTRA_1Q04</vt:lpstr>
      <vt:lpstr>Tags!EXTRA_1Q05</vt:lpstr>
      <vt:lpstr>EXTRA_1Q05</vt:lpstr>
      <vt:lpstr>Tags!EXTRA_1Q06</vt:lpstr>
      <vt:lpstr>EXTRA_1Q06</vt:lpstr>
      <vt:lpstr>Tags!EXTRA_1Q07</vt:lpstr>
      <vt:lpstr>EXTRA_1Q07</vt:lpstr>
      <vt:lpstr>Tags!EXTRA_1Q08</vt:lpstr>
      <vt:lpstr>EXTRA_1Q08</vt:lpstr>
      <vt:lpstr>Tags!EXTRA_1Q09</vt:lpstr>
      <vt:lpstr>EXTRA_1Q09</vt:lpstr>
      <vt:lpstr>Tags!EXTRA_1Q10</vt:lpstr>
      <vt:lpstr>EXTRA_1Q10</vt:lpstr>
      <vt:lpstr>Tags!EXTRA_1Q11</vt:lpstr>
      <vt:lpstr>EXTRA_1Q11</vt:lpstr>
      <vt:lpstr>Tags!EXTRA_1Q12</vt:lpstr>
      <vt:lpstr>EXTRA_1Q12</vt:lpstr>
      <vt:lpstr>Tags!EXTRA_1Q13</vt:lpstr>
      <vt:lpstr>EXTRA_1Q13</vt:lpstr>
      <vt:lpstr>Tags!EXTRA_1Q14</vt:lpstr>
      <vt:lpstr>EXTRA_1Q14</vt:lpstr>
      <vt:lpstr>Tags!EXTRA_1Q15</vt:lpstr>
      <vt:lpstr>EXTRA_1Q15</vt:lpstr>
      <vt:lpstr>Tags!EXTRA_1Q16</vt:lpstr>
      <vt:lpstr>EXTRA_1Q16</vt:lpstr>
      <vt:lpstr>Tags!EXTRA_1Q17</vt:lpstr>
      <vt:lpstr>EXTRA_1Q17</vt:lpstr>
      <vt:lpstr>Tags!EXTRA_1Q18</vt:lpstr>
      <vt:lpstr>EXTRA_1Q18</vt:lpstr>
      <vt:lpstr>Tags!EXTRA_1Q19</vt:lpstr>
      <vt:lpstr>EXTRA_1Q19</vt:lpstr>
      <vt:lpstr>Tags!EXTRA_1Q20</vt:lpstr>
      <vt:lpstr>EXTRA_1Q20</vt:lpstr>
      <vt:lpstr>EXTRA_1Q21</vt:lpstr>
      <vt:lpstr>EXTRA_1Q22</vt:lpstr>
      <vt:lpstr>EXTRA_1Q23</vt:lpstr>
      <vt:lpstr>EXTRA_1Q24</vt:lpstr>
      <vt:lpstr>Tags!EXTRA_2000</vt:lpstr>
      <vt:lpstr>EXTRA_2000</vt:lpstr>
      <vt:lpstr>Tags!EXTRA_2001</vt:lpstr>
      <vt:lpstr>EXTRA_2001</vt:lpstr>
      <vt:lpstr>Tags!EXTRA_2002</vt:lpstr>
      <vt:lpstr>EXTRA_2002</vt:lpstr>
      <vt:lpstr>Tags!EXTRA_2003</vt:lpstr>
      <vt:lpstr>EXTRA_2003</vt:lpstr>
      <vt:lpstr>Tags!EXTRA_2004</vt:lpstr>
      <vt:lpstr>EXTRA_2004</vt:lpstr>
      <vt:lpstr>Tags!EXTRA_2005</vt:lpstr>
      <vt:lpstr>EXTRA_2005</vt:lpstr>
      <vt:lpstr>Tags!EXTRA_2006</vt:lpstr>
      <vt:lpstr>EXTRA_2006</vt:lpstr>
      <vt:lpstr>Tags!EXTRA_2007</vt:lpstr>
      <vt:lpstr>EXTRA_2007</vt:lpstr>
      <vt:lpstr>Tags!EXTRA_2008</vt:lpstr>
      <vt:lpstr>EXTRA_2008</vt:lpstr>
      <vt:lpstr>Tags!EXTRA_2009</vt:lpstr>
      <vt:lpstr>EXTRA_2009</vt:lpstr>
      <vt:lpstr>Tags!EXTRA_2010</vt:lpstr>
      <vt:lpstr>EXTRA_2010</vt:lpstr>
      <vt:lpstr>Tags!EXTRA_2011</vt:lpstr>
      <vt:lpstr>EXTRA_2011</vt:lpstr>
      <vt:lpstr>Tags!EXTRA_2012</vt:lpstr>
      <vt:lpstr>EXTRA_2012</vt:lpstr>
      <vt:lpstr>Tags!EXTRA_2013</vt:lpstr>
      <vt:lpstr>EXTRA_2013</vt:lpstr>
      <vt:lpstr>Tags!EXTRA_2014</vt:lpstr>
      <vt:lpstr>EXTRA_2014</vt:lpstr>
      <vt:lpstr>EXTRA_2015</vt:lpstr>
      <vt:lpstr>Tags!EXTRA_2016</vt:lpstr>
      <vt:lpstr>EXTRA_2016</vt:lpstr>
      <vt:lpstr>Tags!EXTRA_2017</vt:lpstr>
      <vt:lpstr>EXTRA_2017</vt:lpstr>
      <vt:lpstr>Tags!EXTRA_2018</vt:lpstr>
      <vt:lpstr>EXTRA_2018</vt:lpstr>
      <vt:lpstr>Tags!EXTRA_2019</vt:lpstr>
      <vt:lpstr>EXTRA_2019</vt:lpstr>
      <vt:lpstr>Tags!EXTRA_2020</vt:lpstr>
      <vt:lpstr>EXTRA_2020</vt:lpstr>
      <vt:lpstr>EXTRA_2021</vt:lpstr>
      <vt:lpstr>EXTRA_2022</vt:lpstr>
      <vt:lpstr>EXTRA_2023</vt:lpstr>
      <vt:lpstr>EXTRA_2024</vt:lpstr>
      <vt:lpstr>Tags!EXTRA_2Q00</vt:lpstr>
      <vt:lpstr>EXTRA_2Q00</vt:lpstr>
      <vt:lpstr>Tags!EXTRA_2Q01</vt:lpstr>
      <vt:lpstr>EXTRA_2Q01</vt:lpstr>
      <vt:lpstr>Tags!EXTRA_2Q02</vt:lpstr>
      <vt:lpstr>EXTRA_2Q02</vt:lpstr>
      <vt:lpstr>Tags!EXTRA_2Q03</vt:lpstr>
      <vt:lpstr>EXTRA_2Q03</vt:lpstr>
      <vt:lpstr>Tags!EXTRA_2Q04</vt:lpstr>
      <vt:lpstr>EXTRA_2Q04</vt:lpstr>
      <vt:lpstr>Tags!EXTRA_2Q05</vt:lpstr>
      <vt:lpstr>EXTRA_2Q05</vt:lpstr>
      <vt:lpstr>Tags!EXTRA_2Q06</vt:lpstr>
      <vt:lpstr>EXTRA_2Q06</vt:lpstr>
      <vt:lpstr>Tags!EXTRA_2Q07</vt:lpstr>
      <vt:lpstr>EXTRA_2Q07</vt:lpstr>
      <vt:lpstr>Tags!EXTRA_2Q08</vt:lpstr>
      <vt:lpstr>EXTRA_2Q08</vt:lpstr>
      <vt:lpstr>Tags!EXTRA_2Q09</vt:lpstr>
      <vt:lpstr>EXTRA_2Q09</vt:lpstr>
      <vt:lpstr>Tags!EXTRA_2Q10</vt:lpstr>
      <vt:lpstr>EXTRA_2Q10</vt:lpstr>
      <vt:lpstr>Tags!EXTRA_2Q11</vt:lpstr>
      <vt:lpstr>EXTRA_2Q11</vt:lpstr>
      <vt:lpstr>Tags!EXTRA_2Q12</vt:lpstr>
      <vt:lpstr>EXTRA_2Q12</vt:lpstr>
      <vt:lpstr>Tags!EXTRA_2Q13</vt:lpstr>
      <vt:lpstr>EXTRA_2Q13</vt:lpstr>
      <vt:lpstr>Tags!EXTRA_2Q14</vt:lpstr>
      <vt:lpstr>EXTRA_2Q14</vt:lpstr>
      <vt:lpstr>Tags!EXTRA_2Q15</vt:lpstr>
      <vt:lpstr>EXTRA_2Q15</vt:lpstr>
      <vt:lpstr>Tags!EXTRA_2Q16</vt:lpstr>
      <vt:lpstr>EXTRA_2Q16</vt:lpstr>
      <vt:lpstr>Tags!EXTRA_2Q17</vt:lpstr>
      <vt:lpstr>EXTRA_2Q17</vt:lpstr>
      <vt:lpstr>Tags!EXTRA_2Q18</vt:lpstr>
      <vt:lpstr>EXTRA_2Q18</vt:lpstr>
      <vt:lpstr>Tags!EXTRA_2Q19</vt:lpstr>
      <vt:lpstr>EXTRA_2Q19</vt:lpstr>
      <vt:lpstr>Tags!EXTRA_2Q20</vt:lpstr>
      <vt:lpstr>EXTRA_2Q20</vt:lpstr>
      <vt:lpstr>EXTRA_2Q21</vt:lpstr>
      <vt:lpstr>EXTRA_2Q22</vt:lpstr>
      <vt:lpstr>EXTRA_2Q23</vt:lpstr>
      <vt:lpstr>EXTRA_2Q24</vt:lpstr>
      <vt:lpstr>Tags!EXTRA_3Q00</vt:lpstr>
      <vt:lpstr>EXTRA_3Q00</vt:lpstr>
      <vt:lpstr>Tags!EXTRA_3Q01</vt:lpstr>
      <vt:lpstr>EXTRA_3Q01</vt:lpstr>
      <vt:lpstr>Tags!EXTRA_3Q02</vt:lpstr>
      <vt:lpstr>EXTRA_3Q02</vt:lpstr>
      <vt:lpstr>Tags!EXTRA_3Q03</vt:lpstr>
      <vt:lpstr>EXTRA_3Q03</vt:lpstr>
      <vt:lpstr>Tags!EXTRA_3Q04</vt:lpstr>
      <vt:lpstr>EXTRA_3Q04</vt:lpstr>
      <vt:lpstr>Tags!EXTRA_3Q05</vt:lpstr>
      <vt:lpstr>EXTRA_3Q05</vt:lpstr>
      <vt:lpstr>Tags!EXTRA_3Q06</vt:lpstr>
      <vt:lpstr>EXTRA_3Q06</vt:lpstr>
      <vt:lpstr>Tags!EXTRA_3Q07</vt:lpstr>
      <vt:lpstr>EXTRA_3Q07</vt:lpstr>
      <vt:lpstr>Tags!EXTRA_3Q08</vt:lpstr>
      <vt:lpstr>EXTRA_3Q08</vt:lpstr>
      <vt:lpstr>Tags!EXTRA_3Q09</vt:lpstr>
      <vt:lpstr>EXTRA_3Q09</vt:lpstr>
      <vt:lpstr>Tags!EXTRA_3Q10</vt:lpstr>
      <vt:lpstr>EXTRA_3Q10</vt:lpstr>
      <vt:lpstr>Tags!EXTRA_3Q11</vt:lpstr>
      <vt:lpstr>EXTRA_3Q11</vt:lpstr>
      <vt:lpstr>Tags!EXTRA_3Q12</vt:lpstr>
      <vt:lpstr>EXTRA_3Q12</vt:lpstr>
      <vt:lpstr>Tags!EXTRA_3Q13</vt:lpstr>
      <vt:lpstr>EXTRA_3Q13</vt:lpstr>
      <vt:lpstr>Tags!EXTRA_3Q14</vt:lpstr>
      <vt:lpstr>EXTRA_3Q14</vt:lpstr>
      <vt:lpstr>Tags!EXTRA_3Q15</vt:lpstr>
      <vt:lpstr>EXTRA_3Q15</vt:lpstr>
      <vt:lpstr>Tags!EXTRA_3Q16</vt:lpstr>
      <vt:lpstr>EXTRA_3Q16</vt:lpstr>
      <vt:lpstr>Tags!EXTRA_3Q17</vt:lpstr>
      <vt:lpstr>EXTRA_3Q17</vt:lpstr>
      <vt:lpstr>Tags!EXTRA_3Q18</vt:lpstr>
      <vt:lpstr>EXTRA_3Q18</vt:lpstr>
      <vt:lpstr>Tags!EXTRA_3Q19</vt:lpstr>
      <vt:lpstr>EXTRA_3Q19</vt:lpstr>
      <vt:lpstr>Tags!EXTRA_3Q20</vt:lpstr>
      <vt:lpstr>EXTRA_3Q20</vt:lpstr>
      <vt:lpstr>EXTRA_3Q21</vt:lpstr>
      <vt:lpstr>EXTRA_3Q22</vt:lpstr>
      <vt:lpstr>EXTRA_3Q23</vt:lpstr>
      <vt:lpstr>EXTRA_3Q24</vt:lpstr>
      <vt:lpstr>Tags!EXTRA_4Q00</vt:lpstr>
      <vt:lpstr>EXTRA_4Q00</vt:lpstr>
      <vt:lpstr>Tags!EXTRA_4Q01</vt:lpstr>
      <vt:lpstr>EXTRA_4Q01</vt:lpstr>
      <vt:lpstr>Tags!EXTRA_4Q02</vt:lpstr>
      <vt:lpstr>EXTRA_4Q02</vt:lpstr>
      <vt:lpstr>Tags!EXTRA_4Q03</vt:lpstr>
      <vt:lpstr>EXTRA_4Q03</vt:lpstr>
      <vt:lpstr>Tags!EXTRA_4Q04</vt:lpstr>
      <vt:lpstr>EXTRA_4Q04</vt:lpstr>
      <vt:lpstr>Tags!EXTRA_4Q05</vt:lpstr>
      <vt:lpstr>EXTRA_4Q05</vt:lpstr>
      <vt:lpstr>Tags!EXTRA_4Q06</vt:lpstr>
      <vt:lpstr>EXTRA_4Q06</vt:lpstr>
      <vt:lpstr>Tags!EXTRA_4Q07</vt:lpstr>
      <vt:lpstr>EXTRA_4Q07</vt:lpstr>
      <vt:lpstr>Tags!EXTRA_4Q08</vt:lpstr>
      <vt:lpstr>EXTRA_4Q08</vt:lpstr>
      <vt:lpstr>Tags!EXTRA_4Q09</vt:lpstr>
      <vt:lpstr>EXTRA_4Q09</vt:lpstr>
      <vt:lpstr>Tags!EXTRA_4Q10</vt:lpstr>
      <vt:lpstr>EXTRA_4Q10</vt:lpstr>
      <vt:lpstr>Tags!EXTRA_4Q11</vt:lpstr>
      <vt:lpstr>EXTRA_4Q11</vt:lpstr>
      <vt:lpstr>Tags!EXTRA_4Q12</vt:lpstr>
      <vt:lpstr>EXTRA_4Q12</vt:lpstr>
      <vt:lpstr>Tags!EXTRA_4Q13</vt:lpstr>
      <vt:lpstr>EXTRA_4Q13</vt:lpstr>
      <vt:lpstr>Tags!EXTRA_4Q14</vt:lpstr>
      <vt:lpstr>EXTRA_4Q14</vt:lpstr>
      <vt:lpstr>Tags!EXTRA_4Q15</vt:lpstr>
      <vt:lpstr>EXTRA_4Q15</vt:lpstr>
      <vt:lpstr>Tags!EXTRA_4Q16</vt:lpstr>
      <vt:lpstr>EXTRA_4Q16</vt:lpstr>
      <vt:lpstr>Tags!EXTRA_4Q17</vt:lpstr>
      <vt:lpstr>EXTRA_4Q17</vt:lpstr>
      <vt:lpstr>Tags!EXTRA_4Q18</vt:lpstr>
      <vt:lpstr>EXTRA_4Q18</vt:lpstr>
      <vt:lpstr>Tags!EXTRA_4Q19</vt:lpstr>
      <vt:lpstr>EXTRA_4Q19</vt:lpstr>
      <vt:lpstr>Tags!EXTRA_4Q20</vt:lpstr>
      <vt:lpstr>EXTRA_4Q20</vt:lpstr>
      <vt:lpstr>EXTRA_4Q21</vt:lpstr>
      <vt:lpstr>EXTRA_4Q22</vt:lpstr>
      <vt:lpstr>EXTRA_4Q23</vt:lpstr>
      <vt:lpstr>EXTRA_4Q24</vt:lpstr>
      <vt:lpstr>FCF_Inc_Dec_In_Equity_1995</vt:lpstr>
      <vt:lpstr>FCF_Inc_Dec_In_Equity_1996</vt:lpstr>
      <vt:lpstr>FCF_Inc_Dec_In_Equity_1997</vt:lpstr>
      <vt:lpstr>FCF_Inc_Dec_In_Equity_1998</vt:lpstr>
      <vt:lpstr>FCF_Inc_Dec_In_Equity_1999</vt:lpstr>
      <vt:lpstr>Tags!FCF_INC_DEC_IN_EQUITY_1Q00</vt:lpstr>
      <vt:lpstr>FCF_Inc_Dec_In_Equity_1Q00</vt:lpstr>
      <vt:lpstr>Tags!FCF_INC_DEC_IN_EQUITY_1Q01</vt:lpstr>
      <vt:lpstr>FCF_Inc_Dec_In_Equity_1Q01</vt:lpstr>
      <vt:lpstr>Tags!FCF_INC_DEC_IN_EQUITY_1Q02</vt:lpstr>
      <vt:lpstr>FCF_Inc_Dec_In_Equity_1Q02</vt:lpstr>
      <vt:lpstr>Tags!FCF_INC_DEC_IN_EQUITY_1Q03</vt:lpstr>
      <vt:lpstr>FCF_Inc_Dec_In_Equity_1Q03</vt:lpstr>
      <vt:lpstr>Tags!FCF_INC_DEC_IN_EQUITY_1Q04</vt:lpstr>
      <vt:lpstr>FCF_Inc_Dec_In_Equity_1Q04</vt:lpstr>
      <vt:lpstr>Tags!FCF_INC_DEC_IN_EQUITY_1Q05</vt:lpstr>
      <vt:lpstr>FCF_Inc_Dec_In_Equity_1Q05</vt:lpstr>
      <vt:lpstr>Tags!FCF_INC_DEC_IN_EQUITY_1Q06</vt:lpstr>
      <vt:lpstr>FCF_Inc_Dec_In_Equity_1Q06</vt:lpstr>
      <vt:lpstr>Tags!FCF_INC_DEC_IN_EQUITY_1Q07</vt:lpstr>
      <vt:lpstr>FCF_Inc_Dec_In_Equity_1Q07</vt:lpstr>
      <vt:lpstr>Tags!FCF_INC_DEC_IN_EQUITY_1Q08</vt:lpstr>
      <vt:lpstr>FCF_Inc_Dec_In_Equity_1Q08</vt:lpstr>
      <vt:lpstr>Tags!FCF_INC_DEC_IN_EQUITY_1Q09</vt:lpstr>
      <vt:lpstr>FCF_Inc_Dec_In_Equity_1Q09</vt:lpstr>
      <vt:lpstr>Tags!FCF_INC_DEC_IN_EQUITY_1Q10</vt:lpstr>
      <vt:lpstr>FCF_Inc_Dec_In_Equity_1Q10</vt:lpstr>
      <vt:lpstr>Tags!FCF_INC_DEC_IN_EQUITY_1Q11</vt:lpstr>
      <vt:lpstr>FCF_Inc_Dec_In_Equity_1Q11</vt:lpstr>
      <vt:lpstr>Tags!FCF_INC_DEC_IN_EQUITY_1Q12</vt:lpstr>
      <vt:lpstr>FCF_Inc_Dec_In_Equity_1Q12</vt:lpstr>
      <vt:lpstr>Tags!FCF_INC_DEC_IN_EQUITY_1Q13</vt:lpstr>
      <vt:lpstr>FCF_Inc_Dec_In_Equity_1Q13</vt:lpstr>
      <vt:lpstr>Tags!FCF_INC_DEC_IN_EQUITY_1Q14</vt:lpstr>
      <vt:lpstr>FCF_Inc_Dec_In_Equity_1Q14</vt:lpstr>
      <vt:lpstr>Tags!FCF_INC_DEC_IN_EQUITY_1Q15</vt:lpstr>
      <vt:lpstr>FCF_Inc_Dec_In_Equity_1Q15</vt:lpstr>
      <vt:lpstr>Tags!FCF_INC_DEC_IN_EQUITY_1Q16</vt:lpstr>
      <vt:lpstr>FCF_Inc_Dec_In_Equity_1Q16</vt:lpstr>
      <vt:lpstr>Tags!FCF_INC_DEC_IN_EQUITY_1Q17</vt:lpstr>
      <vt:lpstr>FCF_Inc_Dec_In_Equity_1Q17</vt:lpstr>
      <vt:lpstr>Tags!FCF_INC_DEC_IN_EQUITY_1Q18</vt:lpstr>
      <vt:lpstr>FCF_Inc_Dec_In_Equity_1Q18</vt:lpstr>
      <vt:lpstr>Tags!FCF_INC_DEC_IN_EQUITY_1Q19</vt:lpstr>
      <vt:lpstr>FCF_Inc_Dec_In_Equity_1Q19</vt:lpstr>
      <vt:lpstr>Tags!FCF_INC_DEC_IN_EQUITY_1Q20</vt:lpstr>
      <vt:lpstr>FCF_Inc_Dec_In_Equity_1Q20</vt:lpstr>
      <vt:lpstr>FCF_INC_DEC_IN_EQUITY_1Q21</vt:lpstr>
      <vt:lpstr>FCF_INC_DEC_IN_EQUITY_1Q22</vt:lpstr>
      <vt:lpstr>FCF_INC_DEC_IN_EQUITY_1Q23</vt:lpstr>
      <vt:lpstr>FCF_INC_DEC_IN_EQUITY_1Q24</vt:lpstr>
      <vt:lpstr>Tags!FCF_INC_DEC_IN_EQUITY_2000</vt:lpstr>
      <vt:lpstr>FCF_Inc_Dec_In_Equity_2000</vt:lpstr>
      <vt:lpstr>Tags!FCF_INC_DEC_IN_EQUITY_2001</vt:lpstr>
      <vt:lpstr>FCF_Inc_Dec_In_Equity_2001</vt:lpstr>
      <vt:lpstr>Tags!FCF_INC_DEC_IN_EQUITY_2002</vt:lpstr>
      <vt:lpstr>FCF_Inc_Dec_In_Equity_2002</vt:lpstr>
      <vt:lpstr>Tags!FCF_INC_DEC_IN_EQUITY_2003</vt:lpstr>
      <vt:lpstr>FCF_Inc_Dec_In_Equity_2003</vt:lpstr>
      <vt:lpstr>Tags!FCF_INC_DEC_IN_EQUITY_2004</vt:lpstr>
      <vt:lpstr>FCF_Inc_Dec_In_Equity_2004</vt:lpstr>
      <vt:lpstr>Tags!FCF_INC_DEC_IN_EQUITY_2005</vt:lpstr>
      <vt:lpstr>FCF_Inc_Dec_In_Equity_2005</vt:lpstr>
      <vt:lpstr>Tags!FCF_INC_DEC_IN_EQUITY_2006</vt:lpstr>
      <vt:lpstr>FCF_Inc_Dec_In_Equity_2006</vt:lpstr>
      <vt:lpstr>Tags!FCF_INC_DEC_IN_EQUITY_2007</vt:lpstr>
      <vt:lpstr>FCF_Inc_Dec_In_Equity_2007</vt:lpstr>
      <vt:lpstr>Tags!FCF_INC_DEC_IN_EQUITY_2008</vt:lpstr>
      <vt:lpstr>FCF_Inc_Dec_In_Equity_2008</vt:lpstr>
      <vt:lpstr>Tags!FCF_INC_DEC_IN_EQUITY_2009</vt:lpstr>
      <vt:lpstr>FCF_Inc_Dec_In_Equity_2009</vt:lpstr>
      <vt:lpstr>Tags!FCF_INC_DEC_IN_EQUITY_2010</vt:lpstr>
      <vt:lpstr>FCF_Inc_Dec_In_Equity_2010</vt:lpstr>
      <vt:lpstr>Tags!FCF_INC_DEC_IN_EQUITY_2011</vt:lpstr>
      <vt:lpstr>FCF_Inc_Dec_In_Equity_2011</vt:lpstr>
      <vt:lpstr>Tags!FCF_INC_DEC_IN_EQUITY_2012</vt:lpstr>
      <vt:lpstr>FCF_Inc_Dec_In_Equity_2012</vt:lpstr>
      <vt:lpstr>Tags!FCF_INC_DEC_IN_EQUITY_2013</vt:lpstr>
      <vt:lpstr>FCF_Inc_Dec_In_Equity_2013</vt:lpstr>
      <vt:lpstr>Tags!FCF_INC_DEC_IN_EQUITY_2014</vt:lpstr>
      <vt:lpstr>FCF_Inc_Dec_In_Equity_2014</vt:lpstr>
      <vt:lpstr>FCF_Inc_Dec_In_Equity_2015</vt:lpstr>
      <vt:lpstr>Tags!FCF_INC_DEC_IN_EQUITY_2016</vt:lpstr>
      <vt:lpstr>FCF_Inc_Dec_In_Equity_2016</vt:lpstr>
      <vt:lpstr>Tags!FCF_INC_DEC_IN_EQUITY_2017</vt:lpstr>
      <vt:lpstr>FCF_Inc_Dec_In_Equity_2017</vt:lpstr>
      <vt:lpstr>Tags!FCF_INC_DEC_IN_EQUITY_2018</vt:lpstr>
      <vt:lpstr>FCF_Inc_Dec_In_Equity_2018</vt:lpstr>
      <vt:lpstr>Tags!FCF_INC_DEC_IN_EQUITY_2019</vt:lpstr>
      <vt:lpstr>FCF_Inc_Dec_In_Equity_2019</vt:lpstr>
      <vt:lpstr>Tags!FCF_INC_DEC_IN_EQUITY_2020</vt:lpstr>
      <vt:lpstr>FCF_Inc_Dec_In_Equity_2020</vt:lpstr>
      <vt:lpstr>FCF_INC_DEC_IN_EQUITY_2021</vt:lpstr>
      <vt:lpstr>FCF_INC_DEC_IN_EQUITY_2022</vt:lpstr>
      <vt:lpstr>FCF_INC_DEC_IN_EQUITY_2023</vt:lpstr>
      <vt:lpstr>FCF_INC_DEC_IN_EQUITY_2024</vt:lpstr>
      <vt:lpstr>Tags!FCF_INC_DEC_IN_EQUITY_2Q00</vt:lpstr>
      <vt:lpstr>FCF_Inc_Dec_In_Equity_2Q00</vt:lpstr>
      <vt:lpstr>Tags!FCF_INC_DEC_IN_EQUITY_2Q01</vt:lpstr>
      <vt:lpstr>FCF_Inc_Dec_In_Equity_2Q01</vt:lpstr>
      <vt:lpstr>Tags!FCF_INC_DEC_IN_EQUITY_2Q02</vt:lpstr>
      <vt:lpstr>FCF_Inc_Dec_In_Equity_2Q02</vt:lpstr>
      <vt:lpstr>Tags!FCF_INC_DEC_IN_EQUITY_2Q03</vt:lpstr>
      <vt:lpstr>FCF_Inc_Dec_In_Equity_2Q03</vt:lpstr>
      <vt:lpstr>Tags!FCF_INC_DEC_IN_EQUITY_2Q04</vt:lpstr>
      <vt:lpstr>FCF_Inc_Dec_In_Equity_2Q04</vt:lpstr>
      <vt:lpstr>Tags!FCF_INC_DEC_IN_EQUITY_2Q05</vt:lpstr>
      <vt:lpstr>FCF_Inc_Dec_In_Equity_2Q05</vt:lpstr>
      <vt:lpstr>Tags!FCF_INC_DEC_IN_EQUITY_2Q06</vt:lpstr>
      <vt:lpstr>FCF_Inc_Dec_In_Equity_2Q06</vt:lpstr>
      <vt:lpstr>Tags!FCF_INC_DEC_IN_EQUITY_2Q07</vt:lpstr>
      <vt:lpstr>FCF_Inc_Dec_In_Equity_2Q07</vt:lpstr>
      <vt:lpstr>Tags!FCF_INC_DEC_IN_EQUITY_2Q08</vt:lpstr>
      <vt:lpstr>FCF_Inc_Dec_In_Equity_2Q08</vt:lpstr>
      <vt:lpstr>Tags!FCF_INC_DEC_IN_EQUITY_2Q09</vt:lpstr>
      <vt:lpstr>FCF_Inc_Dec_In_Equity_2Q09</vt:lpstr>
      <vt:lpstr>Tags!FCF_INC_DEC_IN_EQUITY_2Q10</vt:lpstr>
      <vt:lpstr>FCF_Inc_Dec_In_Equity_2Q10</vt:lpstr>
      <vt:lpstr>Tags!FCF_INC_DEC_IN_EQUITY_2Q11</vt:lpstr>
      <vt:lpstr>FCF_Inc_Dec_In_Equity_2Q11</vt:lpstr>
      <vt:lpstr>Tags!FCF_INC_DEC_IN_EQUITY_2Q12</vt:lpstr>
      <vt:lpstr>FCF_Inc_Dec_In_Equity_2Q12</vt:lpstr>
      <vt:lpstr>Tags!FCF_INC_DEC_IN_EQUITY_2Q13</vt:lpstr>
      <vt:lpstr>FCF_Inc_Dec_In_Equity_2Q13</vt:lpstr>
      <vt:lpstr>Tags!FCF_INC_DEC_IN_EQUITY_2Q14</vt:lpstr>
      <vt:lpstr>FCF_Inc_Dec_In_Equity_2Q14</vt:lpstr>
      <vt:lpstr>Tags!FCF_INC_DEC_IN_EQUITY_2Q15</vt:lpstr>
      <vt:lpstr>FCF_Inc_Dec_In_Equity_2Q15</vt:lpstr>
      <vt:lpstr>Tags!FCF_INC_DEC_IN_EQUITY_2Q16</vt:lpstr>
      <vt:lpstr>FCF_Inc_Dec_In_Equity_2Q16</vt:lpstr>
      <vt:lpstr>Tags!FCF_INC_DEC_IN_EQUITY_2Q17</vt:lpstr>
      <vt:lpstr>FCF_Inc_Dec_In_Equity_2Q17</vt:lpstr>
      <vt:lpstr>Tags!FCF_INC_DEC_IN_EQUITY_2Q18</vt:lpstr>
      <vt:lpstr>FCF_Inc_Dec_In_Equity_2Q18</vt:lpstr>
      <vt:lpstr>Tags!FCF_INC_DEC_IN_EQUITY_2Q19</vt:lpstr>
      <vt:lpstr>FCF_Inc_Dec_In_Equity_2Q19</vt:lpstr>
      <vt:lpstr>Tags!FCF_INC_DEC_IN_EQUITY_2Q20</vt:lpstr>
      <vt:lpstr>FCF_Inc_Dec_In_Equity_2Q20</vt:lpstr>
      <vt:lpstr>FCF_INC_DEC_IN_EQUITY_2Q21</vt:lpstr>
      <vt:lpstr>FCF_INC_DEC_IN_EQUITY_2Q22</vt:lpstr>
      <vt:lpstr>FCF_INC_DEC_IN_EQUITY_2Q23</vt:lpstr>
      <vt:lpstr>FCF_INC_DEC_IN_EQUITY_2Q24</vt:lpstr>
      <vt:lpstr>Tags!FCF_INC_DEC_IN_EQUITY_3Q00</vt:lpstr>
      <vt:lpstr>FCF_Inc_Dec_In_Equity_3Q00</vt:lpstr>
      <vt:lpstr>Tags!FCF_INC_DEC_IN_EQUITY_3Q01</vt:lpstr>
      <vt:lpstr>FCF_Inc_Dec_In_Equity_3Q01</vt:lpstr>
      <vt:lpstr>Tags!FCF_INC_DEC_IN_EQUITY_3Q02</vt:lpstr>
      <vt:lpstr>FCF_Inc_Dec_In_Equity_3Q02</vt:lpstr>
      <vt:lpstr>Tags!FCF_INC_DEC_IN_EQUITY_3Q03</vt:lpstr>
      <vt:lpstr>FCF_Inc_Dec_In_Equity_3Q03</vt:lpstr>
      <vt:lpstr>Tags!FCF_INC_DEC_IN_EQUITY_3Q04</vt:lpstr>
      <vt:lpstr>FCF_Inc_Dec_In_Equity_3Q04</vt:lpstr>
      <vt:lpstr>Tags!FCF_INC_DEC_IN_EQUITY_3Q05</vt:lpstr>
      <vt:lpstr>FCF_Inc_Dec_In_Equity_3Q05</vt:lpstr>
      <vt:lpstr>Tags!FCF_INC_DEC_IN_EQUITY_3Q06</vt:lpstr>
      <vt:lpstr>FCF_Inc_Dec_In_Equity_3Q06</vt:lpstr>
      <vt:lpstr>Tags!FCF_INC_DEC_IN_EQUITY_3Q07</vt:lpstr>
      <vt:lpstr>FCF_Inc_Dec_In_Equity_3Q07</vt:lpstr>
      <vt:lpstr>Tags!FCF_INC_DEC_IN_EQUITY_3Q08</vt:lpstr>
      <vt:lpstr>FCF_Inc_Dec_In_Equity_3Q08</vt:lpstr>
      <vt:lpstr>Tags!FCF_INC_DEC_IN_EQUITY_3Q09</vt:lpstr>
      <vt:lpstr>FCF_Inc_Dec_In_Equity_3Q09</vt:lpstr>
      <vt:lpstr>Tags!FCF_INC_DEC_IN_EQUITY_3Q10</vt:lpstr>
      <vt:lpstr>FCF_Inc_Dec_In_Equity_3Q10</vt:lpstr>
      <vt:lpstr>Tags!FCF_INC_DEC_IN_EQUITY_3Q11</vt:lpstr>
      <vt:lpstr>FCF_Inc_Dec_In_Equity_3Q11</vt:lpstr>
      <vt:lpstr>Tags!FCF_INC_DEC_IN_EQUITY_3Q12</vt:lpstr>
      <vt:lpstr>FCF_Inc_Dec_In_Equity_3Q12</vt:lpstr>
      <vt:lpstr>Tags!FCF_INC_DEC_IN_EQUITY_3Q13</vt:lpstr>
      <vt:lpstr>FCF_Inc_Dec_In_Equity_3Q13</vt:lpstr>
      <vt:lpstr>Tags!FCF_INC_DEC_IN_EQUITY_3Q14</vt:lpstr>
      <vt:lpstr>FCF_Inc_Dec_In_Equity_3Q14</vt:lpstr>
      <vt:lpstr>Tags!FCF_INC_DEC_IN_EQUITY_3Q15</vt:lpstr>
      <vt:lpstr>FCF_Inc_Dec_In_Equity_3Q15</vt:lpstr>
      <vt:lpstr>Tags!FCF_INC_DEC_IN_EQUITY_3Q16</vt:lpstr>
      <vt:lpstr>FCF_Inc_Dec_In_Equity_3Q16</vt:lpstr>
      <vt:lpstr>Tags!FCF_INC_DEC_IN_EQUITY_3Q17</vt:lpstr>
      <vt:lpstr>FCF_Inc_Dec_In_Equity_3Q17</vt:lpstr>
      <vt:lpstr>Tags!FCF_INC_DEC_IN_EQUITY_3Q18</vt:lpstr>
      <vt:lpstr>FCF_Inc_Dec_In_Equity_3Q18</vt:lpstr>
      <vt:lpstr>Tags!FCF_INC_DEC_IN_EQUITY_3Q19</vt:lpstr>
      <vt:lpstr>FCF_Inc_Dec_In_Equity_3Q19</vt:lpstr>
      <vt:lpstr>Tags!FCF_INC_DEC_IN_EQUITY_3Q20</vt:lpstr>
      <vt:lpstr>FCF_Inc_Dec_In_Equity_3Q20</vt:lpstr>
      <vt:lpstr>FCF_INC_DEC_IN_EQUITY_3Q21</vt:lpstr>
      <vt:lpstr>FCF_INC_DEC_IN_EQUITY_3Q22</vt:lpstr>
      <vt:lpstr>FCF_INC_DEC_IN_EQUITY_3Q23</vt:lpstr>
      <vt:lpstr>FCF_INC_DEC_IN_EQUITY_3Q24</vt:lpstr>
      <vt:lpstr>Tags!FCF_INC_DEC_IN_EQUITY_4Q00</vt:lpstr>
      <vt:lpstr>FCF_Inc_Dec_In_Equity_4Q00</vt:lpstr>
      <vt:lpstr>Tags!FCF_INC_DEC_IN_EQUITY_4Q01</vt:lpstr>
      <vt:lpstr>FCF_Inc_Dec_In_Equity_4Q01</vt:lpstr>
      <vt:lpstr>Tags!FCF_INC_DEC_IN_EQUITY_4Q02</vt:lpstr>
      <vt:lpstr>FCF_Inc_Dec_In_Equity_4Q02</vt:lpstr>
      <vt:lpstr>Tags!FCF_INC_DEC_IN_EQUITY_4Q03</vt:lpstr>
      <vt:lpstr>FCF_Inc_Dec_In_Equity_4Q03</vt:lpstr>
      <vt:lpstr>Tags!FCF_INC_DEC_IN_EQUITY_4Q04</vt:lpstr>
      <vt:lpstr>FCF_Inc_Dec_In_Equity_4Q04</vt:lpstr>
      <vt:lpstr>Tags!FCF_INC_DEC_IN_EQUITY_4Q05</vt:lpstr>
      <vt:lpstr>FCF_Inc_Dec_In_Equity_4Q05</vt:lpstr>
      <vt:lpstr>Tags!FCF_INC_DEC_IN_EQUITY_4Q06</vt:lpstr>
      <vt:lpstr>FCF_Inc_Dec_In_Equity_4Q06</vt:lpstr>
      <vt:lpstr>Tags!FCF_INC_DEC_IN_EQUITY_4Q07</vt:lpstr>
      <vt:lpstr>FCF_Inc_Dec_In_Equity_4Q07</vt:lpstr>
      <vt:lpstr>Tags!FCF_INC_DEC_IN_EQUITY_4Q08</vt:lpstr>
      <vt:lpstr>FCF_Inc_Dec_In_Equity_4Q08</vt:lpstr>
      <vt:lpstr>Tags!FCF_INC_DEC_IN_EQUITY_4Q09</vt:lpstr>
      <vt:lpstr>FCF_Inc_Dec_In_Equity_4Q09</vt:lpstr>
      <vt:lpstr>Tags!FCF_INC_DEC_IN_EQUITY_4Q10</vt:lpstr>
      <vt:lpstr>FCF_Inc_Dec_In_Equity_4Q10</vt:lpstr>
      <vt:lpstr>Tags!FCF_INC_DEC_IN_EQUITY_4Q11</vt:lpstr>
      <vt:lpstr>FCF_Inc_Dec_In_Equity_4Q11</vt:lpstr>
      <vt:lpstr>Tags!FCF_INC_DEC_IN_EQUITY_4Q12</vt:lpstr>
      <vt:lpstr>FCF_Inc_Dec_In_Equity_4Q12</vt:lpstr>
      <vt:lpstr>Tags!FCF_INC_DEC_IN_EQUITY_4Q13</vt:lpstr>
      <vt:lpstr>FCF_Inc_Dec_In_Equity_4Q13</vt:lpstr>
      <vt:lpstr>Tags!FCF_INC_DEC_IN_EQUITY_4Q14</vt:lpstr>
      <vt:lpstr>FCF_Inc_Dec_In_Equity_4Q14</vt:lpstr>
      <vt:lpstr>Tags!FCF_INC_DEC_IN_EQUITY_4Q15</vt:lpstr>
      <vt:lpstr>FCF_Inc_Dec_In_Equity_4Q15</vt:lpstr>
      <vt:lpstr>Tags!FCF_INC_DEC_IN_EQUITY_4Q16</vt:lpstr>
      <vt:lpstr>FCF_Inc_Dec_In_Equity_4Q16</vt:lpstr>
      <vt:lpstr>Tags!FCF_INC_DEC_IN_EQUITY_4Q17</vt:lpstr>
      <vt:lpstr>FCF_Inc_Dec_In_Equity_4Q17</vt:lpstr>
      <vt:lpstr>Tags!FCF_INC_DEC_IN_EQUITY_4Q18</vt:lpstr>
      <vt:lpstr>FCF_Inc_Dec_In_Equity_4Q18</vt:lpstr>
      <vt:lpstr>Tags!FCF_INC_DEC_IN_EQUITY_4Q19</vt:lpstr>
      <vt:lpstr>FCF_Inc_Dec_In_Equity_4Q19</vt:lpstr>
      <vt:lpstr>Tags!FCF_INC_DEC_IN_EQUITY_4Q20</vt:lpstr>
      <vt:lpstr>FCF_Inc_Dec_In_Equity_4Q20</vt:lpstr>
      <vt:lpstr>FCF_INC_DEC_IN_EQUITY_4Q21</vt:lpstr>
      <vt:lpstr>FCF_INC_DEC_IN_EQUITY_4Q22</vt:lpstr>
      <vt:lpstr>FCF_INC_DEC_IN_EQUITY_4Q23</vt:lpstr>
      <vt:lpstr>FCF_INC_DEC_IN_EQUITY_4Q24</vt:lpstr>
      <vt:lpstr>FXAVERAGE_1995</vt:lpstr>
      <vt:lpstr>FXAVERAGE_1996</vt:lpstr>
      <vt:lpstr>FXAVERAGE_1997</vt:lpstr>
      <vt:lpstr>FXAVERAGE_1998</vt:lpstr>
      <vt:lpstr>FXAVERAGE_1999</vt:lpstr>
      <vt:lpstr>Tags!FXAVERAGE_1Q00</vt:lpstr>
      <vt:lpstr>FXAVERAGE_1Q00</vt:lpstr>
      <vt:lpstr>Tags!FXAVERAGE_1Q01</vt:lpstr>
      <vt:lpstr>FXAVERAGE_1Q01</vt:lpstr>
      <vt:lpstr>Tags!FXAVERAGE_1Q02</vt:lpstr>
      <vt:lpstr>FXAVERAGE_1Q02</vt:lpstr>
      <vt:lpstr>Tags!FXAVERAGE_1Q03</vt:lpstr>
      <vt:lpstr>FXAVERAGE_1Q03</vt:lpstr>
      <vt:lpstr>Tags!FXAVERAGE_1Q04</vt:lpstr>
      <vt:lpstr>FXAVERAGE_1Q04</vt:lpstr>
      <vt:lpstr>Tags!FXAVERAGE_1Q05</vt:lpstr>
      <vt:lpstr>FXAVERAGE_1Q05</vt:lpstr>
      <vt:lpstr>Tags!FXAVERAGE_1Q06</vt:lpstr>
      <vt:lpstr>FXAVERAGE_1Q06</vt:lpstr>
      <vt:lpstr>Tags!FXAVERAGE_1Q07</vt:lpstr>
      <vt:lpstr>FXAVERAGE_1Q07</vt:lpstr>
      <vt:lpstr>Tags!FXAVERAGE_1Q08</vt:lpstr>
      <vt:lpstr>FXAVERAGE_1Q08</vt:lpstr>
      <vt:lpstr>Tags!FXAVERAGE_1Q09</vt:lpstr>
      <vt:lpstr>FXAVERAGE_1Q09</vt:lpstr>
      <vt:lpstr>Tags!FXAVERAGE_1Q10</vt:lpstr>
      <vt:lpstr>FXAVERAGE_1Q10</vt:lpstr>
      <vt:lpstr>Tags!FXAVERAGE_1Q11</vt:lpstr>
      <vt:lpstr>FXAVERAGE_1Q11</vt:lpstr>
      <vt:lpstr>Tags!FXAVERAGE_1Q12</vt:lpstr>
      <vt:lpstr>FXAVERAGE_1Q12</vt:lpstr>
      <vt:lpstr>Tags!FXAVERAGE_1Q13</vt:lpstr>
      <vt:lpstr>FXAVERAGE_1Q13</vt:lpstr>
      <vt:lpstr>Tags!FXAVERAGE_1Q14</vt:lpstr>
      <vt:lpstr>FXAVERAGE_1Q14</vt:lpstr>
      <vt:lpstr>Tags!FXAVERAGE_1Q15</vt:lpstr>
      <vt:lpstr>FXAVERAGE_1Q15</vt:lpstr>
      <vt:lpstr>Tags!FXAVERAGE_1Q16</vt:lpstr>
      <vt:lpstr>FXAVERAGE_1Q16</vt:lpstr>
      <vt:lpstr>Tags!FXAVERAGE_1Q17</vt:lpstr>
      <vt:lpstr>FXAVERAGE_1Q17</vt:lpstr>
      <vt:lpstr>Tags!FXAVERAGE_1Q18</vt:lpstr>
      <vt:lpstr>FXAVERAGE_1Q18</vt:lpstr>
      <vt:lpstr>Tags!FXAVERAGE_1Q19</vt:lpstr>
      <vt:lpstr>FXAVERAGE_1Q19</vt:lpstr>
      <vt:lpstr>Tags!FXAVERAGE_1Q20</vt:lpstr>
      <vt:lpstr>FXAVERAGE_1Q20</vt:lpstr>
      <vt:lpstr>FXAVERAGE_1Q21</vt:lpstr>
      <vt:lpstr>FXAVERAGE_1Q22</vt:lpstr>
      <vt:lpstr>FXAVERAGE_1Q23</vt:lpstr>
      <vt:lpstr>FXAVERAGE_1Q24</vt:lpstr>
      <vt:lpstr>Tags!FXAVERAGE_2000</vt:lpstr>
      <vt:lpstr>FXAVERAGE_2000</vt:lpstr>
      <vt:lpstr>Tags!FXAVERAGE_2001</vt:lpstr>
      <vt:lpstr>FXAVERAGE_2001</vt:lpstr>
      <vt:lpstr>Tags!FXAVERAGE_2002</vt:lpstr>
      <vt:lpstr>FXAVERAGE_2002</vt:lpstr>
      <vt:lpstr>Tags!FXAVERAGE_2003</vt:lpstr>
      <vt:lpstr>FXAVERAGE_2003</vt:lpstr>
      <vt:lpstr>Tags!FXAVERAGE_2004</vt:lpstr>
      <vt:lpstr>FXAVERAGE_2004</vt:lpstr>
      <vt:lpstr>Tags!FXAVERAGE_2005</vt:lpstr>
      <vt:lpstr>FXAVERAGE_2005</vt:lpstr>
      <vt:lpstr>Tags!FXAVERAGE_2006</vt:lpstr>
      <vt:lpstr>FXAVERAGE_2006</vt:lpstr>
      <vt:lpstr>Tags!FXAVERAGE_2007</vt:lpstr>
      <vt:lpstr>FXAVERAGE_2007</vt:lpstr>
      <vt:lpstr>Tags!FXAVERAGE_2008</vt:lpstr>
      <vt:lpstr>FXAVERAGE_2008</vt:lpstr>
      <vt:lpstr>Tags!FXAVERAGE_2009</vt:lpstr>
      <vt:lpstr>FXAVERAGE_2009</vt:lpstr>
      <vt:lpstr>Tags!FXAVERAGE_2010</vt:lpstr>
      <vt:lpstr>FXAVERAGE_2010</vt:lpstr>
      <vt:lpstr>Tags!FXAVERAGE_2011</vt:lpstr>
      <vt:lpstr>FXAVERAGE_2011</vt:lpstr>
      <vt:lpstr>Tags!FXAVERAGE_2012</vt:lpstr>
      <vt:lpstr>FXAVERAGE_2012</vt:lpstr>
      <vt:lpstr>Tags!FXAVERAGE_2013</vt:lpstr>
      <vt:lpstr>FXAVERAGE_2013</vt:lpstr>
      <vt:lpstr>Tags!FXAVERAGE_2014</vt:lpstr>
      <vt:lpstr>FXAVERAGE_2014</vt:lpstr>
      <vt:lpstr>FXAVERAGE_2015</vt:lpstr>
      <vt:lpstr>Tags!FXAVERAGE_2016</vt:lpstr>
      <vt:lpstr>FXAVERAGE_2016</vt:lpstr>
      <vt:lpstr>Tags!FXAVERAGE_2017</vt:lpstr>
      <vt:lpstr>FXAVERAGE_2017</vt:lpstr>
      <vt:lpstr>Tags!FXAVERAGE_2018</vt:lpstr>
      <vt:lpstr>FXAVERAGE_2018</vt:lpstr>
      <vt:lpstr>Tags!FXAVERAGE_2019</vt:lpstr>
      <vt:lpstr>FXAVERAGE_2019</vt:lpstr>
      <vt:lpstr>Tags!FXAVERAGE_2020</vt:lpstr>
      <vt:lpstr>FXAVERAGE_2020</vt:lpstr>
      <vt:lpstr>FXAVERAGE_2021</vt:lpstr>
      <vt:lpstr>FXAVERAGE_2022</vt:lpstr>
      <vt:lpstr>FXAVERAGE_2023</vt:lpstr>
      <vt:lpstr>FXAVERAGE_2024</vt:lpstr>
      <vt:lpstr>Tags!FXAVERAGE_2Q00</vt:lpstr>
      <vt:lpstr>FXAVERAGE_2Q00</vt:lpstr>
      <vt:lpstr>Tags!FXAVERAGE_2Q01</vt:lpstr>
      <vt:lpstr>FXAVERAGE_2Q01</vt:lpstr>
      <vt:lpstr>Tags!FXAVERAGE_2Q02</vt:lpstr>
      <vt:lpstr>FXAVERAGE_2Q02</vt:lpstr>
      <vt:lpstr>Tags!FXAVERAGE_2Q03</vt:lpstr>
      <vt:lpstr>FXAVERAGE_2Q03</vt:lpstr>
      <vt:lpstr>Tags!FXAVERAGE_2Q04</vt:lpstr>
      <vt:lpstr>FXAVERAGE_2Q04</vt:lpstr>
      <vt:lpstr>Tags!FXAVERAGE_2Q05</vt:lpstr>
      <vt:lpstr>FXAVERAGE_2Q05</vt:lpstr>
      <vt:lpstr>Tags!FXAVERAGE_2Q06</vt:lpstr>
      <vt:lpstr>FXAVERAGE_2Q06</vt:lpstr>
      <vt:lpstr>Tags!FXAVERAGE_2Q07</vt:lpstr>
      <vt:lpstr>FXAVERAGE_2Q07</vt:lpstr>
      <vt:lpstr>Tags!FXAVERAGE_2Q08</vt:lpstr>
      <vt:lpstr>FXAVERAGE_2Q08</vt:lpstr>
      <vt:lpstr>Tags!FXAVERAGE_2Q09</vt:lpstr>
      <vt:lpstr>FXAVERAGE_2Q09</vt:lpstr>
      <vt:lpstr>Tags!FXAVERAGE_2Q10</vt:lpstr>
      <vt:lpstr>FXAVERAGE_2Q10</vt:lpstr>
      <vt:lpstr>Tags!FXAVERAGE_2Q11</vt:lpstr>
      <vt:lpstr>FXAVERAGE_2Q11</vt:lpstr>
      <vt:lpstr>Tags!FXAVERAGE_2Q12</vt:lpstr>
      <vt:lpstr>FXAVERAGE_2Q12</vt:lpstr>
      <vt:lpstr>Tags!FXAVERAGE_2Q13</vt:lpstr>
      <vt:lpstr>FXAVERAGE_2Q13</vt:lpstr>
      <vt:lpstr>Tags!FXAVERAGE_2Q14</vt:lpstr>
      <vt:lpstr>FXAVERAGE_2Q14</vt:lpstr>
      <vt:lpstr>Tags!FXAVERAGE_2Q15</vt:lpstr>
      <vt:lpstr>FXAVERAGE_2Q15</vt:lpstr>
      <vt:lpstr>Tags!FXAVERAGE_2Q16</vt:lpstr>
      <vt:lpstr>FXAVERAGE_2Q16</vt:lpstr>
      <vt:lpstr>Tags!FXAVERAGE_2Q17</vt:lpstr>
      <vt:lpstr>FXAVERAGE_2Q17</vt:lpstr>
      <vt:lpstr>Tags!FXAVERAGE_2Q18</vt:lpstr>
      <vt:lpstr>FXAVERAGE_2Q18</vt:lpstr>
      <vt:lpstr>Tags!FXAVERAGE_2Q19</vt:lpstr>
      <vt:lpstr>FXAVERAGE_2Q19</vt:lpstr>
      <vt:lpstr>Tags!FXAVERAGE_2Q20</vt:lpstr>
      <vt:lpstr>FXAVERAGE_2Q20</vt:lpstr>
      <vt:lpstr>FXAVERAGE_2Q21</vt:lpstr>
      <vt:lpstr>FXAVERAGE_2Q22</vt:lpstr>
      <vt:lpstr>FXAVERAGE_2Q23</vt:lpstr>
      <vt:lpstr>FXAVERAGE_2Q24</vt:lpstr>
      <vt:lpstr>Tags!FXAVERAGE_3Q00</vt:lpstr>
      <vt:lpstr>FXAVERAGE_3Q00</vt:lpstr>
      <vt:lpstr>Tags!FXAVERAGE_3Q01</vt:lpstr>
      <vt:lpstr>FXAVERAGE_3Q01</vt:lpstr>
      <vt:lpstr>Tags!FXAVERAGE_3Q02</vt:lpstr>
      <vt:lpstr>FXAVERAGE_3Q02</vt:lpstr>
      <vt:lpstr>Tags!FXAVERAGE_3Q03</vt:lpstr>
      <vt:lpstr>FXAVERAGE_3Q03</vt:lpstr>
      <vt:lpstr>Tags!FXAVERAGE_3Q04</vt:lpstr>
      <vt:lpstr>FXAVERAGE_3Q04</vt:lpstr>
      <vt:lpstr>Tags!FXAVERAGE_3Q05</vt:lpstr>
      <vt:lpstr>FXAVERAGE_3Q05</vt:lpstr>
      <vt:lpstr>Tags!FXAVERAGE_3Q06</vt:lpstr>
      <vt:lpstr>FXAVERAGE_3Q06</vt:lpstr>
      <vt:lpstr>Tags!FXAVERAGE_3Q07</vt:lpstr>
      <vt:lpstr>FXAVERAGE_3Q07</vt:lpstr>
      <vt:lpstr>Tags!FXAVERAGE_3Q08</vt:lpstr>
      <vt:lpstr>FXAVERAGE_3Q08</vt:lpstr>
      <vt:lpstr>Tags!FXAVERAGE_3Q09</vt:lpstr>
      <vt:lpstr>FXAVERAGE_3Q09</vt:lpstr>
      <vt:lpstr>Tags!FXAVERAGE_3Q10</vt:lpstr>
      <vt:lpstr>FXAVERAGE_3Q10</vt:lpstr>
      <vt:lpstr>Tags!FXAVERAGE_3Q11</vt:lpstr>
      <vt:lpstr>FXAVERAGE_3Q11</vt:lpstr>
      <vt:lpstr>Tags!FXAVERAGE_3Q12</vt:lpstr>
      <vt:lpstr>FXAVERAGE_3Q12</vt:lpstr>
      <vt:lpstr>Tags!FXAVERAGE_3Q13</vt:lpstr>
      <vt:lpstr>FXAVERAGE_3Q13</vt:lpstr>
      <vt:lpstr>Tags!FXAVERAGE_3Q14</vt:lpstr>
      <vt:lpstr>FXAVERAGE_3Q14</vt:lpstr>
      <vt:lpstr>Tags!FXAVERAGE_3Q15</vt:lpstr>
      <vt:lpstr>FXAVERAGE_3Q15</vt:lpstr>
      <vt:lpstr>Tags!FXAVERAGE_3Q16</vt:lpstr>
      <vt:lpstr>FXAVERAGE_3Q16</vt:lpstr>
      <vt:lpstr>Tags!FXAVERAGE_3Q17</vt:lpstr>
      <vt:lpstr>FXAVERAGE_3Q17</vt:lpstr>
      <vt:lpstr>Tags!FXAVERAGE_3Q18</vt:lpstr>
      <vt:lpstr>FXAVERAGE_3Q18</vt:lpstr>
      <vt:lpstr>Tags!FXAVERAGE_3Q19</vt:lpstr>
      <vt:lpstr>FXAVERAGE_3Q19</vt:lpstr>
      <vt:lpstr>Tags!FXAVERAGE_3Q20</vt:lpstr>
      <vt:lpstr>FXAVERAGE_3Q20</vt:lpstr>
      <vt:lpstr>FXAVERAGE_3Q21</vt:lpstr>
      <vt:lpstr>FXAVERAGE_3Q22</vt:lpstr>
      <vt:lpstr>FXAVERAGE_3Q23</vt:lpstr>
      <vt:lpstr>FXAVERAGE_3Q24</vt:lpstr>
      <vt:lpstr>Tags!FXAVERAGE_4Q00</vt:lpstr>
      <vt:lpstr>FXAVERAGE_4Q00</vt:lpstr>
      <vt:lpstr>Tags!FXAVERAGE_4Q01</vt:lpstr>
      <vt:lpstr>FXAVERAGE_4Q01</vt:lpstr>
      <vt:lpstr>Tags!FXAVERAGE_4Q02</vt:lpstr>
      <vt:lpstr>FXAVERAGE_4Q02</vt:lpstr>
      <vt:lpstr>Tags!FXAVERAGE_4Q03</vt:lpstr>
      <vt:lpstr>FXAVERAGE_4Q03</vt:lpstr>
      <vt:lpstr>Tags!FXAVERAGE_4Q04</vt:lpstr>
      <vt:lpstr>FXAVERAGE_4Q04</vt:lpstr>
      <vt:lpstr>Tags!FXAVERAGE_4Q05</vt:lpstr>
      <vt:lpstr>FXAVERAGE_4Q05</vt:lpstr>
      <vt:lpstr>Tags!FXAVERAGE_4Q06</vt:lpstr>
      <vt:lpstr>FXAVERAGE_4Q06</vt:lpstr>
      <vt:lpstr>Tags!FXAVERAGE_4Q07</vt:lpstr>
      <vt:lpstr>FXAVERAGE_4Q07</vt:lpstr>
      <vt:lpstr>Tags!FXAVERAGE_4Q08</vt:lpstr>
      <vt:lpstr>FXAVERAGE_4Q08</vt:lpstr>
      <vt:lpstr>Tags!FXAVERAGE_4Q09</vt:lpstr>
      <vt:lpstr>FXAVERAGE_4Q09</vt:lpstr>
      <vt:lpstr>Tags!FXAVERAGE_4Q10</vt:lpstr>
      <vt:lpstr>FXAVERAGE_4Q10</vt:lpstr>
      <vt:lpstr>Tags!FXAVERAGE_4Q11</vt:lpstr>
      <vt:lpstr>FXAVERAGE_4Q11</vt:lpstr>
      <vt:lpstr>Tags!FXAVERAGE_4Q12</vt:lpstr>
      <vt:lpstr>FXAVERAGE_4Q12</vt:lpstr>
      <vt:lpstr>Tags!FXAVERAGE_4Q13</vt:lpstr>
      <vt:lpstr>FXAVERAGE_4Q13</vt:lpstr>
      <vt:lpstr>Tags!FXAVERAGE_4Q14</vt:lpstr>
      <vt:lpstr>FXAVERAGE_4Q14</vt:lpstr>
      <vt:lpstr>Tags!FXAVERAGE_4Q15</vt:lpstr>
      <vt:lpstr>FXAVERAGE_4Q15</vt:lpstr>
      <vt:lpstr>Tags!FXAVERAGE_4Q16</vt:lpstr>
      <vt:lpstr>FXAVERAGE_4Q16</vt:lpstr>
      <vt:lpstr>Tags!FXAVERAGE_4Q17</vt:lpstr>
      <vt:lpstr>FXAVERAGE_4Q17</vt:lpstr>
      <vt:lpstr>Tags!FXAVERAGE_4Q18</vt:lpstr>
      <vt:lpstr>FXAVERAGE_4Q18</vt:lpstr>
      <vt:lpstr>Tags!FXAVERAGE_4Q19</vt:lpstr>
      <vt:lpstr>FXAVERAGE_4Q19</vt:lpstr>
      <vt:lpstr>Tags!FXAVERAGE_4Q20</vt:lpstr>
      <vt:lpstr>FXAVERAGE_4Q20</vt:lpstr>
      <vt:lpstr>FXAVERAGE_4Q21</vt:lpstr>
      <vt:lpstr>FXAVERAGE_4Q22</vt:lpstr>
      <vt:lpstr>FXAVERAGE_4Q23</vt:lpstr>
      <vt:lpstr>FXAVERAGE_4Q24</vt:lpstr>
      <vt:lpstr>FXBEST_1995</vt:lpstr>
      <vt:lpstr>FXBEST_1996</vt:lpstr>
      <vt:lpstr>FXBEST_1997</vt:lpstr>
      <vt:lpstr>FXBEST_1998</vt:lpstr>
      <vt:lpstr>FXBEST_1999</vt:lpstr>
      <vt:lpstr>Tags!FXBEST_1Q00</vt:lpstr>
      <vt:lpstr>FXBEST_1Q00</vt:lpstr>
      <vt:lpstr>Tags!FXBEST_1Q01</vt:lpstr>
      <vt:lpstr>FXBEST_1Q01</vt:lpstr>
      <vt:lpstr>Tags!FXBEST_1Q02</vt:lpstr>
      <vt:lpstr>FXBEST_1Q02</vt:lpstr>
      <vt:lpstr>Tags!FXBEST_1Q03</vt:lpstr>
      <vt:lpstr>FXBEST_1Q03</vt:lpstr>
      <vt:lpstr>Tags!FXBEST_1Q04</vt:lpstr>
      <vt:lpstr>FXBEST_1Q04</vt:lpstr>
      <vt:lpstr>Tags!FXBEST_1Q05</vt:lpstr>
      <vt:lpstr>FXBEST_1Q05</vt:lpstr>
      <vt:lpstr>Tags!FXBEST_1Q06</vt:lpstr>
      <vt:lpstr>FXBEST_1Q06</vt:lpstr>
      <vt:lpstr>Tags!FXBEST_1Q07</vt:lpstr>
      <vt:lpstr>FXBEST_1Q07</vt:lpstr>
      <vt:lpstr>Tags!FXBEST_1Q08</vt:lpstr>
      <vt:lpstr>FXBEST_1Q08</vt:lpstr>
      <vt:lpstr>Tags!FXBEST_1Q09</vt:lpstr>
      <vt:lpstr>FXBEST_1Q09</vt:lpstr>
      <vt:lpstr>Tags!FXBEST_1Q10</vt:lpstr>
      <vt:lpstr>FXBEST_1Q10</vt:lpstr>
      <vt:lpstr>Tags!FXBEST_1Q11</vt:lpstr>
      <vt:lpstr>FXBEST_1Q11</vt:lpstr>
      <vt:lpstr>Tags!FXBEST_1Q12</vt:lpstr>
      <vt:lpstr>FXBEST_1Q12</vt:lpstr>
      <vt:lpstr>Tags!FXBEST_1Q13</vt:lpstr>
      <vt:lpstr>FXBEST_1Q13</vt:lpstr>
      <vt:lpstr>Tags!FXBEST_1Q14</vt:lpstr>
      <vt:lpstr>FXBEST_1Q14</vt:lpstr>
      <vt:lpstr>Tags!FXBEST_1Q15</vt:lpstr>
      <vt:lpstr>FXBEST_1Q15</vt:lpstr>
      <vt:lpstr>Tags!FXBEST_1Q16</vt:lpstr>
      <vt:lpstr>FXBEST_1Q16</vt:lpstr>
      <vt:lpstr>Tags!FXBEST_1Q17</vt:lpstr>
      <vt:lpstr>FXBEST_1Q17</vt:lpstr>
      <vt:lpstr>Tags!FXBEST_1Q18</vt:lpstr>
      <vt:lpstr>FXBEST_1Q18</vt:lpstr>
      <vt:lpstr>Tags!FXBEST_1Q19</vt:lpstr>
      <vt:lpstr>FXBEST_1Q19</vt:lpstr>
      <vt:lpstr>Tags!FXBEST_1Q20</vt:lpstr>
      <vt:lpstr>FXBEST_1Q20</vt:lpstr>
      <vt:lpstr>FXBEST_1Q21</vt:lpstr>
      <vt:lpstr>FXBEST_1Q22</vt:lpstr>
      <vt:lpstr>FXBEST_1Q23</vt:lpstr>
      <vt:lpstr>FXBEST_1Q24</vt:lpstr>
      <vt:lpstr>Tags!FXBEST_2000</vt:lpstr>
      <vt:lpstr>FXBEST_2000</vt:lpstr>
      <vt:lpstr>Tags!FXBEST_2001</vt:lpstr>
      <vt:lpstr>FXBEST_2001</vt:lpstr>
      <vt:lpstr>Tags!FXBEST_2002</vt:lpstr>
      <vt:lpstr>FXBEST_2002</vt:lpstr>
      <vt:lpstr>Tags!FXBEST_2003</vt:lpstr>
      <vt:lpstr>FXBEST_2003</vt:lpstr>
      <vt:lpstr>Tags!FXBEST_2004</vt:lpstr>
      <vt:lpstr>FXBEST_2004</vt:lpstr>
      <vt:lpstr>Tags!FXBEST_2005</vt:lpstr>
      <vt:lpstr>FXBEST_2005</vt:lpstr>
      <vt:lpstr>Tags!FXBEST_2006</vt:lpstr>
      <vt:lpstr>FXBEST_2006</vt:lpstr>
      <vt:lpstr>Tags!FXBEST_2007</vt:lpstr>
      <vt:lpstr>FXBEST_2007</vt:lpstr>
      <vt:lpstr>Tags!FXBEST_2008</vt:lpstr>
      <vt:lpstr>FXBEST_2008</vt:lpstr>
      <vt:lpstr>Tags!FXBEST_2009</vt:lpstr>
      <vt:lpstr>FXBEST_2009</vt:lpstr>
      <vt:lpstr>Tags!FXBEST_2010</vt:lpstr>
      <vt:lpstr>FXBEST_2010</vt:lpstr>
      <vt:lpstr>Tags!FXBEST_2011</vt:lpstr>
      <vt:lpstr>FXBEST_2011</vt:lpstr>
      <vt:lpstr>Tags!FXBEST_2012</vt:lpstr>
      <vt:lpstr>FXBEST_2012</vt:lpstr>
      <vt:lpstr>Tags!FXBEST_2013</vt:lpstr>
      <vt:lpstr>FXBEST_2013</vt:lpstr>
      <vt:lpstr>Tags!FXBEST_2014</vt:lpstr>
      <vt:lpstr>FXBEST_2014</vt:lpstr>
      <vt:lpstr>FXBEST_2015</vt:lpstr>
      <vt:lpstr>Tags!FXBEST_2016</vt:lpstr>
      <vt:lpstr>FXBEST_2016</vt:lpstr>
      <vt:lpstr>Tags!FXBEST_2017</vt:lpstr>
      <vt:lpstr>FXBEST_2017</vt:lpstr>
      <vt:lpstr>Tags!FXBEST_2018</vt:lpstr>
      <vt:lpstr>FXBEST_2018</vt:lpstr>
      <vt:lpstr>Tags!FXBEST_2019</vt:lpstr>
      <vt:lpstr>FXBEST_2019</vt:lpstr>
      <vt:lpstr>Tags!FXBEST_2020</vt:lpstr>
      <vt:lpstr>FXBEST_2020</vt:lpstr>
      <vt:lpstr>FXBEST_2021</vt:lpstr>
      <vt:lpstr>FXBEST_2022</vt:lpstr>
      <vt:lpstr>FXBEST_2023</vt:lpstr>
      <vt:lpstr>FXBEST_2024</vt:lpstr>
      <vt:lpstr>Tags!FXBEST_2Q00</vt:lpstr>
      <vt:lpstr>FXBEST_2Q00</vt:lpstr>
      <vt:lpstr>Tags!FXBEST_2Q01</vt:lpstr>
      <vt:lpstr>FXBEST_2Q01</vt:lpstr>
      <vt:lpstr>Tags!FXBEST_2Q02</vt:lpstr>
      <vt:lpstr>FXBEST_2Q02</vt:lpstr>
      <vt:lpstr>Tags!FXBEST_2Q03</vt:lpstr>
      <vt:lpstr>FXBEST_2Q03</vt:lpstr>
      <vt:lpstr>Tags!FXBEST_2Q04</vt:lpstr>
      <vt:lpstr>FXBEST_2Q04</vt:lpstr>
      <vt:lpstr>Tags!FXBEST_2Q05</vt:lpstr>
      <vt:lpstr>FXBEST_2Q05</vt:lpstr>
      <vt:lpstr>Tags!FXBEST_2Q06</vt:lpstr>
      <vt:lpstr>FXBEST_2Q06</vt:lpstr>
      <vt:lpstr>Tags!FXBEST_2Q07</vt:lpstr>
      <vt:lpstr>FXBEST_2Q07</vt:lpstr>
      <vt:lpstr>Tags!FXBEST_2Q08</vt:lpstr>
      <vt:lpstr>FXBEST_2Q08</vt:lpstr>
      <vt:lpstr>Tags!FXBEST_2Q09</vt:lpstr>
      <vt:lpstr>FXBEST_2Q09</vt:lpstr>
      <vt:lpstr>Tags!FXBEST_2Q10</vt:lpstr>
      <vt:lpstr>FXBEST_2Q10</vt:lpstr>
      <vt:lpstr>Tags!FXBEST_2Q11</vt:lpstr>
      <vt:lpstr>FXBEST_2Q11</vt:lpstr>
      <vt:lpstr>Tags!FXBEST_2Q12</vt:lpstr>
      <vt:lpstr>FXBEST_2Q12</vt:lpstr>
      <vt:lpstr>Tags!FXBEST_2Q13</vt:lpstr>
      <vt:lpstr>FXBEST_2Q13</vt:lpstr>
      <vt:lpstr>Tags!FXBEST_2Q14</vt:lpstr>
      <vt:lpstr>FXBEST_2Q14</vt:lpstr>
      <vt:lpstr>Tags!FXBEST_2Q15</vt:lpstr>
      <vt:lpstr>FXBEST_2Q15</vt:lpstr>
      <vt:lpstr>Tags!FXBEST_2Q16</vt:lpstr>
      <vt:lpstr>FXBEST_2Q16</vt:lpstr>
      <vt:lpstr>Tags!FXBEST_2Q17</vt:lpstr>
      <vt:lpstr>FXBEST_2Q17</vt:lpstr>
      <vt:lpstr>Tags!FXBEST_2Q18</vt:lpstr>
      <vt:lpstr>FXBEST_2Q18</vt:lpstr>
      <vt:lpstr>Tags!FXBEST_2Q19</vt:lpstr>
      <vt:lpstr>FXBEST_2Q19</vt:lpstr>
      <vt:lpstr>Tags!FXBEST_2Q20</vt:lpstr>
      <vt:lpstr>FXBEST_2Q20</vt:lpstr>
      <vt:lpstr>FXBEST_2Q21</vt:lpstr>
      <vt:lpstr>FXBEST_2Q22</vt:lpstr>
      <vt:lpstr>FXBEST_2Q23</vt:lpstr>
      <vt:lpstr>FXBEST_2Q24</vt:lpstr>
      <vt:lpstr>Tags!FXBEST_3Q00</vt:lpstr>
      <vt:lpstr>FXBEST_3Q00</vt:lpstr>
      <vt:lpstr>Tags!FXBEST_3Q01</vt:lpstr>
      <vt:lpstr>FXBEST_3Q01</vt:lpstr>
      <vt:lpstr>Tags!FXBEST_3Q02</vt:lpstr>
      <vt:lpstr>FXBEST_3Q02</vt:lpstr>
      <vt:lpstr>Tags!FXBEST_3Q03</vt:lpstr>
      <vt:lpstr>FXBEST_3Q03</vt:lpstr>
      <vt:lpstr>Tags!FXBEST_3Q04</vt:lpstr>
      <vt:lpstr>FXBEST_3Q04</vt:lpstr>
      <vt:lpstr>Tags!FXBEST_3Q05</vt:lpstr>
      <vt:lpstr>FXBEST_3Q05</vt:lpstr>
      <vt:lpstr>Tags!FXBEST_3Q06</vt:lpstr>
      <vt:lpstr>FXBEST_3Q06</vt:lpstr>
      <vt:lpstr>Tags!FXBEST_3Q07</vt:lpstr>
      <vt:lpstr>FXBEST_3Q07</vt:lpstr>
      <vt:lpstr>Tags!FXBEST_3Q08</vt:lpstr>
      <vt:lpstr>FXBEST_3Q08</vt:lpstr>
      <vt:lpstr>Tags!FXBEST_3Q09</vt:lpstr>
      <vt:lpstr>FXBEST_3Q09</vt:lpstr>
      <vt:lpstr>Tags!FXBEST_3Q10</vt:lpstr>
      <vt:lpstr>FXBEST_3Q10</vt:lpstr>
      <vt:lpstr>Tags!FXBEST_3Q11</vt:lpstr>
      <vt:lpstr>FXBEST_3Q11</vt:lpstr>
      <vt:lpstr>Tags!FXBEST_3Q12</vt:lpstr>
      <vt:lpstr>FXBEST_3Q12</vt:lpstr>
      <vt:lpstr>Tags!FXBEST_3Q13</vt:lpstr>
      <vt:lpstr>FXBEST_3Q13</vt:lpstr>
      <vt:lpstr>Tags!FXBEST_3Q14</vt:lpstr>
      <vt:lpstr>FXBEST_3Q14</vt:lpstr>
      <vt:lpstr>Tags!FXBEST_3Q15</vt:lpstr>
      <vt:lpstr>FXBEST_3Q15</vt:lpstr>
      <vt:lpstr>Tags!FXBEST_3Q16</vt:lpstr>
      <vt:lpstr>FXBEST_3Q16</vt:lpstr>
      <vt:lpstr>Tags!FXBEST_3Q17</vt:lpstr>
      <vt:lpstr>FXBEST_3Q17</vt:lpstr>
      <vt:lpstr>Tags!FXBEST_3Q18</vt:lpstr>
      <vt:lpstr>FXBEST_3Q18</vt:lpstr>
      <vt:lpstr>Tags!FXBEST_3Q19</vt:lpstr>
      <vt:lpstr>FXBEST_3Q19</vt:lpstr>
      <vt:lpstr>Tags!FXBEST_3Q20</vt:lpstr>
      <vt:lpstr>FXBEST_3Q20</vt:lpstr>
      <vt:lpstr>FXBEST_3Q21</vt:lpstr>
      <vt:lpstr>FXBEST_3Q22</vt:lpstr>
      <vt:lpstr>FXBEST_3Q23</vt:lpstr>
      <vt:lpstr>FXBEST_3Q24</vt:lpstr>
      <vt:lpstr>Tags!FXBEST_4Q00</vt:lpstr>
      <vt:lpstr>FXBEST_4Q00</vt:lpstr>
      <vt:lpstr>Tags!FXBEST_4Q01</vt:lpstr>
      <vt:lpstr>FXBEST_4Q01</vt:lpstr>
      <vt:lpstr>Tags!FXBEST_4Q02</vt:lpstr>
      <vt:lpstr>FXBEST_4Q02</vt:lpstr>
      <vt:lpstr>Tags!FXBEST_4Q03</vt:lpstr>
      <vt:lpstr>FXBEST_4Q03</vt:lpstr>
      <vt:lpstr>Tags!FXBEST_4Q04</vt:lpstr>
      <vt:lpstr>FXBEST_4Q04</vt:lpstr>
      <vt:lpstr>Tags!FXBEST_4Q05</vt:lpstr>
      <vt:lpstr>FXBEST_4Q05</vt:lpstr>
      <vt:lpstr>Tags!FXBEST_4Q06</vt:lpstr>
      <vt:lpstr>FXBEST_4Q06</vt:lpstr>
      <vt:lpstr>Tags!FXBEST_4Q07</vt:lpstr>
      <vt:lpstr>FXBEST_4Q07</vt:lpstr>
      <vt:lpstr>Tags!FXBEST_4Q08</vt:lpstr>
      <vt:lpstr>FXBEST_4Q08</vt:lpstr>
      <vt:lpstr>Tags!FXBEST_4Q09</vt:lpstr>
      <vt:lpstr>FXBEST_4Q09</vt:lpstr>
      <vt:lpstr>Tags!FXBEST_4Q10</vt:lpstr>
      <vt:lpstr>FXBEST_4Q10</vt:lpstr>
      <vt:lpstr>Tags!FXBEST_4Q11</vt:lpstr>
      <vt:lpstr>FXBEST_4Q11</vt:lpstr>
      <vt:lpstr>Tags!FXBEST_4Q12</vt:lpstr>
      <vt:lpstr>FXBEST_4Q12</vt:lpstr>
      <vt:lpstr>Tags!FXBEST_4Q13</vt:lpstr>
      <vt:lpstr>FXBEST_4Q13</vt:lpstr>
      <vt:lpstr>Tags!FXBEST_4Q14</vt:lpstr>
      <vt:lpstr>FXBEST_4Q14</vt:lpstr>
      <vt:lpstr>Tags!FXBEST_4Q15</vt:lpstr>
      <vt:lpstr>FXBEST_4Q15</vt:lpstr>
      <vt:lpstr>Tags!FXBEST_4Q16</vt:lpstr>
      <vt:lpstr>FXBEST_4Q16</vt:lpstr>
      <vt:lpstr>Tags!FXBEST_4Q17</vt:lpstr>
      <vt:lpstr>FXBEST_4Q17</vt:lpstr>
      <vt:lpstr>Tags!FXBEST_4Q18</vt:lpstr>
      <vt:lpstr>FXBEST_4Q18</vt:lpstr>
      <vt:lpstr>Tags!FXBEST_4Q19</vt:lpstr>
      <vt:lpstr>FXBEST_4Q19</vt:lpstr>
      <vt:lpstr>Tags!FXBEST_4Q20</vt:lpstr>
      <vt:lpstr>FXBEST_4Q20</vt:lpstr>
      <vt:lpstr>FXBEST_4Q21</vt:lpstr>
      <vt:lpstr>FXBEST_4Q22</vt:lpstr>
      <vt:lpstr>FXBEST_4Q23</vt:lpstr>
      <vt:lpstr>FXBEST_4Q24</vt:lpstr>
      <vt:lpstr>FXFINAL_1995</vt:lpstr>
      <vt:lpstr>FXFINAL_1996</vt:lpstr>
      <vt:lpstr>FXFINAL_1997</vt:lpstr>
      <vt:lpstr>FXFINAL_1998</vt:lpstr>
      <vt:lpstr>FXFINAL_1999</vt:lpstr>
      <vt:lpstr>Tags!FXFINAL_1Q00</vt:lpstr>
      <vt:lpstr>FXFINAL_1Q00</vt:lpstr>
      <vt:lpstr>Tags!FXFINAL_1Q01</vt:lpstr>
      <vt:lpstr>FXFINAL_1Q01</vt:lpstr>
      <vt:lpstr>Tags!FXFINAL_1Q02</vt:lpstr>
      <vt:lpstr>FXFINAL_1Q02</vt:lpstr>
      <vt:lpstr>Tags!FXFINAL_1Q03</vt:lpstr>
      <vt:lpstr>FXFINAL_1Q03</vt:lpstr>
      <vt:lpstr>Tags!FXFINAL_1Q04</vt:lpstr>
      <vt:lpstr>FXFINAL_1Q04</vt:lpstr>
      <vt:lpstr>Tags!FXFINAL_1Q05</vt:lpstr>
      <vt:lpstr>FXFINAL_1Q05</vt:lpstr>
      <vt:lpstr>Tags!FXFINAL_1Q06</vt:lpstr>
      <vt:lpstr>FXFINAL_1Q06</vt:lpstr>
      <vt:lpstr>Tags!FXFINAL_1Q07</vt:lpstr>
      <vt:lpstr>FXFINAL_1Q07</vt:lpstr>
      <vt:lpstr>Tags!FXFINAL_1Q08</vt:lpstr>
      <vt:lpstr>FXFINAL_1Q08</vt:lpstr>
      <vt:lpstr>Tags!FXFINAL_1Q09</vt:lpstr>
      <vt:lpstr>FXFINAL_1Q09</vt:lpstr>
      <vt:lpstr>Tags!FXFINAL_1Q10</vt:lpstr>
      <vt:lpstr>FXFINAL_1Q10</vt:lpstr>
      <vt:lpstr>Tags!FXFINAL_1Q11</vt:lpstr>
      <vt:lpstr>FXFINAL_1Q11</vt:lpstr>
      <vt:lpstr>Tags!FXFINAL_1Q12</vt:lpstr>
      <vt:lpstr>FXFINAL_1Q12</vt:lpstr>
      <vt:lpstr>Tags!FXFINAL_1Q13</vt:lpstr>
      <vt:lpstr>FXFINAL_1Q13</vt:lpstr>
      <vt:lpstr>Tags!FXFINAL_1Q14</vt:lpstr>
      <vt:lpstr>FXFINAL_1Q14</vt:lpstr>
      <vt:lpstr>Tags!FXFINAL_1Q15</vt:lpstr>
      <vt:lpstr>FXFINAL_1Q15</vt:lpstr>
      <vt:lpstr>Tags!FXFINAL_1Q16</vt:lpstr>
      <vt:lpstr>FXFINAL_1Q16</vt:lpstr>
      <vt:lpstr>Tags!FXFINAL_1Q17</vt:lpstr>
      <vt:lpstr>FXFINAL_1Q17</vt:lpstr>
      <vt:lpstr>Tags!FXFINAL_1Q18</vt:lpstr>
      <vt:lpstr>FXFINAL_1Q18</vt:lpstr>
      <vt:lpstr>Tags!FXFINAL_1Q19</vt:lpstr>
      <vt:lpstr>FXFINAL_1Q19</vt:lpstr>
      <vt:lpstr>Tags!FXFINAL_1Q20</vt:lpstr>
      <vt:lpstr>FXFINAL_1Q20</vt:lpstr>
      <vt:lpstr>FXFINAL_1Q21</vt:lpstr>
      <vt:lpstr>FXFINAL_1Q22</vt:lpstr>
      <vt:lpstr>FXFINAL_1Q23</vt:lpstr>
      <vt:lpstr>FXFINAL_1Q24</vt:lpstr>
      <vt:lpstr>Tags!FXFINAL_2000</vt:lpstr>
      <vt:lpstr>FXFINAL_2000</vt:lpstr>
      <vt:lpstr>Tags!FXFINAL_2001</vt:lpstr>
      <vt:lpstr>FXFINAL_2001</vt:lpstr>
      <vt:lpstr>Tags!FXFINAL_2002</vt:lpstr>
      <vt:lpstr>FXFINAL_2002</vt:lpstr>
      <vt:lpstr>Tags!FXFINAL_2003</vt:lpstr>
      <vt:lpstr>FXFINAL_2003</vt:lpstr>
      <vt:lpstr>Tags!FXFINAL_2004</vt:lpstr>
      <vt:lpstr>FXFINAL_2004</vt:lpstr>
      <vt:lpstr>Tags!FXFINAL_2005</vt:lpstr>
      <vt:lpstr>FXFINAL_2005</vt:lpstr>
      <vt:lpstr>Tags!FXFINAL_2006</vt:lpstr>
      <vt:lpstr>FXFINAL_2006</vt:lpstr>
      <vt:lpstr>Tags!FXFINAL_2007</vt:lpstr>
      <vt:lpstr>FXFINAL_2007</vt:lpstr>
      <vt:lpstr>Tags!FXFINAL_2008</vt:lpstr>
      <vt:lpstr>FXFINAL_2008</vt:lpstr>
      <vt:lpstr>Tags!FXFINAL_2009</vt:lpstr>
      <vt:lpstr>FXFINAL_2009</vt:lpstr>
      <vt:lpstr>Tags!FXFINAL_2010</vt:lpstr>
      <vt:lpstr>FXFINAL_2010</vt:lpstr>
      <vt:lpstr>Tags!FXFINAL_2011</vt:lpstr>
      <vt:lpstr>FXFINAL_2011</vt:lpstr>
      <vt:lpstr>Tags!FXFINAL_2012</vt:lpstr>
      <vt:lpstr>FXFINAL_2012</vt:lpstr>
      <vt:lpstr>Tags!FXFINAL_2013</vt:lpstr>
      <vt:lpstr>FXFINAL_2013</vt:lpstr>
      <vt:lpstr>Tags!FXFINAL_2014</vt:lpstr>
      <vt:lpstr>FXFINAL_2014</vt:lpstr>
      <vt:lpstr>FXFINAL_2015</vt:lpstr>
      <vt:lpstr>Tags!FXFINAL_2016</vt:lpstr>
      <vt:lpstr>FXFINAL_2016</vt:lpstr>
      <vt:lpstr>Tags!FXFINAL_2017</vt:lpstr>
      <vt:lpstr>FXFINAL_2017</vt:lpstr>
      <vt:lpstr>Tags!FXFINAL_2018</vt:lpstr>
      <vt:lpstr>FXFINAL_2018</vt:lpstr>
      <vt:lpstr>Tags!FXFINAL_2019</vt:lpstr>
      <vt:lpstr>FXFINAL_2019</vt:lpstr>
      <vt:lpstr>Tags!FXFINAL_2020</vt:lpstr>
      <vt:lpstr>FXFINAL_2020</vt:lpstr>
      <vt:lpstr>FXFINAL_2021</vt:lpstr>
      <vt:lpstr>FXFINAL_2022</vt:lpstr>
      <vt:lpstr>FXFINAL_2023</vt:lpstr>
      <vt:lpstr>FXFINAL_2024</vt:lpstr>
      <vt:lpstr>Tags!FXFINAL_2Q00</vt:lpstr>
      <vt:lpstr>FXFINAL_2Q00</vt:lpstr>
      <vt:lpstr>Tags!FXFINAL_2Q01</vt:lpstr>
      <vt:lpstr>FXFINAL_2Q01</vt:lpstr>
      <vt:lpstr>Tags!FXFINAL_2Q02</vt:lpstr>
      <vt:lpstr>FXFINAL_2Q02</vt:lpstr>
      <vt:lpstr>Tags!FXFINAL_2Q03</vt:lpstr>
      <vt:lpstr>FXFINAL_2Q03</vt:lpstr>
      <vt:lpstr>Tags!FXFINAL_2Q04</vt:lpstr>
      <vt:lpstr>FXFINAL_2Q04</vt:lpstr>
      <vt:lpstr>Tags!FXFINAL_2Q05</vt:lpstr>
      <vt:lpstr>FXFINAL_2Q05</vt:lpstr>
      <vt:lpstr>Tags!FXFINAL_2Q06</vt:lpstr>
      <vt:lpstr>FXFINAL_2Q06</vt:lpstr>
      <vt:lpstr>Tags!FXFINAL_2Q07</vt:lpstr>
      <vt:lpstr>FXFINAL_2Q07</vt:lpstr>
      <vt:lpstr>Tags!FXFINAL_2Q08</vt:lpstr>
      <vt:lpstr>FXFINAL_2Q08</vt:lpstr>
      <vt:lpstr>Tags!FXFINAL_2Q09</vt:lpstr>
      <vt:lpstr>FXFINAL_2Q09</vt:lpstr>
      <vt:lpstr>Tags!FXFINAL_2Q10</vt:lpstr>
      <vt:lpstr>FXFINAL_2Q10</vt:lpstr>
      <vt:lpstr>Tags!FXFINAL_2Q11</vt:lpstr>
      <vt:lpstr>FXFINAL_2Q11</vt:lpstr>
      <vt:lpstr>Tags!FXFINAL_2Q12</vt:lpstr>
      <vt:lpstr>FXFINAL_2Q12</vt:lpstr>
      <vt:lpstr>Tags!FXFINAL_2Q13</vt:lpstr>
      <vt:lpstr>FXFINAL_2Q13</vt:lpstr>
      <vt:lpstr>Tags!FXFINAL_2Q14</vt:lpstr>
      <vt:lpstr>FXFINAL_2Q14</vt:lpstr>
      <vt:lpstr>Tags!FXFINAL_2Q15</vt:lpstr>
      <vt:lpstr>FXFINAL_2Q15</vt:lpstr>
      <vt:lpstr>Tags!FXFINAL_2Q16</vt:lpstr>
      <vt:lpstr>FXFINAL_2Q16</vt:lpstr>
      <vt:lpstr>Tags!FXFINAL_2Q17</vt:lpstr>
      <vt:lpstr>FXFINAL_2Q17</vt:lpstr>
      <vt:lpstr>Tags!FXFINAL_2Q18</vt:lpstr>
      <vt:lpstr>FXFINAL_2Q18</vt:lpstr>
      <vt:lpstr>Tags!FXFINAL_2Q19</vt:lpstr>
      <vt:lpstr>FXFINAL_2Q19</vt:lpstr>
      <vt:lpstr>Tags!FXFINAL_2Q20</vt:lpstr>
      <vt:lpstr>FXFINAL_2Q20</vt:lpstr>
      <vt:lpstr>FXFINAL_2Q21</vt:lpstr>
      <vt:lpstr>FXFINAL_2Q22</vt:lpstr>
      <vt:lpstr>FXFINAL_2Q23</vt:lpstr>
      <vt:lpstr>FXFINAL_2Q24</vt:lpstr>
      <vt:lpstr>Tags!FXFINAL_3Q00</vt:lpstr>
      <vt:lpstr>FXFINAL_3Q00</vt:lpstr>
      <vt:lpstr>Tags!FXFINAL_3Q01</vt:lpstr>
      <vt:lpstr>FXFINAL_3Q01</vt:lpstr>
      <vt:lpstr>Tags!FXFINAL_3Q02</vt:lpstr>
      <vt:lpstr>FXFINAL_3Q02</vt:lpstr>
      <vt:lpstr>Tags!FXFINAL_3Q03</vt:lpstr>
      <vt:lpstr>FXFINAL_3Q03</vt:lpstr>
      <vt:lpstr>Tags!FXFINAL_3Q04</vt:lpstr>
      <vt:lpstr>FXFINAL_3Q04</vt:lpstr>
      <vt:lpstr>Tags!FXFINAL_3Q05</vt:lpstr>
      <vt:lpstr>FXFINAL_3Q05</vt:lpstr>
      <vt:lpstr>Tags!FXFINAL_3Q06</vt:lpstr>
      <vt:lpstr>FXFINAL_3Q06</vt:lpstr>
      <vt:lpstr>Tags!FXFINAL_3Q07</vt:lpstr>
      <vt:lpstr>FXFINAL_3Q07</vt:lpstr>
      <vt:lpstr>Tags!FXFINAL_3Q08</vt:lpstr>
      <vt:lpstr>FXFINAL_3Q08</vt:lpstr>
      <vt:lpstr>Tags!FXFINAL_3Q09</vt:lpstr>
      <vt:lpstr>FXFINAL_3Q09</vt:lpstr>
      <vt:lpstr>Tags!FXFINAL_3Q10</vt:lpstr>
      <vt:lpstr>FXFINAL_3Q10</vt:lpstr>
      <vt:lpstr>Tags!FXFINAL_3Q11</vt:lpstr>
      <vt:lpstr>FXFINAL_3Q11</vt:lpstr>
      <vt:lpstr>Tags!FXFINAL_3Q12</vt:lpstr>
      <vt:lpstr>FXFINAL_3Q12</vt:lpstr>
      <vt:lpstr>Tags!FXFINAL_3Q13</vt:lpstr>
      <vt:lpstr>FXFINAL_3Q13</vt:lpstr>
      <vt:lpstr>Tags!FXFINAL_3Q14</vt:lpstr>
      <vt:lpstr>FXFINAL_3Q14</vt:lpstr>
      <vt:lpstr>Tags!FXFINAL_3Q15</vt:lpstr>
      <vt:lpstr>FXFINAL_3Q15</vt:lpstr>
      <vt:lpstr>Tags!FXFINAL_3Q16</vt:lpstr>
      <vt:lpstr>FXFINAL_3Q16</vt:lpstr>
      <vt:lpstr>Tags!FXFINAL_3Q17</vt:lpstr>
      <vt:lpstr>FXFINAL_3Q17</vt:lpstr>
      <vt:lpstr>Tags!FXFINAL_3Q18</vt:lpstr>
      <vt:lpstr>FXFINAL_3Q18</vt:lpstr>
      <vt:lpstr>Tags!FXFINAL_3Q19</vt:lpstr>
      <vt:lpstr>FXFINAL_3Q19</vt:lpstr>
      <vt:lpstr>Tags!FXFINAL_3Q20</vt:lpstr>
      <vt:lpstr>FXFINAL_3Q20</vt:lpstr>
      <vt:lpstr>FXFINAL_3Q21</vt:lpstr>
      <vt:lpstr>FXFINAL_3Q22</vt:lpstr>
      <vt:lpstr>FXFINAL_3Q23</vt:lpstr>
      <vt:lpstr>FXFINAL_3Q24</vt:lpstr>
      <vt:lpstr>Tags!FXFINAL_4Q00</vt:lpstr>
      <vt:lpstr>FXFINAL_4Q00</vt:lpstr>
      <vt:lpstr>Tags!FXFINAL_4Q01</vt:lpstr>
      <vt:lpstr>FXFINAL_4Q01</vt:lpstr>
      <vt:lpstr>Tags!FXFINAL_4Q02</vt:lpstr>
      <vt:lpstr>FXFINAL_4Q02</vt:lpstr>
      <vt:lpstr>Tags!FXFINAL_4Q03</vt:lpstr>
      <vt:lpstr>FXFINAL_4Q03</vt:lpstr>
      <vt:lpstr>Tags!FXFINAL_4Q04</vt:lpstr>
      <vt:lpstr>FXFINAL_4Q04</vt:lpstr>
      <vt:lpstr>Tags!FXFINAL_4Q05</vt:lpstr>
      <vt:lpstr>FXFINAL_4Q05</vt:lpstr>
      <vt:lpstr>Tags!FXFINAL_4Q06</vt:lpstr>
      <vt:lpstr>FXFINAL_4Q06</vt:lpstr>
      <vt:lpstr>Tags!FXFINAL_4Q07</vt:lpstr>
      <vt:lpstr>FXFINAL_4Q07</vt:lpstr>
      <vt:lpstr>Tags!FXFINAL_4Q08</vt:lpstr>
      <vt:lpstr>FXFINAL_4Q08</vt:lpstr>
      <vt:lpstr>Tags!FXFINAL_4Q09</vt:lpstr>
      <vt:lpstr>FXFINAL_4Q09</vt:lpstr>
      <vt:lpstr>Tags!FXFINAL_4Q10</vt:lpstr>
      <vt:lpstr>FXFINAL_4Q10</vt:lpstr>
      <vt:lpstr>Tags!FXFINAL_4Q11</vt:lpstr>
      <vt:lpstr>FXFINAL_4Q11</vt:lpstr>
      <vt:lpstr>Tags!FXFINAL_4Q12</vt:lpstr>
      <vt:lpstr>FXFINAL_4Q12</vt:lpstr>
      <vt:lpstr>Tags!FXFINAL_4Q13</vt:lpstr>
      <vt:lpstr>FXFINAL_4Q13</vt:lpstr>
      <vt:lpstr>Tags!FXFINAL_4Q14</vt:lpstr>
      <vt:lpstr>FXFINAL_4Q14</vt:lpstr>
      <vt:lpstr>Tags!FXFINAL_4Q15</vt:lpstr>
      <vt:lpstr>FXFINAL_4Q15</vt:lpstr>
      <vt:lpstr>Tags!FXFINAL_4Q16</vt:lpstr>
      <vt:lpstr>FXFINAL_4Q16</vt:lpstr>
      <vt:lpstr>Tags!FXFINAL_4Q17</vt:lpstr>
      <vt:lpstr>FXFINAL_4Q17</vt:lpstr>
      <vt:lpstr>Tags!FXFINAL_4Q18</vt:lpstr>
      <vt:lpstr>FXFINAL_4Q18</vt:lpstr>
      <vt:lpstr>Tags!FXFINAL_4Q19</vt:lpstr>
      <vt:lpstr>FXFINAL_4Q19</vt:lpstr>
      <vt:lpstr>Tags!FXFINAL_4Q20</vt:lpstr>
      <vt:lpstr>FXFINAL_4Q20</vt:lpstr>
      <vt:lpstr>FXFINAL_4Q21</vt:lpstr>
      <vt:lpstr>FXFINAL_4Q22</vt:lpstr>
      <vt:lpstr>FXFINAL_4Q23</vt:lpstr>
      <vt:lpstr>FXFINAL_4Q24</vt:lpstr>
      <vt:lpstr>GOODBS_1995</vt:lpstr>
      <vt:lpstr>GOODBS_1996</vt:lpstr>
      <vt:lpstr>GOODBS_1997</vt:lpstr>
      <vt:lpstr>GOODBS_1998</vt:lpstr>
      <vt:lpstr>GOODBS_1999</vt:lpstr>
      <vt:lpstr>Tags!GOODBS_1Q00</vt:lpstr>
      <vt:lpstr>GOODBS_1Q00</vt:lpstr>
      <vt:lpstr>Tags!GOODBS_1Q01</vt:lpstr>
      <vt:lpstr>GOODBS_1Q01</vt:lpstr>
      <vt:lpstr>Tags!GOODBS_1Q02</vt:lpstr>
      <vt:lpstr>GOODBS_1Q02</vt:lpstr>
      <vt:lpstr>Tags!GOODBS_1Q03</vt:lpstr>
      <vt:lpstr>GOODBS_1Q03</vt:lpstr>
      <vt:lpstr>Tags!GOODBS_1Q04</vt:lpstr>
      <vt:lpstr>GOODBS_1Q04</vt:lpstr>
      <vt:lpstr>Tags!GOODBS_1Q05</vt:lpstr>
      <vt:lpstr>GOODBS_1Q05</vt:lpstr>
      <vt:lpstr>Tags!GOODBS_1Q06</vt:lpstr>
      <vt:lpstr>GOODBS_1Q06</vt:lpstr>
      <vt:lpstr>Tags!GOODBS_1Q07</vt:lpstr>
      <vt:lpstr>GOODBS_1Q07</vt:lpstr>
      <vt:lpstr>Tags!GOODBS_1Q08</vt:lpstr>
      <vt:lpstr>GOODBS_1Q08</vt:lpstr>
      <vt:lpstr>Tags!GOODBS_1Q09</vt:lpstr>
      <vt:lpstr>GOODBS_1Q09</vt:lpstr>
      <vt:lpstr>Tags!GOODBS_1Q10</vt:lpstr>
      <vt:lpstr>GOODBS_1Q10</vt:lpstr>
      <vt:lpstr>Tags!GOODBS_1Q11</vt:lpstr>
      <vt:lpstr>GOODBS_1Q11</vt:lpstr>
      <vt:lpstr>Tags!GOODBS_1Q12</vt:lpstr>
      <vt:lpstr>GOODBS_1Q12</vt:lpstr>
      <vt:lpstr>Tags!GOODBS_1Q13</vt:lpstr>
      <vt:lpstr>GOODBS_1Q13</vt:lpstr>
      <vt:lpstr>Tags!GOODBS_1Q14</vt:lpstr>
      <vt:lpstr>GOODBS_1Q14</vt:lpstr>
      <vt:lpstr>Tags!GOODBS_1Q15</vt:lpstr>
      <vt:lpstr>GOODBS_1Q15</vt:lpstr>
      <vt:lpstr>Tags!GOODBS_1Q16</vt:lpstr>
      <vt:lpstr>GOODBS_1Q16</vt:lpstr>
      <vt:lpstr>Tags!GOODBS_1Q17</vt:lpstr>
      <vt:lpstr>GOODBS_1Q17</vt:lpstr>
      <vt:lpstr>Tags!GOODBS_1Q18</vt:lpstr>
      <vt:lpstr>GOODBS_1Q18</vt:lpstr>
      <vt:lpstr>Tags!GOODBS_1Q19</vt:lpstr>
      <vt:lpstr>GOODBS_1Q19</vt:lpstr>
      <vt:lpstr>Tags!GOODBS_1Q20</vt:lpstr>
      <vt:lpstr>GOODBS_1Q20</vt:lpstr>
      <vt:lpstr>GOODBS_1Q21</vt:lpstr>
      <vt:lpstr>GOODBS_1Q22</vt:lpstr>
      <vt:lpstr>GOODBS_1Q23</vt:lpstr>
      <vt:lpstr>GOODBS_1Q24</vt:lpstr>
      <vt:lpstr>Tags!GOODBS_2000</vt:lpstr>
      <vt:lpstr>GOODBS_2000</vt:lpstr>
      <vt:lpstr>Tags!GOODBS_2001</vt:lpstr>
      <vt:lpstr>GOODBS_2001</vt:lpstr>
      <vt:lpstr>Tags!GOODBS_2002</vt:lpstr>
      <vt:lpstr>GOODBS_2002</vt:lpstr>
      <vt:lpstr>Tags!GOODBS_2003</vt:lpstr>
      <vt:lpstr>GOODBS_2003</vt:lpstr>
      <vt:lpstr>Tags!GOODBS_2004</vt:lpstr>
      <vt:lpstr>GOODBS_2004</vt:lpstr>
      <vt:lpstr>Tags!GOODBS_2005</vt:lpstr>
      <vt:lpstr>GOODBS_2005</vt:lpstr>
      <vt:lpstr>Tags!GOODBS_2006</vt:lpstr>
      <vt:lpstr>GOODBS_2006</vt:lpstr>
      <vt:lpstr>Tags!GOODBS_2007</vt:lpstr>
      <vt:lpstr>GOODBS_2007</vt:lpstr>
      <vt:lpstr>Tags!GOODBS_2008</vt:lpstr>
      <vt:lpstr>GOODBS_2008</vt:lpstr>
      <vt:lpstr>Tags!GOODBS_2009</vt:lpstr>
      <vt:lpstr>GOODBS_2009</vt:lpstr>
      <vt:lpstr>Tags!GOODBS_2010</vt:lpstr>
      <vt:lpstr>GOODBS_2010</vt:lpstr>
      <vt:lpstr>Tags!GOODBS_2011</vt:lpstr>
      <vt:lpstr>GOODBS_2011</vt:lpstr>
      <vt:lpstr>Tags!GOODBS_2012</vt:lpstr>
      <vt:lpstr>GOODBS_2012</vt:lpstr>
      <vt:lpstr>Tags!GOODBS_2013</vt:lpstr>
      <vt:lpstr>GOODBS_2013</vt:lpstr>
      <vt:lpstr>Tags!GOODBS_2014</vt:lpstr>
      <vt:lpstr>GOODBS_2014</vt:lpstr>
      <vt:lpstr>GOODBS_2015</vt:lpstr>
      <vt:lpstr>Tags!GOODBS_2016</vt:lpstr>
      <vt:lpstr>GOODBS_2016</vt:lpstr>
      <vt:lpstr>Tags!GOODBS_2017</vt:lpstr>
      <vt:lpstr>GOODBS_2017</vt:lpstr>
      <vt:lpstr>Tags!GOODBS_2018</vt:lpstr>
      <vt:lpstr>GOODBS_2018</vt:lpstr>
      <vt:lpstr>Tags!GOODBS_2019</vt:lpstr>
      <vt:lpstr>GOODBS_2019</vt:lpstr>
      <vt:lpstr>Tags!GOODBS_2020</vt:lpstr>
      <vt:lpstr>GOODBS_2020</vt:lpstr>
      <vt:lpstr>GOODBS_2021</vt:lpstr>
      <vt:lpstr>GOODBS_2022</vt:lpstr>
      <vt:lpstr>GOODBS_2023</vt:lpstr>
      <vt:lpstr>GOODBS_2024</vt:lpstr>
      <vt:lpstr>Tags!GOODBS_2Q00</vt:lpstr>
      <vt:lpstr>GOODBS_2Q00</vt:lpstr>
      <vt:lpstr>Tags!GOODBS_2Q01</vt:lpstr>
      <vt:lpstr>GOODBS_2Q01</vt:lpstr>
      <vt:lpstr>Tags!GOODBS_2Q02</vt:lpstr>
      <vt:lpstr>GOODBS_2Q02</vt:lpstr>
      <vt:lpstr>Tags!GOODBS_2Q03</vt:lpstr>
      <vt:lpstr>GOODBS_2Q03</vt:lpstr>
      <vt:lpstr>Tags!GOODBS_2Q04</vt:lpstr>
      <vt:lpstr>GOODBS_2Q04</vt:lpstr>
      <vt:lpstr>Tags!GOODBS_2Q05</vt:lpstr>
      <vt:lpstr>GOODBS_2Q05</vt:lpstr>
      <vt:lpstr>Tags!GOODBS_2Q06</vt:lpstr>
      <vt:lpstr>GOODBS_2Q06</vt:lpstr>
      <vt:lpstr>Tags!GOODBS_2Q07</vt:lpstr>
      <vt:lpstr>GOODBS_2Q07</vt:lpstr>
      <vt:lpstr>Tags!GOODBS_2Q08</vt:lpstr>
      <vt:lpstr>GOODBS_2Q08</vt:lpstr>
      <vt:lpstr>Tags!GOODBS_2Q09</vt:lpstr>
      <vt:lpstr>GOODBS_2Q09</vt:lpstr>
      <vt:lpstr>Tags!GOODBS_2Q10</vt:lpstr>
      <vt:lpstr>GOODBS_2Q10</vt:lpstr>
      <vt:lpstr>Tags!GOODBS_2Q11</vt:lpstr>
      <vt:lpstr>GOODBS_2Q11</vt:lpstr>
      <vt:lpstr>Tags!GOODBS_2Q12</vt:lpstr>
      <vt:lpstr>GOODBS_2Q12</vt:lpstr>
      <vt:lpstr>Tags!GOODBS_2Q13</vt:lpstr>
      <vt:lpstr>GOODBS_2Q13</vt:lpstr>
      <vt:lpstr>Tags!GOODBS_2Q14</vt:lpstr>
      <vt:lpstr>GOODBS_2Q14</vt:lpstr>
      <vt:lpstr>Tags!GOODBS_2Q15</vt:lpstr>
      <vt:lpstr>GOODBS_2Q15</vt:lpstr>
      <vt:lpstr>Tags!GOODBS_2Q16</vt:lpstr>
      <vt:lpstr>GOODBS_2Q16</vt:lpstr>
      <vt:lpstr>Tags!GOODBS_2Q17</vt:lpstr>
      <vt:lpstr>GOODBS_2Q17</vt:lpstr>
      <vt:lpstr>Tags!GOODBS_2Q18</vt:lpstr>
      <vt:lpstr>GOODBS_2Q18</vt:lpstr>
      <vt:lpstr>Tags!GOODBS_2Q19</vt:lpstr>
      <vt:lpstr>GOODBS_2Q19</vt:lpstr>
      <vt:lpstr>Tags!GOODBS_2Q20</vt:lpstr>
      <vt:lpstr>GOODBS_2Q20</vt:lpstr>
      <vt:lpstr>GOODBS_2Q21</vt:lpstr>
      <vt:lpstr>GOODBS_2Q22</vt:lpstr>
      <vt:lpstr>GOODBS_2Q23</vt:lpstr>
      <vt:lpstr>GOODBS_2Q24</vt:lpstr>
      <vt:lpstr>Tags!GOODBS_3Q00</vt:lpstr>
      <vt:lpstr>GOODBS_3Q00</vt:lpstr>
      <vt:lpstr>Tags!GOODBS_3Q01</vt:lpstr>
      <vt:lpstr>GOODBS_3Q01</vt:lpstr>
      <vt:lpstr>Tags!GOODBS_3Q02</vt:lpstr>
      <vt:lpstr>GOODBS_3Q02</vt:lpstr>
      <vt:lpstr>Tags!GOODBS_3Q03</vt:lpstr>
      <vt:lpstr>GOODBS_3Q03</vt:lpstr>
      <vt:lpstr>Tags!GOODBS_3Q04</vt:lpstr>
      <vt:lpstr>GOODBS_3Q04</vt:lpstr>
      <vt:lpstr>Tags!GOODBS_3Q05</vt:lpstr>
      <vt:lpstr>GOODBS_3Q05</vt:lpstr>
      <vt:lpstr>Tags!GOODBS_3Q06</vt:lpstr>
      <vt:lpstr>GOODBS_3Q06</vt:lpstr>
      <vt:lpstr>Tags!GOODBS_3Q07</vt:lpstr>
      <vt:lpstr>GOODBS_3Q07</vt:lpstr>
      <vt:lpstr>Tags!GOODBS_3Q08</vt:lpstr>
      <vt:lpstr>GOODBS_3Q08</vt:lpstr>
      <vt:lpstr>Tags!GOODBS_3Q09</vt:lpstr>
      <vt:lpstr>GOODBS_3Q09</vt:lpstr>
      <vt:lpstr>Tags!GOODBS_3Q10</vt:lpstr>
      <vt:lpstr>GOODBS_3Q10</vt:lpstr>
      <vt:lpstr>Tags!GOODBS_3Q11</vt:lpstr>
      <vt:lpstr>GOODBS_3Q11</vt:lpstr>
      <vt:lpstr>Tags!GOODBS_3Q12</vt:lpstr>
      <vt:lpstr>GOODBS_3Q12</vt:lpstr>
      <vt:lpstr>Tags!GOODBS_3Q13</vt:lpstr>
      <vt:lpstr>GOODBS_3Q13</vt:lpstr>
      <vt:lpstr>Tags!GOODBS_3Q14</vt:lpstr>
      <vt:lpstr>GOODBS_3Q14</vt:lpstr>
      <vt:lpstr>Tags!GOODBS_3Q15</vt:lpstr>
      <vt:lpstr>GOODBS_3Q15</vt:lpstr>
      <vt:lpstr>Tags!GOODBS_3Q16</vt:lpstr>
      <vt:lpstr>GOODBS_3Q16</vt:lpstr>
      <vt:lpstr>Tags!GOODBS_3Q17</vt:lpstr>
      <vt:lpstr>GOODBS_3Q17</vt:lpstr>
      <vt:lpstr>Tags!GOODBS_3Q18</vt:lpstr>
      <vt:lpstr>GOODBS_3Q18</vt:lpstr>
      <vt:lpstr>Tags!GOODBS_3Q19</vt:lpstr>
      <vt:lpstr>GOODBS_3Q19</vt:lpstr>
      <vt:lpstr>Tags!GOODBS_3Q20</vt:lpstr>
      <vt:lpstr>GOODBS_3Q20</vt:lpstr>
      <vt:lpstr>GOODBS_3Q21</vt:lpstr>
      <vt:lpstr>GOODBS_3Q22</vt:lpstr>
      <vt:lpstr>GOODBS_3Q23</vt:lpstr>
      <vt:lpstr>GOODBS_3Q24</vt:lpstr>
      <vt:lpstr>Tags!GOODBS_4Q00</vt:lpstr>
      <vt:lpstr>GOODBS_4Q00</vt:lpstr>
      <vt:lpstr>Tags!GOODBS_4Q01</vt:lpstr>
      <vt:lpstr>GOODBS_4Q01</vt:lpstr>
      <vt:lpstr>Tags!GOODBS_4Q02</vt:lpstr>
      <vt:lpstr>GOODBS_4Q02</vt:lpstr>
      <vt:lpstr>Tags!GOODBS_4Q03</vt:lpstr>
      <vt:lpstr>GOODBS_4Q03</vt:lpstr>
      <vt:lpstr>Tags!GOODBS_4Q04</vt:lpstr>
      <vt:lpstr>GOODBS_4Q04</vt:lpstr>
      <vt:lpstr>Tags!GOODBS_4Q05</vt:lpstr>
      <vt:lpstr>GOODBS_4Q05</vt:lpstr>
      <vt:lpstr>Tags!GOODBS_4Q06</vt:lpstr>
      <vt:lpstr>GOODBS_4Q06</vt:lpstr>
      <vt:lpstr>Tags!GOODBS_4Q07</vt:lpstr>
      <vt:lpstr>GOODBS_4Q07</vt:lpstr>
      <vt:lpstr>Tags!GOODBS_4Q08</vt:lpstr>
      <vt:lpstr>GOODBS_4Q08</vt:lpstr>
      <vt:lpstr>Tags!GOODBS_4Q09</vt:lpstr>
      <vt:lpstr>GOODBS_4Q09</vt:lpstr>
      <vt:lpstr>Tags!GOODBS_4Q10</vt:lpstr>
      <vt:lpstr>GOODBS_4Q10</vt:lpstr>
      <vt:lpstr>Tags!GOODBS_4Q11</vt:lpstr>
      <vt:lpstr>GOODBS_4Q11</vt:lpstr>
      <vt:lpstr>Tags!GOODBS_4Q12</vt:lpstr>
      <vt:lpstr>GOODBS_4Q12</vt:lpstr>
      <vt:lpstr>Tags!GOODBS_4Q13</vt:lpstr>
      <vt:lpstr>GOODBS_4Q13</vt:lpstr>
      <vt:lpstr>Tags!GOODBS_4Q14</vt:lpstr>
      <vt:lpstr>GOODBS_4Q14</vt:lpstr>
      <vt:lpstr>Tags!GOODBS_4Q15</vt:lpstr>
      <vt:lpstr>GOODBS_4Q15</vt:lpstr>
      <vt:lpstr>Tags!GOODBS_4Q16</vt:lpstr>
      <vt:lpstr>GOODBS_4Q16</vt:lpstr>
      <vt:lpstr>Tags!GOODBS_4Q17</vt:lpstr>
      <vt:lpstr>GOODBS_4Q17</vt:lpstr>
      <vt:lpstr>Tags!GOODBS_4Q18</vt:lpstr>
      <vt:lpstr>GOODBS_4Q18</vt:lpstr>
      <vt:lpstr>Tags!GOODBS_4Q19</vt:lpstr>
      <vt:lpstr>GOODBS_4Q19</vt:lpstr>
      <vt:lpstr>Tags!GOODBS_4Q20</vt:lpstr>
      <vt:lpstr>GOODBS_4Q20</vt:lpstr>
      <vt:lpstr>GOODBS_4Q21</vt:lpstr>
      <vt:lpstr>GOODBS_4Q22</vt:lpstr>
      <vt:lpstr>GOODBS_4Q23</vt:lpstr>
      <vt:lpstr>GOODBS_4Q24</vt:lpstr>
      <vt:lpstr>GPERP_1995</vt:lpstr>
      <vt:lpstr>GPERP_1996</vt:lpstr>
      <vt:lpstr>GPERP_1997</vt:lpstr>
      <vt:lpstr>GPERP_1998</vt:lpstr>
      <vt:lpstr>GPERP_1999</vt:lpstr>
      <vt:lpstr>Tags!GPERP_1Q00</vt:lpstr>
      <vt:lpstr>GPERP_1Q00</vt:lpstr>
      <vt:lpstr>Tags!GPERP_1Q01</vt:lpstr>
      <vt:lpstr>GPERP_1Q01</vt:lpstr>
      <vt:lpstr>Tags!GPERP_1Q02</vt:lpstr>
      <vt:lpstr>GPERP_1Q02</vt:lpstr>
      <vt:lpstr>Tags!GPERP_1Q03</vt:lpstr>
      <vt:lpstr>GPERP_1Q03</vt:lpstr>
      <vt:lpstr>Tags!GPERP_1Q04</vt:lpstr>
      <vt:lpstr>GPERP_1Q04</vt:lpstr>
      <vt:lpstr>Tags!GPERP_1Q05</vt:lpstr>
      <vt:lpstr>GPERP_1Q05</vt:lpstr>
      <vt:lpstr>Tags!GPERP_1Q06</vt:lpstr>
      <vt:lpstr>GPERP_1Q06</vt:lpstr>
      <vt:lpstr>Tags!GPERP_1Q07</vt:lpstr>
      <vt:lpstr>GPERP_1Q07</vt:lpstr>
      <vt:lpstr>Tags!GPERP_1Q08</vt:lpstr>
      <vt:lpstr>GPERP_1Q08</vt:lpstr>
      <vt:lpstr>Tags!GPERP_1Q09</vt:lpstr>
      <vt:lpstr>GPERP_1Q09</vt:lpstr>
      <vt:lpstr>Tags!GPERP_1Q10</vt:lpstr>
      <vt:lpstr>GPERP_1Q10</vt:lpstr>
      <vt:lpstr>Tags!GPERP_1Q11</vt:lpstr>
      <vt:lpstr>GPERP_1Q11</vt:lpstr>
      <vt:lpstr>Tags!GPERP_1Q12</vt:lpstr>
      <vt:lpstr>GPERP_1Q12</vt:lpstr>
      <vt:lpstr>Tags!GPERP_1Q13</vt:lpstr>
      <vt:lpstr>GPERP_1Q13</vt:lpstr>
      <vt:lpstr>Tags!GPERP_1Q14</vt:lpstr>
      <vt:lpstr>GPERP_1Q14</vt:lpstr>
      <vt:lpstr>Tags!GPERP_1Q15</vt:lpstr>
      <vt:lpstr>GPERP_1Q15</vt:lpstr>
      <vt:lpstr>Tags!GPERP_1Q16</vt:lpstr>
      <vt:lpstr>GPERP_1Q16</vt:lpstr>
      <vt:lpstr>Tags!GPERP_1Q17</vt:lpstr>
      <vt:lpstr>GPERP_1Q17</vt:lpstr>
      <vt:lpstr>Tags!GPERP_1Q18</vt:lpstr>
      <vt:lpstr>GPERP_1Q18</vt:lpstr>
      <vt:lpstr>Tags!GPERP_1Q19</vt:lpstr>
      <vt:lpstr>GPERP_1Q19</vt:lpstr>
      <vt:lpstr>Tags!GPERP_1Q20</vt:lpstr>
      <vt:lpstr>GPERP_1Q20</vt:lpstr>
      <vt:lpstr>GPERP_1Q21</vt:lpstr>
      <vt:lpstr>GPERP_1Q22</vt:lpstr>
      <vt:lpstr>GPERP_1Q23</vt:lpstr>
      <vt:lpstr>GPERP_1Q24</vt:lpstr>
      <vt:lpstr>Tags!GPERP_2000</vt:lpstr>
      <vt:lpstr>GPERP_2000</vt:lpstr>
      <vt:lpstr>Tags!GPERP_2001</vt:lpstr>
      <vt:lpstr>GPERP_2001</vt:lpstr>
      <vt:lpstr>Tags!GPERP_2002</vt:lpstr>
      <vt:lpstr>GPERP_2002</vt:lpstr>
      <vt:lpstr>Tags!GPERP_2003</vt:lpstr>
      <vt:lpstr>GPERP_2003</vt:lpstr>
      <vt:lpstr>Tags!GPERP_2004</vt:lpstr>
      <vt:lpstr>GPERP_2004</vt:lpstr>
      <vt:lpstr>Tags!GPERP_2005</vt:lpstr>
      <vt:lpstr>GPERP_2005</vt:lpstr>
      <vt:lpstr>Tags!GPERP_2006</vt:lpstr>
      <vt:lpstr>GPERP_2006</vt:lpstr>
      <vt:lpstr>Tags!GPERP_2007</vt:lpstr>
      <vt:lpstr>GPERP_2007</vt:lpstr>
      <vt:lpstr>Tags!GPERP_2008</vt:lpstr>
      <vt:lpstr>GPERP_2008</vt:lpstr>
      <vt:lpstr>Tags!GPERP_2009</vt:lpstr>
      <vt:lpstr>GPERP_2009</vt:lpstr>
      <vt:lpstr>Tags!GPERP_2010</vt:lpstr>
      <vt:lpstr>GPERP_2010</vt:lpstr>
      <vt:lpstr>Tags!GPERP_2011</vt:lpstr>
      <vt:lpstr>GPERP_2011</vt:lpstr>
      <vt:lpstr>Tags!GPERP_2012</vt:lpstr>
      <vt:lpstr>GPERP_2012</vt:lpstr>
      <vt:lpstr>Tags!GPERP_2013</vt:lpstr>
      <vt:lpstr>GPERP_2013</vt:lpstr>
      <vt:lpstr>Tags!GPERP_2014</vt:lpstr>
      <vt:lpstr>GPERP_2014</vt:lpstr>
      <vt:lpstr>GPERP_2015</vt:lpstr>
      <vt:lpstr>Tags!GPERP_2016</vt:lpstr>
      <vt:lpstr>GPERP_2016</vt:lpstr>
      <vt:lpstr>Tags!GPERP_2017</vt:lpstr>
      <vt:lpstr>GPERP_2017</vt:lpstr>
      <vt:lpstr>Tags!GPERP_2018</vt:lpstr>
      <vt:lpstr>GPERP_2018</vt:lpstr>
      <vt:lpstr>Tags!GPERP_2019</vt:lpstr>
      <vt:lpstr>GPERP_2019</vt:lpstr>
      <vt:lpstr>Tags!GPERP_2020</vt:lpstr>
      <vt:lpstr>GPERP_2020</vt:lpstr>
      <vt:lpstr>GPERP_2021</vt:lpstr>
      <vt:lpstr>GPERP_2022</vt:lpstr>
      <vt:lpstr>GPERP_2023</vt:lpstr>
      <vt:lpstr>GPERP_2024</vt:lpstr>
      <vt:lpstr>Tags!GPERP_2Q00</vt:lpstr>
      <vt:lpstr>GPERP_2Q00</vt:lpstr>
      <vt:lpstr>Tags!GPERP_2Q01</vt:lpstr>
      <vt:lpstr>GPERP_2Q01</vt:lpstr>
      <vt:lpstr>Tags!GPERP_2Q02</vt:lpstr>
      <vt:lpstr>GPERP_2Q02</vt:lpstr>
      <vt:lpstr>Tags!GPERP_2Q03</vt:lpstr>
      <vt:lpstr>GPERP_2Q03</vt:lpstr>
      <vt:lpstr>Tags!GPERP_2Q04</vt:lpstr>
      <vt:lpstr>GPERP_2Q04</vt:lpstr>
      <vt:lpstr>Tags!GPERP_2Q05</vt:lpstr>
      <vt:lpstr>GPERP_2Q05</vt:lpstr>
      <vt:lpstr>Tags!GPERP_2Q06</vt:lpstr>
      <vt:lpstr>GPERP_2Q06</vt:lpstr>
      <vt:lpstr>Tags!GPERP_2Q07</vt:lpstr>
      <vt:lpstr>GPERP_2Q07</vt:lpstr>
      <vt:lpstr>Tags!GPERP_2Q08</vt:lpstr>
      <vt:lpstr>GPERP_2Q08</vt:lpstr>
      <vt:lpstr>Tags!GPERP_2Q09</vt:lpstr>
      <vt:lpstr>GPERP_2Q09</vt:lpstr>
      <vt:lpstr>Tags!GPERP_2Q10</vt:lpstr>
      <vt:lpstr>GPERP_2Q10</vt:lpstr>
      <vt:lpstr>Tags!GPERP_2Q11</vt:lpstr>
      <vt:lpstr>GPERP_2Q11</vt:lpstr>
      <vt:lpstr>Tags!GPERP_2Q12</vt:lpstr>
      <vt:lpstr>GPERP_2Q12</vt:lpstr>
      <vt:lpstr>Tags!GPERP_2Q13</vt:lpstr>
      <vt:lpstr>GPERP_2Q13</vt:lpstr>
      <vt:lpstr>Tags!GPERP_2Q14</vt:lpstr>
      <vt:lpstr>GPERP_2Q14</vt:lpstr>
      <vt:lpstr>Tags!GPERP_2Q15</vt:lpstr>
      <vt:lpstr>GPERP_2Q15</vt:lpstr>
      <vt:lpstr>Tags!GPERP_2Q16</vt:lpstr>
      <vt:lpstr>GPERP_2Q16</vt:lpstr>
      <vt:lpstr>Tags!GPERP_2Q17</vt:lpstr>
      <vt:lpstr>GPERP_2Q17</vt:lpstr>
      <vt:lpstr>Tags!GPERP_2Q18</vt:lpstr>
      <vt:lpstr>GPERP_2Q18</vt:lpstr>
      <vt:lpstr>Tags!GPERP_2Q19</vt:lpstr>
      <vt:lpstr>GPERP_2Q19</vt:lpstr>
      <vt:lpstr>Tags!GPERP_2Q20</vt:lpstr>
      <vt:lpstr>GPERP_2Q20</vt:lpstr>
      <vt:lpstr>GPERP_2Q21</vt:lpstr>
      <vt:lpstr>GPERP_2Q22</vt:lpstr>
      <vt:lpstr>GPERP_2Q23</vt:lpstr>
      <vt:lpstr>GPERP_2Q24</vt:lpstr>
      <vt:lpstr>Tags!GPERP_3Q00</vt:lpstr>
      <vt:lpstr>GPERP_3Q00</vt:lpstr>
      <vt:lpstr>Tags!GPERP_3Q01</vt:lpstr>
      <vt:lpstr>GPERP_3Q01</vt:lpstr>
      <vt:lpstr>Tags!GPERP_3Q02</vt:lpstr>
      <vt:lpstr>GPERP_3Q02</vt:lpstr>
      <vt:lpstr>Tags!GPERP_3Q03</vt:lpstr>
      <vt:lpstr>GPERP_3Q03</vt:lpstr>
      <vt:lpstr>Tags!GPERP_3Q04</vt:lpstr>
      <vt:lpstr>GPERP_3Q04</vt:lpstr>
      <vt:lpstr>Tags!GPERP_3Q05</vt:lpstr>
      <vt:lpstr>GPERP_3Q05</vt:lpstr>
      <vt:lpstr>Tags!GPERP_3Q06</vt:lpstr>
      <vt:lpstr>GPERP_3Q06</vt:lpstr>
      <vt:lpstr>Tags!GPERP_3Q07</vt:lpstr>
      <vt:lpstr>GPERP_3Q07</vt:lpstr>
      <vt:lpstr>Tags!GPERP_3Q08</vt:lpstr>
      <vt:lpstr>GPERP_3Q08</vt:lpstr>
      <vt:lpstr>Tags!GPERP_3Q09</vt:lpstr>
      <vt:lpstr>GPERP_3Q09</vt:lpstr>
      <vt:lpstr>Tags!GPERP_3Q10</vt:lpstr>
      <vt:lpstr>GPERP_3Q10</vt:lpstr>
      <vt:lpstr>Tags!GPERP_3Q11</vt:lpstr>
      <vt:lpstr>GPERP_3Q11</vt:lpstr>
      <vt:lpstr>Tags!GPERP_3Q12</vt:lpstr>
      <vt:lpstr>GPERP_3Q12</vt:lpstr>
      <vt:lpstr>Tags!GPERP_3Q13</vt:lpstr>
      <vt:lpstr>GPERP_3Q13</vt:lpstr>
      <vt:lpstr>Tags!GPERP_3Q14</vt:lpstr>
      <vt:lpstr>GPERP_3Q14</vt:lpstr>
      <vt:lpstr>Tags!GPERP_3Q15</vt:lpstr>
      <vt:lpstr>GPERP_3Q15</vt:lpstr>
      <vt:lpstr>Tags!GPERP_3Q16</vt:lpstr>
      <vt:lpstr>GPERP_3Q16</vt:lpstr>
      <vt:lpstr>Tags!GPERP_3Q17</vt:lpstr>
      <vt:lpstr>GPERP_3Q17</vt:lpstr>
      <vt:lpstr>Tags!GPERP_3Q18</vt:lpstr>
      <vt:lpstr>GPERP_3Q18</vt:lpstr>
      <vt:lpstr>Tags!GPERP_3Q19</vt:lpstr>
      <vt:lpstr>GPERP_3Q19</vt:lpstr>
      <vt:lpstr>Tags!GPERP_3Q20</vt:lpstr>
      <vt:lpstr>GPERP_3Q20</vt:lpstr>
      <vt:lpstr>GPERP_3Q21</vt:lpstr>
      <vt:lpstr>GPERP_3Q22</vt:lpstr>
      <vt:lpstr>GPERP_3Q23</vt:lpstr>
      <vt:lpstr>GPERP_3Q24</vt:lpstr>
      <vt:lpstr>Tags!GPERP_4Q00</vt:lpstr>
      <vt:lpstr>GPERP_4Q00</vt:lpstr>
      <vt:lpstr>Tags!GPERP_4Q01</vt:lpstr>
      <vt:lpstr>GPERP_4Q01</vt:lpstr>
      <vt:lpstr>Tags!GPERP_4Q02</vt:lpstr>
      <vt:lpstr>GPERP_4Q02</vt:lpstr>
      <vt:lpstr>Tags!GPERP_4Q03</vt:lpstr>
      <vt:lpstr>GPERP_4Q03</vt:lpstr>
      <vt:lpstr>Tags!GPERP_4Q04</vt:lpstr>
      <vt:lpstr>GPERP_4Q04</vt:lpstr>
      <vt:lpstr>Tags!GPERP_4Q05</vt:lpstr>
      <vt:lpstr>GPERP_4Q05</vt:lpstr>
      <vt:lpstr>Tags!GPERP_4Q06</vt:lpstr>
      <vt:lpstr>GPERP_4Q06</vt:lpstr>
      <vt:lpstr>Tags!GPERP_4Q07</vt:lpstr>
      <vt:lpstr>GPERP_4Q07</vt:lpstr>
      <vt:lpstr>Tags!GPERP_4Q08</vt:lpstr>
      <vt:lpstr>GPERP_4Q08</vt:lpstr>
      <vt:lpstr>Tags!GPERP_4Q09</vt:lpstr>
      <vt:lpstr>GPERP_4Q09</vt:lpstr>
      <vt:lpstr>Tags!GPERP_4Q10</vt:lpstr>
      <vt:lpstr>GPERP_4Q10</vt:lpstr>
      <vt:lpstr>Tags!GPERP_4Q11</vt:lpstr>
      <vt:lpstr>GPERP_4Q11</vt:lpstr>
      <vt:lpstr>Tags!GPERP_4Q12</vt:lpstr>
      <vt:lpstr>GPERP_4Q12</vt:lpstr>
      <vt:lpstr>Tags!GPERP_4Q13</vt:lpstr>
      <vt:lpstr>GPERP_4Q13</vt:lpstr>
      <vt:lpstr>Tags!GPERP_4Q14</vt:lpstr>
      <vt:lpstr>GPERP_4Q14</vt:lpstr>
      <vt:lpstr>Tags!GPERP_4Q15</vt:lpstr>
      <vt:lpstr>GPERP_4Q15</vt:lpstr>
      <vt:lpstr>Tags!GPERP_4Q16</vt:lpstr>
      <vt:lpstr>GPERP_4Q16</vt:lpstr>
      <vt:lpstr>Tags!GPERP_4Q17</vt:lpstr>
      <vt:lpstr>GPERP_4Q17</vt:lpstr>
      <vt:lpstr>Tags!GPERP_4Q18</vt:lpstr>
      <vt:lpstr>GPERP_4Q18</vt:lpstr>
      <vt:lpstr>Tags!GPERP_4Q19</vt:lpstr>
      <vt:lpstr>GPERP_4Q19</vt:lpstr>
      <vt:lpstr>Tags!GPERP_4Q20</vt:lpstr>
      <vt:lpstr>GPERP_4Q20</vt:lpstr>
      <vt:lpstr>GPERP_4Q21</vt:lpstr>
      <vt:lpstr>GPERP_4Q22</vt:lpstr>
      <vt:lpstr>GPERP_4Q23</vt:lpstr>
      <vt:lpstr>GPERP_4Q24</vt:lpstr>
      <vt:lpstr>GTFA_1995</vt:lpstr>
      <vt:lpstr>GTFA_1996</vt:lpstr>
      <vt:lpstr>GTFA_1997</vt:lpstr>
      <vt:lpstr>GTFA_1998</vt:lpstr>
      <vt:lpstr>GTFA_1999</vt:lpstr>
      <vt:lpstr>Tags!GTFA_1Q00</vt:lpstr>
      <vt:lpstr>GTFA_1Q00</vt:lpstr>
      <vt:lpstr>Tags!GTFA_1Q01</vt:lpstr>
      <vt:lpstr>GTFA_1Q01</vt:lpstr>
      <vt:lpstr>Tags!GTFA_1Q02</vt:lpstr>
      <vt:lpstr>GTFA_1Q02</vt:lpstr>
      <vt:lpstr>Tags!GTFA_1Q03</vt:lpstr>
      <vt:lpstr>GTFA_1Q03</vt:lpstr>
      <vt:lpstr>Tags!GTFA_1Q04</vt:lpstr>
      <vt:lpstr>GTFA_1Q04</vt:lpstr>
      <vt:lpstr>Tags!GTFA_1Q05</vt:lpstr>
      <vt:lpstr>GTFA_1Q05</vt:lpstr>
      <vt:lpstr>Tags!GTFA_1Q06</vt:lpstr>
      <vt:lpstr>GTFA_1Q06</vt:lpstr>
      <vt:lpstr>Tags!GTFA_1Q07</vt:lpstr>
      <vt:lpstr>GTFA_1Q07</vt:lpstr>
      <vt:lpstr>Tags!GTFA_1Q08</vt:lpstr>
      <vt:lpstr>GTFA_1Q08</vt:lpstr>
      <vt:lpstr>Tags!GTFA_1Q09</vt:lpstr>
      <vt:lpstr>GTFA_1Q09</vt:lpstr>
      <vt:lpstr>Tags!GTFA_1Q10</vt:lpstr>
      <vt:lpstr>GTFA_1Q10</vt:lpstr>
      <vt:lpstr>Tags!GTFA_1Q11</vt:lpstr>
      <vt:lpstr>GTFA_1Q11</vt:lpstr>
      <vt:lpstr>Tags!GTFA_1Q12</vt:lpstr>
      <vt:lpstr>GTFA_1Q12</vt:lpstr>
      <vt:lpstr>Tags!GTFA_1Q13</vt:lpstr>
      <vt:lpstr>GTFA_1Q13</vt:lpstr>
      <vt:lpstr>Tags!GTFA_1Q14</vt:lpstr>
      <vt:lpstr>GTFA_1Q14</vt:lpstr>
      <vt:lpstr>Tags!GTFA_1Q15</vt:lpstr>
      <vt:lpstr>GTFA_1Q15</vt:lpstr>
      <vt:lpstr>Tags!GTFA_1Q16</vt:lpstr>
      <vt:lpstr>GTFA_1Q16</vt:lpstr>
      <vt:lpstr>Tags!GTFA_1Q17</vt:lpstr>
      <vt:lpstr>GTFA_1Q17</vt:lpstr>
      <vt:lpstr>Tags!GTFA_1Q18</vt:lpstr>
      <vt:lpstr>GTFA_1Q18</vt:lpstr>
      <vt:lpstr>Tags!GTFA_1Q19</vt:lpstr>
      <vt:lpstr>GTFA_1Q19</vt:lpstr>
      <vt:lpstr>Tags!GTFA_1Q20</vt:lpstr>
      <vt:lpstr>GTFA_1Q20</vt:lpstr>
      <vt:lpstr>GTFA_1Q21</vt:lpstr>
      <vt:lpstr>GTFA_1Q22</vt:lpstr>
      <vt:lpstr>GTFA_1Q23</vt:lpstr>
      <vt:lpstr>GTFA_1Q24</vt:lpstr>
      <vt:lpstr>Tags!GTFA_2000</vt:lpstr>
      <vt:lpstr>GTFA_2000</vt:lpstr>
      <vt:lpstr>Tags!GTFA_2001</vt:lpstr>
      <vt:lpstr>GTFA_2001</vt:lpstr>
      <vt:lpstr>Tags!GTFA_2002</vt:lpstr>
      <vt:lpstr>GTFA_2002</vt:lpstr>
      <vt:lpstr>Tags!GTFA_2003</vt:lpstr>
      <vt:lpstr>GTFA_2003</vt:lpstr>
      <vt:lpstr>Tags!GTFA_2004</vt:lpstr>
      <vt:lpstr>GTFA_2004</vt:lpstr>
      <vt:lpstr>Tags!GTFA_2005</vt:lpstr>
      <vt:lpstr>GTFA_2005</vt:lpstr>
      <vt:lpstr>Tags!GTFA_2006</vt:lpstr>
      <vt:lpstr>GTFA_2006</vt:lpstr>
      <vt:lpstr>Tags!GTFA_2007</vt:lpstr>
      <vt:lpstr>GTFA_2007</vt:lpstr>
      <vt:lpstr>Tags!GTFA_2008</vt:lpstr>
      <vt:lpstr>GTFA_2008</vt:lpstr>
      <vt:lpstr>Tags!GTFA_2009</vt:lpstr>
      <vt:lpstr>GTFA_2009</vt:lpstr>
      <vt:lpstr>Tags!GTFA_2010</vt:lpstr>
      <vt:lpstr>GTFA_2010</vt:lpstr>
      <vt:lpstr>Tags!GTFA_2011</vt:lpstr>
      <vt:lpstr>GTFA_2011</vt:lpstr>
      <vt:lpstr>Tags!GTFA_2012</vt:lpstr>
      <vt:lpstr>GTFA_2012</vt:lpstr>
      <vt:lpstr>Tags!GTFA_2013</vt:lpstr>
      <vt:lpstr>GTFA_2013</vt:lpstr>
      <vt:lpstr>Tags!GTFA_2014</vt:lpstr>
      <vt:lpstr>GTFA_2014</vt:lpstr>
      <vt:lpstr>GTFA_2015</vt:lpstr>
      <vt:lpstr>Tags!GTFA_2016</vt:lpstr>
      <vt:lpstr>GTFA_2016</vt:lpstr>
      <vt:lpstr>Tags!GTFA_2017</vt:lpstr>
      <vt:lpstr>GTFA_2017</vt:lpstr>
      <vt:lpstr>Tags!GTFA_2018</vt:lpstr>
      <vt:lpstr>GTFA_2018</vt:lpstr>
      <vt:lpstr>Tags!GTFA_2019</vt:lpstr>
      <vt:lpstr>GTFA_2019</vt:lpstr>
      <vt:lpstr>Tags!GTFA_2020</vt:lpstr>
      <vt:lpstr>GTFA_2020</vt:lpstr>
      <vt:lpstr>GTFA_2021</vt:lpstr>
      <vt:lpstr>GTFA_2022</vt:lpstr>
      <vt:lpstr>GTFA_2023</vt:lpstr>
      <vt:lpstr>GTFA_2024</vt:lpstr>
      <vt:lpstr>Tags!GTFA_2Q00</vt:lpstr>
      <vt:lpstr>GTFA_2Q00</vt:lpstr>
      <vt:lpstr>Tags!GTFA_2Q01</vt:lpstr>
      <vt:lpstr>GTFA_2Q01</vt:lpstr>
      <vt:lpstr>Tags!GTFA_2Q02</vt:lpstr>
      <vt:lpstr>GTFA_2Q02</vt:lpstr>
      <vt:lpstr>Tags!GTFA_2Q03</vt:lpstr>
      <vt:lpstr>GTFA_2Q03</vt:lpstr>
      <vt:lpstr>Tags!GTFA_2Q04</vt:lpstr>
      <vt:lpstr>GTFA_2Q04</vt:lpstr>
      <vt:lpstr>Tags!GTFA_2Q05</vt:lpstr>
      <vt:lpstr>GTFA_2Q05</vt:lpstr>
      <vt:lpstr>Tags!GTFA_2Q06</vt:lpstr>
      <vt:lpstr>GTFA_2Q06</vt:lpstr>
      <vt:lpstr>Tags!GTFA_2Q07</vt:lpstr>
      <vt:lpstr>GTFA_2Q07</vt:lpstr>
      <vt:lpstr>Tags!GTFA_2Q08</vt:lpstr>
      <vt:lpstr>GTFA_2Q08</vt:lpstr>
      <vt:lpstr>Tags!GTFA_2Q09</vt:lpstr>
      <vt:lpstr>GTFA_2Q09</vt:lpstr>
      <vt:lpstr>Tags!GTFA_2Q10</vt:lpstr>
      <vt:lpstr>GTFA_2Q10</vt:lpstr>
      <vt:lpstr>Tags!GTFA_2Q11</vt:lpstr>
      <vt:lpstr>GTFA_2Q11</vt:lpstr>
      <vt:lpstr>Tags!GTFA_2Q12</vt:lpstr>
      <vt:lpstr>GTFA_2Q12</vt:lpstr>
      <vt:lpstr>Tags!GTFA_2Q13</vt:lpstr>
      <vt:lpstr>GTFA_2Q13</vt:lpstr>
      <vt:lpstr>Tags!GTFA_2Q14</vt:lpstr>
      <vt:lpstr>GTFA_2Q14</vt:lpstr>
      <vt:lpstr>Tags!GTFA_2Q15</vt:lpstr>
      <vt:lpstr>GTFA_2Q15</vt:lpstr>
      <vt:lpstr>Tags!GTFA_2Q16</vt:lpstr>
      <vt:lpstr>GTFA_2Q16</vt:lpstr>
      <vt:lpstr>Tags!GTFA_2Q17</vt:lpstr>
      <vt:lpstr>GTFA_2Q17</vt:lpstr>
      <vt:lpstr>Tags!GTFA_2Q18</vt:lpstr>
      <vt:lpstr>GTFA_2Q18</vt:lpstr>
      <vt:lpstr>Tags!GTFA_2Q19</vt:lpstr>
      <vt:lpstr>GTFA_2Q19</vt:lpstr>
      <vt:lpstr>Tags!GTFA_2Q20</vt:lpstr>
      <vt:lpstr>GTFA_2Q20</vt:lpstr>
      <vt:lpstr>GTFA_2Q21</vt:lpstr>
      <vt:lpstr>GTFA_2Q22</vt:lpstr>
      <vt:lpstr>GTFA_2Q23</vt:lpstr>
      <vt:lpstr>GTFA_2Q24</vt:lpstr>
      <vt:lpstr>Tags!GTFA_3Q00</vt:lpstr>
      <vt:lpstr>GTFA_3Q00</vt:lpstr>
      <vt:lpstr>Tags!GTFA_3Q01</vt:lpstr>
      <vt:lpstr>GTFA_3Q01</vt:lpstr>
      <vt:lpstr>Tags!GTFA_3Q02</vt:lpstr>
      <vt:lpstr>GTFA_3Q02</vt:lpstr>
      <vt:lpstr>Tags!GTFA_3Q03</vt:lpstr>
      <vt:lpstr>GTFA_3Q03</vt:lpstr>
      <vt:lpstr>Tags!GTFA_3Q04</vt:lpstr>
      <vt:lpstr>GTFA_3Q04</vt:lpstr>
      <vt:lpstr>Tags!GTFA_3Q05</vt:lpstr>
      <vt:lpstr>GTFA_3Q05</vt:lpstr>
      <vt:lpstr>Tags!GTFA_3Q06</vt:lpstr>
      <vt:lpstr>GTFA_3Q06</vt:lpstr>
      <vt:lpstr>Tags!GTFA_3Q07</vt:lpstr>
      <vt:lpstr>GTFA_3Q07</vt:lpstr>
      <vt:lpstr>Tags!GTFA_3Q08</vt:lpstr>
      <vt:lpstr>GTFA_3Q08</vt:lpstr>
      <vt:lpstr>Tags!GTFA_3Q09</vt:lpstr>
      <vt:lpstr>GTFA_3Q09</vt:lpstr>
      <vt:lpstr>Tags!GTFA_3Q10</vt:lpstr>
      <vt:lpstr>GTFA_3Q10</vt:lpstr>
      <vt:lpstr>Tags!GTFA_3Q11</vt:lpstr>
      <vt:lpstr>GTFA_3Q11</vt:lpstr>
      <vt:lpstr>Tags!GTFA_3Q12</vt:lpstr>
      <vt:lpstr>GTFA_3Q12</vt:lpstr>
      <vt:lpstr>Tags!GTFA_3Q13</vt:lpstr>
      <vt:lpstr>GTFA_3Q13</vt:lpstr>
      <vt:lpstr>Tags!GTFA_3Q14</vt:lpstr>
      <vt:lpstr>GTFA_3Q14</vt:lpstr>
      <vt:lpstr>Tags!GTFA_3Q15</vt:lpstr>
      <vt:lpstr>GTFA_3Q15</vt:lpstr>
      <vt:lpstr>Tags!GTFA_3Q16</vt:lpstr>
      <vt:lpstr>GTFA_3Q16</vt:lpstr>
      <vt:lpstr>Tags!GTFA_3Q17</vt:lpstr>
      <vt:lpstr>GTFA_3Q17</vt:lpstr>
      <vt:lpstr>Tags!GTFA_3Q18</vt:lpstr>
      <vt:lpstr>GTFA_3Q18</vt:lpstr>
      <vt:lpstr>Tags!GTFA_3Q19</vt:lpstr>
      <vt:lpstr>GTFA_3Q19</vt:lpstr>
      <vt:lpstr>Tags!GTFA_3Q20</vt:lpstr>
      <vt:lpstr>GTFA_3Q20</vt:lpstr>
      <vt:lpstr>GTFA_3Q21</vt:lpstr>
      <vt:lpstr>GTFA_3Q22</vt:lpstr>
      <vt:lpstr>GTFA_3Q23</vt:lpstr>
      <vt:lpstr>GTFA_3Q24</vt:lpstr>
      <vt:lpstr>Tags!GTFA_4Q00</vt:lpstr>
      <vt:lpstr>GTFA_4Q00</vt:lpstr>
      <vt:lpstr>Tags!GTFA_4Q01</vt:lpstr>
      <vt:lpstr>GTFA_4Q01</vt:lpstr>
      <vt:lpstr>Tags!GTFA_4Q02</vt:lpstr>
      <vt:lpstr>GTFA_4Q02</vt:lpstr>
      <vt:lpstr>Tags!GTFA_4Q03</vt:lpstr>
      <vt:lpstr>GTFA_4Q03</vt:lpstr>
      <vt:lpstr>Tags!GTFA_4Q04</vt:lpstr>
      <vt:lpstr>GTFA_4Q04</vt:lpstr>
      <vt:lpstr>Tags!GTFA_4Q05</vt:lpstr>
      <vt:lpstr>GTFA_4Q05</vt:lpstr>
      <vt:lpstr>Tags!GTFA_4Q06</vt:lpstr>
      <vt:lpstr>GTFA_4Q06</vt:lpstr>
      <vt:lpstr>Tags!GTFA_4Q07</vt:lpstr>
      <vt:lpstr>GTFA_4Q07</vt:lpstr>
      <vt:lpstr>Tags!GTFA_4Q08</vt:lpstr>
      <vt:lpstr>GTFA_4Q08</vt:lpstr>
      <vt:lpstr>Tags!GTFA_4Q09</vt:lpstr>
      <vt:lpstr>GTFA_4Q09</vt:lpstr>
      <vt:lpstr>Tags!GTFA_4Q10</vt:lpstr>
      <vt:lpstr>GTFA_4Q10</vt:lpstr>
      <vt:lpstr>Tags!GTFA_4Q11</vt:lpstr>
      <vt:lpstr>GTFA_4Q11</vt:lpstr>
      <vt:lpstr>Tags!GTFA_4Q12</vt:lpstr>
      <vt:lpstr>GTFA_4Q12</vt:lpstr>
      <vt:lpstr>Tags!GTFA_4Q13</vt:lpstr>
      <vt:lpstr>GTFA_4Q13</vt:lpstr>
      <vt:lpstr>Tags!GTFA_4Q14</vt:lpstr>
      <vt:lpstr>GTFA_4Q14</vt:lpstr>
      <vt:lpstr>Tags!GTFA_4Q15</vt:lpstr>
      <vt:lpstr>GTFA_4Q15</vt:lpstr>
      <vt:lpstr>Tags!GTFA_4Q16</vt:lpstr>
      <vt:lpstr>GTFA_4Q16</vt:lpstr>
      <vt:lpstr>Tags!GTFA_4Q17</vt:lpstr>
      <vt:lpstr>GTFA_4Q17</vt:lpstr>
      <vt:lpstr>Tags!GTFA_4Q18</vt:lpstr>
      <vt:lpstr>GTFA_4Q18</vt:lpstr>
      <vt:lpstr>Tags!GTFA_4Q19</vt:lpstr>
      <vt:lpstr>GTFA_4Q19</vt:lpstr>
      <vt:lpstr>Tags!GTFA_4Q20</vt:lpstr>
      <vt:lpstr>GTFA_4Q20</vt:lpstr>
      <vt:lpstr>GTFA_4Q21</vt:lpstr>
      <vt:lpstr>GTFA_4Q22</vt:lpstr>
      <vt:lpstr>GTFA_4Q23</vt:lpstr>
      <vt:lpstr>GTFA_4Q24</vt:lpstr>
      <vt:lpstr>IEXP_1995</vt:lpstr>
      <vt:lpstr>IEXP_1996</vt:lpstr>
      <vt:lpstr>IEXP_1997</vt:lpstr>
      <vt:lpstr>IEXP_1998</vt:lpstr>
      <vt:lpstr>IEXP_1999</vt:lpstr>
      <vt:lpstr>Tags!IEXP_1Q00</vt:lpstr>
      <vt:lpstr>IEXP_1Q00</vt:lpstr>
      <vt:lpstr>Tags!IEXP_1Q01</vt:lpstr>
      <vt:lpstr>IEXP_1Q01</vt:lpstr>
      <vt:lpstr>Tags!IEXP_1Q02</vt:lpstr>
      <vt:lpstr>IEXP_1Q02</vt:lpstr>
      <vt:lpstr>Tags!IEXP_1Q03</vt:lpstr>
      <vt:lpstr>IEXP_1Q03</vt:lpstr>
      <vt:lpstr>Tags!IEXP_1Q04</vt:lpstr>
      <vt:lpstr>IEXP_1Q04</vt:lpstr>
      <vt:lpstr>Tags!IEXP_1Q05</vt:lpstr>
      <vt:lpstr>IEXP_1Q05</vt:lpstr>
      <vt:lpstr>Tags!IEXP_1Q06</vt:lpstr>
      <vt:lpstr>IEXP_1Q06</vt:lpstr>
      <vt:lpstr>Tags!IEXP_1Q07</vt:lpstr>
      <vt:lpstr>IEXP_1Q07</vt:lpstr>
      <vt:lpstr>Tags!IEXP_1Q08</vt:lpstr>
      <vt:lpstr>IEXP_1Q08</vt:lpstr>
      <vt:lpstr>Tags!IEXP_1Q09</vt:lpstr>
      <vt:lpstr>IEXP_1Q09</vt:lpstr>
      <vt:lpstr>Tags!IEXP_1Q10</vt:lpstr>
      <vt:lpstr>IEXP_1Q10</vt:lpstr>
      <vt:lpstr>Tags!IEXP_1Q11</vt:lpstr>
      <vt:lpstr>IEXP_1Q11</vt:lpstr>
      <vt:lpstr>Tags!IEXP_1Q12</vt:lpstr>
      <vt:lpstr>IEXP_1Q12</vt:lpstr>
      <vt:lpstr>Tags!IEXP_1Q13</vt:lpstr>
      <vt:lpstr>IEXP_1Q13</vt:lpstr>
      <vt:lpstr>Tags!IEXP_1Q14</vt:lpstr>
      <vt:lpstr>IEXP_1Q14</vt:lpstr>
      <vt:lpstr>Tags!IEXP_1Q15</vt:lpstr>
      <vt:lpstr>IEXP_1Q15</vt:lpstr>
      <vt:lpstr>Tags!IEXP_1Q16</vt:lpstr>
      <vt:lpstr>IEXP_1Q16</vt:lpstr>
      <vt:lpstr>Tags!IEXP_1Q17</vt:lpstr>
      <vt:lpstr>IEXP_1Q17</vt:lpstr>
      <vt:lpstr>Tags!IEXP_1Q18</vt:lpstr>
      <vt:lpstr>IEXP_1Q18</vt:lpstr>
      <vt:lpstr>Tags!IEXP_1Q19</vt:lpstr>
      <vt:lpstr>IEXP_1Q19</vt:lpstr>
      <vt:lpstr>Tags!IEXP_1Q20</vt:lpstr>
      <vt:lpstr>IEXP_1Q20</vt:lpstr>
      <vt:lpstr>IEXP_1Q21</vt:lpstr>
      <vt:lpstr>IEXP_1Q22</vt:lpstr>
      <vt:lpstr>IEXP_1Q23</vt:lpstr>
      <vt:lpstr>IEXP_1Q24</vt:lpstr>
      <vt:lpstr>Tags!IEXP_2000</vt:lpstr>
      <vt:lpstr>IEXP_2000</vt:lpstr>
      <vt:lpstr>Tags!IEXP_2001</vt:lpstr>
      <vt:lpstr>IEXP_2001</vt:lpstr>
      <vt:lpstr>Tags!IEXP_2002</vt:lpstr>
      <vt:lpstr>IEXP_2002</vt:lpstr>
      <vt:lpstr>Tags!IEXP_2003</vt:lpstr>
      <vt:lpstr>IEXP_2003</vt:lpstr>
      <vt:lpstr>Tags!IEXP_2004</vt:lpstr>
      <vt:lpstr>IEXP_2004</vt:lpstr>
      <vt:lpstr>Tags!IEXP_2005</vt:lpstr>
      <vt:lpstr>IEXP_2005</vt:lpstr>
      <vt:lpstr>Tags!IEXP_2006</vt:lpstr>
      <vt:lpstr>IEXP_2006</vt:lpstr>
      <vt:lpstr>Tags!IEXP_2007</vt:lpstr>
      <vt:lpstr>IEXP_2007</vt:lpstr>
      <vt:lpstr>Tags!IEXP_2008</vt:lpstr>
      <vt:lpstr>IEXP_2008</vt:lpstr>
      <vt:lpstr>Tags!IEXP_2009</vt:lpstr>
      <vt:lpstr>IEXP_2009</vt:lpstr>
      <vt:lpstr>Tags!IEXP_2010</vt:lpstr>
      <vt:lpstr>IEXP_2010</vt:lpstr>
      <vt:lpstr>Tags!IEXP_2011</vt:lpstr>
      <vt:lpstr>IEXP_2011</vt:lpstr>
      <vt:lpstr>Tags!IEXP_2012</vt:lpstr>
      <vt:lpstr>IEXP_2012</vt:lpstr>
      <vt:lpstr>Tags!IEXP_2013</vt:lpstr>
      <vt:lpstr>IEXP_2013</vt:lpstr>
      <vt:lpstr>Tags!IEXP_2014</vt:lpstr>
      <vt:lpstr>IEXP_2014</vt:lpstr>
      <vt:lpstr>IEXP_2015</vt:lpstr>
      <vt:lpstr>Tags!IEXP_2016</vt:lpstr>
      <vt:lpstr>IEXP_2016</vt:lpstr>
      <vt:lpstr>Tags!IEXP_2017</vt:lpstr>
      <vt:lpstr>IEXP_2017</vt:lpstr>
      <vt:lpstr>Tags!IEXP_2018</vt:lpstr>
      <vt:lpstr>IEXP_2018</vt:lpstr>
      <vt:lpstr>Tags!IEXP_2019</vt:lpstr>
      <vt:lpstr>IEXP_2019</vt:lpstr>
      <vt:lpstr>Tags!IEXP_2020</vt:lpstr>
      <vt:lpstr>IEXP_2020</vt:lpstr>
      <vt:lpstr>IEXP_2021</vt:lpstr>
      <vt:lpstr>IEXP_2022</vt:lpstr>
      <vt:lpstr>IEXP_2023</vt:lpstr>
      <vt:lpstr>IEXP_2024</vt:lpstr>
      <vt:lpstr>Tags!IEXP_2Q00</vt:lpstr>
      <vt:lpstr>IEXP_2Q00</vt:lpstr>
      <vt:lpstr>Tags!IEXP_2Q01</vt:lpstr>
      <vt:lpstr>IEXP_2Q01</vt:lpstr>
      <vt:lpstr>Tags!IEXP_2Q02</vt:lpstr>
      <vt:lpstr>IEXP_2Q02</vt:lpstr>
      <vt:lpstr>Tags!IEXP_2Q03</vt:lpstr>
      <vt:lpstr>IEXP_2Q03</vt:lpstr>
      <vt:lpstr>Tags!IEXP_2Q04</vt:lpstr>
      <vt:lpstr>IEXP_2Q04</vt:lpstr>
      <vt:lpstr>Tags!IEXP_2Q05</vt:lpstr>
      <vt:lpstr>IEXP_2Q05</vt:lpstr>
      <vt:lpstr>Tags!IEXP_2Q06</vt:lpstr>
      <vt:lpstr>IEXP_2Q06</vt:lpstr>
      <vt:lpstr>Tags!IEXP_2Q07</vt:lpstr>
      <vt:lpstr>IEXP_2Q07</vt:lpstr>
      <vt:lpstr>Tags!IEXP_2Q08</vt:lpstr>
      <vt:lpstr>IEXP_2Q08</vt:lpstr>
      <vt:lpstr>Tags!IEXP_2Q09</vt:lpstr>
      <vt:lpstr>IEXP_2Q09</vt:lpstr>
      <vt:lpstr>Tags!IEXP_2Q10</vt:lpstr>
      <vt:lpstr>IEXP_2Q10</vt:lpstr>
      <vt:lpstr>Tags!IEXP_2Q11</vt:lpstr>
      <vt:lpstr>IEXP_2Q11</vt:lpstr>
      <vt:lpstr>Tags!IEXP_2Q12</vt:lpstr>
      <vt:lpstr>IEXP_2Q12</vt:lpstr>
      <vt:lpstr>Tags!IEXP_2Q13</vt:lpstr>
      <vt:lpstr>IEXP_2Q13</vt:lpstr>
      <vt:lpstr>Tags!IEXP_2Q14</vt:lpstr>
      <vt:lpstr>IEXP_2Q14</vt:lpstr>
      <vt:lpstr>Tags!IEXP_2Q15</vt:lpstr>
      <vt:lpstr>IEXP_2Q15</vt:lpstr>
      <vt:lpstr>Tags!IEXP_2Q16</vt:lpstr>
      <vt:lpstr>IEXP_2Q16</vt:lpstr>
      <vt:lpstr>Tags!IEXP_2Q17</vt:lpstr>
      <vt:lpstr>IEXP_2Q17</vt:lpstr>
      <vt:lpstr>Tags!IEXP_2Q18</vt:lpstr>
      <vt:lpstr>IEXP_2Q18</vt:lpstr>
      <vt:lpstr>Tags!IEXP_2Q19</vt:lpstr>
      <vt:lpstr>IEXP_2Q19</vt:lpstr>
      <vt:lpstr>Tags!IEXP_2Q20</vt:lpstr>
      <vt:lpstr>IEXP_2Q20</vt:lpstr>
      <vt:lpstr>IEXP_2Q21</vt:lpstr>
      <vt:lpstr>IEXP_2Q22</vt:lpstr>
      <vt:lpstr>IEXP_2Q23</vt:lpstr>
      <vt:lpstr>IEXP_2Q24</vt:lpstr>
      <vt:lpstr>Tags!IEXP_3Q00</vt:lpstr>
      <vt:lpstr>IEXP_3Q00</vt:lpstr>
      <vt:lpstr>Tags!IEXP_3Q01</vt:lpstr>
      <vt:lpstr>IEXP_3Q01</vt:lpstr>
      <vt:lpstr>Tags!IEXP_3Q02</vt:lpstr>
      <vt:lpstr>IEXP_3Q02</vt:lpstr>
      <vt:lpstr>Tags!IEXP_3Q03</vt:lpstr>
      <vt:lpstr>IEXP_3Q03</vt:lpstr>
      <vt:lpstr>Tags!IEXP_3Q04</vt:lpstr>
      <vt:lpstr>IEXP_3Q04</vt:lpstr>
      <vt:lpstr>Tags!IEXP_3Q05</vt:lpstr>
      <vt:lpstr>IEXP_3Q05</vt:lpstr>
      <vt:lpstr>Tags!IEXP_3Q06</vt:lpstr>
      <vt:lpstr>IEXP_3Q06</vt:lpstr>
      <vt:lpstr>Tags!IEXP_3Q07</vt:lpstr>
      <vt:lpstr>IEXP_3Q07</vt:lpstr>
      <vt:lpstr>Tags!IEXP_3Q08</vt:lpstr>
      <vt:lpstr>IEXP_3Q08</vt:lpstr>
      <vt:lpstr>Tags!IEXP_3Q09</vt:lpstr>
      <vt:lpstr>IEXP_3Q09</vt:lpstr>
      <vt:lpstr>Tags!IEXP_3Q10</vt:lpstr>
      <vt:lpstr>IEXP_3Q10</vt:lpstr>
      <vt:lpstr>Tags!IEXP_3Q11</vt:lpstr>
      <vt:lpstr>IEXP_3Q11</vt:lpstr>
      <vt:lpstr>Tags!IEXP_3Q12</vt:lpstr>
      <vt:lpstr>IEXP_3Q12</vt:lpstr>
      <vt:lpstr>Tags!IEXP_3Q13</vt:lpstr>
      <vt:lpstr>IEXP_3Q13</vt:lpstr>
      <vt:lpstr>Tags!IEXP_3Q14</vt:lpstr>
      <vt:lpstr>IEXP_3Q14</vt:lpstr>
      <vt:lpstr>Tags!IEXP_3Q15</vt:lpstr>
      <vt:lpstr>IEXP_3Q15</vt:lpstr>
      <vt:lpstr>Tags!IEXP_3Q16</vt:lpstr>
      <vt:lpstr>IEXP_3Q16</vt:lpstr>
      <vt:lpstr>Tags!IEXP_3Q17</vt:lpstr>
      <vt:lpstr>IEXP_3Q17</vt:lpstr>
      <vt:lpstr>Tags!IEXP_3Q18</vt:lpstr>
      <vt:lpstr>IEXP_3Q18</vt:lpstr>
      <vt:lpstr>Tags!IEXP_3Q19</vt:lpstr>
      <vt:lpstr>IEXP_3Q19</vt:lpstr>
      <vt:lpstr>Tags!IEXP_3Q20</vt:lpstr>
      <vt:lpstr>IEXP_3Q20</vt:lpstr>
      <vt:lpstr>IEXP_3Q21</vt:lpstr>
      <vt:lpstr>IEXP_3Q22</vt:lpstr>
      <vt:lpstr>IEXP_3Q23</vt:lpstr>
      <vt:lpstr>IEXP_3Q24</vt:lpstr>
      <vt:lpstr>Tags!IEXP_4Q00</vt:lpstr>
      <vt:lpstr>IEXP_4Q00</vt:lpstr>
      <vt:lpstr>Tags!IEXP_4Q01</vt:lpstr>
      <vt:lpstr>IEXP_4Q01</vt:lpstr>
      <vt:lpstr>Tags!IEXP_4Q02</vt:lpstr>
      <vt:lpstr>IEXP_4Q02</vt:lpstr>
      <vt:lpstr>Tags!IEXP_4Q03</vt:lpstr>
      <vt:lpstr>IEXP_4Q03</vt:lpstr>
      <vt:lpstr>Tags!IEXP_4Q04</vt:lpstr>
      <vt:lpstr>IEXP_4Q04</vt:lpstr>
      <vt:lpstr>Tags!IEXP_4Q05</vt:lpstr>
      <vt:lpstr>IEXP_4Q05</vt:lpstr>
      <vt:lpstr>Tags!IEXP_4Q06</vt:lpstr>
      <vt:lpstr>IEXP_4Q06</vt:lpstr>
      <vt:lpstr>Tags!IEXP_4Q07</vt:lpstr>
      <vt:lpstr>IEXP_4Q07</vt:lpstr>
      <vt:lpstr>Tags!IEXP_4Q08</vt:lpstr>
      <vt:lpstr>IEXP_4Q08</vt:lpstr>
      <vt:lpstr>Tags!IEXP_4Q09</vt:lpstr>
      <vt:lpstr>IEXP_4Q09</vt:lpstr>
      <vt:lpstr>Tags!IEXP_4Q10</vt:lpstr>
      <vt:lpstr>IEXP_4Q10</vt:lpstr>
      <vt:lpstr>Tags!IEXP_4Q11</vt:lpstr>
      <vt:lpstr>IEXP_4Q11</vt:lpstr>
      <vt:lpstr>Tags!IEXP_4Q12</vt:lpstr>
      <vt:lpstr>IEXP_4Q12</vt:lpstr>
      <vt:lpstr>Tags!IEXP_4Q13</vt:lpstr>
      <vt:lpstr>IEXP_4Q13</vt:lpstr>
      <vt:lpstr>Tags!IEXP_4Q14</vt:lpstr>
      <vt:lpstr>IEXP_4Q14</vt:lpstr>
      <vt:lpstr>Tags!IEXP_4Q15</vt:lpstr>
      <vt:lpstr>IEXP_4Q15</vt:lpstr>
      <vt:lpstr>Tags!IEXP_4Q16</vt:lpstr>
      <vt:lpstr>IEXP_4Q16</vt:lpstr>
      <vt:lpstr>Tags!IEXP_4Q17</vt:lpstr>
      <vt:lpstr>IEXP_4Q17</vt:lpstr>
      <vt:lpstr>Tags!IEXP_4Q18</vt:lpstr>
      <vt:lpstr>IEXP_4Q18</vt:lpstr>
      <vt:lpstr>Tags!IEXP_4Q19</vt:lpstr>
      <vt:lpstr>IEXP_4Q19</vt:lpstr>
      <vt:lpstr>Tags!IEXP_4Q20</vt:lpstr>
      <vt:lpstr>IEXP_4Q20</vt:lpstr>
      <vt:lpstr>IEXP_4Q21</vt:lpstr>
      <vt:lpstr>IEXP_4Q22</vt:lpstr>
      <vt:lpstr>IEXP_4Q23</vt:lpstr>
      <vt:lpstr>IEXP_4Q24</vt:lpstr>
      <vt:lpstr>IIA_1995</vt:lpstr>
      <vt:lpstr>IIA_1996</vt:lpstr>
      <vt:lpstr>IIA_1997</vt:lpstr>
      <vt:lpstr>IIA_1998</vt:lpstr>
      <vt:lpstr>IIA_1999</vt:lpstr>
      <vt:lpstr>Tags!IIA_1Q00</vt:lpstr>
      <vt:lpstr>IIA_1Q00</vt:lpstr>
      <vt:lpstr>Tags!IIA_1Q01</vt:lpstr>
      <vt:lpstr>IIA_1Q01</vt:lpstr>
      <vt:lpstr>Tags!IIA_1Q02</vt:lpstr>
      <vt:lpstr>IIA_1Q02</vt:lpstr>
      <vt:lpstr>Tags!IIA_1Q03</vt:lpstr>
      <vt:lpstr>IIA_1Q03</vt:lpstr>
      <vt:lpstr>Tags!IIA_1Q04</vt:lpstr>
      <vt:lpstr>IIA_1Q04</vt:lpstr>
      <vt:lpstr>Tags!IIA_1Q05</vt:lpstr>
      <vt:lpstr>IIA_1Q05</vt:lpstr>
      <vt:lpstr>Tags!IIA_1Q06</vt:lpstr>
      <vt:lpstr>IIA_1Q06</vt:lpstr>
      <vt:lpstr>Tags!IIA_1Q07</vt:lpstr>
      <vt:lpstr>IIA_1Q07</vt:lpstr>
      <vt:lpstr>Tags!IIA_1Q08</vt:lpstr>
      <vt:lpstr>IIA_1Q08</vt:lpstr>
      <vt:lpstr>Tags!IIA_1Q09</vt:lpstr>
      <vt:lpstr>IIA_1Q09</vt:lpstr>
      <vt:lpstr>Tags!IIA_1Q10</vt:lpstr>
      <vt:lpstr>IIA_1Q10</vt:lpstr>
      <vt:lpstr>Tags!IIA_1Q11</vt:lpstr>
      <vt:lpstr>IIA_1Q11</vt:lpstr>
      <vt:lpstr>Tags!IIA_1Q12</vt:lpstr>
      <vt:lpstr>IIA_1Q12</vt:lpstr>
      <vt:lpstr>Tags!IIA_1Q13</vt:lpstr>
      <vt:lpstr>IIA_1Q13</vt:lpstr>
      <vt:lpstr>Tags!IIA_1Q14</vt:lpstr>
      <vt:lpstr>IIA_1Q14</vt:lpstr>
      <vt:lpstr>Tags!IIA_1Q15</vt:lpstr>
      <vt:lpstr>IIA_1Q15</vt:lpstr>
      <vt:lpstr>Tags!IIA_1Q16</vt:lpstr>
      <vt:lpstr>IIA_1Q16</vt:lpstr>
      <vt:lpstr>Tags!IIA_1Q17</vt:lpstr>
      <vt:lpstr>IIA_1Q17</vt:lpstr>
      <vt:lpstr>Tags!IIA_1Q18</vt:lpstr>
      <vt:lpstr>IIA_1Q18</vt:lpstr>
      <vt:lpstr>Tags!IIA_1Q19</vt:lpstr>
      <vt:lpstr>IIA_1Q19</vt:lpstr>
      <vt:lpstr>Tags!IIA_1Q20</vt:lpstr>
      <vt:lpstr>IIA_1Q20</vt:lpstr>
      <vt:lpstr>IIA_1Q21</vt:lpstr>
      <vt:lpstr>IIA_1Q22</vt:lpstr>
      <vt:lpstr>IIA_1Q23</vt:lpstr>
      <vt:lpstr>IIA_1Q24</vt:lpstr>
      <vt:lpstr>Tags!IIA_2000</vt:lpstr>
      <vt:lpstr>IIA_2000</vt:lpstr>
      <vt:lpstr>Tags!IIA_2001</vt:lpstr>
      <vt:lpstr>IIA_2001</vt:lpstr>
      <vt:lpstr>Tags!IIA_2002</vt:lpstr>
      <vt:lpstr>IIA_2002</vt:lpstr>
      <vt:lpstr>Tags!IIA_2003</vt:lpstr>
      <vt:lpstr>IIA_2003</vt:lpstr>
      <vt:lpstr>Tags!IIA_2004</vt:lpstr>
      <vt:lpstr>IIA_2004</vt:lpstr>
      <vt:lpstr>Tags!IIA_2005</vt:lpstr>
      <vt:lpstr>IIA_2005</vt:lpstr>
      <vt:lpstr>Tags!IIA_2006</vt:lpstr>
      <vt:lpstr>IIA_2006</vt:lpstr>
      <vt:lpstr>Tags!IIA_2007</vt:lpstr>
      <vt:lpstr>IIA_2007</vt:lpstr>
      <vt:lpstr>Tags!IIA_2008</vt:lpstr>
      <vt:lpstr>IIA_2008</vt:lpstr>
      <vt:lpstr>Tags!IIA_2009</vt:lpstr>
      <vt:lpstr>IIA_2009</vt:lpstr>
      <vt:lpstr>Tags!IIA_2010</vt:lpstr>
      <vt:lpstr>IIA_2010</vt:lpstr>
      <vt:lpstr>Tags!IIA_2011</vt:lpstr>
      <vt:lpstr>IIA_2011</vt:lpstr>
      <vt:lpstr>Tags!IIA_2012</vt:lpstr>
      <vt:lpstr>IIA_2012</vt:lpstr>
      <vt:lpstr>Tags!IIA_2013</vt:lpstr>
      <vt:lpstr>IIA_2013</vt:lpstr>
      <vt:lpstr>Tags!IIA_2014</vt:lpstr>
      <vt:lpstr>IIA_2014</vt:lpstr>
      <vt:lpstr>IIA_2015</vt:lpstr>
      <vt:lpstr>Tags!IIA_2016</vt:lpstr>
      <vt:lpstr>IIA_2016</vt:lpstr>
      <vt:lpstr>Tags!IIA_2017</vt:lpstr>
      <vt:lpstr>IIA_2017</vt:lpstr>
      <vt:lpstr>Tags!IIA_2018</vt:lpstr>
      <vt:lpstr>IIA_2018</vt:lpstr>
      <vt:lpstr>Tags!IIA_2019</vt:lpstr>
      <vt:lpstr>IIA_2019</vt:lpstr>
      <vt:lpstr>Tags!IIA_2020</vt:lpstr>
      <vt:lpstr>IIA_2020</vt:lpstr>
      <vt:lpstr>IIA_2021</vt:lpstr>
      <vt:lpstr>IIA_2022</vt:lpstr>
      <vt:lpstr>IIA_2023</vt:lpstr>
      <vt:lpstr>IIA_2024</vt:lpstr>
      <vt:lpstr>Tags!IIA_2Q00</vt:lpstr>
      <vt:lpstr>IIA_2Q00</vt:lpstr>
      <vt:lpstr>Tags!IIA_2Q01</vt:lpstr>
      <vt:lpstr>IIA_2Q01</vt:lpstr>
      <vt:lpstr>Tags!IIA_2Q02</vt:lpstr>
      <vt:lpstr>IIA_2Q02</vt:lpstr>
      <vt:lpstr>Tags!IIA_2Q03</vt:lpstr>
      <vt:lpstr>IIA_2Q03</vt:lpstr>
      <vt:lpstr>Tags!IIA_2Q04</vt:lpstr>
      <vt:lpstr>IIA_2Q04</vt:lpstr>
      <vt:lpstr>Tags!IIA_2Q05</vt:lpstr>
      <vt:lpstr>IIA_2Q05</vt:lpstr>
      <vt:lpstr>Tags!IIA_2Q06</vt:lpstr>
      <vt:lpstr>IIA_2Q06</vt:lpstr>
      <vt:lpstr>Tags!IIA_2Q07</vt:lpstr>
      <vt:lpstr>IIA_2Q07</vt:lpstr>
      <vt:lpstr>Tags!IIA_2Q08</vt:lpstr>
      <vt:lpstr>IIA_2Q08</vt:lpstr>
      <vt:lpstr>Tags!IIA_2Q09</vt:lpstr>
      <vt:lpstr>IIA_2Q09</vt:lpstr>
      <vt:lpstr>Tags!IIA_2Q10</vt:lpstr>
      <vt:lpstr>IIA_2Q10</vt:lpstr>
      <vt:lpstr>Tags!IIA_2Q11</vt:lpstr>
      <vt:lpstr>IIA_2Q11</vt:lpstr>
      <vt:lpstr>Tags!IIA_2Q12</vt:lpstr>
      <vt:lpstr>IIA_2Q12</vt:lpstr>
      <vt:lpstr>Tags!IIA_2Q13</vt:lpstr>
      <vt:lpstr>IIA_2Q13</vt:lpstr>
      <vt:lpstr>Tags!IIA_2Q14</vt:lpstr>
      <vt:lpstr>IIA_2Q14</vt:lpstr>
      <vt:lpstr>Tags!IIA_2Q15</vt:lpstr>
      <vt:lpstr>IIA_2Q15</vt:lpstr>
      <vt:lpstr>Tags!IIA_2Q16</vt:lpstr>
      <vt:lpstr>IIA_2Q16</vt:lpstr>
      <vt:lpstr>Tags!IIA_2Q17</vt:lpstr>
      <vt:lpstr>IIA_2Q17</vt:lpstr>
      <vt:lpstr>Tags!IIA_2Q18</vt:lpstr>
      <vt:lpstr>IIA_2Q18</vt:lpstr>
      <vt:lpstr>Tags!IIA_2Q19</vt:lpstr>
      <vt:lpstr>IIA_2Q19</vt:lpstr>
      <vt:lpstr>Tags!IIA_2Q20</vt:lpstr>
      <vt:lpstr>IIA_2Q20</vt:lpstr>
      <vt:lpstr>IIA_2Q21</vt:lpstr>
      <vt:lpstr>IIA_2Q22</vt:lpstr>
      <vt:lpstr>IIA_2Q23</vt:lpstr>
      <vt:lpstr>IIA_2Q24</vt:lpstr>
      <vt:lpstr>Tags!IIA_3Q00</vt:lpstr>
      <vt:lpstr>IIA_3Q00</vt:lpstr>
      <vt:lpstr>Tags!IIA_3Q01</vt:lpstr>
      <vt:lpstr>IIA_3Q01</vt:lpstr>
      <vt:lpstr>Tags!IIA_3Q02</vt:lpstr>
      <vt:lpstr>IIA_3Q02</vt:lpstr>
      <vt:lpstr>Tags!IIA_3Q03</vt:lpstr>
      <vt:lpstr>IIA_3Q03</vt:lpstr>
      <vt:lpstr>Tags!IIA_3Q04</vt:lpstr>
      <vt:lpstr>IIA_3Q04</vt:lpstr>
      <vt:lpstr>Tags!IIA_3Q05</vt:lpstr>
      <vt:lpstr>IIA_3Q05</vt:lpstr>
      <vt:lpstr>Tags!IIA_3Q06</vt:lpstr>
      <vt:lpstr>IIA_3Q06</vt:lpstr>
      <vt:lpstr>Tags!IIA_3Q07</vt:lpstr>
      <vt:lpstr>IIA_3Q07</vt:lpstr>
      <vt:lpstr>Tags!IIA_3Q08</vt:lpstr>
      <vt:lpstr>IIA_3Q08</vt:lpstr>
      <vt:lpstr>Tags!IIA_3Q09</vt:lpstr>
      <vt:lpstr>IIA_3Q09</vt:lpstr>
      <vt:lpstr>Tags!IIA_3Q10</vt:lpstr>
      <vt:lpstr>IIA_3Q10</vt:lpstr>
      <vt:lpstr>Tags!IIA_3Q11</vt:lpstr>
      <vt:lpstr>IIA_3Q11</vt:lpstr>
      <vt:lpstr>Tags!IIA_3Q12</vt:lpstr>
      <vt:lpstr>IIA_3Q12</vt:lpstr>
      <vt:lpstr>Tags!IIA_3Q13</vt:lpstr>
      <vt:lpstr>IIA_3Q13</vt:lpstr>
      <vt:lpstr>Tags!IIA_3Q14</vt:lpstr>
      <vt:lpstr>IIA_3Q14</vt:lpstr>
      <vt:lpstr>Tags!IIA_3Q15</vt:lpstr>
      <vt:lpstr>IIA_3Q15</vt:lpstr>
      <vt:lpstr>Tags!IIA_3Q16</vt:lpstr>
      <vt:lpstr>IIA_3Q16</vt:lpstr>
      <vt:lpstr>Tags!IIA_3Q17</vt:lpstr>
      <vt:lpstr>IIA_3Q17</vt:lpstr>
      <vt:lpstr>Tags!IIA_3Q18</vt:lpstr>
      <vt:lpstr>IIA_3Q18</vt:lpstr>
      <vt:lpstr>Tags!IIA_3Q19</vt:lpstr>
      <vt:lpstr>IIA_3Q19</vt:lpstr>
      <vt:lpstr>Tags!IIA_3Q20</vt:lpstr>
      <vt:lpstr>IIA_3Q20</vt:lpstr>
      <vt:lpstr>IIA_3Q21</vt:lpstr>
      <vt:lpstr>IIA_3Q22</vt:lpstr>
      <vt:lpstr>IIA_3Q23</vt:lpstr>
      <vt:lpstr>IIA_3Q24</vt:lpstr>
      <vt:lpstr>Tags!IIA_4Q00</vt:lpstr>
      <vt:lpstr>IIA_4Q00</vt:lpstr>
      <vt:lpstr>Tags!IIA_4Q01</vt:lpstr>
      <vt:lpstr>IIA_4Q01</vt:lpstr>
      <vt:lpstr>Tags!IIA_4Q02</vt:lpstr>
      <vt:lpstr>IIA_4Q02</vt:lpstr>
      <vt:lpstr>Tags!IIA_4Q03</vt:lpstr>
      <vt:lpstr>IIA_4Q03</vt:lpstr>
      <vt:lpstr>Tags!IIA_4Q04</vt:lpstr>
      <vt:lpstr>IIA_4Q04</vt:lpstr>
      <vt:lpstr>Tags!IIA_4Q05</vt:lpstr>
      <vt:lpstr>IIA_4Q05</vt:lpstr>
      <vt:lpstr>Tags!IIA_4Q06</vt:lpstr>
      <vt:lpstr>IIA_4Q06</vt:lpstr>
      <vt:lpstr>Tags!IIA_4Q07</vt:lpstr>
      <vt:lpstr>IIA_4Q07</vt:lpstr>
      <vt:lpstr>Tags!IIA_4Q08</vt:lpstr>
      <vt:lpstr>IIA_4Q08</vt:lpstr>
      <vt:lpstr>Tags!IIA_4Q09</vt:lpstr>
      <vt:lpstr>IIA_4Q09</vt:lpstr>
      <vt:lpstr>Tags!IIA_4Q10</vt:lpstr>
      <vt:lpstr>IIA_4Q10</vt:lpstr>
      <vt:lpstr>Tags!IIA_4Q11</vt:lpstr>
      <vt:lpstr>IIA_4Q11</vt:lpstr>
      <vt:lpstr>Tags!IIA_4Q12</vt:lpstr>
      <vt:lpstr>IIA_4Q12</vt:lpstr>
      <vt:lpstr>Tags!IIA_4Q13</vt:lpstr>
      <vt:lpstr>IIA_4Q13</vt:lpstr>
      <vt:lpstr>Tags!IIA_4Q14</vt:lpstr>
      <vt:lpstr>IIA_4Q14</vt:lpstr>
      <vt:lpstr>Tags!IIA_4Q15</vt:lpstr>
      <vt:lpstr>IIA_4Q15</vt:lpstr>
      <vt:lpstr>Tags!IIA_4Q16</vt:lpstr>
      <vt:lpstr>IIA_4Q16</vt:lpstr>
      <vt:lpstr>Tags!IIA_4Q17</vt:lpstr>
      <vt:lpstr>IIA_4Q17</vt:lpstr>
      <vt:lpstr>Tags!IIA_4Q18</vt:lpstr>
      <vt:lpstr>IIA_4Q18</vt:lpstr>
      <vt:lpstr>Tags!IIA_4Q19</vt:lpstr>
      <vt:lpstr>IIA_4Q19</vt:lpstr>
      <vt:lpstr>Tags!IIA_4Q20</vt:lpstr>
      <vt:lpstr>IIA_4Q20</vt:lpstr>
      <vt:lpstr>IIA_4Q21</vt:lpstr>
      <vt:lpstr>IIA_4Q22</vt:lpstr>
      <vt:lpstr>IIA_4Q23</vt:lpstr>
      <vt:lpstr>IIA_4Q24</vt:lpstr>
      <vt:lpstr>IINC_1995</vt:lpstr>
      <vt:lpstr>IINC_1996</vt:lpstr>
      <vt:lpstr>IINC_1997</vt:lpstr>
      <vt:lpstr>IINC_1998</vt:lpstr>
      <vt:lpstr>IINC_1999</vt:lpstr>
      <vt:lpstr>Tags!IINC_1Q00</vt:lpstr>
      <vt:lpstr>IINC_1Q00</vt:lpstr>
      <vt:lpstr>Tags!IINC_1Q01</vt:lpstr>
      <vt:lpstr>IINC_1Q01</vt:lpstr>
      <vt:lpstr>Tags!IINC_1Q02</vt:lpstr>
      <vt:lpstr>IINC_1Q02</vt:lpstr>
      <vt:lpstr>Tags!IINC_1Q03</vt:lpstr>
      <vt:lpstr>IINC_1Q03</vt:lpstr>
      <vt:lpstr>Tags!IINC_1Q04</vt:lpstr>
      <vt:lpstr>IINC_1Q04</vt:lpstr>
      <vt:lpstr>Tags!IINC_1Q05</vt:lpstr>
      <vt:lpstr>IINC_1Q05</vt:lpstr>
      <vt:lpstr>Tags!IINC_1Q06</vt:lpstr>
      <vt:lpstr>IINC_1Q06</vt:lpstr>
      <vt:lpstr>Tags!IINC_1Q07</vt:lpstr>
      <vt:lpstr>IINC_1Q07</vt:lpstr>
      <vt:lpstr>Tags!IINC_1Q08</vt:lpstr>
      <vt:lpstr>IINC_1Q08</vt:lpstr>
      <vt:lpstr>Tags!IINC_1Q09</vt:lpstr>
      <vt:lpstr>IINC_1Q09</vt:lpstr>
      <vt:lpstr>Tags!IINC_1Q10</vt:lpstr>
      <vt:lpstr>IINC_1Q10</vt:lpstr>
      <vt:lpstr>Tags!IINC_1Q11</vt:lpstr>
      <vt:lpstr>IINC_1Q11</vt:lpstr>
      <vt:lpstr>Tags!IINC_1Q12</vt:lpstr>
      <vt:lpstr>IINC_1Q12</vt:lpstr>
      <vt:lpstr>Tags!IINC_1Q13</vt:lpstr>
      <vt:lpstr>IINC_1Q13</vt:lpstr>
      <vt:lpstr>Tags!IINC_1Q14</vt:lpstr>
      <vt:lpstr>IINC_1Q14</vt:lpstr>
      <vt:lpstr>Tags!IINC_1Q15</vt:lpstr>
      <vt:lpstr>IINC_1Q15</vt:lpstr>
      <vt:lpstr>Tags!IINC_1Q16</vt:lpstr>
      <vt:lpstr>IINC_1Q16</vt:lpstr>
      <vt:lpstr>Tags!IINC_1Q17</vt:lpstr>
      <vt:lpstr>IINC_1Q17</vt:lpstr>
      <vt:lpstr>Tags!IINC_1Q18</vt:lpstr>
      <vt:lpstr>IINC_1Q18</vt:lpstr>
      <vt:lpstr>Tags!IINC_1Q19</vt:lpstr>
      <vt:lpstr>IINC_1Q19</vt:lpstr>
      <vt:lpstr>Tags!IINC_1Q20</vt:lpstr>
      <vt:lpstr>IINC_1Q20</vt:lpstr>
      <vt:lpstr>IINC_1Q21</vt:lpstr>
      <vt:lpstr>IINC_1Q22</vt:lpstr>
      <vt:lpstr>IINC_1Q23</vt:lpstr>
      <vt:lpstr>IINC_1Q24</vt:lpstr>
      <vt:lpstr>Tags!IINC_2000</vt:lpstr>
      <vt:lpstr>IINC_2000</vt:lpstr>
      <vt:lpstr>Tags!IINC_2001</vt:lpstr>
      <vt:lpstr>IINC_2001</vt:lpstr>
      <vt:lpstr>Tags!IINC_2002</vt:lpstr>
      <vt:lpstr>IINC_2002</vt:lpstr>
      <vt:lpstr>Tags!IINC_2003</vt:lpstr>
      <vt:lpstr>IINC_2003</vt:lpstr>
      <vt:lpstr>Tags!IINC_2004</vt:lpstr>
      <vt:lpstr>IINC_2004</vt:lpstr>
      <vt:lpstr>Tags!IINC_2005</vt:lpstr>
      <vt:lpstr>IINC_2005</vt:lpstr>
      <vt:lpstr>Tags!IINC_2006</vt:lpstr>
      <vt:lpstr>IINC_2006</vt:lpstr>
      <vt:lpstr>Tags!IINC_2007</vt:lpstr>
      <vt:lpstr>IINC_2007</vt:lpstr>
      <vt:lpstr>Tags!IINC_2008</vt:lpstr>
      <vt:lpstr>IINC_2008</vt:lpstr>
      <vt:lpstr>Tags!IINC_2009</vt:lpstr>
      <vt:lpstr>IINC_2009</vt:lpstr>
      <vt:lpstr>Tags!IINC_2010</vt:lpstr>
      <vt:lpstr>IINC_2010</vt:lpstr>
      <vt:lpstr>Tags!IINC_2011</vt:lpstr>
      <vt:lpstr>IINC_2011</vt:lpstr>
      <vt:lpstr>Tags!IINC_2012</vt:lpstr>
      <vt:lpstr>IINC_2012</vt:lpstr>
      <vt:lpstr>Tags!IINC_2013</vt:lpstr>
      <vt:lpstr>IINC_2013</vt:lpstr>
      <vt:lpstr>Tags!IINC_2014</vt:lpstr>
      <vt:lpstr>IINC_2014</vt:lpstr>
      <vt:lpstr>IINC_2015</vt:lpstr>
      <vt:lpstr>Tags!IINC_2016</vt:lpstr>
      <vt:lpstr>IINC_2016</vt:lpstr>
      <vt:lpstr>Tags!IINC_2017</vt:lpstr>
      <vt:lpstr>IINC_2017</vt:lpstr>
      <vt:lpstr>Tags!IINC_2018</vt:lpstr>
      <vt:lpstr>IINC_2018</vt:lpstr>
      <vt:lpstr>Tags!IINC_2019</vt:lpstr>
      <vt:lpstr>IINC_2019</vt:lpstr>
      <vt:lpstr>Tags!IINC_2020</vt:lpstr>
      <vt:lpstr>IINC_2020</vt:lpstr>
      <vt:lpstr>IINC_2021</vt:lpstr>
      <vt:lpstr>IINC_2022</vt:lpstr>
      <vt:lpstr>IINC_2023</vt:lpstr>
      <vt:lpstr>IINC_2024</vt:lpstr>
      <vt:lpstr>Tags!IINC_2Q00</vt:lpstr>
      <vt:lpstr>IINC_2Q00</vt:lpstr>
      <vt:lpstr>Tags!IINC_2Q01</vt:lpstr>
      <vt:lpstr>IINC_2Q01</vt:lpstr>
      <vt:lpstr>Tags!IINC_2Q02</vt:lpstr>
      <vt:lpstr>IINC_2Q02</vt:lpstr>
      <vt:lpstr>Tags!IINC_2Q03</vt:lpstr>
      <vt:lpstr>IINC_2Q03</vt:lpstr>
      <vt:lpstr>Tags!IINC_2Q04</vt:lpstr>
      <vt:lpstr>IINC_2Q04</vt:lpstr>
      <vt:lpstr>Tags!IINC_2Q05</vt:lpstr>
      <vt:lpstr>IINC_2Q05</vt:lpstr>
      <vt:lpstr>Tags!IINC_2Q06</vt:lpstr>
      <vt:lpstr>IINC_2Q06</vt:lpstr>
      <vt:lpstr>Tags!IINC_2Q07</vt:lpstr>
      <vt:lpstr>IINC_2Q07</vt:lpstr>
      <vt:lpstr>Tags!IINC_2Q08</vt:lpstr>
      <vt:lpstr>IINC_2Q08</vt:lpstr>
      <vt:lpstr>Tags!IINC_2Q09</vt:lpstr>
      <vt:lpstr>IINC_2Q09</vt:lpstr>
      <vt:lpstr>Tags!IINC_2Q10</vt:lpstr>
      <vt:lpstr>IINC_2Q10</vt:lpstr>
      <vt:lpstr>Tags!IINC_2Q11</vt:lpstr>
      <vt:lpstr>IINC_2Q11</vt:lpstr>
      <vt:lpstr>Tags!IINC_2Q12</vt:lpstr>
      <vt:lpstr>IINC_2Q12</vt:lpstr>
      <vt:lpstr>Tags!IINC_2Q13</vt:lpstr>
      <vt:lpstr>IINC_2Q13</vt:lpstr>
      <vt:lpstr>Tags!IINC_2Q14</vt:lpstr>
      <vt:lpstr>IINC_2Q14</vt:lpstr>
      <vt:lpstr>Tags!IINC_2Q15</vt:lpstr>
      <vt:lpstr>IINC_2Q15</vt:lpstr>
      <vt:lpstr>Tags!IINC_2Q16</vt:lpstr>
      <vt:lpstr>IINC_2Q16</vt:lpstr>
      <vt:lpstr>Tags!IINC_2Q17</vt:lpstr>
      <vt:lpstr>IINC_2Q17</vt:lpstr>
      <vt:lpstr>Tags!IINC_2Q18</vt:lpstr>
      <vt:lpstr>IINC_2Q18</vt:lpstr>
      <vt:lpstr>Tags!IINC_2Q19</vt:lpstr>
      <vt:lpstr>IINC_2Q19</vt:lpstr>
      <vt:lpstr>Tags!IINC_2Q20</vt:lpstr>
      <vt:lpstr>IINC_2Q20</vt:lpstr>
      <vt:lpstr>IINC_2Q21</vt:lpstr>
      <vt:lpstr>IINC_2Q22</vt:lpstr>
      <vt:lpstr>IINC_2Q23</vt:lpstr>
      <vt:lpstr>IINC_2Q24</vt:lpstr>
      <vt:lpstr>Tags!IINC_3Q00</vt:lpstr>
      <vt:lpstr>IINC_3Q00</vt:lpstr>
      <vt:lpstr>Tags!IINC_3Q01</vt:lpstr>
      <vt:lpstr>IINC_3Q01</vt:lpstr>
      <vt:lpstr>Tags!IINC_3Q02</vt:lpstr>
      <vt:lpstr>IINC_3Q02</vt:lpstr>
      <vt:lpstr>Tags!IINC_3Q03</vt:lpstr>
      <vt:lpstr>IINC_3Q03</vt:lpstr>
      <vt:lpstr>Tags!IINC_3Q04</vt:lpstr>
      <vt:lpstr>IINC_3Q04</vt:lpstr>
      <vt:lpstr>Tags!IINC_3Q05</vt:lpstr>
      <vt:lpstr>IINC_3Q05</vt:lpstr>
      <vt:lpstr>Tags!IINC_3Q06</vt:lpstr>
      <vt:lpstr>IINC_3Q06</vt:lpstr>
      <vt:lpstr>Tags!IINC_3Q07</vt:lpstr>
      <vt:lpstr>IINC_3Q07</vt:lpstr>
      <vt:lpstr>Tags!IINC_3Q08</vt:lpstr>
      <vt:lpstr>IINC_3Q08</vt:lpstr>
      <vt:lpstr>Tags!IINC_3Q09</vt:lpstr>
      <vt:lpstr>IINC_3Q09</vt:lpstr>
      <vt:lpstr>Tags!IINC_3Q10</vt:lpstr>
      <vt:lpstr>IINC_3Q10</vt:lpstr>
      <vt:lpstr>Tags!IINC_3Q11</vt:lpstr>
      <vt:lpstr>IINC_3Q11</vt:lpstr>
      <vt:lpstr>Tags!IINC_3Q12</vt:lpstr>
      <vt:lpstr>IINC_3Q12</vt:lpstr>
      <vt:lpstr>Tags!IINC_3Q13</vt:lpstr>
      <vt:lpstr>IINC_3Q13</vt:lpstr>
      <vt:lpstr>Tags!IINC_3Q14</vt:lpstr>
      <vt:lpstr>IINC_3Q14</vt:lpstr>
      <vt:lpstr>Tags!IINC_3Q15</vt:lpstr>
      <vt:lpstr>IINC_3Q15</vt:lpstr>
      <vt:lpstr>Tags!IINC_3Q16</vt:lpstr>
      <vt:lpstr>IINC_3Q16</vt:lpstr>
      <vt:lpstr>Tags!IINC_3Q17</vt:lpstr>
      <vt:lpstr>IINC_3Q17</vt:lpstr>
      <vt:lpstr>Tags!IINC_3Q18</vt:lpstr>
      <vt:lpstr>IINC_3Q18</vt:lpstr>
      <vt:lpstr>Tags!IINC_3Q19</vt:lpstr>
      <vt:lpstr>IINC_3Q19</vt:lpstr>
      <vt:lpstr>Tags!IINC_3Q20</vt:lpstr>
      <vt:lpstr>IINC_3Q20</vt:lpstr>
      <vt:lpstr>IINC_3Q21</vt:lpstr>
      <vt:lpstr>IINC_3Q22</vt:lpstr>
      <vt:lpstr>IINC_3Q23</vt:lpstr>
      <vt:lpstr>IINC_3Q24</vt:lpstr>
      <vt:lpstr>Tags!IINC_4Q00</vt:lpstr>
      <vt:lpstr>IINC_4Q00</vt:lpstr>
      <vt:lpstr>Tags!IINC_4Q01</vt:lpstr>
      <vt:lpstr>IINC_4Q01</vt:lpstr>
      <vt:lpstr>Tags!IINC_4Q02</vt:lpstr>
      <vt:lpstr>IINC_4Q02</vt:lpstr>
      <vt:lpstr>Tags!IINC_4Q03</vt:lpstr>
      <vt:lpstr>IINC_4Q03</vt:lpstr>
      <vt:lpstr>Tags!IINC_4Q04</vt:lpstr>
      <vt:lpstr>IINC_4Q04</vt:lpstr>
      <vt:lpstr>Tags!IINC_4Q05</vt:lpstr>
      <vt:lpstr>IINC_4Q05</vt:lpstr>
      <vt:lpstr>Tags!IINC_4Q06</vt:lpstr>
      <vt:lpstr>IINC_4Q06</vt:lpstr>
      <vt:lpstr>Tags!IINC_4Q07</vt:lpstr>
      <vt:lpstr>IINC_4Q07</vt:lpstr>
      <vt:lpstr>Tags!IINC_4Q08</vt:lpstr>
      <vt:lpstr>IINC_4Q08</vt:lpstr>
      <vt:lpstr>Tags!IINC_4Q09</vt:lpstr>
      <vt:lpstr>IINC_4Q09</vt:lpstr>
      <vt:lpstr>Tags!IINC_4Q10</vt:lpstr>
      <vt:lpstr>IINC_4Q10</vt:lpstr>
      <vt:lpstr>Tags!IINC_4Q11</vt:lpstr>
      <vt:lpstr>IINC_4Q11</vt:lpstr>
      <vt:lpstr>Tags!IINC_4Q12</vt:lpstr>
      <vt:lpstr>IINC_4Q12</vt:lpstr>
      <vt:lpstr>Tags!IINC_4Q13</vt:lpstr>
      <vt:lpstr>IINC_4Q13</vt:lpstr>
      <vt:lpstr>Tags!IINC_4Q14</vt:lpstr>
      <vt:lpstr>IINC_4Q14</vt:lpstr>
      <vt:lpstr>Tags!IINC_4Q15</vt:lpstr>
      <vt:lpstr>IINC_4Q15</vt:lpstr>
      <vt:lpstr>Tags!IINC_4Q16</vt:lpstr>
      <vt:lpstr>IINC_4Q16</vt:lpstr>
      <vt:lpstr>Tags!IINC_4Q17</vt:lpstr>
      <vt:lpstr>IINC_4Q17</vt:lpstr>
      <vt:lpstr>Tags!IINC_4Q18</vt:lpstr>
      <vt:lpstr>IINC_4Q18</vt:lpstr>
      <vt:lpstr>Tags!IINC_4Q19</vt:lpstr>
      <vt:lpstr>IINC_4Q19</vt:lpstr>
      <vt:lpstr>Tags!IINC_4Q20</vt:lpstr>
      <vt:lpstr>IINC_4Q20</vt:lpstr>
      <vt:lpstr>IINC_4Q21</vt:lpstr>
      <vt:lpstr>IINC_4Q22</vt:lpstr>
      <vt:lpstr>IINC_4Q23</vt:lpstr>
      <vt:lpstr>IINC_4Q24</vt:lpstr>
      <vt:lpstr>INSAD_1995</vt:lpstr>
      <vt:lpstr>INSAD_1996</vt:lpstr>
      <vt:lpstr>INSAD_1997</vt:lpstr>
      <vt:lpstr>INSAD_1998</vt:lpstr>
      <vt:lpstr>INSAD_1999</vt:lpstr>
      <vt:lpstr>Tags!INSAD_1Q00</vt:lpstr>
      <vt:lpstr>INSAD_1Q00</vt:lpstr>
      <vt:lpstr>Tags!INSAD_1Q01</vt:lpstr>
      <vt:lpstr>INSAD_1Q01</vt:lpstr>
      <vt:lpstr>Tags!INSAD_1Q02</vt:lpstr>
      <vt:lpstr>INSAD_1Q02</vt:lpstr>
      <vt:lpstr>Tags!INSAD_1Q03</vt:lpstr>
      <vt:lpstr>INSAD_1Q03</vt:lpstr>
      <vt:lpstr>Tags!INSAD_1Q04</vt:lpstr>
      <vt:lpstr>INSAD_1Q04</vt:lpstr>
      <vt:lpstr>Tags!INSAD_1Q05</vt:lpstr>
      <vt:lpstr>INSAD_1Q05</vt:lpstr>
      <vt:lpstr>Tags!INSAD_1Q06</vt:lpstr>
      <vt:lpstr>INSAD_1Q06</vt:lpstr>
      <vt:lpstr>Tags!INSAD_1Q07</vt:lpstr>
      <vt:lpstr>INSAD_1Q07</vt:lpstr>
      <vt:lpstr>Tags!INSAD_1Q08</vt:lpstr>
      <vt:lpstr>INSAD_1Q08</vt:lpstr>
      <vt:lpstr>Tags!INSAD_1Q09</vt:lpstr>
      <vt:lpstr>INSAD_1Q09</vt:lpstr>
      <vt:lpstr>Tags!INSAD_1Q10</vt:lpstr>
      <vt:lpstr>INSAD_1Q10</vt:lpstr>
      <vt:lpstr>Tags!INSAD_1Q11</vt:lpstr>
      <vt:lpstr>INSAD_1Q11</vt:lpstr>
      <vt:lpstr>Tags!INSAD_1Q12</vt:lpstr>
      <vt:lpstr>INSAD_1Q12</vt:lpstr>
      <vt:lpstr>Tags!INSAD_1Q13</vt:lpstr>
      <vt:lpstr>INSAD_1Q13</vt:lpstr>
      <vt:lpstr>Tags!INSAD_1Q14</vt:lpstr>
      <vt:lpstr>INSAD_1Q14</vt:lpstr>
      <vt:lpstr>Tags!INSAD_1Q15</vt:lpstr>
      <vt:lpstr>INSAD_1Q15</vt:lpstr>
      <vt:lpstr>Tags!INSAD_1Q16</vt:lpstr>
      <vt:lpstr>INSAD_1Q16</vt:lpstr>
      <vt:lpstr>Tags!INSAD_1Q17</vt:lpstr>
      <vt:lpstr>INSAD_1Q17</vt:lpstr>
      <vt:lpstr>Tags!INSAD_1Q18</vt:lpstr>
      <vt:lpstr>INSAD_1Q18</vt:lpstr>
      <vt:lpstr>Tags!INSAD_1Q19</vt:lpstr>
      <vt:lpstr>INSAD_1Q19</vt:lpstr>
      <vt:lpstr>Tags!INSAD_1Q20</vt:lpstr>
      <vt:lpstr>INSAD_1Q20</vt:lpstr>
      <vt:lpstr>INSAD_1Q21</vt:lpstr>
      <vt:lpstr>INSAD_1Q22</vt:lpstr>
      <vt:lpstr>INSAD_1Q23</vt:lpstr>
      <vt:lpstr>INSAD_1Q24</vt:lpstr>
      <vt:lpstr>Tags!INSAD_2000</vt:lpstr>
      <vt:lpstr>INSAD_2000</vt:lpstr>
      <vt:lpstr>Tags!INSAD_2001</vt:lpstr>
      <vt:lpstr>INSAD_2001</vt:lpstr>
      <vt:lpstr>Tags!INSAD_2002</vt:lpstr>
      <vt:lpstr>INSAD_2002</vt:lpstr>
      <vt:lpstr>Tags!INSAD_2003</vt:lpstr>
      <vt:lpstr>INSAD_2003</vt:lpstr>
      <vt:lpstr>Tags!INSAD_2004</vt:lpstr>
      <vt:lpstr>INSAD_2004</vt:lpstr>
      <vt:lpstr>Tags!INSAD_2005</vt:lpstr>
      <vt:lpstr>INSAD_2005</vt:lpstr>
      <vt:lpstr>Tags!INSAD_2006</vt:lpstr>
      <vt:lpstr>INSAD_2006</vt:lpstr>
      <vt:lpstr>Tags!INSAD_2007</vt:lpstr>
      <vt:lpstr>INSAD_2007</vt:lpstr>
      <vt:lpstr>Tags!INSAD_2008</vt:lpstr>
      <vt:lpstr>INSAD_2008</vt:lpstr>
      <vt:lpstr>Tags!INSAD_2009</vt:lpstr>
      <vt:lpstr>INSAD_2009</vt:lpstr>
      <vt:lpstr>Tags!INSAD_2010</vt:lpstr>
      <vt:lpstr>INSAD_2010</vt:lpstr>
      <vt:lpstr>Tags!INSAD_2011</vt:lpstr>
      <vt:lpstr>INSAD_2011</vt:lpstr>
      <vt:lpstr>Tags!INSAD_2012</vt:lpstr>
      <vt:lpstr>INSAD_2012</vt:lpstr>
      <vt:lpstr>Tags!INSAD_2013</vt:lpstr>
      <vt:lpstr>INSAD_2013</vt:lpstr>
      <vt:lpstr>Tags!INSAD_2014</vt:lpstr>
      <vt:lpstr>INSAD_2014</vt:lpstr>
      <vt:lpstr>INSAD_2015</vt:lpstr>
      <vt:lpstr>Tags!INSAD_2016</vt:lpstr>
      <vt:lpstr>INSAD_2016</vt:lpstr>
      <vt:lpstr>Tags!INSAD_2017</vt:lpstr>
      <vt:lpstr>INSAD_2017</vt:lpstr>
      <vt:lpstr>Tags!INSAD_2018</vt:lpstr>
      <vt:lpstr>INSAD_2018</vt:lpstr>
      <vt:lpstr>Tags!INSAD_2019</vt:lpstr>
      <vt:lpstr>INSAD_2019</vt:lpstr>
      <vt:lpstr>Tags!INSAD_2020</vt:lpstr>
      <vt:lpstr>INSAD_2020</vt:lpstr>
      <vt:lpstr>INSAD_2021</vt:lpstr>
      <vt:lpstr>INSAD_2022</vt:lpstr>
      <vt:lpstr>INSAD_2023</vt:lpstr>
      <vt:lpstr>INSAD_2024</vt:lpstr>
      <vt:lpstr>Tags!INSAD_2Q00</vt:lpstr>
      <vt:lpstr>INSAD_2Q00</vt:lpstr>
      <vt:lpstr>Tags!INSAD_2Q01</vt:lpstr>
      <vt:lpstr>INSAD_2Q01</vt:lpstr>
      <vt:lpstr>Tags!INSAD_2Q02</vt:lpstr>
      <vt:lpstr>INSAD_2Q02</vt:lpstr>
      <vt:lpstr>Tags!INSAD_2Q03</vt:lpstr>
      <vt:lpstr>INSAD_2Q03</vt:lpstr>
      <vt:lpstr>Tags!INSAD_2Q04</vt:lpstr>
      <vt:lpstr>INSAD_2Q04</vt:lpstr>
      <vt:lpstr>Tags!INSAD_2Q05</vt:lpstr>
      <vt:lpstr>INSAD_2Q05</vt:lpstr>
      <vt:lpstr>Tags!INSAD_2Q06</vt:lpstr>
      <vt:lpstr>INSAD_2Q06</vt:lpstr>
      <vt:lpstr>Tags!INSAD_2Q07</vt:lpstr>
      <vt:lpstr>INSAD_2Q07</vt:lpstr>
      <vt:lpstr>Tags!INSAD_2Q08</vt:lpstr>
      <vt:lpstr>INSAD_2Q08</vt:lpstr>
      <vt:lpstr>Tags!INSAD_2Q09</vt:lpstr>
      <vt:lpstr>INSAD_2Q09</vt:lpstr>
      <vt:lpstr>Tags!INSAD_2Q10</vt:lpstr>
      <vt:lpstr>INSAD_2Q10</vt:lpstr>
      <vt:lpstr>Tags!INSAD_2Q11</vt:lpstr>
      <vt:lpstr>INSAD_2Q11</vt:lpstr>
      <vt:lpstr>Tags!INSAD_2Q12</vt:lpstr>
      <vt:lpstr>INSAD_2Q12</vt:lpstr>
      <vt:lpstr>Tags!INSAD_2Q13</vt:lpstr>
      <vt:lpstr>INSAD_2Q13</vt:lpstr>
      <vt:lpstr>Tags!INSAD_2Q14</vt:lpstr>
      <vt:lpstr>INSAD_2Q14</vt:lpstr>
      <vt:lpstr>Tags!INSAD_2Q15</vt:lpstr>
      <vt:lpstr>INSAD_2Q15</vt:lpstr>
      <vt:lpstr>Tags!INSAD_2Q16</vt:lpstr>
      <vt:lpstr>INSAD_2Q16</vt:lpstr>
      <vt:lpstr>Tags!INSAD_2Q17</vt:lpstr>
      <vt:lpstr>INSAD_2Q17</vt:lpstr>
      <vt:lpstr>Tags!INSAD_2Q18</vt:lpstr>
      <vt:lpstr>INSAD_2Q18</vt:lpstr>
      <vt:lpstr>Tags!INSAD_2Q19</vt:lpstr>
      <vt:lpstr>INSAD_2Q19</vt:lpstr>
      <vt:lpstr>Tags!INSAD_2Q20</vt:lpstr>
      <vt:lpstr>INSAD_2Q20</vt:lpstr>
      <vt:lpstr>INSAD_2Q21</vt:lpstr>
      <vt:lpstr>INSAD_2Q22</vt:lpstr>
      <vt:lpstr>INSAD_2Q23</vt:lpstr>
      <vt:lpstr>INSAD_2Q24</vt:lpstr>
      <vt:lpstr>Tags!INSAD_3Q00</vt:lpstr>
      <vt:lpstr>INSAD_3Q00</vt:lpstr>
      <vt:lpstr>Tags!INSAD_3Q01</vt:lpstr>
      <vt:lpstr>INSAD_3Q01</vt:lpstr>
      <vt:lpstr>Tags!INSAD_3Q02</vt:lpstr>
      <vt:lpstr>INSAD_3Q02</vt:lpstr>
      <vt:lpstr>Tags!INSAD_3Q03</vt:lpstr>
      <vt:lpstr>INSAD_3Q03</vt:lpstr>
      <vt:lpstr>Tags!INSAD_3Q04</vt:lpstr>
      <vt:lpstr>INSAD_3Q04</vt:lpstr>
      <vt:lpstr>Tags!INSAD_3Q05</vt:lpstr>
      <vt:lpstr>INSAD_3Q05</vt:lpstr>
      <vt:lpstr>Tags!INSAD_3Q06</vt:lpstr>
      <vt:lpstr>INSAD_3Q06</vt:lpstr>
      <vt:lpstr>Tags!INSAD_3Q07</vt:lpstr>
      <vt:lpstr>INSAD_3Q07</vt:lpstr>
      <vt:lpstr>Tags!INSAD_3Q08</vt:lpstr>
      <vt:lpstr>INSAD_3Q08</vt:lpstr>
      <vt:lpstr>Tags!INSAD_3Q09</vt:lpstr>
      <vt:lpstr>INSAD_3Q09</vt:lpstr>
      <vt:lpstr>Tags!INSAD_3Q10</vt:lpstr>
      <vt:lpstr>INSAD_3Q10</vt:lpstr>
      <vt:lpstr>Tags!INSAD_3Q11</vt:lpstr>
      <vt:lpstr>INSAD_3Q11</vt:lpstr>
      <vt:lpstr>Tags!INSAD_3Q12</vt:lpstr>
      <vt:lpstr>INSAD_3Q12</vt:lpstr>
      <vt:lpstr>Tags!INSAD_3Q13</vt:lpstr>
      <vt:lpstr>INSAD_3Q13</vt:lpstr>
      <vt:lpstr>Tags!INSAD_3Q14</vt:lpstr>
      <vt:lpstr>INSAD_3Q14</vt:lpstr>
      <vt:lpstr>Tags!INSAD_3Q15</vt:lpstr>
      <vt:lpstr>INSAD_3Q15</vt:lpstr>
      <vt:lpstr>Tags!INSAD_3Q16</vt:lpstr>
      <vt:lpstr>INSAD_3Q16</vt:lpstr>
      <vt:lpstr>Tags!INSAD_3Q17</vt:lpstr>
      <vt:lpstr>INSAD_3Q17</vt:lpstr>
      <vt:lpstr>Tags!INSAD_3Q18</vt:lpstr>
      <vt:lpstr>INSAD_3Q18</vt:lpstr>
      <vt:lpstr>Tags!INSAD_3Q19</vt:lpstr>
      <vt:lpstr>INSAD_3Q19</vt:lpstr>
      <vt:lpstr>Tags!INSAD_3Q20</vt:lpstr>
      <vt:lpstr>INSAD_3Q20</vt:lpstr>
      <vt:lpstr>INSAD_3Q21</vt:lpstr>
      <vt:lpstr>INSAD_3Q22</vt:lpstr>
      <vt:lpstr>INSAD_3Q23</vt:lpstr>
      <vt:lpstr>INSAD_3Q24</vt:lpstr>
      <vt:lpstr>Tags!INSAD_4Q00</vt:lpstr>
      <vt:lpstr>INSAD_4Q00</vt:lpstr>
      <vt:lpstr>Tags!INSAD_4Q01</vt:lpstr>
      <vt:lpstr>INSAD_4Q01</vt:lpstr>
      <vt:lpstr>Tags!INSAD_4Q02</vt:lpstr>
      <vt:lpstr>INSAD_4Q02</vt:lpstr>
      <vt:lpstr>Tags!INSAD_4Q03</vt:lpstr>
      <vt:lpstr>INSAD_4Q03</vt:lpstr>
      <vt:lpstr>Tags!INSAD_4Q04</vt:lpstr>
      <vt:lpstr>INSAD_4Q04</vt:lpstr>
      <vt:lpstr>Tags!INSAD_4Q05</vt:lpstr>
      <vt:lpstr>INSAD_4Q05</vt:lpstr>
      <vt:lpstr>Tags!INSAD_4Q06</vt:lpstr>
      <vt:lpstr>INSAD_4Q06</vt:lpstr>
      <vt:lpstr>Tags!INSAD_4Q07</vt:lpstr>
      <vt:lpstr>INSAD_4Q07</vt:lpstr>
      <vt:lpstr>Tags!INSAD_4Q08</vt:lpstr>
      <vt:lpstr>INSAD_4Q08</vt:lpstr>
      <vt:lpstr>Tags!INSAD_4Q09</vt:lpstr>
      <vt:lpstr>INSAD_4Q09</vt:lpstr>
      <vt:lpstr>Tags!INSAD_4Q10</vt:lpstr>
      <vt:lpstr>INSAD_4Q10</vt:lpstr>
      <vt:lpstr>Tags!INSAD_4Q11</vt:lpstr>
      <vt:lpstr>INSAD_4Q11</vt:lpstr>
      <vt:lpstr>Tags!INSAD_4Q12</vt:lpstr>
      <vt:lpstr>INSAD_4Q12</vt:lpstr>
      <vt:lpstr>Tags!INSAD_4Q13</vt:lpstr>
      <vt:lpstr>INSAD_4Q13</vt:lpstr>
      <vt:lpstr>Tags!INSAD_4Q14</vt:lpstr>
      <vt:lpstr>INSAD_4Q14</vt:lpstr>
      <vt:lpstr>Tags!INSAD_4Q15</vt:lpstr>
      <vt:lpstr>INSAD_4Q15</vt:lpstr>
      <vt:lpstr>Tags!INSAD_4Q16</vt:lpstr>
      <vt:lpstr>INSAD_4Q16</vt:lpstr>
      <vt:lpstr>Tags!INSAD_4Q17</vt:lpstr>
      <vt:lpstr>INSAD_4Q17</vt:lpstr>
      <vt:lpstr>Tags!INSAD_4Q18</vt:lpstr>
      <vt:lpstr>INSAD_4Q18</vt:lpstr>
      <vt:lpstr>Tags!INSAD_4Q19</vt:lpstr>
      <vt:lpstr>INSAD_4Q19</vt:lpstr>
      <vt:lpstr>Tags!INSAD_4Q20</vt:lpstr>
      <vt:lpstr>INSAD_4Q20</vt:lpstr>
      <vt:lpstr>INSAD_4Q21</vt:lpstr>
      <vt:lpstr>INSAD_4Q22</vt:lpstr>
      <vt:lpstr>INSAD_4Q23</vt:lpstr>
      <vt:lpstr>INSAD_4Q24</vt:lpstr>
      <vt:lpstr>INVAFF_1995</vt:lpstr>
      <vt:lpstr>INVAFF_1996</vt:lpstr>
      <vt:lpstr>INVAFF_1997</vt:lpstr>
      <vt:lpstr>INVAFF_1998</vt:lpstr>
      <vt:lpstr>INVAFF_1999</vt:lpstr>
      <vt:lpstr>Tags!INVAFF_1Q00</vt:lpstr>
      <vt:lpstr>INVAFF_1Q00</vt:lpstr>
      <vt:lpstr>Tags!INVAFF_1Q01</vt:lpstr>
      <vt:lpstr>INVAFF_1Q01</vt:lpstr>
      <vt:lpstr>Tags!INVAFF_1Q02</vt:lpstr>
      <vt:lpstr>INVAFF_1Q02</vt:lpstr>
      <vt:lpstr>Tags!INVAFF_1Q03</vt:lpstr>
      <vt:lpstr>INVAFF_1Q03</vt:lpstr>
      <vt:lpstr>Tags!INVAFF_1Q04</vt:lpstr>
      <vt:lpstr>INVAFF_1Q04</vt:lpstr>
      <vt:lpstr>Tags!INVAFF_1Q05</vt:lpstr>
      <vt:lpstr>INVAFF_1Q05</vt:lpstr>
      <vt:lpstr>Tags!INVAFF_1Q06</vt:lpstr>
      <vt:lpstr>INVAFF_1Q06</vt:lpstr>
      <vt:lpstr>Tags!INVAFF_1Q07</vt:lpstr>
      <vt:lpstr>INVAFF_1Q07</vt:lpstr>
      <vt:lpstr>Tags!INVAFF_1Q08</vt:lpstr>
      <vt:lpstr>INVAFF_1Q08</vt:lpstr>
      <vt:lpstr>Tags!INVAFF_1Q09</vt:lpstr>
      <vt:lpstr>INVAFF_1Q09</vt:lpstr>
      <vt:lpstr>Tags!INVAFF_1Q10</vt:lpstr>
      <vt:lpstr>INVAFF_1Q10</vt:lpstr>
      <vt:lpstr>Tags!INVAFF_1Q11</vt:lpstr>
      <vt:lpstr>INVAFF_1Q11</vt:lpstr>
      <vt:lpstr>Tags!INVAFF_1Q12</vt:lpstr>
      <vt:lpstr>INVAFF_1Q12</vt:lpstr>
      <vt:lpstr>Tags!INVAFF_1Q13</vt:lpstr>
      <vt:lpstr>INVAFF_1Q13</vt:lpstr>
      <vt:lpstr>Tags!INVAFF_1Q14</vt:lpstr>
      <vt:lpstr>INVAFF_1Q14</vt:lpstr>
      <vt:lpstr>Tags!INVAFF_1Q15</vt:lpstr>
      <vt:lpstr>INVAFF_1Q15</vt:lpstr>
      <vt:lpstr>Tags!INVAFF_1Q16</vt:lpstr>
      <vt:lpstr>INVAFF_1Q16</vt:lpstr>
      <vt:lpstr>Tags!INVAFF_1Q17</vt:lpstr>
      <vt:lpstr>INVAFF_1Q17</vt:lpstr>
      <vt:lpstr>Tags!INVAFF_1Q18</vt:lpstr>
      <vt:lpstr>INVAFF_1Q18</vt:lpstr>
      <vt:lpstr>Tags!INVAFF_1Q19</vt:lpstr>
      <vt:lpstr>INVAFF_1Q19</vt:lpstr>
      <vt:lpstr>Tags!INVAFF_1Q20</vt:lpstr>
      <vt:lpstr>INVAFF_1Q20</vt:lpstr>
      <vt:lpstr>INVAFF_1Q21</vt:lpstr>
      <vt:lpstr>INVAFF_1Q22</vt:lpstr>
      <vt:lpstr>INVAFF_1Q23</vt:lpstr>
      <vt:lpstr>INVAFF_1Q24</vt:lpstr>
      <vt:lpstr>Tags!INVAFF_2000</vt:lpstr>
      <vt:lpstr>INVAFF_2000</vt:lpstr>
      <vt:lpstr>Tags!INVAFF_2001</vt:lpstr>
      <vt:lpstr>INVAFF_2001</vt:lpstr>
      <vt:lpstr>Tags!INVAFF_2002</vt:lpstr>
      <vt:lpstr>INVAFF_2002</vt:lpstr>
      <vt:lpstr>Tags!INVAFF_2003</vt:lpstr>
      <vt:lpstr>INVAFF_2003</vt:lpstr>
      <vt:lpstr>Tags!INVAFF_2004</vt:lpstr>
      <vt:lpstr>INVAFF_2004</vt:lpstr>
      <vt:lpstr>Tags!INVAFF_2005</vt:lpstr>
      <vt:lpstr>INVAFF_2005</vt:lpstr>
      <vt:lpstr>Tags!INVAFF_2006</vt:lpstr>
      <vt:lpstr>INVAFF_2006</vt:lpstr>
      <vt:lpstr>Tags!INVAFF_2007</vt:lpstr>
      <vt:lpstr>INVAFF_2007</vt:lpstr>
      <vt:lpstr>Tags!INVAFF_2008</vt:lpstr>
      <vt:lpstr>INVAFF_2008</vt:lpstr>
      <vt:lpstr>Tags!INVAFF_2009</vt:lpstr>
      <vt:lpstr>INVAFF_2009</vt:lpstr>
      <vt:lpstr>Tags!INVAFF_2010</vt:lpstr>
      <vt:lpstr>INVAFF_2010</vt:lpstr>
      <vt:lpstr>Tags!INVAFF_2011</vt:lpstr>
      <vt:lpstr>INVAFF_2011</vt:lpstr>
      <vt:lpstr>Tags!INVAFF_2012</vt:lpstr>
      <vt:lpstr>INVAFF_2012</vt:lpstr>
      <vt:lpstr>Tags!INVAFF_2013</vt:lpstr>
      <vt:lpstr>INVAFF_2013</vt:lpstr>
      <vt:lpstr>Tags!INVAFF_2014</vt:lpstr>
      <vt:lpstr>INVAFF_2014</vt:lpstr>
      <vt:lpstr>INVAFF_2015</vt:lpstr>
      <vt:lpstr>Tags!INVAFF_2016</vt:lpstr>
      <vt:lpstr>INVAFF_2016</vt:lpstr>
      <vt:lpstr>Tags!INVAFF_2017</vt:lpstr>
      <vt:lpstr>INVAFF_2017</vt:lpstr>
      <vt:lpstr>Tags!INVAFF_2018</vt:lpstr>
      <vt:lpstr>INVAFF_2018</vt:lpstr>
      <vt:lpstr>Tags!INVAFF_2019</vt:lpstr>
      <vt:lpstr>INVAFF_2019</vt:lpstr>
      <vt:lpstr>Tags!INVAFF_2020</vt:lpstr>
      <vt:lpstr>INVAFF_2020</vt:lpstr>
      <vt:lpstr>INVAFF_2021</vt:lpstr>
      <vt:lpstr>INVAFF_2022</vt:lpstr>
      <vt:lpstr>INVAFF_2023</vt:lpstr>
      <vt:lpstr>INVAFF_2024</vt:lpstr>
      <vt:lpstr>Tags!INVAFF_2Q00</vt:lpstr>
      <vt:lpstr>INVAFF_2Q00</vt:lpstr>
      <vt:lpstr>Tags!INVAFF_2Q01</vt:lpstr>
      <vt:lpstr>INVAFF_2Q01</vt:lpstr>
      <vt:lpstr>Tags!INVAFF_2Q02</vt:lpstr>
      <vt:lpstr>INVAFF_2Q02</vt:lpstr>
      <vt:lpstr>Tags!INVAFF_2Q03</vt:lpstr>
      <vt:lpstr>INVAFF_2Q03</vt:lpstr>
      <vt:lpstr>Tags!INVAFF_2Q04</vt:lpstr>
      <vt:lpstr>INVAFF_2Q04</vt:lpstr>
      <vt:lpstr>Tags!INVAFF_2Q05</vt:lpstr>
      <vt:lpstr>INVAFF_2Q05</vt:lpstr>
      <vt:lpstr>Tags!INVAFF_2Q06</vt:lpstr>
      <vt:lpstr>INVAFF_2Q06</vt:lpstr>
      <vt:lpstr>Tags!INVAFF_2Q07</vt:lpstr>
      <vt:lpstr>INVAFF_2Q07</vt:lpstr>
      <vt:lpstr>Tags!INVAFF_2Q08</vt:lpstr>
      <vt:lpstr>INVAFF_2Q08</vt:lpstr>
      <vt:lpstr>Tags!INVAFF_2Q09</vt:lpstr>
      <vt:lpstr>INVAFF_2Q09</vt:lpstr>
      <vt:lpstr>Tags!INVAFF_2Q10</vt:lpstr>
      <vt:lpstr>INVAFF_2Q10</vt:lpstr>
      <vt:lpstr>Tags!INVAFF_2Q11</vt:lpstr>
      <vt:lpstr>INVAFF_2Q11</vt:lpstr>
      <vt:lpstr>Tags!INVAFF_2Q12</vt:lpstr>
      <vt:lpstr>INVAFF_2Q12</vt:lpstr>
      <vt:lpstr>Tags!INVAFF_2Q13</vt:lpstr>
      <vt:lpstr>INVAFF_2Q13</vt:lpstr>
      <vt:lpstr>Tags!INVAFF_2Q14</vt:lpstr>
      <vt:lpstr>INVAFF_2Q14</vt:lpstr>
      <vt:lpstr>Tags!INVAFF_2Q15</vt:lpstr>
      <vt:lpstr>INVAFF_2Q15</vt:lpstr>
      <vt:lpstr>Tags!INVAFF_2Q16</vt:lpstr>
      <vt:lpstr>INVAFF_2Q16</vt:lpstr>
      <vt:lpstr>Tags!INVAFF_2Q17</vt:lpstr>
      <vt:lpstr>INVAFF_2Q17</vt:lpstr>
      <vt:lpstr>Tags!INVAFF_2Q18</vt:lpstr>
      <vt:lpstr>INVAFF_2Q18</vt:lpstr>
      <vt:lpstr>Tags!INVAFF_2Q19</vt:lpstr>
      <vt:lpstr>INVAFF_2Q19</vt:lpstr>
      <vt:lpstr>Tags!INVAFF_2Q20</vt:lpstr>
      <vt:lpstr>INVAFF_2Q20</vt:lpstr>
      <vt:lpstr>INVAFF_2Q21</vt:lpstr>
      <vt:lpstr>INVAFF_2Q22</vt:lpstr>
      <vt:lpstr>INVAFF_2Q23</vt:lpstr>
      <vt:lpstr>INVAFF_2Q24</vt:lpstr>
      <vt:lpstr>Tags!INVAFF_3Q00</vt:lpstr>
      <vt:lpstr>INVAFF_3Q00</vt:lpstr>
      <vt:lpstr>Tags!INVAFF_3Q01</vt:lpstr>
      <vt:lpstr>INVAFF_3Q01</vt:lpstr>
      <vt:lpstr>Tags!INVAFF_3Q02</vt:lpstr>
      <vt:lpstr>INVAFF_3Q02</vt:lpstr>
      <vt:lpstr>Tags!INVAFF_3Q03</vt:lpstr>
      <vt:lpstr>INVAFF_3Q03</vt:lpstr>
      <vt:lpstr>Tags!INVAFF_3Q04</vt:lpstr>
      <vt:lpstr>INVAFF_3Q04</vt:lpstr>
      <vt:lpstr>Tags!INVAFF_3Q05</vt:lpstr>
      <vt:lpstr>INVAFF_3Q05</vt:lpstr>
      <vt:lpstr>Tags!INVAFF_3Q06</vt:lpstr>
      <vt:lpstr>INVAFF_3Q06</vt:lpstr>
      <vt:lpstr>Tags!INVAFF_3Q07</vt:lpstr>
      <vt:lpstr>INVAFF_3Q07</vt:lpstr>
      <vt:lpstr>Tags!INVAFF_3Q08</vt:lpstr>
      <vt:lpstr>INVAFF_3Q08</vt:lpstr>
      <vt:lpstr>Tags!INVAFF_3Q09</vt:lpstr>
      <vt:lpstr>INVAFF_3Q09</vt:lpstr>
      <vt:lpstr>Tags!INVAFF_3Q10</vt:lpstr>
      <vt:lpstr>INVAFF_3Q10</vt:lpstr>
      <vt:lpstr>Tags!INVAFF_3Q11</vt:lpstr>
      <vt:lpstr>INVAFF_3Q11</vt:lpstr>
      <vt:lpstr>Tags!INVAFF_3Q12</vt:lpstr>
      <vt:lpstr>INVAFF_3Q12</vt:lpstr>
      <vt:lpstr>Tags!INVAFF_3Q13</vt:lpstr>
      <vt:lpstr>INVAFF_3Q13</vt:lpstr>
      <vt:lpstr>Tags!INVAFF_3Q14</vt:lpstr>
      <vt:lpstr>INVAFF_3Q14</vt:lpstr>
      <vt:lpstr>Tags!INVAFF_3Q15</vt:lpstr>
      <vt:lpstr>INVAFF_3Q15</vt:lpstr>
      <vt:lpstr>Tags!INVAFF_3Q16</vt:lpstr>
      <vt:lpstr>INVAFF_3Q16</vt:lpstr>
      <vt:lpstr>Tags!INVAFF_3Q17</vt:lpstr>
      <vt:lpstr>INVAFF_3Q17</vt:lpstr>
      <vt:lpstr>Tags!INVAFF_3Q18</vt:lpstr>
      <vt:lpstr>INVAFF_3Q18</vt:lpstr>
      <vt:lpstr>Tags!INVAFF_3Q19</vt:lpstr>
      <vt:lpstr>INVAFF_3Q19</vt:lpstr>
      <vt:lpstr>Tags!INVAFF_3Q20</vt:lpstr>
      <vt:lpstr>INVAFF_3Q20</vt:lpstr>
      <vt:lpstr>INVAFF_3Q21</vt:lpstr>
      <vt:lpstr>INVAFF_3Q22</vt:lpstr>
      <vt:lpstr>INVAFF_3Q23</vt:lpstr>
      <vt:lpstr>INVAFF_3Q24</vt:lpstr>
      <vt:lpstr>Tags!INVAFF_4Q00</vt:lpstr>
      <vt:lpstr>INVAFF_4Q00</vt:lpstr>
      <vt:lpstr>Tags!INVAFF_4Q01</vt:lpstr>
      <vt:lpstr>INVAFF_4Q01</vt:lpstr>
      <vt:lpstr>Tags!INVAFF_4Q02</vt:lpstr>
      <vt:lpstr>INVAFF_4Q02</vt:lpstr>
      <vt:lpstr>Tags!INVAFF_4Q03</vt:lpstr>
      <vt:lpstr>INVAFF_4Q03</vt:lpstr>
      <vt:lpstr>Tags!INVAFF_4Q04</vt:lpstr>
      <vt:lpstr>INVAFF_4Q04</vt:lpstr>
      <vt:lpstr>Tags!INVAFF_4Q05</vt:lpstr>
      <vt:lpstr>INVAFF_4Q05</vt:lpstr>
      <vt:lpstr>Tags!INVAFF_4Q06</vt:lpstr>
      <vt:lpstr>INVAFF_4Q06</vt:lpstr>
      <vt:lpstr>Tags!INVAFF_4Q07</vt:lpstr>
      <vt:lpstr>INVAFF_4Q07</vt:lpstr>
      <vt:lpstr>Tags!INVAFF_4Q08</vt:lpstr>
      <vt:lpstr>INVAFF_4Q08</vt:lpstr>
      <vt:lpstr>Tags!INVAFF_4Q09</vt:lpstr>
      <vt:lpstr>INVAFF_4Q09</vt:lpstr>
      <vt:lpstr>Tags!INVAFF_4Q10</vt:lpstr>
      <vt:lpstr>INVAFF_4Q10</vt:lpstr>
      <vt:lpstr>Tags!INVAFF_4Q11</vt:lpstr>
      <vt:lpstr>INVAFF_4Q11</vt:lpstr>
      <vt:lpstr>Tags!INVAFF_4Q12</vt:lpstr>
      <vt:lpstr>INVAFF_4Q12</vt:lpstr>
      <vt:lpstr>Tags!INVAFF_4Q13</vt:lpstr>
      <vt:lpstr>INVAFF_4Q13</vt:lpstr>
      <vt:lpstr>Tags!INVAFF_4Q14</vt:lpstr>
      <vt:lpstr>INVAFF_4Q14</vt:lpstr>
      <vt:lpstr>Tags!INVAFF_4Q15</vt:lpstr>
      <vt:lpstr>INVAFF_4Q15</vt:lpstr>
      <vt:lpstr>Tags!INVAFF_4Q16</vt:lpstr>
      <vt:lpstr>INVAFF_4Q16</vt:lpstr>
      <vt:lpstr>Tags!INVAFF_4Q17</vt:lpstr>
      <vt:lpstr>INVAFF_4Q17</vt:lpstr>
      <vt:lpstr>Tags!INVAFF_4Q18</vt:lpstr>
      <vt:lpstr>INVAFF_4Q18</vt:lpstr>
      <vt:lpstr>Tags!INVAFF_4Q19</vt:lpstr>
      <vt:lpstr>INVAFF_4Q19</vt:lpstr>
      <vt:lpstr>Tags!INVAFF_4Q20</vt:lpstr>
      <vt:lpstr>INVAFF_4Q20</vt:lpstr>
      <vt:lpstr>INVAFF_4Q21</vt:lpstr>
      <vt:lpstr>INVAFF_4Q22</vt:lpstr>
      <vt:lpstr>INVAFF_4Q23</vt:lpstr>
      <vt:lpstr>INVAFF_4Q24</vt:lpstr>
      <vt:lpstr>INVENT_1995</vt:lpstr>
      <vt:lpstr>INVENT_1996</vt:lpstr>
      <vt:lpstr>INVENT_1997</vt:lpstr>
      <vt:lpstr>INVENT_1998</vt:lpstr>
      <vt:lpstr>INVENT_1999</vt:lpstr>
      <vt:lpstr>Tags!INVENT_1Q00</vt:lpstr>
      <vt:lpstr>INVENT_1Q00</vt:lpstr>
      <vt:lpstr>Tags!INVENT_1Q01</vt:lpstr>
      <vt:lpstr>INVENT_1Q01</vt:lpstr>
      <vt:lpstr>Tags!INVENT_1Q02</vt:lpstr>
      <vt:lpstr>INVENT_1Q02</vt:lpstr>
      <vt:lpstr>Tags!INVENT_1Q03</vt:lpstr>
      <vt:lpstr>INVENT_1Q03</vt:lpstr>
      <vt:lpstr>Tags!INVENT_1Q04</vt:lpstr>
      <vt:lpstr>INVENT_1Q04</vt:lpstr>
      <vt:lpstr>Tags!INVENT_1Q05</vt:lpstr>
      <vt:lpstr>INVENT_1Q05</vt:lpstr>
      <vt:lpstr>Tags!INVENT_1Q06</vt:lpstr>
      <vt:lpstr>INVENT_1Q06</vt:lpstr>
      <vt:lpstr>Tags!INVENT_1Q07</vt:lpstr>
      <vt:lpstr>INVENT_1Q07</vt:lpstr>
      <vt:lpstr>Tags!INVENT_1Q08</vt:lpstr>
      <vt:lpstr>INVENT_1Q08</vt:lpstr>
      <vt:lpstr>Tags!INVENT_1Q09</vt:lpstr>
      <vt:lpstr>INVENT_1Q09</vt:lpstr>
      <vt:lpstr>Tags!INVENT_1Q10</vt:lpstr>
      <vt:lpstr>INVENT_1Q10</vt:lpstr>
      <vt:lpstr>Tags!INVENT_1Q11</vt:lpstr>
      <vt:lpstr>INVENT_1Q11</vt:lpstr>
      <vt:lpstr>Tags!INVENT_1Q12</vt:lpstr>
      <vt:lpstr>INVENT_1Q12</vt:lpstr>
      <vt:lpstr>Tags!INVENT_1Q13</vt:lpstr>
      <vt:lpstr>INVENT_1Q13</vt:lpstr>
      <vt:lpstr>Tags!INVENT_1Q14</vt:lpstr>
      <vt:lpstr>INVENT_1Q14</vt:lpstr>
      <vt:lpstr>Tags!INVENT_1Q15</vt:lpstr>
      <vt:lpstr>INVENT_1Q15</vt:lpstr>
      <vt:lpstr>Tags!INVENT_1Q16</vt:lpstr>
      <vt:lpstr>INVENT_1Q16</vt:lpstr>
      <vt:lpstr>Tags!INVENT_1Q17</vt:lpstr>
      <vt:lpstr>INVENT_1Q17</vt:lpstr>
      <vt:lpstr>Tags!INVENT_1Q18</vt:lpstr>
      <vt:lpstr>INVENT_1Q18</vt:lpstr>
      <vt:lpstr>Tags!INVENT_1Q19</vt:lpstr>
      <vt:lpstr>INVENT_1Q19</vt:lpstr>
      <vt:lpstr>Tags!INVENT_1Q20</vt:lpstr>
      <vt:lpstr>INVENT_1Q20</vt:lpstr>
      <vt:lpstr>INVENT_1Q21</vt:lpstr>
      <vt:lpstr>INVENT_1Q22</vt:lpstr>
      <vt:lpstr>INVENT_1Q23</vt:lpstr>
      <vt:lpstr>INVENT_1Q24</vt:lpstr>
      <vt:lpstr>Tags!INVENT_2000</vt:lpstr>
      <vt:lpstr>INVENT_2000</vt:lpstr>
      <vt:lpstr>Tags!INVENT_2001</vt:lpstr>
      <vt:lpstr>INVENT_2001</vt:lpstr>
      <vt:lpstr>Tags!INVENT_2002</vt:lpstr>
      <vt:lpstr>INVENT_2002</vt:lpstr>
      <vt:lpstr>Tags!INVENT_2003</vt:lpstr>
      <vt:lpstr>INVENT_2003</vt:lpstr>
      <vt:lpstr>Tags!INVENT_2004</vt:lpstr>
      <vt:lpstr>INVENT_2004</vt:lpstr>
      <vt:lpstr>Tags!INVENT_2005</vt:lpstr>
      <vt:lpstr>INVENT_2005</vt:lpstr>
      <vt:lpstr>Tags!INVENT_2006</vt:lpstr>
      <vt:lpstr>INVENT_2006</vt:lpstr>
      <vt:lpstr>Tags!INVENT_2007</vt:lpstr>
      <vt:lpstr>INVENT_2007</vt:lpstr>
      <vt:lpstr>Tags!INVENT_2008</vt:lpstr>
      <vt:lpstr>INVENT_2008</vt:lpstr>
      <vt:lpstr>Tags!INVENT_2009</vt:lpstr>
      <vt:lpstr>INVENT_2009</vt:lpstr>
      <vt:lpstr>Tags!INVENT_2010</vt:lpstr>
      <vt:lpstr>INVENT_2010</vt:lpstr>
      <vt:lpstr>Tags!INVENT_2011</vt:lpstr>
      <vt:lpstr>INVENT_2011</vt:lpstr>
      <vt:lpstr>Tags!INVENT_2012</vt:lpstr>
      <vt:lpstr>INVENT_2012</vt:lpstr>
      <vt:lpstr>Tags!INVENT_2013</vt:lpstr>
      <vt:lpstr>INVENT_2013</vt:lpstr>
      <vt:lpstr>Tags!INVENT_2014</vt:lpstr>
      <vt:lpstr>INVENT_2014</vt:lpstr>
      <vt:lpstr>INVENT_2015</vt:lpstr>
      <vt:lpstr>Tags!INVENT_2016</vt:lpstr>
      <vt:lpstr>INVENT_2016</vt:lpstr>
      <vt:lpstr>Tags!INVENT_2017</vt:lpstr>
      <vt:lpstr>INVENT_2017</vt:lpstr>
      <vt:lpstr>Tags!INVENT_2018</vt:lpstr>
      <vt:lpstr>INVENT_2018</vt:lpstr>
      <vt:lpstr>Tags!INVENT_2019</vt:lpstr>
      <vt:lpstr>INVENT_2019</vt:lpstr>
      <vt:lpstr>Tags!INVENT_2020</vt:lpstr>
      <vt:lpstr>INVENT_2020</vt:lpstr>
      <vt:lpstr>INVENT_2021</vt:lpstr>
      <vt:lpstr>INVENT_2022</vt:lpstr>
      <vt:lpstr>INVENT_2023</vt:lpstr>
      <vt:lpstr>INVENT_2024</vt:lpstr>
      <vt:lpstr>Tags!INVENT_2Q00</vt:lpstr>
      <vt:lpstr>INVENT_2Q00</vt:lpstr>
      <vt:lpstr>Tags!INVENT_2Q01</vt:lpstr>
      <vt:lpstr>INVENT_2Q01</vt:lpstr>
      <vt:lpstr>Tags!INVENT_2Q02</vt:lpstr>
      <vt:lpstr>INVENT_2Q02</vt:lpstr>
      <vt:lpstr>Tags!INVENT_2Q03</vt:lpstr>
      <vt:lpstr>INVENT_2Q03</vt:lpstr>
      <vt:lpstr>Tags!INVENT_2Q04</vt:lpstr>
      <vt:lpstr>INVENT_2Q04</vt:lpstr>
      <vt:lpstr>Tags!INVENT_2Q05</vt:lpstr>
      <vt:lpstr>INVENT_2Q05</vt:lpstr>
      <vt:lpstr>Tags!INVENT_2Q06</vt:lpstr>
      <vt:lpstr>INVENT_2Q06</vt:lpstr>
      <vt:lpstr>Tags!INVENT_2Q07</vt:lpstr>
      <vt:lpstr>INVENT_2Q07</vt:lpstr>
      <vt:lpstr>Tags!INVENT_2Q08</vt:lpstr>
      <vt:lpstr>INVENT_2Q08</vt:lpstr>
      <vt:lpstr>Tags!INVENT_2Q09</vt:lpstr>
      <vt:lpstr>INVENT_2Q09</vt:lpstr>
      <vt:lpstr>Tags!INVENT_2Q10</vt:lpstr>
      <vt:lpstr>INVENT_2Q10</vt:lpstr>
      <vt:lpstr>Tags!INVENT_2Q11</vt:lpstr>
      <vt:lpstr>INVENT_2Q11</vt:lpstr>
      <vt:lpstr>Tags!INVENT_2Q12</vt:lpstr>
      <vt:lpstr>INVENT_2Q12</vt:lpstr>
      <vt:lpstr>Tags!INVENT_2Q13</vt:lpstr>
      <vt:lpstr>INVENT_2Q13</vt:lpstr>
      <vt:lpstr>Tags!INVENT_2Q14</vt:lpstr>
      <vt:lpstr>INVENT_2Q14</vt:lpstr>
      <vt:lpstr>Tags!INVENT_2Q15</vt:lpstr>
      <vt:lpstr>INVENT_2Q15</vt:lpstr>
      <vt:lpstr>Tags!INVENT_2Q16</vt:lpstr>
      <vt:lpstr>INVENT_2Q16</vt:lpstr>
      <vt:lpstr>Tags!INVENT_2Q17</vt:lpstr>
      <vt:lpstr>INVENT_2Q17</vt:lpstr>
      <vt:lpstr>Tags!INVENT_2Q18</vt:lpstr>
      <vt:lpstr>INVENT_2Q18</vt:lpstr>
      <vt:lpstr>Tags!INVENT_2Q19</vt:lpstr>
      <vt:lpstr>INVENT_2Q19</vt:lpstr>
      <vt:lpstr>Tags!INVENT_2Q20</vt:lpstr>
      <vt:lpstr>INVENT_2Q20</vt:lpstr>
      <vt:lpstr>INVENT_2Q21</vt:lpstr>
      <vt:lpstr>INVENT_2Q22</vt:lpstr>
      <vt:lpstr>INVENT_2Q23</vt:lpstr>
      <vt:lpstr>INVENT_2Q24</vt:lpstr>
      <vt:lpstr>Tags!INVENT_3Q00</vt:lpstr>
      <vt:lpstr>INVENT_3Q00</vt:lpstr>
      <vt:lpstr>Tags!INVENT_3Q01</vt:lpstr>
      <vt:lpstr>INVENT_3Q01</vt:lpstr>
      <vt:lpstr>Tags!INVENT_3Q02</vt:lpstr>
      <vt:lpstr>INVENT_3Q02</vt:lpstr>
      <vt:lpstr>Tags!INVENT_3Q03</vt:lpstr>
      <vt:lpstr>INVENT_3Q03</vt:lpstr>
      <vt:lpstr>Tags!INVENT_3Q04</vt:lpstr>
      <vt:lpstr>INVENT_3Q04</vt:lpstr>
      <vt:lpstr>Tags!INVENT_3Q05</vt:lpstr>
      <vt:lpstr>INVENT_3Q05</vt:lpstr>
      <vt:lpstr>Tags!INVENT_3Q06</vt:lpstr>
      <vt:lpstr>INVENT_3Q06</vt:lpstr>
      <vt:lpstr>Tags!INVENT_3Q07</vt:lpstr>
      <vt:lpstr>INVENT_3Q07</vt:lpstr>
      <vt:lpstr>Tags!INVENT_3Q08</vt:lpstr>
      <vt:lpstr>INVENT_3Q08</vt:lpstr>
      <vt:lpstr>Tags!INVENT_3Q09</vt:lpstr>
      <vt:lpstr>INVENT_3Q09</vt:lpstr>
      <vt:lpstr>Tags!INVENT_3Q10</vt:lpstr>
      <vt:lpstr>INVENT_3Q10</vt:lpstr>
      <vt:lpstr>Tags!INVENT_3Q11</vt:lpstr>
      <vt:lpstr>INVENT_3Q11</vt:lpstr>
      <vt:lpstr>Tags!INVENT_3Q12</vt:lpstr>
      <vt:lpstr>INVENT_3Q12</vt:lpstr>
      <vt:lpstr>Tags!INVENT_3Q13</vt:lpstr>
      <vt:lpstr>INVENT_3Q13</vt:lpstr>
      <vt:lpstr>Tags!INVENT_3Q14</vt:lpstr>
      <vt:lpstr>INVENT_3Q14</vt:lpstr>
      <vt:lpstr>Tags!INVENT_3Q15</vt:lpstr>
      <vt:lpstr>INVENT_3Q15</vt:lpstr>
      <vt:lpstr>Tags!INVENT_3Q16</vt:lpstr>
      <vt:lpstr>INVENT_3Q16</vt:lpstr>
      <vt:lpstr>Tags!INVENT_3Q17</vt:lpstr>
      <vt:lpstr>INVENT_3Q17</vt:lpstr>
      <vt:lpstr>Tags!INVENT_3Q18</vt:lpstr>
      <vt:lpstr>INVENT_3Q18</vt:lpstr>
      <vt:lpstr>Tags!INVENT_3Q19</vt:lpstr>
      <vt:lpstr>INVENT_3Q19</vt:lpstr>
      <vt:lpstr>Tags!INVENT_3Q20</vt:lpstr>
      <vt:lpstr>INVENT_3Q20</vt:lpstr>
      <vt:lpstr>INVENT_3Q21</vt:lpstr>
      <vt:lpstr>INVENT_3Q22</vt:lpstr>
      <vt:lpstr>INVENT_3Q23</vt:lpstr>
      <vt:lpstr>INVENT_3Q24</vt:lpstr>
      <vt:lpstr>Tags!INVENT_4Q00</vt:lpstr>
      <vt:lpstr>INVENT_4Q00</vt:lpstr>
      <vt:lpstr>Tags!INVENT_4Q01</vt:lpstr>
      <vt:lpstr>INVENT_4Q01</vt:lpstr>
      <vt:lpstr>Tags!INVENT_4Q02</vt:lpstr>
      <vt:lpstr>INVENT_4Q02</vt:lpstr>
      <vt:lpstr>Tags!INVENT_4Q03</vt:lpstr>
      <vt:lpstr>INVENT_4Q03</vt:lpstr>
      <vt:lpstr>Tags!INVENT_4Q04</vt:lpstr>
      <vt:lpstr>INVENT_4Q04</vt:lpstr>
      <vt:lpstr>Tags!INVENT_4Q05</vt:lpstr>
      <vt:lpstr>INVENT_4Q05</vt:lpstr>
      <vt:lpstr>Tags!INVENT_4Q06</vt:lpstr>
      <vt:lpstr>INVENT_4Q06</vt:lpstr>
      <vt:lpstr>Tags!INVENT_4Q07</vt:lpstr>
      <vt:lpstr>INVENT_4Q07</vt:lpstr>
      <vt:lpstr>Tags!INVENT_4Q08</vt:lpstr>
      <vt:lpstr>INVENT_4Q08</vt:lpstr>
      <vt:lpstr>Tags!INVENT_4Q09</vt:lpstr>
      <vt:lpstr>INVENT_4Q09</vt:lpstr>
      <vt:lpstr>Tags!INVENT_4Q10</vt:lpstr>
      <vt:lpstr>INVENT_4Q10</vt:lpstr>
      <vt:lpstr>Tags!INVENT_4Q11</vt:lpstr>
      <vt:lpstr>INVENT_4Q11</vt:lpstr>
      <vt:lpstr>Tags!INVENT_4Q12</vt:lpstr>
      <vt:lpstr>INVENT_4Q12</vt:lpstr>
      <vt:lpstr>Tags!INVENT_4Q13</vt:lpstr>
      <vt:lpstr>INVENT_4Q13</vt:lpstr>
      <vt:lpstr>Tags!INVENT_4Q14</vt:lpstr>
      <vt:lpstr>INVENT_4Q14</vt:lpstr>
      <vt:lpstr>Tags!INVENT_4Q15</vt:lpstr>
      <vt:lpstr>INVENT_4Q15</vt:lpstr>
      <vt:lpstr>Tags!INVENT_4Q16</vt:lpstr>
      <vt:lpstr>INVENT_4Q16</vt:lpstr>
      <vt:lpstr>Tags!INVENT_4Q17</vt:lpstr>
      <vt:lpstr>INVENT_4Q17</vt:lpstr>
      <vt:lpstr>Tags!INVENT_4Q18</vt:lpstr>
      <vt:lpstr>INVENT_4Q18</vt:lpstr>
      <vt:lpstr>Tags!INVENT_4Q19</vt:lpstr>
      <vt:lpstr>INVENT_4Q19</vt:lpstr>
      <vt:lpstr>Tags!INVENT_4Q20</vt:lpstr>
      <vt:lpstr>INVENT_4Q20</vt:lpstr>
      <vt:lpstr>INVENT_4Q21</vt:lpstr>
      <vt:lpstr>INVENT_4Q22</vt:lpstr>
      <vt:lpstr>INVENT_4Q23</vt:lpstr>
      <vt:lpstr>INVENT_4Q24</vt:lpstr>
      <vt:lpstr>ITAXRP_1995</vt:lpstr>
      <vt:lpstr>ITAXRP_1996</vt:lpstr>
      <vt:lpstr>ITAXRP_1997</vt:lpstr>
      <vt:lpstr>ITAXRP_1998</vt:lpstr>
      <vt:lpstr>ITAXRP_1999</vt:lpstr>
      <vt:lpstr>Tags!ITAXRP_1Q00</vt:lpstr>
      <vt:lpstr>ITAXRP_1Q00</vt:lpstr>
      <vt:lpstr>Tags!ITAXRP_1Q01</vt:lpstr>
      <vt:lpstr>ITAXRP_1Q01</vt:lpstr>
      <vt:lpstr>Tags!ITAXRP_1Q02</vt:lpstr>
      <vt:lpstr>ITAXRP_1Q02</vt:lpstr>
      <vt:lpstr>Tags!ITAXRP_1Q03</vt:lpstr>
      <vt:lpstr>ITAXRP_1Q03</vt:lpstr>
      <vt:lpstr>Tags!ITAXRP_1Q04</vt:lpstr>
      <vt:lpstr>ITAXRP_1Q04</vt:lpstr>
      <vt:lpstr>Tags!ITAXRP_1Q05</vt:lpstr>
      <vt:lpstr>ITAXRP_1Q05</vt:lpstr>
      <vt:lpstr>Tags!ITAXRP_1Q06</vt:lpstr>
      <vt:lpstr>ITAXRP_1Q06</vt:lpstr>
      <vt:lpstr>Tags!ITAXRP_1Q07</vt:lpstr>
      <vt:lpstr>ITAXRP_1Q07</vt:lpstr>
      <vt:lpstr>Tags!ITAXRP_1Q08</vt:lpstr>
      <vt:lpstr>ITAXRP_1Q08</vt:lpstr>
      <vt:lpstr>Tags!ITAXRP_1Q09</vt:lpstr>
      <vt:lpstr>ITAXRP_1Q09</vt:lpstr>
      <vt:lpstr>Tags!ITAXRP_1Q10</vt:lpstr>
      <vt:lpstr>ITAXRP_1Q10</vt:lpstr>
      <vt:lpstr>Tags!ITAXRP_1Q11</vt:lpstr>
      <vt:lpstr>ITAXRP_1Q11</vt:lpstr>
      <vt:lpstr>Tags!ITAXRP_1Q12</vt:lpstr>
      <vt:lpstr>ITAXRP_1Q12</vt:lpstr>
      <vt:lpstr>Tags!ITAXRP_1Q13</vt:lpstr>
      <vt:lpstr>ITAXRP_1Q13</vt:lpstr>
      <vt:lpstr>Tags!ITAXRP_1Q14</vt:lpstr>
      <vt:lpstr>ITAXRP_1Q14</vt:lpstr>
      <vt:lpstr>Tags!ITAXRP_1Q15</vt:lpstr>
      <vt:lpstr>ITAXRP_1Q15</vt:lpstr>
      <vt:lpstr>Tags!ITAXRP_1Q16</vt:lpstr>
      <vt:lpstr>ITAXRP_1Q16</vt:lpstr>
      <vt:lpstr>Tags!ITAXRP_1Q17</vt:lpstr>
      <vt:lpstr>ITAXRP_1Q17</vt:lpstr>
      <vt:lpstr>Tags!ITAXRP_1Q18</vt:lpstr>
      <vt:lpstr>ITAXRP_1Q18</vt:lpstr>
      <vt:lpstr>Tags!ITAXRP_1Q19</vt:lpstr>
      <vt:lpstr>ITAXRP_1Q19</vt:lpstr>
      <vt:lpstr>Tags!ITAXRP_1Q20</vt:lpstr>
      <vt:lpstr>ITAXRP_1Q20</vt:lpstr>
      <vt:lpstr>ITAXRP_1Q21</vt:lpstr>
      <vt:lpstr>ITAXRP_1Q22</vt:lpstr>
      <vt:lpstr>ITAXRP_1Q23</vt:lpstr>
      <vt:lpstr>ITAXRP_1Q24</vt:lpstr>
      <vt:lpstr>Tags!ITAXRP_2000</vt:lpstr>
      <vt:lpstr>ITAXRP_2000</vt:lpstr>
      <vt:lpstr>Tags!ITAXRP_2001</vt:lpstr>
      <vt:lpstr>ITAXRP_2001</vt:lpstr>
      <vt:lpstr>Tags!ITAXRP_2002</vt:lpstr>
      <vt:lpstr>ITAXRP_2002</vt:lpstr>
      <vt:lpstr>Tags!ITAXRP_2003</vt:lpstr>
      <vt:lpstr>ITAXRP_2003</vt:lpstr>
      <vt:lpstr>Tags!ITAXRP_2004</vt:lpstr>
      <vt:lpstr>ITAXRP_2004</vt:lpstr>
      <vt:lpstr>Tags!ITAXRP_2005</vt:lpstr>
      <vt:lpstr>ITAXRP_2005</vt:lpstr>
      <vt:lpstr>Tags!ITAXRP_2006</vt:lpstr>
      <vt:lpstr>ITAXRP_2006</vt:lpstr>
      <vt:lpstr>Tags!ITAXRP_2007</vt:lpstr>
      <vt:lpstr>ITAXRP_2007</vt:lpstr>
      <vt:lpstr>Tags!ITAXRP_2008</vt:lpstr>
      <vt:lpstr>ITAXRP_2008</vt:lpstr>
      <vt:lpstr>Tags!ITAXRP_2009</vt:lpstr>
      <vt:lpstr>ITAXRP_2009</vt:lpstr>
      <vt:lpstr>Tags!ITAXRP_2010</vt:lpstr>
      <vt:lpstr>ITAXRP_2010</vt:lpstr>
      <vt:lpstr>Tags!ITAXRP_2011</vt:lpstr>
      <vt:lpstr>ITAXRP_2011</vt:lpstr>
      <vt:lpstr>Tags!ITAXRP_2012</vt:lpstr>
      <vt:lpstr>ITAXRP_2012</vt:lpstr>
      <vt:lpstr>Tags!ITAXRP_2013</vt:lpstr>
      <vt:lpstr>ITAXRP_2013</vt:lpstr>
      <vt:lpstr>Tags!ITAXRP_2014</vt:lpstr>
      <vt:lpstr>ITAXRP_2014</vt:lpstr>
      <vt:lpstr>ITAXRP_2015</vt:lpstr>
      <vt:lpstr>Tags!ITAXRP_2016</vt:lpstr>
      <vt:lpstr>ITAXRP_2016</vt:lpstr>
      <vt:lpstr>Tags!ITAXRP_2017</vt:lpstr>
      <vt:lpstr>ITAXRP_2017</vt:lpstr>
      <vt:lpstr>Tags!ITAXRP_2018</vt:lpstr>
      <vt:lpstr>ITAXRP_2018</vt:lpstr>
      <vt:lpstr>Tags!ITAXRP_2019</vt:lpstr>
      <vt:lpstr>ITAXRP_2019</vt:lpstr>
      <vt:lpstr>Tags!ITAXRP_2020</vt:lpstr>
      <vt:lpstr>ITAXRP_2020</vt:lpstr>
      <vt:lpstr>ITAXRP_2021</vt:lpstr>
      <vt:lpstr>ITAXRP_2022</vt:lpstr>
      <vt:lpstr>ITAXRP_2023</vt:lpstr>
      <vt:lpstr>ITAXRP_2024</vt:lpstr>
      <vt:lpstr>Tags!ITAXRP_2Q00</vt:lpstr>
      <vt:lpstr>ITAXRP_2Q00</vt:lpstr>
      <vt:lpstr>Tags!ITAXRP_2Q01</vt:lpstr>
      <vt:lpstr>ITAXRP_2Q01</vt:lpstr>
      <vt:lpstr>Tags!ITAXRP_2Q02</vt:lpstr>
      <vt:lpstr>ITAXRP_2Q02</vt:lpstr>
      <vt:lpstr>Tags!ITAXRP_2Q03</vt:lpstr>
      <vt:lpstr>ITAXRP_2Q03</vt:lpstr>
      <vt:lpstr>Tags!ITAXRP_2Q04</vt:lpstr>
      <vt:lpstr>ITAXRP_2Q04</vt:lpstr>
      <vt:lpstr>Tags!ITAXRP_2Q05</vt:lpstr>
      <vt:lpstr>ITAXRP_2Q05</vt:lpstr>
      <vt:lpstr>Tags!ITAXRP_2Q06</vt:lpstr>
      <vt:lpstr>ITAXRP_2Q06</vt:lpstr>
      <vt:lpstr>Tags!ITAXRP_2Q07</vt:lpstr>
      <vt:lpstr>ITAXRP_2Q07</vt:lpstr>
      <vt:lpstr>Tags!ITAXRP_2Q08</vt:lpstr>
      <vt:lpstr>ITAXRP_2Q08</vt:lpstr>
      <vt:lpstr>Tags!ITAXRP_2Q09</vt:lpstr>
      <vt:lpstr>ITAXRP_2Q09</vt:lpstr>
      <vt:lpstr>Tags!ITAXRP_2Q10</vt:lpstr>
      <vt:lpstr>ITAXRP_2Q10</vt:lpstr>
      <vt:lpstr>Tags!ITAXRP_2Q11</vt:lpstr>
      <vt:lpstr>ITAXRP_2Q11</vt:lpstr>
      <vt:lpstr>Tags!ITAXRP_2Q12</vt:lpstr>
      <vt:lpstr>ITAXRP_2Q12</vt:lpstr>
      <vt:lpstr>Tags!ITAXRP_2Q13</vt:lpstr>
      <vt:lpstr>ITAXRP_2Q13</vt:lpstr>
      <vt:lpstr>Tags!ITAXRP_2Q14</vt:lpstr>
      <vt:lpstr>ITAXRP_2Q14</vt:lpstr>
      <vt:lpstr>Tags!ITAXRP_2Q15</vt:lpstr>
      <vt:lpstr>ITAXRP_2Q15</vt:lpstr>
      <vt:lpstr>Tags!ITAXRP_2Q16</vt:lpstr>
      <vt:lpstr>ITAXRP_2Q16</vt:lpstr>
      <vt:lpstr>Tags!ITAXRP_2Q17</vt:lpstr>
      <vt:lpstr>ITAXRP_2Q17</vt:lpstr>
      <vt:lpstr>Tags!ITAXRP_2Q18</vt:lpstr>
      <vt:lpstr>ITAXRP_2Q18</vt:lpstr>
      <vt:lpstr>Tags!ITAXRP_2Q19</vt:lpstr>
      <vt:lpstr>ITAXRP_2Q19</vt:lpstr>
      <vt:lpstr>Tags!ITAXRP_2Q20</vt:lpstr>
      <vt:lpstr>ITAXRP_2Q20</vt:lpstr>
      <vt:lpstr>ITAXRP_2Q21</vt:lpstr>
      <vt:lpstr>ITAXRP_2Q22</vt:lpstr>
      <vt:lpstr>ITAXRP_2Q23</vt:lpstr>
      <vt:lpstr>ITAXRP_2Q24</vt:lpstr>
      <vt:lpstr>Tags!ITAXRP_3Q00</vt:lpstr>
      <vt:lpstr>ITAXRP_3Q00</vt:lpstr>
      <vt:lpstr>Tags!ITAXRP_3Q01</vt:lpstr>
      <vt:lpstr>ITAXRP_3Q01</vt:lpstr>
      <vt:lpstr>Tags!ITAXRP_3Q02</vt:lpstr>
      <vt:lpstr>ITAXRP_3Q02</vt:lpstr>
      <vt:lpstr>Tags!ITAXRP_3Q03</vt:lpstr>
      <vt:lpstr>ITAXRP_3Q03</vt:lpstr>
      <vt:lpstr>Tags!ITAXRP_3Q04</vt:lpstr>
      <vt:lpstr>ITAXRP_3Q04</vt:lpstr>
      <vt:lpstr>Tags!ITAXRP_3Q05</vt:lpstr>
      <vt:lpstr>ITAXRP_3Q05</vt:lpstr>
      <vt:lpstr>Tags!ITAXRP_3Q06</vt:lpstr>
      <vt:lpstr>ITAXRP_3Q06</vt:lpstr>
      <vt:lpstr>Tags!ITAXRP_3Q07</vt:lpstr>
      <vt:lpstr>ITAXRP_3Q07</vt:lpstr>
      <vt:lpstr>Tags!ITAXRP_3Q08</vt:lpstr>
      <vt:lpstr>ITAXRP_3Q08</vt:lpstr>
      <vt:lpstr>Tags!ITAXRP_3Q09</vt:lpstr>
      <vt:lpstr>ITAXRP_3Q09</vt:lpstr>
      <vt:lpstr>Tags!ITAXRP_3Q10</vt:lpstr>
      <vt:lpstr>ITAXRP_3Q10</vt:lpstr>
      <vt:lpstr>Tags!ITAXRP_3Q11</vt:lpstr>
      <vt:lpstr>ITAXRP_3Q11</vt:lpstr>
      <vt:lpstr>Tags!ITAXRP_3Q12</vt:lpstr>
      <vt:lpstr>ITAXRP_3Q12</vt:lpstr>
      <vt:lpstr>Tags!ITAXRP_3Q13</vt:lpstr>
      <vt:lpstr>ITAXRP_3Q13</vt:lpstr>
      <vt:lpstr>Tags!ITAXRP_3Q14</vt:lpstr>
      <vt:lpstr>ITAXRP_3Q14</vt:lpstr>
      <vt:lpstr>Tags!ITAXRP_3Q15</vt:lpstr>
      <vt:lpstr>ITAXRP_3Q15</vt:lpstr>
      <vt:lpstr>Tags!ITAXRP_3Q16</vt:lpstr>
      <vt:lpstr>ITAXRP_3Q16</vt:lpstr>
      <vt:lpstr>Tags!ITAXRP_3Q17</vt:lpstr>
      <vt:lpstr>ITAXRP_3Q17</vt:lpstr>
      <vt:lpstr>Tags!ITAXRP_3Q18</vt:lpstr>
      <vt:lpstr>ITAXRP_3Q18</vt:lpstr>
      <vt:lpstr>Tags!ITAXRP_3Q19</vt:lpstr>
      <vt:lpstr>ITAXRP_3Q19</vt:lpstr>
      <vt:lpstr>Tags!ITAXRP_3Q20</vt:lpstr>
      <vt:lpstr>ITAXRP_3Q20</vt:lpstr>
      <vt:lpstr>ITAXRP_3Q21</vt:lpstr>
      <vt:lpstr>ITAXRP_3Q22</vt:lpstr>
      <vt:lpstr>ITAXRP_3Q23</vt:lpstr>
      <vt:lpstr>ITAXRP_3Q24</vt:lpstr>
      <vt:lpstr>Tags!ITAXRP_4Q00</vt:lpstr>
      <vt:lpstr>ITAXRP_4Q00</vt:lpstr>
      <vt:lpstr>Tags!ITAXRP_4Q01</vt:lpstr>
      <vt:lpstr>ITAXRP_4Q01</vt:lpstr>
      <vt:lpstr>Tags!ITAXRP_4Q02</vt:lpstr>
      <vt:lpstr>ITAXRP_4Q02</vt:lpstr>
      <vt:lpstr>Tags!ITAXRP_4Q03</vt:lpstr>
      <vt:lpstr>ITAXRP_4Q03</vt:lpstr>
      <vt:lpstr>Tags!ITAXRP_4Q04</vt:lpstr>
      <vt:lpstr>ITAXRP_4Q04</vt:lpstr>
      <vt:lpstr>Tags!ITAXRP_4Q05</vt:lpstr>
      <vt:lpstr>ITAXRP_4Q05</vt:lpstr>
      <vt:lpstr>Tags!ITAXRP_4Q06</vt:lpstr>
      <vt:lpstr>ITAXRP_4Q06</vt:lpstr>
      <vt:lpstr>Tags!ITAXRP_4Q07</vt:lpstr>
      <vt:lpstr>ITAXRP_4Q07</vt:lpstr>
      <vt:lpstr>Tags!ITAXRP_4Q08</vt:lpstr>
      <vt:lpstr>ITAXRP_4Q08</vt:lpstr>
      <vt:lpstr>Tags!ITAXRP_4Q09</vt:lpstr>
      <vt:lpstr>ITAXRP_4Q09</vt:lpstr>
      <vt:lpstr>Tags!ITAXRP_4Q10</vt:lpstr>
      <vt:lpstr>ITAXRP_4Q10</vt:lpstr>
      <vt:lpstr>Tags!ITAXRP_4Q11</vt:lpstr>
      <vt:lpstr>ITAXRP_4Q11</vt:lpstr>
      <vt:lpstr>Tags!ITAXRP_4Q12</vt:lpstr>
      <vt:lpstr>ITAXRP_4Q12</vt:lpstr>
      <vt:lpstr>Tags!ITAXRP_4Q13</vt:lpstr>
      <vt:lpstr>ITAXRP_4Q13</vt:lpstr>
      <vt:lpstr>Tags!ITAXRP_4Q14</vt:lpstr>
      <vt:lpstr>ITAXRP_4Q14</vt:lpstr>
      <vt:lpstr>Tags!ITAXRP_4Q15</vt:lpstr>
      <vt:lpstr>ITAXRP_4Q15</vt:lpstr>
      <vt:lpstr>Tags!ITAXRP_4Q16</vt:lpstr>
      <vt:lpstr>ITAXRP_4Q16</vt:lpstr>
      <vt:lpstr>Tags!ITAXRP_4Q17</vt:lpstr>
      <vt:lpstr>ITAXRP_4Q17</vt:lpstr>
      <vt:lpstr>Tags!ITAXRP_4Q18</vt:lpstr>
      <vt:lpstr>ITAXRP_4Q18</vt:lpstr>
      <vt:lpstr>Tags!ITAXRP_4Q19</vt:lpstr>
      <vt:lpstr>ITAXRP_4Q19</vt:lpstr>
      <vt:lpstr>Tags!ITAXRP_4Q20</vt:lpstr>
      <vt:lpstr>ITAXRP_4Q20</vt:lpstr>
      <vt:lpstr>ITAXRP_4Q21</vt:lpstr>
      <vt:lpstr>ITAXRP_4Q22</vt:lpstr>
      <vt:lpstr>ITAXRP_4Q23</vt:lpstr>
      <vt:lpstr>ITAXRP_4Q24</vt:lpstr>
      <vt:lpstr>ITEM1_1995</vt:lpstr>
      <vt:lpstr>ITEM1_1996</vt:lpstr>
      <vt:lpstr>ITEM1_1997</vt:lpstr>
      <vt:lpstr>ITEM1_1998</vt:lpstr>
      <vt:lpstr>ITEM1_1999</vt:lpstr>
      <vt:lpstr>Tags!ITEM1_1Q00</vt:lpstr>
      <vt:lpstr>ITEM1_1Q00</vt:lpstr>
      <vt:lpstr>Tags!ITEM1_1Q01</vt:lpstr>
      <vt:lpstr>ITEM1_1Q01</vt:lpstr>
      <vt:lpstr>Tags!ITEM1_1Q02</vt:lpstr>
      <vt:lpstr>ITEM1_1Q02</vt:lpstr>
      <vt:lpstr>Tags!ITEM1_1Q03</vt:lpstr>
      <vt:lpstr>ITEM1_1Q03</vt:lpstr>
      <vt:lpstr>Tags!ITEM1_1Q04</vt:lpstr>
      <vt:lpstr>ITEM1_1Q04</vt:lpstr>
      <vt:lpstr>Tags!ITEM1_1Q05</vt:lpstr>
      <vt:lpstr>ITEM1_1Q05</vt:lpstr>
      <vt:lpstr>Tags!ITEM1_1Q06</vt:lpstr>
      <vt:lpstr>ITEM1_1Q06</vt:lpstr>
      <vt:lpstr>Tags!ITEM1_1Q07</vt:lpstr>
      <vt:lpstr>ITEM1_1Q07</vt:lpstr>
      <vt:lpstr>Tags!ITEM1_1Q08</vt:lpstr>
      <vt:lpstr>ITEM1_1Q08</vt:lpstr>
      <vt:lpstr>Tags!ITEM1_1Q09</vt:lpstr>
      <vt:lpstr>ITEM1_1Q09</vt:lpstr>
      <vt:lpstr>Tags!ITEM1_1Q10</vt:lpstr>
      <vt:lpstr>ITEM1_1Q10</vt:lpstr>
      <vt:lpstr>Tags!ITEM1_1Q11</vt:lpstr>
      <vt:lpstr>ITEM1_1Q11</vt:lpstr>
      <vt:lpstr>Tags!ITEM1_1Q12</vt:lpstr>
      <vt:lpstr>ITEM1_1Q12</vt:lpstr>
      <vt:lpstr>Tags!ITEM1_1Q13</vt:lpstr>
      <vt:lpstr>ITEM1_1Q13</vt:lpstr>
      <vt:lpstr>Tags!ITEM1_1Q14</vt:lpstr>
      <vt:lpstr>ITEM1_1Q14</vt:lpstr>
      <vt:lpstr>Tags!ITEM1_1Q15</vt:lpstr>
      <vt:lpstr>ITEM1_1Q15</vt:lpstr>
      <vt:lpstr>Tags!ITEM1_1Q16</vt:lpstr>
      <vt:lpstr>ITEM1_1Q16</vt:lpstr>
      <vt:lpstr>Tags!ITEM1_1Q17</vt:lpstr>
      <vt:lpstr>ITEM1_1Q17</vt:lpstr>
      <vt:lpstr>Tags!ITEM1_1Q18</vt:lpstr>
      <vt:lpstr>ITEM1_1Q18</vt:lpstr>
      <vt:lpstr>Tags!ITEM1_1Q19</vt:lpstr>
      <vt:lpstr>ITEM1_1Q19</vt:lpstr>
      <vt:lpstr>Tags!ITEM1_1Q20</vt:lpstr>
      <vt:lpstr>ITEM1_1Q20</vt:lpstr>
      <vt:lpstr>ITEM1_1Q21</vt:lpstr>
      <vt:lpstr>ITEM1_1Q22</vt:lpstr>
      <vt:lpstr>ITEM1_1Q23</vt:lpstr>
      <vt:lpstr>ITEM1_1Q24</vt:lpstr>
      <vt:lpstr>Tags!ITEM1_2000</vt:lpstr>
      <vt:lpstr>ITEM1_2000</vt:lpstr>
      <vt:lpstr>Tags!ITEM1_2001</vt:lpstr>
      <vt:lpstr>ITEM1_2001</vt:lpstr>
      <vt:lpstr>Tags!ITEM1_2002</vt:lpstr>
      <vt:lpstr>ITEM1_2002</vt:lpstr>
      <vt:lpstr>Tags!ITEM1_2003</vt:lpstr>
      <vt:lpstr>ITEM1_2003</vt:lpstr>
      <vt:lpstr>Tags!ITEM1_2004</vt:lpstr>
      <vt:lpstr>ITEM1_2004</vt:lpstr>
      <vt:lpstr>Tags!ITEM1_2005</vt:lpstr>
      <vt:lpstr>ITEM1_2005</vt:lpstr>
      <vt:lpstr>Tags!ITEM1_2006</vt:lpstr>
      <vt:lpstr>ITEM1_2006</vt:lpstr>
      <vt:lpstr>Tags!ITEM1_2007</vt:lpstr>
      <vt:lpstr>ITEM1_2007</vt:lpstr>
      <vt:lpstr>Tags!ITEM1_2008</vt:lpstr>
      <vt:lpstr>ITEM1_2008</vt:lpstr>
      <vt:lpstr>Tags!ITEM1_2009</vt:lpstr>
      <vt:lpstr>ITEM1_2009</vt:lpstr>
      <vt:lpstr>Tags!ITEM1_2010</vt:lpstr>
      <vt:lpstr>ITEM1_2010</vt:lpstr>
      <vt:lpstr>Tags!ITEM1_2011</vt:lpstr>
      <vt:lpstr>ITEM1_2011</vt:lpstr>
      <vt:lpstr>Tags!ITEM1_2012</vt:lpstr>
      <vt:lpstr>ITEM1_2012</vt:lpstr>
      <vt:lpstr>Tags!ITEM1_2013</vt:lpstr>
      <vt:lpstr>ITEM1_2013</vt:lpstr>
      <vt:lpstr>Tags!ITEM1_2014</vt:lpstr>
      <vt:lpstr>ITEM1_2014</vt:lpstr>
      <vt:lpstr>ITEM1_2015</vt:lpstr>
      <vt:lpstr>Tags!ITEM1_2016</vt:lpstr>
      <vt:lpstr>ITEM1_2016</vt:lpstr>
      <vt:lpstr>Tags!ITEM1_2017</vt:lpstr>
      <vt:lpstr>ITEM1_2017</vt:lpstr>
      <vt:lpstr>Tags!ITEM1_2018</vt:lpstr>
      <vt:lpstr>ITEM1_2018</vt:lpstr>
      <vt:lpstr>Tags!ITEM1_2019</vt:lpstr>
      <vt:lpstr>ITEM1_2019</vt:lpstr>
      <vt:lpstr>Tags!ITEM1_2020</vt:lpstr>
      <vt:lpstr>ITEM1_2020</vt:lpstr>
      <vt:lpstr>ITEM1_2021</vt:lpstr>
      <vt:lpstr>ITEM1_2022</vt:lpstr>
      <vt:lpstr>ITEM1_2023</vt:lpstr>
      <vt:lpstr>ITEM1_2024</vt:lpstr>
      <vt:lpstr>Tags!ITEM1_2Q00</vt:lpstr>
      <vt:lpstr>ITEM1_2Q00</vt:lpstr>
      <vt:lpstr>Tags!ITEM1_2Q01</vt:lpstr>
      <vt:lpstr>ITEM1_2Q01</vt:lpstr>
      <vt:lpstr>Tags!ITEM1_2Q02</vt:lpstr>
      <vt:lpstr>ITEM1_2Q02</vt:lpstr>
      <vt:lpstr>Tags!ITEM1_2Q03</vt:lpstr>
      <vt:lpstr>ITEM1_2Q03</vt:lpstr>
      <vt:lpstr>Tags!ITEM1_2Q04</vt:lpstr>
      <vt:lpstr>ITEM1_2Q04</vt:lpstr>
      <vt:lpstr>Tags!ITEM1_2Q05</vt:lpstr>
      <vt:lpstr>ITEM1_2Q05</vt:lpstr>
      <vt:lpstr>Tags!ITEM1_2Q06</vt:lpstr>
      <vt:lpstr>ITEM1_2Q06</vt:lpstr>
      <vt:lpstr>Tags!ITEM1_2Q07</vt:lpstr>
      <vt:lpstr>ITEM1_2Q07</vt:lpstr>
      <vt:lpstr>Tags!ITEM1_2Q08</vt:lpstr>
      <vt:lpstr>ITEM1_2Q08</vt:lpstr>
      <vt:lpstr>Tags!ITEM1_2Q09</vt:lpstr>
      <vt:lpstr>ITEM1_2Q09</vt:lpstr>
      <vt:lpstr>Tags!ITEM1_2Q10</vt:lpstr>
      <vt:lpstr>ITEM1_2Q10</vt:lpstr>
      <vt:lpstr>Tags!ITEM1_2Q11</vt:lpstr>
      <vt:lpstr>ITEM1_2Q11</vt:lpstr>
      <vt:lpstr>Tags!ITEM1_2Q12</vt:lpstr>
      <vt:lpstr>ITEM1_2Q12</vt:lpstr>
      <vt:lpstr>Tags!ITEM1_2Q13</vt:lpstr>
      <vt:lpstr>ITEM1_2Q13</vt:lpstr>
      <vt:lpstr>Tags!ITEM1_2Q14</vt:lpstr>
      <vt:lpstr>ITEM1_2Q14</vt:lpstr>
      <vt:lpstr>Tags!ITEM1_2Q15</vt:lpstr>
      <vt:lpstr>ITEM1_2Q15</vt:lpstr>
      <vt:lpstr>Tags!ITEM1_2Q16</vt:lpstr>
      <vt:lpstr>ITEM1_2Q16</vt:lpstr>
      <vt:lpstr>Tags!ITEM1_2Q17</vt:lpstr>
      <vt:lpstr>ITEM1_2Q17</vt:lpstr>
      <vt:lpstr>Tags!ITEM1_2Q18</vt:lpstr>
      <vt:lpstr>ITEM1_2Q18</vt:lpstr>
      <vt:lpstr>Tags!ITEM1_2Q19</vt:lpstr>
      <vt:lpstr>ITEM1_2Q19</vt:lpstr>
      <vt:lpstr>Tags!ITEM1_2Q20</vt:lpstr>
      <vt:lpstr>ITEM1_2Q20</vt:lpstr>
      <vt:lpstr>ITEM1_2Q21</vt:lpstr>
      <vt:lpstr>ITEM1_2Q22</vt:lpstr>
      <vt:lpstr>ITEM1_2Q23</vt:lpstr>
      <vt:lpstr>ITEM1_2Q24</vt:lpstr>
      <vt:lpstr>Tags!ITEM1_3Q00</vt:lpstr>
      <vt:lpstr>ITEM1_3Q00</vt:lpstr>
      <vt:lpstr>Tags!ITEM1_3Q01</vt:lpstr>
      <vt:lpstr>ITEM1_3Q01</vt:lpstr>
      <vt:lpstr>Tags!ITEM1_3Q02</vt:lpstr>
      <vt:lpstr>ITEM1_3Q02</vt:lpstr>
      <vt:lpstr>Tags!ITEM1_3Q03</vt:lpstr>
      <vt:lpstr>ITEM1_3Q03</vt:lpstr>
      <vt:lpstr>Tags!ITEM1_3Q04</vt:lpstr>
      <vt:lpstr>ITEM1_3Q04</vt:lpstr>
      <vt:lpstr>Tags!ITEM1_3Q05</vt:lpstr>
      <vt:lpstr>ITEM1_3Q05</vt:lpstr>
      <vt:lpstr>Tags!ITEM1_3Q06</vt:lpstr>
      <vt:lpstr>ITEM1_3Q06</vt:lpstr>
      <vt:lpstr>Tags!ITEM1_3Q07</vt:lpstr>
      <vt:lpstr>ITEM1_3Q07</vt:lpstr>
      <vt:lpstr>Tags!ITEM1_3Q08</vt:lpstr>
      <vt:lpstr>ITEM1_3Q08</vt:lpstr>
      <vt:lpstr>Tags!ITEM1_3Q09</vt:lpstr>
      <vt:lpstr>ITEM1_3Q09</vt:lpstr>
      <vt:lpstr>Tags!ITEM1_3Q10</vt:lpstr>
      <vt:lpstr>ITEM1_3Q10</vt:lpstr>
      <vt:lpstr>Tags!ITEM1_3Q11</vt:lpstr>
      <vt:lpstr>ITEM1_3Q11</vt:lpstr>
      <vt:lpstr>Tags!ITEM1_3Q12</vt:lpstr>
      <vt:lpstr>ITEM1_3Q12</vt:lpstr>
      <vt:lpstr>Tags!ITEM1_3Q13</vt:lpstr>
      <vt:lpstr>ITEM1_3Q13</vt:lpstr>
      <vt:lpstr>Tags!ITEM1_3Q14</vt:lpstr>
      <vt:lpstr>ITEM1_3Q14</vt:lpstr>
      <vt:lpstr>Tags!ITEM1_3Q15</vt:lpstr>
      <vt:lpstr>ITEM1_3Q15</vt:lpstr>
      <vt:lpstr>Tags!ITEM1_3Q16</vt:lpstr>
      <vt:lpstr>ITEM1_3Q16</vt:lpstr>
      <vt:lpstr>Tags!ITEM1_3Q17</vt:lpstr>
      <vt:lpstr>ITEM1_3Q17</vt:lpstr>
      <vt:lpstr>Tags!ITEM1_3Q18</vt:lpstr>
      <vt:lpstr>ITEM1_3Q18</vt:lpstr>
      <vt:lpstr>Tags!ITEM1_3Q19</vt:lpstr>
      <vt:lpstr>ITEM1_3Q19</vt:lpstr>
      <vt:lpstr>Tags!ITEM1_3Q20</vt:lpstr>
      <vt:lpstr>ITEM1_3Q20</vt:lpstr>
      <vt:lpstr>ITEM1_3Q21</vt:lpstr>
      <vt:lpstr>ITEM1_3Q22</vt:lpstr>
      <vt:lpstr>ITEM1_3Q23</vt:lpstr>
      <vt:lpstr>ITEM1_3Q24</vt:lpstr>
      <vt:lpstr>Tags!ITEM1_4Q00</vt:lpstr>
      <vt:lpstr>ITEM1_4Q00</vt:lpstr>
      <vt:lpstr>Tags!ITEM1_4Q01</vt:lpstr>
      <vt:lpstr>ITEM1_4Q01</vt:lpstr>
      <vt:lpstr>Tags!ITEM1_4Q02</vt:lpstr>
      <vt:lpstr>ITEM1_4Q02</vt:lpstr>
      <vt:lpstr>Tags!ITEM1_4Q03</vt:lpstr>
      <vt:lpstr>ITEM1_4Q03</vt:lpstr>
      <vt:lpstr>Tags!ITEM1_4Q04</vt:lpstr>
      <vt:lpstr>ITEM1_4Q04</vt:lpstr>
      <vt:lpstr>Tags!ITEM1_4Q05</vt:lpstr>
      <vt:lpstr>ITEM1_4Q05</vt:lpstr>
      <vt:lpstr>Tags!ITEM1_4Q06</vt:lpstr>
      <vt:lpstr>ITEM1_4Q06</vt:lpstr>
      <vt:lpstr>Tags!ITEM1_4Q07</vt:lpstr>
      <vt:lpstr>ITEM1_4Q07</vt:lpstr>
      <vt:lpstr>Tags!ITEM1_4Q08</vt:lpstr>
      <vt:lpstr>ITEM1_4Q08</vt:lpstr>
      <vt:lpstr>Tags!ITEM1_4Q09</vt:lpstr>
      <vt:lpstr>ITEM1_4Q09</vt:lpstr>
      <vt:lpstr>Tags!ITEM1_4Q10</vt:lpstr>
      <vt:lpstr>ITEM1_4Q10</vt:lpstr>
      <vt:lpstr>Tags!ITEM1_4Q11</vt:lpstr>
      <vt:lpstr>ITEM1_4Q11</vt:lpstr>
      <vt:lpstr>Tags!ITEM1_4Q12</vt:lpstr>
      <vt:lpstr>ITEM1_4Q12</vt:lpstr>
      <vt:lpstr>Tags!ITEM1_4Q13</vt:lpstr>
      <vt:lpstr>ITEM1_4Q13</vt:lpstr>
      <vt:lpstr>Tags!ITEM1_4Q14</vt:lpstr>
      <vt:lpstr>ITEM1_4Q14</vt:lpstr>
      <vt:lpstr>Tags!ITEM1_4Q15</vt:lpstr>
      <vt:lpstr>ITEM1_4Q15</vt:lpstr>
      <vt:lpstr>Tags!ITEM1_4Q16</vt:lpstr>
      <vt:lpstr>ITEM1_4Q16</vt:lpstr>
      <vt:lpstr>Tags!ITEM1_4Q17</vt:lpstr>
      <vt:lpstr>ITEM1_4Q17</vt:lpstr>
      <vt:lpstr>Tags!ITEM1_4Q18</vt:lpstr>
      <vt:lpstr>ITEM1_4Q18</vt:lpstr>
      <vt:lpstr>Tags!ITEM1_4Q19</vt:lpstr>
      <vt:lpstr>ITEM1_4Q19</vt:lpstr>
      <vt:lpstr>Tags!ITEM1_4Q20</vt:lpstr>
      <vt:lpstr>ITEM1_4Q20</vt:lpstr>
      <vt:lpstr>ITEM1_4Q21</vt:lpstr>
      <vt:lpstr>ITEM1_4Q22</vt:lpstr>
      <vt:lpstr>ITEM1_4Q23</vt:lpstr>
      <vt:lpstr>ITEM1_4Q24</vt:lpstr>
      <vt:lpstr>ITEM10_1995</vt:lpstr>
      <vt:lpstr>ITEM10_1996</vt:lpstr>
      <vt:lpstr>ITEM10_1997</vt:lpstr>
      <vt:lpstr>ITEM10_1998</vt:lpstr>
      <vt:lpstr>ITEM10_1999</vt:lpstr>
      <vt:lpstr>Tags!ITEM10_1Q00</vt:lpstr>
      <vt:lpstr>ITEM10_1Q00</vt:lpstr>
      <vt:lpstr>Tags!ITEM10_1Q01</vt:lpstr>
      <vt:lpstr>ITEM10_1Q01</vt:lpstr>
      <vt:lpstr>Tags!ITEM10_1Q02</vt:lpstr>
      <vt:lpstr>ITEM10_1Q02</vt:lpstr>
      <vt:lpstr>Tags!ITEM10_1Q03</vt:lpstr>
      <vt:lpstr>ITEM10_1Q03</vt:lpstr>
      <vt:lpstr>Tags!ITEM10_1Q04</vt:lpstr>
      <vt:lpstr>ITEM10_1Q04</vt:lpstr>
      <vt:lpstr>Tags!ITEM10_1Q05</vt:lpstr>
      <vt:lpstr>ITEM10_1Q05</vt:lpstr>
      <vt:lpstr>Tags!ITEM10_1Q06</vt:lpstr>
      <vt:lpstr>ITEM10_1Q06</vt:lpstr>
      <vt:lpstr>Tags!ITEM10_1Q07</vt:lpstr>
      <vt:lpstr>ITEM10_1Q07</vt:lpstr>
      <vt:lpstr>Tags!ITEM10_1Q08</vt:lpstr>
      <vt:lpstr>ITEM10_1Q08</vt:lpstr>
      <vt:lpstr>Tags!ITEM10_1Q09</vt:lpstr>
      <vt:lpstr>ITEM10_1Q09</vt:lpstr>
      <vt:lpstr>Tags!ITEM10_1Q10</vt:lpstr>
      <vt:lpstr>ITEM10_1Q10</vt:lpstr>
      <vt:lpstr>Tags!ITEM10_1Q11</vt:lpstr>
      <vt:lpstr>ITEM10_1Q11</vt:lpstr>
      <vt:lpstr>Tags!ITEM10_1Q12</vt:lpstr>
      <vt:lpstr>ITEM10_1Q12</vt:lpstr>
      <vt:lpstr>Tags!ITEM10_1Q13</vt:lpstr>
      <vt:lpstr>ITEM10_1Q13</vt:lpstr>
      <vt:lpstr>Tags!ITEM10_1Q14</vt:lpstr>
      <vt:lpstr>ITEM10_1Q14</vt:lpstr>
      <vt:lpstr>Tags!ITEM10_1Q15</vt:lpstr>
      <vt:lpstr>ITEM10_1Q15</vt:lpstr>
      <vt:lpstr>Tags!ITEM10_1Q16</vt:lpstr>
      <vt:lpstr>ITEM10_1Q16</vt:lpstr>
      <vt:lpstr>Tags!ITEM10_1Q17</vt:lpstr>
      <vt:lpstr>ITEM10_1Q17</vt:lpstr>
      <vt:lpstr>Tags!ITEM10_1Q18</vt:lpstr>
      <vt:lpstr>ITEM10_1Q18</vt:lpstr>
      <vt:lpstr>Tags!ITEM10_1Q19</vt:lpstr>
      <vt:lpstr>ITEM10_1Q19</vt:lpstr>
      <vt:lpstr>Tags!ITEM10_1Q20</vt:lpstr>
      <vt:lpstr>ITEM10_1Q20</vt:lpstr>
      <vt:lpstr>ITEM10_1Q21</vt:lpstr>
      <vt:lpstr>ITEM10_1Q22</vt:lpstr>
      <vt:lpstr>ITEM10_1Q23</vt:lpstr>
      <vt:lpstr>ITEM10_1Q24</vt:lpstr>
      <vt:lpstr>Tags!ITEM10_2000</vt:lpstr>
      <vt:lpstr>ITEM10_2000</vt:lpstr>
      <vt:lpstr>Tags!ITEM10_2001</vt:lpstr>
      <vt:lpstr>ITEM10_2001</vt:lpstr>
      <vt:lpstr>Tags!ITEM10_2002</vt:lpstr>
      <vt:lpstr>ITEM10_2002</vt:lpstr>
      <vt:lpstr>Tags!ITEM10_2003</vt:lpstr>
      <vt:lpstr>ITEM10_2003</vt:lpstr>
      <vt:lpstr>Tags!ITEM10_2004</vt:lpstr>
      <vt:lpstr>ITEM10_2004</vt:lpstr>
      <vt:lpstr>Tags!ITEM10_2005</vt:lpstr>
      <vt:lpstr>ITEM10_2005</vt:lpstr>
      <vt:lpstr>Tags!ITEM10_2006</vt:lpstr>
      <vt:lpstr>ITEM10_2006</vt:lpstr>
      <vt:lpstr>Tags!ITEM10_2007</vt:lpstr>
      <vt:lpstr>ITEM10_2007</vt:lpstr>
      <vt:lpstr>Tags!ITEM10_2008</vt:lpstr>
      <vt:lpstr>ITEM10_2008</vt:lpstr>
      <vt:lpstr>Tags!ITEM10_2009</vt:lpstr>
      <vt:lpstr>ITEM10_2009</vt:lpstr>
      <vt:lpstr>Tags!ITEM10_2010</vt:lpstr>
      <vt:lpstr>ITEM10_2010</vt:lpstr>
      <vt:lpstr>Tags!ITEM10_2011</vt:lpstr>
      <vt:lpstr>ITEM10_2011</vt:lpstr>
      <vt:lpstr>Tags!ITEM10_2012</vt:lpstr>
      <vt:lpstr>ITEM10_2012</vt:lpstr>
      <vt:lpstr>Tags!ITEM10_2013</vt:lpstr>
      <vt:lpstr>ITEM10_2013</vt:lpstr>
      <vt:lpstr>Tags!ITEM10_2014</vt:lpstr>
      <vt:lpstr>ITEM10_2014</vt:lpstr>
      <vt:lpstr>ITEM10_2015</vt:lpstr>
      <vt:lpstr>Tags!ITEM10_2016</vt:lpstr>
      <vt:lpstr>ITEM10_2016</vt:lpstr>
      <vt:lpstr>Tags!ITEM10_2017</vt:lpstr>
      <vt:lpstr>ITEM10_2017</vt:lpstr>
      <vt:lpstr>Tags!ITEM10_2018</vt:lpstr>
      <vt:lpstr>ITEM10_2018</vt:lpstr>
      <vt:lpstr>Tags!ITEM10_2019</vt:lpstr>
      <vt:lpstr>ITEM10_2019</vt:lpstr>
      <vt:lpstr>Tags!ITEM10_2020</vt:lpstr>
      <vt:lpstr>ITEM10_2020</vt:lpstr>
      <vt:lpstr>ITEM10_2021</vt:lpstr>
      <vt:lpstr>ITEM10_2022</vt:lpstr>
      <vt:lpstr>ITEM10_2023</vt:lpstr>
      <vt:lpstr>ITEM10_2024</vt:lpstr>
      <vt:lpstr>Tags!ITEM10_2Q00</vt:lpstr>
      <vt:lpstr>ITEM10_2Q00</vt:lpstr>
      <vt:lpstr>Tags!ITEM10_2Q01</vt:lpstr>
      <vt:lpstr>ITEM10_2Q01</vt:lpstr>
      <vt:lpstr>Tags!ITEM10_2Q02</vt:lpstr>
      <vt:lpstr>ITEM10_2Q02</vt:lpstr>
      <vt:lpstr>Tags!ITEM10_2Q03</vt:lpstr>
      <vt:lpstr>ITEM10_2Q03</vt:lpstr>
      <vt:lpstr>Tags!ITEM10_2Q04</vt:lpstr>
      <vt:lpstr>ITEM10_2Q04</vt:lpstr>
      <vt:lpstr>Tags!ITEM10_2Q05</vt:lpstr>
      <vt:lpstr>ITEM10_2Q05</vt:lpstr>
      <vt:lpstr>Tags!ITEM10_2Q06</vt:lpstr>
      <vt:lpstr>ITEM10_2Q06</vt:lpstr>
      <vt:lpstr>Tags!ITEM10_2Q07</vt:lpstr>
      <vt:lpstr>ITEM10_2Q07</vt:lpstr>
      <vt:lpstr>Tags!ITEM10_2Q08</vt:lpstr>
      <vt:lpstr>ITEM10_2Q08</vt:lpstr>
      <vt:lpstr>Tags!ITEM10_2Q09</vt:lpstr>
      <vt:lpstr>ITEM10_2Q09</vt:lpstr>
      <vt:lpstr>Tags!ITEM10_2Q10</vt:lpstr>
      <vt:lpstr>ITEM10_2Q10</vt:lpstr>
      <vt:lpstr>Tags!ITEM10_2Q11</vt:lpstr>
      <vt:lpstr>ITEM10_2Q11</vt:lpstr>
      <vt:lpstr>Tags!ITEM10_2Q12</vt:lpstr>
      <vt:lpstr>ITEM10_2Q12</vt:lpstr>
      <vt:lpstr>Tags!ITEM10_2Q13</vt:lpstr>
      <vt:lpstr>ITEM10_2Q13</vt:lpstr>
      <vt:lpstr>Tags!ITEM10_2Q14</vt:lpstr>
      <vt:lpstr>ITEM10_2Q14</vt:lpstr>
      <vt:lpstr>Tags!ITEM10_2Q15</vt:lpstr>
      <vt:lpstr>ITEM10_2Q15</vt:lpstr>
      <vt:lpstr>Tags!ITEM10_2Q16</vt:lpstr>
      <vt:lpstr>ITEM10_2Q16</vt:lpstr>
      <vt:lpstr>Tags!ITEM10_2Q17</vt:lpstr>
      <vt:lpstr>ITEM10_2Q17</vt:lpstr>
      <vt:lpstr>Tags!ITEM10_2Q18</vt:lpstr>
      <vt:lpstr>ITEM10_2Q18</vt:lpstr>
      <vt:lpstr>Tags!ITEM10_2Q19</vt:lpstr>
      <vt:lpstr>ITEM10_2Q19</vt:lpstr>
      <vt:lpstr>Tags!ITEM10_2Q20</vt:lpstr>
      <vt:lpstr>ITEM10_2Q20</vt:lpstr>
      <vt:lpstr>ITEM10_2Q21</vt:lpstr>
      <vt:lpstr>ITEM10_2Q22</vt:lpstr>
      <vt:lpstr>ITEM10_2Q23</vt:lpstr>
      <vt:lpstr>ITEM10_2Q24</vt:lpstr>
      <vt:lpstr>Tags!ITEM10_3Q00</vt:lpstr>
      <vt:lpstr>ITEM10_3Q00</vt:lpstr>
      <vt:lpstr>Tags!ITEM10_3Q01</vt:lpstr>
      <vt:lpstr>ITEM10_3Q01</vt:lpstr>
      <vt:lpstr>Tags!ITEM10_3Q02</vt:lpstr>
      <vt:lpstr>ITEM10_3Q02</vt:lpstr>
      <vt:lpstr>Tags!ITEM10_3Q03</vt:lpstr>
      <vt:lpstr>ITEM10_3Q03</vt:lpstr>
      <vt:lpstr>Tags!ITEM10_3Q04</vt:lpstr>
      <vt:lpstr>ITEM10_3Q04</vt:lpstr>
      <vt:lpstr>Tags!ITEM10_3Q05</vt:lpstr>
      <vt:lpstr>ITEM10_3Q05</vt:lpstr>
      <vt:lpstr>Tags!ITEM10_3Q06</vt:lpstr>
      <vt:lpstr>ITEM10_3Q06</vt:lpstr>
      <vt:lpstr>Tags!ITEM10_3Q07</vt:lpstr>
      <vt:lpstr>ITEM10_3Q07</vt:lpstr>
      <vt:lpstr>Tags!ITEM10_3Q08</vt:lpstr>
      <vt:lpstr>ITEM10_3Q08</vt:lpstr>
      <vt:lpstr>Tags!ITEM10_3Q09</vt:lpstr>
      <vt:lpstr>ITEM10_3Q09</vt:lpstr>
      <vt:lpstr>Tags!ITEM10_3Q10</vt:lpstr>
      <vt:lpstr>ITEM10_3Q10</vt:lpstr>
      <vt:lpstr>Tags!ITEM10_3Q11</vt:lpstr>
      <vt:lpstr>ITEM10_3Q11</vt:lpstr>
      <vt:lpstr>Tags!ITEM10_3Q12</vt:lpstr>
      <vt:lpstr>ITEM10_3Q12</vt:lpstr>
      <vt:lpstr>Tags!ITEM10_3Q13</vt:lpstr>
      <vt:lpstr>ITEM10_3Q13</vt:lpstr>
      <vt:lpstr>Tags!ITEM10_3Q14</vt:lpstr>
      <vt:lpstr>ITEM10_3Q14</vt:lpstr>
      <vt:lpstr>Tags!ITEM10_3Q15</vt:lpstr>
      <vt:lpstr>ITEM10_3Q15</vt:lpstr>
      <vt:lpstr>Tags!ITEM10_3Q16</vt:lpstr>
      <vt:lpstr>ITEM10_3Q16</vt:lpstr>
      <vt:lpstr>Tags!ITEM10_3Q17</vt:lpstr>
      <vt:lpstr>ITEM10_3Q17</vt:lpstr>
      <vt:lpstr>Tags!ITEM10_3Q18</vt:lpstr>
      <vt:lpstr>ITEM10_3Q18</vt:lpstr>
      <vt:lpstr>Tags!ITEM10_3Q19</vt:lpstr>
      <vt:lpstr>ITEM10_3Q19</vt:lpstr>
      <vt:lpstr>Tags!ITEM10_3Q20</vt:lpstr>
      <vt:lpstr>ITEM10_3Q20</vt:lpstr>
      <vt:lpstr>ITEM10_3Q21</vt:lpstr>
      <vt:lpstr>ITEM10_3Q22</vt:lpstr>
      <vt:lpstr>ITEM10_3Q23</vt:lpstr>
      <vt:lpstr>ITEM10_3Q24</vt:lpstr>
      <vt:lpstr>Tags!ITEM10_4Q00</vt:lpstr>
      <vt:lpstr>ITEM10_4Q00</vt:lpstr>
      <vt:lpstr>Tags!ITEM10_4Q01</vt:lpstr>
      <vt:lpstr>ITEM10_4Q01</vt:lpstr>
      <vt:lpstr>Tags!ITEM10_4Q02</vt:lpstr>
      <vt:lpstr>ITEM10_4Q02</vt:lpstr>
      <vt:lpstr>Tags!ITEM10_4Q03</vt:lpstr>
      <vt:lpstr>ITEM10_4Q03</vt:lpstr>
      <vt:lpstr>Tags!ITEM10_4Q04</vt:lpstr>
      <vt:lpstr>ITEM10_4Q04</vt:lpstr>
      <vt:lpstr>Tags!ITEM10_4Q05</vt:lpstr>
      <vt:lpstr>ITEM10_4Q05</vt:lpstr>
      <vt:lpstr>Tags!ITEM10_4Q06</vt:lpstr>
      <vt:lpstr>ITEM10_4Q06</vt:lpstr>
      <vt:lpstr>Tags!ITEM10_4Q07</vt:lpstr>
      <vt:lpstr>ITEM10_4Q07</vt:lpstr>
      <vt:lpstr>Tags!ITEM10_4Q08</vt:lpstr>
      <vt:lpstr>ITEM10_4Q08</vt:lpstr>
      <vt:lpstr>Tags!ITEM10_4Q09</vt:lpstr>
      <vt:lpstr>ITEM10_4Q09</vt:lpstr>
      <vt:lpstr>Tags!ITEM10_4Q10</vt:lpstr>
      <vt:lpstr>ITEM10_4Q10</vt:lpstr>
      <vt:lpstr>Tags!ITEM10_4Q11</vt:lpstr>
      <vt:lpstr>ITEM10_4Q11</vt:lpstr>
      <vt:lpstr>Tags!ITEM10_4Q12</vt:lpstr>
      <vt:lpstr>ITEM10_4Q12</vt:lpstr>
      <vt:lpstr>Tags!ITEM10_4Q13</vt:lpstr>
      <vt:lpstr>ITEM10_4Q13</vt:lpstr>
      <vt:lpstr>Tags!ITEM10_4Q14</vt:lpstr>
      <vt:lpstr>ITEM10_4Q14</vt:lpstr>
      <vt:lpstr>Tags!ITEM10_4Q15</vt:lpstr>
      <vt:lpstr>ITEM10_4Q15</vt:lpstr>
      <vt:lpstr>Tags!ITEM10_4Q16</vt:lpstr>
      <vt:lpstr>ITEM10_4Q16</vt:lpstr>
      <vt:lpstr>Tags!ITEM10_4Q17</vt:lpstr>
      <vt:lpstr>ITEM10_4Q17</vt:lpstr>
      <vt:lpstr>Tags!ITEM10_4Q18</vt:lpstr>
      <vt:lpstr>ITEM10_4Q18</vt:lpstr>
      <vt:lpstr>Tags!ITEM10_4Q19</vt:lpstr>
      <vt:lpstr>ITEM10_4Q19</vt:lpstr>
      <vt:lpstr>Tags!ITEM10_4Q20</vt:lpstr>
      <vt:lpstr>ITEM10_4Q20</vt:lpstr>
      <vt:lpstr>ITEM10_4Q21</vt:lpstr>
      <vt:lpstr>ITEM10_4Q22</vt:lpstr>
      <vt:lpstr>ITEM10_4Q23</vt:lpstr>
      <vt:lpstr>ITEM10_4Q24</vt:lpstr>
      <vt:lpstr>ITEM11_1995</vt:lpstr>
      <vt:lpstr>ITEM11_1996</vt:lpstr>
      <vt:lpstr>ITEM11_1997</vt:lpstr>
      <vt:lpstr>ITEM11_1998</vt:lpstr>
      <vt:lpstr>ITEM11_1999</vt:lpstr>
      <vt:lpstr>Tags!ITEM11_1Q00</vt:lpstr>
      <vt:lpstr>ITEM11_1Q00</vt:lpstr>
      <vt:lpstr>Tags!ITEM11_1Q01</vt:lpstr>
      <vt:lpstr>ITEM11_1Q01</vt:lpstr>
      <vt:lpstr>Tags!ITEM11_1Q02</vt:lpstr>
      <vt:lpstr>ITEM11_1Q02</vt:lpstr>
      <vt:lpstr>Tags!ITEM11_1Q03</vt:lpstr>
      <vt:lpstr>ITEM11_1Q03</vt:lpstr>
      <vt:lpstr>Tags!ITEM11_1Q04</vt:lpstr>
      <vt:lpstr>ITEM11_1Q04</vt:lpstr>
      <vt:lpstr>Tags!ITEM11_1Q05</vt:lpstr>
      <vt:lpstr>ITEM11_1Q05</vt:lpstr>
      <vt:lpstr>Tags!ITEM11_1Q06</vt:lpstr>
      <vt:lpstr>ITEM11_1Q06</vt:lpstr>
      <vt:lpstr>Tags!ITEM11_1Q07</vt:lpstr>
      <vt:lpstr>ITEM11_1Q07</vt:lpstr>
      <vt:lpstr>Tags!ITEM11_1Q08</vt:lpstr>
      <vt:lpstr>ITEM11_1Q08</vt:lpstr>
      <vt:lpstr>Tags!ITEM11_1Q09</vt:lpstr>
      <vt:lpstr>ITEM11_1Q09</vt:lpstr>
      <vt:lpstr>Tags!ITEM11_1Q10</vt:lpstr>
      <vt:lpstr>ITEM11_1Q10</vt:lpstr>
      <vt:lpstr>Tags!ITEM11_1Q11</vt:lpstr>
      <vt:lpstr>ITEM11_1Q11</vt:lpstr>
      <vt:lpstr>Tags!ITEM11_1Q12</vt:lpstr>
      <vt:lpstr>ITEM11_1Q12</vt:lpstr>
      <vt:lpstr>Tags!ITEM11_1Q13</vt:lpstr>
      <vt:lpstr>ITEM11_1Q13</vt:lpstr>
      <vt:lpstr>Tags!ITEM11_1Q14</vt:lpstr>
      <vt:lpstr>ITEM11_1Q14</vt:lpstr>
      <vt:lpstr>Tags!ITEM11_1Q15</vt:lpstr>
      <vt:lpstr>ITEM11_1Q15</vt:lpstr>
      <vt:lpstr>Tags!ITEM11_1Q16</vt:lpstr>
      <vt:lpstr>ITEM11_1Q16</vt:lpstr>
      <vt:lpstr>Tags!ITEM11_1Q17</vt:lpstr>
      <vt:lpstr>ITEM11_1Q17</vt:lpstr>
      <vt:lpstr>Tags!ITEM11_1Q18</vt:lpstr>
      <vt:lpstr>ITEM11_1Q18</vt:lpstr>
      <vt:lpstr>Tags!ITEM11_1Q19</vt:lpstr>
      <vt:lpstr>ITEM11_1Q19</vt:lpstr>
      <vt:lpstr>Tags!ITEM11_1Q20</vt:lpstr>
      <vt:lpstr>ITEM11_1Q20</vt:lpstr>
      <vt:lpstr>ITEM11_1Q21</vt:lpstr>
      <vt:lpstr>ITEM11_1Q22</vt:lpstr>
      <vt:lpstr>ITEM11_1Q23</vt:lpstr>
      <vt:lpstr>ITEM11_1Q24</vt:lpstr>
      <vt:lpstr>Tags!ITEM11_2000</vt:lpstr>
      <vt:lpstr>ITEM11_2000</vt:lpstr>
      <vt:lpstr>Tags!ITEM11_2001</vt:lpstr>
      <vt:lpstr>ITEM11_2001</vt:lpstr>
      <vt:lpstr>Tags!ITEM11_2002</vt:lpstr>
      <vt:lpstr>ITEM11_2002</vt:lpstr>
      <vt:lpstr>Tags!ITEM11_2003</vt:lpstr>
      <vt:lpstr>ITEM11_2003</vt:lpstr>
      <vt:lpstr>Tags!ITEM11_2004</vt:lpstr>
      <vt:lpstr>ITEM11_2004</vt:lpstr>
      <vt:lpstr>Tags!ITEM11_2005</vt:lpstr>
      <vt:lpstr>ITEM11_2005</vt:lpstr>
      <vt:lpstr>Tags!ITEM11_2006</vt:lpstr>
      <vt:lpstr>ITEM11_2006</vt:lpstr>
      <vt:lpstr>Tags!ITEM11_2007</vt:lpstr>
      <vt:lpstr>ITEM11_2007</vt:lpstr>
      <vt:lpstr>Tags!ITEM11_2008</vt:lpstr>
      <vt:lpstr>ITEM11_2008</vt:lpstr>
      <vt:lpstr>Tags!ITEM11_2009</vt:lpstr>
      <vt:lpstr>ITEM11_2009</vt:lpstr>
      <vt:lpstr>Tags!ITEM11_2010</vt:lpstr>
      <vt:lpstr>ITEM11_2010</vt:lpstr>
      <vt:lpstr>Tags!ITEM11_2011</vt:lpstr>
      <vt:lpstr>ITEM11_2011</vt:lpstr>
      <vt:lpstr>Tags!ITEM11_2012</vt:lpstr>
      <vt:lpstr>ITEM11_2012</vt:lpstr>
      <vt:lpstr>Tags!ITEM11_2013</vt:lpstr>
      <vt:lpstr>ITEM11_2013</vt:lpstr>
      <vt:lpstr>Tags!ITEM11_2014</vt:lpstr>
      <vt:lpstr>ITEM11_2014</vt:lpstr>
      <vt:lpstr>ITEM11_2015</vt:lpstr>
      <vt:lpstr>Tags!ITEM11_2016</vt:lpstr>
      <vt:lpstr>ITEM11_2016</vt:lpstr>
      <vt:lpstr>Tags!ITEM11_2017</vt:lpstr>
      <vt:lpstr>ITEM11_2017</vt:lpstr>
      <vt:lpstr>Tags!ITEM11_2018</vt:lpstr>
      <vt:lpstr>ITEM11_2018</vt:lpstr>
      <vt:lpstr>Tags!ITEM11_2019</vt:lpstr>
      <vt:lpstr>ITEM11_2019</vt:lpstr>
      <vt:lpstr>Tags!ITEM11_2020</vt:lpstr>
      <vt:lpstr>ITEM11_2020</vt:lpstr>
      <vt:lpstr>ITEM11_2021</vt:lpstr>
      <vt:lpstr>ITEM11_2022</vt:lpstr>
      <vt:lpstr>ITEM11_2023</vt:lpstr>
      <vt:lpstr>ITEM11_2024</vt:lpstr>
      <vt:lpstr>Tags!ITEM11_2Q00</vt:lpstr>
      <vt:lpstr>ITEM11_2Q00</vt:lpstr>
      <vt:lpstr>Tags!ITEM11_2Q01</vt:lpstr>
      <vt:lpstr>ITEM11_2Q01</vt:lpstr>
      <vt:lpstr>Tags!ITEM11_2Q02</vt:lpstr>
      <vt:lpstr>ITEM11_2Q02</vt:lpstr>
      <vt:lpstr>Tags!ITEM11_2Q03</vt:lpstr>
      <vt:lpstr>ITEM11_2Q03</vt:lpstr>
      <vt:lpstr>Tags!ITEM11_2Q04</vt:lpstr>
      <vt:lpstr>ITEM11_2Q04</vt:lpstr>
      <vt:lpstr>Tags!ITEM11_2Q05</vt:lpstr>
      <vt:lpstr>ITEM11_2Q05</vt:lpstr>
      <vt:lpstr>Tags!ITEM11_2Q06</vt:lpstr>
      <vt:lpstr>ITEM11_2Q06</vt:lpstr>
      <vt:lpstr>Tags!ITEM11_2Q07</vt:lpstr>
      <vt:lpstr>ITEM11_2Q07</vt:lpstr>
      <vt:lpstr>Tags!ITEM11_2Q08</vt:lpstr>
      <vt:lpstr>ITEM11_2Q08</vt:lpstr>
      <vt:lpstr>Tags!ITEM11_2Q09</vt:lpstr>
      <vt:lpstr>ITEM11_2Q09</vt:lpstr>
      <vt:lpstr>Tags!ITEM11_2Q10</vt:lpstr>
      <vt:lpstr>ITEM11_2Q10</vt:lpstr>
      <vt:lpstr>Tags!ITEM11_2Q11</vt:lpstr>
      <vt:lpstr>ITEM11_2Q11</vt:lpstr>
      <vt:lpstr>Tags!ITEM11_2Q12</vt:lpstr>
      <vt:lpstr>ITEM11_2Q12</vt:lpstr>
      <vt:lpstr>Tags!ITEM11_2Q13</vt:lpstr>
      <vt:lpstr>ITEM11_2Q13</vt:lpstr>
      <vt:lpstr>Tags!ITEM11_2Q14</vt:lpstr>
      <vt:lpstr>ITEM11_2Q14</vt:lpstr>
      <vt:lpstr>Tags!ITEM11_2Q15</vt:lpstr>
      <vt:lpstr>ITEM11_2Q15</vt:lpstr>
      <vt:lpstr>Tags!ITEM11_2Q16</vt:lpstr>
      <vt:lpstr>ITEM11_2Q16</vt:lpstr>
      <vt:lpstr>Tags!ITEM11_2Q17</vt:lpstr>
      <vt:lpstr>ITEM11_2Q17</vt:lpstr>
      <vt:lpstr>Tags!ITEM11_2Q18</vt:lpstr>
      <vt:lpstr>ITEM11_2Q18</vt:lpstr>
      <vt:lpstr>Tags!ITEM11_2Q19</vt:lpstr>
      <vt:lpstr>ITEM11_2Q19</vt:lpstr>
      <vt:lpstr>Tags!ITEM11_2Q20</vt:lpstr>
      <vt:lpstr>ITEM11_2Q20</vt:lpstr>
      <vt:lpstr>ITEM11_2Q21</vt:lpstr>
      <vt:lpstr>ITEM11_2Q22</vt:lpstr>
      <vt:lpstr>ITEM11_2Q23</vt:lpstr>
      <vt:lpstr>ITEM11_2Q24</vt:lpstr>
      <vt:lpstr>Tags!ITEM11_3Q00</vt:lpstr>
      <vt:lpstr>ITEM11_3Q00</vt:lpstr>
      <vt:lpstr>Tags!ITEM11_3Q01</vt:lpstr>
      <vt:lpstr>ITEM11_3Q01</vt:lpstr>
      <vt:lpstr>Tags!ITEM11_3Q02</vt:lpstr>
      <vt:lpstr>ITEM11_3Q02</vt:lpstr>
      <vt:lpstr>Tags!ITEM11_3Q03</vt:lpstr>
      <vt:lpstr>ITEM11_3Q03</vt:lpstr>
      <vt:lpstr>Tags!ITEM11_3Q04</vt:lpstr>
      <vt:lpstr>ITEM11_3Q04</vt:lpstr>
      <vt:lpstr>Tags!ITEM11_3Q05</vt:lpstr>
      <vt:lpstr>ITEM11_3Q05</vt:lpstr>
      <vt:lpstr>Tags!ITEM11_3Q06</vt:lpstr>
      <vt:lpstr>ITEM11_3Q06</vt:lpstr>
      <vt:lpstr>Tags!ITEM11_3Q07</vt:lpstr>
      <vt:lpstr>ITEM11_3Q07</vt:lpstr>
      <vt:lpstr>Tags!ITEM11_3Q08</vt:lpstr>
      <vt:lpstr>ITEM11_3Q08</vt:lpstr>
      <vt:lpstr>Tags!ITEM11_3Q09</vt:lpstr>
      <vt:lpstr>ITEM11_3Q09</vt:lpstr>
      <vt:lpstr>Tags!ITEM11_3Q10</vt:lpstr>
      <vt:lpstr>ITEM11_3Q10</vt:lpstr>
      <vt:lpstr>Tags!ITEM11_3Q11</vt:lpstr>
      <vt:lpstr>ITEM11_3Q11</vt:lpstr>
      <vt:lpstr>Tags!ITEM11_3Q12</vt:lpstr>
      <vt:lpstr>ITEM11_3Q12</vt:lpstr>
      <vt:lpstr>Tags!ITEM11_3Q13</vt:lpstr>
      <vt:lpstr>ITEM11_3Q13</vt:lpstr>
      <vt:lpstr>Tags!ITEM11_3Q14</vt:lpstr>
      <vt:lpstr>ITEM11_3Q14</vt:lpstr>
      <vt:lpstr>Tags!ITEM11_3Q15</vt:lpstr>
      <vt:lpstr>ITEM11_3Q15</vt:lpstr>
      <vt:lpstr>Tags!ITEM11_3Q16</vt:lpstr>
      <vt:lpstr>ITEM11_3Q16</vt:lpstr>
      <vt:lpstr>Tags!ITEM11_3Q17</vt:lpstr>
      <vt:lpstr>ITEM11_3Q17</vt:lpstr>
      <vt:lpstr>Tags!ITEM11_3Q18</vt:lpstr>
      <vt:lpstr>ITEM11_3Q18</vt:lpstr>
      <vt:lpstr>Tags!ITEM11_3Q19</vt:lpstr>
      <vt:lpstr>ITEM11_3Q19</vt:lpstr>
      <vt:lpstr>Tags!ITEM11_3Q20</vt:lpstr>
      <vt:lpstr>ITEM11_3Q20</vt:lpstr>
      <vt:lpstr>ITEM11_3Q21</vt:lpstr>
      <vt:lpstr>ITEM11_3Q22</vt:lpstr>
      <vt:lpstr>ITEM11_3Q23</vt:lpstr>
      <vt:lpstr>ITEM11_3Q24</vt:lpstr>
      <vt:lpstr>Tags!ITEM11_4Q00</vt:lpstr>
      <vt:lpstr>ITEM11_4Q00</vt:lpstr>
      <vt:lpstr>Tags!ITEM11_4Q01</vt:lpstr>
      <vt:lpstr>ITEM11_4Q01</vt:lpstr>
      <vt:lpstr>Tags!ITEM11_4Q02</vt:lpstr>
      <vt:lpstr>ITEM11_4Q02</vt:lpstr>
      <vt:lpstr>Tags!ITEM11_4Q03</vt:lpstr>
      <vt:lpstr>ITEM11_4Q03</vt:lpstr>
      <vt:lpstr>Tags!ITEM11_4Q04</vt:lpstr>
      <vt:lpstr>ITEM11_4Q04</vt:lpstr>
      <vt:lpstr>Tags!ITEM11_4Q05</vt:lpstr>
      <vt:lpstr>ITEM11_4Q05</vt:lpstr>
      <vt:lpstr>Tags!ITEM11_4Q06</vt:lpstr>
      <vt:lpstr>ITEM11_4Q06</vt:lpstr>
      <vt:lpstr>Tags!ITEM11_4Q07</vt:lpstr>
      <vt:lpstr>ITEM11_4Q07</vt:lpstr>
      <vt:lpstr>Tags!ITEM11_4Q08</vt:lpstr>
      <vt:lpstr>ITEM11_4Q08</vt:lpstr>
      <vt:lpstr>Tags!ITEM11_4Q09</vt:lpstr>
      <vt:lpstr>ITEM11_4Q09</vt:lpstr>
      <vt:lpstr>Tags!ITEM11_4Q10</vt:lpstr>
      <vt:lpstr>ITEM11_4Q10</vt:lpstr>
      <vt:lpstr>Tags!ITEM11_4Q11</vt:lpstr>
      <vt:lpstr>ITEM11_4Q11</vt:lpstr>
      <vt:lpstr>Tags!ITEM11_4Q12</vt:lpstr>
      <vt:lpstr>ITEM11_4Q12</vt:lpstr>
      <vt:lpstr>Tags!ITEM11_4Q13</vt:lpstr>
      <vt:lpstr>ITEM11_4Q13</vt:lpstr>
      <vt:lpstr>Tags!ITEM11_4Q14</vt:lpstr>
      <vt:lpstr>ITEM11_4Q14</vt:lpstr>
      <vt:lpstr>Tags!ITEM11_4Q15</vt:lpstr>
      <vt:lpstr>ITEM11_4Q15</vt:lpstr>
      <vt:lpstr>Tags!ITEM11_4Q16</vt:lpstr>
      <vt:lpstr>ITEM11_4Q16</vt:lpstr>
      <vt:lpstr>Tags!ITEM11_4Q17</vt:lpstr>
      <vt:lpstr>ITEM11_4Q17</vt:lpstr>
      <vt:lpstr>Tags!ITEM11_4Q18</vt:lpstr>
      <vt:lpstr>ITEM11_4Q18</vt:lpstr>
      <vt:lpstr>Tags!ITEM11_4Q19</vt:lpstr>
      <vt:lpstr>ITEM11_4Q19</vt:lpstr>
      <vt:lpstr>Tags!ITEM11_4Q20</vt:lpstr>
      <vt:lpstr>ITEM11_4Q20</vt:lpstr>
      <vt:lpstr>ITEM11_4Q21</vt:lpstr>
      <vt:lpstr>ITEM11_4Q22</vt:lpstr>
      <vt:lpstr>ITEM11_4Q23</vt:lpstr>
      <vt:lpstr>ITEM11_4Q24</vt:lpstr>
      <vt:lpstr>ITEM12_1995</vt:lpstr>
      <vt:lpstr>ITEM12_1996</vt:lpstr>
      <vt:lpstr>ITEM12_1997</vt:lpstr>
      <vt:lpstr>ITEM12_1998</vt:lpstr>
      <vt:lpstr>ITEM12_1999</vt:lpstr>
      <vt:lpstr>Tags!ITEM12_1Q00</vt:lpstr>
      <vt:lpstr>ITEM12_1Q00</vt:lpstr>
      <vt:lpstr>Tags!ITEM12_1Q01</vt:lpstr>
      <vt:lpstr>ITEM12_1Q01</vt:lpstr>
      <vt:lpstr>Tags!ITEM12_1Q02</vt:lpstr>
      <vt:lpstr>ITEM12_1Q02</vt:lpstr>
      <vt:lpstr>Tags!ITEM12_1Q03</vt:lpstr>
      <vt:lpstr>ITEM12_1Q03</vt:lpstr>
      <vt:lpstr>Tags!ITEM12_1Q04</vt:lpstr>
      <vt:lpstr>ITEM12_1Q04</vt:lpstr>
      <vt:lpstr>Tags!ITEM12_1Q05</vt:lpstr>
      <vt:lpstr>ITEM12_1Q05</vt:lpstr>
      <vt:lpstr>Tags!ITEM12_1Q06</vt:lpstr>
      <vt:lpstr>ITEM12_1Q06</vt:lpstr>
      <vt:lpstr>Tags!ITEM12_1Q07</vt:lpstr>
      <vt:lpstr>ITEM12_1Q07</vt:lpstr>
      <vt:lpstr>Tags!ITEM12_1Q08</vt:lpstr>
      <vt:lpstr>ITEM12_1Q08</vt:lpstr>
      <vt:lpstr>Tags!ITEM12_1Q09</vt:lpstr>
      <vt:lpstr>ITEM12_1Q09</vt:lpstr>
      <vt:lpstr>Tags!ITEM12_1Q10</vt:lpstr>
      <vt:lpstr>ITEM12_1Q10</vt:lpstr>
      <vt:lpstr>Tags!ITEM12_1Q11</vt:lpstr>
      <vt:lpstr>ITEM12_1Q11</vt:lpstr>
      <vt:lpstr>Tags!ITEM12_1Q12</vt:lpstr>
      <vt:lpstr>ITEM12_1Q12</vt:lpstr>
      <vt:lpstr>Tags!ITEM12_1Q13</vt:lpstr>
      <vt:lpstr>ITEM12_1Q13</vt:lpstr>
      <vt:lpstr>Tags!ITEM12_1Q14</vt:lpstr>
      <vt:lpstr>ITEM12_1Q14</vt:lpstr>
      <vt:lpstr>Tags!ITEM12_1Q15</vt:lpstr>
      <vt:lpstr>ITEM12_1Q15</vt:lpstr>
      <vt:lpstr>Tags!ITEM12_1Q16</vt:lpstr>
      <vt:lpstr>ITEM12_1Q16</vt:lpstr>
      <vt:lpstr>Tags!ITEM12_1Q17</vt:lpstr>
      <vt:lpstr>ITEM12_1Q17</vt:lpstr>
      <vt:lpstr>Tags!ITEM12_1Q18</vt:lpstr>
      <vt:lpstr>ITEM12_1Q18</vt:lpstr>
      <vt:lpstr>Tags!ITEM12_1Q19</vt:lpstr>
      <vt:lpstr>ITEM12_1Q19</vt:lpstr>
      <vt:lpstr>Tags!ITEM12_1Q20</vt:lpstr>
      <vt:lpstr>ITEM12_1Q20</vt:lpstr>
      <vt:lpstr>ITEM12_1Q21</vt:lpstr>
      <vt:lpstr>ITEM12_1Q22</vt:lpstr>
      <vt:lpstr>ITEM12_1Q23</vt:lpstr>
      <vt:lpstr>ITEM12_1Q24</vt:lpstr>
      <vt:lpstr>Tags!ITEM12_2000</vt:lpstr>
      <vt:lpstr>ITEM12_2000</vt:lpstr>
      <vt:lpstr>Tags!ITEM12_2001</vt:lpstr>
      <vt:lpstr>ITEM12_2001</vt:lpstr>
      <vt:lpstr>Tags!ITEM12_2002</vt:lpstr>
      <vt:lpstr>ITEM12_2002</vt:lpstr>
      <vt:lpstr>Tags!ITEM12_2003</vt:lpstr>
      <vt:lpstr>ITEM12_2003</vt:lpstr>
      <vt:lpstr>Tags!ITEM12_2004</vt:lpstr>
      <vt:lpstr>ITEM12_2004</vt:lpstr>
      <vt:lpstr>Tags!ITEM12_2005</vt:lpstr>
      <vt:lpstr>ITEM12_2005</vt:lpstr>
      <vt:lpstr>Tags!ITEM12_2006</vt:lpstr>
      <vt:lpstr>ITEM12_2006</vt:lpstr>
      <vt:lpstr>Tags!ITEM12_2007</vt:lpstr>
      <vt:lpstr>ITEM12_2007</vt:lpstr>
      <vt:lpstr>Tags!ITEM12_2008</vt:lpstr>
      <vt:lpstr>ITEM12_2008</vt:lpstr>
      <vt:lpstr>Tags!ITEM12_2009</vt:lpstr>
      <vt:lpstr>ITEM12_2009</vt:lpstr>
      <vt:lpstr>Tags!ITEM12_2010</vt:lpstr>
      <vt:lpstr>ITEM12_2010</vt:lpstr>
      <vt:lpstr>Tags!ITEM12_2011</vt:lpstr>
      <vt:lpstr>ITEM12_2011</vt:lpstr>
      <vt:lpstr>Tags!ITEM12_2012</vt:lpstr>
      <vt:lpstr>ITEM12_2012</vt:lpstr>
      <vt:lpstr>Tags!ITEM12_2013</vt:lpstr>
      <vt:lpstr>ITEM12_2013</vt:lpstr>
      <vt:lpstr>Tags!ITEM12_2014</vt:lpstr>
      <vt:lpstr>ITEM12_2014</vt:lpstr>
      <vt:lpstr>ITEM12_2015</vt:lpstr>
      <vt:lpstr>Tags!ITEM12_2016</vt:lpstr>
      <vt:lpstr>ITEM12_2016</vt:lpstr>
      <vt:lpstr>Tags!ITEM12_2017</vt:lpstr>
      <vt:lpstr>ITEM12_2017</vt:lpstr>
      <vt:lpstr>Tags!ITEM12_2018</vt:lpstr>
      <vt:lpstr>ITEM12_2018</vt:lpstr>
      <vt:lpstr>Tags!ITEM12_2019</vt:lpstr>
      <vt:lpstr>ITEM12_2019</vt:lpstr>
      <vt:lpstr>Tags!ITEM12_2020</vt:lpstr>
      <vt:lpstr>ITEM12_2020</vt:lpstr>
      <vt:lpstr>ITEM12_2021</vt:lpstr>
      <vt:lpstr>ITEM12_2022</vt:lpstr>
      <vt:lpstr>ITEM12_2023</vt:lpstr>
      <vt:lpstr>ITEM12_2024</vt:lpstr>
      <vt:lpstr>Tags!ITEM12_2Q00</vt:lpstr>
      <vt:lpstr>ITEM12_2Q00</vt:lpstr>
      <vt:lpstr>Tags!ITEM12_2Q01</vt:lpstr>
      <vt:lpstr>ITEM12_2Q01</vt:lpstr>
      <vt:lpstr>Tags!ITEM12_2Q02</vt:lpstr>
      <vt:lpstr>ITEM12_2Q02</vt:lpstr>
      <vt:lpstr>Tags!ITEM12_2Q03</vt:lpstr>
      <vt:lpstr>ITEM12_2Q03</vt:lpstr>
      <vt:lpstr>Tags!ITEM12_2Q04</vt:lpstr>
      <vt:lpstr>ITEM12_2Q04</vt:lpstr>
      <vt:lpstr>Tags!ITEM12_2Q05</vt:lpstr>
      <vt:lpstr>ITEM12_2Q05</vt:lpstr>
      <vt:lpstr>Tags!ITEM12_2Q06</vt:lpstr>
      <vt:lpstr>ITEM12_2Q06</vt:lpstr>
      <vt:lpstr>Tags!ITEM12_2Q07</vt:lpstr>
      <vt:lpstr>ITEM12_2Q07</vt:lpstr>
      <vt:lpstr>Tags!ITEM12_2Q08</vt:lpstr>
      <vt:lpstr>ITEM12_2Q08</vt:lpstr>
      <vt:lpstr>Tags!ITEM12_2Q09</vt:lpstr>
      <vt:lpstr>ITEM12_2Q09</vt:lpstr>
      <vt:lpstr>Tags!ITEM12_2Q10</vt:lpstr>
      <vt:lpstr>ITEM12_2Q10</vt:lpstr>
      <vt:lpstr>Tags!ITEM12_2Q11</vt:lpstr>
      <vt:lpstr>ITEM12_2Q11</vt:lpstr>
      <vt:lpstr>Tags!ITEM12_2Q12</vt:lpstr>
      <vt:lpstr>ITEM12_2Q12</vt:lpstr>
      <vt:lpstr>Tags!ITEM12_2Q13</vt:lpstr>
      <vt:lpstr>ITEM12_2Q13</vt:lpstr>
      <vt:lpstr>Tags!ITEM12_2Q14</vt:lpstr>
      <vt:lpstr>ITEM12_2Q14</vt:lpstr>
      <vt:lpstr>Tags!ITEM12_2Q15</vt:lpstr>
      <vt:lpstr>ITEM12_2Q15</vt:lpstr>
      <vt:lpstr>Tags!ITEM12_2Q16</vt:lpstr>
      <vt:lpstr>ITEM12_2Q16</vt:lpstr>
      <vt:lpstr>Tags!ITEM12_2Q17</vt:lpstr>
      <vt:lpstr>ITEM12_2Q17</vt:lpstr>
      <vt:lpstr>Tags!ITEM12_2Q18</vt:lpstr>
      <vt:lpstr>ITEM12_2Q18</vt:lpstr>
      <vt:lpstr>Tags!ITEM12_2Q19</vt:lpstr>
      <vt:lpstr>ITEM12_2Q19</vt:lpstr>
      <vt:lpstr>Tags!ITEM12_2Q20</vt:lpstr>
      <vt:lpstr>ITEM12_2Q20</vt:lpstr>
      <vt:lpstr>ITEM12_2Q21</vt:lpstr>
      <vt:lpstr>ITEM12_2Q22</vt:lpstr>
      <vt:lpstr>ITEM12_2Q23</vt:lpstr>
      <vt:lpstr>ITEM12_2Q24</vt:lpstr>
      <vt:lpstr>Tags!ITEM12_3Q00</vt:lpstr>
      <vt:lpstr>ITEM12_3Q00</vt:lpstr>
      <vt:lpstr>Tags!ITEM12_3Q01</vt:lpstr>
      <vt:lpstr>ITEM12_3Q01</vt:lpstr>
      <vt:lpstr>Tags!ITEM12_3Q02</vt:lpstr>
      <vt:lpstr>ITEM12_3Q02</vt:lpstr>
      <vt:lpstr>Tags!ITEM12_3Q03</vt:lpstr>
      <vt:lpstr>ITEM12_3Q03</vt:lpstr>
      <vt:lpstr>Tags!ITEM12_3Q04</vt:lpstr>
      <vt:lpstr>ITEM12_3Q04</vt:lpstr>
      <vt:lpstr>Tags!ITEM12_3Q05</vt:lpstr>
      <vt:lpstr>ITEM12_3Q05</vt:lpstr>
      <vt:lpstr>Tags!ITEM12_3Q06</vt:lpstr>
      <vt:lpstr>ITEM12_3Q06</vt:lpstr>
      <vt:lpstr>Tags!ITEM12_3Q07</vt:lpstr>
      <vt:lpstr>ITEM12_3Q07</vt:lpstr>
      <vt:lpstr>Tags!ITEM12_3Q08</vt:lpstr>
      <vt:lpstr>ITEM12_3Q08</vt:lpstr>
      <vt:lpstr>Tags!ITEM12_3Q09</vt:lpstr>
      <vt:lpstr>ITEM12_3Q09</vt:lpstr>
      <vt:lpstr>Tags!ITEM12_3Q10</vt:lpstr>
      <vt:lpstr>ITEM12_3Q10</vt:lpstr>
      <vt:lpstr>Tags!ITEM12_3Q11</vt:lpstr>
      <vt:lpstr>ITEM12_3Q11</vt:lpstr>
      <vt:lpstr>Tags!ITEM12_3Q12</vt:lpstr>
      <vt:lpstr>ITEM12_3Q12</vt:lpstr>
      <vt:lpstr>Tags!ITEM12_3Q13</vt:lpstr>
      <vt:lpstr>ITEM12_3Q13</vt:lpstr>
      <vt:lpstr>Tags!ITEM12_3Q14</vt:lpstr>
      <vt:lpstr>ITEM12_3Q14</vt:lpstr>
      <vt:lpstr>Tags!ITEM12_3Q15</vt:lpstr>
      <vt:lpstr>ITEM12_3Q15</vt:lpstr>
      <vt:lpstr>Tags!ITEM12_3Q16</vt:lpstr>
      <vt:lpstr>ITEM12_3Q16</vt:lpstr>
      <vt:lpstr>Tags!ITEM12_3Q17</vt:lpstr>
      <vt:lpstr>ITEM12_3Q17</vt:lpstr>
      <vt:lpstr>Tags!ITEM12_3Q18</vt:lpstr>
      <vt:lpstr>ITEM12_3Q18</vt:lpstr>
      <vt:lpstr>Tags!ITEM12_3Q19</vt:lpstr>
      <vt:lpstr>ITEM12_3Q19</vt:lpstr>
      <vt:lpstr>Tags!ITEM12_3Q20</vt:lpstr>
      <vt:lpstr>ITEM12_3Q20</vt:lpstr>
      <vt:lpstr>ITEM12_3Q21</vt:lpstr>
      <vt:lpstr>ITEM12_3Q22</vt:lpstr>
      <vt:lpstr>ITEM12_3Q23</vt:lpstr>
      <vt:lpstr>ITEM12_3Q24</vt:lpstr>
      <vt:lpstr>Tags!ITEM12_4Q00</vt:lpstr>
      <vt:lpstr>ITEM12_4Q00</vt:lpstr>
      <vt:lpstr>Tags!ITEM12_4Q01</vt:lpstr>
      <vt:lpstr>ITEM12_4Q01</vt:lpstr>
      <vt:lpstr>Tags!ITEM12_4Q02</vt:lpstr>
      <vt:lpstr>ITEM12_4Q02</vt:lpstr>
      <vt:lpstr>Tags!ITEM12_4Q03</vt:lpstr>
      <vt:lpstr>ITEM12_4Q03</vt:lpstr>
      <vt:lpstr>Tags!ITEM12_4Q04</vt:lpstr>
      <vt:lpstr>ITEM12_4Q04</vt:lpstr>
      <vt:lpstr>Tags!ITEM12_4Q05</vt:lpstr>
      <vt:lpstr>ITEM12_4Q05</vt:lpstr>
      <vt:lpstr>Tags!ITEM12_4Q06</vt:lpstr>
      <vt:lpstr>ITEM12_4Q06</vt:lpstr>
      <vt:lpstr>Tags!ITEM12_4Q07</vt:lpstr>
      <vt:lpstr>ITEM12_4Q07</vt:lpstr>
      <vt:lpstr>Tags!ITEM12_4Q08</vt:lpstr>
      <vt:lpstr>ITEM12_4Q08</vt:lpstr>
      <vt:lpstr>Tags!ITEM12_4Q09</vt:lpstr>
      <vt:lpstr>ITEM12_4Q09</vt:lpstr>
      <vt:lpstr>Tags!ITEM12_4Q10</vt:lpstr>
      <vt:lpstr>ITEM12_4Q10</vt:lpstr>
      <vt:lpstr>Tags!ITEM12_4Q11</vt:lpstr>
      <vt:lpstr>ITEM12_4Q11</vt:lpstr>
      <vt:lpstr>Tags!ITEM12_4Q12</vt:lpstr>
      <vt:lpstr>ITEM12_4Q12</vt:lpstr>
      <vt:lpstr>Tags!ITEM12_4Q13</vt:lpstr>
      <vt:lpstr>ITEM12_4Q13</vt:lpstr>
      <vt:lpstr>Tags!ITEM12_4Q14</vt:lpstr>
      <vt:lpstr>ITEM12_4Q14</vt:lpstr>
      <vt:lpstr>Tags!ITEM12_4Q15</vt:lpstr>
      <vt:lpstr>ITEM12_4Q15</vt:lpstr>
      <vt:lpstr>Tags!ITEM12_4Q16</vt:lpstr>
      <vt:lpstr>ITEM12_4Q16</vt:lpstr>
      <vt:lpstr>Tags!ITEM12_4Q17</vt:lpstr>
      <vt:lpstr>ITEM12_4Q17</vt:lpstr>
      <vt:lpstr>Tags!ITEM12_4Q18</vt:lpstr>
      <vt:lpstr>ITEM12_4Q18</vt:lpstr>
      <vt:lpstr>Tags!ITEM12_4Q19</vt:lpstr>
      <vt:lpstr>ITEM12_4Q19</vt:lpstr>
      <vt:lpstr>Tags!ITEM12_4Q20</vt:lpstr>
      <vt:lpstr>ITEM12_4Q20</vt:lpstr>
      <vt:lpstr>ITEM12_4Q21</vt:lpstr>
      <vt:lpstr>ITEM12_4Q22</vt:lpstr>
      <vt:lpstr>ITEM12_4Q23</vt:lpstr>
      <vt:lpstr>ITEM12_4Q24</vt:lpstr>
      <vt:lpstr>ITEM13_1995</vt:lpstr>
      <vt:lpstr>ITEM13_1996</vt:lpstr>
      <vt:lpstr>ITEM13_1997</vt:lpstr>
      <vt:lpstr>ITEM13_1998</vt:lpstr>
      <vt:lpstr>ITEM13_1999</vt:lpstr>
      <vt:lpstr>Tags!ITEM13_1Q00</vt:lpstr>
      <vt:lpstr>ITEM13_1Q00</vt:lpstr>
      <vt:lpstr>Tags!ITEM13_1Q01</vt:lpstr>
      <vt:lpstr>ITEM13_1Q01</vt:lpstr>
      <vt:lpstr>Tags!ITEM13_1Q02</vt:lpstr>
      <vt:lpstr>ITEM13_1Q02</vt:lpstr>
      <vt:lpstr>Tags!ITEM13_1Q03</vt:lpstr>
      <vt:lpstr>ITEM13_1Q03</vt:lpstr>
      <vt:lpstr>Tags!ITEM13_1Q04</vt:lpstr>
      <vt:lpstr>ITEM13_1Q04</vt:lpstr>
      <vt:lpstr>Tags!ITEM13_1Q05</vt:lpstr>
      <vt:lpstr>ITEM13_1Q05</vt:lpstr>
      <vt:lpstr>Tags!ITEM13_1Q06</vt:lpstr>
      <vt:lpstr>ITEM13_1Q06</vt:lpstr>
      <vt:lpstr>Tags!ITEM13_1Q07</vt:lpstr>
      <vt:lpstr>ITEM13_1Q07</vt:lpstr>
      <vt:lpstr>Tags!ITEM13_1Q08</vt:lpstr>
      <vt:lpstr>ITEM13_1Q08</vt:lpstr>
      <vt:lpstr>Tags!ITEM13_1Q09</vt:lpstr>
      <vt:lpstr>ITEM13_1Q09</vt:lpstr>
      <vt:lpstr>Tags!ITEM13_1Q10</vt:lpstr>
      <vt:lpstr>ITEM13_1Q10</vt:lpstr>
      <vt:lpstr>Tags!ITEM13_1Q11</vt:lpstr>
      <vt:lpstr>ITEM13_1Q11</vt:lpstr>
      <vt:lpstr>Tags!ITEM13_1Q12</vt:lpstr>
      <vt:lpstr>ITEM13_1Q12</vt:lpstr>
      <vt:lpstr>Tags!ITEM13_1Q13</vt:lpstr>
      <vt:lpstr>ITEM13_1Q13</vt:lpstr>
      <vt:lpstr>Tags!ITEM13_1Q14</vt:lpstr>
      <vt:lpstr>ITEM13_1Q14</vt:lpstr>
      <vt:lpstr>Tags!ITEM13_1Q15</vt:lpstr>
      <vt:lpstr>ITEM13_1Q15</vt:lpstr>
      <vt:lpstr>Tags!ITEM13_1Q16</vt:lpstr>
      <vt:lpstr>ITEM13_1Q16</vt:lpstr>
      <vt:lpstr>Tags!ITEM13_1Q17</vt:lpstr>
      <vt:lpstr>ITEM13_1Q17</vt:lpstr>
      <vt:lpstr>Tags!ITEM13_1Q18</vt:lpstr>
      <vt:lpstr>ITEM13_1Q18</vt:lpstr>
      <vt:lpstr>Tags!ITEM13_1Q19</vt:lpstr>
      <vt:lpstr>ITEM13_1Q19</vt:lpstr>
      <vt:lpstr>Tags!ITEM13_1Q20</vt:lpstr>
      <vt:lpstr>ITEM13_1Q20</vt:lpstr>
      <vt:lpstr>ITEM13_1Q21</vt:lpstr>
      <vt:lpstr>ITEM13_1Q22</vt:lpstr>
      <vt:lpstr>ITEM13_1Q23</vt:lpstr>
      <vt:lpstr>ITEM13_1Q24</vt:lpstr>
      <vt:lpstr>Tags!ITEM13_2000</vt:lpstr>
      <vt:lpstr>ITEM13_2000</vt:lpstr>
      <vt:lpstr>Tags!ITEM13_2001</vt:lpstr>
      <vt:lpstr>ITEM13_2001</vt:lpstr>
      <vt:lpstr>Tags!ITEM13_2002</vt:lpstr>
      <vt:lpstr>ITEM13_2002</vt:lpstr>
      <vt:lpstr>Tags!ITEM13_2003</vt:lpstr>
      <vt:lpstr>ITEM13_2003</vt:lpstr>
      <vt:lpstr>Tags!ITEM13_2004</vt:lpstr>
      <vt:lpstr>ITEM13_2004</vt:lpstr>
      <vt:lpstr>Tags!ITEM13_2005</vt:lpstr>
      <vt:lpstr>ITEM13_2005</vt:lpstr>
      <vt:lpstr>Tags!ITEM13_2006</vt:lpstr>
      <vt:lpstr>ITEM13_2006</vt:lpstr>
      <vt:lpstr>Tags!ITEM13_2007</vt:lpstr>
      <vt:lpstr>ITEM13_2007</vt:lpstr>
      <vt:lpstr>Tags!ITEM13_2008</vt:lpstr>
      <vt:lpstr>ITEM13_2008</vt:lpstr>
      <vt:lpstr>Tags!ITEM13_2009</vt:lpstr>
      <vt:lpstr>ITEM13_2009</vt:lpstr>
      <vt:lpstr>Tags!ITEM13_2010</vt:lpstr>
      <vt:lpstr>ITEM13_2010</vt:lpstr>
      <vt:lpstr>Tags!ITEM13_2011</vt:lpstr>
      <vt:lpstr>ITEM13_2011</vt:lpstr>
      <vt:lpstr>Tags!ITEM13_2012</vt:lpstr>
      <vt:lpstr>ITEM13_2012</vt:lpstr>
      <vt:lpstr>Tags!ITEM13_2013</vt:lpstr>
      <vt:lpstr>ITEM13_2013</vt:lpstr>
      <vt:lpstr>Tags!ITEM13_2014</vt:lpstr>
      <vt:lpstr>ITEM13_2014</vt:lpstr>
      <vt:lpstr>ITEM13_2015</vt:lpstr>
      <vt:lpstr>Tags!ITEM13_2016</vt:lpstr>
      <vt:lpstr>ITEM13_2016</vt:lpstr>
      <vt:lpstr>Tags!ITEM13_2017</vt:lpstr>
      <vt:lpstr>ITEM13_2017</vt:lpstr>
      <vt:lpstr>Tags!ITEM13_2018</vt:lpstr>
      <vt:lpstr>ITEM13_2018</vt:lpstr>
      <vt:lpstr>Tags!ITEM13_2019</vt:lpstr>
      <vt:lpstr>ITEM13_2019</vt:lpstr>
      <vt:lpstr>Tags!ITEM13_2020</vt:lpstr>
      <vt:lpstr>ITEM13_2020</vt:lpstr>
      <vt:lpstr>ITEM13_2021</vt:lpstr>
      <vt:lpstr>ITEM13_2022</vt:lpstr>
      <vt:lpstr>ITEM13_2023</vt:lpstr>
      <vt:lpstr>ITEM13_2024</vt:lpstr>
      <vt:lpstr>Tags!ITEM13_2Q00</vt:lpstr>
      <vt:lpstr>ITEM13_2Q00</vt:lpstr>
      <vt:lpstr>Tags!ITEM13_2Q01</vt:lpstr>
      <vt:lpstr>ITEM13_2Q01</vt:lpstr>
      <vt:lpstr>Tags!ITEM13_2Q02</vt:lpstr>
      <vt:lpstr>ITEM13_2Q02</vt:lpstr>
      <vt:lpstr>Tags!ITEM13_2Q03</vt:lpstr>
      <vt:lpstr>ITEM13_2Q03</vt:lpstr>
      <vt:lpstr>Tags!ITEM13_2Q04</vt:lpstr>
      <vt:lpstr>ITEM13_2Q04</vt:lpstr>
      <vt:lpstr>Tags!ITEM13_2Q05</vt:lpstr>
      <vt:lpstr>ITEM13_2Q05</vt:lpstr>
      <vt:lpstr>Tags!ITEM13_2Q06</vt:lpstr>
      <vt:lpstr>ITEM13_2Q06</vt:lpstr>
      <vt:lpstr>Tags!ITEM13_2Q07</vt:lpstr>
      <vt:lpstr>ITEM13_2Q07</vt:lpstr>
      <vt:lpstr>Tags!ITEM13_2Q08</vt:lpstr>
      <vt:lpstr>ITEM13_2Q08</vt:lpstr>
      <vt:lpstr>Tags!ITEM13_2Q09</vt:lpstr>
      <vt:lpstr>ITEM13_2Q09</vt:lpstr>
      <vt:lpstr>Tags!ITEM13_2Q10</vt:lpstr>
      <vt:lpstr>ITEM13_2Q10</vt:lpstr>
      <vt:lpstr>Tags!ITEM13_2Q11</vt:lpstr>
      <vt:lpstr>ITEM13_2Q11</vt:lpstr>
      <vt:lpstr>Tags!ITEM13_2Q12</vt:lpstr>
      <vt:lpstr>ITEM13_2Q12</vt:lpstr>
      <vt:lpstr>Tags!ITEM13_2Q13</vt:lpstr>
      <vt:lpstr>ITEM13_2Q13</vt:lpstr>
      <vt:lpstr>Tags!ITEM13_2Q14</vt:lpstr>
      <vt:lpstr>ITEM13_2Q14</vt:lpstr>
      <vt:lpstr>Tags!ITEM13_2Q15</vt:lpstr>
      <vt:lpstr>ITEM13_2Q15</vt:lpstr>
      <vt:lpstr>Tags!ITEM13_2Q16</vt:lpstr>
      <vt:lpstr>ITEM13_2Q16</vt:lpstr>
      <vt:lpstr>Tags!ITEM13_2Q17</vt:lpstr>
      <vt:lpstr>ITEM13_2Q17</vt:lpstr>
      <vt:lpstr>Tags!ITEM13_2Q18</vt:lpstr>
      <vt:lpstr>ITEM13_2Q18</vt:lpstr>
      <vt:lpstr>Tags!ITEM13_2Q19</vt:lpstr>
      <vt:lpstr>ITEM13_2Q19</vt:lpstr>
      <vt:lpstr>Tags!ITEM13_2Q20</vt:lpstr>
      <vt:lpstr>ITEM13_2Q20</vt:lpstr>
      <vt:lpstr>ITEM13_2Q21</vt:lpstr>
      <vt:lpstr>ITEM13_2Q22</vt:lpstr>
      <vt:lpstr>ITEM13_2Q23</vt:lpstr>
      <vt:lpstr>ITEM13_2Q24</vt:lpstr>
      <vt:lpstr>Tags!ITEM13_3Q00</vt:lpstr>
      <vt:lpstr>ITEM13_3Q00</vt:lpstr>
      <vt:lpstr>Tags!ITEM13_3Q01</vt:lpstr>
      <vt:lpstr>ITEM13_3Q01</vt:lpstr>
      <vt:lpstr>Tags!ITEM13_3Q02</vt:lpstr>
      <vt:lpstr>ITEM13_3Q02</vt:lpstr>
      <vt:lpstr>Tags!ITEM13_3Q03</vt:lpstr>
      <vt:lpstr>ITEM13_3Q03</vt:lpstr>
      <vt:lpstr>Tags!ITEM13_3Q04</vt:lpstr>
      <vt:lpstr>ITEM13_3Q04</vt:lpstr>
      <vt:lpstr>Tags!ITEM13_3Q05</vt:lpstr>
      <vt:lpstr>ITEM13_3Q05</vt:lpstr>
      <vt:lpstr>Tags!ITEM13_3Q06</vt:lpstr>
      <vt:lpstr>ITEM13_3Q06</vt:lpstr>
      <vt:lpstr>Tags!ITEM13_3Q07</vt:lpstr>
      <vt:lpstr>ITEM13_3Q07</vt:lpstr>
      <vt:lpstr>Tags!ITEM13_3Q08</vt:lpstr>
      <vt:lpstr>ITEM13_3Q08</vt:lpstr>
      <vt:lpstr>Tags!ITEM13_3Q09</vt:lpstr>
      <vt:lpstr>ITEM13_3Q09</vt:lpstr>
      <vt:lpstr>Tags!ITEM13_3Q10</vt:lpstr>
      <vt:lpstr>ITEM13_3Q10</vt:lpstr>
      <vt:lpstr>Tags!ITEM13_3Q11</vt:lpstr>
      <vt:lpstr>ITEM13_3Q11</vt:lpstr>
      <vt:lpstr>Tags!ITEM13_3Q12</vt:lpstr>
      <vt:lpstr>ITEM13_3Q12</vt:lpstr>
      <vt:lpstr>Tags!ITEM13_3Q13</vt:lpstr>
      <vt:lpstr>ITEM13_3Q13</vt:lpstr>
      <vt:lpstr>Tags!ITEM13_3Q14</vt:lpstr>
      <vt:lpstr>ITEM13_3Q14</vt:lpstr>
      <vt:lpstr>Tags!ITEM13_3Q15</vt:lpstr>
      <vt:lpstr>ITEM13_3Q15</vt:lpstr>
      <vt:lpstr>Tags!ITEM13_3Q16</vt:lpstr>
      <vt:lpstr>ITEM13_3Q16</vt:lpstr>
      <vt:lpstr>Tags!ITEM13_3Q17</vt:lpstr>
      <vt:lpstr>ITEM13_3Q17</vt:lpstr>
      <vt:lpstr>Tags!ITEM13_3Q18</vt:lpstr>
      <vt:lpstr>ITEM13_3Q18</vt:lpstr>
      <vt:lpstr>Tags!ITEM13_3Q19</vt:lpstr>
      <vt:lpstr>ITEM13_3Q19</vt:lpstr>
      <vt:lpstr>Tags!ITEM13_3Q20</vt:lpstr>
      <vt:lpstr>ITEM13_3Q20</vt:lpstr>
      <vt:lpstr>ITEM13_3Q21</vt:lpstr>
      <vt:lpstr>ITEM13_3Q22</vt:lpstr>
      <vt:lpstr>ITEM13_3Q23</vt:lpstr>
      <vt:lpstr>ITEM13_3Q24</vt:lpstr>
      <vt:lpstr>Tags!ITEM13_4Q00</vt:lpstr>
      <vt:lpstr>ITEM13_4Q00</vt:lpstr>
      <vt:lpstr>Tags!ITEM13_4Q01</vt:lpstr>
      <vt:lpstr>ITEM13_4Q01</vt:lpstr>
      <vt:lpstr>Tags!ITEM13_4Q02</vt:lpstr>
      <vt:lpstr>ITEM13_4Q02</vt:lpstr>
      <vt:lpstr>Tags!ITEM13_4Q03</vt:lpstr>
      <vt:lpstr>ITEM13_4Q03</vt:lpstr>
      <vt:lpstr>Tags!ITEM13_4Q04</vt:lpstr>
      <vt:lpstr>ITEM13_4Q04</vt:lpstr>
      <vt:lpstr>Tags!ITEM13_4Q05</vt:lpstr>
      <vt:lpstr>ITEM13_4Q05</vt:lpstr>
      <vt:lpstr>Tags!ITEM13_4Q06</vt:lpstr>
      <vt:lpstr>ITEM13_4Q06</vt:lpstr>
      <vt:lpstr>Tags!ITEM13_4Q07</vt:lpstr>
      <vt:lpstr>ITEM13_4Q07</vt:lpstr>
      <vt:lpstr>Tags!ITEM13_4Q08</vt:lpstr>
      <vt:lpstr>ITEM13_4Q08</vt:lpstr>
      <vt:lpstr>Tags!ITEM13_4Q09</vt:lpstr>
      <vt:lpstr>ITEM13_4Q09</vt:lpstr>
      <vt:lpstr>Tags!ITEM13_4Q10</vt:lpstr>
      <vt:lpstr>ITEM13_4Q10</vt:lpstr>
      <vt:lpstr>Tags!ITEM13_4Q11</vt:lpstr>
      <vt:lpstr>ITEM13_4Q11</vt:lpstr>
      <vt:lpstr>Tags!ITEM13_4Q12</vt:lpstr>
      <vt:lpstr>ITEM13_4Q12</vt:lpstr>
      <vt:lpstr>Tags!ITEM13_4Q13</vt:lpstr>
      <vt:lpstr>ITEM13_4Q13</vt:lpstr>
      <vt:lpstr>Tags!ITEM13_4Q14</vt:lpstr>
      <vt:lpstr>ITEM13_4Q14</vt:lpstr>
      <vt:lpstr>Tags!ITEM13_4Q15</vt:lpstr>
      <vt:lpstr>ITEM13_4Q15</vt:lpstr>
      <vt:lpstr>Tags!ITEM13_4Q16</vt:lpstr>
      <vt:lpstr>ITEM13_4Q16</vt:lpstr>
      <vt:lpstr>Tags!ITEM13_4Q17</vt:lpstr>
      <vt:lpstr>ITEM13_4Q17</vt:lpstr>
      <vt:lpstr>Tags!ITEM13_4Q18</vt:lpstr>
      <vt:lpstr>ITEM13_4Q18</vt:lpstr>
      <vt:lpstr>Tags!ITEM13_4Q19</vt:lpstr>
      <vt:lpstr>ITEM13_4Q19</vt:lpstr>
      <vt:lpstr>Tags!ITEM13_4Q20</vt:lpstr>
      <vt:lpstr>ITEM13_4Q20</vt:lpstr>
      <vt:lpstr>ITEM13_4Q21</vt:lpstr>
      <vt:lpstr>ITEM13_4Q22</vt:lpstr>
      <vt:lpstr>ITEM13_4Q23</vt:lpstr>
      <vt:lpstr>ITEM13_4Q24</vt:lpstr>
      <vt:lpstr>ITEM14_1995</vt:lpstr>
      <vt:lpstr>ITEM14_1996</vt:lpstr>
      <vt:lpstr>ITEM14_1997</vt:lpstr>
      <vt:lpstr>ITEM14_1998</vt:lpstr>
      <vt:lpstr>ITEM14_1999</vt:lpstr>
      <vt:lpstr>Tags!ITEM14_1Q00</vt:lpstr>
      <vt:lpstr>ITEM14_1Q00</vt:lpstr>
      <vt:lpstr>Tags!ITEM14_1Q01</vt:lpstr>
      <vt:lpstr>ITEM14_1Q01</vt:lpstr>
      <vt:lpstr>Tags!ITEM14_1Q02</vt:lpstr>
      <vt:lpstr>ITEM14_1Q02</vt:lpstr>
      <vt:lpstr>Tags!ITEM14_1Q03</vt:lpstr>
      <vt:lpstr>ITEM14_1Q03</vt:lpstr>
      <vt:lpstr>Tags!ITEM14_1Q04</vt:lpstr>
      <vt:lpstr>ITEM14_1Q04</vt:lpstr>
      <vt:lpstr>Tags!ITEM14_1Q05</vt:lpstr>
      <vt:lpstr>ITEM14_1Q05</vt:lpstr>
      <vt:lpstr>Tags!ITEM14_1Q06</vt:lpstr>
      <vt:lpstr>ITEM14_1Q06</vt:lpstr>
      <vt:lpstr>Tags!ITEM14_1Q07</vt:lpstr>
      <vt:lpstr>ITEM14_1Q07</vt:lpstr>
      <vt:lpstr>Tags!ITEM14_1Q08</vt:lpstr>
      <vt:lpstr>ITEM14_1Q08</vt:lpstr>
      <vt:lpstr>Tags!ITEM14_1Q09</vt:lpstr>
      <vt:lpstr>ITEM14_1Q09</vt:lpstr>
      <vt:lpstr>Tags!ITEM14_1Q10</vt:lpstr>
      <vt:lpstr>ITEM14_1Q10</vt:lpstr>
      <vt:lpstr>Tags!ITEM14_1Q11</vt:lpstr>
      <vt:lpstr>ITEM14_1Q11</vt:lpstr>
      <vt:lpstr>Tags!ITEM14_1Q12</vt:lpstr>
      <vt:lpstr>ITEM14_1Q12</vt:lpstr>
      <vt:lpstr>Tags!ITEM14_1Q13</vt:lpstr>
      <vt:lpstr>ITEM14_1Q13</vt:lpstr>
      <vt:lpstr>Tags!ITEM14_1Q14</vt:lpstr>
      <vt:lpstr>ITEM14_1Q14</vt:lpstr>
      <vt:lpstr>Tags!ITEM14_1Q15</vt:lpstr>
      <vt:lpstr>ITEM14_1Q15</vt:lpstr>
      <vt:lpstr>Tags!ITEM14_1Q16</vt:lpstr>
      <vt:lpstr>ITEM14_1Q16</vt:lpstr>
      <vt:lpstr>Tags!ITEM14_1Q17</vt:lpstr>
      <vt:lpstr>ITEM14_1Q17</vt:lpstr>
      <vt:lpstr>Tags!ITEM14_1Q18</vt:lpstr>
      <vt:lpstr>ITEM14_1Q18</vt:lpstr>
      <vt:lpstr>Tags!ITEM14_1Q19</vt:lpstr>
      <vt:lpstr>ITEM14_1Q19</vt:lpstr>
      <vt:lpstr>Tags!ITEM14_1Q20</vt:lpstr>
      <vt:lpstr>ITEM14_1Q20</vt:lpstr>
      <vt:lpstr>ITEM14_1Q21</vt:lpstr>
      <vt:lpstr>ITEM14_1Q22</vt:lpstr>
      <vt:lpstr>ITEM14_1Q23</vt:lpstr>
      <vt:lpstr>ITEM14_1Q24</vt:lpstr>
      <vt:lpstr>Tags!ITEM14_2000</vt:lpstr>
      <vt:lpstr>ITEM14_2000</vt:lpstr>
      <vt:lpstr>Tags!ITEM14_2001</vt:lpstr>
      <vt:lpstr>ITEM14_2001</vt:lpstr>
      <vt:lpstr>Tags!ITEM14_2002</vt:lpstr>
      <vt:lpstr>ITEM14_2002</vt:lpstr>
      <vt:lpstr>Tags!ITEM14_2003</vt:lpstr>
      <vt:lpstr>ITEM14_2003</vt:lpstr>
      <vt:lpstr>Tags!ITEM14_2004</vt:lpstr>
      <vt:lpstr>ITEM14_2004</vt:lpstr>
      <vt:lpstr>Tags!ITEM14_2005</vt:lpstr>
      <vt:lpstr>ITEM14_2005</vt:lpstr>
      <vt:lpstr>Tags!ITEM14_2006</vt:lpstr>
      <vt:lpstr>ITEM14_2006</vt:lpstr>
      <vt:lpstr>Tags!ITEM14_2007</vt:lpstr>
      <vt:lpstr>ITEM14_2007</vt:lpstr>
      <vt:lpstr>Tags!ITEM14_2008</vt:lpstr>
      <vt:lpstr>ITEM14_2008</vt:lpstr>
      <vt:lpstr>Tags!ITEM14_2009</vt:lpstr>
      <vt:lpstr>ITEM14_2009</vt:lpstr>
      <vt:lpstr>Tags!ITEM14_2010</vt:lpstr>
      <vt:lpstr>ITEM14_2010</vt:lpstr>
      <vt:lpstr>Tags!ITEM14_2011</vt:lpstr>
      <vt:lpstr>ITEM14_2011</vt:lpstr>
      <vt:lpstr>Tags!ITEM14_2012</vt:lpstr>
      <vt:lpstr>ITEM14_2012</vt:lpstr>
      <vt:lpstr>Tags!ITEM14_2013</vt:lpstr>
      <vt:lpstr>ITEM14_2013</vt:lpstr>
      <vt:lpstr>Tags!ITEM14_2014</vt:lpstr>
      <vt:lpstr>ITEM14_2014</vt:lpstr>
      <vt:lpstr>ITEM14_2015</vt:lpstr>
      <vt:lpstr>Tags!ITEM14_2016</vt:lpstr>
      <vt:lpstr>ITEM14_2016</vt:lpstr>
      <vt:lpstr>Tags!ITEM14_2017</vt:lpstr>
      <vt:lpstr>ITEM14_2017</vt:lpstr>
      <vt:lpstr>Tags!ITEM14_2018</vt:lpstr>
      <vt:lpstr>ITEM14_2018</vt:lpstr>
      <vt:lpstr>Tags!ITEM14_2019</vt:lpstr>
      <vt:lpstr>ITEM14_2019</vt:lpstr>
      <vt:lpstr>Tags!ITEM14_2020</vt:lpstr>
      <vt:lpstr>ITEM14_2020</vt:lpstr>
      <vt:lpstr>ITEM14_2021</vt:lpstr>
      <vt:lpstr>ITEM14_2022</vt:lpstr>
      <vt:lpstr>ITEM14_2023</vt:lpstr>
      <vt:lpstr>ITEM14_2024</vt:lpstr>
      <vt:lpstr>Tags!ITEM14_2Q00</vt:lpstr>
      <vt:lpstr>ITEM14_2Q00</vt:lpstr>
      <vt:lpstr>Tags!ITEM14_2Q01</vt:lpstr>
      <vt:lpstr>ITEM14_2Q01</vt:lpstr>
      <vt:lpstr>Tags!ITEM14_2Q02</vt:lpstr>
      <vt:lpstr>ITEM14_2Q02</vt:lpstr>
      <vt:lpstr>Tags!ITEM14_2Q03</vt:lpstr>
      <vt:lpstr>ITEM14_2Q03</vt:lpstr>
      <vt:lpstr>Tags!ITEM14_2Q04</vt:lpstr>
      <vt:lpstr>ITEM14_2Q04</vt:lpstr>
      <vt:lpstr>Tags!ITEM14_2Q05</vt:lpstr>
      <vt:lpstr>ITEM14_2Q05</vt:lpstr>
      <vt:lpstr>Tags!ITEM14_2Q06</vt:lpstr>
      <vt:lpstr>ITEM14_2Q06</vt:lpstr>
      <vt:lpstr>Tags!ITEM14_2Q07</vt:lpstr>
      <vt:lpstr>ITEM14_2Q07</vt:lpstr>
      <vt:lpstr>Tags!ITEM14_2Q08</vt:lpstr>
      <vt:lpstr>ITEM14_2Q08</vt:lpstr>
      <vt:lpstr>Tags!ITEM14_2Q09</vt:lpstr>
      <vt:lpstr>ITEM14_2Q09</vt:lpstr>
      <vt:lpstr>Tags!ITEM14_2Q10</vt:lpstr>
      <vt:lpstr>ITEM14_2Q10</vt:lpstr>
      <vt:lpstr>Tags!ITEM14_2Q11</vt:lpstr>
      <vt:lpstr>ITEM14_2Q11</vt:lpstr>
      <vt:lpstr>Tags!ITEM14_2Q12</vt:lpstr>
      <vt:lpstr>ITEM14_2Q12</vt:lpstr>
      <vt:lpstr>Tags!ITEM14_2Q13</vt:lpstr>
      <vt:lpstr>ITEM14_2Q13</vt:lpstr>
      <vt:lpstr>Tags!ITEM14_2Q14</vt:lpstr>
      <vt:lpstr>ITEM14_2Q14</vt:lpstr>
      <vt:lpstr>Tags!ITEM14_2Q15</vt:lpstr>
      <vt:lpstr>ITEM14_2Q15</vt:lpstr>
      <vt:lpstr>Tags!ITEM14_2Q16</vt:lpstr>
      <vt:lpstr>ITEM14_2Q16</vt:lpstr>
      <vt:lpstr>Tags!ITEM14_2Q17</vt:lpstr>
      <vt:lpstr>ITEM14_2Q17</vt:lpstr>
      <vt:lpstr>Tags!ITEM14_2Q18</vt:lpstr>
      <vt:lpstr>ITEM14_2Q18</vt:lpstr>
      <vt:lpstr>Tags!ITEM14_2Q19</vt:lpstr>
      <vt:lpstr>ITEM14_2Q19</vt:lpstr>
      <vt:lpstr>Tags!ITEM14_2Q20</vt:lpstr>
      <vt:lpstr>ITEM14_2Q20</vt:lpstr>
      <vt:lpstr>ITEM14_2Q21</vt:lpstr>
      <vt:lpstr>ITEM14_2Q22</vt:lpstr>
      <vt:lpstr>ITEM14_2Q23</vt:lpstr>
      <vt:lpstr>ITEM14_2Q24</vt:lpstr>
      <vt:lpstr>Tags!ITEM14_3Q00</vt:lpstr>
      <vt:lpstr>ITEM14_3Q00</vt:lpstr>
      <vt:lpstr>Tags!ITEM14_3Q01</vt:lpstr>
      <vt:lpstr>ITEM14_3Q01</vt:lpstr>
      <vt:lpstr>Tags!ITEM14_3Q02</vt:lpstr>
      <vt:lpstr>ITEM14_3Q02</vt:lpstr>
      <vt:lpstr>Tags!ITEM14_3Q03</vt:lpstr>
      <vt:lpstr>ITEM14_3Q03</vt:lpstr>
      <vt:lpstr>Tags!ITEM14_3Q04</vt:lpstr>
      <vt:lpstr>ITEM14_3Q04</vt:lpstr>
      <vt:lpstr>Tags!ITEM14_3Q05</vt:lpstr>
      <vt:lpstr>ITEM14_3Q05</vt:lpstr>
      <vt:lpstr>Tags!ITEM14_3Q06</vt:lpstr>
      <vt:lpstr>ITEM14_3Q06</vt:lpstr>
      <vt:lpstr>Tags!ITEM14_3Q07</vt:lpstr>
      <vt:lpstr>ITEM14_3Q07</vt:lpstr>
      <vt:lpstr>Tags!ITEM14_3Q08</vt:lpstr>
      <vt:lpstr>ITEM14_3Q08</vt:lpstr>
      <vt:lpstr>Tags!ITEM14_3Q09</vt:lpstr>
      <vt:lpstr>ITEM14_3Q09</vt:lpstr>
      <vt:lpstr>Tags!ITEM14_3Q10</vt:lpstr>
      <vt:lpstr>ITEM14_3Q10</vt:lpstr>
      <vt:lpstr>Tags!ITEM14_3Q11</vt:lpstr>
      <vt:lpstr>ITEM14_3Q11</vt:lpstr>
      <vt:lpstr>Tags!ITEM14_3Q12</vt:lpstr>
      <vt:lpstr>ITEM14_3Q12</vt:lpstr>
      <vt:lpstr>Tags!ITEM14_3Q13</vt:lpstr>
      <vt:lpstr>ITEM14_3Q13</vt:lpstr>
      <vt:lpstr>Tags!ITEM14_3Q14</vt:lpstr>
      <vt:lpstr>ITEM14_3Q14</vt:lpstr>
      <vt:lpstr>Tags!ITEM14_3Q15</vt:lpstr>
      <vt:lpstr>ITEM14_3Q15</vt:lpstr>
      <vt:lpstr>Tags!ITEM14_3Q16</vt:lpstr>
      <vt:lpstr>ITEM14_3Q16</vt:lpstr>
      <vt:lpstr>Tags!ITEM14_3Q17</vt:lpstr>
      <vt:lpstr>ITEM14_3Q17</vt:lpstr>
      <vt:lpstr>Tags!ITEM14_3Q18</vt:lpstr>
      <vt:lpstr>ITEM14_3Q18</vt:lpstr>
      <vt:lpstr>Tags!ITEM14_3Q19</vt:lpstr>
      <vt:lpstr>ITEM14_3Q19</vt:lpstr>
      <vt:lpstr>Tags!ITEM14_3Q20</vt:lpstr>
      <vt:lpstr>ITEM14_3Q20</vt:lpstr>
      <vt:lpstr>ITEM14_3Q21</vt:lpstr>
      <vt:lpstr>ITEM14_3Q22</vt:lpstr>
      <vt:lpstr>ITEM14_3Q23</vt:lpstr>
      <vt:lpstr>ITEM14_3Q24</vt:lpstr>
      <vt:lpstr>Tags!ITEM14_4Q00</vt:lpstr>
      <vt:lpstr>ITEM14_4Q00</vt:lpstr>
      <vt:lpstr>Tags!ITEM14_4Q01</vt:lpstr>
      <vt:lpstr>ITEM14_4Q01</vt:lpstr>
      <vt:lpstr>Tags!ITEM14_4Q02</vt:lpstr>
      <vt:lpstr>ITEM14_4Q02</vt:lpstr>
      <vt:lpstr>Tags!ITEM14_4Q03</vt:lpstr>
      <vt:lpstr>ITEM14_4Q03</vt:lpstr>
      <vt:lpstr>Tags!ITEM14_4Q04</vt:lpstr>
      <vt:lpstr>ITEM14_4Q04</vt:lpstr>
      <vt:lpstr>Tags!ITEM14_4Q05</vt:lpstr>
      <vt:lpstr>ITEM14_4Q05</vt:lpstr>
      <vt:lpstr>Tags!ITEM14_4Q06</vt:lpstr>
      <vt:lpstr>ITEM14_4Q06</vt:lpstr>
      <vt:lpstr>Tags!ITEM14_4Q07</vt:lpstr>
      <vt:lpstr>ITEM14_4Q07</vt:lpstr>
      <vt:lpstr>Tags!ITEM14_4Q08</vt:lpstr>
      <vt:lpstr>ITEM14_4Q08</vt:lpstr>
      <vt:lpstr>Tags!ITEM14_4Q09</vt:lpstr>
      <vt:lpstr>ITEM14_4Q09</vt:lpstr>
      <vt:lpstr>Tags!ITEM14_4Q10</vt:lpstr>
      <vt:lpstr>ITEM14_4Q10</vt:lpstr>
      <vt:lpstr>Tags!ITEM14_4Q11</vt:lpstr>
      <vt:lpstr>ITEM14_4Q11</vt:lpstr>
      <vt:lpstr>Tags!ITEM14_4Q12</vt:lpstr>
      <vt:lpstr>ITEM14_4Q12</vt:lpstr>
      <vt:lpstr>Tags!ITEM14_4Q13</vt:lpstr>
      <vt:lpstr>ITEM14_4Q13</vt:lpstr>
      <vt:lpstr>Tags!ITEM14_4Q14</vt:lpstr>
      <vt:lpstr>ITEM14_4Q14</vt:lpstr>
      <vt:lpstr>Tags!ITEM14_4Q15</vt:lpstr>
      <vt:lpstr>ITEM14_4Q15</vt:lpstr>
      <vt:lpstr>Tags!ITEM14_4Q16</vt:lpstr>
      <vt:lpstr>ITEM14_4Q16</vt:lpstr>
      <vt:lpstr>Tags!ITEM14_4Q17</vt:lpstr>
      <vt:lpstr>ITEM14_4Q17</vt:lpstr>
      <vt:lpstr>Tags!ITEM14_4Q18</vt:lpstr>
      <vt:lpstr>ITEM14_4Q18</vt:lpstr>
      <vt:lpstr>Tags!ITEM14_4Q19</vt:lpstr>
      <vt:lpstr>ITEM14_4Q19</vt:lpstr>
      <vt:lpstr>Tags!ITEM14_4Q20</vt:lpstr>
      <vt:lpstr>ITEM14_4Q20</vt:lpstr>
      <vt:lpstr>ITEM14_4Q21</vt:lpstr>
      <vt:lpstr>ITEM14_4Q22</vt:lpstr>
      <vt:lpstr>ITEM14_4Q23</vt:lpstr>
      <vt:lpstr>ITEM14_4Q24</vt:lpstr>
      <vt:lpstr>ITEM15_1995</vt:lpstr>
      <vt:lpstr>ITEM15_1996</vt:lpstr>
      <vt:lpstr>ITEM15_1997</vt:lpstr>
      <vt:lpstr>ITEM15_1998</vt:lpstr>
      <vt:lpstr>ITEM15_1999</vt:lpstr>
      <vt:lpstr>Tags!ITEM15_1Q00</vt:lpstr>
      <vt:lpstr>ITEM15_1Q00</vt:lpstr>
      <vt:lpstr>Tags!ITEM15_1Q01</vt:lpstr>
      <vt:lpstr>ITEM15_1Q01</vt:lpstr>
      <vt:lpstr>Tags!ITEM15_1Q02</vt:lpstr>
      <vt:lpstr>ITEM15_1Q02</vt:lpstr>
      <vt:lpstr>Tags!ITEM15_1Q03</vt:lpstr>
      <vt:lpstr>ITEM15_1Q03</vt:lpstr>
      <vt:lpstr>Tags!ITEM15_1Q04</vt:lpstr>
      <vt:lpstr>ITEM15_1Q04</vt:lpstr>
      <vt:lpstr>Tags!ITEM15_1Q05</vt:lpstr>
      <vt:lpstr>ITEM15_1Q05</vt:lpstr>
      <vt:lpstr>Tags!ITEM15_1Q06</vt:lpstr>
      <vt:lpstr>ITEM15_1Q06</vt:lpstr>
      <vt:lpstr>Tags!ITEM15_1Q07</vt:lpstr>
      <vt:lpstr>ITEM15_1Q07</vt:lpstr>
      <vt:lpstr>Tags!ITEM15_1Q08</vt:lpstr>
      <vt:lpstr>ITEM15_1Q08</vt:lpstr>
      <vt:lpstr>Tags!ITEM15_1Q09</vt:lpstr>
      <vt:lpstr>ITEM15_1Q09</vt:lpstr>
      <vt:lpstr>Tags!ITEM15_1Q10</vt:lpstr>
      <vt:lpstr>ITEM15_1Q10</vt:lpstr>
      <vt:lpstr>Tags!ITEM15_1Q11</vt:lpstr>
      <vt:lpstr>ITEM15_1Q11</vt:lpstr>
      <vt:lpstr>Tags!ITEM15_1Q12</vt:lpstr>
      <vt:lpstr>ITEM15_1Q12</vt:lpstr>
      <vt:lpstr>Tags!ITEM15_1Q13</vt:lpstr>
      <vt:lpstr>ITEM15_1Q13</vt:lpstr>
      <vt:lpstr>Tags!ITEM15_1Q14</vt:lpstr>
      <vt:lpstr>ITEM15_1Q14</vt:lpstr>
      <vt:lpstr>Tags!ITEM15_1Q15</vt:lpstr>
      <vt:lpstr>ITEM15_1Q15</vt:lpstr>
      <vt:lpstr>Tags!ITEM15_1Q16</vt:lpstr>
      <vt:lpstr>ITEM15_1Q16</vt:lpstr>
      <vt:lpstr>Tags!ITEM15_1Q17</vt:lpstr>
      <vt:lpstr>ITEM15_1Q17</vt:lpstr>
      <vt:lpstr>Tags!ITEM15_1Q18</vt:lpstr>
      <vt:lpstr>ITEM15_1Q18</vt:lpstr>
      <vt:lpstr>Tags!ITEM15_1Q19</vt:lpstr>
      <vt:lpstr>ITEM15_1Q19</vt:lpstr>
      <vt:lpstr>Tags!ITEM15_1Q20</vt:lpstr>
      <vt:lpstr>ITEM15_1Q20</vt:lpstr>
      <vt:lpstr>ITEM15_1Q21</vt:lpstr>
      <vt:lpstr>ITEM15_1Q22</vt:lpstr>
      <vt:lpstr>ITEM15_1Q23</vt:lpstr>
      <vt:lpstr>ITEM15_1Q24</vt:lpstr>
      <vt:lpstr>Tags!ITEM15_2000</vt:lpstr>
      <vt:lpstr>ITEM15_2000</vt:lpstr>
      <vt:lpstr>Tags!ITEM15_2001</vt:lpstr>
      <vt:lpstr>ITEM15_2001</vt:lpstr>
      <vt:lpstr>Tags!ITEM15_2002</vt:lpstr>
      <vt:lpstr>ITEM15_2002</vt:lpstr>
      <vt:lpstr>Tags!ITEM15_2003</vt:lpstr>
      <vt:lpstr>ITEM15_2003</vt:lpstr>
      <vt:lpstr>Tags!ITEM15_2004</vt:lpstr>
      <vt:lpstr>ITEM15_2004</vt:lpstr>
      <vt:lpstr>Tags!ITEM15_2005</vt:lpstr>
      <vt:lpstr>ITEM15_2005</vt:lpstr>
      <vt:lpstr>Tags!ITEM15_2006</vt:lpstr>
      <vt:lpstr>ITEM15_2006</vt:lpstr>
      <vt:lpstr>Tags!ITEM15_2007</vt:lpstr>
      <vt:lpstr>ITEM15_2007</vt:lpstr>
      <vt:lpstr>Tags!ITEM15_2008</vt:lpstr>
      <vt:lpstr>ITEM15_2008</vt:lpstr>
      <vt:lpstr>Tags!ITEM15_2009</vt:lpstr>
      <vt:lpstr>ITEM15_2009</vt:lpstr>
      <vt:lpstr>Tags!ITEM15_2010</vt:lpstr>
      <vt:lpstr>ITEM15_2010</vt:lpstr>
      <vt:lpstr>Tags!ITEM15_2011</vt:lpstr>
      <vt:lpstr>ITEM15_2011</vt:lpstr>
      <vt:lpstr>Tags!ITEM15_2012</vt:lpstr>
      <vt:lpstr>ITEM15_2012</vt:lpstr>
      <vt:lpstr>Tags!ITEM15_2013</vt:lpstr>
      <vt:lpstr>ITEM15_2013</vt:lpstr>
      <vt:lpstr>Tags!ITEM15_2014</vt:lpstr>
      <vt:lpstr>ITEM15_2014</vt:lpstr>
      <vt:lpstr>ITEM15_2015</vt:lpstr>
      <vt:lpstr>Tags!ITEM15_2016</vt:lpstr>
      <vt:lpstr>ITEM15_2016</vt:lpstr>
      <vt:lpstr>Tags!ITEM15_2017</vt:lpstr>
      <vt:lpstr>ITEM15_2017</vt:lpstr>
      <vt:lpstr>Tags!ITEM15_2018</vt:lpstr>
      <vt:lpstr>ITEM15_2018</vt:lpstr>
      <vt:lpstr>Tags!ITEM15_2019</vt:lpstr>
      <vt:lpstr>ITEM15_2019</vt:lpstr>
      <vt:lpstr>Tags!ITEM15_2020</vt:lpstr>
      <vt:lpstr>ITEM15_2020</vt:lpstr>
      <vt:lpstr>ITEM15_2021</vt:lpstr>
      <vt:lpstr>ITEM15_2022</vt:lpstr>
      <vt:lpstr>ITEM15_2023</vt:lpstr>
      <vt:lpstr>ITEM15_2024</vt:lpstr>
      <vt:lpstr>Tags!ITEM15_2Q00</vt:lpstr>
      <vt:lpstr>ITEM15_2Q00</vt:lpstr>
      <vt:lpstr>Tags!ITEM15_2Q01</vt:lpstr>
      <vt:lpstr>ITEM15_2Q01</vt:lpstr>
      <vt:lpstr>Tags!ITEM15_2Q02</vt:lpstr>
      <vt:lpstr>ITEM15_2Q02</vt:lpstr>
      <vt:lpstr>Tags!ITEM15_2Q03</vt:lpstr>
      <vt:lpstr>ITEM15_2Q03</vt:lpstr>
      <vt:lpstr>Tags!ITEM15_2Q04</vt:lpstr>
      <vt:lpstr>ITEM15_2Q04</vt:lpstr>
      <vt:lpstr>Tags!ITEM15_2Q05</vt:lpstr>
      <vt:lpstr>ITEM15_2Q05</vt:lpstr>
      <vt:lpstr>Tags!ITEM15_2Q06</vt:lpstr>
      <vt:lpstr>ITEM15_2Q06</vt:lpstr>
      <vt:lpstr>Tags!ITEM15_2Q07</vt:lpstr>
      <vt:lpstr>ITEM15_2Q07</vt:lpstr>
      <vt:lpstr>Tags!ITEM15_2Q08</vt:lpstr>
      <vt:lpstr>ITEM15_2Q08</vt:lpstr>
      <vt:lpstr>Tags!ITEM15_2Q09</vt:lpstr>
      <vt:lpstr>ITEM15_2Q09</vt:lpstr>
      <vt:lpstr>Tags!ITEM15_2Q10</vt:lpstr>
      <vt:lpstr>ITEM15_2Q10</vt:lpstr>
      <vt:lpstr>Tags!ITEM15_2Q11</vt:lpstr>
      <vt:lpstr>ITEM15_2Q11</vt:lpstr>
      <vt:lpstr>Tags!ITEM15_2Q12</vt:lpstr>
      <vt:lpstr>ITEM15_2Q12</vt:lpstr>
      <vt:lpstr>Tags!ITEM15_2Q13</vt:lpstr>
      <vt:lpstr>ITEM15_2Q13</vt:lpstr>
      <vt:lpstr>Tags!ITEM15_2Q14</vt:lpstr>
      <vt:lpstr>ITEM15_2Q14</vt:lpstr>
      <vt:lpstr>Tags!ITEM15_2Q15</vt:lpstr>
      <vt:lpstr>ITEM15_2Q15</vt:lpstr>
      <vt:lpstr>Tags!ITEM15_2Q16</vt:lpstr>
      <vt:lpstr>ITEM15_2Q16</vt:lpstr>
      <vt:lpstr>Tags!ITEM15_2Q17</vt:lpstr>
      <vt:lpstr>ITEM15_2Q17</vt:lpstr>
      <vt:lpstr>Tags!ITEM15_2Q18</vt:lpstr>
      <vt:lpstr>ITEM15_2Q18</vt:lpstr>
      <vt:lpstr>Tags!ITEM15_2Q19</vt:lpstr>
      <vt:lpstr>ITEM15_2Q19</vt:lpstr>
      <vt:lpstr>Tags!ITEM15_2Q20</vt:lpstr>
      <vt:lpstr>ITEM15_2Q20</vt:lpstr>
      <vt:lpstr>ITEM15_2Q21</vt:lpstr>
      <vt:lpstr>ITEM15_2Q22</vt:lpstr>
      <vt:lpstr>ITEM15_2Q23</vt:lpstr>
      <vt:lpstr>ITEM15_2Q24</vt:lpstr>
      <vt:lpstr>Tags!ITEM15_3Q00</vt:lpstr>
      <vt:lpstr>ITEM15_3Q00</vt:lpstr>
      <vt:lpstr>Tags!ITEM15_3Q01</vt:lpstr>
      <vt:lpstr>ITEM15_3Q01</vt:lpstr>
      <vt:lpstr>Tags!ITEM15_3Q02</vt:lpstr>
      <vt:lpstr>ITEM15_3Q02</vt:lpstr>
      <vt:lpstr>Tags!ITEM15_3Q03</vt:lpstr>
      <vt:lpstr>ITEM15_3Q03</vt:lpstr>
      <vt:lpstr>Tags!ITEM15_3Q04</vt:lpstr>
      <vt:lpstr>ITEM15_3Q04</vt:lpstr>
      <vt:lpstr>Tags!ITEM15_3Q05</vt:lpstr>
      <vt:lpstr>ITEM15_3Q05</vt:lpstr>
      <vt:lpstr>Tags!ITEM15_3Q06</vt:lpstr>
      <vt:lpstr>ITEM15_3Q06</vt:lpstr>
      <vt:lpstr>Tags!ITEM15_3Q07</vt:lpstr>
      <vt:lpstr>ITEM15_3Q07</vt:lpstr>
      <vt:lpstr>Tags!ITEM15_3Q08</vt:lpstr>
      <vt:lpstr>ITEM15_3Q08</vt:lpstr>
      <vt:lpstr>Tags!ITEM15_3Q09</vt:lpstr>
      <vt:lpstr>ITEM15_3Q09</vt:lpstr>
      <vt:lpstr>Tags!ITEM15_3Q10</vt:lpstr>
      <vt:lpstr>ITEM15_3Q10</vt:lpstr>
      <vt:lpstr>Tags!ITEM15_3Q11</vt:lpstr>
      <vt:lpstr>ITEM15_3Q11</vt:lpstr>
      <vt:lpstr>Tags!ITEM15_3Q12</vt:lpstr>
      <vt:lpstr>ITEM15_3Q12</vt:lpstr>
      <vt:lpstr>Tags!ITEM15_3Q13</vt:lpstr>
      <vt:lpstr>ITEM15_3Q13</vt:lpstr>
      <vt:lpstr>Tags!ITEM15_3Q14</vt:lpstr>
      <vt:lpstr>ITEM15_3Q14</vt:lpstr>
      <vt:lpstr>Tags!ITEM15_3Q15</vt:lpstr>
      <vt:lpstr>ITEM15_3Q15</vt:lpstr>
      <vt:lpstr>Tags!ITEM15_3Q16</vt:lpstr>
      <vt:lpstr>ITEM15_3Q16</vt:lpstr>
      <vt:lpstr>Tags!ITEM15_3Q17</vt:lpstr>
      <vt:lpstr>ITEM15_3Q17</vt:lpstr>
      <vt:lpstr>Tags!ITEM15_3Q18</vt:lpstr>
      <vt:lpstr>ITEM15_3Q18</vt:lpstr>
      <vt:lpstr>Tags!ITEM15_3Q19</vt:lpstr>
      <vt:lpstr>ITEM15_3Q19</vt:lpstr>
      <vt:lpstr>Tags!ITEM15_3Q20</vt:lpstr>
      <vt:lpstr>ITEM15_3Q20</vt:lpstr>
      <vt:lpstr>ITEM15_3Q21</vt:lpstr>
      <vt:lpstr>ITEM15_3Q22</vt:lpstr>
      <vt:lpstr>ITEM15_3Q23</vt:lpstr>
      <vt:lpstr>ITEM15_3Q24</vt:lpstr>
      <vt:lpstr>Tags!ITEM15_4Q00</vt:lpstr>
      <vt:lpstr>ITEM15_4Q00</vt:lpstr>
      <vt:lpstr>Tags!ITEM15_4Q01</vt:lpstr>
      <vt:lpstr>ITEM15_4Q01</vt:lpstr>
      <vt:lpstr>Tags!ITEM15_4Q02</vt:lpstr>
      <vt:lpstr>ITEM15_4Q02</vt:lpstr>
      <vt:lpstr>Tags!ITEM15_4Q03</vt:lpstr>
      <vt:lpstr>ITEM15_4Q03</vt:lpstr>
      <vt:lpstr>Tags!ITEM15_4Q04</vt:lpstr>
      <vt:lpstr>ITEM15_4Q04</vt:lpstr>
      <vt:lpstr>Tags!ITEM15_4Q05</vt:lpstr>
      <vt:lpstr>ITEM15_4Q05</vt:lpstr>
      <vt:lpstr>Tags!ITEM15_4Q06</vt:lpstr>
      <vt:lpstr>ITEM15_4Q06</vt:lpstr>
      <vt:lpstr>Tags!ITEM15_4Q07</vt:lpstr>
      <vt:lpstr>ITEM15_4Q07</vt:lpstr>
      <vt:lpstr>Tags!ITEM15_4Q08</vt:lpstr>
      <vt:lpstr>ITEM15_4Q08</vt:lpstr>
      <vt:lpstr>Tags!ITEM15_4Q09</vt:lpstr>
      <vt:lpstr>ITEM15_4Q09</vt:lpstr>
      <vt:lpstr>Tags!ITEM15_4Q10</vt:lpstr>
      <vt:lpstr>ITEM15_4Q10</vt:lpstr>
      <vt:lpstr>Tags!ITEM15_4Q11</vt:lpstr>
      <vt:lpstr>ITEM15_4Q11</vt:lpstr>
      <vt:lpstr>Tags!ITEM15_4Q12</vt:lpstr>
      <vt:lpstr>ITEM15_4Q12</vt:lpstr>
      <vt:lpstr>Tags!ITEM15_4Q13</vt:lpstr>
      <vt:lpstr>ITEM15_4Q13</vt:lpstr>
      <vt:lpstr>Tags!ITEM15_4Q14</vt:lpstr>
      <vt:lpstr>ITEM15_4Q14</vt:lpstr>
      <vt:lpstr>Tags!ITEM15_4Q15</vt:lpstr>
      <vt:lpstr>ITEM15_4Q15</vt:lpstr>
      <vt:lpstr>Tags!ITEM15_4Q16</vt:lpstr>
      <vt:lpstr>ITEM15_4Q16</vt:lpstr>
      <vt:lpstr>Tags!ITEM15_4Q17</vt:lpstr>
      <vt:lpstr>ITEM15_4Q17</vt:lpstr>
      <vt:lpstr>Tags!ITEM15_4Q18</vt:lpstr>
      <vt:lpstr>ITEM15_4Q18</vt:lpstr>
      <vt:lpstr>Tags!ITEM15_4Q19</vt:lpstr>
      <vt:lpstr>ITEM15_4Q19</vt:lpstr>
      <vt:lpstr>Tags!ITEM15_4Q20</vt:lpstr>
      <vt:lpstr>ITEM15_4Q20</vt:lpstr>
      <vt:lpstr>ITEM15_4Q21</vt:lpstr>
      <vt:lpstr>ITEM15_4Q22</vt:lpstr>
      <vt:lpstr>ITEM15_4Q23</vt:lpstr>
      <vt:lpstr>ITEM15_4Q24</vt:lpstr>
      <vt:lpstr>ITEM16_1995</vt:lpstr>
      <vt:lpstr>ITEM16_1996</vt:lpstr>
      <vt:lpstr>ITEM16_1997</vt:lpstr>
      <vt:lpstr>ITEM16_1998</vt:lpstr>
      <vt:lpstr>ITEM16_1999</vt:lpstr>
      <vt:lpstr>Tags!ITEM16_1Q00</vt:lpstr>
      <vt:lpstr>ITEM16_1Q00</vt:lpstr>
      <vt:lpstr>Tags!ITEM16_1Q01</vt:lpstr>
      <vt:lpstr>ITEM16_1Q01</vt:lpstr>
      <vt:lpstr>Tags!ITEM16_1Q02</vt:lpstr>
      <vt:lpstr>ITEM16_1Q02</vt:lpstr>
      <vt:lpstr>Tags!ITEM16_1Q03</vt:lpstr>
      <vt:lpstr>ITEM16_1Q03</vt:lpstr>
      <vt:lpstr>Tags!ITEM16_1Q04</vt:lpstr>
      <vt:lpstr>ITEM16_1Q04</vt:lpstr>
      <vt:lpstr>Tags!ITEM16_1Q05</vt:lpstr>
      <vt:lpstr>ITEM16_1Q05</vt:lpstr>
      <vt:lpstr>Tags!ITEM16_1Q06</vt:lpstr>
      <vt:lpstr>ITEM16_1Q06</vt:lpstr>
      <vt:lpstr>Tags!ITEM16_1Q07</vt:lpstr>
      <vt:lpstr>ITEM16_1Q07</vt:lpstr>
      <vt:lpstr>Tags!ITEM16_1Q08</vt:lpstr>
      <vt:lpstr>ITEM16_1Q08</vt:lpstr>
      <vt:lpstr>Tags!ITEM16_1Q09</vt:lpstr>
      <vt:lpstr>ITEM16_1Q09</vt:lpstr>
      <vt:lpstr>Tags!ITEM16_1Q10</vt:lpstr>
      <vt:lpstr>ITEM16_1Q10</vt:lpstr>
      <vt:lpstr>Tags!ITEM16_1Q11</vt:lpstr>
      <vt:lpstr>ITEM16_1Q11</vt:lpstr>
      <vt:lpstr>Tags!ITEM16_1Q12</vt:lpstr>
      <vt:lpstr>ITEM16_1Q12</vt:lpstr>
      <vt:lpstr>Tags!ITEM16_1Q13</vt:lpstr>
      <vt:lpstr>ITEM16_1Q13</vt:lpstr>
      <vt:lpstr>Tags!ITEM16_1Q14</vt:lpstr>
      <vt:lpstr>ITEM16_1Q14</vt:lpstr>
      <vt:lpstr>Tags!ITEM16_1Q15</vt:lpstr>
      <vt:lpstr>ITEM16_1Q15</vt:lpstr>
      <vt:lpstr>Tags!ITEM16_1Q16</vt:lpstr>
      <vt:lpstr>ITEM16_1Q16</vt:lpstr>
      <vt:lpstr>Tags!ITEM16_1Q17</vt:lpstr>
      <vt:lpstr>ITEM16_1Q17</vt:lpstr>
      <vt:lpstr>Tags!ITEM16_1Q18</vt:lpstr>
      <vt:lpstr>ITEM16_1Q18</vt:lpstr>
      <vt:lpstr>Tags!ITEM16_1Q19</vt:lpstr>
      <vt:lpstr>ITEM16_1Q19</vt:lpstr>
      <vt:lpstr>Tags!ITEM16_1Q20</vt:lpstr>
      <vt:lpstr>ITEM16_1Q20</vt:lpstr>
      <vt:lpstr>ITEM16_1Q21</vt:lpstr>
      <vt:lpstr>ITEM16_1Q22</vt:lpstr>
      <vt:lpstr>ITEM16_1Q23</vt:lpstr>
      <vt:lpstr>ITEM16_1Q24</vt:lpstr>
      <vt:lpstr>Tags!ITEM16_2000</vt:lpstr>
      <vt:lpstr>ITEM16_2000</vt:lpstr>
      <vt:lpstr>Tags!ITEM16_2001</vt:lpstr>
      <vt:lpstr>ITEM16_2001</vt:lpstr>
      <vt:lpstr>Tags!ITEM16_2002</vt:lpstr>
      <vt:lpstr>ITEM16_2002</vt:lpstr>
      <vt:lpstr>Tags!ITEM16_2003</vt:lpstr>
      <vt:lpstr>ITEM16_2003</vt:lpstr>
      <vt:lpstr>Tags!ITEM16_2004</vt:lpstr>
      <vt:lpstr>ITEM16_2004</vt:lpstr>
      <vt:lpstr>Tags!ITEM16_2005</vt:lpstr>
      <vt:lpstr>ITEM16_2005</vt:lpstr>
      <vt:lpstr>Tags!ITEM16_2006</vt:lpstr>
      <vt:lpstr>ITEM16_2006</vt:lpstr>
      <vt:lpstr>Tags!ITEM16_2007</vt:lpstr>
      <vt:lpstr>ITEM16_2007</vt:lpstr>
      <vt:lpstr>Tags!ITEM16_2008</vt:lpstr>
      <vt:lpstr>ITEM16_2008</vt:lpstr>
      <vt:lpstr>Tags!ITEM16_2009</vt:lpstr>
      <vt:lpstr>ITEM16_2009</vt:lpstr>
      <vt:lpstr>Tags!ITEM16_2010</vt:lpstr>
      <vt:lpstr>ITEM16_2010</vt:lpstr>
      <vt:lpstr>Tags!ITEM16_2011</vt:lpstr>
      <vt:lpstr>ITEM16_2011</vt:lpstr>
      <vt:lpstr>Tags!ITEM16_2012</vt:lpstr>
      <vt:lpstr>ITEM16_2012</vt:lpstr>
      <vt:lpstr>Tags!ITEM16_2013</vt:lpstr>
      <vt:lpstr>ITEM16_2013</vt:lpstr>
      <vt:lpstr>Tags!ITEM16_2014</vt:lpstr>
      <vt:lpstr>ITEM16_2014</vt:lpstr>
      <vt:lpstr>ITEM16_2015</vt:lpstr>
      <vt:lpstr>Tags!ITEM16_2016</vt:lpstr>
      <vt:lpstr>ITEM16_2016</vt:lpstr>
      <vt:lpstr>Tags!ITEM16_2017</vt:lpstr>
      <vt:lpstr>ITEM16_2017</vt:lpstr>
      <vt:lpstr>Tags!ITEM16_2018</vt:lpstr>
      <vt:lpstr>ITEM16_2018</vt:lpstr>
      <vt:lpstr>Tags!ITEM16_2019</vt:lpstr>
      <vt:lpstr>ITEM16_2019</vt:lpstr>
      <vt:lpstr>Tags!ITEM16_2020</vt:lpstr>
      <vt:lpstr>ITEM16_2020</vt:lpstr>
      <vt:lpstr>ITEM16_2021</vt:lpstr>
      <vt:lpstr>ITEM16_2022</vt:lpstr>
      <vt:lpstr>ITEM16_2023</vt:lpstr>
      <vt:lpstr>ITEM16_2024</vt:lpstr>
      <vt:lpstr>Tags!ITEM16_2Q00</vt:lpstr>
      <vt:lpstr>ITEM16_2Q00</vt:lpstr>
      <vt:lpstr>Tags!ITEM16_2Q01</vt:lpstr>
      <vt:lpstr>ITEM16_2Q01</vt:lpstr>
      <vt:lpstr>Tags!ITEM16_2Q02</vt:lpstr>
      <vt:lpstr>ITEM16_2Q02</vt:lpstr>
      <vt:lpstr>Tags!ITEM16_2Q03</vt:lpstr>
      <vt:lpstr>ITEM16_2Q03</vt:lpstr>
      <vt:lpstr>Tags!ITEM16_2Q04</vt:lpstr>
      <vt:lpstr>ITEM16_2Q04</vt:lpstr>
      <vt:lpstr>Tags!ITEM16_2Q05</vt:lpstr>
      <vt:lpstr>ITEM16_2Q05</vt:lpstr>
      <vt:lpstr>Tags!ITEM16_2Q06</vt:lpstr>
      <vt:lpstr>ITEM16_2Q06</vt:lpstr>
      <vt:lpstr>Tags!ITEM16_2Q07</vt:lpstr>
      <vt:lpstr>ITEM16_2Q07</vt:lpstr>
      <vt:lpstr>Tags!ITEM16_2Q08</vt:lpstr>
      <vt:lpstr>ITEM16_2Q08</vt:lpstr>
      <vt:lpstr>Tags!ITEM16_2Q09</vt:lpstr>
      <vt:lpstr>ITEM16_2Q09</vt:lpstr>
      <vt:lpstr>Tags!ITEM16_2Q10</vt:lpstr>
      <vt:lpstr>ITEM16_2Q10</vt:lpstr>
      <vt:lpstr>Tags!ITEM16_2Q11</vt:lpstr>
      <vt:lpstr>ITEM16_2Q11</vt:lpstr>
      <vt:lpstr>Tags!ITEM16_2Q12</vt:lpstr>
      <vt:lpstr>ITEM16_2Q12</vt:lpstr>
      <vt:lpstr>Tags!ITEM16_2Q13</vt:lpstr>
      <vt:lpstr>ITEM16_2Q13</vt:lpstr>
      <vt:lpstr>Tags!ITEM16_2Q14</vt:lpstr>
      <vt:lpstr>ITEM16_2Q14</vt:lpstr>
      <vt:lpstr>Tags!ITEM16_2Q15</vt:lpstr>
      <vt:lpstr>ITEM16_2Q15</vt:lpstr>
      <vt:lpstr>Tags!ITEM16_2Q16</vt:lpstr>
      <vt:lpstr>ITEM16_2Q16</vt:lpstr>
      <vt:lpstr>Tags!ITEM16_2Q17</vt:lpstr>
      <vt:lpstr>ITEM16_2Q17</vt:lpstr>
      <vt:lpstr>Tags!ITEM16_2Q18</vt:lpstr>
      <vt:lpstr>ITEM16_2Q18</vt:lpstr>
      <vt:lpstr>Tags!ITEM16_2Q19</vt:lpstr>
      <vt:lpstr>ITEM16_2Q19</vt:lpstr>
      <vt:lpstr>Tags!ITEM16_2Q20</vt:lpstr>
      <vt:lpstr>ITEM16_2Q20</vt:lpstr>
      <vt:lpstr>ITEM16_2Q21</vt:lpstr>
      <vt:lpstr>ITEM16_2Q22</vt:lpstr>
      <vt:lpstr>ITEM16_2Q23</vt:lpstr>
      <vt:lpstr>ITEM16_2Q24</vt:lpstr>
      <vt:lpstr>Tags!ITEM16_3Q00</vt:lpstr>
      <vt:lpstr>ITEM16_3Q00</vt:lpstr>
      <vt:lpstr>Tags!ITEM16_3Q01</vt:lpstr>
      <vt:lpstr>ITEM16_3Q01</vt:lpstr>
      <vt:lpstr>Tags!ITEM16_3Q02</vt:lpstr>
      <vt:lpstr>ITEM16_3Q02</vt:lpstr>
      <vt:lpstr>Tags!ITEM16_3Q03</vt:lpstr>
      <vt:lpstr>ITEM16_3Q03</vt:lpstr>
      <vt:lpstr>Tags!ITEM16_3Q04</vt:lpstr>
      <vt:lpstr>ITEM16_3Q04</vt:lpstr>
      <vt:lpstr>Tags!ITEM16_3Q05</vt:lpstr>
      <vt:lpstr>ITEM16_3Q05</vt:lpstr>
      <vt:lpstr>Tags!ITEM16_3Q06</vt:lpstr>
      <vt:lpstr>ITEM16_3Q06</vt:lpstr>
      <vt:lpstr>Tags!ITEM16_3Q07</vt:lpstr>
      <vt:lpstr>ITEM16_3Q07</vt:lpstr>
      <vt:lpstr>Tags!ITEM16_3Q08</vt:lpstr>
      <vt:lpstr>ITEM16_3Q08</vt:lpstr>
      <vt:lpstr>Tags!ITEM16_3Q09</vt:lpstr>
      <vt:lpstr>ITEM16_3Q09</vt:lpstr>
      <vt:lpstr>Tags!ITEM16_3Q10</vt:lpstr>
      <vt:lpstr>ITEM16_3Q10</vt:lpstr>
      <vt:lpstr>Tags!ITEM16_3Q11</vt:lpstr>
      <vt:lpstr>ITEM16_3Q11</vt:lpstr>
      <vt:lpstr>Tags!ITEM16_3Q12</vt:lpstr>
      <vt:lpstr>ITEM16_3Q12</vt:lpstr>
      <vt:lpstr>Tags!ITEM16_3Q13</vt:lpstr>
      <vt:lpstr>ITEM16_3Q13</vt:lpstr>
      <vt:lpstr>Tags!ITEM16_3Q14</vt:lpstr>
      <vt:lpstr>ITEM16_3Q14</vt:lpstr>
      <vt:lpstr>Tags!ITEM16_3Q15</vt:lpstr>
      <vt:lpstr>ITEM16_3Q15</vt:lpstr>
      <vt:lpstr>Tags!ITEM16_3Q16</vt:lpstr>
      <vt:lpstr>ITEM16_3Q16</vt:lpstr>
      <vt:lpstr>Tags!ITEM16_3Q17</vt:lpstr>
      <vt:lpstr>ITEM16_3Q17</vt:lpstr>
      <vt:lpstr>Tags!ITEM16_3Q18</vt:lpstr>
      <vt:lpstr>ITEM16_3Q18</vt:lpstr>
      <vt:lpstr>Tags!ITEM16_3Q19</vt:lpstr>
      <vt:lpstr>ITEM16_3Q19</vt:lpstr>
      <vt:lpstr>Tags!ITEM16_3Q20</vt:lpstr>
      <vt:lpstr>ITEM16_3Q20</vt:lpstr>
      <vt:lpstr>ITEM16_3Q21</vt:lpstr>
      <vt:lpstr>ITEM16_3Q22</vt:lpstr>
      <vt:lpstr>ITEM16_3Q23</vt:lpstr>
      <vt:lpstr>ITEM16_3Q24</vt:lpstr>
      <vt:lpstr>Tags!ITEM16_4Q00</vt:lpstr>
      <vt:lpstr>ITEM16_4Q00</vt:lpstr>
      <vt:lpstr>Tags!ITEM16_4Q01</vt:lpstr>
      <vt:lpstr>ITEM16_4Q01</vt:lpstr>
      <vt:lpstr>Tags!ITEM16_4Q02</vt:lpstr>
      <vt:lpstr>ITEM16_4Q02</vt:lpstr>
      <vt:lpstr>Tags!ITEM16_4Q03</vt:lpstr>
      <vt:lpstr>ITEM16_4Q03</vt:lpstr>
      <vt:lpstr>Tags!ITEM16_4Q04</vt:lpstr>
      <vt:lpstr>ITEM16_4Q04</vt:lpstr>
      <vt:lpstr>Tags!ITEM16_4Q05</vt:lpstr>
      <vt:lpstr>ITEM16_4Q05</vt:lpstr>
      <vt:lpstr>Tags!ITEM16_4Q06</vt:lpstr>
      <vt:lpstr>ITEM16_4Q06</vt:lpstr>
      <vt:lpstr>Tags!ITEM16_4Q07</vt:lpstr>
      <vt:lpstr>ITEM16_4Q07</vt:lpstr>
      <vt:lpstr>Tags!ITEM16_4Q08</vt:lpstr>
      <vt:lpstr>ITEM16_4Q08</vt:lpstr>
      <vt:lpstr>Tags!ITEM16_4Q09</vt:lpstr>
      <vt:lpstr>ITEM16_4Q09</vt:lpstr>
      <vt:lpstr>Tags!ITEM16_4Q10</vt:lpstr>
      <vt:lpstr>ITEM16_4Q10</vt:lpstr>
      <vt:lpstr>Tags!ITEM16_4Q11</vt:lpstr>
      <vt:lpstr>ITEM16_4Q11</vt:lpstr>
      <vt:lpstr>Tags!ITEM16_4Q12</vt:lpstr>
      <vt:lpstr>ITEM16_4Q12</vt:lpstr>
      <vt:lpstr>Tags!ITEM16_4Q13</vt:lpstr>
      <vt:lpstr>ITEM16_4Q13</vt:lpstr>
      <vt:lpstr>Tags!ITEM16_4Q14</vt:lpstr>
      <vt:lpstr>ITEM16_4Q14</vt:lpstr>
      <vt:lpstr>Tags!ITEM16_4Q15</vt:lpstr>
      <vt:lpstr>ITEM16_4Q15</vt:lpstr>
      <vt:lpstr>Tags!ITEM16_4Q16</vt:lpstr>
      <vt:lpstr>ITEM16_4Q16</vt:lpstr>
      <vt:lpstr>Tags!ITEM16_4Q17</vt:lpstr>
      <vt:lpstr>ITEM16_4Q17</vt:lpstr>
      <vt:lpstr>Tags!ITEM16_4Q18</vt:lpstr>
      <vt:lpstr>ITEM16_4Q18</vt:lpstr>
      <vt:lpstr>Tags!ITEM16_4Q19</vt:lpstr>
      <vt:lpstr>ITEM16_4Q19</vt:lpstr>
      <vt:lpstr>Tags!ITEM16_4Q20</vt:lpstr>
      <vt:lpstr>ITEM16_4Q20</vt:lpstr>
      <vt:lpstr>ITEM16_4Q21</vt:lpstr>
      <vt:lpstr>ITEM16_4Q22</vt:lpstr>
      <vt:lpstr>ITEM16_4Q23</vt:lpstr>
      <vt:lpstr>ITEM16_4Q24</vt:lpstr>
      <vt:lpstr>ITEM17_1995</vt:lpstr>
      <vt:lpstr>ITEM17_1996</vt:lpstr>
      <vt:lpstr>ITEM17_1997</vt:lpstr>
      <vt:lpstr>ITEM17_1998</vt:lpstr>
      <vt:lpstr>ITEM17_1999</vt:lpstr>
      <vt:lpstr>Tags!ITEM17_1Q00</vt:lpstr>
      <vt:lpstr>ITEM17_1Q00</vt:lpstr>
      <vt:lpstr>Tags!ITEM17_1Q01</vt:lpstr>
      <vt:lpstr>ITEM17_1Q01</vt:lpstr>
      <vt:lpstr>Tags!ITEM17_1Q02</vt:lpstr>
      <vt:lpstr>ITEM17_1Q02</vt:lpstr>
      <vt:lpstr>Tags!ITEM17_1Q03</vt:lpstr>
      <vt:lpstr>ITEM17_1Q03</vt:lpstr>
      <vt:lpstr>Tags!ITEM17_1Q04</vt:lpstr>
      <vt:lpstr>ITEM17_1Q04</vt:lpstr>
      <vt:lpstr>Tags!ITEM17_1Q05</vt:lpstr>
      <vt:lpstr>ITEM17_1Q05</vt:lpstr>
      <vt:lpstr>Tags!ITEM17_1Q06</vt:lpstr>
      <vt:lpstr>ITEM17_1Q06</vt:lpstr>
      <vt:lpstr>Tags!ITEM17_1Q07</vt:lpstr>
      <vt:lpstr>ITEM17_1Q07</vt:lpstr>
      <vt:lpstr>Tags!ITEM17_1Q08</vt:lpstr>
      <vt:lpstr>ITEM17_1Q08</vt:lpstr>
      <vt:lpstr>Tags!ITEM17_1Q09</vt:lpstr>
      <vt:lpstr>ITEM17_1Q09</vt:lpstr>
      <vt:lpstr>Tags!ITEM17_1Q10</vt:lpstr>
      <vt:lpstr>Tags!ITEM17_1Q11</vt:lpstr>
      <vt:lpstr>ITEM17_1Q11</vt:lpstr>
      <vt:lpstr>Tags!ITEM17_1Q12</vt:lpstr>
      <vt:lpstr>ITEM17_1Q12</vt:lpstr>
      <vt:lpstr>Tags!ITEM17_1Q13</vt:lpstr>
      <vt:lpstr>ITEM17_1Q13</vt:lpstr>
      <vt:lpstr>Tags!ITEM17_1Q14</vt:lpstr>
      <vt:lpstr>ITEM17_1Q14</vt:lpstr>
      <vt:lpstr>Tags!ITEM17_1Q15</vt:lpstr>
      <vt:lpstr>ITEM17_1Q15</vt:lpstr>
      <vt:lpstr>Tags!ITEM17_1Q16</vt:lpstr>
      <vt:lpstr>ITEM17_1Q16</vt:lpstr>
      <vt:lpstr>Tags!ITEM17_1Q17</vt:lpstr>
      <vt:lpstr>ITEM17_1Q17</vt:lpstr>
      <vt:lpstr>Tags!ITEM17_1Q18</vt:lpstr>
      <vt:lpstr>ITEM17_1Q18</vt:lpstr>
      <vt:lpstr>Tags!ITEM17_1Q19</vt:lpstr>
      <vt:lpstr>ITEM17_1Q19</vt:lpstr>
      <vt:lpstr>Tags!ITEM17_1Q20</vt:lpstr>
      <vt:lpstr>ITEM17_1Q20</vt:lpstr>
      <vt:lpstr>ITEM17_1Q21</vt:lpstr>
      <vt:lpstr>ITEM17_1Q22</vt:lpstr>
      <vt:lpstr>ITEM17_1Q23</vt:lpstr>
      <vt:lpstr>ITEM17_1Q24</vt:lpstr>
      <vt:lpstr>Tags!ITEM17_2000</vt:lpstr>
      <vt:lpstr>ITEM17_2000</vt:lpstr>
      <vt:lpstr>Tags!ITEM17_2001</vt:lpstr>
      <vt:lpstr>ITEM17_2001</vt:lpstr>
      <vt:lpstr>Tags!ITEM17_2002</vt:lpstr>
      <vt:lpstr>ITEM17_2002</vt:lpstr>
      <vt:lpstr>Tags!ITEM17_2003</vt:lpstr>
      <vt:lpstr>ITEM17_2003</vt:lpstr>
      <vt:lpstr>Tags!ITEM17_2004</vt:lpstr>
      <vt:lpstr>ITEM17_2004</vt:lpstr>
      <vt:lpstr>Tags!ITEM17_2005</vt:lpstr>
      <vt:lpstr>ITEM17_2005</vt:lpstr>
      <vt:lpstr>Tags!ITEM17_2006</vt:lpstr>
      <vt:lpstr>ITEM17_2006</vt:lpstr>
      <vt:lpstr>Tags!ITEM17_2007</vt:lpstr>
      <vt:lpstr>ITEM17_2007</vt:lpstr>
      <vt:lpstr>Tags!ITEM17_2008</vt:lpstr>
      <vt:lpstr>ITEM17_2008</vt:lpstr>
      <vt:lpstr>Tags!ITEM17_2009</vt:lpstr>
      <vt:lpstr>ITEM17_2009</vt:lpstr>
      <vt:lpstr>Tags!ITEM17_2010</vt:lpstr>
      <vt:lpstr>ITEM17_2010</vt:lpstr>
      <vt:lpstr>Tags!ITEM17_2011</vt:lpstr>
      <vt:lpstr>ITEM17_2011</vt:lpstr>
      <vt:lpstr>Tags!ITEM17_2012</vt:lpstr>
      <vt:lpstr>ITEM17_2012</vt:lpstr>
      <vt:lpstr>Tags!ITEM17_2013</vt:lpstr>
      <vt:lpstr>ITEM17_2013</vt:lpstr>
      <vt:lpstr>Tags!ITEM17_2014</vt:lpstr>
      <vt:lpstr>ITEM17_2014</vt:lpstr>
      <vt:lpstr>ITEM17_2015</vt:lpstr>
      <vt:lpstr>Tags!ITEM17_2016</vt:lpstr>
      <vt:lpstr>ITEM17_2016</vt:lpstr>
      <vt:lpstr>Tags!ITEM17_2017</vt:lpstr>
      <vt:lpstr>ITEM17_2017</vt:lpstr>
      <vt:lpstr>Tags!ITEM17_2018</vt:lpstr>
      <vt:lpstr>ITEM17_2018</vt:lpstr>
      <vt:lpstr>Tags!ITEM17_2019</vt:lpstr>
      <vt:lpstr>ITEM17_2019</vt:lpstr>
      <vt:lpstr>Tags!ITEM17_2020</vt:lpstr>
      <vt:lpstr>ITEM17_2020</vt:lpstr>
      <vt:lpstr>ITEM17_2021</vt:lpstr>
      <vt:lpstr>ITEM17_2022</vt:lpstr>
      <vt:lpstr>ITEM17_2023</vt:lpstr>
      <vt:lpstr>ITEM17_2024</vt:lpstr>
      <vt:lpstr>Tags!ITEM17_2Q00</vt:lpstr>
      <vt:lpstr>ITEM17_2Q00</vt:lpstr>
      <vt:lpstr>Tags!ITEM17_2Q01</vt:lpstr>
      <vt:lpstr>ITEM17_2Q01</vt:lpstr>
      <vt:lpstr>Tags!ITEM17_2Q02</vt:lpstr>
      <vt:lpstr>ITEM17_2Q02</vt:lpstr>
      <vt:lpstr>Tags!ITEM17_2Q03</vt:lpstr>
      <vt:lpstr>ITEM17_2Q03</vt:lpstr>
      <vt:lpstr>Tags!ITEM17_2Q04</vt:lpstr>
      <vt:lpstr>ITEM17_2Q04</vt:lpstr>
      <vt:lpstr>Tags!ITEM17_2Q05</vt:lpstr>
      <vt:lpstr>ITEM17_2Q05</vt:lpstr>
      <vt:lpstr>Tags!ITEM17_2Q06</vt:lpstr>
      <vt:lpstr>ITEM17_2Q06</vt:lpstr>
      <vt:lpstr>Tags!ITEM17_2Q07</vt:lpstr>
      <vt:lpstr>ITEM17_2Q07</vt:lpstr>
      <vt:lpstr>Tags!ITEM17_2Q08</vt:lpstr>
      <vt:lpstr>ITEM17_2Q08</vt:lpstr>
      <vt:lpstr>Tags!ITEM17_2Q09</vt:lpstr>
      <vt:lpstr>ITEM17_2Q09</vt:lpstr>
      <vt:lpstr>Tags!ITEM17_2Q10</vt:lpstr>
      <vt:lpstr>Tags!ITEM17_2Q11</vt:lpstr>
      <vt:lpstr>ITEM17_2Q11</vt:lpstr>
      <vt:lpstr>Tags!ITEM17_2Q12</vt:lpstr>
      <vt:lpstr>ITEM17_2Q12</vt:lpstr>
      <vt:lpstr>Tags!ITEM17_2Q13</vt:lpstr>
      <vt:lpstr>ITEM17_2Q13</vt:lpstr>
      <vt:lpstr>Tags!ITEM17_2Q14</vt:lpstr>
      <vt:lpstr>ITEM17_2Q14</vt:lpstr>
      <vt:lpstr>Tags!ITEM17_2Q15</vt:lpstr>
      <vt:lpstr>ITEM17_2Q15</vt:lpstr>
      <vt:lpstr>Tags!ITEM17_2Q16</vt:lpstr>
      <vt:lpstr>ITEM17_2Q16</vt:lpstr>
      <vt:lpstr>Tags!ITEM17_2Q17</vt:lpstr>
      <vt:lpstr>ITEM17_2Q17</vt:lpstr>
      <vt:lpstr>Tags!ITEM17_2Q18</vt:lpstr>
      <vt:lpstr>ITEM17_2Q18</vt:lpstr>
      <vt:lpstr>Tags!ITEM17_2Q19</vt:lpstr>
      <vt:lpstr>ITEM17_2Q19</vt:lpstr>
      <vt:lpstr>Tags!ITEM17_2Q20</vt:lpstr>
      <vt:lpstr>ITEM17_2Q20</vt:lpstr>
      <vt:lpstr>ITEM17_2Q21</vt:lpstr>
      <vt:lpstr>ITEM17_2Q22</vt:lpstr>
      <vt:lpstr>ITEM17_2Q23</vt:lpstr>
      <vt:lpstr>ITEM17_2Q24</vt:lpstr>
      <vt:lpstr>Tags!ITEM17_3Q00</vt:lpstr>
      <vt:lpstr>ITEM17_3Q00</vt:lpstr>
      <vt:lpstr>Tags!ITEM17_3Q01</vt:lpstr>
      <vt:lpstr>ITEM17_3Q01</vt:lpstr>
      <vt:lpstr>Tags!ITEM17_3Q02</vt:lpstr>
      <vt:lpstr>ITEM17_3Q02</vt:lpstr>
      <vt:lpstr>Tags!ITEM17_3Q03</vt:lpstr>
      <vt:lpstr>ITEM17_3Q03</vt:lpstr>
      <vt:lpstr>Tags!ITEM17_3Q04</vt:lpstr>
      <vt:lpstr>ITEM17_3Q04</vt:lpstr>
      <vt:lpstr>Tags!ITEM17_3Q05</vt:lpstr>
      <vt:lpstr>ITEM17_3Q05</vt:lpstr>
      <vt:lpstr>Tags!ITEM17_3Q06</vt:lpstr>
      <vt:lpstr>ITEM17_3Q06</vt:lpstr>
      <vt:lpstr>Tags!ITEM17_3Q07</vt:lpstr>
      <vt:lpstr>ITEM17_3Q07</vt:lpstr>
      <vt:lpstr>Tags!ITEM17_3Q08</vt:lpstr>
      <vt:lpstr>ITEM17_3Q08</vt:lpstr>
      <vt:lpstr>Tags!ITEM17_3Q09</vt:lpstr>
      <vt:lpstr>ITEM17_3Q09</vt:lpstr>
      <vt:lpstr>Tags!ITEM17_3Q10</vt:lpstr>
      <vt:lpstr>Tags!ITEM17_3Q11</vt:lpstr>
      <vt:lpstr>ITEM17_3Q11</vt:lpstr>
      <vt:lpstr>Tags!ITEM17_3Q12</vt:lpstr>
      <vt:lpstr>ITEM17_3Q12</vt:lpstr>
      <vt:lpstr>Tags!ITEM17_3Q13</vt:lpstr>
      <vt:lpstr>ITEM17_3Q13</vt:lpstr>
      <vt:lpstr>Tags!ITEM17_3Q14</vt:lpstr>
      <vt:lpstr>ITEM17_3Q14</vt:lpstr>
      <vt:lpstr>Tags!ITEM17_3Q15</vt:lpstr>
      <vt:lpstr>ITEM17_3Q15</vt:lpstr>
      <vt:lpstr>Tags!ITEM17_3Q16</vt:lpstr>
      <vt:lpstr>ITEM17_3Q16</vt:lpstr>
      <vt:lpstr>Tags!ITEM17_3Q17</vt:lpstr>
      <vt:lpstr>ITEM17_3Q17</vt:lpstr>
      <vt:lpstr>Tags!ITEM17_3Q18</vt:lpstr>
      <vt:lpstr>ITEM17_3Q18</vt:lpstr>
      <vt:lpstr>Tags!ITEM17_3Q19</vt:lpstr>
      <vt:lpstr>ITEM17_3Q19</vt:lpstr>
      <vt:lpstr>Tags!ITEM17_3Q20</vt:lpstr>
      <vt:lpstr>ITEM17_3Q20</vt:lpstr>
      <vt:lpstr>ITEM17_3Q21</vt:lpstr>
      <vt:lpstr>ITEM17_3Q22</vt:lpstr>
      <vt:lpstr>ITEM17_3Q23</vt:lpstr>
      <vt:lpstr>ITEM17_3Q24</vt:lpstr>
      <vt:lpstr>Tags!ITEM17_4Q00</vt:lpstr>
      <vt:lpstr>ITEM17_4Q00</vt:lpstr>
      <vt:lpstr>Tags!ITEM17_4Q01</vt:lpstr>
      <vt:lpstr>ITEM17_4Q01</vt:lpstr>
      <vt:lpstr>Tags!ITEM17_4Q02</vt:lpstr>
      <vt:lpstr>ITEM17_4Q02</vt:lpstr>
      <vt:lpstr>Tags!ITEM17_4Q03</vt:lpstr>
      <vt:lpstr>ITEM17_4Q03</vt:lpstr>
      <vt:lpstr>Tags!ITEM17_4Q04</vt:lpstr>
      <vt:lpstr>ITEM17_4Q04</vt:lpstr>
      <vt:lpstr>Tags!ITEM17_4Q05</vt:lpstr>
      <vt:lpstr>ITEM17_4Q05</vt:lpstr>
      <vt:lpstr>Tags!ITEM17_4Q06</vt:lpstr>
      <vt:lpstr>ITEM17_4Q06</vt:lpstr>
      <vt:lpstr>Tags!ITEM17_4Q07</vt:lpstr>
      <vt:lpstr>ITEM17_4Q07</vt:lpstr>
      <vt:lpstr>Tags!ITEM17_4Q08</vt:lpstr>
      <vt:lpstr>ITEM17_4Q08</vt:lpstr>
      <vt:lpstr>Tags!ITEM17_4Q09</vt:lpstr>
      <vt:lpstr>ITEM17_4Q09</vt:lpstr>
      <vt:lpstr>Tags!ITEM17_4Q10</vt:lpstr>
      <vt:lpstr>Tags!ITEM17_4Q11</vt:lpstr>
      <vt:lpstr>ITEM17_4Q11</vt:lpstr>
      <vt:lpstr>Tags!ITEM17_4Q12</vt:lpstr>
      <vt:lpstr>ITEM17_4Q12</vt:lpstr>
      <vt:lpstr>Tags!ITEM17_4Q13</vt:lpstr>
      <vt:lpstr>ITEM17_4Q13</vt:lpstr>
      <vt:lpstr>Tags!ITEM17_4Q14</vt:lpstr>
      <vt:lpstr>ITEM17_4Q14</vt:lpstr>
      <vt:lpstr>Tags!ITEM17_4Q15</vt:lpstr>
      <vt:lpstr>ITEM17_4Q15</vt:lpstr>
      <vt:lpstr>Tags!ITEM17_4Q16</vt:lpstr>
      <vt:lpstr>ITEM17_4Q16</vt:lpstr>
      <vt:lpstr>Tags!ITEM17_4Q17</vt:lpstr>
      <vt:lpstr>ITEM17_4Q17</vt:lpstr>
      <vt:lpstr>Tags!ITEM17_4Q18</vt:lpstr>
      <vt:lpstr>ITEM17_4Q18</vt:lpstr>
      <vt:lpstr>Tags!ITEM17_4Q19</vt:lpstr>
      <vt:lpstr>ITEM17_4Q19</vt:lpstr>
      <vt:lpstr>Tags!ITEM17_4Q20</vt:lpstr>
      <vt:lpstr>ITEM17_4Q20</vt:lpstr>
      <vt:lpstr>ITEM17_4Q21</vt:lpstr>
      <vt:lpstr>ITEM17_4Q22</vt:lpstr>
      <vt:lpstr>ITEM17_4Q23</vt:lpstr>
      <vt:lpstr>ITEM17_4Q24</vt:lpstr>
      <vt:lpstr>ITEM18_1995</vt:lpstr>
      <vt:lpstr>ITEM18_1996</vt:lpstr>
      <vt:lpstr>ITEM18_1997</vt:lpstr>
      <vt:lpstr>ITEM18_1998</vt:lpstr>
      <vt:lpstr>ITEM18_1999</vt:lpstr>
      <vt:lpstr>Tags!ITEM18_1Q00</vt:lpstr>
      <vt:lpstr>ITEM18_1Q00</vt:lpstr>
      <vt:lpstr>Tags!ITEM18_1Q01</vt:lpstr>
      <vt:lpstr>ITEM18_1Q01</vt:lpstr>
      <vt:lpstr>Tags!ITEM18_1Q02</vt:lpstr>
      <vt:lpstr>ITEM18_1Q02</vt:lpstr>
      <vt:lpstr>Tags!ITEM18_1Q03</vt:lpstr>
      <vt:lpstr>ITEM18_1Q03</vt:lpstr>
      <vt:lpstr>Tags!ITEM18_1Q04</vt:lpstr>
      <vt:lpstr>ITEM18_1Q04</vt:lpstr>
      <vt:lpstr>Tags!ITEM18_1Q05</vt:lpstr>
      <vt:lpstr>ITEM18_1Q05</vt:lpstr>
      <vt:lpstr>Tags!ITEM18_1Q06</vt:lpstr>
      <vt:lpstr>ITEM18_1Q06</vt:lpstr>
      <vt:lpstr>Tags!ITEM18_1Q07</vt:lpstr>
      <vt:lpstr>ITEM18_1Q07</vt:lpstr>
      <vt:lpstr>Tags!ITEM18_1Q08</vt:lpstr>
      <vt:lpstr>ITEM18_1Q08</vt:lpstr>
      <vt:lpstr>Tags!ITEM18_1Q09</vt:lpstr>
      <vt:lpstr>ITEM18_1Q09</vt:lpstr>
      <vt:lpstr>Tags!ITEM18_1Q10</vt:lpstr>
      <vt:lpstr>ITEM18_1Q10</vt:lpstr>
      <vt:lpstr>Tags!ITEM18_1Q11</vt:lpstr>
      <vt:lpstr>ITEM18_1Q11</vt:lpstr>
      <vt:lpstr>Tags!ITEM18_1Q12</vt:lpstr>
      <vt:lpstr>ITEM18_1Q12</vt:lpstr>
      <vt:lpstr>Tags!ITEM18_1Q13</vt:lpstr>
      <vt:lpstr>ITEM18_1Q13</vt:lpstr>
      <vt:lpstr>Tags!ITEM18_1Q14</vt:lpstr>
      <vt:lpstr>ITEM18_1Q14</vt:lpstr>
      <vt:lpstr>Tags!ITEM18_1Q15</vt:lpstr>
      <vt:lpstr>ITEM18_1Q15</vt:lpstr>
      <vt:lpstr>Tags!ITEM18_1Q16</vt:lpstr>
      <vt:lpstr>ITEM18_1Q16</vt:lpstr>
      <vt:lpstr>Tags!ITEM18_1Q17</vt:lpstr>
      <vt:lpstr>ITEM18_1Q17</vt:lpstr>
      <vt:lpstr>Tags!ITEM18_1Q18</vt:lpstr>
      <vt:lpstr>ITEM18_1Q18</vt:lpstr>
      <vt:lpstr>Tags!ITEM18_1Q19</vt:lpstr>
      <vt:lpstr>ITEM18_1Q19</vt:lpstr>
      <vt:lpstr>Tags!ITEM18_1Q20</vt:lpstr>
      <vt:lpstr>ITEM18_1Q20</vt:lpstr>
      <vt:lpstr>ITEM18_1Q21</vt:lpstr>
      <vt:lpstr>ITEM18_1Q22</vt:lpstr>
      <vt:lpstr>ITEM18_1Q23</vt:lpstr>
      <vt:lpstr>ITEM18_1Q24</vt:lpstr>
      <vt:lpstr>Tags!ITEM18_2000</vt:lpstr>
      <vt:lpstr>ITEM18_2000</vt:lpstr>
      <vt:lpstr>Tags!ITEM18_2001</vt:lpstr>
      <vt:lpstr>ITEM18_2001</vt:lpstr>
      <vt:lpstr>Tags!ITEM18_2002</vt:lpstr>
      <vt:lpstr>ITEM18_2002</vt:lpstr>
      <vt:lpstr>Tags!ITEM18_2003</vt:lpstr>
      <vt:lpstr>ITEM18_2003</vt:lpstr>
      <vt:lpstr>Tags!ITEM18_2004</vt:lpstr>
      <vt:lpstr>ITEM18_2004</vt:lpstr>
      <vt:lpstr>Tags!ITEM18_2005</vt:lpstr>
      <vt:lpstr>ITEM18_2005</vt:lpstr>
      <vt:lpstr>Tags!ITEM18_2006</vt:lpstr>
      <vt:lpstr>ITEM18_2006</vt:lpstr>
      <vt:lpstr>Tags!ITEM18_2007</vt:lpstr>
      <vt:lpstr>ITEM18_2007</vt:lpstr>
      <vt:lpstr>Tags!ITEM18_2008</vt:lpstr>
      <vt:lpstr>ITEM18_2008</vt:lpstr>
      <vt:lpstr>Tags!ITEM18_2009</vt:lpstr>
      <vt:lpstr>ITEM18_2009</vt:lpstr>
      <vt:lpstr>Tags!ITEM18_2010</vt:lpstr>
      <vt:lpstr>ITEM18_2010</vt:lpstr>
      <vt:lpstr>Tags!ITEM18_2011</vt:lpstr>
      <vt:lpstr>ITEM18_2011</vt:lpstr>
      <vt:lpstr>Tags!ITEM18_2012</vt:lpstr>
      <vt:lpstr>ITEM18_2012</vt:lpstr>
      <vt:lpstr>Tags!ITEM18_2013</vt:lpstr>
      <vt:lpstr>ITEM18_2013</vt:lpstr>
      <vt:lpstr>Tags!ITEM18_2014</vt:lpstr>
      <vt:lpstr>ITEM18_2014</vt:lpstr>
      <vt:lpstr>ITEM18_2015</vt:lpstr>
      <vt:lpstr>Tags!ITEM18_2016</vt:lpstr>
      <vt:lpstr>ITEM18_2016</vt:lpstr>
      <vt:lpstr>Tags!ITEM18_2017</vt:lpstr>
      <vt:lpstr>ITEM18_2017</vt:lpstr>
      <vt:lpstr>Tags!ITEM18_2018</vt:lpstr>
      <vt:lpstr>ITEM18_2018</vt:lpstr>
      <vt:lpstr>Tags!ITEM18_2019</vt:lpstr>
      <vt:lpstr>ITEM18_2019</vt:lpstr>
      <vt:lpstr>Tags!ITEM18_2020</vt:lpstr>
      <vt:lpstr>ITEM18_2020</vt:lpstr>
      <vt:lpstr>ITEM18_2021</vt:lpstr>
      <vt:lpstr>ITEM18_2022</vt:lpstr>
      <vt:lpstr>ITEM18_2023</vt:lpstr>
      <vt:lpstr>ITEM18_2024</vt:lpstr>
      <vt:lpstr>Tags!ITEM18_2Q00</vt:lpstr>
      <vt:lpstr>ITEM18_2Q00</vt:lpstr>
      <vt:lpstr>Tags!ITEM18_2Q01</vt:lpstr>
      <vt:lpstr>ITEM18_2Q01</vt:lpstr>
      <vt:lpstr>Tags!ITEM18_2Q02</vt:lpstr>
      <vt:lpstr>ITEM18_2Q02</vt:lpstr>
      <vt:lpstr>Tags!ITEM18_2Q03</vt:lpstr>
      <vt:lpstr>ITEM18_2Q03</vt:lpstr>
      <vt:lpstr>Tags!ITEM18_2Q04</vt:lpstr>
      <vt:lpstr>ITEM18_2Q04</vt:lpstr>
      <vt:lpstr>Tags!ITEM18_2Q05</vt:lpstr>
      <vt:lpstr>ITEM18_2Q05</vt:lpstr>
      <vt:lpstr>Tags!ITEM18_2Q06</vt:lpstr>
      <vt:lpstr>ITEM18_2Q06</vt:lpstr>
      <vt:lpstr>Tags!ITEM18_2Q07</vt:lpstr>
      <vt:lpstr>ITEM18_2Q07</vt:lpstr>
      <vt:lpstr>Tags!ITEM18_2Q08</vt:lpstr>
      <vt:lpstr>ITEM18_2Q08</vt:lpstr>
      <vt:lpstr>Tags!ITEM18_2Q09</vt:lpstr>
      <vt:lpstr>ITEM18_2Q09</vt:lpstr>
      <vt:lpstr>Tags!ITEM18_2Q10</vt:lpstr>
      <vt:lpstr>ITEM18_2Q10</vt:lpstr>
      <vt:lpstr>Tags!ITEM18_2Q11</vt:lpstr>
      <vt:lpstr>ITEM18_2Q11</vt:lpstr>
      <vt:lpstr>Tags!ITEM18_2Q12</vt:lpstr>
      <vt:lpstr>ITEM18_2Q12</vt:lpstr>
      <vt:lpstr>Tags!ITEM18_2Q13</vt:lpstr>
      <vt:lpstr>ITEM18_2Q13</vt:lpstr>
      <vt:lpstr>Tags!ITEM18_2Q14</vt:lpstr>
      <vt:lpstr>ITEM18_2Q14</vt:lpstr>
      <vt:lpstr>Tags!ITEM18_2Q15</vt:lpstr>
      <vt:lpstr>ITEM18_2Q15</vt:lpstr>
      <vt:lpstr>Tags!ITEM18_2Q16</vt:lpstr>
      <vt:lpstr>ITEM18_2Q16</vt:lpstr>
      <vt:lpstr>Tags!ITEM18_2Q17</vt:lpstr>
      <vt:lpstr>ITEM18_2Q17</vt:lpstr>
      <vt:lpstr>Tags!ITEM18_2Q18</vt:lpstr>
      <vt:lpstr>ITEM18_2Q18</vt:lpstr>
      <vt:lpstr>Tags!ITEM18_2Q19</vt:lpstr>
      <vt:lpstr>ITEM18_2Q19</vt:lpstr>
      <vt:lpstr>Tags!ITEM18_2Q20</vt:lpstr>
      <vt:lpstr>ITEM18_2Q20</vt:lpstr>
      <vt:lpstr>ITEM18_2Q21</vt:lpstr>
      <vt:lpstr>ITEM18_2Q22</vt:lpstr>
      <vt:lpstr>ITEM18_2Q23</vt:lpstr>
      <vt:lpstr>ITEM18_2Q24</vt:lpstr>
      <vt:lpstr>Tags!ITEM18_3Q00</vt:lpstr>
      <vt:lpstr>ITEM18_3Q00</vt:lpstr>
      <vt:lpstr>Tags!ITEM18_3Q01</vt:lpstr>
      <vt:lpstr>ITEM18_3Q01</vt:lpstr>
      <vt:lpstr>Tags!ITEM18_3Q02</vt:lpstr>
      <vt:lpstr>ITEM18_3Q02</vt:lpstr>
      <vt:lpstr>Tags!ITEM18_3Q03</vt:lpstr>
      <vt:lpstr>ITEM18_3Q03</vt:lpstr>
      <vt:lpstr>Tags!ITEM18_3Q04</vt:lpstr>
      <vt:lpstr>ITEM18_3Q04</vt:lpstr>
      <vt:lpstr>Tags!ITEM18_3Q05</vt:lpstr>
      <vt:lpstr>ITEM18_3Q05</vt:lpstr>
      <vt:lpstr>Tags!ITEM18_3Q06</vt:lpstr>
      <vt:lpstr>ITEM18_3Q06</vt:lpstr>
      <vt:lpstr>Tags!ITEM18_3Q07</vt:lpstr>
      <vt:lpstr>ITEM18_3Q07</vt:lpstr>
      <vt:lpstr>Tags!ITEM18_3Q08</vt:lpstr>
      <vt:lpstr>ITEM18_3Q08</vt:lpstr>
      <vt:lpstr>Tags!ITEM18_3Q09</vt:lpstr>
      <vt:lpstr>ITEM18_3Q09</vt:lpstr>
      <vt:lpstr>Tags!ITEM18_3Q10</vt:lpstr>
      <vt:lpstr>ITEM18_3Q10</vt:lpstr>
      <vt:lpstr>Tags!ITEM18_3Q11</vt:lpstr>
      <vt:lpstr>ITEM18_3Q11</vt:lpstr>
      <vt:lpstr>Tags!ITEM18_3Q12</vt:lpstr>
      <vt:lpstr>ITEM18_3Q12</vt:lpstr>
      <vt:lpstr>Tags!ITEM18_3Q13</vt:lpstr>
      <vt:lpstr>ITEM18_3Q13</vt:lpstr>
      <vt:lpstr>Tags!ITEM18_3Q14</vt:lpstr>
      <vt:lpstr>ITEM18_3Q14</vt:lpstr>
      <vt:lpstr>Tags!ITEM18_3Q15</vt:lpstr>
      <vt:lpstr>ITEM18_3Q15</vt:lpstr>
      <vt:lpstr>Tags!ITEM18_3Q16</vt:lpstr>
      <vt:lpstr>ITEM18_3Q16</vt:lpstr>
      <vt:lpstr>Tags!ITEM18_3Q17</vt:lpstr>
      <vt:lpstr>ITEM18_3Q17</vt:lpstr>
      <vt:lpstr>Tags!ITEM18_3Q18</vt:lpstr>
      <vt:lpstr>ITEM18_3Q18</vt:lpstr>
      <vt:lpstr>Tags!ITEM18_3Q19</vt:lpstr>
      <vt:lpstr>ITEM18_3Q19</vt:lpstr>
      <vt:lpstr>Tags!ITEM18_3Q20</vt:lpstr>
      <vt:lpstr>ITEM18_3Q20</vt:lpstr>
      <vt:lpstr>ITEM18_3Q21</vt:lpstr>
      <vt:lpstr>ITEM18_3Q22</vt:lpstr>
      <vt:lpstr>ITEM18_3Q23</vt:lpstr>
      <vt:lpstr>ITEM18_3Q24</vt:lpstr>
      <vt:lpstr>Tags!ITEM18_4Q00</vt:lpstr>
      <vt:lpstr>ITEM18_4Q00</vt:lpstr>
      <vt:lpstr>Tags!ITEM18_4Q01</vt:lpstr>
      <vt:lpstr>ITEM18_4Q01</vt:lpstr>
      <vt:lpstr>Tags!ITEM18_4Q02</vt:lpstr>
      <vt:lpstr>ITEM18_4Q02</vt:lpstr>
      <vt:lpstr>Tags!ITEM18_4Q03</vt:lpstr>
      <vt:lpstr>ITEM18_4Q03</vt:lpstr>
      <vt:lpstr>Tags!ITEM18_4Q04</vt:lpstr>
      <vt:lpstr>ITEM18_4Q04</vt:lpstr>
      <vt:lpstr>Tags!ITEM18_4Q05</vt:lpstr>
      <vt:lpstr>ITEM18_4Q05</vt:lpstr>
      <vt:lpstr>Tags!ITEM18_4Q06</vt:lpstr>
      <vt:lpstr>ITEM18_4Q06</vt:lpstr>
      <vt:lpstr>Tags!ITEM18_4Q07</vt:lpstr>
      <vt:lpstr>ITEM18_4Q07</vt:lpstr>
      <vt:lpstr>Tags!ITEM18_4Q08</vt:lpstr>
      <vt:lpstr>ITEM18_4Q08</vt:lpstr>
      <vt:lpstr>Tags!ITEM18_4Q09</vt:lpstr>
      <vt:lpstr>ITEM18_4Q09</vt:lpstr>
      <vt:lpstr>Tags!ITEM18_4Q10</vt:lpstr>
      <vt:lpstr>ITEM18_4Q10</vt:lpstr>
      <vt:lpstr>Tags!ITEM18_4Q11</vt:lpstr>
      <vt:lpstr>ITEM18_4Q11</vt:lpstr>
      <vt:lpstr>Tags!ITEM18_4Q12</vt:lpstr>
      <vt:lpstr>ITEM18_4Q12</vt:lpstr>
      <vt:lpstr>Tags!ITEM18_4Q13</vt:lpstr>
      <vt:lpstr>ITEM18_4Q13</vt:lpstr>
      <vt:lpstr>Tags!ITEM18_4Q14</vt:lpstr>
      <vt:lpstr>ITEM18_4Q14</vt:lpstr>
      <vt:lpstr>Tags!ITEM18_4Q15</vt:lpstr>
      <vt:lpstr>ITEM18_4Q15</vt:lpstr>
      <vt:lpstr>Tags!ITEM18_4Q16</vt:lpstr>
      <vt:lpstr>ITEM18_4Q16</vt:lpstr>
      <vt:lpstr>Tags!ITEM18_4Q17</vt:lpstr>
      <vt:lpstr>ITEM18_4Q17</vt:lpstr>
      <vt:lpstr>Tags!ITEM18_4Q18</vt:lpstr>
      <vt:lpstr>ITEM18_4Q18</vt:lpstr>
      <vt:lpstr>Tags!ITEM18_4Q19</vt:lpstr>
      <vt:lpstr>ITEM18_4Q19</vt:lpstr>
      <vt:lpstr>Tags!ITEM18_4Q20</vt:lpstr>
      <vt:lpstr>ITEM18_4Q20</vt:lpstr>
      <vt:lpstr>ITEM18_4Q21</vt:lpstr>
      <vt:lpstr>ITEM18_4Q22</vt:lpstr>
      <vt:lpstr>ITEM18_4Q23</vt:lpstr>
      <vt:lpstr>ITEM18_4Q24</vt:lpstr>
      <vt:lpstr>ITEM19_1995</vt:lpstr>
      <vt:lpstr>ITEM19_1996</vt:lpstr>
      <vt:lpstr>ITEM19_1997</vt:lpstr>
      <vt:lpstr>ITEM19_1998</vt:lpstr>
      <vt:lpstr>ITEM19_1999</vt:lpstr>
      <vt:lpstr>Tags!ITEM19_1Q00</vt:lpstr>
      <vt:lpstr>ITEM19_1Q00</vt:lpstr>
      <vt:lpstr>Tags!ITEM19_1Q01</vt:lpstr>
      <vt:lpstr>ITEM19_1Q01</vt:lpstr>
      <vt:lpstr>Tags!ITEM19_1Q02</vt:lpstr>
      <vt:lpstr>ITEM19_1Q02</vt:lpstr>
      <vt:lpstr>Tags!ITEM19_1Q03</vt:lpstr>
      <vt:lpstr>ITEM19_1Q03</vt:lpstr>
      <vt:lpstr>Tags!ITEM19_1Q04</vt:lpstr>
      <vt:lpstr>ITEM19_1Q04</vt:lpstr>
      <vt:lpstr>Tags!ITEM19_1Q05</vt:lpstr>
      <vt:lpstr>ITEM19_1Q05</vt:lpstr>
      <vt:lpstr>Tags!ITEM19_1Q06</vt:lpstr>
      <vt:lpstr>ITEM19_1Q06</vt:lpstr>
      <vt:lpstr>Tags!ITEM19_1Q07</vt:lpstr>
      <vt:lpstr>ITEM19_1Q07</vt:lpstr>
      <vt:lpstr>Tags!ITEM19_1Q08</vt:lpstr>
      <vt:lpstr>ITEM19_1Q08</vt:lpstr>
      <vt:lpstr>Tags!ITEM19_1Q09</vt:lpstr>
      <vt:lpstr>ITEM19_1Q09</vt:lpstr>
      <vt:lpstr>Tags!ITEM19_1Q10</vt:lpstr>
      <vt:lpstr>ITEM19_1Q10</vt:lpstr>
      <vt:lpstr>Tags!ITEM19_1Q11</vt:lpstr>
      <vt:lpstr>ITEM19_1Q11</vt:lpstr>
      <vt:lpstr>Tags!ITEM19_1Q12</vt:lpstr>
      <vt:lpstr>ITEM19_1Q12</vt:lpstr>
      <vt:lpstr>Tags!ITEM19_1Q13</vt:lpstr>
      <vt:lpstr>ITEM19_1Q13</vt:lpstr>
      <vt:lpstr>Tags!ITEM19_1Q14</vt:lpstr>
      <vt:lpstr>ITEM19_1Q14</vt:lpstr>
      <vt:lpstr>Tags!ITEM19_1Q15</vt:lpstr>
      <vt:lpstr>ITEM19_1Q15</vt:lpstr>
      <vt:lpstr>Tags!ITEM19_1Q16</vt:lpstr>
      <vt:lpstr>ITEM19_1Q16</vt:lpstr>
      <vt:lpstr>Tags!ITEM19_1Q17</vt:lpstr>
      <vt:lpstr>ITEM19_1Q17</vt:lpstr>
      <vt:lpstr>Tags!ITEM19_1Q18</vt:lpstr>
      <vt:lpstr>ITEM19_1Q18</vt:lpstr>
      <vt:lpstr>Tags!ITEM19_1Q19</vt:lpstr>
      <vt:lpstr>ITEM19_1Q19</vt:lpstr>
      <vt:lpstr>Tags!ITEM19_1Q20</vt:lpstr>
      <vt:lpstr>ITEM19_1Q20</vt:lpstr>
      <vt:lpstr>ITEM19_1Q21</vt:lpstr>
      <vt:lpstr>ITEM19_1Q22</vt:lpstr>
      <vt:lpstr>ITEM19_1Q23</vt:lpstr>
      <vt:lpstr>ITEM19_1Q24</vt:lpstr>
      <vt:lpstr>Tags!ITEM19_2000</vt:lpstr>
      <vt:lpstr>ITEM19_2000</vt:lpstr>
      <vt:lpstr>Tags!ITEM19_2001</vt:lpstr>
      <vt:lpstr>ITEM19_2001</vt:lpstr>
      <vt:lpstr>Tags!ITEM19_2002</vt:lpstr>
      <vt:lpstr>ITEM19_2002</vt:lpstr>
      <vt:lpstr>Tags!ITEM19_2003</vt:lpstr>
      <vt:lpstr>ITEM19_2003</vt:lpstr>
      <vt:lpstr>Tags!ITEM19_2004</vt:lpstr>
      <vt:lpstr>ITEM19_2004</vt:lpstr>
      <vt:lpstr>Tags!ITEM19_2005</vt:lpstr>
      <vt:lpstr>ITEM19_2005</vt:lpstr>
      <vt:lpstr>Tags!ITEM19_2006</vt:lpstr>
      <vt:lpstr>ITEM19_2006</vt:lpstr>
      <vt:lpstr>Tags!ITEM19_2007</vt:lpstr>
      <vt:lpstr>ITEM19_2007</vt:lpstr>
      <vt:lpstr>Tags!ITEM19_2008</vt:lpstr>
      <vt:lpstr>ITEM19_2008</vt:lpstr>
      <vt:lpstr>Tags!ITEM19_2009</vt:lpstr>
      <vt:lpstr>ITEM19_2009</vt:lpstr>
      <vt:lpstr>Tags!ITEM19_2010</vt:lpstr>
      <vt:lpstr>ITEM19_2010</vt:lpstr>
      <vt:lpstr>Tags!ITEM19_2011</vt:lpstr>
      <vt:lpstr>ITEM19_2011</vt:lpstr>
      <vt:lpstr>Tags!ITEM19_2012</vt:lpstr>
      <vt:lpstr>ITEM19_2012</vt:lpstr>
      <vt:lpstr>Tags!ITEM19_2013</vt:lpstr>
      <vt:lpstr>ITEM19_2013</vt:lpstr>
      <vt:lpstr>Tags!ITEM19_2014</vt:lpstr>
      <vt:lpstr>ITEM19_2014</vt:lpstr>
      <vt:lpstr>ITEM19_2015</vt:lpstr>
      <vt:lpstr>Tags!ITEM19_2016</vt:lpstr>
      <vt:lpstr>ITEM19_2016</vt:lpstr>
      <vt:lpstr>Tags!ITEM19_2017</vt:lpstr>
      <vt:lpstr>ITEM19_2017</vt:lpstr>
      <vt:lpstr>Tags!ITEM19_2018</vt:lpstr>
      <vt:lpstr>ITEM19_2018</vt:lpstr>
      <vt:lpstr>Tags!ITEM19_2019</vt:lpstr>
      <vt:lpstr>ITEM19_2019</vt:lpstr>
      <vt:lpstr>Tags!ITEM19_2020</vt:lpstr>
      <vt:lpstr>ITEM19_2020</vt:lpstr>
      <vt:lpstr>ITEM19_2021</vt:lpstr>
      <vt:lpstr>ITEM19_2022</vt:lpstr>
      <vt:lpstr>ITEM19_2023</vt:lpstr>
      <vt:lpstr>ITEM19_2024</vt:lpstr>
      <vt:lpstr>Tags!ITEM19_2Q00</vt:lpstr>
      <vt:lpstr>ITEM19_2Q00</vt:lpstr>
      <vt:lpstr>Tags!ITEM19_2Q01</vt:lpstr>
      <vt:lpstr>ITEM19_2Q01</vt:lpstr>
      <vt:lpstr>Tags!ITEM19_2Q02</vt:lpstr>
      <vt:lpstr>ITEM19_2Q02</vt:lpstr>
      <vt:lpstr>Tags!ITEM19_2Q03</vt:lpstr>
      <vt:lpstr>ITEM19_2Q03</vt:lpstr>
      <vt:lpstr>Tags!ITEM19_2Q04</vt:lpstr>
      <vt:lpstr>ITEM19_2Q04</vt:lpstr>
      <vt:lpstr>Tags!ITEM19_2Q05</vt:lpstr>
      <vt:lpstr>ITEM19_2Q05</vt:lpstr>
      <vt:lpstr>Tags!ITEM19_2Q06</vt:lpstr>
      <vt:lpstr>ITEM19_2Q06</vt:lpstr>
      <vt:lpstr>Tags!ITEM19_2Q07</vt:lpstr>
      <vt:lpstr>ITEM19_2Q07</vt:lpstr>
      <vt:lpstr>Tags!ITEM19_2Q08</vt:lpstr>
      <vt:lpstr>ITEM19_2Q08</vt:lpstr>
      <vt:lpstr>Tags!ITEM19_2Q09</vt:lpstr>
      <vt:lpstr>ITEM19_2Q09</vt:lpstr>
      <vt:lpstr>Tags!ITEM19_2Q10</vt:lpstr>
      <vt:lpstr>ITEM19_2Q10</vt:lpstr>
      <vt:lpstr>Tags!ITEM19_2Q11</vt:lpstr>
      <vt:lpstr>ITEM19_2Q11</vt:lpstr>
      <vt:lpstr>Tags!ITEM19_2Q12</vt:lpstr>
      <vt:lpstr>ITEM19_2Q12</vt:lpstr>
      <vt:lpstr>Tags!ITEM19_2Q13</vt:lpstr>
      <vt:lpstr>ITEM19_2Q13</vt:lpstr>
      <vt:lpstr>Tags!ITEM19_2Q14</vt:lpstr>
      <vt:lpstr>ITEM19_2Q14</vt:lpstr>
      <vt:lpstr>Tags!ITEM19_2Q15</vt:lpstr>
      <vt:lpstr>ITEM19_2Q15</vt:lpstr>
      <vt:lpstr>Tags!ITEM19_2Q16</vt:lpstr>
      <vt:lpstr>ITEM19_2Q16</vt:lpstr>
      <vt:lpstr>Tags!ITEM19_2Q17</vt:lpstr>
      <vt:lpstr>ITEM19_2Q17</vt:lpstr>
      <vt:lpstr>Tags!ITEM19_2Q18</vt:lpstr>
      <vt:lpstr>ITEM19_2Q18</vt:lpstr>
      <vt:lpstr>Tags!ITEM19_2Q19</vt:lpstr>
      <vt:lpstr>ITEM19_2Q19</vt:lpstr>
      <vt:lpstr>Tags!ITEM19_2Q20</vt:lpstr>
      <vt:lpstr>ITEM19_2Q20</vt:lpstr>
      <vt:lpstr>ITEM19_2Q21</vt:lpstr>
      <vt:lpstr>ITEM19_2Q22</vt:lpstr>
      <vt:lpstr>ITEM19_2Q23</vt:lpstr>
      <vt:lpstr>ITEM19_2Q24</vt:lpstr>
      <vt:lpstr>Tags!ITEM19_3Q00</vt:lpstr>
      <vt:lpstr>ITEM19_3Q00</vt:lpstr>
      <vt:lpstr>Tags!ITEM19_3Q01</vt:lpstr>
      <vt:lpstr>ITEM19_3Q01</vt:lpstr>
      <vt:lpstr>Tags!ITEM19_3Q02</vt:lpstr>
      <vt:lpstr>ITEM19_3Q02</vt:lpstr>
      <vt:lpstr>Tags!ITEM19_3Q03</vt:lpstr>
      <vt:lpstr>ITEM19_3Q03</vt:lpstr>
      <vt:lpstr>Tags!ITEM19_3Q04</vt:lpstr>
      <vt:lpstr>ITEM19_3Q04</vt:lpstr>
      <vt:lpstr>Tags!ITEM19_3Q05</vt:lpstr>
      <vt:lpstr>ITEM19_3Q05</vt:lpstr>
      <vt:lpstr>Tags!ITEM19_3Q06</vt:lpstr>
      <vt:lpstr>ITEM19_3Q06</vt:lpstr>
      <vt:lpstr>Tags!ITEM19_3Q07</vt:lpstr>
      <vt:lpstr>ITEM19_3Q07</vt:lpstr>
      <vt:lpstr>Tags!ITEM19_3Q08</vt:lpstr>
      <vt:lpstr>ITEM19_3Q08</vt:lpstr>
      <vt:lpstr>Tags!ITEM19_3Q09</vt:lpstr>
      <vt:lpstr>ITEM19_3Q09</vt:lpstr>
      <vt:lpstr>Tags!ITEM19_3Q10</vt:lpstr>
      <vt:lpstr>ITEM19_3Q10</vt:lpstr>
      <vt:lpstr>Tags!ITEM19_3Q11</vt:lpstr>
      <vt:lpstr>ITEM19_3Q11</vt:lpstr>
      <vt:lpstr>Tags!ITEM19_3Q12</vt:lpstr>
      <vt:lpstr>ITEM19_3Q12</vt:lpstr>
      <vt:lpstr>Tags!ITEM19_3Q13</vt:lpstr>
      <vt:lpstr>ITEM19_3Q13</vt:lpstr>
      <vt:lpstr>Tags!ITEM19_3Q14</vt:lpstr>
      <vt:lpstr>ITEM19_3Q14</vt:lpstr>
      <vt:lpstr>Tags!ITEM19_3Q15</vt:lpstr>
      <vt:lpstr>ITEM19_3Q15</vt:lpstr>
      <vt:lpstr>Tags!ITEM19_3Q16</vt:lpstr>
      <vt:lpstr>ITEM19_3Q16</vt:lpstr>
      <vt:lpstr>Tags!ITEM19_3Q17</vt:lpstr>
      <vt:lpstr>ITEM19_3Q17</vt:lpstr>
      <vt:lpstr>Tags!ITEM19_3Q18</vt:lpstr>
      <vt:lpstr>ITEM19_3Q18</vt:lpstr>
      <vt:lpstr>Tags!ITEM19_3Q19</vt:lpstr>
      <vt:lpstr>ITEM19_3Q19</vt:lpstr>
      <vt:lpstr>Tags!ITEM19_3Q20</vt:lpstr>
      <vt:lpstr>ITEM19_3Q20</vt:lpstr>
      <vt:lpstr>ITEM19_3Q21</vt:lpstr>
      <vt:lpstr>ITEM19_3Q22</vt:lpstr>
      <vt:lpstr>ITEM19_3Q23</vt:lpstr>
      <vt:lpstr>ITEM19_3Q24</vt:lpstr>
      <vt:lpstr>Tags!ITEM19_4Q00</vt:lpstr>
      <vt:lpstr>ITEM19_4Q00</vt:lpstr>
      <vt:lpstr>Tags!ITEM19_4Q01</vt:lpstr>
      <vt:lpstr>ITEM19_4Q01</vt:lpstr>
      <vt:lpstr>Tags!ITEM19_4Q02</vt:lpstr>
      <vt:lpstr>ITEM19_4Q02</vt:lpstr>
      <vt:lpstr>Tags!ITEM19_4Q03</vt:lpstr>
      <vt:lpstr>ITEM19_4Q03</vt:lpstr>
      <vt:lpstr>Tags!ITEM19_4Q04</vt:lpstr>
      <vt:lpstr>ITEM19_4Q04</vt:lpstr>
      <vt:lpstr>Tags!ITEM19_4Q05</vt:lpstr>
      <vt:lpstr>ITEM19_4Q05</vt:lpstr>
      <vt:lpstr>Tags!ITEM19_4Q06</vt:lpstr>
      <vt:lpstr>ITEM19_4Q06</vt:lpstr>
      <vt:lpstr>Tags!ITEM19_4Q07</vt:lpstr>
      <vt:lpstr>ITEM19_4Q07</vt:lpstr>
      <vt:lpstr>Tags!ITEM19_4Q08</vt:lpstr>
      <vt:lpstr>ITEM19_4Q08</vt:lpstr>
      <vt:lpstr>Tags!ITEM19_4Q09</vt:lpstr>
      <vt:lpstr>ITEM19_4Q09</vt:lpstr>
      <vt:lpstr>Tags!ITEM19_4Q10</vt:lpstr>
      <vt:lpstr>ITEM19_4Q10</vt:lpstr>
      <vt:lpstr>Tags!ITEM19_4Q11</vt:lpstr>
      <vt:lpstr>ITEM19_4Q11</vt:lpstr>
      <vt:lpstr>Tags!ITEM19_4Q12</vt:lpstr>
      <vt:lpstr>ITEM19_4Q12</vt:lpstr>
      <vt:lpstr>Tags!ITEM19_4Q13</vt:lpstr>
      <vt:lpstr>ITEM19_4Q13</vt:lpstr>
      <vt:lpstr>Tags!ITEM19_4Q14</vt:lpstr>
      <vt:lpstr>ITEM19_4Q14</vt:lpstr>
      <vt:lpstr>Tags!ITEM19_4Q15</vt:lpstr>
      <vt:lpstr>ITEM19_4Q15</vt:lpstr>
      <vt:lpstr>Tags!ITEM19_4Q16</vt:lpstr>
      <vt:lpstr>ITEM19_4Q16</vt:lpstr>
      <vt:lpstr>Tags!ITEM19_4Q17</vt:lpstr>
      <vt:lpstr>ITEM19_4Q17</vt:lpstr>
      <vt:lpstr>Tags!ITEM19_4Q18</vt:lpstr>
      <vt:lpstr>ITEM19_4Q18</vt:lpstr>
      <vt:lpstr>Tags!ITEM19_4Q19</vt:lpstr>
      <vt:lpstr>ITEM19_4Q19</vt:lpstr>
      <vt:lpstr>Tags!ITEM19_4Q20</vt:lpstr>
      <vt:lpstr>ITEM19_4Q20</vt:lpstr>
      <vt:lpstr>ITEM19_4Q21</vt:lpstr>
      <vt:lpstr>ITEM19_4Q22</vt:lpstr>
      <vt:lpstr>ITEM19_4Q23</vt:lpstr>
      <vt:lpstr>ITEM19_4Q24</vt:lpstr>
      <vt:lpstr>ITEM2_1995</vt:lpstr>
      <vt:lpstr>ITEM2_1996</vt:lpstr>
      <vt:lpstr>ITEM2_1997</vt:lpstr>
      <vt:lpstr>ITEM2_1998</vt:lpstr>
      <vt:lpstr>ITEM2_1999</vt:lpstr>
      <vt:lpstr>Tags!ITEM2_1Q00</vt:lpstr>
      <vt:lpstr>ITEM2_1Q00</vt:lpstr>
      <vt:lpstr>Tags!ITEM2_1Q01</vt:lpstr>
      <vt:lpstr>ITEM2_1Q01</vt:lpstr>
      <vt:lpstr>Tags!ITEM2_1Q02</vt:lpstr>
      <vt:lpstr>ITEM2_1Q02</vt:lpstr>
      <vt:lpstr>Tags!ITEM2_1Q03</vt:lpstr>
      <vt:lpstr>ITEM2_1Q03</vt:lpstr>
      <vt:lpstr>Tags!ITEM2_1Q04</vt:lpstr>
      <vt:lpstr>ITEM2_1Q04</vt:lpstr>
      <vt:lpstr>Tags!ITEM2_1Q05</vt:lpstr>
      <vt:lpstr>ITEM2_1Q05</vt:lpstr>
      <vt:lpstr>Tags!ITEM2_1Q06</vt:lpstr>
      <vt:lpstr>ITEM2_1Q06</vt:lpstr>
      <vt:lpstr>Tags!ITEM2_1Q07</vt:lpstr>
      <vt:lpstr>ITEM2_1Q07</vt:lpstr>
      <vt:lpstr>Tags!ITEM2_1Q08</vt:lpstr>
      <vt:lpstr>ITEM2_1Q08</vt:lpstr>
      <vt:lpstr>Tags!ITEM2_1Q09</vt:lpstr>
      <vt:lpstr>ITEM2_1Q09</vt:lpstr>
      <vt:lpstr>Tags!ITEM2_1Q10</vt:lpstr>
      <vt:lpstr>ITEM2_1Q10</vt:lpstr>
      <vt:lpstr>Tags!ITEM2_1Q11</vt:lpstr>
      <vt:lpstr>ITEM2_1Q11</vt:lpstr>
      <vt:lpstr>Tags!ITEM2_1Q12</vt:lpstr>
      <vt:lpstr>ITEM2_1Q12</vt:lpstr>
      <vt:lpstr>Tags!ITEM2_1Q13</vt:lpstr>
      <vt:lpstr>ITEM2_1Q13</vt:lpstr>
      <vt:lpstr>Tags!ITEM2_1Q14</vt:lpstr>
      <vt:lpstr>ITEM2_1Q14</vt:lpstr>
      <vt:lpstr>Tags!ITEM2_1Q15</vt:lpstr>
      <vt:lpstr>ITEM2_1Q15</vt:lpstr>
      <vt:lpstr>Tags!ITEM2_1Q16</vt:lpstr>
      <vt:lpstr>ITEM2_1Q16</vt:lpstr>
      <vt:lpstr>Tags!ITEM2_1Q17</vt:lpstr>
      <vt:lpstr>ITEM2_1Q17</vt:lpstr>
      <vt:lpstr>Tags!ITEM2_1Q18</vt:lpstr>
      <vt:lpstr>ITEM2_1Q18</vt:lpstr>
      <vt:lpstr>Tags!ITEM2_1Q19</vt:lpstr>
      <vt:lpstr>ITEM2_1Q19</vt:lpstr>
      <vt:lpstr>Tags!ITEM2_1Q20</vt:lpstr>
      <vt:lpstr>ITEM2_1Q20</vt:lpstr>
      <vt:lpstr>ITEM2_1Q21</vt:lpstr>
      <vt:lpstr>ITEM2_1Q22</vt:lpstr>
      <vt:lpstr>ITEM2_1Q23</vt:lpstr>
      <vt:lpstr>ITEM2_1Q24</vt:lpstr>
      <vt:lpstr>Tags!ITEM2_2000</vt:lpstr>
      <vt:lpstr>ITEM2_2000</vt:lpstr>
      <vt:lpstr>Tags!ITEM2_2001</vt:lpstr>
      <vt:lpstr>ITEM2_2001</vt:lpstr>
      <vt:lpstr>Tags!ITEM2_2002</vt:lpstr>
      <vt:lpstr>ITEM2_2002</vt:lpstr>
      <vt:lpstr>Tags!ITEM2_2003</vt:lpstr>
      <vt:lpstr>ITEM2_2003</vt:lpstr>
      <vt:lpstr>Tags!ITEM2_2004</vt:lpstr>
      <vt:lpstr>ITEM2_2004</vt:lpstr>
      <vt:lpstr>Tags!ITEM2_2005</vt:lpstr>
      <vt:lpstr>ITEM2_2005</vt:lpstr>
      <vt:lpstr>Tags!ITEM2_2006</vt:lpstr>
      <vt:lpstr>ITEM2_2006</vt:lpstr>
      <vt:lpstr>Tags!ITEM2_2007</vt:lpstr>
      <vt:lpstr>ITEM2_2007</vt:lpstr>
      <vt:lpstr>Tags!ITEM2_2008</vt:lpstr>
      <vt:lpstr>ITEM2_2008</vt:lpstr>
      <vt:lpstr>Tags!ITEM2_2009</vt:lpstr>
      <vt:lpstr>ITEM2_2009</vt:lpstr>
      <vt:lpstr>Tags!ITEM2_2010</vt:lpstr>
      <vt:lpstr>ITEM2_2010</vt:lpstr>
      <vt:lpstr>Tags!ITEM2_2011</vt:lpstr>
      <vt:lpstr>ITEM2_2011</vt:lpstr>
      <vt:lpstr>Tags!ITEM2_2012</vt:lpstr>
      <vt:lpstr>ITEM2_2012</vt:lpstr>
      <vt:lpstr>Tags!ITEM2_2013</vt:lpstr>
      <vt:lpstr>ITEM2_2013</vt:lpstr>
      <vt:lpstr>Tags!ITEM2_2014</vt:lpstr>
      <vt:lpstr>ITEM2_2014</vt:lpstr>
      <vt:lpstr>ITEM2_2015</vt:lpstr>
      <vt:lpstr>Tags!ITEM2_2016</vt:lpstr>
      <vt:lpstr>ITEM2_2016</vt:lpstr>
      <vt:lpstr>Tags!ITEM2_2017</vt:lpstr>
      <vt:lpstr>ITEM2_2017</vt:lpstr>
      <vt:lpstr>Tags!ITEM2_2018</vt:lpstr>
      <vt:lpstr>ITEM2_2018</vt:lpstr>
      <vt:lpstr>Tags!ITEM2_2019</vt:lpstr>
      <vt:lpstr>ITEM2_2019</vt:lpstr>
      <vt:lpstr>Tags!ITEM2_2020</vt:lpstr>
      <vt:lpstr>ITEM2_2020</vt:lpstr>
      <vt:lpstr>ITEM2_2021</vt:lpstr>
      <vt:lpstr>ITEM2_2022</vt:lpstr>
      <vt:lpstr>ITEM2_2023</vt:lpstr>
      <vt:lpstr>ITEM2_2024</vt:lpstr>
      <vt:lpstr>Tags!ITEM2_2Q00</vt:lpstr>
      <vt:lpstr>ITEM2_2Q00</vt:lpstr>
      <vt:lpstr>Tags!ITEM2_2Q01</vt:lpstr>
      <vt:lpstr>ITEM2_2Q01</vt:lpstr>
      <vt:lpstr>Tags!ITEM2_2Q02</vt:lpstr>
      <vt:lpstr>ITEM2_2Q02</vt:lpstr>
      <vt:lpstr>Tags!ITEM2_2Q03</vt:lpstr>
      <vt:lpstr>ITEM2_2Q03</vt:lpstr>
      <vt:lpstr>Tags!ITEM2_2Q04</vt:lpstr>
      <vt:lpstr>ITEM2_2Q04</vt:lpstr>
      <vt:lpstr>Tags!ITEM2_2Q05</vt:lpstr>
      <vt:lpstr>ITEM2_2Q05</vt:lpstr>
      <vt:lpstr>Tags!ITEM2_2Q06</vt:lpstr>
      <vt:lpstr>ITEM2_2Q06</vt:lpstr>
      <vt:lpstr>Tags!ITEM2_2Q07</vt:lpstr>
      <vt:lpstr>ITEM2_2Q07</vt:lpstr>
      <vt:lpstr>Tags!ITEM2_2Q08</vt:lpstr>
      <vt:lpstr>ITEM2_2Q08</vt:lpstr>
      <vt:lpstr>Tags!ITEM2_2Q09</vt:lpstr>
      <vt:lpstr>ITEM2_2Q09</vt:lpstr>
      <vt:lpstr>Tags!ITEM2_2Q10</vt:lpstr>
      <vt:lpstr>ITEM2_2Q10</vt:lpstr>
      <vt:lpstr>Tags!ITEM2_2Q11</vt:lpstr>
      <vt:lpstr>ITEM2_2Q11</vt:lpstr>
      <vt:lpstr>Tags!ITEM2_2Q12</vt:lpstr>
      <vt:lpstr>ITEM2_2Q12</vt:lpstr>
      <vt:lpstr>Tags!ITEM2_2Q13</vt:lpstr>
      <vt:lpstr>ITEM2_2Q13</vt:lpstr>
      <vt:lpstr>Tags!ITEM2_2Q14</vt:lpstr>
      <vt:lpstr>ITEM2_2Q14</vt:lpstr>
      <vt:lpstr>Tags!ITEM2_2Q15</vt:lpstr>
      <vt:lpstr>ITEM2_2Q15</vt:lpstr>
      <vt:lpstr>Tags!ITEM2_2Q16</vt:lpstr>
      <vt:lpstr>ITEM2_2Q16</vt:lpstr>
      <vt:lpstr>Tags!ITEM2_2Q17</vt:lpstr>
      <vt:lpstr>ITEM2_2Q17</vt:lpstr>
      <vt:lpstr>Tags!ITEM2_2Q18</vt:lpstr>
      <vt:lpstr>ITEM2_2Q18</vt:lpstr>
      <vt:lpstr>Tags!ITEM2_2Q19</vt:lpstr>
      <vt:lpstr>ITEM2_2Q19</vt:lpstr>
      <vt:lpstr>Tags!ITEM2_2Q20</vt:lpstr>
      <vt:lpstr>ITEM2_2Q20</vt:lpstr>
      <vt:lpstr>ITEM2_2Q21</vt:lpstr>
      <vt:lpstr>ITEM2_2Q22</vt:lpstr>
      <vt:lpstr>ITEM2_2Q23</vt:lpstr>
      <vt:lpstr>ITEM2_2Q24</vt:lpstr>
      <vt:lpstr>Tags!ITEM2_3Q00</vt:lpstr>
      <vt:lpstr>ITEM2_3Q00</vt:lpstr>
      <vt:lpstr>Tags!ITEM2_3Q01</vt:lpstr>
      <vt:lpstr>ITEM2_3Q01</vt:lpstr>
      <vt:lpstr>Tags!ITEM2_3Q02</vt:lpstr>
      <vt:lpstr>ITEM2_3Q02</vt:lpstr>
      <vt:lpstr>Tags!ITEM2_3Q03</vt:lpstr>
      <vt:lpstr>ITEM2_3Q03</vt:lpstr>
      <vt:lpstr>Tags!ITEM2_3Q04</vt:lpstr>
      <vt:lpstr>ITEM2_3Q04</vt:lpstr>
      <vt:lpstr>Tags!ITEM2_3Q05</vt:lpstr>
      <vt:lpstr>ITEM2_3Q05</vt:lpstr>
      <vt:lpstr>Tags!ITEM2_3Q06</vt:lpstr>
      <vt:lpstr>ITEM2_3Q06</vt:lpstr>
      <vt:lpstr>Tags!ITEM2_3Q07</vt:lpstr>
      <vt:lpstr>ITEM2_3Q07</vt:lpstr>
      <vt:lpstr>Tags!ITEM2_3Q08</vt:lpstr>
      <vt:lpstr>ITEM2_3Q08</vt:lpstr>
      <vt:lpstr>Tags!ITEM2_3Q09</vt:lpstr>
      <vt:lpstr>ITEM2_3Q09</vt:lpstr>
      <vt:lpstr>Tags!ITEM2_3Q10</vt:lpstr>
      <vt:lpstr>ITEM2_3Q10</vt:lpstr>
      <vt:lpstr>Tags!ITEM2_3Q11</vt:lpstr>
      <vt:lpstr>ITEM2_3Q11</vt:lpstr>
      <vt:lpstr>Tags!ITEM2_3Q12</vt:lpstr>
      <vt:lpstr>ITEM2_3Q12</vt:lpstr>
      <vt:lpstr>Tags!ITEM2_3Q13</vt:lpstr>
      <vt:lpstr>ITEM2_3Q13</vt:lpstr>
      <vt:lpstr>Tags!ITEM2_3Q14</vt:lpstr>
      <vt:lpstr>ITEM2_3Q14</vt:lpstr>
      <vt:lpstr>Tags!ITEM2_3Q15</vt:lpstr>
      <vt:lpstr>ITEM2_3Q15</vt:lpstr>
      <vt:lpstr>Tags!ITEM2_3Q16</vt:lpstr>
      <vt:lpstr>ITEM2_3Q16</vt:lpstr>
      <vt:lpstr>Tags!ITEM2_3Q17</vt:lpstr>
      <vt:lpstr>ITEM2_3Q17</vt:lpstr>
      <vt:lpstr>Tags!ITEM2_3Q18</vt:lpstr>
      <vt:lpstr>ITEM2_3Q18</vt:lpstr>
      <vt:lpstr>Tags!ITEM2_3Q19</vt:lpstr>
      <vt:lpstr>ITEM2_3Q19</vt:lpstr>
      <vt:lpstr>Tags!ITEM2_3Q20</vt:lpstr>
      <vt:lpstr>ITEM2_3Q20</vt:lpstr>
      <vt:lpstr>ITEM2_3Q21</vt:lpstr>
      <vt:lpstr>ITEM2_3Q22</vt:lpstr>
      <vt:lpstr>ITEM2_3Q23</vt:lpstr>
      <vt:lpstr>ITEM2_3Q24</vt:lpstr>
      <vt:lpstr>Tags!ITEM2_4Q00</vt:lpstr>
      <vt:lpstr>ITEM2_4Q00</vt:lpstr>
      <vt:lpstr>Tags!ITEM2_4Q01</vt:lpstr>
      <vt:lpstr>ITEM2_4Q01</vt:lpstr>
      <vt:lpstr>Tags!ITEM2_4Q02</vt:lpstr>
      <vt:lpstr>ITEM2_4Q02</vt:lpstr>
      <vt:lpstr>Tags!ITEM2_4Q03</vt:lpstr>
      <vt:lpstr>ITEM2_4Q03</vt:lpstr>
      <vt:lpstr>Tags!ITEM2_4Q04</vt:lpstr>
      <vt:lpstr>ITEM2_4Q04</vt:lpstr>
      <vt:lpstr>Tags!ITEM2_4Q05</vt:lpstr>
      <vt:lpstr>ITEM2_4Q05</vt:lpstr>
      <vt:lpstr>Tags!ITEM2_4Q06</vt:lpstr>
      <vt:lpstr>ITEM2_4Q06</vt:lpstr>
      <vt:lpstr>Tags!ITEM2_4Q07</vt:lpstr>
      <vt:lpstr>ITEM2_4Q07</vt:lpstr>
      <vt:lpstr>Tags!ITEM2_4Q08</vt:lpstr>
      <vt:lpstr>ITEM2_4Q08</vt:lpstr>
      <vt:lpstr>Tags!ITEM2_4Q09</vt:lpstr>
      <vt:lpstr>ITEM2_4Q09</vt:lpstr>
      <vt:lpstr>Tags!ITEM2_4Q10</vt:lpstr>
      <vt:lpstr>ITEM2_4Q10</vt:lpstr>
      <vt:lpstr>Tags!ITEM2_4Q11</vt:lpstr>
      <vt:lpstr>ITEM2_4Q11</vt:lpstr>
      <vt:lpstr>Tags!ITEM2_4Q12</vt:lpstr>
      <vt:lpstr>ITEM2_4Q12</vt:lpstr>
      <vt:lpstr>Tags!ITEM2_4Q13</vt:lpstr>
      <vt:lpstr>ITEM2_4Q13</vt:lpstr>
      <vt:lpstr>Tags!ITEM2_4Q14</vt:lpstr>
      <vt:lpstr>ITEM2_4Q14</vt:lpstr>
      <vt:lpstr>Tags!ITEM2_4Q15</vt:lpstr>
      <vt:lpstr>ITEM2_4Q15</vt:lpstr>
      <vt:lpstr>Tags!ITEM2_4Q16</vt:lpstr>
      <vt:lpstr>ITEM2_4Q16</vt:lpstr>
      <vt:lpstr>Tags!ITEM2_4Q17</vt:lpstr>
      <vt:lpstr>ITEM2_4Q17</vt:lpstr>
      <vt:lpstr>Tags!ITEM2_4Q18</vt:lpstr>
      <vt:lpstr>ITEM2_4Q18</vt:lpstr>
      <vt:lpstr>Tags!ITEM2_4Q19</vt:lpstr>
      <vt:lpstr>ITEM2_4Q19</vt:lpstr>
      <vt:lpstr>Tags!ITEM2_4Q20</vt:lpstr>
      <vt:lpstr>ITEM2_4Q20</vt:lpstr>
      <vt:lpstr>ITEM2_4Q21</vt:lpstr>
      <vt:lpstr>ITEM2_4Q22</vt:lpstr>
      <vt:lpstr>ITEM2_4Q23</vt:lpstr>
      <vt:lpstr>ITEM2_4Q24</vt:lpstr>
      <vt:lpstr>ITEM20_1995</vt:lpstr>
      <vt:lpstr>ITEM20_1996</vt:lpstr>
      <vt:lpstr>ITEM20_1997</vt:lpstr>
      <vt:lpstr>ITEM20_1998</vt:lpstr>
      <vt:lpstr>ITEM20_1999</vt:lpstr>
      <vt:lpstr>Tags!ITEM20_1Q00</vt:lpstr>
      <vt:lpstr>ITEM20_1Q00</vt:lpstr>
      <vt:lpstr>Tags!ITEM20_1Q01</vt:lpstr>
      <vt:lpstr>ITEM20_1Q01</vt:lpstr>
      <vt:lpstr>Tags!ITEM20_1Q02</vt:lpstr>
      <vt:lpstr>ITEM20_1Q02</vt:lpstr>
      <vt:lpstr>Tags!ITEM20_1Q03</vt:lpstr>
      <vt:lpstr>ITEM20_1Q03</vt:lpstr>
      <vt:lpstr>Tags!ITEM20_1Q04</vt:lpstr>
      <vt:lpstr>ITEM20_1Q04</vt:lpstr>
      <vt:lpstr>Tags!ITEM20_1Q05</vt:lpstr>
      <vt:lpstr>ITEM20_1Q05</vt:lpstr>
      <vt:lpstr>Tags!ITEM20_1Q06</vt:lpstr>
      <vt:lpstr>ITEM20_1Q06</vt:lpstr>
      <vt:lpstr>Tags!ITEM20_1Q07</vt:lpstr>
      <vt:lpstr>ITEM20_1Q07</vt:lpstr>
      <vt:lpstr>Tags!ITEM20_1Q08</vt:lpstr>
      <vt:lpstr>ITEM20_1Q08</vt:lpstr>
      <vt:lpstr>Tags!ITEM20_1Q09</vt:lpstr>
      <vt:lpstr>ITEM20_1Q09</vt:lpstr>
      <vt:lpstr>Tags!ITEM20_1Q10</vt:lpstr>
      <vt:lpstr>ITEM20_1Q10</vt:lpstr>
      <vt:lpstr>Tags!ITEM20_1Q11</vt:lpstr>
      <vt:lpstr>ITEM20_1Q11</vt:lpstr>
      <vt:lpstr>Tags!ITEM20_1Q12</vt:lpstr>
      <vt:lpstr>ITEM20_1Q12</vt:lpstr>
      <vt:lpstr>Tags!ITEM20_1Q13</vt:lpstr>
      <vt:lpstr>ITEM20_1Q13</vt:lpstr>
      <vt:lpstr>Tags!ITEM20_1Q14</vt:lpstr>
      <vt:lpstr>ITEM20_1Q14</vt:lpstr>
      <vt:lpstr>Tags!ITEM20_1Q15</vt:lpstr>
      <vt:lpstr>ITEM20_1Q15</vt:lpstr>
      <vt:lpstr>Tags!ITEM20_1Q16</vt:lpstr>
      <vt:lpstr>ITEM20_1Q16</vt:lpstr>
      <vt:lpstr>Tags!ITEM20_1Q17</vt:lpstr>
      <vt:lpstr>ITEM20_1Q17</vt:lpstr>
      <vt:lpstr>Tags!ITEM20_1Q18</vt:lpstr>
      <vt:lpstr>ITEM20_1Q18</vt:lpstr>
      <vt:lpstr>Tags!ITEM20_1Q19</vt:lpstr>
      <vt:lpstr>ITEM20_1Q19</vt:lpstr>
      <vt:lpstr>Tags!ITEM20_1Q20</vt:lpstr>
      <vt:lpstr>ITEM20_1Q20</vt:lpstr>
      <vt:lpstr>ITEM20_1Q21</vt:lpstr>
      <vt:lpstr>ITEM20_1Q22</vt:lpstr>
      <vt:lpstr>ITEM20_1Q23</vt:lpstr>
      <vt:lpstr>ITEM20_1Q24</vt:lpstr>
      <vt:lpstr>Tags!ITEM20_2000</vt:lpstr>
      <vt:lpstr>ITEM20_2000</vt:lpstr>
      <vt:lpstr>Tags!ITEM20_2001</vt:lpstr>
      <vt:lpstr>ITEM20_2001</vt:lpstr>
      <vt:lpstr>Tags!ITEM20_2002</vt:lpstr>
      <vt:lpstr>ITEM20_2002</vt:lpstr>
      <vt:lpstr>Tags!ITEM20_2003</vt:lpstr>
      <vt:lpstr>ITEM20_2003</vt:lpstr>
      <vt:lpstr>Tags!ITEM20_2004</vt:lpstr>
      <vt:lpstr>ITEM20_2004</vt:lpstr>
      <vt:lpstr>Tags!ITEM20_2005</vt:lpstr>
      <vt:lpstr>ITEM20_2005</vt:lpstr>
      <vt:lpstr>Tags!ITEM20_2006</vt:lpstr>
      <vt:lpstr>ITEM20_2006</vt:lpstr>
      <vt:lpstr>Tags!ITEM20_2007</vt:lpstr>
      <vt:lpstr>ITEM20_2007</vt:lpstr>
      <vt:lpstr>Tags!ITEM20_2008</vt:lpstr>
      <vt:lpstr>ITEM20_2008</vt:lpstr>
      <vt:lpstr>Tags!ITEM20_2009</vt:lpstr>
      <vt:lpstr>ITEM20_2009</vt:lpstr>
      <vt:lpstr>Tags!ITEM20_2010</vt:lpstr>
      <vt:lpstr>ITEM20_2010</vt:lpstr>
      <vt:lpstr>Tags!ITEM20_2011</vt:lpstr>
      <vt:lpstr>ITEM20_2011</vt:lpstr>
      <vt:lpstr>Tags!ITEM20_2012</vt:lpstr>
      <vt:lpstr>ITEM20_2012</vt:lpstr>
      <vt:lpstr>Tags!ITEM20_2013</vt:lpstr>
      <vt:lpstr>ITEM20_2013</vt:lpstr>
      <vt:lpstr>Tags!ITEM20_2014</vt:lpstr>
      <vt:lpstr>ITEM20_2014</vt:lpstr>
      <vt:lpstr>ITEM20_2015</vt:lpstr>
      <vt:lpstr>Tags!ITEM20_2016</vt:lpstr>
      <vt:lpstr>ITEM20_2016</vt:lpstr>
      <vt:lpstr>Tags!ITEM20_2017</vt:lpstr>
      <vt:lpstr>ITEM20_2017</vt:lpstr>
      <vt:lpstr>Tags!ITEM20_2018</vt:lpstr>
      <vt:lpstr>ITEM20_2018</vt:lpstr>
      <vt:lpstr>Tags!ITEM20_2019</vt:lpstr>
      <vt:lpstr>ITEM20_2019</vt:lpstr>
      <vt:lpstr>Tags!ITEM20_2020</vt:lpstr>
      <vt:lpstr>ITEM20_2020</vt:lpstr>
      <vt:lpstr>ITEM20_2021</vt:lpstr>
      <vt:lpstr>ITEM20_2022</vt:lpstr>
      <vt:lpstr>ITEM20_2023</vt:lpstr>
      <vt:lpstr>ITEM20_2024</vt:lpstr>
      <vt:lpstr>Tags!ITEM20_2Q00</vt:lpstr>
      <vt:lpstr>ITEM20_2Q00</vt:lpstr>
      <vt:lpstr>Tags!ITEM20_2Q01</vt:lpstr>
      <vt:lpstr>ITEM20_2Q01</vt:lpstr>
      <vt:lpstr>Tags!ITEM20_2Q02</vt:lpstr>
      <vt:lpstr>ITEM20_2Q02</vt:lpstr>
      <vt:lpstr>Tags!ITEM20_2Q03</vt:lpstr>
      <vt:lpstr>ITEM20_2Q03</vt:lpstr>
      <vt:lpstr>Tags!ITEM20_2Q04</vt:lpstr>
      <vt:lpstr>ITEM20_2Q04</vt:lpstr>
      <vt:lpstr>Tags!ITEM20_2Q05</vt:lpstr>
      <vt:lpstr>ITEM20_2Q05</vt:lpstr>
      <vt:lpstr>Tags!ITEM20_2Q06</vt:lpstr>
      <vt:lpstr>ITEM20_2Q06</vt:lpstr>
      <vt:lpstr>Tags!ITEM20_2Q07</vt:lpstr>
      <vt:lpstr>ITEM20_2Q07</vt:lpstr>
      <vt:lpstr>Tags!ITEM20_2Q08</vt:lpstr>
      <vt:lpstr>ITEM20_2Q08</vt:lpstr>
      <vt:lpstr>Tags!ITEM20_2Q09</vt:lpstr>
      <vt:lpstr>ITEM20_2Q09</vt:lpstr>
      <vt:lpstr>Tags!ITEM20_2Q10</vt:lpstr>
      <vt:lpstr>ITEM20_2Q10</vt:lpstr>
      <vt:lpstr>Tags!ITEM20_2Q11</vt:lpstr>
      <vt:lpstr>ITEM20_2Q11</vt:lpstr>
      <vt:lpstr>Tags!ITEM20_2Q12</vt:lpstr>
      <vt:lpstr>ITEM20_2Q12</vt:lpstr>
      <vt:lpstr>Tags!ITEM20_2Q13</vt:lpstr>
      <vt:lpstr>ITEM20_2Q13</vt:lpstr>
      <vt:lpstr>Tags!ITEM20_2Q14</vt:lpstr>
      <vt:lpstr>ITEM20_2Q14</vt:lpstr>
      <vt:lpstr>Tags!ITEM20_2Q15</vt:lpstr>
      <vt:lpstr>ITEM20_2Q15</vt:lpstr>
      <vt:lpstr>Tags!ITEM20_2Q16</vt:lpstr>
      <vt:lpstr>ITEM20_2Q16</vt:lpstr>
      <vt:lpstr>Tags!ITEM20_2Q17</vt:lpstr>
      <vt:lpstr>ITEM20_2Q17</vt:lpstr>
      <vt:lpstr>Tags!ITEM20_2Q18</vt:lpstr>
      <vt:lpstr>ITEM20_2Q18</vt:lpstr>
      <vt:lpstr>Tags!ITEM20_2Q19</vt:lpstr>
      <vt:lpstr>ITEM20_2Q19</vt:lpstr>
      <vt:lpstr>Tags!ITEM20_2Q20</vt:lpstr>
      <vt:lpstr>ITEM20_2Q20</vt:lpstr>
      <vt:lpstr>ITEM20_2Q21</vt:lpstr>
      <vt:lpstr>ITEM20_2Q22</vt:lpstr>
      <vt:lpstr>ITEM20_2Q23</vt:lpstr>
      <vt:lpstr>ITEM20_2Q24</vt:lpstr>
      <vt:lpstr>Tags!ITEM20_3Q00</vt:lpstr>
      <vt:lpstr>ITEM20_3Q00</vt:lpstr>
      <vt:lpstr>Tags!ITEM20_3Q01</vt:lpstr>
      <vt:lpstr>ITEM20_3Q01</vt:lpstr>
      <vt:lpstr>Tags!ITEM20_3Q02</vt:lpstr>
      <vt:lpstr>ITEM20_3Q02</vt:lpstr>
      <vt:lpstr>Tags!ITEM20_3Q03</vt:lpstr>
      <vt:lpstr>ITEM20_3Q03</vt:lpstr>
      <vt:lpstr>Tags!ITEM20_3Q04</vt:lpstr>
      <vt:lpstr>ITEM20_3Q04</vt:lpstr>
      <vt:lpstr>Tags!ITEM20_3Q05</vt:lpstr>
      <vt:lpstr>ITEM20_3Q05</vt:lpstr>
      <vt:lpstr>Tags!ITEM20_3Q06</vt:lpstr>
      <vt:lpstr>ITEM20_3Q06</vt:lpstr>
      <vt:lpstr>Tags!ITEM20_3Q07</vt:lpstr>
      <vt:lpstr>ITEM20_3Q07</vt:lpstr>
      <vt:lpstr>Tags!ITEM20_3Q08</vt:lpstr>
      <vt:lpstr>ITEM20_3Q08</vt:lpstr>
      <vt:lpstr>Tags!ITEM20_3Q09</vt:lpstr>
      <vt:lpstr>ITEM20_3Q09</vt:lpstr>
      <vt:lpstr>Tags!ITEM20_3Q10</vt:lpstr>
      <vt:lpstr>ITEM20_3Q10</vt:lpstr>
      <vt:lpstr>Tags!ITEM20_3Q11</vt:lpstr>
      <vt:lpstr>ITEM20_3Q11</vt:lpstr>
      <vt:lpstr>Tags!ITEM20_3Q12</vt:lpstr>
      <vt:lpstr>ITEM20_3Q12</vt:lpstr>
      <vt:lpstr>Tags!ITEM20_3Q13</vt:lpstr>
      <vt:lpstr>ITEM20_3Q13</vt:lpstr>
      <vt:lpstr>Tags!ITEM20_3Q14</vt:lpstr>
      <vt:lpstr>ITEM20_3Q14</vt:lpstr>
      <vt:lpstr>Tags!ITEM20_3Q15</vt:lpstr>
      <vt:lpstr>ITEM20_3Q15</vt:lpstr>
      <vt:lpstr>Tags!ITEM20_3Q16</vt:lpstr>
      <vt:lpstr>ITEM20_3Q16</vt:lpstr>
      <vt:lpstr>Tags!ITEM20_3Q17</vt:lpstr>
      <vt:lpstr>ITEM20_3Q17</vt:lpstr>
      <vt:lpstr>Tags!ITEM20_3Q18</vt:lpstr>
      <vt:lpstr>ITEM20_3Q18</vt:lpstr>
      <vt:lpstr>Tags!ITEM20_3Q19</vt:lpstr>
      <vt:lpstr>ITEM20_3Q19</vt:lpstr>
      <vt:lpstr>Tags!ITEM20_3Q20</vt:lpstr>
      <vt:lpstr>ITEM20_3Q20</vt:lpstr>
      <vt:lpstr>ITEM20_3Q21</vt:lpstr>
      <vt:lpstr>ITEM20_3Q22</vt:lpstr>
      <vt:lpstr>ITEM20_3Q23</vt:lpstr>
      <vt:lpstr>ITEM20_3Q24</vt:lpstr>
      <vt:lpstr>Tags!ITEM20_4Q00</vt:lpstr>
      <vt:lpstr>ITEM20_4Q00</vt:lpstr>
      <vt:lpstr>Tags!ITEM20_4Q01</vt:lpstr>
      <vt:lpstr>ITEM20_4Q01</vt:lpstr>
      <vt:lpstr>Tags!ITEM20_4Q02</vt:lpstr>
      <vt:lpstr>ITEM20_4Q02</vt:lpstr>
      <vt:lpstr>Tags!ITEM20_4Q03</vt:lpstr>
      <vt:lpstr>ITEM20_4Q03</vt:lpstr>
      <vt:lpstr>Tags!ITEM20_4Q04</vt:lpstr>
      <vt:lpstr>ITEM20_4Q04</vt:lpstr>
      <vt:lpstr>Tags!ITEM20_4Q05</vt:lpstr>
      <vt:lpstr>ITEM20_4Q05</vt:lpstr>
      <vt:lpstr>Tags!ITEM20_4Q06</vt:lpstr>
      <vt:lpstr>ITEM20_4Q06</vt:lpstr>
      <vt:lpstr>Tags!ITEM20_4Q07</vt:lpstr>
      <vt:lpstr>ITEM20_4Q07</vt:lpstr>
      <vt:lpstr>Tags!ITEM20_4Q08</vt:lpstr>
      <vt:lpstr>ITEM20_4Q08</vt:lpstr>
      <vt:lpstr>Tags!ITEM20_4Q09</vt:lpstr>
      <vt:lpstr>ITEM20_4Q09</vt:lpstr>
      <vt:lpstr>Tags!ITEM20_4Q10</vt:lpstr>
      <vt:lpstr>ITEM20_4Q10</vt:lpstr>
      <vt:lpstr>Tags!ITEM20_4Q11</vt:lpstr>
      <vt:lpstr>ITEM20_4Q11</vt:lpstr>
      <vt:lpstr>Tags!ITEM20_4Q12</vt:lpstr>
      <vt:lpstr>ITEM20_4Q12</vt:lpstr>
      <vt:lpstr>Tags!ITEM20_4Q13</vt:lpstr>
      <vt:lpstr>ITEM20_4Q13</vt:lpstr>
      <vt:lpstr>Tags!ITEM20_4Q14</vt:lpstr>
      <vt:lpstr>ITEM20_4Q14</vt:lpstr>
      <vt:lpstr>Tags!ITEM20_4Q15</vt:lpstr>
      <vt:lpstr>ITEM20_4Q15</vt:lpstr>
      <vt:lpstr>Tags!ITEM20_4Q16</vt:lpstr>
      <vt:lpstr>ITEM20_4Q16</vt:lpstr>
      <vt:lpstr>Tags!ITEM20_4Q17</vt:lpstr>
      <vt:lpstr>ITEM20_4Q17</vt:lpstr>
      <vt:lpstr>Tags!ITEM20_4Q18</vt:lpstr>
      <vt:lpstr>ITEM20_4Q18</vt:lpstr>
      <vt:lpstr>Tags!ITEM20_4Q19</vt:lpstr>
      <vt:lpstr>ITEM20_4Q19</vt:lpstr>
      <vt:lpstr>Tags!ITEM20_4Q20</vt:lpstr>
      <vt:lpstr>ITEM20_4Q20</vt:lpstr>
      <vt:lpstr>ITEM20_4Q21</vt:lpstr>
      <vt:lpstr>ITEM20_4Q22</vt:lpstr>
      <vt:lpstr>ITEM20_4Q23</vt:lpstr>
      <vt:lpstr>ITEM20_4Q24</vt:lpstr>
      <vt:lpstr>ITEM21_1995</vt:lpstr>
      <vt:lpstr>ITEM21_1996</vt:lpstr>
      <vt:lpstr>ITEM21_1997</vt:lpstr>
      <vt:lpstr>ITEM21_1998</vt:lpstr>
      <vt:lpstr>ITEM21_1999</vt:lpstr>
      <vt:lpstr>Tags!ITEM21_1Q00</vt:lpstr>
      <vt:lpstr>ITEM21_1Q00</vt:lpstr>
      <vt:lpstr>Tags!ITEM21_1Q01</vt:lpstr>
      <vt:lpstr>ITEM21_1Q01</vt:lpstr>
      <vt:lpstr>Tags!ITEM21_1Q02</vt:lpstr>
      <vt:lpstr>ITEM21_1Q02</vt:lpstr>
      <vt:lpstr>Tags!ITEM21_1Q03</vt:lpstr>
      <vt:lpstr>ITEM21_1Q03</vt:lpstr>
      <vt:lpstr>Tags!ITEM21_1Q04</vt:lpstr>
      <vt:lpstr>ITEM21_1Q04</vt:lpstr>
      <vt:lpstr>Tags!ITEM21_1Q05</vt:lpstr>
      <vt:lpstr>ITEM21_1Q05</vt:lpstr>
      <vt:lpstr>Tags!ITEM21_1Q06</vt:lpstr>
      <vt:lpstr>ITEM21_1Q06</vt:lpstr>
      <vt:lpstr>Tags!ITEM21_1Q07</vt:lpstr>
      <vt:lpstr>ITEM21_1Q07</vt:lpstr>
      <vt:lpstr>Tags!ITEM21_1Q08</vt:lpstr>
      <vt:lpstr>ITEM21_1Q08</vt:lpstr>
      <vt:lpstr>Tags!ITEM21_1Q09</vt:lpstr>
      <vt:lpstr>ITEM21_1Q09</vt:lpstr>
      <vt:lpstr>Tags!ITEM21_1Q10</vt:lpstr>
      <vt:lpstr>ITEM21_1Q10</vt:lpstr>
      <vt:lpstr>Tags!ITEM21_1Q11</vt:lpstr>
      <vt:lpstr>ITEM21_1Q11</vt:lpstr>
      <vt:lpstr>Tags!ITEM21_1Q12</vt:lpstr>
      <vt:lpstr>ITEM21_1Q12</vt:lpstr>
      <vt:lpstr>Tags!ITEM21_1Q13</vt:lpstr>
      <vt:lpstr>ITEM21_1Q13</vt:lpstr>
      <vt:lpstr>Tags!ITEM21_1Q14</vt:lpstr>
      <vt:lpstr>ITEM21_1Q14</vt:lpstr>
      <vt:lpstr>Tags!ITEM21_1Q15</vt:lpstr>
      <vt:lpstr>ITEM21_1Q15</vt:lpstr>
      <vt:lpstr>Tags!ITEM21_1Q16</vt:lpstr>
      <vt:lpstr>ITEM21_1Q16</vt:lpstr>
      <vt:lpstr>Tags!ITEM21_1Q17</vt:lpstr>
      <vt:lpstr>ITEM21_1Q17</vt:lpstr>
      <vt:lpstr>Tags!ITEM21_1Q18</vt:lpstr>
      <vt:lpstr>ITEM21_1Q18</vt:lpstr>
      <vt:lpstr>Tags!ITEM21_1Q19</vt:lpstr>
      <vt:lpstr>ITEM21_1Q19</vt:lpstr>
      <vt:lpstr>Tags!ITEM21_1Q20</vt:lpstr>
      <vt:lpstr>ITEM21_1Q20</vt:lpstr>
      <vt:lpstr>ITEM21_1Q21</vt:lpstr>
      <vt:lpstr>ITEM21_1Q22</vt:lpstr>
      <vt:lpstr>ITEM21_1Q23</vt:lpstr>
      <vt:lpstr>ITEM21_1Q24</vt:lpstr>
      <vt:lpstr>Tags!ITEM21_2000</vt:lpstr>
      <vt:lpstr>ITEM21_2000</vt:lpstr>
      <vt:lpstr>Tags!ITEM21_2001</vt:lpstr>
      <vt:lpstr>ITEM21_2001</vt:lpstr>
      <vt:lpstr>Tags!ITEM21_2002</vt:lpstr>
      <vt:lpstr>ITEM21_2002</vt:lpstr>
      <vt:lpstr>Tags!ITEM21_2003</vt:lpstr>
      <vt:lpstr>ITEM21_2003</vt:lpstr>
      <vt:lpstr>Tags!ITEM21_2004</vt:lpstr>
      <vt:lpstr>ITEM21_2004</vt:lpstr>
      <vt:lpstr>Tags!ITEM21_2005</vt:lpstr>
      <vt:lpstr>ITEM21_2005</vt:lpstr>
      <vt:lpstr>Tags!ITEM21_2006</vt:lpstr>
      <vt:lpstr>ITEM21_2006</vt:lpstr>
      <vt:lpstr>Tags!ITEM21_2007</vt:lpstr>
      <vt:lpstr>ITEM21_2007</vt:lpstr>
      <vt:lpstr>Tags!ITEM21_2008</vt:lpstr>
      <vt:lpstr>ITEM21_2008</vt:lpstr>
      <vt:lpstr>Tags!ITEM21_2009</vt:lpstr>
      <vt:lpstr>ITEM21_2009</vt:lpstr>
      <vt:lpstr>Tags!ITEM21_2010</vt:lpstr>
      <vt:lpstr>ITEM21_2010</vt:lpstr>
      <vt:lpstr>Tags!ITEM21_2011</vt:lpstr>
      <vt:lpstr>ITEM21_2011</vt:lpstr>
      <vt:lpstr>Tags!ITEM21_2012</vt:lpstr>
      <vt:lpstr>ITEM21_2012</vt:lpstr>
      <vt:lpstr>Tags!ITEM21_2013</vt:lpstr>
      <vt:lpstr>ITEM21_2013</vt:lpstr>
      <vt:lpstr>Tags!ITEM21_2014</vt:lpstr>
      <vt:lpstr>ITEM21_2014</vt:lpstr>
      <vt:lpstr>ITEM21_2015</vt:lpstr>
      <vt:lpstr>Tags!ITEM21_2016</vt:lpstr>
      <vt:lpstr>ITEM21_2016</vt:lpstr>
      <vt:lpstr>Tags!ITEM21_2017</vt:lpstr>
      <vt:lpstr>ITEM21_2017</vt:lpstr>
      <vt:lpstr>Tags!ITEM21_2018</vt:lpstr>
      <vt:lpstr>ITEM21_2018</vt:lpstr>
      <vt:lpstr>Tags!ITEM21_2019</vt:lpstr>
      <vt:lpstr>ITEM21_2019</vt:lpstr>
      <vt:lpstr>Tags!ITEM21_2020</vt:lpstr>
      <vt:lpstr>ITEM21_2020</vt:lpstr>
      <vt:lpstr>ITEM21_2021</vt:lpstr>
      <vt:lpstr>ITEM21_2022</vt:lpstr>
      <vt:lpstr>ITEM21_2023</vt:lpstr>
      <vt:lpstr>ITEM21_2024</vt:lpstr>
      <vt:lpstr>Tags!ITEM21_2Q00</vt:lpstr>
      <vt:lpstr>ITEM21_2Q00</vt:lpstr>
      <vt:lpstr>Tags!ITEM21_2Q01</vt:lpstr>
      <vt:lpstr>ITEM21_2Q01</vt:lpstr>
      <vt:lpstr>Tags!ITEM21_2Q02</vt:lpstr>
      <vt:lpstr>ITEM21_2Q02</vt:lpstr>
      <vt:lpstr>Tags!ITEM21_2Q03</vt:lpstr>
      <vt:lpstr>ITEM21_2Q03</vt:lpstr>
      <vt:lpstr>Tags!ITEM21_2Q04</vt:lpstr>
      <vt:lpstr>ITEM21_2Q04</vt:lpstr>
      <vt:lpstr>Tags!ITEM21_2Q05</vt:lpstr>
      <vt:lpstr>ITEM21_2Q05</vt:lpstr>
      <vt:lpstr>Tags!ITEM21_2Q06</vt:lpstr>
      <vt:lpstr>ITEM21_2Q06</vt:lpstr>
      <vt:lpstr>Tags!ITEM21_2Q07</vt:lpstr>
      <vt:lpstr>ITEM21_2Q07</vt:lpstr>
      <vt:lpstr>Tags!ITEM21_2Q08</vt:lpstr>
      <vt:lpstr>ITEM21_2Q08</vt:lpstr>
      <vt:lpstr>Tags!ITEM21_2Q09</vt:lpstr>
      <vt:lpstr>ITEM21_2Q09</vt:lpstr>
      <vt:lpstr>Tags!ITEM21_2Q10</vt:lpstr>
      <vt:lpstr>ITEM21_2Q10</vt:lpstr>
      <vt:lpstr>Tags!ITEM21_2Q11</vt:lpstr>
      <vt:lpstr>ITEM21_2Q11</vt:lpstr>
      <vt:lpstr>Tags!ITEM21_2Q12</vt:lpstr>
      <vt:lpstr>ITEM21_2Q12</vt:lpstr>
      <vt:lpstr>Tags!ITEM21_2Q13</vt:lpstr>
      <vt:lpstr>ITEM21_2Q13</vt:lpstr>
      <vt:lpstr>Tags!ITEM21_2Q14</vt:lpstr>
      <vt:lpstr>ITEM21_2Q14</vt:lpstr>
      <vt:lpstr>Tags!ITEM21_2Q15</vt:lpstr>
      <vt:lpstr>ITEM21_2Q15</vt:lpstr>
      <vt:lpstr>Tags!ITEM21_2Q16</vt:lpstr>
      <vt:lpstr>ITEM21_2Q16</vt:lpstr>
      <vt:lpstr>Tags!ITEM21_2Q17</vt:lpstr>
      <vt:lpstr>ITEM21_2Q17</vt:lpstr>
      <vt:lpstr>Tags!ITEM21_2Q18</vt:lpstr>
      <vt:lpstr>ITEM21_2Q18</vt:lpstr>
      <vt:lpstr>Tags!ITEM21_2Q19</vt:lpstr>
      <vt:lpstr>ITEM21_2Q19</vt:lpstr>
      <vt:lpstr>Tags!ITEM21_2Q20</vt:lpstr>
      <vt:lpstr>ITEM21_2Q20</vt:lpstr>
      <vt:lpstr>ITEM21_2Q21</vt:lpstr>
      <vt:lpstr>ITEM21_2Q22</vt:lpstr>
      <vt:lpstr>ITEM21_2Q23</vt:lpstr>
      <vt:lpstr>ITEM21_2Q24</vt:lpstr>
      <vt:lpstr>Tags!ITEM21_3Q00</vt:lpstr>
      <vt:lpstr>ITEM21_3Q00</vt:lpstr>
      <vt:lpstr>Tags!ITEM21_3Q01</vt:lpstr>
      <vt:lpstr>ITEM21_3Q01</vt:lpstr>
      <vt:lpstr>Tags!ITEM21_3Q02</vt:lpstr>
      <vt:lpstr>ITEM21_3Q02</vt:lpstr>
      <vt:lpstr>Tags!ITEM21_3Q03</vt:lpstr>
      <vt:lpstr>ITEM21_3Q03</vt:lpstr>
      <vt:lpstr>Tags!ITEM21_3Q04</vt:lpstr>
      <vt:lpstr>ITEM21_3Q04</vt:lpstr>
      <vt:lpstr>Tags!ITEM21_3Q05</vt:lpstr>
      <vt:lpstr>ITEM21_3Q05</vt:lpstr>
      <vt:lpstr>Tags!ITEM21_3Q06</vt:lpstr>
      <vt:lpstr>ITEM21_3Q06</vt:lpstr>
      <vt:lpstr>Tags!ITEM21_3Q07</vt:lpstr>
      <vt:lpstr>ITEM21_3Q07</vt:lpstr>
      <vt:lpstr>Tags!ITEM21_3Q08</vt:lpstr>
      <vt:lpstr>ITEM21_3Q08</vt:lpstr>
      <vt:lpstr>Tags!ITEM21_3Q09</vt:lpstr>
      <vt:lpstr>ITEM21_3Q09</vt:lpstr>
      <vt:lpstr>Tags!ITEM21_3Q10</vt:lpstr>
      <vt:lpstr>ITEM21_3Q10</vt:lpstr>
      <vt:lpstr>Tags!ITEM21_3Q11</vt:lpstr>
      <vt:lpstr>ITEM21_3Q11</vt:lpstr>
      <vt:lpstr>Tags!ITEM21_3Q12</vt:lpstr>
      <vt:lpstr>ITEM21_3Q12</vt:lpstr>
      <vt:lpstr>Tags!ITEM21_3Q13</vt:lpstr>
      <vt:lpstr>ITEM21_3Q13</vt:lpstr>
      <vt:lpstr>Tags!ITEM21_3Q14</vt:lpstr>
      <vt:lpstr>ITEM21_3Q14</vt:lpstr>
      <vt:lpstr>Tags!ITEM21_3Q15</vt:lpstr>
      <vt:lpstr>ITEM21_3Q15</vt:lpstr>
      <vt:lpstr>Tags!ITEM21_3Q16</vt:lpstr>
      <vt:lpstr>ITEM21_3Q16</vt:lpstr>
      <vt:lpstr>Tags!ITEM21_3Q17</vt:lpstr>
      <vt:lpstr>ITEM21_3Q17</vt:lpstr>
      <vt:lpstr>Tags!ITEM21_3Q18</vt:lpstr>
      <vt:lpstr>ITEM21_3Q18</vt:lpstr>
      <vt:lpstr>Tags!ITEM21_3Q19</vt:lpstr>
      <vt:lpstr>ITEM21_3Q19</vt:lpstr>
      <vt:lpstr>Tags!ITEM21_3Q20</vt:lpstr>
      <vt:lpstr>ITEM21_3Q20</vt:lpstr>
      <vt:lpstr>ITEM21_3Q21</vt:lpstr>
      <vt:lpstr>ITEM21_3Q22</vt:lpstr>
      <vt:lpstr>ITEM21_3Q23</vt:lpstr>
      <vt:lpstr>ITEM21_3Q24</vt:lpstr>
      <vt:lpstr>Tags!ITEM21_4Q00</vt:lpstr>
      <vt:lpstr>ITEM21_4Q00</vt:lpstr>
      <vt:lpstr>Tags!ITEM21_4Q01</vt:lpstr>
      <vt:lpstr>ITEM21_4Q01</vt:lpstr>
      <vt:lpstr>Tags!ITEM21_4Q02</vt:lpstr>
      <vt:lpstr>ITEM21_4Q02</vt:lpstr>
      <vt:lpstr>Tags!ITEM21_4Q03</vt:lpstr>
      <vt:lpstr>ITEM21_4Q03</vt:lpstr>
      <vt:lpstr>Tags!ITEM21_4Q04</vt:lpstr>
      <vt:lpstr>ITEM21_4Q04</vt:lpstr>
      <vt:lpstr>Tags!ITEM21_4Q05</vt:lpstr>
      <vt:lpstr>ITEM21_4Q05</vt:lpstr>
      <vt:lpstr>Tags!ITEM21_4Q06</vt:lpstr>
      <vt:lpstr>ITEM21_4Q06</vt:lpstr>
      <vt:lpstr>Tags!ITEM21_4Q07</vt:lpstr>
      <vt:lpstr>ITEM21_4Q07</vt:lpstr>
      <vt:lpstr>Tags!ITEM21_4Q08</vt:lpstr>
      <vt:lpstr>ITEM21_4Q08</vt:lpstr>
      <vt:lpstr>Tags!ITEM21_4Q09</vt:lpstr>
      <vt:lpstr>ITEM21_4Q09</vt:lpstr>
      <vt:lpstr>Tags!ITEM21_4Q10</vt:lpstr>
      <vt:lpstr>ITEM21_4Q10</vt:lpstr>
      <vt:lpstr>Tags!ITEM21_4Q11</vt:lpstr>
      <vt:lpstr>ITEM21_4Q11</vt:lpstr>
      <vt:lpstr>Tags!ITEM21_4Q12</vt:lpstr>
      <vt:lpstr>ITEM21_4Q12</vt:lpstr>
      <vt:lpstr>Tags!ITEM21_4Q13</vt:lpstr>
      <vt:lpstr>ITEM21_4Q13</vt:lpstr>
      <vt:lpstr>Tags!ITEM21_4Q14</vt:lpstr>
      <vt:lpstr>ITEM21_4Q14</vt:lpstr>
      <vt:lpstr>Tags!ITEM21_4Q15</vt:lpstr>
      <vt:lpstr>ITEM21_4Q15</vt:lpstr>
      <vt:lpstr>Tags!ITEM21_4Q16</vt:lpstr>
      <vt:lpstr>ITEM21_4Q16</vt:lpstr>
      <vt:lpstr>Tags!ITEM21_4Q17</vt:lpstr>
      <vt:lpstr>ITEM21_4Q17</vt:lpstr>
      <vt:lpstr>Tags!ITEM21_4Q18</vt:lpstr>
      <vt:lpstr>ITEM21_4Q18</vt:lpstr>
      <vt:lpstr>Tags!ITEM21_4Q19</vt:lpstr>
      <vt:lpstr>ITEM21_4Q19</vt:lpstr>
      <vt:lpstr>Tags!ITEM21_4Q20</vt:lpstr>
      <vt:lpstr>ITEM21_4Q20</vt:lpstr>
      <vt:lpstr>ITEM21_4Q21</vt:lpstr>
      <vt:lpstr>ITEM21_4Q22</vt:lpstr>
      <vt:lpstr>ITEM21_4Q23</vt:lpstr>
      <vt:lpstr>ITEM21_4Q24</vt:lpstr>
      <vt:lpstr>ITEM22_1995</vt:lpstr>
      <vt:lpstr>ITEM22_1996</vt:lpstr>
      <vt:lpstr>ITEM22_1997</vt:lpstr>
      <vt:lpstr>ITEM22_1998</vt:lpstr>
      <vt:lpstr>ITEM22_1999</vt:lpstr>
      <vt:lpstr>Tags!ITEM22_1Q00</vt:lpstr>
      <vt:lpstr>ITEM22_1Q00</vt:lpstr>
      <vt:lpstr>Tags!ITEM22_1Q01</vt:lpstr>
      <vt:lpstr>ITEM22_1Q01</vt:lpstr>
      <vt:lpstr>Tags!ITEM22_1Q02</vt:lpstr>
      <vt:lpstr>ITEM22_1Q02</vt:lpstr>
      <vt:lpstr>Tags!ITEM22_1Q03</vt:lpstr>
      <vt:lpstr>ITEM22_1Q03</vt:lpstr>
      <vt:lpstr>Tags!ITEM22_1Q04</vt:lpstr>
      <vt:lpstr>ITEM22_1Q04</vt:lpstr>
      <vt:lpstr>Tags!ITEM22_1Q05</vt:lpstr>
      <vt:lpstr>ITEM22_1Q05</vt:lpstr>
      <vt:lpstr>Tags!ITEM22_1Q06</vt:lpstr>
      <vt:lpstr>ITEM22_1Q06</vt:lpstr>
      <vt:lpstr>Tags!ITEM22_1Q07</vt:lpstr>
      <vt:lpstr>ITEM22_1Q07</vt:lpstr>
      <vt:lpstr>Tags!ITEM22_1Q08</vt:lpstr>
      <vt:lpstr>ITEM22_1Q08</vt:lpstr>
      <vt:lpstr>Tags!ITEM22_1Q09</vt:lpstr>
      <vt:lpstr>ITEM22_1Q09</vt:lpstr>
      <vt:lpstr>Tags!ITEM22_1Q10</vt:lpstr>
      <vt:lpstr>ITEM22_1Q10</vt:lpstr>
      <vt:lpstr>Tags!ITEM22_1Q11</vt:lpstr>
      <vt:lpstr>ITEM22_1Q11</vt:lpstr>
      <vt:lpstr>Tags!ITEM22_1Q12</vt:lpstr>
      <vt:lpstr>ITEM22_1Q12</vt:lpstr>
      <vt:lpstr>Tags!ITEM22_1Q13</vt:lpstr>
      <vt:lpstr>ITEM22_1Q13</vt:lpstr>
      <vt:lpstr>Tags!ITEM22_1Q14</vt:lpstr>
      <vt:lpstr>ITEM22_1Q14</vt:lpstr>
      <vt:lpstr>Tags!ITEM22_1Q15</vt:lpstr>
      <vt:lpstr>ITEM22_1Q15</vt:lpstr>
      <vt:lpstr>Tags!ITEM22_1Q16</vt:lpstr>
      <vt:lpstr>ITEM22_1Q16</vt:lpstr>
      <vt:lpstr>Tags!ITEM22_1Q17</vt:lpstr>
      <vt:lpstr>ITEM22_1Q17</vt:lpstr>
      <vt:lpstr>Tags!ITEM22_1Q18</vt:lpstr>
      <vt:lpstr>ITEM22_1Q18</vt:lpstr>
      <vt:lpstr>Tags!ITEM22_1Q19</vt:lpstr>
      <vt:lpstr>ITEM22_1Q19</vt:lpstr>
      <vt:lpstr>Tags!ITEM22_1Q20</vt:lpstr>
      <vt:lpstr>ITEM22_1Q20</vt:lpstr>
      <vt:lpstr>ITEM22_1Q21</vt:lpstr>
      <vt:lpstr>ITEM22_1Q22</vt:lpstr>
      <vt:lpstr>ITEM22_1Q23</vt:lpstr>
      <vt:lpstr>ITEM22_1Q24</vt:lpstr>
      <vt:lpstr>Tags!ITEM22_2000</vt:lpstr>
      <vt:lpstr>ITEM22_2000</vt:lpstr>
      <vt:lpstr>Tags!ITEM22_2001</vt:lpstr>
      <vt:lpstr>ITEM22_2001</vt:lpstr>
      <vt:lpstr>Tags!ITEM22_2002</vt:lpstr>
      <vt:lpstr>ITEM22_2002</vt:lpstr>
      <vt:lpstr>Tags!ITEM22_2003</vt:lpstr>
      <vt:lpstr>ITEM22_2003</vt:lpstr>
      <vt:lpstr>Tags!ITEM22_2004</vt:lpstr>
      <vt:lpstr>ITEM22_2004</vt:lpstr>
      <vt:lpstr>Tags!ITEM22_2005</vt:lpstr>
      <vt:lpstr>ITEM22_2005</vt:lpstr>
      <vt:lpstr>Tags!ITEM22_2006</vt:lpstr>
      <vt:lpstr>ITEM22_2006</vt:lpstr>
      <vt:lpstr>Tags!ITEM22_2007</vt:lpstr>
      <vt:lpstr>ITEM22_2007</vt:lpstr>
      <vt:lpstr>Tags!ITEM22_2008</vt:lpstr>
      <vt:lpstr>ITEM22_2008</vt:lpstr>
      <vt:lpstr>Tags!ITEM22_2009</vt:lpstr>
      <vt:lpstr>ITEM22_2009</vt:lpstr>
      <vt:lpstr>Tags!ITEM22_2010</vt:lpstr>
      <vt:lpstr>ITEM22_2010</vt:lpstr>
      <vt:lpstr>Tags!ITEM22_2011</vt:lpstr>
      <vt:lpstr>ITEM22_2011</vt:lpstr>
      <vt:lpstr>Tags!ITEM22_2012</vt:lpstr>
      <vt:lpstr>ITEM22_2012</vt:lpstr>
      <vt:lpstr>Tags!ITEM22_2013</vt:lpstr>
      <vt:lpstr>ITEM22_2013</vt:lpstr>
      <vt:lpstr>Tags!ITEM22_2014</vt:lpstr>
      <vt:lpstr>ITEM22_2014</vt:lpstr>
      <vt:lpstr>ITEM22_2015</vt:lpstr>
      <vt:lpstr>Tags!ITEM22_2016</vt:lpstr>
      <vt:lpstr>ITEM22_2016</vt:lpstr>
      <vt:lpstr>Tags!ITEM22_2017</vt:lpstr>
      <vt:lpstr>ITEM22_2017</vt:lpstr>
      <vt:lpstr>Tags!ITEM22_2018</vt:lpstr>
      <vt:lpstr>ITEM22_2018</vt:lpstr>
      <vt:lpstr>Tags!ITEM22_2019</vt:lpstr>
      <vt:lpstr>ITEM22_2019</vt:lpstr>
      <vt:lpstr>Tags!ITEM22_2020</vt:lpstr>
      <vt:lpstr>ITEM22_2020</vt:lpstr>
      <vt:lpstr>ITEM22_2021</vt:lpstr>
      <vt:lpstr>ITEM22_2022</vt:lpstr>
      <vt:lpstr>ITEM22_2023</vt:lpstr>
      <vt:lpstr>ITEM22_2024</vt:lpstr>
      <vt:lpstr>Tags!ITEM22_2Q00</vt:lpstr>
      <vt:lpstr>ITEM22_2Q00</vt:lpstr>
      <vt:lpstr>Tags!ITEM22_2Q01</vt:lpstr>
      <vt:lpstr>ITEM22_2Q01</vt:lpstr>
      <vt:lpstr>Tags!ITEM22_2Q02</vt:lpstr>
      <vt:lpstr>ITEM22_2Q02</vt:lpstr>
      <vt:lpstr>Tags!ITEM22_2Q03</vt:lpstr>
      <vt:lpstr>ITEM22_2Q03</vt:lpstr>
      <vt:lpstr>Tags!ITEM22_2Q04</vt:lpstr>
      <vt:lpstr>ITEM22_2Q04</vt:lpstr>
      <vt:lpstr>Tags!ITEM22_2Q05</vt:lpstr>
      <vt:lpstr>ITEM22_2Q05</vt:lpstr>
      <vt:lpstr>Tags!ITEM22_2Q06</vt:lpstr>
      <vt:lpstr>ITEM22_2Q06</vt:lpstr>
      <vt:lpstr>Tags!ITEM22_2Q07</vt:lpstr>
      <vt:lpstr>ITEM22_2Q07</vt:lpstr>
      <vt:lpstr>Tags!ITEM22_2Q08</vt:lpstr>
      <vt:lpstr>ITEM22_2Q08</vt:lpstr>
      <vt:lpstr>Tags!ITEM22_2Q09</vt:lpstr>
      <vt:lpstr>ITEM22_2Q09</vt:lpstr>
      <vt:lpstr>Tags!ITEM22_2Q10</vt:lpstr>
      <vt:lpstr>ITEM22_2Q10</vt:lpstr>
      <vt:lpstr>Tags!ITEM22_2Q11</vt:lpstr>
      <vt:lpstr>ITEM22_2Q11</vt:lpstr>
      <vt:lpstr>Tags!ITEM22_2Q12</vt:lpstr>
      <vt:lpstr>ITEM22_2Q12</vt:lpstr>
      <vt:lpstr>Tags!ITEM22_2Q13</vt:lpstr>
      <vt:lpstr>ITEM22_2Q13</vt:lpstr>
      <vt:lpstr>Tags!ITEM22_2Q14</vt:lpstr>
      <vt:lpstr>ITEM22_2Q14</vt:lpstr>
      <vt:lpstr>Tags!ITEM22_2Q15</vt:lpstr>
      <vt:lpstr>ITEM22_2Q15</vt:lpstr>
      <vt:lpstr>Tags!ITEM22_2Q16</vt:lpstr>
      <vt:lpstr>ITEM22_2Q16</vt:lpstr>
      <vt:lpstr>Tags!ITEM22_2Q17</vt:lpstr>
      <vt:lpstr>ITEM22_2Q17</vt:lpstr>
      <vt:lpstr>Tags!ITEM22_2Q18</vt:lpstr>
      <vt:lpstr>ITEM22_2Q18</vt:lpstr>
      <vt:lpstr>Tags!ITEM22_2Q19</vt:lpstr>
      <vt:lpstr>ITEM22_2Q19</vt:lpstr>
      <vt:lpstr>Tags!ITEM22_2Q20</vt:lpstr>
      <vt:lpstr>ITEM22_2Q20</vt:lpstr>
      <vt:lpstr>ITEM22_2Q21</vt:lpstr>
      <vt:lpstr>ITEM22_2Q22</vt:lpstr>
      <vt:lpstr>ITEM22_2Q23</vt:lpstr>
      <vt:lpstr>ITEM22_2Q24</vt:lpstr>
      <vt:lpstr>Tags!ITEM22_3Q00</vt:lpstr>
      <vt:lpstr>ITEM22_3Q00</vt:lpstr>
      <vt:lpstr>Tags!ITEM22_3Q01</vt:lpstr>
      <vt:lpstr>ITEM22_3Q01</vt:lpstr>
      <vt:lpstr>Tags!ITEM22_3Q02</vt:lpstr>
      <vt:lpstr>ITEM22_3Q02</vt:lpstr>
      <vt:lpstr>Tags!ITEM22_3Q03</vt:lpstr>
      <vt:lpstr>ITEM22_3Q03</vt:lpstr>
      <vt:lpstr>Tags!ITEM22_3Q04</vt:lpstr>
      <vt:lpstr>ITEM22_3Q04</vt:lpstr>
      <vt:lpstr>Tags!ITEM22_3Q05</vt:lpstr>
      <vt:lpstr>ITEM22_3Q05</vt:lpstr>
      <vt:lpstr>Tags!ITEM22_3Q06</vt:lpstr>
      <vt:lpstr>ITEM22_3Q06</vt:lpstr>
      <vt:lpstr>Tags!ITEM22_3Q07</vt:lpstr>
      <vt:lpstr>ITEM22_3Q07</vt:lpstr>
      <vt:lpstr>Tags!ITEM22_3Q08</vt:lpstr>
      <vt:lpstr>ITEM22_3Q08</vt:lpstr>
      <vt:lpstr>Tags!ITEM22_3Q09</vt:lpstr>
      <vt:lpstr>ITEM22_3Q09</vt:lpstr>
      <vt:lpstr>Tags!ITEM22_3Q10</vt:lpstr>
      <vt:lpstr>ITEM22_3Q10</vt:lpstr>
      <vt:lpstr>Tags!ITEM22_3Q11</vt:lpstr>
      <vt:lpstr>ITEM22_3Q11</vt:lpstr>
      <vt:lpstr>Tags!ITEM22_3Q12</vt:lpstr>
      <vt:lpstr>ITEM22_3Q12</vt:lpstr>
      <vt:lpstr>Tags!ITEM22_3Q13</vt:lpstr>
      <vt:lpstr>ITEM22_3Q13</vt:lpstr>
      <vt:lpstr>Tags!ITEM22_3Q14</vt:lpstr>
      <vt:lpstr>ITEM22_3Q14</vt:lpstr>
      <vt:lpstr>Tags!ITEM22_3Q15</vt:lpstr>
      <vt:lpstr>ITEM22_3Q15</vt:lpstr>
      <vt:lpstr>Tags!ITEM22_3Q16</vt:lpstr>
      <vt:lpstr>ITEM22_3Q16</vt:lpstr>
      <vt:lpstr>Tags!ITEM22_3Q17</vt:lpstr>
      <vt:lpstr>ITEM22_3Q17</vt:lpstr>
      <vt:lpstr>Tags!ITEM22_3Q18</vt:lpstr>
      <vt:lpstr>ITEM22_3Q18</vt:lpstr>
      <vt:lpstr>Tags!ITEM22_3Q19</vt:lpstr>
      <vt:lpstr>ITEM22_3Q19</vt:lpstr>
      <vt:lpstr>Tags!ITEM22_3Q20</vt:lpstr>
      <vt:lpstr>ITEM22_3Q20</vt:lpstr>
      <vt:lpstr>ITEM22_3Q21</vt:lpstr>
      <vt:lpstr>ITEM22_3Q22</vt:lpstr>
      <vt:lpstr>ITEM22_3Q23</vt:lpstr>
      <vt:lpstr>ITEM22_3Q24</vt:lpstr>
      <vt:lpstr>Tags!ITEM22_4Q00</vt:lpstr>
      <vt:lpstr>ITEM22_4Q00</vt:lpstr>
      <vt:lpstr>Tags!ITEM22_4Q01</vt:lpstr>
      <vt:lpstr>ITEM22_4Q01</vt:lpstr>
      <vt:lpstr>Tags!ITEM22_4Q02</vt:lpstr>
      <vt:lpstr>ITEM22_4Q02</vt:lpstr>
      <vt:lpstr>Tags!ITEM22_4Q03</vt:lpstr>
      <vt:lpstr>ITEM22_4Q03</vt:lpstr>
      <vt:lpstr>Tags!ITEM22_4Q04</vt:lpstr>
      <vt:lpstr>ITEM22_4Q04</vt:lpstr>
      <vt:lpstr>Tags!ITEM22_4Q05</vt:lpstr>
      <vt:lpstr>ITEM22_4Q05</vt:lpstr>
      <vt:lpstr>Tags!ITEM22_4Q06</vt:lpstr>
      <vt:lpstr>ITEM22_4Q06</vt:lpstr>
      <vt:lpstr>Tags!ITEM22_4Q07</vt:lpstr>
      <vt:lpstr>ITEM22_4Q07</vt:lpstr>
      <vt:lpstr>Tags!ITEM22_4Q08</vt:lpstr>
      <vt:lpstr>ITEM22_4Q08</vt:lpstr>
      <vt:lpstr>Tags!ITEM22_4Q09</vt:lpstr>
      <vt:lpstr>ITEM22_4Q09</vt:lpstr>
      <vt:lpstr>Tags!ITEM22_4Q10</vt:lpstr>
      <vt:lpstr>ITEM22_4Q10</vt:lpstr>
      <vt:lpstr>Tags!ITEM22_4Q11</vt:lpstr>
      <vt:lpstr>ITEM22_4Q11</vt:lpstr>
      <vt:lpstr>Tags!ITEM22_4Q12</vt:lpstr>
      <vt:lpstr>ITEM22_4Q12</vt:lpstr>
      <vt:lpstr>Tags!ITEM22_4Q13</vt:lpstr>
      <vt:lpstr>ITEM22_4Q13</vt:lpstr>
      <vt:lpstr>Tags!ITEM22_4Q14</vt:lpstr>
      <vt:lpstr>ITEM22_4Q14</vt:lpstr>
      <vt:lpstr>Tags!ITEM22_4Q15</vt:lpstr>
      <vt:lpstr>ITEM22_4Q15</vt:lpstr>
      <vt:lpstr>Tags!ITEM22_4Q16</vt:lpstr>
      <vt:lpstr>ITEM22_4Q16</vt:lpstr>
      <vt:lpstr>Tags!ITEM22_4Q17</vt:lpstr>
      <vt:lpstr>ITEM22_4Q17</vt:lpstr>
      <vt:lpstr>Tags!ITEM22_4Q18</vt:lpstr>
      <vt:lpstr>ITEM22_4Q18</vt:lpstr>
      <vt:lpstr>Tags!ITEM22_4Q19</vt:lpstr>
      <vt:lpstr>ITEM22_4Q19</vt:lpstr>
      <vt:lpstr>Tags!ITEM22_4Q20</vt:lpstr>
      <vt:lpstr>ITEM22_4Q20</vt:lpstr>
      <vt:lpstr>ITEM22_4Q21</vt:lpstr>
      <vt:lpstr>ITEM22_4Q22</vt:lpstr>
      <vt:lpstr>ITEM22_4Q23</vt:lpstr>
      <vt:lpstr>ITEM22_4Q24</vt:lpstr>
      <vt:lpstr>ITEM23_1995</vt:lpstr>
      <vt:lpstr>ITEM23_1996</vt:lpstr>
      <vt:lpstr>ITEM23_1997</vt:lpstr>
      <vt:lpstr>ITEM23_1998</vt:lpstr>
      <vt:lpstr>ITEM23_1999</vt:lpstr>
      <vt:lpstr>Tags!ITEM23_1Q00</vt:lpstr>
      <vt:lpstr>ITEM23_1Q00</vt:lpstr>
      <vt:lpstr>Tags!ITEM23_1Q01</vt:lpstr>
      <vt:lpstr>ITEM23_1Q01</vt:lpstr>
      <vt:lpstr>Tags!ITEM23_1Q02</vt:lpstr>
      <vt:lpstr>ITEM23_1Q02</vt:lpstr>
      <vt:lpstr>Tags!ITEM23_1Q03</vt:lpstr>
      <vt:lpstr>ITEM23_1Q03</vt:lpstr>
      <vt:lpstr>Tags!ITEM23_1Q04</vt:lpstr>
      <vt:lpstr>ITEM23_1Q04</vt:lpstr>
      <vt:lpstr>Tags!ITEM23_1Q05</vt:lpstr>
      <vt:lpstr>ITEM23_1Q05</vt:lpstr>
      <vt:lpstr>Tags!ITEM23_1Q06</vt:lpstr>
      <vt:lpstr>ITEM23_1Q06</vt:lpstr>
      <vt:lpstr>Tags!ITEM23_1Q07</vt:lpstr>
      <vt:lpstr>ITEM23_1Q07</vt:lpstr>
      <vt:lpstr>Tags!ITEM23_1Q08</vt:lpstr>
      <vt:lpstr>ITEM23_1Q08</vt:lpstr>
      <vt:lpstr>Tags!ITEM23_1Q09</vt:lpstr>
      <vt:lpstr>ITEM23_1Q09</vt:lpstr>
      <vt:lpstr>Tags!ITEM23_1Q10</vt:lpstr>
      <vt:lpstr>ITEM23_1Q10</vt:lpstr>
      <vt:lpstr>Tags!ITEM23_1Q11</vt:lpstr>
      <vt:lpstr>ITEM23_1Q11</vt:lpstr>
      <vt:lpstr>Tags!ITEM23_1Q12</vt:lpstr>
      <vt:lpstr>ITEM23_1Q12</vt:lpstr>
      <vt:lpstr>Tags!ITEM23_1Q13</vt:lpstr>
      <vt:lpstr>ITEM23_1Q13</vt:lpstr>
      <vt:lpstr>Tags!ITEM23_1Q14</vt:lpstr>
      <vt:lpstr>ITEM23_1Q14</vt:lpstr>
      <vt:lpstr>Tags!ITEM23_1Q15</vt:lpstr>
      <vt:lpstr>ITEM23_1Q15</vt:lpstr>
      <vt:lpstr>Tags!ITEM23_1Q16</vt:lpstr>
      <vt:lpstr>ITEM23_1Q16</vt:lpstr>
      <vt:lpstr>Tags!ITEM23_1Q17</vt:lpstr>
      <vt:lpstr>ITEM23_1Q17</vt:lpstr>
      <vt:lpstr>Tags!ITEM23_1Q18</vt:lpstr>
      <vt:lpstr>ITEM23_1Q18</vt:lpstr>
      <vt:lpstr>Tags!ITEM23_1Q19</vt:lpstr>
      <vt:lpstr>ITEM23_1Q19</vt:lpstr>
      <vt:lpstr>Tags!ITEM23_1Q20</vt:lpstr>
      <vt:lpstr>ITEM23_1Q20</vt:lpstr>
      <vt:lpstr>ITEM23_1Q21</vt:lpstr>
      <vt:lpstr>ITEM23_1Q22</vt:lpstr>
      <vt:lpstr>ITEM23_1Q23</vt:lpstr>
      <vt:lpstr>ITEM23_1Q24</vt:lpstr>
      <vt:lpstr>Tags!ITEM23_2000</vt:lpstr>
      <vt:lpstr>ITEM23_2000</vt:lpstr>
      <vt:lpstr>Tags!ITEM23_2001</vt:lpstr>
      <vt:lpstr>ITEM23_2001</vt:lpstr>
      <vt:lpstr>Tags!ITEM23_2002</vt:lpstr>
      <vt:lpstr>ITEM23_2002</vt:lpstr>
      <vt:lpstr>Tags!ITEM23_2003</vt:lpstr>
      <vt:lpstr>ITEM23_2003</vt:lpstr>
      <vt:lpstr>Tags!ITEM23_2004</vt:lpstr>
      <vt:lpstr>ITEM23_2004</vt:lpstr>
      <vt:lpstr>Tags!ITEM23_2005</vt:lpstr>
      <vt:lpstr>ITEM23_2005</vt:lpstr>
      <vt:lpstr>Tags!ITEM23_2006</vt:lpstr>
      <vt:lpstr>ITEM23_2006</vt:lpstr>
      <vt:lpstr>Tags!ITEM23_2007</vt:lpstr>
      <vt:lpstr>ITEM23_2007</vt:lpstr>
      <vt:lpstr>Tags!ITEM23_2008</vt:lpstr>
      <vt:lpstr>ITEM23_2008</vt:lpstr>
      <vt:lpstr>Tags!ITEM23_2009</vt:lpstr>
      <vt:lpstr>ITEM23_2009</vt:lpstr>
      <vt:lpstr>Tags!ITEM23_2010</vt:lpstr>
      <vt:lpstr>ITEM23_2010</vt:lpstr>
      <vt:lpstr>Tags!ITEM23_2011</vt:lpstr>
      <vt:lpstr>ITEM23_2011</vt:lpstr>
      <vt:lpstr>Tags!ITEM23_2012</vt:lpstr>
      <vt:lpstr>ITEM23_2012</vt:lpstr>
      <vt:lpstr>Tags!ITEM23_2013</vt:lpstr>
      <vt:lpstr>ITEM23_2013</vt:lpstr>
      <vt:lpstr>Tags!ITEM23_2014</vt:lpstr>
      <vt:lpstr>ITEM23_2014</vt:lpstr>
      <vt:lpstr>ITEM23_2015</vt:lpstr>
      <vt:lpstr>Tags!ITEM23_2016</vt:lpstr>
      <vt:lpstr>ITEM23_2016</vt:lpstr>
      <vt:lpstr>Tags!ITEM23_2017</vt:lpstr>
      <vt:lpstr>ITEM23_2017</vt:lpstr>
      <vt:lpstr>Tags!ITEM23_2018</vt:lpstr>
      <vt:lpstr>ITEM23_2018</vt:lpstr>
      <vt:lpstr>Tags!ITEM23_2019</vt:lpstr>
      <vt:lpstr>ITEM23_2019</vt:lpstr>
      <vt:lpstr>Tags!ITEM23_2020</vt:lpstr>
      <vt:lpstr>ITEM23_2020</vt:lpstr>
      <vt:lpstr>ITEM23_2021</vt:lpstr>
      <vt:lpstr>ITEM23_2022</vt:lpstr>
      <vt:lpstr>ITEM23_2023</vt:lpstr>
      <vt:lpstr>ITEM23_2024</vt:lpstr>
      <vt:lpstr>Tags!ITEM23_2Q00</vt:lpstr>
      <vt:lpstr>ITEM23_2Q00</vt:lpstr>
      <vt:lpstr>Tags!ITEM23_2Q01</vt:lpstr>
      <vt:lpstr>ITEM23_2Q01</vt:lpstr>
      <vt:lpstr>Tags!ITEM23_2Q02</vt:lpstr>
      <vt:lpstr>ITEM23_2Q02</vt:lpstr>
      <vt:lpstr>Tags!ITEM23_2Q03</vt:lpstr>
      <vt:lpstr>ITEM23_2Q03</vt:lpstr>
      <vt:lpstr>Tags!ITEM23_2Q04</vt:lpstr>
      <vt:lpstr>ITEM23_2Q04</vt:lpstr>
      <vt:lpstr>Tags!ITEM23_2Q05</vt:lpstr>
      <vt:lpstr>ITEM23_2Q05</vt:lpstr>
      <vt:lpstr>Tags!ITEM23_2Q06</vt:lpstr>
      <vt:lpstr>ITEM23_2Q06</vt:lpstr>
      <vt:lpstr>Tags!ITEM23_2Q07</vt:lpstr>
      <vt:lpstr>ITEM23_2Q07</vt:lpstr>
      <vt:lpstr>Tags!ITEM23_2Q08</vt:lpstr>
      <vt:lpstr>ITEM23_2Q08</vt:lpstr>
      <vt:lpstr>Tags!ITEM23_2Q09</vt:lpstr>
      <vt:lpstr>ITEM23_2Q09</vt:lpstr>
      <vt:lpstr>Tags!ITEM23_2Q10</vt:lpstr>
      <vt:lpstr>ITEM23_2Q10</vt:lpstr>
      <vt:lpstr>Tags!ITEM23_2Q11</vt:lpstr>
      <vt:lpstr>ITEM23_2Q11</vt:lpstr>
      <vt:lpstr>Tags!ITEM23_2Q12</vt:lpstr>
      <vt:lpstr>ITEM23_2Q12</vt:lpstr>
      <vt:lpstr>Tags!ITEM23_2Q13</vt:lpstr>
      <vt:lpstr>ITEM23_2Q13</vt:lpstr>
      <vt:lpstr>Tags!ITEM23_2Q14</vt:lpstr>
      <vt:lpstr>ITEM23_2Q14</vt:lpstr>
      <vt:lpstr>Tags!ITEM23_2Q15</vt:lpstr>
      <vt:lpstr>ITEM23_2Q15</vt:lpstr>
      <vt:lpstr>Tags!ITEM23_2Q16</vt:lpstr>
      <vt:lpstr>ITEM23_2Q16</vt:lpstr>
      <vt:lpstr>Tags!ITEM23_2Q17</vt:lpstr>
      <vt:lpstr>ITEM23_2Q17</vt:lpstr>
      <vt:lpstr>Tags!ITEM23_2Q18</vt:lpstr>
      <vt:lpstr>ITEM23_2Q18</vt:lpstr>
      <vt:lpstr>Tags!ITEM23_2Q19</vt:lpstr>
      <vt:lpstr>ITEM23_2Q19</vt:lpstr>
      <vt:lpstr>Tags!ITEM23_2Q20</vt:lpstr>
      <vt:lpstr>ITEM23_2Q20</vt:lpstr>
      <vt:lpstr>ITEM23_2Q21</vt:lpstr>
      <vt:lpstr>ITEM23_2Q22</vt:lpstr>
      <vt:lpstr>ITEM23_2Q23</vt:lpstr>
      <vt:lpstr>ITEM23_2Q24</vt:lpstr>
      <vt:lpstr>Tags!ITEM23_3Q00</vt:lpstr>
      <vt:lpstr>ITEM23_3Q00</vt:lpstr>
      <vt:lpstr>Tags!ITEM23_3Q01</vt:lpstr>
      <vt:lpstr>ITEM23_3Q01</vt:lpstr>
      <vt:lpstr>Tags!ITEM23_3Q02</vt:lpstr>
      <vt:lpstr>ITEM23_3Q02</vt:lpstr>
      <vt:lpstr>Tags!ITEM23_3Q03</vt:lpstr>
      <vt:lpstr>ITEM23_3Q03</vt:lpstr>
      <vt:lpstr>Tags!ITEM23_3Q04</vt:lpstr>
      <vt:lpstr>ITEM23_3Q04</vt:lpstr>
      <vt:lpstr>Tags!ITEM23_3Q05</vt:lpstr>
      <vt:lpstr>ITEM23_3Q05</vt:lpstr>
      <vt:lpstr>Tags!ITEM23_3Q06</vt:lpstr>
      <vt:lpstr>ITEM23_3Q06</vt:lpstr>
      <vt:lpstr>Tags!ITEM23_3Q07</vt:lpstr>
      <vt:lpstr>ITEM23_3Q07</vt:lpstr>
      <vt:lpstr>Tags!ITEM23_3Q08</vt:lpstr>
      <vt:lpstr>ITEM23_3Q08</vt:lpstr>
      <vt:lpstr>Tags!ITEM23_3Q09</vt:lpstr>
      <vt:lpstr>ITEM23_3Q09</vt:lpstr>
      <vt:lpstr>Tags!ITEM23_3Q10</vt:lpstr>
      <vt:lpstr>ITEM23_3Q10</vt:lpstr>
      <vt:lpstr>Tags!ITEM23_3Q11</vt:lpstr>
      <vt:lpstr>ITEM23_3Q11</vt:lpstr>
      <vt:lpstr>Tags!ITEM23_3Q12</vt:lpstr>
      <vt:lpstr>ITEM23_3Q12</vt:lpstr>
      <vt:lpstr>Tags!ITEM23_3Q13</vt:lpstr>
      <vt:lpstr>ITEM23_3Q13</vt:lpstr>
      <vt:lpstr>Tags!ITEM23_3Q14</vt:lpstr>
      <vt:lpstr>ITEM23_3Q14</vt:lpstr>
      <vt:lpstr>Tags!ITEM23_3Q15</vt:lpstr>
      <vt:lpstr>ITEM23_3Q15</vt:lpstr>
      <vt:lpstr>Tags!ITEM23_3Q16</vt:lpstr>
      <vt:lpstr>ITEM23_3Q16</vt:lpstr>
      <vt:lpstr>Tags!ITEM23_3Q17</vt:lpstr>
      <vt:lpstr>ITEM23_3Q17</vt:lpstr>
      <vt:lpstr>Tags!ITEM23_3Q18</vt:lpstr>
      <vt:lpstr>ITEM23_3Q18</vt:lpstr>
      <vt:lpstr>Tags!ITEM23_3Q19</vt:lpstr>
      <vt:lpstr>ITEM23_3Q19</vt:lpstr>
      <vt:lpstr>Tags!ITEM23_3Q20</vt:lpstr>
      <vt:lpstr>ITEM23_3Q20</vt:lpstr>
      <vt:lpstr>ITEM23_3Q21</vt:lpstr>
      <vt:lpstr>ITEM23_3Q22</vt:lpstr>
      <vt:lpstr>ITEM23_3Q23</vt:lpstr>
      <vt:lpstr>ITEM23_3Q24</vt:lpstr>
      <vt:lpstr>Tags!ITEM23_4Q00</vt:lpstr>
      <vt:lpstr>ITEM23_4Q00</vt:lpstr>
      <vt:lpstr>Tags!ITEM23_4Q01</vt:lpstr>
      <vt:lpstr>ITEM23_4Q01</vt:lpstr>
      <vt:lpstr>Tags!ITEM23_4Q02</vt:lpstr>
      <vt:lpstr>ITEM23_4Q02</vt:lpstr>
      <vt:lpstr>Tags!ITEM23_4Q03</vt:lpstr>
      <vt:lpstr>ITEM23_4Q03</vt:lpstr>
      <vt:lpstr>Tags!ITEM23_4Q04</vt:lpstr>
      <vt:lpstr>ITEM23_4Q04</vt:lpstr>
      <vt:lpstr>Tags!ITEM23_4Q05</vt:lpstr>
      <vt:lpstr>ITEM23_4Q05</vt:lpstr>
      <vt:lpstr>Tags!ITEM23_4Q06</vt:lpstr>
      <vt:lpstr>ITEM23_4Q06</vt:lpstr>
      <vt:lpstr>Tags!ITEM23_4Q07</vt:lpstr>
      <vt:lpstr>ITEM23_4Q07</vt:lpstr>
      <vt:lpstr>Tags!ITEM23_4Q08</vt:lpstr>
      <vt:lpstr>ITEM23_4Q08</vt:lpstr>
      <vt:lpstr>Tags!ITEM23_4Q09</vt:lpstr>
      <vt:lpstr>ITEM23_4Q09</vt:lpstr>
      <vt:lpstr>Tags!ITEM23_4Q10</vt:lpstr>
      <vt:lpstr>ITEM23_4Q10</vt:lpstr>
      <vt:lpstr>Tags!ITEM23_4Q11</vt:lpstr>
      <vt:lpstr>ITEM23_4Q11</vt:lpstr>
      <vt:lpstr>Tags!ITEM23_4Q12</vt:lpstr>
      <vt:lpstr>ITEM23_4Q12</vt:lpstr>
      <vt:lpstr>Tags!ITEM23_4Q13</vt:lpstr>
      <vt:lpstr>ITEM23_4Q13</vt:lpstr>
      <vt:lpstr>Tags!ITEM23_4Q14</vt:lpstr>
      <vt:lpstr>ITEM23_4Q14</vt:lpstr>
      <vt:lpstr>Tags!ITEM23_4Q15</vt:lpstr>
      <vt:lpstr>ITEM23_4Q15</vt:lpstr>
      <vt:lpstr>Tags!ITEM23_4Q16</vt:lpstr>
      <vt:lpstr>ITEM23_4Q16</vt:lpstr>
      <vt:lpstr>Tags!ITEM23_4Q17</vt:lpstr>
      <vt:lpstr>ITEM23_4Q17</vt:lpstr>
      <vt:lpstr>Tags!ITEM23_4Q18</vt:lpstr>
      <vt:lpstr>ITEM23_4Q18</vt:lpstr>
      <vt:lpstr>Tags!ITEM23_4Q19</vt:lpstr>
      <vt:lpstr>ITEM23_4Q19</vt:lpstr>
      <vt:lpstr>Tags!ITEM23_4Q20</vt:lpstr>
      <vt:lpstr>ITEM23_4Q20</vt:lpstr>
      <vt:lpstr>ITEM23_4Q21</vt:lpstr>
      <vt:lpstr>ITEM23_4Q22</vt:lpstr>
      <vt:lpstr>ITEM23_4Q23</vt:lpstr>
      <vt:lpstr>ITEM23_4Q24</vt:lpstr>
      <vt:lpstr>ITEM24_1995</vt:lpstr>
      <vt:lpstr>ITEM24_1996</vt:lpstr>
      <vt:lpstr>ITEM24_1997</vt:lpstr>
      <vt:lpstr>ITEM24_1998</vt:lpstr>
      <vt:lpstr>ITEM24_1999</vt:lpstr>
      <vt:lpstr>Tags!ITEM24_1Q00</vt:lpstr>
      <vt:lpstr>ITEM24_1Q00</vt:lpstr>
      <vt:lpstr>Tags!ITEM24_1Q01</vt:lpstr>
      <vt:lpstr>ITEM24_1Q01</vt:lpstr>
      <vt:lpstr>Tags!ITEM24_1Q02</vt:lpstr>
      <vt:lpstr>ITEM24_1Q02</vt:lpstr>
      <vt:lpstr>Tags!ITEM24_1Q03</vt:lpstr>
      <vt:lpstr>ITEM24_1Q03</vt:lpstr>
      <vt:lpstr>Tags!ITEM24_1Q04</vt:lpstr>
      <vt:lpstr>ITEM24_1Q04</vt:lpstr>
      <vt:lpstr>Tags!ITEM24_1Q05</vt:lpstr>
      <vt:lpstr>ITEM24_1Q05</vt:lpstr>
      <vt:lpstr>Tags!ITEM24_1Q06</vt:lpstr>
      <vt:lpstr>ITEM24_1Q06</vt:lpstr>
      <vt:lpstr>Tags!ITEM24_1Q07</vt:lpstr>
      <vt:lpstr>ITEM24_1Q07</vt:lpstr>
      <vt:lpstr>Tags!ITEM24_1Q08</vt:lpstr>
      <vt:lpstr>ITEM24_1Q08</vt:lpstr>
      <vt:lpstr>Tags!ITEM24_1Q09</vt:lpstr>
      <vt:lpstr>ITEM24_1Q09</vt:lpstr>
      <vt:lpstr>Tags!ITEM24_1Q10</vt:lpstr>
      <vt:lpstr>ITEM24_1Q10</vt:lpstr>
      <vt:lpstr>Tags!ITEM24_1Q11</vt:lpstr>
      <vt:lpstr>ITEM24_1Q11</vt:lpstr>
      <vt:lpstr>Tags!ITEM24_1Q12</vt:lpstr>
      <vt:lpstr>ITEM24_1Q12</vt:lpstr>
      <vt:lpstr>Tags!ITEM24_1Q13</vt:lpstr>
      <vt:lpstr>ITEM24_1Q13</vt:lpstr>
      <vt:lpstr>Tags!ITEM24_1Q14</vt:lpstr>
      <vt:lpstr>ITEM24_1Q14</vt:lpstr>
      <vt:lpstr>Tags!ITEM24_1Q15</vt:lpstr>
      <vt:lpstr>ITEM24_1Q15</vt:lpstr>
      <vt:lpstr>Tags!ITEM24_1Q16</vt:lpstr>
      <vt:lpstr>ITEM24_1Q16</vt:lpstr>
      <vt:lpstr>Tags!ITEM24_1Q17</vt:lpstr>
      <vt:lpstr>ITEM24_1Q17</vt:lpstr>
      <vt:lpstr>Tags!ITEM24_1Q18</vt:lpstr>
      <vt:lpstr>ITEM24_1Q18</vt:lpstr>
      <vt:lpstr>Tags!ITEM24_1Q19</vt:lpstr>
      <vt:lpstr>ITEM24_1Q19</vt:lpstr>
      <vt:lpstr>Tags!ITEM24_1Q20</vt:lpstr>
      <vt:lpstr>ITEM24_1Q20</vt:lpstr>
      <vt:lpstr>ITEM24_1Q21</vt:lpstr>
      <vt:lpstr>ITEM24_1Q22</vt:lpstr>
      <vt:lpstr>ITEM24_1Q23</vt:lpstr>
      <vt:lpstr>ITEM24_1Q24</vt:lpstr>
      <vt:lpstr>Tags!ITEM24_2000</vt:lpstr>
      <vt:lpstr>ITEM24_2000</vt:lpstr>
      <vt:lpstr>Tags!ITEM24_2001</vt:lpstr>
      <vt:lpstr>ITEM24_2001</vt:lpstr>
      <vt:lpstr>Tags!ITEM24_2002</vt:lpstr>
      <vt:lpstr>ITEM24_2002</vt:lpstr>
      <vt:lpstr>Tags!ITEM24_2003</vt:lpstr>
      <vt:lpstr>ITEM24_2003</vt:lpstr>
      <vt:lpstr>Tags!ITEM24_2004</vt:lpstr>
      <vt:lpstr>ITEM24_2004</vt:lpstr>
      <vt:lpstr>Tags!ITEM24_2005</vt:lpstr>
      <vt:lpstr>ITEM24_2005</vt:lpstr>
      <vt:lpstr>Tags!ITEM24_2006</vt:lpstr>
      <vt:lpstr>ITEM24_2006</vt:lpstr>
      <vt:lpstr>Tags!ITEM24_2007</vt:lpstr>
      <vt:lpstr>ITEM24_2007</vt:lpstr>
      <vt:lpstr>Tags!ITEM24_2008</vt:lpstr>
      <vt:lpstr>ITEM24_2008</vt:lpstr>
      <vt:lpstr>Tags!ITEM24_2009</vt:lpstr>
      <vt:lpstr>ITEM24_2009</vt:lpstr>
      <vt:lpstr>Tags!ITEM24_2010</vt:lpstr>
      <vt:lpstr>ITEM24_2010</vt:lpstr>
      <vt:lpstr>Tags!ITEM24_2011</vt:lpstr>
      <vt:lpstr>ITEM24_2011</vt:lpstr>
      <vt:lpstr>Tags!ITEM24_2012</vt:lpstr>
      <vt:lpstr>ITEM24_2012</vt:lpstr>
      <vt:lpstr>Tags!ITEM24_2013</vt:lpstr>
      <vt:lpstr>ITEM24_2013</vt:lpstr>
      <vt:lpstr>Tags!ITEM24_2014</vt:lpstr>
      <vt:lpstr>ITEM24_2014</vt:lpstr>
      <vt:lpstr>ITEM24_2015</vt:lpstr>
      <vt:lpstr>Tags!ITEM24_2016</vt:lpstr>
      <vt:lpstr>ITEM24_2016</vt:lpstr>
      <vt:lpstr>Tags!ITEM24_2017</vt:lpstr>
      <vt:lpstr>ITEM24_2017</vt:lpstr>
      <vt:lpstr>Tags!ITEM24_2018</vt:lpstr>
      <vt:lpstr>ITEM24_2018</vt:lpstr>
      <vt:lpstr>Tags!ITEM24_2019</vt:lpstr>
      <vt:lpstr>ITEM24_2019</vt:lpstr>
      <vt:lpstr>Tags!ITEM24_2020</vt:lpstr>
      <vt:lpstr>ITEM24_2020</vt:lpstr>
      <vt:lpstr>ITEM24_2021</vt:lpstr>
      <vt:lpstr>ITEM24_2022</vt:lpstr>
      <vt:lpstr>ITEM24_2023</vt:lpstr>
      <vt:lpstr>ITEM24_2024</vt:lpstr>
      <vt:lpstr>Tags!ITEM24_2Q00</vt:lpstr>
      <vt:lpstr>ITEM24_2Q00</vt:lpstr>
      <vt:lpstr>Tags!ITEM24_2Q01</vt:lpstr>
      <vt:lpstr>ITEM24_2Q01</vt:lpstr>
      <vt:lpstr>Tags!ITEM24_2Q02</vt:lpstr>
      <vt:lpstr>ITEM24_2Q02</vt:lpstr>
      <vt:lpstr>Tags!ITEM24_2Q03</vt:lpstr>
      <vt:lpstr>ITEM24_2Q03</vt:lpstr>
      <vt:lpstr>Tags!ITEM24_2Q04</vt:lpstr>
      <vt:lpstr>ITEM24_2Q04</vt:lpstr>
      <vt:lpstr>Tags!ITEM24_2Q05</vt:lpstr>
      <vt:lpstr>ITEM24_2Q05</vt:lpstr>
      <vt:lpstr>Tags!ITEM24_2Q06</vt:lpstr>
      <vt:lpstr>ITEM24_2Q06</vt:lpstr>
      <vt:lpstr>Tags!ITEM24_2Q07</vt:lpstr>
      <vt:lpstr>ITEM24_2Q07</vt:lpstr>
      <vt:lpstr>Tags!ITEM24_2Q08</vt:lpstr>
      <vt:lpstr>ITEM24_2Q08</vt:lpstr>
      <vt:lpstr>Tags!ITEM24_2Q09</vt:lpstr>
      <vt:lpstr>ITEM24_2Q09</vt:lpstr>
      <vt:lpstr>Tags!ITEM24_2Q10</vt:lpstr>
      <vt:lpstr>ITEM24_2Q10</vt:lpstr>
      <vt:lpstr>Tags!ITEM24_2Q11</vt:lpstr>
      <vt:lpstr>ITEM24_2Q11</vt:lpstr>
      <vt:lpstr>Tags!ITEM24_2Q12</vt:lpstr>
      <vt:lpstr>ITEM24_2Q12</vt:lpstr>
      <vt:lpstr>Tags!ITEM24_2Q13</vt:lpstr>
      <vt:lpstr>ITEM24_2Q13</vt:lpstr>
      <vt:lpstr>Tags!ITEM24_2Q14</vt:lpstr>
      <vt:lpstr>ITEM24_2Q14</vt:lpstr>
      <vt:lpstr>Tags!ITEM24_2Q15</vt:lpstr>
      <vt:lpstr>ITEM24_2Q15</vt:lpstr>
      <vt:lpstr>Tags!ITEM24_2Q16</vt:lpstr>
      <vt:lpstr>ITEM24_2Q16</vt:lpstr>
      <vt:lpstr>Tags!ITEM24_2Q17</vt:lpstr>
      <vt:lpstr>ITEM24_2Q17</vt:lpstr>
      <vt:lpstr>Tags!ITEM24_2Q18</vt:lpstr>
      <vt:lpstr>ITEM24_2Q18</vt:lpstr>
      <vt:lpstr>Tags!ITEM24_2Q19</vt:lpstr>
      <vt:lpstr>ITEM24_2Q19</vt:lpstr>
      <vt:lpstr>Tags!ITEM24_2Q20</vt:lpstr>
      <vt:lpstr>ITEM24_2Q20</vt:lpstr>
      <vt:lpstr>ITEM24_2Q21</vt:lpstr>
      <vt:lpstr>ITEM24_2Q22</vt:lpstr>
      <vt:lpstr>ITEM24_2Q23</vt:lpstr>
      <vt:lpstr>ITEM24_2Q24</vt:lpstr>
      <vt:lpstr>Tags!ITEM24_3Q00</vt:lpstr>
      <vt:lpstr>ITEM24_3Q00</vt:lpstr>
      <vt:lpstr>Tags!ITEM24_3Q01</vt:lpstr>
      <vt:lpstr>ITEM24_3Q01</vt:lpstr>
      <vt:lpstr>Tags!ITEM24_3Q02</vt:lpstr>
      <vt:lpstr>ITEM24_3Q02</vt:lpstr>
      <vt:lpstr>Tags!ITEM24_3Q03</vt:lpstr>
      <vt:lpstr>ITEM24_3Q03</vt:lpstr>
      <vt:lpstr>Tags!ITEM24_3Q04</vt:lpstr>
      <vt:lpstr>ITEM24_3Q04</vt:lpstr>
      <vt:lpstr>Tags!ITEM24_3Q05</vt:lpstr>
      <vt:lpstr>ITEM24_3Q05</vt:lpstr>
      <vt:lpstr>Tags!ITEM24_3Q06</vt:lpstr>
      <vt:lpstr>ITEM24_3Q06</vt:lpstr>
      <vt:lpstr>Tags!ITEM24_3Q07</vt:lpstr>
      <vt:lpstr>ITEM24_3Q07</vt:lpstr>
      <vt:lpstr>Tags!ITEM24_3Q08</vt:lpstr>
      <vt:lpstr>ITEM24_3Q08</vt:lpstr>
      <vt:lpstr>Tags!ITEM24_3Q09</vt:lpstr>
      <vt:lpstr>ITEM24_3Q09</vt:lpstr>
      <vt:lpstr>Tags!ITEM24_3Q10</vt:lpstr>
      <vt:lpstr>ITEM24_3Q10</vt:lpstr>
      <vt:lpstr>Tags!ITEM24_3Q11</vt:lpstr>
      <vt:lpstr>ITEM24_3Q11</vt:lpstr>
      <vt:lpstr>Tags!ITEM24_3Q12</vt:lpstr>
      <vt:lpstr>ITEM24_3Q12</vt:lpstr>
      <vt:lpstr>Tags!ITEM24_3Q13</vt:lpstr>
      <vt:lpstr>ITEM24_3Q13</vt:lpstr>
      <vt:lpstr>Tags!ITEM24_3Q14</vt:lpstr>
      <vt:lpstr>ITEM24_3Q14</vt:lpstr>
      <vt:lpstr>Tags!ITEM24_3Q15</vt:lpstr>
      <vt:lpstr>ITEM24_3Q15</vt:lpstr>
      <vt:lpstr>Tags!ITEM24_3Q16</vt:lpstr>
      <vt:lpstr>ITEM24_3Q16</vt:lpstr>
      <vt:lpstr>Tags!ITEM24_3Q17</vt:lpstr>
      <vt:lpstr>ITEM24_3Q17</vt:lpstr>
      <vt:lpstr>Tags!ITEM24_3Q18</vt:lpstr>
      <vt:lpstr>ITEM24_3Q18</vt:lpstr>
      <vt:lpstr>Tags!ITEM24_3Q19</vt:lpstr>
      <vt:lpstr>ITEM24_3Q19</vt:lpstr>
      <vt:lpstr>Tags!ITEM24_3Q20</vt:lpstr>
      <vt:lpstr>ITEM24_3Q20</vt:lpstr>
      <vt:lpstr>ITEM24_3Q21</vt:lpstr>
      <vt:lpstr>ITEM24_3Q22</vt:lpstr>
      <vt:lpstr>ITEM24_3Q23</vt:lpstr>
      <vt:lpstr>ITEM24_3Q24</vt:lpstr>
      <vt:lpstr>Tags!ITEM24_4Q00</vt:lpstr>
      <vt:lpstr>ITEM24_4Q00</vt:lpstr>
      <vt:lpstr>Tags!ITEM24_4Q01</vt:lpstr>
      <vt:lpstr>ITEM24_4Q01</vt:lpstr>
      <vt:lpstr>Tags!ITEM24_4Q02</vt:lpstr>
      <vt:lpstr>ITEM24_4Q02</vt:lpstr>
      <vt:lpstr>Tags!ITEM24_4Q03</vt:lpstr>
      <vt:lpstr>ITEM24_4Q03</vt:lpstr>
      <vt:lpstr>Tags!ITEM24_4Q04</vt:lpstr>
      <vt:lpstr>ITEM24_4Q04</vt:lpstr>
      <vt:lpstr>Tags!ITEM24_4Q05</vt:lpstr>
      <vt:lpstr>ITEM24_4Q05</vt:lpstr>
      <vt:lpstr>Tags!ITEM24_4Q06</vt:lpstr>
      <vt:lpstr>ITEM24_4Q06</vt:lpstr>
      <vt:lpstr>Tags!ITEM24_4Q07</vt:lpstr>
      <vt:lpstr>ITEM24_4Q07</vt:lpstr>
      <vt:lpstr>Tags!ITEM24_4Q08</vt:lpstr>
      <vt:lpstr>ITEM24_4Q08</vt:lpstr>
      <vt:lpstr>Tags!ITEM24_4Q09</vt:lpstr>
      <vt:lpstr>ITEM24_4Q09</vt:lpstr>
      <vt:lpstr>Tags!ITEM24_4Q10</vt:lpstr>
      <vt:lpstr>ITEM24_4Q10</vt:lpstr>
      <vt:lpstr>Tags!ITEM24_4Q11</vt:lpstr>
      <vt:lpstr>ITEM24_4Q11</vt:lpstr>
      <vt:lpstr>Tags!ITEM24_4Q12</vt:lpstr>
      <vt:lpstr>ITEM24_4Q12</vt:lpstr>
      <vt:lpstr>Tags!ITEM24_4Q13</vt:lpstr>
      <vt:lpstr>ITEM24_4Q13</vt:lpstr>
      <vt:lpstr>Tags!ITEM24_4Q14</vt:lpstr>
      <vt:lpstr>ITEM24_4Q14</vt:lpstr>
      <vt:lpstr>Tags!ITEM24_4Q15</vt:lpstr>
      <vt:lpstr>ITEM24_4Q15</vt:lpstr>
      <vt:lpstr>Tags!ITEM24_4Q16</vt:lpstr>
      <vt:lpstr>ITEM24_4Q16</vt:lpstr>
      <vt:lpstr>Tags!ITEM24_4Q17</vt:lpstr>
      <vt:lpstr>ITEM24_4Q17</vt:lpstr>
      <vt:lpstr>Tags!ITEM24_4Q18</vt:lpstr>
      <vt:lpstr>ITEM24_4Q18</vt:lpstr>
      <vt:lpstr>Tags!ITEM24_4Q19</vt:lpstr>
      <vt:lpstr>ITEM24_4Q19</vt:lpstr>
      <vt:lpstr>Tags!ITEM24_4Q20</vt:lpstr>
      <vt:lpstr>ITEM24_4Q20</vt:lpstr>
      <vt:lpstr>ITEM24_4Q21</vt:lpstr>
      <vt:lpstr>ITEM24_4Q22</vt:lpstr>
      <vt:lpstr>ITEM24_4Q23</vt:lpstr>
      <vt:lpstr>ITEM24_4Q24</vt:lpstr>
      <vt:lpstr>ITEM25_1995</vt:lpstr>
      <vt:lpstr>ITEM25_1996</vt:lpstr>
      <vt:lpstr>ITEM25_1997</vt:lpstr>
      <vt:lpstr>ITEM25_1998</vt:lpstr>
      <vt:lpstr>ITEM25_1999</vt:lpstr>
      <vt:lpstr>Tags!ITEM25_1Q00</vt:lpstr>
      <vt:lpstr>ITEM25_1Q00</vt:lpstr>
      <vt:lpstr>Tags!ITEM25_1Q01</vt:lpstr>
      <vt:lpstr>ITEM25_1Q01</vt:lpstr>
      <vt:lpstr>Tags!ITEM25_1Q02</vt:lpstr>
      <vt:lpstr>ITEM25_1Q02</vt:lpstr>
      <vt:lpstr>Tags!ITEM25_1Q03</vt:lpstr>
      <vt:lpstr>ITEM25_1Q03</vt:lpstr>
      <vt:lpstr>Tags!ITEM25_1Q04</vt:lpstr>
      <vt:lpstr>ITEM25_1Q04</vt:lpstr>
      <vt:lpstr>Tags!ITEM25_1Q05</vt:lpstr>
      <vt:lpstr>ITEM25_1Q05</vt:lpstr>
      <vt:lpstr>Tags!ITEM25_1Q06</vt:lpstr>
      <vt:lpstr>ITEM25_1Q06</vt:lpstr>
      <vt:lpstr>Tags!ITEM25_1Q07</vt:lpstr>
      <vt:lpstr>ITEM25_1Q07</vt:lpstr>
      <vt:lpstr>Tags!ITEM25_1Q08</vt:lpstr>
      <vt:lpstr>ITEM25_1Q08</vt:lpstr>
      <vt:lpstr>Tags!ITEM25_1Q09</vt:lpstr>
      <vt:lpstr>ITEM25_1Q09</vt:lpstr>
      <vt:lpstr>Tags!ITEM25_1Q10</vt:lpstr>
      <vt:lpstr>ITEM25_1Q10</vt:lpstr>
      <vt:lpstr>Tags!ITEM25_1Q11</vt:lpstr>
      <vt:lpstr>ITEM25_1Q11</vt:lpstr>
      <vt:lpstr>Tags!ITEM25_1Q12</vt:lpstr>
      <vt:lpstr>ITEM25_1Q12</vt:lpstr>
      <vt:lpstr>Tags!ITEM25_1Q13</vt:lpstr>
      <vt:lpstr>ITEM25_1Q13</vt:lpstr>
      <vt:lpstr>Tags!ITEM25_1Q14</vt:lpstr>
      <vt:lpstr>ITEM25_1Q14</vt:lpstr>
      <vt:lpstr>Tags!ITEM25_1Q15</vt:lpstr>
      <vt:lpstr>ITEM25_1Q15</vt:lpstr>
      <vt:lpstr>Tags!ITEM25_1Q16</vt:lpstr>
      <vt:lpstr>ITEM25_1Q16</vt:lpstr>
      <vt:lpstr>Tags!ITEM25_1Q17</vt:lpstr>
      <vt:lpstr>ITEM25_1Q17</vt:lpstr>
      <vt:lpstr>Tags!ITEM25_1Q18</vt:lpstr>
      <vt:lpstr>ITEM25_1Q18</vt:lpstr>
      <vt:lpstr>Tags!ITEM25_1Q19</vt:lpstr>
      <vt:lpstr>ITEM25_1Q19</vt:lpstr>
      <vt:lpstr>Tags!ITEM25_1Q20</vt:lpstr>
      <vt:lpstr>ITEM25_1Q20</vt:lpstr>
      <vt:lpstr>ITEM25_1Q21</vt:lpstr>
      <vt:lpstr>ITEM25_1Q22</vt:lpstr>
      <vt:lpstr>ITEM25_1Q23</vt:lpstr>
      <vt:lpstr>ITEM25_1Q24</vt:lpstr>
      <vt:lpstr>Tags!ITEM25_2000</vt:lpstr>
      <vt:lpstr>ITEM25_2000</vt:lpstr>
      <vt:lpstr>Tags!ITEM25_2001</vt:lpstr>
      <vt:lpstr>ITEM25_2001</vt:lpstr>
      <vt:lpstr>Tags!ITEM25_2002</vt:lpstr>
      <vt:lpstr>ITEM25_2002</vt:lpstr>
      <vt:lpstr>Tags!ITEM25_2003</vt:lpstr>
      <vt:lpstr>ITEM25_2003</vt:lpstr>
      <vt:lpstr>Tags!ITEM25_2004</vt:lpstr>
      <vt:lpstr>ITEM25_2004</vt:lpstr>
      <vt:lpstr>Tags!ITEM25_2005</vt:lpstr>
      <vt:lpstr>ITEM25_2005</vt:lpstr>
      <vt:lpstr>Tags!ITEM25_2006</vt:lpstr>
      <vt:lpstr>ITEM25_2006</vt:lpstr>
      <vt:lpstr>Tags!ITEM25_2007</vt:lpstr>
      <vt:lpstr>ITEM25_2007</vt:lpstr>
      <vt:lpstr>Tags!ITEM25_2008</vt:lpstr>
      <vt:lpstr>ITEM25_2008</vt:lpstr>
      <vt:lpstr>Tags!ITEM25_2009</vt:lpstr>
      <vt:lpstr>ITEM25_2009</vt:lpstr>
      <vt:lpstr>Tags!ITEM25_2010</vt:lpstr>
      <vt:lpstr>ITEM25_2010</vt:lpstr>
      <vt:lpstr>Tags!ITEM25_2011</vt:lpstr>
      <vt:lpstr>ITEM25_2011</vt:lpstr>
      <vt:lpstr>Tags!ITEM25_2012</vt:lpstr>
      <vt:lpstr>ITEM25_2012</vt:lpstr>
      <vt:lpstr>Tags!ITEM25_2013</vt:lpstr>
      <vt:lpstr>ITEM25_2013</vt:lpstr>
      <vt:lpstr>Tags!ITEM25_2014</vt:lpstr>
      <vt:lpstr>ITEM25_2014</vt:lpstr>
      <vt:lpstr>ITEM25_2015</vt:lpstr>
      <vt:lpstr>Tags!ITEM25_2016</vt:lpstr>
      <vt:lpstr>ITEM25_2016</vt:lpstr>
      <vt:lpstr>Tags!ITEM25_2017</vt:lpstr>
      <vt:lpstr>ITEM25_2017</vt:lpstr>
      <vt:lpstr>Tags!ITEM25_2018</vt:lpstr>
      <vt:lpstr>ITEM25_2018</vt:lpstr>
      <vt:lpstr>Tags!ITEM25_2019</vt:lpstr>
      <vt:lpstr>ITEM25_2019</vt:lpstr>
      <vt:lpstr>Tags!ITEM25_2020</vt:lpstr>
      <vt:lpstr>ITEM25_2020</vt:lpstr>
      <vt:lpstr>ITEM25_2021</vt:lpstr>
      <vt:lpstr>ITEM25_2022</vt:lpstr>
      <vt:lpstr>ITEM25_2023</vt:lpstr>
      <vt:lpstr>ITEM25_2024</vt:lpstr>
      <vt:lpstr>Tags!ITEM25_2Q00</vt:lpstr>
      <vt:lpstr>ITEM25_2Q00</vt:lpstr>
      <vt:lpstr>Tags!ITEM25_2Q01</vt:lpstr>
      <vt:lpstr>ITEM25_2Q01</vt:lpstr>
      <vt:lpstr>Tags!ITEM25_2Q02</vt:lpstr>
      <vt:lpstr>ITEM25_2Q02</vt:lpstr>
      <vt:lpstr>Tags!ITEM25_2Q03</vt:lpstr>
      <vt:lpstr>ITEM25_2Q03</vt:lpstr>
      <vt:lpstr>Tags!ITEM25_2Q04</vt:lpstr>
      <vt:lpstr>ITEM25_2Q04</vt:lpstr>
      <vt:lpstr>Tags!ITEM25_2Q05</vt:lpstr>
      <vt:lpstr>ITEM25_2Q05</vt:lpstr>
      <vt:lpstr>Tags!ITEM25_2Q06</vt:lpstr>
      <vt:lpstr>ITEM25_2Q06</vt:lpstr>
      <vt:lpstr>Tags!ITEM25_2Q07</vt:lpstr>
      <vt:lpstr>ITEM25_2Q07</vt:lpstr>
      <vt:lpstr>Tags!ITEM25_2Q08</vt:lpstr>
      <vt:lpstr>ITEM25_2Q08</vt:lpstr>
      <vt:lpstr>Tags!ITEM25_2Q09</vt:lpstr>
      <vt:lpstr>ITEM25_2Q09</vt:lpstr>
      <vt:lpstr>Tags!ITEM25_2Q10</vt:lpstr>
      <vt:lpstr>ITEM25_2Q10</vt:lpstr>
      <vt:lpstr>Tags!ITEM25_2Q11</vt:lpstr>
      <vt:lpstr>ITEM25_2Q11</vt:lpstr>
      <vt:lpstr>Tags!ITEM25_2Q12</vt:lpstr>
      <vt:lpstr>ITEM25_2Q12</vt:lpstr>
      <vt:lpstr>Tags!ITEM25_2Q13</vt:lpstr>
      <vt:lpstr>ITEM25_2Q13</vt:lpstr>
      <vt:lpstr>Tags!ITEM25_2Q14</vt:lpstr>
      <vt:lpstr>ITEM25_2Q14</vt:lpstr>
      <vt:lpstr>Tags!ITEM25_2Q15</vt:lpstr>
      <vt:lpstr>ITEM25_2Q15</vt:lpstr>
      <vt:lpstr>Tags!ITEM25_2Q16</vt:lpstr>
      <vt:lpstr>ITEM25_2Q16</vt:lpstr>
      <vt:lpstr>Tags!ITEM25_2Q17</vt:lpstr>
      <vt:lpstr>ITEM25_2Q17</vt:lpstr>
      <vt:lpstr>Tags!ITEM25_2Q18</vt:lpstr>
      <vt:lpstr>ITEM25_2Q18</vt:lpstr>
      <vt:lpstr>Tags!ITEM25_2Q19</vt:lpstr>
      <vt:lpstr>ITEM25_2Q19</vt:lpstr>
      <vt:lpstr>Tags!ITEM25_2Q20</vt:lpstr>
      <vt:lpstr>ITEM25_2Q20</vt:lpstr>
      <vt:lpstr>ITEM25_2Q21</vt:lpstr>
      <vt:lpstr>ITEM25_2Q22</vt:lpstr>
      <vt:lpstr>ITEM25_2Q23</vt:lpstr>
      <vt:lpstr>ITEM25_2Q24</vt:lpstr>
      <vt:lpstr>Tags!ITEM25_3Q00</vt:lpstr>
      <vt:lpstr>ITEM25_3Q00</vt:lpstr>
      <vt:lpstr>Tags!ITEM25_3Q01</vt:lpstr>
      <vt:lpstr>ITEM25_3Q01</vt:lpstr>
      <vt:lpstr>Tags!ITEM25_3Q02</vt:lpstr>
      <vt:lpstr>ITEM25_3Q02</vt:lpstr>
      <vt:lpstr>Tags!ITEM25_3Q03</vt:lpstr>
      <vt:lpstr>ITEM25_3Q03</vt:lpstr>
      <vt:lpstr>Tags!ITEM25_3Q04</vt:lpstr>
      <vt:lpstr>ITEM25_3Q04</vt:lpstr>
      <vt:lpstr>Tags!ITEM25_3Q05</vt:lpstr>
      <vt:lpstr>ITEM25_3Q05</vt:lpstr>
      <vt:lpstr>Tags!ITEM25_3Q06</vt:lpstr>
      <vt:lpstr>ITEM25_3Q06</vt:lpstr>
      <vt:lpstr>Tags!ITEM25_3Q07</vt:lpstr>
      <vt:lpstr>ITEM25_3Q07</vt:lpstr>
      <vt:lpstr>Tags!ITEM25_3Q08</vt:lpstr>
      <vt:lpstr>ITEM25_3Q08</vt:lpstr>
      <vt:lpstr>Tags!ITEM25_3Q09</vt:lpstr>
      <vt:lpstr>ITEM25_3Q09</vt:lpstr>
      <vt:lpstr>Tags!ITEM25_3Q10</vt:lpstr>
      <vt:lpstr>ITEM25_3Q10</vt:lpstr>
      <vt:lpstr>Tags!ITEM25_3Q11</vt:lpstr>
      <vt:lpstr>ITEM25_3Q11</vt:lpstr>
      <vt:lpstr>Tags!ITEM25_3Q12</vt:lpstr>
      <vt:lpstr>ITEM25_3Q12</vt:lpstr>
      <vt:lpstr>Tags!ITEM25_3Q13</vt:lpstr>
      <vt:lpstr>ITEM25_3Q13</vt:lpstr>
      <vt:lpstr>Tags!ITEM25_3Q14</vt:lpstr>
      <vt:lpstr>ITEM25_3Q14</vt:lpstr>
      <vt:lpstr>Tags!ITEM25_3Q15</vt:lpstr>
      <vt:lpstr>ITEM25_3Q15</vt:lpstr>
      <vt:lpstr>Tags!ITEM25_3Q16</vt:lpstr>
      <vt:lpstr>ITEM25_3Q16</vt:lpstr>
      <vt:lpstr>Tags!ITEM25_3Q17</vt:lpstr>
      <vt:lpstr>ITEM25_3Q17</vt:lpstr>
      <vt:lpstr>Tags!ITEM25_3Q18</vt:lpstr>
      <vt:lpstr>ITEM25_3Q18</vt:lpstr>
      <vt:lpstr>Tags!ITEM25_3Q19</vt:lpstr>
      <vt:lpstr>ITEM25_3Q19</vt:lpstr>
      <vt:lpstr>Tags!ITEM25_3Q20</vt:lpstr>
      <vt:lpstr>ITEM25_3Q20</vt:lpstr>
      <vt:lpstr>ITEM25_3Q21</vt:lpstr>
      <vt:lpstr>ITEM25_3Q22</vt:lpstr>
      <vt:lpstr>ITEM25_3Q23</vt:lpstr>
      <vt:lpstr>ITEM25_3Q24</vt:lpstr>
      <vt:lpstr>Tags!ITEM25_4Q00</vt:lpstr>
      <vt:lpstr>ITEM25_4Q00</vt:lpstr>
      <vt:lpstr>Tags!ITEM25_4Q01</vt:lpstr>
      <vt:lpstr>ITEM25_4Q01</vt:lpstr>
      <vt:lpstr>Tags!ITEM25_4Q02</vt:lpstr>
      <vt:lpstr>ITEM25_4Q02</vt:lpstr>
      <vt:lpstr>Tags!ITEM25_4Q03</vt:lpstr>
      <vt:lpstr>ITEM25_4Q03</vt:lpstr>
      <vt:lpstr>Tags!ITEM25_4Q04</vt:lpstr>
      <vt:lpstr>ITEM25_4Q04</vt:lpstr>
      <vt:lpstr>Tags!ITEM25_4Q05</vt:lpstr>
      <vt:lpstr>ITEM25_4Q05</vt:lpstr>
      <vt:lpstr>Tags!ITEM25_4Q06</vt:lpstr>
      <vt:lpstr>ITEM25_4Q06</vt:lpstr>
      <vt:lpstr>Tags!ITEM25_4Q07</vt:lpstr>
      <vt:lpstr>ITEM25_4Q07</vt:lpstr>
      <vt:lpstr>Tags!ITEM25_4Q08</vt:lpstr>
      <vt:lpstr>ITEM25_4Q08</vt:lpstr>
      <vt:lpstr>Tags!ITEM25_4Q09</vt:lpstr>
      <vt:lpstr>ITEM25_4Q09</vt:lpstr>
      <vt:lpstr>Tags!ITEM25_4Q10</vt:lpstr>
      <vt:lpstr>ITEM25_4Q10</vt:lpstr>
      <vt:lpstr>Tags!ITEM25_4Q11</vt:lpstr>
      <vt:lpstr>ITEM25_4Q11</vt:lpstr>
      <vt:lpstr>Tags!ITEM25_4Q12</vt:lpstr>
      <vt:lpstr>ITEM25_4Q12</vt:lpstr>
      <vt:lpstr>Tags!ITEM25_4Q13</vt:lpstr>
      <vt:lpstr>ITEM25_4Q13</vt:lpstr>
      <vt:lpstr>Tags!ITEM25_4Q14</vt:lpstr>
      <vt:lpstr>ITEM25_4Q14</vt:lpstr>
      <vt:lpstr>Tags!ITEM25_4Q15</vt:lpstr>
      <vt:lpstr>ITEM25_4Q15</vt:lpstr>
      <vt:lpstr>Tags!ITEM25_4Q16</vt:lpstr>
      <vt:lpstr>ITEM25_4Q16</vt:lpstr>
      <vt:lpstr>Tags!ITEM25_4Q17</vt:lpstr>
      <vt:lpstr>ITEM25_4Q17</vt:lpstr>
      <vt:lpstr>Tags!ITEM25_4Q18</vt:lpstr>
      <vt:lpstr>ITEM25_4Q18</vt:lpstr>
      <vt:lpstr>Tags!ITEM25_4Q19</vt:lpstr>
      <vt:lpstr>ITEM25_4Q19</vt:lpstr>
      <vt:lpstr>Tags!ITEM25_4Q20</vt:lpstr>
      <vt:lpstr>ITEM25_4Q20</vt:lpstr>
      <vt:lpstr>ITEM25_4Q21</vt:lpstr>
      <vt:lpstr>ITEM25_4Q22</vt:lpstr>
      <vt:lpstr>ITEM25_4Q23</vt:lpstr>
      <vt:lpstr>ITEM25_4Q24</vt:lpstr>
      <vt:lpstr>ITEM26_1995</vt:lpstr>
      <vt:lpstr>ITEM26_1996</vt:lpstr>
      <vt:lpstr>ITEM26_1997</vt:lpstr>
      <vt:lpstr>ITEM26_1998</vt:lpstr>
      <vt:lpstr>ITEM26_1999</vt:lpstr>
      <vt:lpstr>Tags!ITEM26_1Q00</vt:lpstr>
      <vt:lpstr>ITEM26_1Q00</vt:lpstr>
      <vt:lpstr>Tags!ITEM26_1Q01</vt:lpstr>
      <vt:lpstr>ITEM26_1Q01</vt:lpstr>
      <vt:lpstr>Tags!ITEM26_1Q02</vt:lpstr>
      <vt:lpstr>ITEM26_1Q02</vt:lpstr>
      <vt:lpstr>Tags!ITEM26_1Q03</vt:lpstr>
      <vt:lpstr>ITEM26_1Q03</vt:lpstr>
      <vt:lpstr>Tags!ITEM26_1Q04</vt:lpstr>
      <vt:lpstr>ITEM26_1Q04</vt:lpstr>
      <vt:lpstr>Tags!ITEM26_1Q05</vt:lpstr>
      <vt:lpstr>ITEM26_1Q05</vt:lpstr>
      <vt:lpstr>Tags!ITEM26_1Q06</vt:lpstr>
      <vt:lpstr>ITEM26_1Q06</vt:lpstr>
      <vt:lpstr>Tags!ITEM26_1Q07</vt:lpstr>
      <vt:lpstr>ITEM26_1Q07</vt:lpstr>
      <vt:lpstr>Tags!ITEM26_1Q08</vt:lpstr>
      <vt:lpstr>ITEM26_1Q08</vt:lpstr>
      <vt:lpstr>Tags!ITEM26_1Q09</vt:lpstr>
      <vt:lpstr>ITEM26_1Q09</vt:lpstr>
      <vt:lpstr>Tags!ITEM26_1Q10</vt:lpstr>
      <vt:lpstr>ITEM26_1Q10</vt:lpstr>
      <vt:lpstr>Tags!ITEM26_1Q11</vt:lpstr>
      <vt:lpstr>ITEM26_1Q11</vt:lpstr>
      <vt:lpstr>Tags!ITEM26_1Q12</vt:lpstr>
      <vt:lpstr>ITEM26_1Q12</vt:lpstr>
      <vt:lpstr>Tags!ITEM26_1Q13</vt:lpstr>
      <vt:lpstr>ITEM26_1Q13</vt:lpstr>
      <vt:lpstr>Tags!ITEM26_1Q14</vt:lpstr>
      <vt:lpstr>ITEM26_1Q14</vt:lpstr>
      <vt:lpstr>Tags!ITEM26_1Q15</vt:lpstr>
      <vt:lpstr>ITEM26_1Q15</vt:lpstr>
      <vt:lpstr>Tags!ITEM26_1Q16</vt:lpstr>
      <vt:lpstr>ITEM26_1Q16</vt:lpstr>
      <vt:lpstr>Tags!ITEM26_1Q17</vt:lpstr>
      <vt:lpstr>ITEM26_1Q17</vt:lpstr>
      <vt:lpstr>Tags!ITEM26_1Q18</vt:lpstr>
      <vt:lpstr>ITEM26_1Q18</vt:lpstr>
      <vt:lpstr>Tags!ITEM26_1Q19</vt:lpstr>
      <vt:lpstr>ITEM26_1Q19</vt:lpstr>
      <vt:lpstr>Tags!ITEM26_1Q20</vt:lpstr>
      <vt:lpstr>ITEM26_1Q20</vt:lpstr>
      <vt:lpstr>ITEM26_1Q21</vt:lpstr>
      <vt:lpstr>ITEM26_1Q22</vt:lpstr>
      <vt:lpstr>ITEM26_1Q23</vt:lpstr>
      <vt:lpstr>ITEM26_1Q24</vt:lpstr>
      <vt:lpstr>Tags!ITEM26_2000</vt:lpstr>
      <vt:lpstr>ITEM26_2000</vt:lpstr>
      <vt:lpstr>Tags!ITEM26_2001</vt:lpstr>
      <vt:lpstr>ITEM26_2001</vt:lpstr>
      <vt:lpstr>Tags!ITEM26_2002</vt:lpstr>
      <vt:lpstr>ITEM26_2002</vt:lpstr>
      <vt:lpstr>Tags!ITEM26_2003</vt:lpstr>
      <vt:lpstr>ITEM26_2003</vt:lpstr>
      <vt:lpstr>Tags!ITEM26_2004</vt:lpstr>
      <vt:lpstr>ITEM26_2004</vt:lpstr>
      <vt:lpstr>Tags!ITEM26_2005</vt:lpstr>
      <vt:lpstr>ITEM26_2005</vt:lpstr>
      <vt:lpstr>Tags!ITEM26_2006</vt:lpstr>
      <vt:lpstr>ITEM26_2006</vt:lpstr>
      <vt:lpstr>Tags!ITEM26_2007</vt:lpstr>
      <vt:lpstr>ITEM26_2007</vt:lpstr>
      <vt:lpstr>Tags!ITEM26_2008</vt:lpstr>
      <vt:lpstr>ITEM26_2008</vt:lpstr>
      <vt:lpstr>Tags!ITEM26_2009</vt:lpstr>
      <vt:lpstr>ITEM26_2009</vt:lpstr>
      <vt:lpstr>Tags!ITEM26_2010</vt:lpstr>
      <vt:lpstr>ITEM26_2010</vt:lpstr>
      <vt:lpstr>Tags!ITEM26_2011</vt:lpstr>
      <vt:lpstr>ITEM26_2011</vt:lpstr>
      <vt:lpstr>Tags!ITEM26_2012</vt:lpstr>
      <vt:lpstr>ITEM26_2012</vt:lpstr>
      <vt:lpstr>Tags!ITEM26_2013</vt:lpstr>
      <vt:lpstr>ITEM26_2013</vt:lpstr>
      <vt:lpstr>Tags!ITEM26_2014</vt:lpstr>
      <vt:lpstr>ITEM26_2014</vt:lpstr>
      <vt:lpstr>ITEM26_2015</vt:lpstr>
      <vt:lpstr>Tags!ITEM26_2016</vt:lpstr>
      <vt:lpstr>ITEM26_2016</vt:lpstr>
      <vt:lpstr>Tags!ITEM26_2017</vt:lpstr>
      <vt:lpstr>ITEM26_2017</vt:lpstr>
      <vt:lpstr>Tags!ITEM26_2018</vt:lpstr>
      <vt:lpstr>ITEM26_2018</vt:lpstr>
      <vt:lpstr>Tags!ITEM26_2019</vt:lpstr>
      <vt:lpstr>ITEM26_2019</vt:lpstr>
      <vt:lpstr>Tags!ITEM26_2020</vt:lpstr>
      <vt:lpstr>ITEM26_2020</vt:lpstr>
      <vt:lpstr>ITEM26_2021</vt:lpstr>
      <vt:lpstr>ITEM26_2022</vt:lpstr>
      <vt:lpstr>ITEM26_2023</vt:lpstr>
      <vt:lpstr>ITEM26_2024</vt:lpstr>
      <vt:lpstr>Tags!ITEM26_2Q00</vt:lpstr>
      <vt:lpstr>ITEM26_2Q00</vt:lpstr>
      <vt:lpstr>Tags!ITEM26_2Q01</vt:lpstr>
      <vt:lpstr>ITEM26_2Q01</vt:lpstr>
      <vt:lpstr>Tags!ITEM26_2Q02</vt:lpstr>
      <vt:lpstr>ITEM26_2Q02</vt:lpstr>
      <vt:lpstr>Tags!ITEM26_2Q03</vt:lpstr>
      <vt:lpstr>ITEM26_2Q03</vt:lpstr>
      <vt:lpstr>Tags!ITEM26_2Q04</vt:lpstr>
      <vt:lpstr>ITEM26_2Q04</vt:lpstr>
      <vt:lpstr>Tags!ITEM26_2Q05</vt:lpstr>
      <vt:lpstr>ITEM26_2Q05</vt:lpstr>
      <vt:lpstr>Tags!ITEM26_2Q06</vt:lpstr>
      <vt:lpstr>ITEM26_2Q06</vt:lpstr>
      <vt:lpstr>Tags!ITEM26_2Q07</vt:lpstr>
      <vt:lpstr>ITEM26_2Q07</vt:lpstr>
      <vt:lpstr>Tags!ITEM26_2Q08</vt:lpstr>
      <vt:lpstr>ITEM26_2Q08</vt:lpstr>
      <vt:lpstr>Tags!ITEM26_2Q09</vt:lpstr>
      <vt:lpstr>ITEM26_2Q09</vt:lpstr>
      <vt:lpstr>Tags!ITEM26_2Q10</vt:lpstr>
      <vt:lpstr>ITEM26_2Q10</vt:lpstr>
      <vt:lpstr>Tags!ITEM26_2Q11</vt:lpstr>
      <vt:lpstr>ITEM26_2Q11</vt:lpstr>
      <vt:lpstr>Tags!ITEM26_2Q12</vt:lpstr>
      <vt:lpstr>ITEM26_2Q12</vt:lpstr>
      <vt:lpstr>Tags!ITEM26_2Q13</vt:lpstr>
      <vt:lpstr>ITEM26_2Q13</vt:lpstr>
      <vt:lpstr>Tags!ITEM26_2Q14</vt:lpstr>
      <vt:lpstr>ITEM26_2Q14</vt:lpstr>
      <vt:lpstr>Tags!ITEM26_2Q15</vt:lpstr>
      <vt:lpstr>ITEM26_2Q15</vt:lpstr>
      <vt:lpstr>Tags!ITEM26_2Q16</vt:lpstr>
      <vt:lpstr>ITEM26_2Q16</vt:lpstr>
      <vt:lpstr>Tags!ITEM26_2Q17</vt:lpstr>
      <vt:lpstr>ITEM26_2Q17</vt:lpstr>
      <vt:lpstr>Tags!ITEM26_2Q18</vt:lpstr>
      <vt:lpstr>ITEM26_2Q18</vt:lpstr>
      <vt:lpstr>Tags!ITEM26_2Q19</vt:lpstr>
      <vt:lpstr>ITEM26_2Q19</vt:lpstr>
      <vt:lpstr>Tags!ITEM26_2Q20</vt:lpstr>
      <vt:lpstr>ITEM26_2Q20</vt:lpstr>
      <vt:lpstr>ITEM26_2Q21</vt:lpstr>
      <vt:lpstr>ITEM26_2Q22</vt:lpstr>
      <vt:lpstr>ITEM26_2Q23</vt:lpstr>
      <vt:lpstr>ITEM26_2Q24</vt:lpstr>
      <vt:lpstr>Tags!ITEM26_3Q00</vt:lpstr>
      <vt:lpstr>ITEM26_3Q00</vt:lpstr>
      <vt:lpstr>Tags!ITEM26_3Q01</vt:lpstr>
      <vt:lpstr>ITEM26_3Q01</vt:lpstr>
      <vt:lpstr>Tags!ITEM26_3Q02</vt:lpstr>
      <vt:lpstr>ITEM26_3Q02</vt:lpstr>
      <vt:lpstr>Tags!ITEM26_3Q03</vt:lpstr>
      <vt:lpstr>ITEM26_3Q03</vt:lpstr>
      <vt:lpstr>Tags!ITEM26_3Q04</vt:lpstr>
      <vt:lpstr>ITEM26_3Q04</vt:lpstr>
      <vt:lpstr>Tags!ITEM26_3Q05</vt:lpstr>
      <vt:lpstr>ITEM26_3Q05</vt:lpstr>
      <vt:lpstr>Tags!ITEM26_3Q06</vt:lpstr>
      <vt:lpstr>ITEM26_3Q06</vt:lpstr>
      <vt:lpstr>Tags!ITEM26_3Q07</vt:lpstr>
      <vt:lpstr>ITEM26_3Q07</vt:lpstr>
      <vt:lpstr>Tags!ITEM26_3Q08</vt:lpstr>
      <vt:lpstr>ITEM26_3Q08</vt:lpstr>
      <vt:lpstr>Tags!ITEM26_3Q09</vt:lpstr>
      <vt:lpstr>ITEM26_3Q09</vt:lpstr>
      <vt:lpstr>Tags!ITEM26_3Q10</vt:lpstr>
      <vt:lpstr>ITEM26_3Q10</vt:lpstr>
      <vt:lpstr>Tags!ITEM26_3Q11</vt:lpstr>
      <vt:lpstr>ITEM26_3Q11</vt:lpstr>
      <vt:lpstr>Tags!ITEM26_3Q12</vt:lpstr>
      <vt:lpstr>ITEM26_3Q12</vt:lpstr>
      <vt:lpstr>Tags!ITEM26_3Q13</vt:lpstr>
      <vt:lpstr>ITEM26_3Q13</vt:lpstr>
      <vt:lpstr>Tags!ITEM26_3Q14</vt:lpstr>
      <vt:lpstr>ITEM26_3Q14</vt:lpstr>
      <vt:lpstr>Tags!ITEM26_3Q15</vt:lpstr>
      <vt:lpstr>ITEM26_3Q15</vt:lpstr>
      <vt:lpstr>Tags!ITEM26_3Q16</vt:lpstr>
      <vt:lpstr>ITEM26_3Q16</vt:lpstr>
      <vt:lpstr>Tags!ITEM26_3Q17</vt:lpstr>
      <vt:lpstr>ITEM26_3Q17</vt:lpstr>
      <vt:lpstr>Tags!ITEM26_3Q18</vt:lpstr>
      <vt:lpstr>ITEM26_3Q18</vt:lpstr>
      <vt:lpstr>Tags!ITEM26_3Q19</vt:lpstr>
      <vt:lpstr>ITEM26_3Q19</vt:lpstr>
      <vt:lpstr>Tags!ITEM26_3Q20</vt:lpstr>
      <vt:lpstr>ITEM26_3Q20</vt:lpstr>
      <vt:lpstr>ITEM26_3Q21</vt:lpstr>
      <vt:lpstr>ITEM26_3Q22</vt:lpstr>
      <vt:lpstr>ITEM26_3Q23</vt:lpstr>
      <vt:lpstr>ITEM26_3Q24</vt:lpstr>
      <vt:lpstr>Tags!ITEM26_4Q00</vt:lpstr>
      <vt:lpstr>ITEM26_4Q00</vt:lpstr>
      <vt:lpstr>Tags!ITEM26_4Q01</vt:lpstr>
      <vt:lpstr>ITEM26_4Q01</vt:lpstr>
      <vt:lpstr>Tags!ITEM26_4Q02</vt:lpstr>
      <vt:lpstr>ITEM26_4Q02</vt:lpstr>
      <vt:lpstr>Tags!ITEM26_4Q03</vt:lpstr>
      <vt:lpstr>ITEM26_4Q03</vt:lpstr>
      <vt:lpstr>Tags!ITEM26_4Q04</vt:lpstr>
      <vt:lpstr>ITEM26_4Q04</vt:lpstr>
      <vt:lpstr>Tags!ITEM26_4Q05</vt:lpstr>
      <vt:lpstr>ITEM26_4Q05</vt:lpstr>
      <vt:lpstr>Tags!ITEM26_4Q06</vt:lpstr>
      <vt:lpstr>ITEM26_4Q06</vt:lpstr>
      <vt:lpstr>Tags!ITEM26_4Q07</vt:lpstr>
      <vt:lpstr>ITEM26_4Q07</vt:lpstr>
      <vt:lpstr>Tags!ITEM26_4Q08</vt:lpstr>
      <vt:lpstr>ITEM26_4Q08</vt:lpstr>
      <vt:lpstr>Tags!ITEM26_4Q09</vt:lpstr>
      <vt:lpstr>ITEM26_4Q09</vt:lpstr>
      <vt:lpstr>Tags!ITEM26_4Q10</vt:lpstr>
      <vt:lpstr>ITEM26_4Q10</vt:lpstr>
      <vt:lpstr>Tags!ITEM26_4Q11</vt:lpstr>
      <vt:lpstr>ITEM26_4Q11</vt:lpstr>
      <vt:lpstr>Tags!ITEM26_4Q12</vt:lpstr>
      <vt:lpstr>ITEM26_4Q12</vt:lpstr>
      <vt:lpstr>Tags!ITEM26_4Q13</vt:lpstr>
      <vt:lpstr>ITEM26_4Q13</vt:lpstr>
      <vt:lpstr>Tags!ITEM26_4Q14</vt:lpstr>
      <vt:lpstr>ITEM26_4Q14</vt:lpstr>
      <vt:lpstr>Tags!ITEM26_4Q15</vt:lpstr>
      <vt:lpstr>ITEM26_4Q15</vt:lpstr>
      <vt:lpstr>Tags!ITEM26_4Q16</vt:lpstr>
      <vt:lpstr>ITEM26_4Q16</vt:lpstr>
      <vt:lpstr>Tags!ITEM26_4Q17</vt:lpstr>
      <vt:lpstr>ITEM26_4Q17</vt:lpstr>
      <vt:lpstr>Tags!ITEM26_4Q18</vt:lpstr>
      <vt:lpstr>ITEM26_4Q18</vt:lpstr>
      <vt:lpstr>Tags!ITEM26_4Q19</vt:lpstr>
      <vt:lpstr>ITEM26_4Q19</vt:lpstr>
      <vt:lpstr>Tags!ITEM26_4Q20</vt:lpstr>
      <vt:lpstr>ITEM26_4Q20</vt:lpstr>
      <vt:lpstr>ITEM26_4Q21</vt:lpstr>
      <vt:lpstr>ITEM26_4Q22</vt:lpstr>
      <vt:lpstr>ITEM26_4Q23</vt:lpstr>
      <vt:lpstr>ITEM26_4Q24</vt:lpstr>
      <vt:lpstr>ITEM27_1995</vt:lpstr>
      <vt:lpstr>ITEM27_1996</vt:lpstr>
      <vt:lpstr>ITEM27_1997</vt:lpstr>
      <vt:lpstr>ITEM27_1998</vt:lpstr>
      <vt:lpstr>ITEM27_1999</vt:lpstr>
      <vt:lpstr>Tags!ITEM27_1Q00</vt:lpstr>
      <vt:lpstr>ITEM27_1Q00</vt:lpstr>
      <vt:lpstr>Tags!ITEM27_1Q01</vt:lpstr>
      <vt:lpstr>ITEM27_1Q01</vt:lpstr>
      <vt:lpstr>Tags!ITEM27_1Q02</vt:lpstr>
      <vt:lpstr>ITEM27_1Q02</vt:lpstr>
      <vt:lpstr>Tags!ITEM27_1Q03</vt:lpstr>
      <vt:lpstr>ITEM27_1Q03</vt:lpstr>
      <vt:lpstr>Tags!ITEM27_1Q04</vt:lpstr>
      <vt:lpstr>ITEM27_1Q04</vt:lpstr>
      <vt:lpstr>Tags!ITEM27_1Q05</vt:lpstr>
      <vt:lpstr>ITEM27_1Q05</vt:lpstr>
      <vt:lpstr>Tags!ITEM27_1Q06</vt:lpstr>
      <vt:lpstr>ITEM27_1Q06</vt:lpstr>
      <vt:lpstr>Tags!ITEM27_1Q07</vt:lpstr>
      <vt:lpstr>ITEM27_1Q07</vt:lpstr>
      <vt:lpstr>Tags!ITEM27_1Q08</vt:lpstr>
      <vt:lpstr>ITEM27_1Q08</vt:lpstr>
      <vt:lpstr>Tags!ITEM27_1Q09</vt:lpstr>
      <vt:lpstr>ITEM27_1Q09</vt:lpstr>
      <vt:lpstr>Tags!ITEM27_1Q10</vt:lpstr>
      <vt:lpstr>ITEM27_1Q10</vt:lpstr>
      <vt:lpstr>Tags!ITEM27_1Q11</vt:lpstr>
      <vt:lpstr>ITEM27_1Q11</vt:lpstr>
      <vt:lpstr>Tags!ITEM27_1Q12</vt:lpstr>
      <vt:lpstr>ITEM27_1Q12</vt:lpstr>
      <vt:lpstr>Tags!ITEM27_1Q13</vt:lpstr>
      <vt:lpstr>ITEM27_1Q13</vt:lpstr>
      <vt:lpstr>Tags!ITEM27_1Q14</vt:lpstr>
      <vt:lpstr>ITEM27_1Q14</vt:lpstr>
      <vt:lpstr>Tags!ITEM27_1Q15</vt:lpstr>
      <vt:lpstr>ITEM27_1Q15</vt:lpstr>
      <vt:lpstr>Tags!ITEM27_1Q16</vt:lpstr>
      <vt:lpstr>ITEM27_1Q16</vt:lpstr>
      <vt:lpstr>Tags!ITEM27_1Q17</vt:lpstr>
      <vt:lpstr>ITEM27_1Q17</vt:lpstr>
      <vt:lpstr>Tags!ITEM27_1Q18</vt:lpstr>
      <vt:lpstr>ITEM27_1Q18</vt:lpstr>
      <vt:lpstr>Tags!ITEM27_1Q19</vt:lpstr>
      <vt:lpstr>ITEM27_1Q19</vt:lpstr>
      <vt:lpstr>Tags!ITEM27_1Q20</vt:lpstr>
      <vt:lpstr>ITEM27_1Q20</vt:lpstr>
      <vt:lpstr>ITEM27_1Q21</vt:lpstr>
      <vt:lpstr>ITEM27_1Q22</vt:lpstr>
      <vt:lpstr>ITEM27_1Q23</vt:lpstr>
      <vt:lpstr>ITEM27_1Q24</vt:lpstr>
      <vt:lpstr>Tags!ITEM27_2000</vt:lpstr>
      <vt:lpstr>ITEM27_2000</vt:lpstr>
      <vt:lpstr>Tags!ITEM27_2001</vt:lpstr>
      <vt:lpstr>ITEM27_2001</vt:lpstr>
      <vt:lpstr>Tags!ITEM27_2002</vt:lpstr>
      <vt:lpstr>ITEM27_2002</vt:lpstr>
      <vt:lpstr>Tags!ITEM27_2003</vt:lpstr>
      <vt:lpstr>ITEM27_2003</vt:lpstr>
      <vt:lpstr>Tags!ITEM27_2004</vt:lpstr>
      <vt:lpstr>ITEM27_2004</vt:lpstr>
      <vt:lpstr>Tags!ITEM27_2005</vt:lpstr>
      <vt:lpstr>ITEM27_2005</vt:lpstr>
      <vt:lpstr>Tags!ITEM27_2006</vt:lpstr>
      <vt:lpstr>ITEM27_2006</vt:lpstr>
      <vt:lpstr>Tags!ITEM27_2007</vt:lpstr>
      <vt:lpstr>ITEM27_2007</vt:lpstr>
      <vt:lpstr>Tags!ITEM27_2008</vt:lpstr>
      <vt:lpstr>ITEM27_2008</vt:lpstr>
      <vt:lpstr>Tags!ITEM27_2009</vt:lpstr>
      <vt:lpstr>ITEM27_2009</vt:lpstr>
      <vt:lpstr>Tags!ITEM27_2010</vt:lpstr>
      <vt:lpstr>ITEM27_2010</vt:lpstr>
      <vt:lpstr>Tags!ITEM27_2011</vt:lpstr>
      <vt:lpstr>ITEM27_2011</vt:lpstr>
      <vt:lpstr>Tags!ITEM27_2012</vt:lpstr>
      <vt:lpstr>ITEM27_2012</vt:lpstr>
      <vt:lpstr>Tags!ITEM27_2013</vt:lpstr>
      <vt:lpstr>ITEM27_2013</vt:lpstr>
      <vt:lpstr>Tags!ITEM27_2014</vt:lpstr>
      <vt:lpstr>ITEM27_2014</vt:lpstr>
      <vt:lpstr>ITEM27_2015</vt:lpstr>
      <vt:lpstr>Tags!ITEM27_2016</vt:lpstr>
      <vt:lpstr>ITEM27_2016</vt:lpstr>
      <vt:lpstr>Tags!ITEM27_2017</vt:lpstr>
      <vt:lpstr>ITEM27_2017</vt:lpstr>
      <vt:lpstr>Tags!ITEM27_2018</vt:lpstr>
      <vt:lpstr>ITEM27_2018</vt:lpstr>
      <vt:lpstr>Tags!ITEM27_2019</vt:lpstr>
      <vt:lpstr>ITEM27_2019</vt:lpstr>
      <vt:lpstr>Tags!ITEM27_2020</vt:lpstr>
      <vt:lpstr>ITEM27_2020</vt:lpstr>
      <vt:lpstr>ITEM27_2021</vt:lpstr>
      <vt:lpstr>ITEM27_2022</vt:lpstr>
      <vt:lpstr>ITEM27_2023</vt:lpstr>
      <vt:lpstr>ITEM27_2024</vt:lpstr>
      <vt:lpstr>Tags!ITEM27_2Q00</vt:lpstr>
      <vt:lpstr>ITEM27_2Q00</vt:lpstr>
      <vt:lpstr>Tags!ITEM27_2Q01</vt:lpstr>
      <vt:lpstr>ITEM27_2Q01</vt:lpstr>
      <vt:lpstr>Tags!ITEM27_2Q02</vt:lpstr>
      <vt:lpstr>ITEM27_2Q02</vt:lpstr>
      <vt:lpstr>Tags!ITEM27_2Q03</vt:lpstr>
      <vt:lpstr>ITEM27_2Q03</vt:lpstr>
      <vt:lpstr>Tags!ITEM27_2Q04</vt:lpstr>
      <vt:lpstr>ITEM27_2Q04</vt:lpstr>
      <vt:lpstr>Tags!ITEM27_2Q05</vt:lpstr>
      <vt:lpstr>ITEM27_2Q05</vt:lpstr>
      <vt:lpstr>Tags!ITEM27_2Q06</vt:lpstr>
      <vt:lpstr>ITEM27_2Q06</vt:lpstr>
      <vt:lpstr>Tags!ITEM27_2Q07</vt:lpstr>
      <vt:lpstr>ITEM27_2Q07</vt:lpstr>
      <vt:lpstr>Tags!ITEM27_2Q08</vt:lpstr>
      <vt:lpstr>ITEM27_2Q08</vt:lpstr>
      <vt:lpstr>Tags!ITEM27_2Q09</vt:lpstr>
      <vt:lpstr>ITEM27_2Q09</vt:lpstr>
      <vt:lpstr>Tags!ITEM27_2Q10</vt:lpstr>
      <vt:lpstr>ITEM27_2Q10</vt:lpstr>
      <vt:lpstr>Tags!ITEM27_2Q11</vt:lpstr>
      <vt:lpstr>ITEM27_2Q11</vt:lpstr>
      <vt:lpstr>Tags!ITEM27_2Q12</vt:lpstr>
      <vt:lpstr>ITEM27_2Q12</vt:lpstr>
      <vt:lpstr>Tags!ITEM27_2Q13</vt:lpstr>
      <vt:lpstr>ITEM27_2Q13</vt:lpstr>
      <vt:lpstr>Tags!ITEM27_2Q14</vt:lpstr>
      <vt:lpstr>ITEM27_2Q14</vt:lpstr>
      <vt:lpstr>Tags!ITEM27_2Q15</vt:lpstr>
      <vt:lpstr>ITEM27_2Q15</vt:lpstr>
      <vt:lpstr>Tags!ITEM27_2Q16</vt:lpstr>
      <vt:lpstr>ITEM27_2Q16</vt:lpstr>
      <vt:lpstr>Tags!ITEM27_2Q17</vt:lpstr>
      <vt:lpstr>ITEM27_2Q17</vt:lpstr>
      <vt:lpstr>Tags!ITEM27_2Q18</vt:lpstr>
      <vt:lpstr>ITEM27_2Q18</vt:lpstr>
      <vt:lpstr>Tags!ITEM27_2Q19</vt:lpstr>
      <vt:lpstr>ITEM27_2Q19</vt:lpstr>
      <vt:lpstr>Tags!ITEM27_2Q20</vt:lpstr>
      <vt:lpstr>ITEM27_2Q20</vt:lpstr>
      <vt:lpstr>ITEM27_2Q21</vt:lpstr>
      <vt:lpstr>ITEM27_2Q22</vt:lpstr>
      <vt:lpstr>ITEM27_2Q23</vt:lpstr>
      <vt:lpstr>ITEM27_2Q24</vt:lpstr>
      <vt:lpstr>Tags!ITEM27_3Q00</vt:lpstr>
      <vt:lpstr>ITEM27_3Q00</vt:lpstr>
      <vt:lpstr>Tags!ITEM27_3Q01</vt:lpstr>
      <vt:lpstr>ITEM27_3Q01</vt:lpstr>
      <vt:lpstr>Tags!ITEM27_3Q02</vt:lpstr>
      <vt:lpstr>ITEM27_3Q02</vt:lpstr>
      <vt:lpstr>Tags!ITEM27_3Q03</vt:lpstr>
      <vt:lpstr>ITEM27_3Q03</vt:lpstr>
      <vt:lpstr>Tags!ITEM27_3Q04</vt:lpstr>
      <vt:lpstr>ITEM27_3Q04</vt:lpstr>
      <vt:lpstr>Tags!ITEM27_3Q05</vt:lpstr>
      <vt:lpstr>ITEM27_3Q05</vt:lpstr>
      <vt:lpstr>Tags!ITEM27_3Q06</vt:lpstr>
      <vt:lpstr>ITEM27_3Q06</vt:lpstr>
      <vt:lpstr>Tags!ITEM27_3Q07</vt:lpstr>
      <vt:lpstr>ITEM27_3Q07</vt:lpstr>
      <vt:lpstr>Tags!ITEM27_3Q08</vt:lpstr>
      <vt:lpstr>ITEM27_3Q08</vt:lpstr>
      <vt:lpstr>Tags!ITEM27_3Q09</vt:lpstr>
      <vt:lpstr>ITEM27_3Q09</vt:lpstr>
      <vt:lpstr>Tags!ITEM27_3Q10</vt:lpstr>
      <vt:lpstr>ITEM27_3Q10</vt:lpstr>
      <vt:lpstr>Tags!ITEM27_3Q11</vt:lpstr>
      <vt:lpstr>ITEM27_3Q11</vt:lpstr>
      <vt:lpstr>Tags!ITEM27_3Q12</vt:lpstr>
      <vt:lpstr>ITEM27_3Q12</vt:lpstr>
      <vt:lpstr>Tags!ITEM27_3Q13</vt:lpstr>
      <vt:lpstr>ITEM27_3Q13</vt:lpstr>
      <vt:lpstr>Tags!ITEM27_3Q14</vt:lpstr>
      <vt:lpstr>ITEM27_3Q14</vt:lpstr>
      <vt:lpstr>Tags!ITEM27_3Q15</vt:lpstr>
      <vt:lpstr>ITEM27_3Q15</vt:lpstr>
      <vt:lpstr>Tags!ITEM27_3Q16</vt:lpstr>
      <vt:lpstr>ITEM27_3Q16</vt:lpstr>
      <vt:lpstr>Tags!ITEM27_3Q17</vt:lpstr>
      <vt:lpstr>ITEM27_3Q17</vt:lpstr>
      <vt:lpstr>Tags!ITEM27_3Q18</vt:lpstr>
      <vt:lpstr>ITEM27_3Q18</vt:lpstr>
      <vt:lpstr>Tags!ITEM27_3Q19</vt:lpstr>
      <vt:lpstr>ITEM27_3Q19</vt:lpstr>
      <vt:lpstr>Tags!ITEM27_3Q20</vt:lpstr>
      <vt:lpstr>ITEM27_3Q20</vt:lpstr>
      <vt:lpstr>ITEM27_3Q21</vt:lpstr>
      <vt:lpstr>ITEM27_3Q22</vt:lpstr>
      <vt:lpstr>ITEM27_3Q23</vt:lpstr>
      <vt:lpstr>ITEM27_3Q24</vt:lpstr>
      <vt:lpstr>Tags!ITEM27_4Q00</vt:lpstr>
      <vt:lpstr>ITEM27_4Q00</vt:lpstr>
      <vt:lpstr>Tags!ITEM27_4Q01</vt:lpstr>
      <vt:lpstr>ITEM27_4Q01</vt:lpstr>
      <vt:lpstr>Tags!ITEM27_4Q02</vt:lpstr>
      <vt:lpstr>ITEM27_4Q02</vt:lpstr>
      <vt:lpstr>Tags!ITEM27_4Q03</vt:lpstr>
      <vt:lpstr>ITEM27_4Q03</vt:lpstr>
      <vt:lpstr>Tags!ITEM27_4Q04</vt:lpstr>
      <vt:lpstr>ITEM27_4Q04</vt:lpstr>
      <vt:lpstr>Tags!ITEM27_4Q05</vt:lpstr>
      <vt:lpstr>ITEM27_4Q05</vt:lpstr>
      <vt:lpstr>Tags!ITEM27_4Q06</vt:lpstr>
      <vt:lpstr>ITEM27_4Q06</vt:lpstr>
      <vt:lpstr>Tags!ITEM27_4Q07</vt:lpstr>
      <vt:lpstr>ITEM27_4Q07</vt:lpstr>
      <vt:lpstr>Tags!ITEM27_4Q08</vt:lpstr>
      <vt:lpstr>ITEM27_4Q08</vt:lpstr>
      <vt:lpstr>Tags!ITEM27_4Q09</vt:lpstr>
      <vt:lpstr>ITEM27_4Q09</vt:lpstr>
      <vt:lpstr>Tags!ITEM27_4Q10</vt:lpstr>
      <vt:lpstr>ITEM27_4Q10</vt:lpstr>
      <vt:lpstr>Tags!ITEM27_4Q11</vt:lpstr>
      <vt:lpstr>ITEM27_4Q11</vt:lpstr>
      <vt:lpstr>Tags!ITEM27_4Q12</vt:lpstr>
      <vt:lpstr>ITEM27_4Q12</vt:lpstr>
      <vt:lpstr>Tags!ITEM27_4Q13</vt:lpstr>
      <vt:lpstr>ITEM27_4Q13</vt:lpstr>
      <vt:lpstr>Tags!ITEM27_4Q14</vt:lpstr>
      <vt:lpstr>ITEM27_4Q14</vt:lpstr>
      <vt:lpstr>Tags!ITEM27_4Q15</vt:lpstr>
      <vt:lpstr>ITEM27_4Q15</vt:lpstr>
      <vt:lpstr>Tags!ITEM27_4Q16</vt:lpstr>
      <vt:lpstr>ITEM27_4Q16</vt:lpstr>
      <vt:lpstr>Tags!ITEM27_4Q17</vt:lpstr>
      <vt:lpstr>ITEM27_4Q17</vt:lpstr>
      <vt:lpstr>Tags!ITEM27_4Q18</vt:lpstr>
      <vt:lpstr>ITEM27_4Q18</vt:lpstr>
      <vt:lpstr>Tags!ITEM27_4Q19</vt:lpstr>
      <vt:lpstr>ITEM27_4Q19</vt:lpstr>
      <vt:lpstr>Tags!ITEM27_4Q20</vt:lpstr>
      <vt:lpstr>ITEM27_4Q20</vt:lpstr>
      <vt:lpstr>ITEM27_4Q21</vt:lpstr>
      <vt:lpstr>ITEM27_4Q22</vt:lpstr>
      <vt:lpstr>ITEM27_4Q23</vt:lpstr>
      <vt:lpstr>ITEM27_4Q24</vt:lpstr>
      <vt:lpstr>ITEM28_1995</vt:lpstr>
      <vt:lpstr>ITEM28_1996</vt:lpstr>
      <vt:lpstr>ITEM28_1997</vt:lpstr>
      <vt:lpstr>ITEM28_1998</vt:lpstr>
      <vt:lpstr>ITEM28_1999</vt:lpstr>
      <vt:lpstr>Tags!ITEM28_1Q00</vt:lpstr>
      <vt:lpstr>ITEM28_1Q00</vt:lpstr>
      <vt:lpstr>Tags!ITEM28_1Q01</vt:lpstr>
      <vt:lpstr>ITEM28_1Q01</vt:lpstr>
      <vt:lpstr>Tags!ITEM28_1Q02</vt:lpstr>
      <vt:lpstr>ITEM28_1Q02</vt:lpstr>
      <vt:lpstr>Tags!ITEM28_1Q03</vt:lpstr>
      <vt:lpstr>ITEM28_1Q03</vt:lpstr>
      <vt:lpstr>Tags!ITEM28_1Q04</vt:lpstr>
      <vt:lpstr>ITEM28_1Q04</vt:lpstr>
      <vt:lpstr>Tags!ITEM28_1Q05</vt:lpstr>
      <vt:lpstr>ITEM28_1Q05</vt:lpstr>
      <vt:lpstr>Tags!ITEM28_1Q06</vt:lpstr>
      <vt:lpstr>ITEM28_1Q06</vt:lpstr>
      <vt:lpstr>Tags!ITEM28_1Q07</vt:lpstr>
      <vt:lpstr>ITEM28_1Q07</vt:lpstr>
      <vt:lpstr>Tags!ITEM28_1Q08</vt:lpstr>
      <vt:lpstr>ITEM28_1Q08</vt:lpstr>
      <vt:lpstr>Tags!ITEM28_1Q09</vt:lpstr>
      <vt:lpstr>ITEM28_1Q09</vt:lpstr>
      <vt:lpstr>Tags!ITEM28_1Q10</vt:lpstr>
      <vt:lpstr>ITEM28_1Q10</vt:lpstr>
      <vt:lpstr>Tags!ITEM28_1Q11</vt:lpstr>
      <vt:lpstr>ITEM28_1Q11</vt:lpstr>
      <vt:lpstr>Tags!ITEM28_1Q12</vt:lpstr>
      <vt:lpstr>ITEM28_1Q12</vt:lpstr>
      <vt:lpstr>Tags!ITEM28_1Q13</vt:lpstr>
      <vt:lpstr>ITEM28_1Q13</vt:lpstr>
      <vt:lpstr>Tags!ITEM28_1Q14</vt:lpstr>
      <vt:lpstr>ITEM28_1Q14</vt:lpstr>
      <vt:lpstr>Tags!ITEM28_1Q15</vt:lpstr>
      <vt:lpstr>ITEM28_1Q15</vt:lpstr>
      <vt:lpstr>Tags!ITEM28_1Q16</vt:lpstr>
      <vt:lpstr>ITEM28_1Q16</vt:lpstr>
      <vt:lpstr>Tags!ITEM28_1Q17</vt:lpstr>
      <vt:lpstr>ITEM28_1Q17</vt:lpstr>
      <vt:lpstr>Tags!ITEM28_1Q18</vt:lpstr>
      <vt:lpstr>ITEM28_1Q18</vt:lpstr>
      <vt:lpstr>Tags!ITEM28_1Q19</vt:lpstr>
      <vt:lpstr>ITEM28_1Q19</vt:lpstr>
      <vt:lpstr>Tags!ITEM28_1Q20</vt:lpstr>
      <vt:lpstr>ITEM28_1Q20</vt:lpstr>
      <vt:lpstr>ITEM28_1Q21</vt:lpstr>
      <vt:lpstr>ITEM28_1Q22</vt:lpstr>
      <vt:lpstr>ITEM28_1Q23</vt:lpstr>
      <vt:lpstr>ITEM28_1Q24</vt:lpstr>
      <vt:lpstr>Tags!ITEM28_2000</vt:lpstr>
      <vt:lpstr>ITEM28_2000</vt:lpstr>
      <vt:lpstr>Tags!ITEM28_2001</vt:lpstr>
      <vt:lpstr>ITEM28_2001</vt:lpstr>
      <vt:lpstr>Tags!ITEM28_2002</vt:lpstr>
      <vt:lpstr>ITEM28_2002</vt:lpstr>
      <vt:lpstr>Tags!ITEM28_2003</vt:lpstr>
      <vt:lpstr>ITEM28_2003</vt:lpstr>
      <vt:lpstr>Tags!ITEM28_2004</vt:lpstr>
      <vt:lpstr>ITEM28_2004</vt:lpstr>
      <vt:lpstr>Tags!ITEM28_2005</vt:lpstr>
      <vt:lpstr>ITEM28_2005</vt:lpstr>
      <vt:lpstr>Tags!ITEM28_2006</vt:lpstr>
      <vt:lpstr>ITEM28_2006</vt:lpstr>
      <vt:lpstr>Tags!ITEM28_2007</vt:lpstr>
      <vt:lpstr>ITEM28_2007</vt:lpstr>
      <vt:lpstr>Tags!ITEM28_2008</vt:lpstr>
      <vt:lpstr>ITEM28_2008</vt:lpstr>
      <vt:lpstr>Tags!ITEM28_2009</vt:lpstr>
      <vt:lpstr>ITEM28_2009</vt:lpstr>
      <vt:lpstr>Tags!ITEM28_2010</vt:lpstr>
      <vt:lpstr>ITEM28_2010</vt:lpstr>
      <vt:lpstr>Tags!ITEM28_2011</vt:lpstr>
      <vt:lpstr>ITEM28_2011</vt:lpstr>
      <vt:lpstr>Tags!ITEM28_2012</vt:lpstr>
      <vt:lpstr>ITEM28_2012</vt:lpstr>
      <vt:lpstr>Tags!ITEM28_2013</vt:lpstr>
      <vt:lpstr>ITEM28_2013</vt:lpstr>
      <vt:lpstr>Tags!ITEM28_2014</vt:lpstr>
      <vt:lpstr>ITEM28_2014</vt:lpstr>
      <vt:lpstr>ITEM28_2015</vt:lpstr>
      <vt:lpstr>Tags!ITEM28_2016</vt:lpstr>
      <vt:lpstr>ITEM28_2016</vt:lpstr>
      <vt:lpstr>Tags!ITEM28_2017</vt:lpstr>
      <vt:lpstr>ITEM28_2017</vt:lpstr>
      <vt:lpstr>Tags!ITEM28_2018</vt:lpstr>
      <vt:lpstr>ITEM28_2018</vt:lpstr>
      <vt:lpstr>Tags!ITEM28_2019</vt:lpstr>
      <vt:lpstr>ITEM28_2019</vt:lpstr>
      <vt:lpstr>Tags!ITEM28_2020</vt:lpstr>
      <vt:lpstr>ITEM28_2020</vt:lpstr>
      <vt:lpstr>ITEM28_2021</vt:lpstr>
      <vt:lpstr>ITEM28_2022</vt:lpstr>
      <vt:lpstr>ITEM28_2023</vt:lpstr>
      <vt:lpstr>ITEM28_2024</vt:lpstr>
      <vt:lpstr>Tags!ITEM28_2Q00</vt:lpstr>
      <vt:lpstr>ITEM28_2Q00</vt:lpstr>
      <vt:lpstr>Tags!ITEM28_2Q01</vt:lpstr>
      <vt:lpstr>ITEM28_2Q01</vt:lpstr>
      <vt:lpstr>Tags!ITEM28_2Q02</vt:lpstr>
      <vt:lpstr>ITEM28_2Q02</vt:lpstr>
      <vt:lpstr>Tags!ITEM28_2Q03</vt:lpstr>
      <vt:lpstr>ITEM28_2Q03</vt:lpstr>
      <vt:lpstr>Tags!ITEM28_2Q04</vt:lpstr>
      <vt:lpstr>ITEM28_2Q04</vt:lpstr>
      <vt:lpstr>Tags!ITEM28_2Q05</vt:lpstr>
      <vt:lpstr>ITEM28_2Q05</vt:lpstr>
      <vt:lpstr>Tags!ITEM28_2Q06</vt:lpstr>
      <vt:lpstr>ITEM28_2Q06</vt:lpstr>
      <vt:lpstr>Tags!ITEM28_2Q07</vt:lpstr>
      <vt:lpstr>ITEM28_2Q07</vt:lpstr>
      <vt:lpstr>Tags!ITEM28_2Q08</vt:lpstr>
      <vt:lpstr>ITEM28_2Q08</vt:lpstr>
      <vt:lpstr>Tags!ITEM28_2Q09</vt:lpstr>
      <vt:lpstr>ITEM28_2Q09</vt:lpstr>
      <vt:lpstr>Tags!ITEM28_2Q10</vt:lpstr>
      <vt:lpstr>ITEM28_2Q10</vt:lpstr>
      <vt:lpstr>Tags!ITEM28_2Q11</vt:lpstr>
      <vt:lpstr>ITEM28_2Q11</vt:lpstr>
      <vt:lpstr>Tags!ITEM28_2Q12</vt:lpstr>
      <vt:lpstr>ITEM28_2Q12</vt:lpstr>
      <vt:lpstr>Tags!ITEM28_2Q13</vt:lpstr>
      <vt:lpstr>ITEM28_2Q13</vt:lpstr>
      <vt:lpstr>Tags!ITEM28_2Q14</vt:lpstr>
      <vt:lpstr>ITEM28_2Q14</vt:lpstr>
      <vt:lpstr>Tags!ITEM28_2Q15</vt:lpstr>
      <vt:lpstr>ITEM28_2Q15</vt:lpstr>
      <vt:lpstr>Tags!ITEM28_2Q16</vt:lpstr>
      <vt:lpstr>ITEM28_2Q16</vt:lpstr>
      <vt:lpstr>Tags!ITEM28_2Q17</vt:lpstr>
      <vt:lpstr>ITEM28_2Q17</vt:lpstr>
      <vt:lpstr>Tags!ITEM28_2Q18</vt:lpstr>
      <vt:lpstr>ITEM28_2Q18</vt:lpstr>
      <vt:lpstr>Tags!ITEM28_2Q19</vt:lpstr>
      <vt:lpstr>ITEM28_2Q19</vt:lpstr>
      <vt:lpstr>Tags!ITEM28_2Q20</vt:lpstr>
      <vt:lpstr>ITEM28_2Q20</vt:lpstr>
      <vt:lpstr>ITEM28_2Q21</vt:lpstr>
      <vt:lpstr>ITEM28_2Q22</vt:lpstr>
      <vt:lpstr>ITEM28_2Q23</vt:lpstr>
      <vt:lpstr>ITEM28_2Q24</vt:lpstr>
      <vt:lpstr>Tags!ITEM28_3Q00</vt:lpstr>
      <vt:lpstr>ITEM28_3Q00</vt:lpstr>
      <vt:lpstr>Tags!ITEM28_3Q01</vt:lpstr>
      <vt:lpstr>ITEM28_3Q01</vt:lpstr>
      <vt:lpstr>Tags!ITEM28_3Q02</vt:lpstr>
      <vt:lpstr>ITEM28_3Q02</vt:lpstr>
      <vt:lpstr>Tags!ITEM28_3Q03</vt:lpstr>
      <vt:lpstr>ITEM28_3Q03</vt:lpstr>
      <vt:lpstr>Tags!ITEM28_3Q04</vt:lpstr>
      <vt:lpstr>ITEM28_3Q04</vt:lpstr>
      <vt:lpstr>Tags!ITEM28_3Q05</vt:lpstr>
      <vt:lpstr>ITEM28_3Q05</vt:lpstr>
      <vt:lpstr>Tags!ITEM28_3Q06</vt:lpstr>
      <vt:lpstr>ITEM28_3Q06</vt:lpstr>
      <vt:lpstr>Tags!ITEM28_3Q07</vt:lpstr>
      <vt:lpstr>ITEM28_3Q07</vt:lpstr>
      <vt:lpstr>Tags!ITEM28_3Q08</vt:lpstr>
      <vt:lpstr>ITEM28_3Q08</vt:lpstr>
      <vt:lpstr>Tags!ITEM28_3Q09</vt:lpstr>
      <vt:lpstr>ITEM28_3Q09</vt:lpstr>
      <vt:lpstr>Tags!ITEM28_3Q10</vt:lpstr>
      <vt:lpstr>ITEM28_3Q10</vt:lpstr>
      <vt:lpstr>Tags!ITEM28_3Q11</vt:lpstr>
      <vt:lpstr>ITEM28_3Q11</vt:lpstr>
      <vt:lpstr>Tags!ITEM28_3Q12</vt:lpstr>
      <vt:lpstr>ITEM28_3Q12</vt:lpstr>
      <vt:lpstr>Tags!ITEM28_3Q13</vt:lpstr>
      <vt:lpstr>ITEM28_3Q13</vt:lpstr>
      <vt:lpstr>Tags!ITEM28_3Q14</vt:lpstr>
      <vt:lpstr>ITEM28_3Q14</vt:lpstr>
      <vt:lpstr>Tags!ITEM28_3Q15</vt:lpstr>
      <vt:lpstr>ITEM28_3Q15</vt:lpstr>
      <vt:lpstr>Tags!ITEM28_3Q16</vt:lpstr>
      <vt:lpstr>ITEM28_3Q16</vt:lpstr>
      <vt:lpstr>Tags!ITEM28_3Q17</vt:lpstr>
      <vt:lpstr>ITEM28_3Q17</vt:lpstr>
      <vt:lpstr>Tags!ITEM28_3Q18</vt:lpstr>
      <vt:lpstr>ITEM28_3Q18</vt:lpstr>
      <vt:lpstr>Tags!ITEM28_3Q19</vt:lpstr>
      <vt:lpstr>ITEM28_3Q19</vt:lpstr>
      <vt:lpstr>Tags!ITEM28_3Q20</vt:lpstr>
      <vt:lpstr>ITEM28_3Q20</vt:lpstr>
      <vt:lpstr>ITEM28_3Q21</vt:lpstr>
      <vt:lpstr>ITEM28_3Q22</vt:lpstr>
      <vt:lpstr>ITEM28_3Q23</vt:lpstr>
      <vt:lpstr>ITEM28_3Q24</vt:lpstr>
      <vt:lpstr>Tags!ITEM28_4Q00</vt:lpstr>
      <vt:lpstr>ITEM28_4Q00</vt:lpstr>
      <vt:lpstr>Tags!ITEM28_4Q01</vt:lpstr>
      <vt:lpstr>ITEM28_4Q01</vt:lpstr>
      <vt:lpstr>Tags!ITEM28_4Q02</vt:lpstr>
      <vt:lpstr>ITEM28_4Q02</vt:lpstr>
      <vt:lpstr>Tags!ITEM28_4Q03</vt:lpstr>
      <vt:lpstr>ITEM28_4Q03</vt:lpstr>
      <vt:lpstr>Tags!ITEM28_4Q04</vt:lpstr>
      <vt:lpstr>ITEM28_4Q04</vt:lpstr>
      <vt:lpstr>Tags!ITEM28_4Q05</vt:lpstr>
      <vt:lpstr>ITEM28_4Q05</vt:lpstr>
      <vt:lpstr>Tags!ITEM28_4Q06</vt:lpstr>
      <vt:lpstr>ITEM28_4Q06</vt:lpstr>
      <vt:lpstr>Tags!ITEM28_4Q07</vt:lpstr>
      <vt:lpstr>ITEM28_4Q07</vt:lpstr>
      <vt:lpstr>Tags!ITEM28_4Q08</vt:lpstr>
      <vt:lpstr>ITEM28_4Q08</vt:lpstr>
      <vt:lpstr>Tags!ITEM28_4Q09</vt:lpstr>
      <vt:lpstr>ITEM28_4Q09</vt:lpstr>
      <vt:lpstr>Tags!ITEM28_4Q10</vt:lpstr>
      <vt:lpstr>ITEM28_4Q10</vt:lpstr>
      <vt:lpstr>Tags!ITEM28_4Q11</vt:lpstr>
      <vt:lpstr>ITEM28_4Q11</vt:lpstr>
      <vt:lpstr>Tags!ITEM28_4Q12</vt:lpstr>
      <vt:lpstr>ITEM28_4Q12</vt:lpstr>
      <vt:lpstr>Tags!ITEM28_4Q13</vt:lpstr>
      <vt:lpstr>ITEM28_4Q13</vt:lpstr>
      <vt:lpstr>Tags!ITEM28_4Q14</vt:lpstr>
      <vt:lpstr>ITEM28_4Q14</vt:lpstr>
      <vt:lpstr>Tags!ITEM28_4Q15</vt:lpstr>
      <vt:lpstr>ITEM28_4Q15</vt:lpstr>
      <vt:lpstr>Tags!ITEM28_4Q16</vt:lpstr>
      <vt:lpstr>ITEM28_4Q16</vt:lpstr>
      <vt:lpstr>Tags!ITEM28_4Q17</vt:lpstr>
      <vt:lpstr>ITEM28_4Q17</vt:lpstr>
      <vt:lpstr>Tags!ITEM28_4Q18</vt:lpstr>
      <vt:lpstr>ITEM28_4Q18</vt:lpstr>
      <vt:lpstr>Tags!ITEM28_4Q19</vt:lpstr>
      <vt:lpstr>ITEM28_4Q19</vt:lpstr>
      <vt:lpstr>Tags!ITEM28_4Q20</vt:lpstr>
      <vt:lpstr>ITEM28_4Q20</vt:lpstr>
      <vt:lpstr>ITEM28_4Q21</vt:lpstr>
      <vt:lpstr>ITEM28_4Q22</vt:lpstr>
      <vt:lpstr>ITEM28_4Q23</vt:lpstr>
      <vt:lpstr>ITEM28_4Q24</vt:lpstr>
      <vt:lpstr>ITEM29_1995</vt:lpstr>
      <vt:lpstr>ITEM29_1996</vt:lpstr>
      <vt:lpstr>ITEM29_1997</vt:lpstr>
      <vt:lpstr>ITEM29_1998</vt:lpstr>
      <vt:lpstr>ITEM29_1999</vt:lpstr>
      <vt:lpstr>Tags!ITEM29_1Q00</vt:lpstr>
      <vt:lpstr>ITEM29_1Q00</vt:lpstr>
      <vt:lpstr>Tags!ITEM29_1Q01</vt:lpstr>
      <vt:lpstr>ITEM29_1Q01</vt:lpstr>
      <vt:lpstr>Tags!ITEM29_1Q02</vt:lpstr>
      <vt:lpstr>ITEM29_1Q02</vt:lpstr>
      <vt:lpstr>Tags!ITEM29_1Q03</vt:lpstr>
      <vt:lpstr>ITEM29_1Q03</vt:lpstr>
      <vt:lpstr>Tags!ITEM29_1Q04</vt:lpstr>
      <vt:lpstr>ITEM29_1Q04</vt:lpstr>
      <vt:lpstr>Tags!ITEM29_1Q05</vt:lpstr>
      <vt:lpstr>ITEM29_1Q05</vt:lpstr>
      <vt:lpstr>Tags!ITEM29_1Q06</vt:lpstr>
      <vt:lpstr>ITEM29_1Q06</vt:lpstr>
      <vt:lpstr>Tags!ITEM29_1Q07</vt:lpstr>
      <vt:lpstr>ITEM29_1Q07</vt:lpstr>
      <vt:lpstr>Tags!ITEM29_1Q08</vt:lpstr>
      <vt:lpstr>ITEM29_1Q08</vt:lpstr>
      <vt:lpstr>Tags!ITEM29_1Q09</vt:lpstr>
      <vt:lpstr>ITEM29_1Q09</vt:lpstr>
      <vt:lpstr>Tags!ITEM29_1Q10</vt:lpstr>
      <vt:lpstr>ITEM29_1Q10</vt:lpstr>
      <vt:lpstr>Tags!ITEM29_1Q11</vt:lpstr>
      <vt:lpstr>ITEM29_1Q11</vt:lpstr>
      <vt:lpstr>Tags!ITEM29_1Q12</vt:lpstr>
      <vt:lpstr>ITEM29_1Q12</vt:lpstr>
      <vt:lpstr>Tags!ITEM29_1Q13</vt:lpstr>
      <vt:lpstr>ITEM29_1Q13</vt:lpstr>
      <vt:lpstr>Tags!ITEM29_1Q14</vt:lpstr>
      <vt:lpstr>ITEM29_1Q14</vt:lpstr>
      <vt:lpstr>Tags!ITEM29_1Q15</vt:lpstr>
      <vt:lpstr>ITEM29_1Q15</vt:lpstr>
      <vt:lpstr>Tags!ITEM29_1Q16</vt:lpstr>
      <vt:lpstr>ITEM29_1Q16</vt:lpstr>
      <vt:lpstr>Tags!ITEM29_1Q17</vt:lpstr>
      <vt:lpstr>ITEM29_1Q17</vt:lpstr>
      <vt:lpstr>Tags!ITEM29_1Q18</vt:lpstr>
      <vt:lpstr>ITEM29_1Q18</vt:lpstr>
      <vt:lpstr>Tags!ITEM29_1Q19</vt:lpstr>
      <vt:lpstr>ITEM29_1Q19</vt:lpstr>
      <vt:lpstr>Tags!ITEM29_1Q20</vt:lpstr>
      <vt:lpstr>ITEM29_1Q20</vt:lpstr>
      <vt:lpstr>ITEM29_1Q21</vt:lpstr>
      <vt:lpstr>ITEM29_1Q22</vt:lpstr>
      <vt:lpstr>ITEM29_1Q23</vt:lpstr>
      <vt:lpstr>ITEM29_1Q24</vt:lpstr>
      <vt:lpstr>Tags!ITEM29_2000</vt:lpstr>
      <vt:lpstr>ITEM29_2000</vt:lpstr>
      <vt:lpstr>Tags!ITEM29_2001</vt:lpstr>
      <vt:lpstr>ITEM29_2001</vt:lpstr>
      <vt:lpstr>Tags!ITEM29_2002</vt:lpstr>
      <vt:lpstr>ITEM29_2002</vt:lpstr>
      <vt:lpstr>Tags!ITEM29_2003</vt:lpstr>
      <vt:lpstr>ITEM29_2003</vt:lpstr>
      <vt:lpstr>Tags!ITEM29_2004</vt:lpstr>
      <vt:lpstr>ITEM29_2004</vt:lpstr>
      <vt:lpstr>Tags!ITEM29_2005</vt:lpstr>
      <vt:lpstr>ITEM29_2005</vt:lpstr>
      <vt:lpstr>Tags!ITEM29_2006</vt:lpstr>
      <vt:lpstr>ITEM29_2006</vt:lpstr>
      <vt:lpstr>Tags!ITEM29_2007</vt:lpstr>
      <vt:lpstr>ITEM29_2007</vt:lpstr>
      <vt:lpstr>Tags!ITEM29_2008</vt:lpstr>
      <vt:lpstr>ITEM29_2008</vt:lpstr>
      <vt:lpstr>Tags!ITEM29_2009</vt:lpstr>
      <vt:lpstr>ITEM29_2009</vt:lpstr>
      <vt:lpstr>Tags!ITEM29_2010</vt:lpstr>
      <vt:lpstr>ITEM29_2010</vt:lpstr>
      <vt:lpstr>Tags!ITEM29_2011</vt:lpstr>
      <vt:lpstr>ITEM29_2011</vt:lpstr>
      <vt:lpstr>Tags!ITEM29_2012</vt:lpstr>
      <vt:lpstr>ITEM29_2012</vt:lpstr>
      <vt:lpstr>Tags!ITEM29_2013</vt:lpstr>
      <vt:lpstr>ITEM29_2013</vt:lpstr>
      <vt:lpstr>Tags!ITEM29_2014</vt:lpstr>
      <vt:lpstr>ITEM29_2014</vt:lpstr>
      <vt:lpstr>ITEM29_2015</vt:lpstr>
      <vt:lpstr>Tags!ITEM29_2016</vt:lpstr>
      <vt:lpstr>ITEM29_2016</vt:lpstr>
      <vt:lpstr>Tags!ITEM29_2017</vt:lpstr>
      <vt:lpstr>ITEM29_2017</vt:lpstr>
      <vt:lpstr>Tags!ITEM29_2018</vt:lpstr>
      <vt:lpstr>ITEM29_2018</vt:lpstr>
      <vt:lpstr>Tags!ITEM29_2019</vt:lpstr>
      <vt:lpstr>ITEM29_2019</vt:lpstr>
      <vt:lpstr>Tags!ITEM29_2020</vt:lpstr>
      <vt:lpstr>ITEM29_2020</vt:lpstr>
      <vt:lpstr>ITEM29_2021</vt:lpstr>
      <vt:lpstr>ITEM29_2022</vt:lpstr>
      <vt:lpstr>ITEM29_2023</vt:lpstr>
      <vt:lpstr>ITEM29_2024</vt:lpstr>
      <vt:lpstr>Tags!ITEM29_2Q00</vt:lpstr>
      <vt:lpstr>ITEM29_2Q00</vt:lpstr>
      <vt:lpstr>Tags!ITEM29_2Q01</vt:lpstr>
      <vt:lpstr>ITEM29_2Q01</vt:lpstr>
      <vt:lpstr>Tags!ITEM29_2Q02</vt:lpstr>
      <vt:lpstr>ITEM29_2Q02</vt:lpstr>
      <vt:lpstr>Tags!ITEM29_2Q03</vt:lpstr>
      <vt:lpstr>ITEM29_2Q03</vt:lpstr>
      <vt:lpstr>Tags!ITEM29_2Q04</vt:lpstr>
      <vt:lpstr>ITEM29_2Q04</vt:lpstr>
      <vt:lpstr>Tags!ITEM29_2Q05</vt:lpstr>
      <vt:lpstr>ITEM29_2Q05</vt:lpstr>
      <vt:lpstr>Tags!ITEM29_2Q06</vt:lpstr>
      <vt:lpstr>ITEM29_2Q06</vt:lpstr>
      <vt:lpstr>Tags!ITEM29_2Q07</vt:lpstr>
      <vt:lpstr>ITEM29_2Q07</vt:lpstr>
      <vt:lpstr>Tags!ITEM29_2Q08</vt:lpstr>
      <vt:lpstr>ITEM29_2Q08</vt:lpstr>
      <vt:lpstr>Tags!ITEM29_2Q09</vt:lpstr>
      <vt:lpstr>ITEM29_2Q09</vt:lpstr>
      <vt:lpstr>Tags!ITEM29_2Q10</vt:lpstr>
      <vt:lpstr>ITEM29_2Q10</vt:lpstr>
      <vt:lpstr>Tags!ITEM29_2Q11</vt:lpstr>
      <vt:lpstr>ITEM29_2Q11</vt:lpstr>
      <vt:lpstr>Tags!ITEM29_2Q12</vt:lpstr>
      <vt:lpstr>ITEM29_2Q12</vt:lpstr>
      <vt:lpstr>Tags!ITEM29_2Q13</vt:lpstr>
      <vt:lpstr>ITEM29_2Q13</vt:lpstr>
      <vt:lpstr>Tags!ITEM29_2Q14</vt:lpstr>
      <vt:lpstr>ITEM29_2Q14</vt:lpstr>
      <vt:lpstr>Tags!ITEM29_2Q15</vt:lpstr>
      <vt:lpstr>ITEM29_2Q15</vt:lpstr>
      <vt:lpstr>Tags!ITEM29_2Q16</vt:lpstr>
      <vt:lpstr>ITEM29_2Q16</vt:lpstr>
      <vt:lpstr>Tags!ITEM29_2Q17</vt:lpstr>
      <vt:lpstr>ITEM29_2Q17</vt:lpstr>
      <vt:lpstr>Tags!ITEM29_2Q18</vt:lpstr>
      <vt:lpstr>ITEM29_2Q18</vt:lpstr>
      <vt:lpstr>Tags!ITEM29_2Q19</vt:lpstr>
      <vt:lpstr>ITEM29_2Q19</vt:lpstr>
      <vt:lpstr>Tags!ITEM29_2Q20</vt:lpstr>
      <vt:lpstr>ITEM29_2Q20</vt:lpstr>
      <vt:lpstr>ITEM29_2Q21</vt:lpstr>
      <vt:lpstr>ITEM29_2Q22</vt:lpstr>
      <vt:lpstr>ITEM29_2Q23</vt:lpstr>
      <vt:lpstr>ITEM29_2Q24</vt:lpstr>
      <vt:lpstr>Tags!ITEM29_3Q00</vt:lpstr>
      <vt:lpstr>ITEM29_3Q00</vt:lpstr>
      <vt:lpstr>Tags!ITEM29_3Q01</vt:lpstr>
      <vt:lpstr>ITEM29_3Q01</vt:lpstr>
      <vt:lpstr>Tags!ITEM29_3Q02</vt:lpstr>
      <vt:lpstr>ITEM29_3Q02</vt:lpstr>
      <vt:lpstr>Tags!ITEM29_3Q03</vt:lpstr>
      <vt:lpstr>ITEM29_3Q03</vt:lpstr>
      <vt:lpstr>Tags!ITEM29_3Q04</vt:lpstr>
      <vt:lpstr>ITEM29_3Q04</vt:lpstr>
      <vt:lpstr>Tags!ITEM29_3Q05</vt:lpstr>
      <vt:lpstr>ITEM29_3Q05</vt:lpstr>
      <vt:lpstr>Tags!ITEM29_3Q06</vt:lpstr>
      <vt:lpstr>ITEM29_3Q06</vt:lpstr>
      <vt:lpstr>Tags!ITEM29_3Q07</vt:lpstr>
      <vt:lpstr>ITEM29_3Q07</vt:lpstr>
      <vt:lpstr>Tags!ITEM29_3Q08</vt:lpstr>
      <vt:lpstr>ITEM29_3Q08</vt:lpstr>
      <vt:lpstr>Tags!ITEM29_3Q09</vt:lpstr>
      <vt:lpstr>ITEM29_3Q09</vt:lpstr>
      <vt:lpstr>Tags!ITEM29_3Q10</vt:lpstr>
      <vt:lpstr>ITEM29_3Q10</vt:lpstr>
      <vt:lpstr>Tags!ITEM29_3Q11</vt:lpstr>
      <vt:lpstr>ITEM29_3Q11</vt:lpstr>
      <vt:lpstr>Tags!ITEM29_3Q12</vt:lpstr>
      <vt:lpstr>ITEM29_3Q12</vt:lpstr>
      <vt:lpstr>Tags!ITEM29_3Q13</vt:lpstr>
      <vt:lpstr>ITEM29_3Q13</vt:lpstr>
      <vt:lpstr>Tags!ITEM29_3Q14</vt:lpstr>
      <vt:lpstr>ITEM29_3Q14</vt:lpstr>
      <vt:lpstr>Tags!ITEM29_3Q15</vt:lpstr>
      <vt:lpstr>ITEM29_3Q15</vt:lpstr>
      <vt:lpstr>Tags!ITEM29_3Q16</vt:lpstr>
      <vt:lpstr>ITEM29_3Q16</vt:lpstr>
      <vt:lpstr>Tags!ITEM29_3Q17</vt:lpstr>
      <vt:lpstr>ITEM29_3Q17</vt:lpstr>
      <vt:lpstr>Tags!ITEM29_3Q18</vt:lpstr>
      <vt:lpstr>ITEM29_3Q18</vt:lpstr>
      <vt:lpstr>Tags!ITEM29_3Q19</vt:lpstr>
      <vt:lpstr>ITEM29_3Q19</vt:lpstr>
      <vt:lpstr>Tags!ITEM29_3Q20</vt:lpstr>
      <vt:lpstr>ITEM29_3Q20</vt:lpstr>
      <vt:lpstr>ITEM29_3Q21</vt:lpstr>
      <vt:lpstr>ITEM29_3Q22</vt:lpstr>
      <vt:lpstr>ITEM29_3Q23</vt:lpstr>
      <vt:lpstr>ITEM29_3Q24</vt:lpstr>
      <vt:lpstr>Tags!ITEM29_4Q00</vt:lpstr>
      <vt:lpstr>ITEM29_4Q00</vt:lpstr>
      <vt:lpstr>Tags!ITEM29_4Q01</vt:lpstr>
      <vt:lpstr>ITEM29_4Q01</vt:lpstr>
      <vt:lpstr>Tags!ITEM29_4Q02</vt:lpstr>
      <vt:lpstr>ITEM29_4Q02</vt:lpstr>
      <vt:lpstr>Tags!ITEM29_4Q03</vt:lpstr>
      <vt:lpstr>ITEM29_4Q03</vt:lpstr>
      <vt:lpstr>Tags!ITEM29_4Q04</vt:lpstr>
      <vt:lpstr>ITEM29_4Q04</vt:lpstr>
      <vt:lpstr>Tags!ITEM29_4Q05</vt:lpstr>
      <vt:lpstr>ITEM29_4Q05</vt:lpstr>
      <vt:lpstr>Tags!ITEM29_4Q06</vt:lpstr>
      <vt:lpstr>ITEM29_4Q06</vt:lpstr>
      <vt:lpstr>Tags!ITEM29_4Q07</vt:lpstr>
      <vt:lpstr>ITEM29_4Q07</vt:lpstr>
      <vt:lpstr>Tags!ITEM29_4Q08</vt:lpstr>
      <vt:lpstr>ITEM29_4Q08</vt:lpstr>
      <vt:lpstr>Tags!ITEM29_4Q09</vt:lpstr>
      <vt:lpstr>ITEM29_4Q09</vt:lpstr>
      <vt:lpstr>Tags!ITEM29_4Q10</vt:lpstr>
      <vt:lpstr>ITEM29_4Q10</vt:lpstr>
      <vt:lpstr>Tags!ITEM29_4Q11</vt:lpstr>
      <vt:lpstr>ITEM29_4Q11</vt:lpstr>
      <vt:lpstr>Tags!ITEM29_4Q12</vt:lpstr>
      <vt:lpstr>ITEM29_4Q12</vt:lpstr>
      <vt:lpstr>Tags!ITEM29_4Q13</vt:lpstr>
      <vt:lpstr>ITEM29_4Q13</vt:lpstr>
      <vt:lpstr>Tags!ITEM29_4Q14</vt:lpstr>
      <vt:lpstr>ITEM29_4Q14</vt:lpstr>
      <vt:lpstr>Tags!ITEM29_4Q15</vt:lpstr>
      <vt:lpstr>ITEM29_4Q15</vt:lpstr>
      <vt:lpstr>Tags!ITEM29_4Q16</vt:lpstr>
      <vt:lpstr>ITEM29_4Q16</vt:lpstr>
      <vt:lpstr>Tags!ITEM29_4Q17</vt:lpstr>
      <vt:lpstr>ITEM29_4Q17</vt:lpstr>
      <vt:lpstr>Tags!ITEM29_4Q18</vt:lpstr>
      <vt:lpstr>ITEM29_4Q18</vt:lpstr>
      <vt:lpstr>Tags!ITEM29_4Q19</vt:lpstr>
      <vt:lpstr>ITEM29_4Q19</vt:lpstr>
      <vt:lpstr>Tags!ITEM29_4Q20</vt:lpstr>
      <vt:lpstr>ITEM29_4Q20</vt:lpstr>
      <vt:lpstr>ITEM29_4Q21</vt:lpstr>
      <vt:lpstr>ITEM29_4Q22</vt:lpstr>
      <vt:lpstr>ITEM29_4Q23</vt:lpstr>
      <vt:lpstr>ITEM29_4Q24</vt:lpstr>
      <vt:lpstr>ITEM3_1995</vt:lpstr>
      <vt:lpstr>ITEM3_1996</vt:lpstr>
      <vt:lpstr>ITEM3_1997</vt:lpstr>
      <vt:lpstr>ITEM3_1998</vt:lpstr>
      <vt:lpstr>ITEM3_1999</vt:lpstr>
      <vt:lpstr>Tags!ITEM3_1Q00</vt:lpstr>
      <vt:lpstr>ITEM3_1Q00</vt:lpstr>
      <vt:lpstr>Tags!ITEM3_1Q01</vt:lpstr>
      <vt:lpstr>ITEM3_1Q01</vt:lpstr>
      <vt:lpstr>Tags!ITEM3_1Q02</vt:lpstr>
      <vt:lpstr>ITEM3_1Q02</vt:lpstr>
      <vt:lpstr>Tags!ITEM3_1Q03</vt:lpstr>
      <vt:lpstr>ITEM3_1Q03</vt:lpstr>
      <vt:lpstr>Tags!ITEM3_1Q04</vt:lpstr>
      <vt:lpstr>ITEM3_1Q04</vt:lpstr>
      <vt:lpstr>Tags!ITEM3_1Q05</vt:lpstr>
      <vt:lpstr>ITEM3_1Q05</vt:lpstr>
      <vt:lpstr>Tags!ITEM3_1Q06</vt:lpstr>
      <vt:lpstr>ITEM3_1Q06</vt:lpstr>
      <vt:lpstr>Tags!ITEM3_1Q07</vt:lpstr>
      <vt:lpstr>ITEM3_1Q07</vt:lpstr>
      <vt:lpstr>Tags!ITEM3_1Q08</vt:lpstr>
      <vt:lpstr>ITEM3_1Q08</vt:lpstr>
      <vt:lpstr>Tags!ITEM3_1Q09</vt:lpstr>
      <vt:lpstr>ITEM3_1Q09</vt:lpstr>
      <vt:lpstr>Tags!ITEM3_1Q10</vt:lpstr>
      <vt:lpstr>ITEM3_1Q10</vt:lpstr>
      <vt:lpstr>Tags!ITEM3_1Q11</vt:lpstr>
      <vt:lpstr>ITEM3_1Q11</vt:lpstr>
      <vt:lpstr>Tags!ITEM3_1Q12</vt:lpstr>
      <vt:lpstr>ITEM3_1Q12</vt:lpstr>
      <vt:lpstr>Tags!ITEM3_1Q13</vt:lpstr>
      <vt:lpstr>ITEM3_1Q13</vt:lpstr>
      <vt:lpstr>Tags!ITEM3_1Q14</vt:lpstr>
      <vt:lpstr>ITEM3_1Q14</vt:lpstr>
      <vt:lpstr>Tags!ITEM3_1Q15</vt:lpstr>
      <vt:lpstr>ITEM3_1Q15</vt:lpstr>
      <vt:lpstr>Tags!ITEM3_1Q16</vt:lpstr>
      <vt:lpstr>ITEM3_1Q16</vt:lpstr>
      <vt:lpstr>Tags!ITEM3_1Q17</vt:lpstr>
      <vt:lpstr>ITEM3_1Q17</vt:lpstr>
      <vt:lpstr>Tags!ITEM3_1Q18</vt:lpstr>
      <vt:lpstr>ITEM3_1Q18</vt:lpstr>
      <vt:lpstr>Tags!ITEM3_1Q19</vt:lpstr>
      <vt:lpstr>ITEM3_1Q19</vt:lpstr>
      <vt:lpstr>Tags!ITEM3_1Q20</vt:lpstr>
      <vt:lpstr>ITEM3_1Q20</vt:lpstr>
      <vt:lpstr>ITEM3_1Q21</vt:lpstr>
      <vt:lpstr>ITEM3_1Q22</vt:lpstr>
      <vt:lpstr>ITEM3_1Q23</vt:lpstr>
      <vt:lpstr>ITEM3_1Q24</vt:lpstr>
      <vt:lpstr>Tags!ITEM3_2000</vt:lpstr>
      <vt:lpstr>ITEM3_2000</vt:lpstr>
      <vt:lpstr>Tags!ITEM3_2001</vt:lpstr>
      <vt:lpstr>ITEM3_2001</vt:lpstr>
      <vt:lpstr>Tags!ITEM3_2002</vt:lpstr>
      <vt:lpstr>ITEM3_2002</vt:lpstr>
      <vt:lpstr>Tags!ITEM3_2003</vt:lpstr>
      <vt:lpstr>ITEM3_2003</vt:lpstr>
      <vt:lpstr>Tags!ITEM3_2004</vt:lpstr>
      <vt:lpstr>ITEM3_2004</vt:lpstr>
      <vt:lpstr>Tags!ITEM3_2005</vt:lpstr>
      <vt:lpstr>ITEM3_2005</vt:lpstr>
      <vt:lpstr>Tags!ITEM3_2006</vt:lpstr>
      <vt:lpstr>ITEM3_2006</vt:lpstr>
      <vt:lpstr>Tags!ITEM3_2007</vt:lpstr>
      <vt:lpstr>ITEM3_2007</vt:lpstr>
      <vt:lpstr>Tags!ITEM3_2008</vt:lpstr>
      <vt:lpstr>ITEM3_2008</vt:lpstr>
      <vt:lpstr>Tags!ITEM3_2009</vt:lpstr>
      <vt:lpstr>ITEM3_2009</vt:lpstr>
      <vt:lpstr>Tags!ITEM3_2010</vt:lpstr>
      <vt:lpstr>ITEM3_2010</vt:lpstr>
      <vt:lpstr>Tags!ITEM3_2011</vt:lpstr>
      <vt:lpstr>ITEM3_2011</vt:lpstr>
      <vt:lpstr>Tags!ITEM3_2012</vt:lpstr>
      <vt:lpstr>ITEM3_2012</vt:lpstr>
      <vt:lpstr>Tags!ITEM3_2013</vt:lpstr>
      <vt:lpstr>ITEM3_2013</vt:lpstr>
      <vt:lpstr>Tags!ITEM3_2014</vt:lpstr>
      <vt:lpstr>ITEM3_2014</vt:lpstr>
      <vt:lpstr>ITEM3_2015</vt:lpstr>
      <vt:lpstr>Tags!ITEM3_2016</vt:lpstr>
      <vt:lpstr>ITEM3_2016</vt:lpstr>
      <vt:lpstr>Tags!ITEM3_2017</vt:lpstr>
      <vt:lpstr>ITEM3_2017</vt:lpstr>
      <vt:lpstr>Tags!ITEM3_2018</vt:lpstr>
      <vt:lpstr>ITEM3_2018</vt:lpstr>
      <vt:lpstr>Tags!ITEM3_2019</vt:lpstr>
      <vt:lpstr>ITEM3_2019</vt:lpstr>
      <vt:lpstr>Tags!ITEM3_2020</vt:lpstr>
      <vt:lpstr>ITEM3_2020</vt:lpstr>
      <vt:lpstr>ITEM3_2021</vt:lpstr>
      <vt:lpstr>ITEM3_2022</vt:lpstr>
      <vt:lpstr>ITEM3_2023</vt:lpstr>
      <vt:lpstr>ITEM3_2024</vt:lpstr>
      <vt:lpstr>Tags!ITEM3_2Q00</vt:lpstr>
      <vt:lpstr>ITEM3_2Q00</vt:lpstr>
      <vt:lpstr>Tags!ITEM3_2Q01</vt:lpstr>
      <vt:lpstr>ITEM3_2Q01</vt:lpstr>
      <vt:lpstr>Tags!ITEM3_2Q02</vt:lpstr>
      <vt:lpstr>ITEM3_2Q02</vt:lpstr>
      <vt:lpstr>Tags!ITEM3_2Q03</vt:lpstr>
      <vt:lpstr>ITEM3_2Q03</vt:lpstr>
      <vt:lpstr>Tags!ITEM3_2Q04</vt:lpstr>
      <vt:lpstr>ITEM3_2Q04</vt:lpstr>
      <vt:lpstr>Tags!ITEM3_2Q05</vt:lpstr>
      <vt:lpstr>ITEM3_2Q05</vt:lpstr>
      <vt:lpstr>Tags!ITEM3_2Q06</vt:lpstr>
      <vt:lpstr>ITEM3_2Q06</vt:lpstr>
      <vt:lpstr>Tags!ITEM3_2Q07</vt:lpstr>
      <vt:lpstr>ITEM3_2Q07</vt:lpstr>
      <vt:lpstr>Tags!ITEM3_2Q08</vt:lpstr>
      <vt:lpstr>ITEM3_2Q08</vt:lpstr>
      <vt:lpstr>Tags!ITEM3_2Q09</vt:lpstr>
      <vt:lpstr>ITEM3_2Q09</vt:lpstr>
      <vt:lpstr>Tags!ITEM3_2Q10</vt:lpstr>
      <vt:lpstr>ITEM3_2Q10</vt:lpstr>
      <vt:lpstr>Tags!ITEM3_2Q11</vt:lpstr>
      <vt:lpstr>ITEM3_2Q11</vt:lpstr>
      <vt:lpstr>Tags!ITEM3_2Q12</vt:lpstr>
      <vt:lpstr>ITEM3_2Q12</vt:lpstr>
      <vt:lpstr>Tags!ITEM3_2Q13</vt:lpstr>
      <vt:lpstr>ITEM3_2Q13</vt:lpstr>
      <vt:lpstr>Tags!ITEM3_2Q14</vt:lpstr>
      <vt:lpstr>ITEM3_2Q14</vt:lpstr>
      <vt:lpstr>Tags!ITEM3_2Q15</vt:lpstr>
      <vt:lpstr>ITEM3_2Q15</vt:lpstr>
      <vt:lpstr>Tags!ITEM3_2Q16</vt:lpstr>
      <vt:lpstr>ITEM3_2Q16</vt:lpstr>
      <vt:lpstr>Tags!ITEM3_2Q17</vt:lpstr>
      <vt:lpstr>ITEM3_2Q17</vt:lpstr>
      <vt:lpstr>Tags!ITEM3_2Q18</vt:lpstr>
      <vt:lpstr>ITEM3_2Q18</vt:lpstr>
      <vt:lpstr>Tags!ITEM3_2Q19</vt:lpstr>
      <vt:lpstr>ITEM3_2Q19</vt:lpstr>
      <vt:lpstr>Tags!ITEM3_2Q20</vt:lpstr>
      <vt:lpstr>ITEM3_2Q20</vt:lpstr>
      <vt:lpstr>ITEM3_2Q21</vt:lpstr>
      <vt:lpstr>ITEM3_2Q22</vt:lpstr>
      <vt:lpstr>ITEM3_2Q23</vt:lpstr>
      <vt:lpstr>ITEM3_2Q24</vt:lpstr>
      <vt:lpstr>Tags!ITEM3_3Q00</vt:lpstr>
      <vt:lpstr>ITEM3_3Q00</vt:lpstr>
      <vt:lpstr>Tags!ITEM3_3Q01</vt:lpstr>
      <vt:lpstr>ITEM3_3Q01</vt:lpstr>
      <vt:lpstr>Tags!ITEM3_3Q02</vt:lpstr>
      <vt:lpstr>ITEM3_3Q02</vt:lpstr>
      <vt:lpstr>Tags!ITEM3_3Q03</vt:lpstr>
      <vt:lpstr>ITEM3_3Q03</vt:lpstr>
      <vt:lpstr>Tags!ITEM3_3Q04</vt:lpstr>
      <vt:lpstr>ITEM3_3Q04</vt:lpstr>
      <vt:lpstr>Tags!ITEM3_3Q05</vt:lpstr>
      <vt:lpstr>ITEM3_3Q05</vt:lpstr>
      <vt:lpstr>Tags!ITEM3_3Q06</vt:lpstr>
      <vt:lpstr>ITEM3_3Q06</vt:lpstr>
      <vt:lpstr>Tags!ITEM3_3Q07</vt:lpstr>
      <vt:lpstr>ITEM3_3Q07</vt:lpstr>
      <vt:lpstr>Tags!ITEM3_3Q08</vt:lpstr>
      <vt:lpstr>ITEM3_3Q08</vt:lpstr>
      <vt:lpstr>Tags!ITEM3_3Q09</vt:lpstr>
      <vt:lpstr>ITEM3_3Q09</vt:lpstr>
      <vt:lpstr>Tags!ITEM3_3Q10</vt:lpstr>
      <vt:lpstr>ITEM3_3Q10</vt:lpstr>
      <vt:lpstr>Tags!ITEM3_3Q11</vt:lpstr>
      <vt:lpstr>ITEM3_3Q11</vt:lpstr>
      <vt:lpstr>Tags!ITEM3_3Q12</vt:lpstr>
      <vt:lpstr>ITEM3_3Q12</vt:lpstr>
      <vt:lpstr>Tags!ITEM3_3Q13</vt:lpstr>
      <vt:lpstr>ITEM3_3Q13</vt:lpstr>
      <vt:lpstr>Tags!ITEM3_3Q14</vt:lpstr>
      <vt:lpstr>ITEM3_3Q14</vt:lpstr>
      <vt:lpstr>Tags!ITEM3_3Q15</vt:lpstr>
      <vt:lpstr>ITEM3_3Q15</vt:lpstr>
      <vt:lpstr>Tags!ITEM3_3Q16</vt:lpstr>
      <vt:lpstr>ITEM3_3Q16</vt:lpstr>
      <vt:lpstr>Tags!ITEM3_3Q17</vt:lpstr>
      <vt:lpstr>ITEM3_3Q17</vt:lpstr>
      <vt:lpstr>Tags!ITEM3_3Q18</vt:lpstr>
      <vt:lpstr>ITEM3_3Q18</vt:lpstr>
      <vt:lpstr>Tags!ITEM3_3Q19</vt:lpstr>
      <vt:lpstr>ITEM3_3Q19</vt:lpstr>
      <vt:lpstr>Tags!ITEM3_3Q20</vt:lpstr>
      <vt:lpstr>ITEM3_3Q20</vt:lpstr>
      <vt:lpstr>ITEM3_3Q21</vt:lpstr>
      <vt:lpstr>ITEM3_3Q22</vt:lpstr>
      <vt:lpstr>ITEM3_3Q23</vt:lpstr>
      <vt:lpstr>ITEM3_3Q24</vt:lpstr>
      <vt:lpstr>Tags!ITEM3_4Q00</vt:lpstr>
      <vt:lpstr>ITEM3_4Q00</vt:lpstr>
      <vt:lpstr>Tags!ITEM3_4Q01</vt:lpstr>
      <vt:lpstr>ITEM3_4Q01</vt:lpstr>
      <vt:lpstr>Tags!ITEM3_4Q02</vt:lpstr>
      <vt:lpstr>ITEM3_4Q02</vt:lpstr>
      <vt:lpstr>Tags!ITEM3_4Q03</vt:lpstr>
      <vt:lpstr>ITEM3_4Q03</vt:lpstr>
      <vt:lpstr>Tags!ITEM3_4Q04</vt:lpstr>
      <vt:lpstr>ITEM3_4Q04</vt:lpstr>
      <vt:lpstr>Tags!ITEM3_4Q05</vt:lpstr>
      <vt:lpstr>ITEM3_4Q05</vt:lpstr>
      <vt:lpstr>Tags!ITEM3_4Q06</vt:lpstr>
      <vt:lpstr>ITEM3_4Q06</vt:lpstr>
      <vt:lpstr>Tags!ITEM3_4Q07</vt:lpstr>
      <vt:lpstr>ITEM3_4Q07</vt:lpstr>
      <vt:lpstr>Tags!ITEM3_4Q08</vt:lpstr>
      <vt:lpstr>ITEM3_4Q08</vt:lpstr>
      <vt:lpstr>Tags!ITEM3_4Q09</vt:lpstr>
      <vt:lpstr>ITEM3_4Q09</vt:lpstr>
      <vt:lpstr>Tags!ITEM3_4Q10</vt:lpstr>
      <vt:lpstr>ITEM3_4Q10</vt:lpstr>
      <vt:lpstr>Tags!ITEM3_4Q11</vt:lpstr>
      <vt:lpstr>ITEM3_4Q11</vt:lpstr>
      <vt:lpstr>Tags!ITEM3_4Q12</vt:lpstr>
      <vt:lpstr>ITEM3_4Q12</vt:lpstr>
      <vt:lpstr>Tags!ITEM3_4Q13</vt:lpstr>
      <vt:lpstr>ITEM3_4Q13</vt:lpstr>
      <vt:lpstr>Tags!ITEM3_4Q14</vt:lpstr>
      <vt:lpstr>ITEM3_4Q14</vt:lpstr>
      <vt:lpstr>Tags!ITEM3_4Q15</vt:lpstr>
      <vt:lpstr>ITEM3_4Q15</vt:lpstr>
      <vt:lpstr>Tags!ITEM3_4Q16</vt:lpstr>
      <vt:lpstr>ITEM3_4Q16</vt:lpstr>
      <vt:lpstr>Tags!ITEM3_4Q17</vt:lpstr>
      <vt:lpstr>ITEM3_4Q17</vt:lpstr>
      <vt:lpstr>Tags!ITEM3_4Q18</vt:lpstr>
      <vt:lpstr>ITEM3_4Q18</vt:lpstr>
      <vt:lpstr>Tags!ITEM3_4Q19</vt:lpstr>
      <vt:lpstr>ITEM3_4Q19</vt:lpstr>
      <vt:lpstr>Tags!ITEM3_4Q20</vt:lpstr>
      <vt:lpstr>ITEM3_4Q20</vt:lpstr>
      <vt:lpstr>ITEM3_4Q21</vt:lpstr>
      <vt:lpstr>ITEM3_4Q22</vt:lpstr>
      <vt:lpstr>ITEM3_4Q23</vt:lpstr>
      <vt:lpstr>ITEM3_4Q24</vt:lpstr>
      <vt:lpstr>ITEM30_1995</vt:lpstr>
      <vt:lpstr>ITEM30_1996</vt:lpstr>
      <vt:lpstr>ITEM30_1997</vt:lpstr>
      <vt:lpstr>ITEM30_1998</vt:lpstr>
      <vt:lpstr>ITEM30_1999</vt:lpstr>
      <vt:lpstr>Tags!ITEM30_1Q00</vt:lpstr>
      <vt:lpstr>ITEM30_1Q00</vt:lpstr>
      <vt:lpstr>Tags!ITEM30_1Q01</vt:lpstr>
      <vt:lpstr>ITEM30_1Q01</vt:lpstr>
      <vt:lpstr>Tags!ITEM30_1Q02</vt:lpstr>
      <vt:lpstr>ITEM30_1Q02</vt:lpstr>
      <vt:lpstr>Tags!ITEM30_1Q03</vt:lpstr>
      <vt:lpstr>ITEM30_1Q03</vt:lpstr>
      <vt:lpstr>Tags!ITEM30_1Q04</vt:lpstr>
      <vt:lpstr>ITEM30_1Q04</vt:lpstr>
      <vt:lpstr>Tags!ITEM30_1Q05</vt:lpstr>
      <vt:lpstr>ITEM30_1Q05</vt:lpstr>
      <vt:lpstr>Tags!ITEM30_1Q06</vt:lpstr>
      <vt:lpstr>ITEM30_1Q06</vt:lpstr>
      <vt:lpstr>Tags!ITEM30_1Q07</vt:lpstr>
      <vt:lpstr>ITEM30_1Q07</vt:lpstr>
      <vt:lpstr>Tags!ITEM30_1Q08</vt:lpstr>
      <vt:lpstr>ITEM30_1Q08</vt:lpstr>
      <vt:lpstr>Tags!ITEM30_1Q09</vt:lpstr>
      <vt:lpstr>ITEM30_1Q09</vt:lpstr>
      <vt:lpstr>Tags!ITEM30_1Q10</vt:lpstr>
      <vt:lpstr>ITEM30_1Q10</vt:lpstr>
      <vt:lpstr>Tags!ITEM30_1Q11</vt:lpstr>
      <vt:lpstr>ITEM30_1Q11</vt:lpstr>
      <vt:lpstr>Tags!ITEM30_1Q12</vt:lpstr>
      <vt:lpstr>ITEM30_1Q12</vt:lpstr>
      <vt:lpstr>Tags!ITEM30_1Q13</vt:lpstr>
      <vt:lpstr>ITEM30_1Q13</vt:lpstr>
      <vt:lpstr>Tags!ITEM30_1Q14</vt:lpstr>
      <vt:lpstr>ITEM30_1Q14</vt:lpstr>
      <vt:lpstr>Tags!ITEM30_1Q15</vt:lpstr>
      <vt:lpstr>ITEM30_1Q15</vt:lpstr>
      <vt:lpstr>Tags!ITEM30_1Q16</vt:lpstr>
      <vt:lpstr>ITEM30_1Q16</vt:lpstr>
      <vt:lpstr>Tags!ITEM30_1Q17</vt:lpstr>
      <vt:lpstr>ITEM30_1Q17</vt:lpstr>
      <vt:lpstr>Tags!ITEM30_1Q18</vt:lpstr>
      <vt:lpstr>ITEM30_1Q18</vt:lpstr>
      <vt:lpstr>Tags!ITEM30_1Q19</vt:lpstr>
      <vt:lpstr>ITEM30_1Q19</vt:lpstr>
      <vt:lpstr>Tags!ITEM30_1Q20</vt:lpstr>
      <vt:lpstr>ITEM30_1Q20</vt:lpstr>
      <vt:lpstr>ITEM30_1Q21</vt:lpstr>
      <vt:lpstr>ITEM30_1Q22</vt:lpstr>
      <vt:lpstr>ITEM30_1Q23</vt:lpstr>
      <vt:lpstr>ITEM30_1Q24</vt:lpstr>
      <vt:lpstr>Tags!ITEM30_2000</vt:lpstr>
      <vt:lpstr>ITEM30_2000</vt:lpstr>
      <vt:lpstr>Tags!ITEM30_2001</vt:lpstr>
      <vt:lpstr>ITEM30_2001</vt:lpstr>
      <vt:lpstr>Tags!ITEM30_2002</vt:lpstr>
      <vt:lpstr>ITEM30_2002</vt:lpstr>
      <vt:lpstr>Tags!ITEM30_2003</vt:lpstr>
      <vt:lpstr>ITEM30_2003</vt:lpstr>
      <vt:lpstr>Tags!ITEM30_2004</vt:lpstr>
      <vt:lpstr>ITEM30_2004</vt:lpstr>
      <vt:lpstr>Tags!ITEM30_2005</vt:lpstr>
      <vt:lpstr>ITEM30_2005</vt:lpstr>
      <vt:lpstr>Tags!ITEM30_2006</vt:lpstr>
      <vt:lpstr>ITEM30_2006</vt:lpstr>
      <vt:lpstr>Tags!ITEM30_2007</vt:lpstr>
      <vt:lpstr>ITEM30_2007</vt:lpstr>
      <vt:lpstr>Tags!ITEM30_2008</vt:lpstr>
      <vt:lpstr>ITEM30_2008</vt:lpstr>
      <vt:lpstr>Tags!ITEM30_2009</vt:lpstr>
      <vt:lpstr>ITEM30_2009</vt:lpstr>
      <vt:lpstr>Tags!ITEM30_2010</vt:lpstr>
      <vt:lpstr>ITEM30_2010</vt:lpstr>
      <vt:lpstr>Tags!ITEM30_2011</vt:lpstr>
      <vt:lpstr>ITEM30_2011</vt:lpstr>
      <vt:lpstr>Tags!ITEM30_2012</vt:lpstr>
      <vt:lpstr>ITEM30_2012</vt:lpstr>
      <vt:lpstr>Tags!ITEM30_2013</vt:lpstr>
      <vt:lpstr>ITEM30_2013</vt:lpstr>
      <vt:lpstr>Tags!ITEM30_2014</vt:lpstr>
      <vt:lpstr>ITEM30_2014</vt:lpstr>
      <vt:lpstr>ITEM30_2015</vt:lpstr>
      <vt:lpstr>Tags!ITEM30_2016</vt:lpstr>
      <vt:lpstr>ITEM30_2016</vt:lpstr>
      <vt:lpstr>Tags!ITEM30_2017</vt:lpstr>
      <vt:lpstr>ITEM30_2017</vt:lpstr>
      <vt:lpstr>Tags!ITEM30_2018</vt:lpstr>
      <vt:lpstr>ITEM30_2018</vt:lpstr>
      <vt:lpstr>Tags!ITEM30_2019</vt:lpstr>
      <vt:lpstr>ITEM30_2019</vt:lpstr>
      <vt:lpstr>Tags!ITEM30_2020</vt:lpstr>
      <vt:lpstr>ITEM30_2020</vt:lpstr>
      <vt:lpstr>ITEM30_2021</vt:lpstr>
      <vt:lpstr>ITEM30_2022</vt:lpstr>
      <vt:lpstr>ITEM30_2023</vt:lpstr>
      <vt:lpstr>ITEM30_2024</vt:lpstr>
      <vt:lpstr>Tags!ITEM30_2Q00</vt:lpstr>
      <vt:lpstr>ITEM30_2Q00</vt:lpstr>
      <vt:lpstr>Tags!ITEM30_2Q01</vt:lpstr>
      <vt:lpstr>ITEM30_2Q01</vt:lpstr>
      <vt:lpstr>Tags!ITEM30_2Q02</vt:lpstr>
      <vt:lpstr>ITEM30_2Q02</vt:lpstr>
      <vt:lpstr>Tags!ITEM30_2Q03</vt:lpstr>
      <vt:lpstr>ITEM30_2Q03</vt:lpstr>
      <vt:lpstr>Tags!ITEM30_2Q04</vt:lpstr>
      <vt:lpstr>ITEM30_2Q04</vt:lpstr>
      <vt:lpstr>Tags!ITEM30_2Q05</vt:lpstr>
      <vt:lpstr>ITEM30_2Q05</vt:lpstr>
      <vt:lpstr>Tags!ITEM30_2Q06</vt:lpstr>
      <vt:lpstr>ITEM30_2Q06</vt:lpstr>
      <vt:lpstr>Tags!ITEM30_2Q07</vt:lpstr>
      <vt:lpstr>ITEM30_2Q07</vt:lpstr>
      <vt:lpstr>Tags!ITEM30_2Q08</vt:lpstr>
      <vt:lpstr>ITEM30_2Q08</vt:lpstr>
      <vt:lpstr>Tags!ITEM30_2Q09</vt:lpstr>
      <vt:lpstr>ITEM30_2Q09</vt:lpstr>
      <vt:lpstr>Tags!ITEM30_2Q10</vt:lpstr>
      <vt:lpstr>ITEM30_2Q10</vt:lpstr>
      <vt:lpstr>Tags!ITEM30_2Q11</vt:lpstr>
      <vt:lpstr>ITEM30_2Q11</vt:lpstr>
      <vt:lpstr>Tags!ITEM30_2Q12</vt:lpstr>
      <vt:lpstr>ITEM30_2Q12</vt:lpstr>
      <vt:lpstr>Tags!ITEM30_2Q13</vt:lpstr>
      <vt:lpstr>ITEM30_2Q13</vt:lpstr>
      <vt:lpstr>Tags!ITEM30_2Q14</vt:lpstr>
      <vt:lpstr>ITEM30_2Q14</vt:lpstr>
      <vt:lpstr>Tags!ITEM30_2Q15</vt:lpstr>
      <vt:lpstr>ITEM30_2Q15</vt:lpstr>
      <vt:lpstr>Tags!ITEM30_2Q16</vt:lpstr>
      <vt:lpstr>ITEM30_2Q16</vt:lpstr>
      <vt:lpstr>Tags!ITEM30_2Q17</vt:lpstr>
      <vt:lpstr>ITEM30_2Q17</vt:lpstr>
      <vt:lpstr>Tags!ITEM30_2Q18</vt:lpstr>
      <vt:lpstr>ITEM30_2Q18</vt:lpstr>
      <vt:lpstr>Tags!ITEM30_2Q19</vt:lpstr>
      <vt:lpstr>ITEM30_2Q19</vt:lpstr>
      <vt:lpstr>Tags!ITEM30_2Q20</vt:lpstr>
      <vt:lpstr>ITEM30_2Q20</vt:lpstr>
      <vt:lpstr>ITEM30_2Q21</vt:lpstr>
      <vt:lpstr>ITEM30_2Q22</vt:lpstr>
      <vt:lpstr>ITEM30_2Q23</vt:lpstr>
      <vt:lpstr>ITEM30_2Q24</vt:lpstr>
      <vt:lpstr>Tags!ITEM30_3Q00</vt:lpstr>
      <vt:lpstr>ITEM30_3Q00</vt:lpstr>
      <vt:lpstr>Tags!ITEM30_3Q01</vt:lpstr>
      <vt:lpstr>ITEM30_3Q01</vt:lpstr>
      <vt:lpstr>Tags!ITEM30_3Q02</vt:lpstr>
      <vt:lpstr>ITEM30_3Q02</vt:lpstr>
      <vt:lpstr>Tags!ITEM30_3Q03</vt:lpstr>
      <vt:lpstr>ITEM30_3Q03</vt:lpstr>
      <vt:lpstr>Tags!ITEM30_3Q04</vt:lpstr>
      <vt:lpstr>ITEM30_3Q04</vt:lpstr>
      <vt:lpstr>Tags!ITEM30_3Q05</vt:lpstr>
      <vt:lpstr>ITEM30_3Q05</vt:lpstr>
      <vt:lpstr>Tags!ITEM30_3Q06</vt:lpstr>
      <vt:lpstr>ITEM30_3Q06</vt:lpstr>
      <vt:lpstr>Tags!ITEM30_3Q07</vt:lpstr>
      <vt:lpstr>ITEM30_3Q07</vt:lpstr>
      <vt:lpstr>Tags!ITEM30_3Q08</vt:lpstr>
      <vt:lpstr>ITEM30_3Q08</vt:lpstr>
      <vt:lpstr>Tags!ITEM30_3Q09</vt:lpstr>
      <vt:lpstr>ITEM30_3Q09</vt:lpstr>
      <vt:lpstr>Tags!ITEM30_3Q10</vt:lpstr>
      <vt:lpstr>ITEM30_3Q10</vt:lpstr>
      <vt:lpstr>Tags!ITEM30_3Q11</vt:lpstr>
      <vt:lpstr>ITEM30_3Q11</vt:lpstr>
      <vt:lpstr>Tags!ITEM30_3Q12</vt:lpstr>
      <vt:lpstr>ITEM30_3Q12</vt:lpstr>
      <vt:lpstr>Tags!ITEM30_3Q13</vt:lpstr>
      <vt:lpstr>ITEM30_3Q13</vt:lpstr>
      <vt:lpstr>Tags!ITEM30_3Q14</vt:lpstr>
      <vt:lpstr>ITEM30_3Q14</vt:lpstr>
      <vt:lpstr>Tags!ITEM30_3Q15</vt:lpstr>
      <vt:lpstr>ITEM30_3Q15</vt:lpstr>
      <vt:lpstr>Tags!ITEM30_3Q16</vt:lpstr>
      <vt:lpstr>ITEM30_3Q16</vt:lpstr>
      <vt:lpstr>Tags!ITEM30_3Q17</vt:lpstr>
      <vt:lpstr>ITEM30_3Q17</vt:lpstr>
      <vt:lpstr>Tags!ITEM30_3Q18</vt:lpstr>
      <vt:lpstr>ITEM30_3Q18</vt:lpstr>
      <vt:lpstr>Tags!ITEM30_3Q19</vt:lpstr>
      <vt:lpstr>ITEM30_3Q19</vt:lpstr>
      <vt:lpstr>Tags!ITEM30_3Q20</vt:lpstr>
      <vt:lpstr>ITEM30_3Q20</vt:lpstr>
      <vt:lpstr>ITEM30_3Q21</vt:lpstr>
      <vt:lpstr>ITEM30_3Q22</vt:lpstr>
      <vt:lpstr>ITEM30_3Q23</vt:lpstr>
      <vt:lpstr>ITEM30_3Q24</vt:lpstr>
      <vt:lpstr>Tags!ITEM30_4Q00</vt:lpstr>
      <vt:lpstr>ITEM30_4Q00</vt:lpstr>
      <vt:lpstr>Tags!ITEM30_4Q01</vt:lpstr>
      <vt:lpstr>ITEM30_4Q01</vt:lpstr>
      <vt:lpstr>Tags!ITEM30_4Q02</vt:lpstr>
      <vt:lpstr>ITEM30_4Q02</vt:lpstr>
      <vt:lpstr>Tags!ITEM30_4Q03</vt:lpstr>
      <vt:lpstr>ITEM30_4Q03</vt:lpstr>
      <vt:lpstr>Tags!ITEM30_4Q04</vt:lpstr>
      <vt:lpstr>ITEM30_4Q04</vt:lpstr>
      <vt:lpstr>Tags!ITEM30_4Q05</vt:lpstr>
      <vt:lpstr>ITEM30_4Q05</vt:lpstr>
      <vt:lpstr>Tags!ITEM30_4Q06</vt:lpstr>
      <vt:lpstr>ITEM30_4Q06</vt:lpstr>
      <vt:lpstr>Tags!ITEM30_4Q07</vt:lpstr>
      <vt:lpstr>ITEM30_4Q07</vt:lpstr>
      <vt:lpstr>Tags!ITEM30_4Q08</vt:lpstr>
      <vt:lpstr>ITEM30_4Q08</vt:lpstr>
      <vt:lpstr>Tags!ITEM30_4Q09</vt:lpstr>
      <vt:lpstr>ITEM30_4Q09</vt:lpstr>
      <vt:lpstr>Tags!ITEM30_4Q10</vt:lpstr>
      <vt:lpstr>ITEM30_4Q10</vt:lpstr>
      <vt:lpstr>Tags!ITEM30_4Q11</vt:lpstr>
      <vt:lpstr>ITEM30_4Q11</vt:lpstr>
      <vt:lpstr>Tags!ITEM30_4Q12</vt:lpstr>
      <vt:lpstr>ITEM30_4Q12</vt:lpstr>
      <vt:lpstr>Tags!ITEM30_4Q13</vt:lpstr>
      <vt:lpstr>ITEM30_4Q13</vt:lpstr>
      <vt:lpstr>Tags!ITEM30_4Q14</vt:lpstr>
      <vt:lpstr>ITEM30_4Q14</vt:lpstr>
      <vt:lpstr>Tags!ITEM30_4Q15</vt:lpstr>
      <vt:lpstr>ITEM30_4Q15</vt:lpstr>
      <vt:lpstr>Tags!ITEM30_4Q16</vt:lpstr>
      <vt:lpstr>ITEM30_4Q16</vt:lpstr>
      <vt:lpstr>Tags!ITEM30_4Q17</vt:lpstr>
      <vt:lpstr>ITEM30_4Q17</vt:lpstr>
      <vt:lpstr>Tags!ITEM30_4Q18</vt:lpstr>
      <vt:lpstr>ITEM30_4Q18</vt:lpstr>
      <vt:lpstr>Tags!ITEM30_4Q19</vt:lpstr>
      <vt:lpstr>ITEM30_4Q19</vt:lpstr>
      <vt:lpstr>Tags!ITEM30_4Q20</vt:lpstr>
      <vt:lpstr>ITEM30_4Q20</vt:lpstr>
      <vt:lpstr>ITEM30_4Q21</vt:lpstr>
      <vt:lpstr>ITEM30_4Q22</vt:lpstr>
      <vt:lpstr>ITEM30_4Q23</vt:lpstr>
      <vt:lpstr>ITEM30_4Q24</vt:lpstr>
      <vt:lpstr>ITEM31_1995</vt:lpstr>
      <vt:lpstr>ITEM31_1996</vt:lpstr>
      <vt:lpstr>ITEM31_1997</vt:lpstr>
      <vt:lpstr>ITEM31_1998</vt:lpstr>
      <vt:lpstr>ITEM31_1999</vt:lpstr>
      <vt:lpstr>Tags!ITEM31_1Q00</vt:lpstr>
      <vt:lpstr>ITEM31_1Q00</vt:lpstr>
      <vt:lpstr>Tags!ITEM31_1Q01</vt:lpstr>
      <vt:lpstr>ITEM31_1Q01</vt:lpstr>
      <vt:lpstr>Tags!ITEM31_1Q02</vt:lpstr>
      <vt:lpstr>ITEM31_1Q02</vt:lpstr>
      <vt:lpstr>Tags!ITEM31_1Q03</vt:lpstr>
      <vt:lpstr>ITEM31_1Q03</vt:lpstr>
      <vt:lpstr>Tags!ITEM31_1Q04</vt:lpstr>
      <vt:lpstr>ITEM31_1Q04</vt:lpstr>
      <vt:lpstr>Tags!ITEM31_1Q05</vt:lpstr>
      <vt:lpstr>ITEM31_1Q05</vt:lpstr>
      <vt:lpstr>Tags!ITEM31_1Q06</vt:lpstr>
      <vt:lpstr>ITEM31_1Q06</vt:lpstr>
      <vt:lpstr>Tags!ITEM31_1Q07</vt:lpstr>
      <vt:lpstr>ITEM31_1Q07</vt:lpstr>
      <vt:lpstr>Tags!ITEM31_1Q08</vt:lpstr>
      <vt:lpstr>ITEM31_1Q08</vt:lpstr>
      <vt:lpstr>Tags!ITEM31_1Q09</vt:lpstr>
      <vt:lpstr>ITEM31_1Q09</vt:lpstr>
      <vt:lpstr>Tags!ITEM31_1Q10</vt:lpstr>
      <vt:lpstr>ITEM31_1Q10</vt:lpstr>
      <vt:lpstr>Tags!ITEM31_1Q11</vt:lpstr>
      <vt:lpstr>ITEM31_1Q11</vt:lpstr>
      <vt:lpstr>Tags!ITEM31_1Q12</vt:lpstr>
      <vt:lpstr>ITEM31_1Q12</vt:lpstr>
      <vt:lpstr>Tags!ITEM31_1Q13</vt:lpstr>
      <vt:lpstr>ITEM31_1Q13</vt:lpstr>
      <vt:lpstr>Tags!ITEM31_1Q14</vt:lpstr>
      <vt:lpstr>ITEM31_1Q14</vt:lpstr>
      <vt:lpstr>Tags!ITEM31_1Q15</vt:lpstr>
      <vt:lpstr>ITEM31_1Q15</vt:lpstr>
      <vt:lpstr>Tags!ITEM31_1Q16</vt:lpstr>
      <vt:lpstr>ITEM31_1Q16</vt:lpstr>
      <vt:lpstr>Tags!ITEM31_1Q17</vt:lpstr>
      <vt:lpstr>ITEM31_1Q17</vt:lpstr>
      <vt:lpstr>Tags!ITEM31_1Q18</vt:lpstr>
      <vt:lpstr>ITEM31_1Q18</vt:lpstr>
      <vt:lpstr>Tags!ITEM31_1Q19</vt:lpstr>
      <vt:lpstr>ITEM31_1Q19</vt:lpstr>
      <vt:lpstr>Tags!ITEM31_1Q20</vt:lpstr>
      <vt:lpstr>ITEM31_1Q20</vt:lpstr>
      <vt:lpstr>ITEM31_1Q21</vt:lpstr>
      <vt:lpstr>ITEM31_1Q22</vt:lpstr>
      <vt:lpstr>ITEM31_1Q23</vt:lpstr>
      <vt:lpstr>ITEM31_1Q24</vt:lpstr>
      <vt:lpstr>Tags!ITEM31_2000</vt:lpstr>
      <vt:lpstr>ITEM31_2000</vt:lpstr>
      <vt:lpstr>Tags!ITEM31_2001</vt:lpstr>
      <vt:lpstr>ITEM31_2001</vt:lpstr>
      <vt:lpstr>Tags!ITEM31_2002</vt:lpstr>
      <vt:lpstr>ITEM31_2002</vt:lpstr>
      <vt:lpstr>Tags!ITEM31_2003</vt:lpstr>
      <vt:lpstr>ITEM31_2003</vt:lpstr>
      <vt:lpstr>Tags!ITEM31_2004</vt:lpstr>
      <vt:lpstr>ITEM31_2004</vt:lpstr>
      <vt:lpstr>Tags!ITEM31_2005</vt:lpstr>
      <vt:lpstr>ITEM31_2005</vt:lpstr>
      <vt:lpstr>Tags!ITEM31_2006</vt:lpstr>
      <vt:lpstr>ITEM31_2006</vt:lpstr>
      <vt:lpstr>Tags!ITEM31_2007</vt:lpstr>
      <vt:lpstr>ITEM31_2007</vt:lpstr>
      <vt:lpstr>Tags!ITEM31_2008</vt:lpstr>
      <vt:lpstr>ITEM31_2008</vt:lpstr>
      <vt:lpstr>Tags!ITEM31_2009</vt:lpstr>
      <vt:lpstr>ITEM31_2009</vt:lpstr>
      <vt:lpstr>Tags!ITEM31_2010</vt:lpstr>
      <vt:lpstr>ITEM31_2010</vt:lpstr>
      <vt:lpstr>Tags!ITEM31_2011</vt:lpstr>
      <vt:lpstr>ITEM31_2011</vt:lpstr>
      <vt:lpstr>Tags!ITEM31_2012</vt:lpstr>
      <vt:lpstr>ITEM31_2012</vt:lpstr>
      <vt:lpstr>Tags!ITEM31_2013</vt:lpstr>
      <vt:lpstr>ITEM31_2013</vt:lpstr>
      <vt:lpstr>Tags!ITEM31_2014</vt:lpstr>
      <vt:lpstr>ITEM31_2014</vt:lpstr>
      <vt:lpstr>ITEM31_2015</vt:lpstr>
      <vt:lpstr>Tags!ITEM31_2016</vt:lpstr>
      <vt:lpstr>ITEM31_2016</vt:lpstr>
      <vt:lpstr>Tags!ITEM31_2017</vt:lpstr>
      <vt:lpstr>ITEM31_2017</vt:lpstr>
      <vt:lpstr>Tags!ITEM31_2018</vt:lpstr>
      <vt:lpstr>ITEM31_2018</vt:lpstr>
      <vt:lpstr>Tags!ITEM31_2019</vt:lpstr>
      <vt:lpstr>ITEM31_2019</vt:lpstr>
      <vt:lpstr>Tags!ITEM31_2020</vt:lpstr>
      <vt:lpstr>ITEM31_2020</vt:lpstr>
      <vt:lpstr>ITEM31_2021</vt:lpstr>
      <vt:lpstr>ITEM31_2022</vt:lpstr>
      <vt:lpstr>ITEM31_2023</vt:lpstr>
      <vt:lpstr>ITEM31_2024</vt:lpstr>
      <vt:lpstr>Tags!ITEM31_2Q00</vt:lpstr>
      <vt:lpstr>ITEM31_2Q00</vt:lpstr>
      <vt:lpstr>Tags!ITEM31_2Q01</vt:lpstr>
      <vt:lpstr>ITEM31_2Q01</vt:lpstr>
      <vt:lpstr>Tags!ITEM31_2Q02</vt:lpstr>
      <vt:lpstr>ITEM31_2Q02</vt:lpstr>
      <vt:lpstr>Tags!ITEM31_2Q03</vt:lpstr>
      <vt:lpstr>ITEM31_2Q03</vt:lpstr>
      <vt:lpstr>Tags!ITEM31_2Q04</vt:lpstr>
      <vt:lpstr>ITEM31_2Q04</vt:lpstr>
      <vt:lpstr>Tags!ITEM31_2Q05</vt:lpstr>
      <vt:lpstr>ITEM31_2Q05</vt:lpstr>
      <vt:lpstr>Tags!ITEM31_2Q06</vt:lpstr>
      <vt:lpstr>ITEM31_2Q06</vt:lpstr>
      <vt:lpstr>Tags!ITEM31_2Q07</vt:lpstr>
      <vt:lpstr>ITEM31_2Q07</vt:lpstr>
      <vt:lpstr>Tags!ITEM31_2Q08</vt:lpstr>
      <vt:lpstr>ITEM31_2Q08</vt:lpstr>
      <vt:lpstr>Tags!ITEM31_2Q09</vt:lpstr>
      <vt:lpstr>ITEM31_2Q09</vt:lpstr>
      <vt:lpstr>Tags!ITEM31_2Q10</vt:lpstr>
      <vt:lpstr>ITEM31_2Q10</vt:lpstr>
      <vt:lpstr>Tags!ITEM31_2Q11</vt:lpstr>
      <vt:lpstr>ITEM31_2Q11</vt:lpstr>
      <vt:lpstr>Tags!ITEM31_2Q12</vt:lpstr>
      <vt:lpstr>ITEM31_2Q12</vt:lpstr>
      <vt:lpstr>Tags!ITEM31_2Q13</vt:lpstr>
      <vt:lpstr>ITEM31_2Q13</vt:lpstr>
      <vt:lpstr>Tags!ITEM31_2Q14</vt:lpstr>
      <vt:lpstr>ITEM31_2Q14</vt:lpstr>
      <vt:lpstr>Tags!ITEM31_2Q15</vt:lpstr>
      <vt:lpstr>ITEM31_2Q15</vt:lpstr>
      <vt:lpstr>Tags!ITEM31_2Q16</vt:lpstr>
      <vt:lpstr>ITEM31_2Q16</vt:lpstr>
      <vt:lpstr>Tags!ITEM31_2Q17</vt:lpstr>
      <vt:lpstr>ITEM31_2Q17</vt:lpstr>
      <vt:lpstr>Tags!ITEM31_2Q18</vt:lpstr>
      <vt:lpstr>ITEM31_2Q18</vt:lpstr>
      <vt:lpstr>Tags!ITEM31_2Q19</vt:lpstr>
      <vt:lpstr>ITEM31_2Q19</vt:lpstr>
      <vt:lpstr>Tags!ITEM31_2Q20</vt:lpstr>
      <vt:lpstr>ITEM31_2Q20</vt:lpstr>
      <vt:lpstr>ITEM31_2Q21</vt:lpstr>
      <vt:lpstr>ITEM31_2Q22</vt:lpstr>
      <vt:lpstr>ITEM31_2Q23</vt:lpstr>
      <vt:lpstr>ITEM31_2Q24</vt:lpstr>
      <vt:lpstr>Tags!ITEM31_3Q00</vt:lpstr>
      <vt:lpstr>ITEM31_3Q00</vt:lpstr>
      <vt:lpstr>Tags!ITEM31_3Q01</vt:lpstr>
      <vt:lpstr>ITEM31_3Q01</vt:lpstr>
      <vt:lpstr>Tags!ITEM31_3Q02</vt:lpstr>
      <vt:lpstr>ITEM31_3Q02</vt:lpstr>
      <vt:lpstr>Tags!ITEM31_3Q03</vt:lpstr>
      <vt:lpstr>ITEM31_3Q03</vt:lpstr>
      <vt:lpstr>Tags!ITEM31_3Q04</vt:lpstr>
      <vt:lpstr>ITEM31_3Q04</vt:lpstr>
      <vt:lpstr>Tags!ITEM31_3Q05</vt:lpstr>
      <vt:lpstr>ITEM31_3Q05</vt:lpstr>
      <vt:lpstr>Tags!ITEM31_3Q06</vt:lpstr>
      <vt:lpstr>ITEM31_3Q06</vt:lpstr>
      <vt:lpstr>Tags!ITEM31_3Q07</vt:lpstr>
      <vt:lpstr>ITEM31_3Q07</vt:lpstr>
      <vt:lpstr>Tags!ITEM31_3Q08</vt:lpstr>
      <vt:lpstr>ITEM31_3Q08</vt:lpstr>
      <vt:lpstr>Tags!ITEM31_3Q09</vt:lpstr>
      <vt:lpstr>ITEM31_3Q09</vt:lpstr>
      <vt:lpstr>Tags!ITEM31_3Q10</vt:lpstr>
      <vt:lpstr>ITEM31_3Q10</vt:lpstr>
      <vt:lpstr>Tags!ITEM31_3Q11</vt:lpstr>
      <vt:lpstr>ITEM31_3Q11</vt:lpstr>
      <vt:lpstr>Tags!ITEM31_3Q12</vt:lpstr>
      <vt:lpstr>ITEM31_3Q12</vt:lpstr>
      <vt:lpstr>Tags!ITEM31_3Q13</vt:lpstr>
      <vt:lpstr>ITEM31_3Q13</vt:lpstr>
      <vt:lpstr>Tags!ITEM31_3Q14</vt:lpstr>
      <vt:lpstr>ITEM31_3Q14</vt:lpstr>
      <vt:lpstr>Tags!ITEM31_3Q15</vt:lpstr>
      <vt:lpstr>ITEM31_3Q15</vt:lpstr>
      <vt:lpstr>Tags!ITEM31_3Q16</vt:lpstr>
      <vt:lpstr>ITEM31_3Q16</vt:lpstr>
      <vt:lpstr>Tags!ITEM31_3Q17</vt:lpstr>
      <vt:lpstr>ITEM31_3Q17</vt:lpstr>
      <vt:lpstr>Tags!ITEM31_3Q18</vt:lpstr>
      <vt:lpstr>ITEM31_3Q18</vt:lpstr>
      <vt:lpstr>Tags!ITEM31_3Q19</vt:lpstr>
      <vt:lpstr>ITEM31_3Q19</vt:lpstr>
      <vt:lpstr>Tags!ITEM31_3Q20</vt:lpstr>
      <vt:lpstr>ITEM31_3Q20</vt:lpstr>
      <vt:lpstr>ITEM31_3Q21</vt:lpstr>
      <vt:lpstr>ITEM31_3Q22</vt:lpstr>
      <vt:lpstr>ITEM31_3Q23</vt:lpstr>
      <vt:lpstr>ITEM31_3Q24</vt:lpstr>
      <vt:lpstr>Tags!ITEM31_4Q00</vt:lpstr>
      <vt:lpstr>ITEM31_4Q00</vt:lpstr>
      <vt:lpstr>Tags!ITEM31_4Q01</vt:lpstr>
      <vt:lpstr>ITEM31_4Q01</vt:lpstr>
      <vt:lpstr>Tags!ITEM31_4Q02</vt:lpstr>
      <vt:lpstr>ITEM31_4Q02</vt:lpstr>
      <vt:lpstr>Tags!ITEM31_4Q03</vt:lpstr>
      <vt:lpstr>ITEM31_4Q03</vt:lpstr>
      <vt:lpstr>Tags!ITEM31_4Q04</vt:lpstr>
      <vt:lpstr>ITEM31_4Q04</vt:lpstr>
      <vt:lpstr>Tags!ITEM31_4Q05</vt:lpstr>
      <vt:lpstr>ITEM31_4Q05</vt:lpstr>
      <vt:lpstr>Tags!ITEM31_4Q06</vt:lpstr>
      <vt:lpstr>ITEM31_4Q06</vt:lpstr>
      <vt:lpstr>Tags!ITEM31_4Q07</vt:lpstr>
      <vt:lpstr>ITEM31_4Q07</vt:lpstr>
      <vt:lpstr>Tags!ITEM31_4Q08</vt:lpstr>
      <vt:lpstr>ITEM31_4Q08</vt:lpstr>
      <vt:lpstr>Tags!ITEM31_4Q09</vt:lpstr>
      <vt:lpstr>ITEM31_4Q09</vt:lpstr>
      <vt:lpstr>Tags!ITEM31_4Q10</vt:lpstr>
      <vt:lpstr>ITEM31_4Q10</vt:lpstr>
      <vt:lpstr>Tags!ITEM31_4Q11</vt:lpstr>
      <vt:lpstr>ITEM31_4Q11</vt:lpstr>
      <vt:lpstr>Tags!ITEM31_4Q12</vt:lpstr>
      <vt:lpstr>ITEM31_4Q12</vt:lpstr>
      <vt:lpstr>Tags!ITEM31_4Q13</vt:lpstr>
      <vt:lpstr>ITEM31_4Q13</vt:lpstr>
      <vt:lpstr>Tags!ITEM31_4Q14</vt:lpstr>
      <vt:lpstr>ITEM31_4Q14</vt:lpstr>
      <vt:lpstr>Tags!ITEM31_4Q15</vt:lpstr>
      <vt:lpstr>ITEM31_4Q15</vt:lpstr>
      <vt:lpstr>Tags!ITEM31_4Q16</vt:lpstr>
      <vt:lpstr>ITEM31_4Q16</vt:lpstr>
      <vt:lpstr>Tags!ITEM31_4Q17</vt:lpstr>
      <vt:lpstr>ITEM31_4Q17</vt:lpstr>
      <vt:lpstr>Tags!ITEM31_4Q18</vt:lpstr>
      <vt:lpstr>ITEM31_4Q18</vt:lpstr>
      <vt:lpstr>Tags!ITEM31_4Q19</vt:lpstr>
      <vt:lpstr>ITEM31_4Q19</vt:lpstr>
      <vt:lpstr>Tags!ITEM31_4Q20</vt:lpstr>
      <vt:lpstr>ITEM31_4Q20</vt:lpstr>
      <vt:lpstr>ITEM31_4Q21</vt:lpstr>
      <vt:lpstr>ITEM31_4Q22</vt:lpstr>
      <vt:lpstr>ITEM31_4Q23</vt:lpstr>
      <vt:lpstr>ITEM31_4Q24</vt:lpstr>
      <vt:lpstr>ITEM32_1995</vt:lpstr>
      <vt:lpstr>ITEM32_1996</vt:lpstr>
      <vt:lpstr>ITEM32_1997</vt:lpstr>
      <vt:lpstr>ITEM32_1998</vt:lpstr>
      <vt:lpstr>ITEM32_1999</vt:lpstr>
      <vt:lpstr>Tags!ITEM32_1Q00</vt:lpstr>
      <vt:lpstr>ITEM32_1Q00</vt:lpstr>
      <vt:lpstr>Tags!ITEM32_1Q01</vt:lpstr>
      <vt:lpstr>ITEM32_1Q01</vt:lpstr>
      <vt:lpstr>Tags!ITEM32_1Q02</vt:lpstr>
      <vt:lpstr>ITEM32_1Q02</vt:lpstr>
      <vt:lpstr>Tags!ITEM32_1Q03</vt:lpstr>
      <vt:lpstr>ITEM32_1Q03</vt:lpstr>
      <vt:lpstr>Tags!ITEM32_1Q04</vt:lpstr>
      <vt:lpstr>ITEM32_1Q04</vt:lpstr>
      <vt:lpstr>Tags!ITEM32_1Q05</vt:lpstr>
      <vt:lpstr>ITEM32_1Q05</vt:lpstr>
      <vt:lpstr>Tags!ITEM32_1Q06</vt:lpstr>
      <vt:lpstr>ITEM32_1Q06</vt:lpstr>
      <vt:lpstr>Tags!ITEM32_1Q07</vt:lpstr>
      <vt:lpstr>ITEM32_1Q07</vt:lpstr>
      <vt:lpstr>Tags!ITEM32_1Q08</vt:lpstr>
      <vt:lpstr>ITEM32_1Q08</vt:lpstr>
      <vt:lpstr>Tags!ITEM32_1Q09</vt:lpstr>
      <vt:lpstr>ITEM32_1Q09</vt:lpstr>
      <vt:lpstr>Tags!ITEM32_1Q10</vt:lpstr>
      <vt:lpstr>ITEM32_1Q10</vt:lpstr>
      <vt:lpstr>Tags!ITEM32_1Q11</vt:lpstr>
      <vt:lpstr>ITEM32_1Q11</vt:lpstr>
      <vt:lpstr>Tags!ITEM32_1Q12</vt:lpstr>
      <vt:lpstr>ITEM32_1Q12</vt:lpstr>
      <vt:lpstr>Tags!ITEM32_1Q13</vt:lpstr>
      <vt:lpstr>ITEM32_1Q13</vt:lpstr>
      <vt:lpstr>Tags!ITEM32_1Q14</vt:lpstr>
      <vt:lpstr>ITEM32_1Q14</vt:lpstr>
      <vt:lpstr>Tags!ITEM32_1Q15</vt:lpstr>
      <vt:lpstr>ITEM32_1Q15</vt:lpstr>
      <vt:lpstr>Tags!ITEM32_1Q16</vt:lpstr>
      <vt:lpstr>ITEM32_1Q16</vt:lpstr>
      <vt:lpstr>Tags!ITEM32_1Q17</vt:lpstr>
      <vt:lpstr>ITEM32_1Q17</vt:lpstr>
      <vt:lpstr>Tags!ITEM32_1Q18</vt:lpstr>
      <vt:lpstr>ITEM32_1Q18</vt:lpstr>
      <vt:lpstr>Tags!ITEM32_1Q19</vt:lpstr>
      <vt:lpstr>ITEM32_1Q19</vt:lpstr>
      <vt:lpstr>Tags!ITEM32_1Q20</vt:lpstr>
      <vt:lpstr>ITEM32_1Q20</vt:lpstr>
      <vt:lpstr>ITEM32_1Q21</vt:lpstr>
      <vt:lpstr>ITEM32_1Q22</vt:lpstr>
      <vt:lpstr>ITEM32_1Q23</vt:lpstr>
      <vt:lpstr>ITEM32_1Q24</vt:lpstr>
      <vt:lpstr>Tags!ITEM32_2000</vt:lpstr>
      <vt:lpstr>ITEM32_2000</vt:lpstr>
      <vt:lpstr>Tags!ITEM32_2001</vt:lpstr>
      <vt:lpstr>ITEM32_2001</vt:lpstr>
      <vt:lpstr>Tags!ITEM32_2002</vt:lpstr>
      <vt:lpstr>ITEM32_2002</vt:lpstr>
      <vt:lpstr>Tags!ITEM32_2003</vt:lpstr>
      <vt:lpstr>ITEM32_2003</vt:lpstr>
      <vt:lpstr>Tags!ITEM32_2004</vt:lpstr>
      <vt:lpstr>ITEM32_2004</vt:lpstr>
      <vt:lpstr>Tags!ITEM32_2005</vt:lpstr>
      <vt:lpstr>ITEM32_2005</vt:lpstr>
      <vt:lpstr>Tags!ITEM32_2006</vt:lpstr>
      <vt:lpstr>ITEM32_2006</vt:lpstr>
      <vt:lpstr>Tags!ITEM32_2007</vt:lpstr>
      <vt:lpstr>ITEM32_2007</vt:lpstr>
      <vt:lpstr>Tags!ITEM32_2008</vt:lpstr>
      <vt:lpstr>ITEM32_2008</vt:lpstr>
      <vt:lpstr>Tags!ITEM32_2009</vt:lpstr>
      <vt:lpstr>ITEM32_2009</vt:lpstr>
      <vt:lpstr>Tags!ITEM32_2010</vt:lpstr>
      <vt:lpstr>ITEM32_2010</vt:lpstr>
      <vt:lpstr>Tags!ITEM32_2011</vt:lpstr>
      <vt:lpstr>ITEM32_2011</vt:lpstr>
      <vt:lpstr>Tags!ITEM32_2012</vt:lpstr>
      <vt:lpstr>ITEM32_2012</vt:lpstr>
      <vt:lpstr>Tags!ITEM32_2013</vt:lpstr>
      <vt:lpstr>ITEM32_2013</vt:lpstr>
      <vt:lpstr>Tags!ITEM32_2014</vt:lpstr>
      <vt:lpstr>ITEM32_2014</vt:lpstr>
      <vt:lpstr>ITEM32_2015</vt:lpstr>
      <vt:lpstr>Tags!ITEM32_2016</vt:lpstr>
      <vt:lpstr>ITEM32_2016</vt:lpstr>
      <vt:lpstr>Tags!ITEM32_2017</vt:lpstr>
      <vt:lpstr>ITEM32_2017</vt:lpstr>
      <vt:lpstr>Tags!ITEM32_2018</vt:lpstr>
      <vt:lpstr>ITEM32_2018</vt:lpstr>
      <vt:lpstr>Tags!ITEM32_2019</vt:lpstr>
      <vt:lpstr>ITEM32_2019</vt:lpstr>
      <vt:lpstr>Tags!ITEM32_2020</vt:lpstr>
      <vt:lpstr>ITEM32_2020</vt:lpstr>
      <vt:lpstr>ITEM32_2021</vt:lpstr>
      <vt:lpstr>ITEM32_2022</vt:lpstr>
      <vt:lpstr>ITEM32_2023</vt:lpstr>
      <vt:lpstr>ITEM32_2024</vt:lpstr>
      <vt:lpstr>Tags!ITEM32_2Q00</vt:lpstr>
      <vt:lpstr>ITEM32_2Q00</vt:lpstr>
      <vt:lpstr>Tags!ITEM32_2Q01</vt:lpstr>
      <vt:lpstr>ITEM32_2Q01</vt:lpstr>
      <vt:lpstr>Tags!ITEM32_2Q02</vt:lpstr>
      <vt:lpstr>ITEM32_2Q02</vt:lpstr>
      <vt:lpstr>Tags!ITEM32_2Q03</vt:lpstr>
      <vt:lpstr>ITEM32_2Q03</vt:lpstr>
      <vt:lpstr>Tags!ITEM32_2Q04</vt:lpstr>
      <vt:lpstr>ITEM32_2Q04</vt:lpstr>
      <vt:lpstr>Tags!ITEM32_2Q05</vt:lpstr>
      <vt:lpstr>ITEM32_2Q05</vt:lpstr>
      <vt:lpstr>Tags!ITEM32_2Q06</vt:lpstr>
      <vt:lpstr>ITEM32_2Q06</vt:lpstr>
      <vt:lpstr>Tags!ITEM32_2Q07</vt:lpstr>
      <vt:lpstr>ITEM32_2Q07</vt:lpstr>
      <vt:lpstr>Tags!ITEM32_2Q08</vt:lpstr>
      <vt:lpstr>ITEM32_2Q08</vt:lpstr>
      <vt:lpstr>Tags!ITEM32_2Q09</vt:lpstr>
      <vt:lpstr>ITEM32_2Q09</vt:lpstr>
      <vt:lpstr>Tags!ITEM32_2Q10</vt:lpstr>
      <vt:lpstr>ITEM32_2Q10</vt:lpstr>
      <vt:lpstr>Tags!ITEM32_2Q11</vt:lpstr>
      <vt:lpstr>ITEM32_2Q11</vt:lpstr>
      <vt:lpstr>Tags!ITEM32_2Q12</vt:lpstr>
      <vt:lpstr>ITEM32_2Q12</vt:lpstr>
      <vt:lpstr>Tags!ITEM32_2Q13</vt:lpstr>
      <vt:lpstr>ITEM32_2Q13</vt:lpstr>
      <vt:lpstr>Tags!ITEM32_2Q14</vt:lpstr>
      <vt:lpstr>ITEM32_2Q14</vt:lpstr>
      <vt:lpstr>Tags!ITEM32_2Q15</vt:lpstr>
      <vt:lpstr>ITEM32_2Q15</vt:lpstr>
      <vt:lpstr>Tags!ITEM32_2Q16</vt:lpstr>
      <vt:lpstr>ITEM32_2Q16</vt:lpstr>
      <vt:lpstr>Tags!ITEM32_2Q17</vt:lpstr>
      <vt:lpstr>ITEM32_2Q17</vt:lpstr>
      <vt:lpstr>Tags!ITEM32_2Q18</vt:lpstr>
      <vt:lpstr>ITEM32_2Q18</vt:lpstr>
      <vt:lpstr>Tags!ITEM32_2Q19</vt:lpstr>
      <vt:lpstr>ITEM32_2Q19</vt:lpstr>
      <vt:lpstr>Tags!ITEM32_2Q20</vt:lpstr>
      <vt:lpstr>ITEM32_2Q20</vt:lpstr>
      <vt:lpstr>ITEM32_2Q21</vt:lpstr>
      <vt:lpstr>ITEM32_2Q22</vt:lpstr>
      <vt:lpstr>ITEM32_2Q23</vt:lpstr>
      <vt:lpstr>ITEM32_2Q24</vt:lpstr>
      <vt:lpstr>Tags!ITEM32_3Q00</vt:lpstr>
      <vt:lpstr>ITEM32_3Q00</vt:lpstr>
      <vt:lpstr>Tags!ITEM32_3Q01</vt:lpstr>
      <vt:lpstr>ITEM32_3Q01</vt:lpstr>
      <vt:lpstr>Tags!ITEM32_3Q02</vt:lpstr>
      <vt:lpstr>ITEM32_3Q02</vt:lpstr>
      <vt:lpstr>Tags!ITEM32_3Q03</vt:lpstr>
      <vt:lpstr>ITEM32_3Q03</vt:lpstr>
      <vt:lpstr>Tags!ITEM32_3Q04</vt:lpstr>
      <vt:lpstr>ITEM32_3Q04</vt:lpstr>
      <vt:lpstr>Tags!ITEM32_3Q05</vt:lpstr>
      <vt:lpstr>ITEM32_3Q05</vt:lpstr>
      <vt:lpstr>Tags!ITEM32_3Q06</vt:lpstr>
      <vt:lpstr>ITEM32_3Q06</vt:lpstr>
      <vt:lpstr>Tags!ITEM32_3Q07</vt:lpstr>
      <vt:lpstr>ITEM32_3Q07</vt:lpstr>
      <vt:lpstr>Tags!ITEM32_3Q08</vt:lpstr>
      <vt:lpstr>ITEM32_3Q08</vt:lpstr>
      <vt:lpstr>Tags!ITEM32_3Q09</vt:lpstr>
      <vt:lpstr>ITEM32_3Q09</vt:lpstr>
      <vt:lpstr>Tags!ITEM32_3Q10</vt:lpstr>
      <vt:lpstr>ITEM32_3Q10</vt:lpstr>
      <vt:lpstr>Tags!ITEM32_3Q11</vt:lpstr>
      <vt:lpstr>ITEM32_3Q11</vt:lpstr>
      <vt:lpstr>Tags!ITEM32_3Q12</vt:lpstr>
      <vt:lpstr>ITEM32_3Q12</vt:lpstr>
      <vt:lpstr>Tags!ITEM32_3Q13</vt:lpstr>
      <vt:lpstr>ITEM32_3Q13</vt:lpstr>
      <vt:lpstr>Tags!ITEM32_3Q14</vt:lpstr>
      <vt:lpstr>ITEM32_3Q14</vt:lpstr>
      <vt:lpstr>Tags!ITEM32_3Q15</vt:lpstr>
      <vt:lpstr>ITEM32_3Q15</vt:lpstr>
      <vt:lpstr>Tags!ITEM32_3Q16</vt:lpstr>
      <vt:lpstr>ITEM32_3Q16</vt:lpstr>
      <vt:lpstr>Tags!ITEM32_3Q17</vt:lpstr>
      <vt:lpstr>ITEM32_3Q17</vt:lpstr>
      <vt:lpstr>Tags!ITEM32_3Q18</vt:lpstr>
      <vt:lpstr>ITEM32_3Q18</vt:lpstr>
      <vt:lpstr>Tags!ITEM32_3Q19</vt:lpstr>
      <vt:lpstr>ITEM32_3Q19</vt:lpstr>
      <vt:lpstr>Tags!ITEM32_3Q20</vt:lpstr>
      <vt:lpstr>ITEM32_3Q20</vt:lpstr>
      <vt:lpstr>ITEM32_3Q21</vt:lpstr>
      <vt:lpstr>ITEM32_3Q22</vt:lpstr>
      <vt:lpstr>ITEM32_3Q23</vt:lpstr>
      <vt:lpstr>ITEM32_3Q24</vt:lpstr>
      <vt:lpstr>Tags!ITEM32_4Q00</vt:lpstr>
      <vt:lpstr>ITEM32_4Q00</vt:lpstr>
      <vt:lpstr>Tags!ITEM32_4Q01</vt:lpstr>
      <vt:lpstr>ITEM32_4Q01</vt:lpstr>
      <vt:lpstr>Tags!ITEM32_4Q02</vt:lpstr>
      <vt:lpstr>ITEM32_4Q02</vt:lpstr>
      <vt:lpstr>Tags!ITEM32_4Q03</vt:lpstr>
      <vt:lpstr>ITEM32_4Q03</vt:lpstr>
      <vt:lpstr>Tags!ITEM32_4Q04</vt:lpstr>
      <vt:lpstr>ITEM32_4Q04</vt:lpstr>
      <vt:lpstr>Tags!ITEM32_4Q05</vt:lpstr>
      <vt:lpstr>ITEM32_4Q05</vt:lpstr>
      <vt:lpstr>Tags!ITEM32_4Q06</vt:lpstr>
      <vt:lpstr>ITEM32_4Q06</vt:lpstr>
      <vt:lpstr>Tags!ITEM32_4Q07</vt:lpstr>
      <vt:lpstr>ITEM32_4Q07</vt:lpstr>
      <vt:lpstr>Tags!ITEM32_4Q08</vt:lpstr>
      <vt:lpstr>ITEM32_4Q08</vt:lpstr>
      <vt:lpstr>Tags!ITEM32_4Q09</vt:lpstr>
      <vt:lpstr>ITEM32_4Q09</vt:lpstr>
      <vt:lpstr>Tags!ITEM32_4Q10</vt:lpstr>
      <vt:lpstr>ITEM32_4Q10</vt:lpstr>
      <vt:lpstr>Tags!ITEM32_4Q11</vt:lpstr>
      <vt:lpstr>ITEM32_4Q11</vt:lpstr>
      <vt:lpstr>Tags!ITEM32_4Q12</vt:lpstr>
      <vt:lpstr>ITEM32_4Q12</vt:lpstr>
      <vt:lpstr>Tags!ITEM32_4Q13</vt:lpstr>
      <vt:lpstr>ITEM32_4Q13</vt:lpstr>
      <vt:lpstr>Tags!ITEM32_4Q14</vt:lpstr>
      <vt:lpstr>ITEM32_4Q14</vt:lpstr>
      <vt:lpstr>Tags!ITEM32_4Q15</vt:lpstr>
      <vt:lpstr>ITEM32_4Q15</vt:lpstr>
      <vt:lpstr>Tags!ITEM32_4Q16</vt:lpstr>
      <vt:lpstr>ITEM32_4Q16</vt:lpstr>
      <vt:lpstr>Tags!ITEM32_4Q17</vt:lpstr>
      <vt:lpstr>ITEM32_4Q17</vt:lpstr>
      <vt:lpstr>Tags!ITEM32_4Q18</vt:lpstr>
      <vt:lpstr>ITEM32_4Q18</vt:lpstr>
      <vt:lpstr>Tags!ITEM32_4Q19</vt:lpstr>
      <vt:lpstr>ITEM32_4Q19</vt:lpstr>
      <vt:lpstr>Tags!ITEM32_4Q20</vt:lpstr>
      <vt:lpstr>ITEM32_4Q20</vt:lpstr>
      <vt:lpstr>ITEM32_4Q21</vt:lpstr>
      <vt:lpstr>ITEM32_4Q22</vt:lpstr>
      <vt:lpstr>ITEM32_4Q23</vt:lpstr>
      <vt:lpstr>ITEM32_4Q24</vt:lpstr>
      <vt:lpstr>ITEM33_1995</vt:lpstr>
      <vt:lpstr>ITEM33_1996</vt:lpstr>
      <vt:lpstr>ITEM33_1997</vt:lpstr>
      <vt:lpstr>ITEM33_1998</vt:lpstr>
      <vt:lpstr>ITEM33_1999</vt:lpstr>
      <vt:lpstr>Tags!ITEM33_1Q00</vt:lpstr>
      <vt:lpstr>ITEM33_1Q00</vt:lpstr>
      <vt:lpstr>Tags!ITEM33_1Q01</vt:lpstr>
      <vt:lpstr>ITEM33_1Q01</vt:lpstr>
      <vt:lpstr>Tags!ITEM33_1Q02</vt:lpstr>
      <vt:lpstr>ITEM33_1Q02</vt:lpstr>
      <vt:lpstr>Tags!ITEM33_1Q03</vt:lpstr>
      <vt:lpstr>ITEM33_1Q03</vt:lpstr>
      <vt:lpstr>Tags!ITEM33_1Q04</vt:lpstr>
      <vt:lpstr>ITEM33_1Q04</vt:lpstr>
      <vt:lpstr>Tags!ITEM33_1Q05</vt:lpstr>
      <vt:lpstr>ITEM33_1Q05</vt:lpstr>
      <vt:lpstr>Tags!ITEM33_1Q06</vt:lpstr>
      <vt:lpstr>ITEM33_1Q06</vt:lpstr>
      <vt:lpstr>Tags!ITEM33_1Q07</vt:lpstr>
      <vt:lpstr>ITEM33_1Q07</vt:lpstr>
      <vt:lpstr>Tags!ITEM33_1Q08</vt:lpstr>
      <vt:lpstr>ITEM33_1Q08</vt:lpstr>
      <vt:lpstr>Tags!ITEM33_1Q09</vt:lpstr>
      <vt:lpstr>ITEM33_1Q09</vt:lpstr>
      <vt:lpstr>Tags!ITEM33_1Q10</vt:lpstr>
      <vt:lpstr>ITEM33_1Q10</vt:lpstr>
      <vt:lpstr>Tags!ITEM33_1Q11</vt:lpstr>
      <vt:lpstr>ITEM33_1Q11</vt:lpstr>
      <vt:lpstr>Tags!ITEM33_1Q12</vt:lpstr>
      <vt:lpstr>ITEM33_1Q12</vt:lpstr>
      <vt:lpstr>Tags!ITEM33_1Q13</vt:lpstr>
      <vt:lpstr>ITEM33_1Q13</vt:lpstr>
      <vt:lpstr>Tags!ITEM33_1Q14</vt:lpstr>
      <vt:lpstr>ITEM33_1Q14</vt:lpstr>
      <vt:lpstr>Tags!ITEM33_1Q15</vt:lpstr>
      <vt:lpstr>ITEM33_1Q15</vt:lpstr>
      <vt:lpstr>Tags!ITEM33_1Q16</vt:lpstr>
      <vt:lpstr>ITEM33_1Q16</vt:lpstr>
      <vt:lpstr>Tags!ITEM33_1Q17</vt:lpstr>
      <vt:lpstr>ITEM33_1Q17</vt:lpstr>
      <vt:lpstr>Tags!ITEM33_1Q18</vt:lpstr>
      <vt:lpstr>ITEM33_1Q18</vt:lpstr>
      <vt:lpstr>Tags!ITEM33_1Q19</vt:lpstr>
      <vt:lpstr>ITEM33_1Q19</vt:lpstr>
      <vt:lpstr>Tags!ITEM33_1Q20</vt:lpstr>
      <vt:lpstr>ITEM33_1Q20</vt:lpstr>
      <vt:lpstr>ITEM33_1Q21</vt:lpstr>
      <vt:lpstr>ITEM33_1Q22</vt:lpstr>
      <vt:lpstr>ITEM33_1Q23</vt:lpstr>
      <vt:lpstr>ITEM33_1Q24</vt:lpstr>
      <vt:lpstr>Tags!ITEM33_2000</vt:lpstr>
      <vt:lpstr>ITEM33_2000</vt:lpstr>
      <vt:lpstr>Tags!ITEM33_2001</vt:lpstr>
      <vt:lpstr>ITEM33_2001</vt:lpstr>
      <vt:lpstr>Tags!ITEM33_2002</vt:lpstr>
      <vt:lpstr>ITEM33_2002</vt:lpstr>
      <vt:lpstr>Tags!ITEM33_2003</vt:lpstr>
      <vt:lpstr>ITEM33_2003</vt:lpstr>
      <vt:lpstr>Tags!ITEM33_2004</vt:lpstr>
      <vt:lpstr>ITEM33_2004</vt:lpstr>
      <vt:lpstr>Tags!ITEM33_2005</vt:lpstr>
      <vt:lpstr>ITEM33_2005</vt:lpstr>
      <vt:lpstr>Tags!ITEM33_2006</vt:lpstr>
      <vt:lpstr>ITEM33_2006</vt:lpstr>
      <vt:lpstr>Tags!ITEM33_2007</vt:lpstr>
      <vt:lpstr>ITEM33_2007</vt:lpstr>
      <vt:lpstr>Tags!ITEM33_2008</vt:lpstr>
      <vt:lpstr>ITEM33_2008</vt:lpstr>
      <vt:lpstr>Tags!ITEM33_2009</vt:lpstr>
      <vt:lpstr>ITEM33_2009</vt:lpstr>
      <vt:lpstr>Tags!ITEM33_2010</vt:lpstr>
      <vt:lpstr>ITEM33_2010</vt:lpstr>
      <vt:lpstr>Tags!ITEM33_2011</vt:lpstr>
      <vt:lpstr>ITEM33_2011</vt:lpstr>
      <vt:lpstr>Tags!ITEM33_2012</vt:lpstr>
      <vt:lpstr>ITEM33_2012</vt:lpstr>
      <vt:lpstr>Tags!ITEM33_2013</vt:lpstr>
      <vt:lpstr>ITEM33_2013</vt:lpstr>
      <vt:lpstr>Tags!ITEM33_2014</vt:lpstr>
      <vt:lpstr>ITEM33_2014</vt:lpstr>
      <vt:lpstr>ITEM33_2015</vt:lpstr>
      <vt:lpstr>Tags!ITEM33_2016</vt:lpstr>
      <vt:lpstr>ITEM33_2016</vt:lpstr>
      <vt:lpstr>Tags!ITEM33_2017</vt:lpstr>
      <vt:lpstr>ITEM33_2017</vt:lpstr>
      <vt:lpstr>Tags!ITEM33_2018</vt:lpstr>
      <vt:lpstr>ITEM33_2018</vt:lpstr>
      <vt:lpstr>Tags!ITEM33_2019</vt:lpstr>
      <vt:lpstr>ITEM33_2019</vt:lpstr>
      <vt:lpstr>Tags!ITEM33_2020</vt:lpstr>
      <vt:lpstr>ITEM33_2020</vt:lpstr>
      <vt:lpstr>ITEM33_2021</vt:lpstr>
      <vt:lpstr>ITEM33_2022</vt:lpstr>
      <vt:lpstr>ITEM33_2023</vt:lpstr>
      <vt:lpstr>ITEM33_2024</vt:lpstr>
      <vt:lpstr>Tags!ITEM33_2Q00</vt:lpstr>
      <vt:lpstr>ITEM33_2Q00</vt:lpstr>
      <vt:lpstr>Tags!ITEM33_2Q01</vt:lpstr>
      <vt:lpstr>ITEM33_2Q01</vt:lpstr>
      <vt:lpstr>Tags!ITEM33_2Q02</vt:lpstr>
      <vt:lpstr>ITEM33_2Q02</vt:lpstr>
      <vt:lpstr>Tags!ITEM33_2Q03</vt:lpstr>
      <vt:lpstr>ITEM33_2Q03</vt:lpstr>
      <vt:lpstr>Tags!ITEM33_2Q04</vt:lpstr>
      <vt:lpstr>ITEM33_2Q04</vt:lpstr>
      <vt:lpstr>Tags!ITEM33_2Q05</vt:lpstr>
      <vt:lpstr>ITEM33_2Q05</vt:lpstr>
      <vt:lpstr>Tags!ITEM33_2Q06</vt:lpstr>
      <vt:lpstr>ITEM33_2Q06</vt:lpstr>
      <vt:lpstr>Tags!ITEM33_2Q07</vt:lpstr>
      <vt:lpstr>ITEM33_2Q07</vt:lpstr>
      <vt:lpstr>Tags!ITEM33_2Q08</vt:lpstr>
      <vt:lpstr>ITEM33_2Q08</vt:lpstr>
      <vt:lpstr>Tags!ITEM33_2Q09</vt:lpstr>
      <vt:lpstr>ITEM33_2Q09</vt:lpstr>
      <vt:lpstr>Tags!ITEM33_2Q10</vt:lpstr>
      <vt:lpstr>ITEM33_2Q10</vt:lpstr>
      <vt:lpstr>Tags!ITEM33_2Q11</vt:lpstr>
      <vt:lpstr>ITEM33_2Q11</vt:lpstr>
      <vt:lpstr>Tags!ITEM33_2Q12</vt:lpstr>
      <vt:lpstr>ITEM33_2Q12</vt:lpstr>
      <vt:lpstr>Tags!ITEM33_2Q13</vt:lpstr>
      <vt:lpstr>ITEM33_2Q13</vt:lpstr>
      <vt:lpstr>Tags!ITEM33_2Q14</vt:lpstr>
      <vt:lpstr>ITEM33_2Q14</vt:lpstr>
      <vt:lpstr>Tags!ITEM33_2Q15</vt:lpstr>
      <vt:lpstr>ITEM33_2Q15</vt:lpstr>
      <vt:lpstr>Tags!ITEM33_2Q16</vt:lpstr>
      <vt:lpstr>ITEM33_2Q16</vt:lpstr>
      <vt:lpstr>Tags!ITEM33_2Q17</vt:lpstr>
      <vt:lpstr>ITEM33_2Q17</vt:lpstr>
      <vt:lpstr>Tags!ITEM33_2Q18</vt:lpstr>
      <vt:lpstr>ITEM33_2Q18</vt:lpstr>
      <vt:lpstr>Tags!ITEM33_2Q19</vt:lpstr>
      <vt:lpstr>ITEM33_2Q19</vt:lpstr>
      <vt:lpstr>Tags!ITEM33_2Q20</vt:lpstr>
      <vt:lpstr>ITEM33_2Q20</vt:lpstr>
      <vt:lpstr>ITEM33_2Q21</vt:lpstr>
      <vt:lpstr>ITEM33_2Q22</vt:lpstr>
      <vt:lpstr>ITEM33_2Q23</vt:lpstr>
      <vt:lpstr>ITEM33_2Q24</vt:lpstr>
      <vt:lpstr>Tags!ITEM33_3Q00</vt:lpstr>
      <vt:lpstr>ITEM33_3Q00</vt:lpstr>
      <vt:lpstr>Tags!ITEM33_3Q01</vt:lpstr>
      <vt:lpstr>ITEM33_3Q01</vt:lpstr>
      <vt:lpstr>Tags!ITEM33_3Q02</vt:lpstr>
      <vt:lpstr>ITEM33_3Q02</vt:lpstr>
      <vt:lpstr>Tags!ITEM33_3Q03</vt:lpstr>
      <vt:lpstr>ITEM33_3Q03</vt:lpstr>
      <vt:lpstr>Tags!ITEM33_3Q04</vt:lpstr>
      <vt:lpstr>ITEM33_3Q04</vt:lpstr>
      <vt:lpstr>Tags!ITEM33_3Q05</vt:lpstr>
      <vt:lpstr>ITEM33_3Q05</vt:lpstr>
      <vt:lpstr>Tags!ITEM33_3Q06</vt:lpstr>
      <vt:lpstr>ITEM33_3Q06</vt:lpstr>
      <vt:lpstr>Tags!ITEM33_3Q07</vt:lpstr>
      <vt:lpstr>ITEM33_3Q07</vt:lpstr>
      <vt:lpstr>Tags!ITEM33_3Q08</vt:lpstr>
      <vt:lpstr>ITEM33_3Q08</vt:lpstr>
      <vt:lpstr>Tags!ITEM33_3Q09</vt:lpstr>
      <vt:lpstr>ITEM33_3Q09</vt:lpstr>
      <vt:lpstr>Tags!ITEM33_3Q10</vt:lpstr>
      <vt:lpstr>ITEM33_3Q10</vt:lpstr>
      <vt:lpstr>Tags!ITEM33_3Q11</vt:lpstr>
      <vt:lpstr>ITEM33_3Q11</vt:lpstr>
      <vt:lpstr>Tags!ITEM33_3Q12</vt:lpstr>
      <vt:lpstr>ITEM33_3Q12</vt:lpstr>
      <vt:lpstr>Tags!ITEM33_3Q13</vt:lpstr>
      <vt:lpstr>ITEM33_3Q13</vt:lpstr>
      <vt:lpstr>Tags!ITEM33_3Q14</vt:lpstr>
      <vt:lpstr>ITEM33_3Q14</vt:lpstr>
      <vt:lpstr>Tags!ITEM33_3Q15</vt:lpstr>
      <vt:lpstr>ITEM33_3Q15</vt:lpstr>
      <vt:lpstr>Tags!ITEM33_3Q16</vt:lpstr>
      <vt:lpstr>ITEM33_3Q16</vt:lpstr>
      <vt:lpstr>Tags!ITEM33_3Q17</vt:lpstr>
      <vt:lpstr>ITEM33_3Q17</vt:lpstr>
      <vt:lpstr>Tags!ITEM33_3Q18</vt:lpstr>
      <vt:lpstr>ITEM33_3Q18</vt:lpstr>
      <vt:lpstr>Tags!ITEM33_3Q19</vt:lpstr>
      <vt:lpstr>ITEM33_3Q19</vt:lpstr>
      <vt:lpstr>Tags!ITEM33_3Q20</vt:lpstr>
      <vt:lpstr>ITEM33_3Q20</vt:lpstr>
      <vt:lpstr>ITEM33_3Q21</vt:lpstr>
      <vt:lpstr>ITEM33_3Q22</vt:lpstr>
      <vt:lpstr>ITEM33_3Q23</vt:lpstr>
      <vt:lpstr>ITEM33_3Q24</vt:lpstr>
      <vt:lpstr>Tags!ITEM33_4Q00</vt:lpstr>
      <vt:lpstr>ITEM33_4Q00</vt:lpstr>
      <vt:lpstr>Tags!ITEM33_4Q01</vt:lpstr>
      <vt:lpstr>ITEM33_4Q01</vt:lpstr>
      <vt:lpstr>Tags!ITEM33_4Q02</vt:lpstr>
      <vt:lpstr>ITEM33_4Q02</vt:lpstr>
      <vt:lpstr>Tags!ITEM33_4Q03</vt:lpstr>
      <vt:lpstr>ITEM33_4Q03</vt:lpstr>
      <vt:lpstr>Tags!ITEM33_4Q04</vt:lpstr>
      <vt:lpstr>ITEM33_4Q04</vt:lpstr>
      <vt:lpstr>Tags!ITEM33_4Q05</vt:lpstr>
      <vt:lpstr>ITEM33_4Q05</vt:lpstr>
      <vt:lpstr>Tags!ITEM33_4Q06</vt:lpstr>
      <vt:lpstr>ITEM33_4Q06</vt:lpstr>
      <vt:lpstr>Tags!ITEM33_4Q07</vt:lpstr>
      <vt:lpstr>ITEM33_4Q07</vt:lpstr>
      <vt:lpstr>Tags!ITEM33_4Q08</vt:lpstr>
      <vt:lpstr>ITEM33_4Q08</vt:lpstr>
      <vt:lpstr>Tags!ITEM33_4Q09</vt:lpstr>
      <vt:lpstr>ITEM33_4Q09</vt:lpstr>
      <vt:lpstr>Tags!ITEM33_4Q10</vt:lpstr>
      <vt:lpstr>ITEM33_4Q10</vt:lpstr>
      <vt:lpstr>Tags!ITEM33_4Q11</vt:lpstr>
      <vt:lpstr>ITEM33_4Q11</vt:lpstr>
      <vt:lpstr>Tags!ITEM33_4Q12</vt:lpstr>
      <vt:lpstr>ITEM33_4Q12</vt:lpstr>
      <vt:lpstr>Tags!ITEM33_4Q13</vt:lpstr>
      <vt:lpstr>ITEM33_4Q13</vt:lpstr>
      <vt:lpstr>Tags!ITEM33_4Q14</vt:lpstr>
      <vt:lpstr>ITEM33_4Q14</vt:lpstr>
      <vt:lpstr>Tags!ITEM33_4Q15</vt:lpstr>
      <vt:lpstr>ITEM33_4Q15</vt:lpstr>
      <vt:lpstr>Tags!ITEM33_4Q16</vt:lpstr>
      <vt:lpstr>ITEM33_4Q16</vt:lpstr>
      <vt:lpstr>Tags!ITEM33_4Q17</vt:lpstr>
      <vt:lpstr>ITEM33_4Q17</vt:lpstr>
      <vt:lpstr>Tags!ITEM33_4Q18</vt:lpstr>
      <vt:lpstr>ITEM33_4Q18</vt:lpstr>
      <vt:lpstr>Tags!ITEM33_4Q19</vt:lpstr>
      <vt:lpstr>ITEM33_4Q19</vt:lpstr>
      <vt:lpstr>Tags!ITEM33_4Q20</vt:lpstr>
      <vt:lpstr>ITEM33_4Q20</vt:lpstr>
      <vt:lpstr>ITEM33_4Q21</vt:lpstr>
      <vt:lpstr>ITEM33_4Q22</vt:lpstr>
      <vt:lpstr>ITEM33_4Q23</vt:lpstr>
      <vt:lpstr>ITEM33_4Q24</vt:lpstr>
      <vt:lpstr>ITEM34_1995</vt:lpstr>
      <vt:lpstr>ITEM34_1996</vt:lpstr>
      <vt:lpstr>ITEM34_1997</vt:lpstr>
      <vt:lpstr>ITEM34_1998</vt:lpstr>
      <vt:lpstr>ITEM34_1999</vt:lpstr>
      <vt:lpstr>Tags!ITEM34_1Q00</vt:lpstr>
      <vt:lpstr>ITEM34_1Q00</vt:lpstr>
      <vt:lpstr>Tags!ITEM34_1Q01</vt:lpstr>
      <vt:lpstr>ITEM34_1Q01</vt:lpstr>
      <vt:lpstr>Tags!ITEM34_1Q02</vt:lpstr>
      <vt:lpstr>ITEM34_1Q02</vt:lpstr>
      <vt:lpstr>Tags!ITEM34_1Q03</vt:lpstr>
      <vt:lpstr>ITEM34_1Q03</vt:lpstr>
      <vt:lpstr>Tags!ITEM34_1Q04</vt:lpstr>
      <vt:lpstr>ITEM34_1Q04</vt:lpstr>
      <vt:lpstr>Tags!ITEM34_1Q05</vt:lpstr>
      <vt:lpstr>ITEM34_1Q05</vt:lpstr>
      <vt:lpstr>Tags!ITEM34_1Q06</vt:lpstr>
      <vt:lpstr>ITEM34_1Q06</vt:lpstr>
      <vt:lpstr>Tags!ITEM34_1Q07</vt:lpstr>
      <vt:lpstr>ITEM34_1Q07</vt:lpstr>
      <vt:lpstr>Tags!ITEM34_1Q08</vt:lpstr>
      <vt:lpstr>ITEM34_1Q08</vt:lpstr>
      <vt:lpstr>Tags!ITEM34_1Q09</vt:lpstr>
      <vt:lpstr>ITEM34_1Q09</vt:lpstr>
      <vt:lpstr>Tags!ITEM34_1Q10</vt:lpstr>
      <vt:lpstr>ITEM34_1Q10</vt:lpstr>
      <vt:lpstr>Tags!ITEM34_1Q11</vt:lpstr>
      <vt:lpstr>ITEM34_1Q11</vt:lpstr>
      <vt:lpstr>Tags!ITEM34_1Q12</vt:lpstr>
      <vt:lpstr>ITEM34_1Q12</vt:lpstr>
      <vt:lpstr>Tags!ITEM34_1Q13</vt:lpstr>
      <vt:lpstr>ITEM34_1Q13</vt:lpstr>
      <vt:lpstr>Tags!ITEM34_1Q14</vt:lpstr>
      <vt:lpstr>ITEM34_1Q14</vt:lpstr>
      <vt:lpstr>Tags!ITEM34_1Q15</vt:lpstr>
      <vt:lpstr>ITEM34_1Q15</vt:lpstr>
      <vt:lpstr>Tags!ITEM34_1Q16</vt:lpstr>
      <vt:lpstr>ITEM34_1Q16</vt:lpstr>
      <vt:lpstr>Tags!ITEM34_1Q17</vt:lpstr>
      <vt:lpstr>ITEM34_1Q17</vt:lpstr>
      <vt:lpstr>Tags!ITEM34_1Q18</vt:lpstr>
      <vt:lpstr>ITEM34_1Q18</vt:lpstr>
      <vt:lpstr>Tags!ITEM34_1Q19</vt:lpstr>
      <vt:lpstr>ITEM34_1Q19</vt:lpstr>
      <vt:lpstr>Tags!ITEM34_1Q20</vt:lpstr>
      <vt:lpstr>ITEM34_1Q20</vt:lpstr>
      <vt:lpstr>ITEM34_1Q21</vt:lpstr>
      <vt:lpstr>ITEM34_1Q22</vt:lpstr>
      <vt:lpstr>ITEM34_1Q23</vt:lpstr>
      <vt:lpstr>ITEM34_1Q24</vt:lpstr>
      <vt:lpstr>Tags!ITEM34_2000</vt:lpstr>
      <vt:lpstr>ITEM34_2000</vt:lpstr>
      <vt:lpstr>Tags!ITEM34_2001</vt:lpstr>
      <vt:lpstr>ITEM34_2001</vt:lpstr>
      <vt:lpstr>Tags!ITEM34_2002</vt:lpstr>
      <vt:lpstr>ITEM34_2002</vt:lpstr>
      <vt:lpstr>Tags!ITEM34_2003</vt:lpstr>
      <vt:lpstr>ITEM34_2003</vt:lpstr>
      <vt:lpstr>Tags!ITEM34_2004</vt:lpstr>
      <vt:lpstr>ITEM34_2004</vt:lpstr>
      <vt:lpstr>Tags!ITEM34_2005</vt:lpstr>
      <vt:lpstr>ITEM34_2005</vt:lpstr>
      <vt:lpstr>Tags!ITEM34_2006</vt:lpstr>
      <vt:lpstr>ITEM34_2006</vt:lpstr>
      <vt:lpstr>Tags!ITEM34_2007</vt:lpstr>
      <vt:lpstr>ITEM34_2007</vt:lpstr>
      <vt:lpstr>Tags!ITEM34_2008</vt:lpstr>
      <vt:lpstr>ITEM34_2008</vt:lpstr>
      <vt:lpstr>Tags!ITEM34_2009</vt:lpstr>
      <vt:lpstr>ITEM34_2009</vt:lpstr>
      <vt:lpstr>Tags!ITEM34_2010</vt:lpstr>
      <vt:lpstr>ITEM34_2010</vt:lpstr>
      <vt:lpstr>Tags!ITEM34_2011</vt:lpstr>
      <vt:lpstr>ITEM34_2011</vt:lpstr>
      <vt:lpstr>Tags!ITEM34_2012</vt:lpstr>
      <vt:lpstr>ITEM34_2012</vt:lpstr>
      <vt:lpstr>Tags!ITEM34_2013</vt:lpstr>
      <vt:lpstr>ITEM34_2013</vt:lpstr>
      <vt:lpstr>Tags!ITEM34_2014</vt:lpstr>
      <vt:lpstr>ITEM34_2014</vt:lpstr>
      <vt:lpstr>ITEM34_2015</vt:lpstr>
      <vt:lpstr>Tags!ITEM34_2016</vt:lpstr>
      <vt:lpstr>ITEM34_2016</vt:lpstr>
      <vt:lpstr>Tags!ITEM34_2017</vt:lpstr>
      <vt:lpstr>ITEM34_2017</vt:lpstr>
      <vt:lpstr>Tags!ITEM34_2018</vt:lpstr>
      <vt:lpstr>ITEM34_2018</vt:lpstr>
      <vt:lpstr>Tags!ITEM34_2019</vt:lpstr>
      <vt:lpstr>ITEM34_2019</vt:lpstr>
      <vt:lpstr>Tags!ITEM34_2020</vt:lpstr>
      <vt:lpstr>ITEM34_2020</vt:lpstr>
      <vt:lpstr>ITEM34_2021</vt:lpstr>
      <vt:lpstr>ITEM34_2022</vt:lpstr>
      <vt:lpstr>ITEM34_2023</vt:lpstr>
      <vt:lpstr>ITEM34_2024</vt:lpstr>
      <vt:lpstr>Tags!ITEM34_2Q00</vt:lpstr>
      <vt:lpstr>ITEM34_2Q00</vt:lpstr>
      <vt:lpstr>Tags!ITEM34_2Q01</vt:lpstr>
      <vt:lpstr>ITEM34_2Q01</vt:lpstr>
      <vt:lpstr>Tags!ITEM34_2Q02</vt:lpstr>
      <vt:lpstr>ITEM34_2Q02</vt:lpstr>
      <vt:lpstr>Tags!ITEM34_2Q03</vt:lpstr>
      <vt:lpstr>ITEM34_2Q03</vt:lpstr>
      <vt:lpstr>Tags!ITEM34_2Q04</vt:lpstr>
      <vt:lpstr>ITEM34_2Q04</vt:lpstr>
      <vt:lpstr>Tags!ITEM34_2Q05</vt:lpstr>
      <vt:lpstr>ITEM34_2Q05</vt:lpstr>
      <vt:lpstr>Tags!ITEM34_2Q06</vt:lpstr>
      <vt:lpstr>ITEM34_2Q06</vt:lpstr>
      <vt:lpstr>Tags!ITEM34_2Q07</vt:lpstr>
      <vt:lpstr>ITEM34_2Q07</vt:lpstr>
      <vt:lpstr>Tags!ITEM34_2Q08</vt:lpstr>
      <vt:lpstr>ITEM34_2Q08</vt:lpstr>
      <vt:lpstr>Tags!ITEM34_2Q09</vt:lpstr>
      <vt:lpstr>ITEM34_2Q09</vt:lpstr>
      <vt:lpstr>Tags!ITEM34_2Q10</vt:lpstr>
      <vt:lpstr>ITEM34_2Q10</vt:lpstr>
      <vt:lpstr>Tags!ITEM34_2Q11</vt:lpstr>
      <vt:lpstr>ITEM34_2Q11</vt:lpstr>
      <vt:lpstr>Tags!ITEM34_2Q12</vt:lpstr>
      <vt:lpstr>ITEM34_2Q12</vt:lpstr>
      <vt:lpstr>Tags!ITEM34_2Q13</vt:lpstr>
      <vt:lpstr>ITEM34_2Q13</vt:lpstr>
      <vt:lpstr>Tags!ITEM34_2Q14</vt:lpstr>
      <vt:lpstr>ITEM34_2Q14</vt:lpstr>
      <vt:lpstr>Tags!ITEM34_2Q15</vt:lpstr>
      <vt:lpstr>ITEM34_2Q15</vt:lpstr>
      <vt:lpstr>Tags!ITEM34_2Q16</vt:lpstr>
      <vt:lpstr>ITEM34_2Q16</vt:lpstr>
      <vt:lpstr>Tags!ITEM34_2Q17</vt:lpstr>
      <vt:lpstr>ITEM34_2Q17</vt:lpstr>
      <vt:lpstr>Tags!ITEM34_2Q18</vt:lpstr>
      <vt:lpstr>ITEM34_2Q18</vt:lpstr>
      <vt:lpstr>Tags!ITEM34_2Q19</vt:lpstr>
      <vt:lpstr>ITEM34_2Q19</vt:lpstr>
      <vt:lpstr>Tags!ITEM34_2Q20</vt:lpstr>
      <vt:lpstr>ITEM34_2Q20</vt:lpstr>
      <vt:lpstr>ITEM34_2Q21</vt:lpstr>
      <vt:lpstr>ITEM34_2Q22</vt:lpstr>
      <vt:lpstr>ITEM34_2Q23</vt:lpstr>
      <vt:lpstr>ITEM34_2Q24</vt:lpstr>
      <vt:lpstr>Tags!ITEM34_3Q00</vt:lpstr>
      <vt:lpstr>ITEM34_3Q00</vt:lpstr>
      <vt:lpstr>Tags!ITEM34_3Q01</vt:lpstr>
      <vt:lpstr>ITEM34_3Q01</vt:lpstr>
      <vt:lpstr>Tags!ITEM34_3Q02</vt:lpstr>
      <vt:lpstr>ITEM34_3Q02</vt:lpstr>
      <vt:lpstr>Tags!ITEM34_3Q03</vt:lpstr>
      <vt:lpstr>ITEM34_3Q03</vt:lpstr>
      <vt:lpstr>Tags!ITEM34_3Q04</vt:lpstr>
      <vt:lpstr>ITEM34_3Q04</vt:lpstr>
      <vt:lpstr>Tags!ITEM34_3Q05</vt:lpstr>
      <vt:lpstr>ITEM34_3Q05</vt:lpstr>
      <vt:lpstr>Tags!ITEM34_3Q06</vt:lpstr>
      <vt:lpstr>ITEM34_3Q06</vt:lpstr>
      <vt:lpstr>Tags!ITEM34_3Q07</vt:lpstr>
      <vt:lpstr>ITEM34_3Q07</vt:lpstr>
      <vt:lpstr>Tags!ITEM34_3Q08</vt:lpstr>
      <vt:lpstr>ITEM34_3Q08</vt:lpstr>
      <vt:lpstr>Tags!ITEM34_3Q09</vt:lpstr>
      <vt:lpstr>ITEM34_3Q09</vt:lpstr>
      <vt:lpstr>Tags!ITEM34_3Q10</vt:lpstr>
      <vt:lpstr>ITEM34_3Q10</vt:lpstr>
      <vt:lpstr>Tags!ITEM34_3Q11</vt:lpstr>
      <vt:lpstr>ITEM34_3Q11</vt:lpstr>
      <vt:lpstr>Tags!ITEM34_3Q12</vt:lpstr>
      <vt:lpstr>ITEM34_3Q12</vt:lpstr>
      <vt:lpstr>Tags!ITEM34_3Q13</vt:lpstr>
      <vt:lpstr>ITEM34_3Q13</vt:lpstr>
      <vt:lpstr>Tags!ITEM34_3Q14</vt:lpstr>
      <vt:lpstr>ITEM34_3Q14</vt:lpstr>
      <vt:lpstr>Tags!ITEM34_3Q15</vt:lpstr>
      <vt:lpstr>ITEM34_3Q15</vt:lpstr>
      <vt:lpstr>Tags!ITEM34_3Q16</vt:lpstr>
      <vt:lpstr>ITEM34_3Q16</vt:lpstr>
      <vt:lpstr>Tags!ITEM34_3Q17</vt:lpstr>
      <vt:lpstr>ITEM34_3Q17</vt:lpstr>
      <vt:lpstr>Tags!ITEM34_3Q18</vt:lpstr>
      <vt:lpstr>ITEM34_3Q18</vt:lpstr>
      <vt:lpstr>Tags!ITEM34_3Q19</vt:lpstr>
      <vt:lpstr>ITEM34_3Q19</vt:lpstr>
      <vt:lpstr>Tags!ITEM34_3Q20</vt:lpstr>
      <vt:lpstr>ITEM34_3Q20</vt:lpstr>
      <vt:lpstr>ITEM34_3Q21</vt:lpstr>
      <vt:lpstr>ITEM34_3Q22</vt:lpstr>
      <vt:lpstr>ITEM34_3Q23</vt:lpstr>
      <vt:lpstr>ITEM34_3Q24</vt:lpstr>
      <vt:lpstr>Tags!ITEM34_4Q00</vt:lpstr>
      <vt:lpstr>ITEM34_4Q00</vt:lpstr>
      <vt:lpstr>Tags!ITEM34_4Q01</vt:lpstr>
      <vt:lpstr>ITEM34_4Q01</vt:lpstr>
      <vt:lpstr>Tags!ITEM34_4Q02</vt:lpstr>
      <vt:lpstr>ITEM34_4Q02</vt:lpstr>
      <vt:lpstr>Tags!ITEM34_4Q03</vt:lpstr>
      <vt:lpstr>ITEM34_4Q03</vt:lpstr>
      <vt:lpstr>Tags!ITEM34_4Q04</vt:lpstr>
      <vt:lpstr>ITEM34_4Q04</vt:lpstr>
      <vt:lpstr>Tags!ITEM34_4Q05</vt:lpstr>
      <vt:lpstr>ITEM34_4Q05</vt:lpstr>
      <vt:lpstr>Tags!ITEM34_4Q06</vt:lpstr>
      <vt:lpstr>ITEM34_4Q06</vt:lpstr>
      <vt:lpstr>Tags!ITEM34_4Q07</vt:lpstr>
      <vt:lpstr>ITEM34_4Q07</vt:lpstr>
      <vt:lpstr>Tags!ITEM34_4Q08</vt:lpstr>
      <vt:lpstr>ITEM34_4Q08</vt:lpstr>
      <vt:lpstr>Tags!ITEM34_4Q09</vt:lpstr>
      <vt:lpstr>ITEM34_4Q09</vt:lpstr>
      <vt:lpstr>Tags!ITEM34_4Q10</vt:lpstr>
      <vt:lpstr>ITEM34_4Q10</vt:lpstr>
      <vt:lpstr>Tags!ITEM34_4Q11</vt:lpstr>
      <vt:lpstr>ITEM34_4Q11</vt:lpstr>
      <vt:lpstr>Tags!ITEM34_4Q12</vt:lpstr>
      <vt:lpstr>ITEM34_4Q12</vt:lpstr>
      <vt:lpstr>Tags!ITEM34_4Q13</vt:lpstr>
      <vt:lpstr>ITEM34_4Q13</vt:lpstr>
      <vt:lpstr>Tags!ITEM34_4Q14</vt:lpstr>
      <vt:lpstr>ITEM34_4Q14</vt:lpstr>
      <vt:lpstr>Tags!ITEM34_4Q15</vt:lpstr>
      <vt:lpstr>ITEM34_4Q15</vt:lpstr>
      <vt:lpstr>Tags!ITEM34_4Q16</vt:lpstr>
      <vt:lpstr>ITEM34_4Q16</vt:lpstr>
      <vt:lpstr>Tags!ITEM34_4Q17</vt:lpstr>
      <vt:lpstr>ITEM34_4Q17</vt:lpstr>
      <vt:lpstr>Tags!ITEM34_4Q18</vt:lpstr>
      <vt:lpstr>ITEM34_4Q18</vt:lpstr>
      <vt:lpstr>Tags!ITEM34_4Q19</vt:lpstr>
      <vt:lpstr>ITEM34_4Q19</vt:lpstr>
      <vt:lpstr>Tags!ITEM34_4Q20</vt:lpstr>
      <vt:lpstr>ITEM34_4Q20</vt:lpstr>
      <vt:lpstr>ITEM34_4Q21</vt:lpstr>
      <vt:lpstr>ITEM34_4Q22</vt:lpstr>
      <vt:lpstr>ITEM34_4Q23</vt:lpstr>
      <vt:lpstr>ITEM34_4Q24</vt:lpstr>
      <vt:lpstr>ITEM35_1995</vt:lpstr>
      <vt:lpstr>ITEM35_1996</vt:lpstr>
      <vt:lpstr>ITEM35_1997</vt:lpstr>
      <vt:lpstr>ITEM35_1998</vt:lpstr>
      <vt:lpstr>ITEM35_1999</vt:lpstr>
      <vt:lpstr>Tags!ITEM35_1Q00</vt:lpstr>
      <vt:lpstr>ITEM35_1Q00</vt:lpstr>
      <vt:lpstr>Tags!ITEM35_1Q01</vt:lpstr>
      <vt:lpstr>ITEM35_1Q01</vt:lpstr>
      <vt:lpstr>Tags!ITEM35_1Q02</vt:lpstr>
      <vt:lpstr>ITEM35_1Q02</vt:lpstr>
      <vt:lpstr>Tags!ITEM35_1Q03</vt:lpstr>
      <vt:lpstr>ITEM35_1Q03</vt:lpstr>
      <vt:lpstr>Tags!ITEM35_1Q04</vt:lpstr>
      <vt:lpstr>ITEM35_1Q04</vt:lpstr>
      <vt:lpstr>Tags!ITEM35_1Q05</vt:lpstr>
      <vt:lpstr>ITEM35_1Q05</vt:lpstr>
      <vt:lpstr>Tags!ITEM35_1Q06</vt:lpstr>
      <vt:lpstr>ITEM35_1Q06</vt:lpstr>
      <vt:lpstr>Tags!ITEM35_1Q07</vt:lpstr>
      <vt:lpstr>ITEM35_1Q07</vt:lpstr>
      <vt:lpstr>Tags!ITEM35_1Q08</vt:lpstr>
      <vt:lpstr>ITEM35_1Q08</vt:lpstr>
      <vt:lpstr>Tags!ITEM35_1Q09</vt:lpstr>
      <vt:lpstr>ITEM35_1Q09</vt:lpstr>
      <vt:lpstr>Tags!ITEM35_1Q10</vt:lpstr>
      <vt:lpstr>ITEM35_1Q10</vt:lpstr>
      <vt:lpstr>Tags!ITEM35_1Q11</vt:lpstr>
      <vt:lpstr>ITEM35_1Q11</vt:lpstr>
      <vt:lpstr>Tags!ITEM35_1Q12</vt:lpstr>
      <vt:lpstr>ITEM35_1Q12</vt:lpstr>
      <vt:lpstr>Tags!ITEM35_1Q13</vt:lpstr>
      <vt:lpstr>ITEM35_1Q13</vt:lpstr>
      <vt:lpstr>Tags!ITEM35_1Q14</vt:lpstr>
      <vt:lpstr>ITEM35_1Q14</vt:lpstr>
      <vt:lpstr>Tags!ITEM35_1Q15</vt:lpstr>
      <vt:lpstr>ITEM35_1Q15</vt:lpstr>
      <vt:lpstr>Tags!ITEM35_1Q16</vt:lpstr>
      <vt:lpstr>ITEM35_1Q16</vt:lpstr>
      <vt:lpstr>Tags!ITEM35_1Q17</vt:lpstr>
      <vt:lpstr>ITEM35_1Q17</vt:lpstr>
      <vt:lpstr>Tags!ITEM35_1Q18</vt:lpstr>
      <vt:lpstr>ITEM35_1Q18</vt:lpstr>
      <vt:lpstr>Tags!ITEM35_1Q19</vt:lpstr>
      <vt:lpstr>ITEM35_1Q19</vt:lpstr>
      <vt:lpstr>Tags!ITEM35_1Q20</vt:lpstr>
      <vt:lpstr>ITEM35_1Q20</vt:lpstr>
      <vt:lpstr>ITEM35_1Q21</vt:lpstr>
      <vt:lpstr>ITEM35_1Q22</vt:lpstr>
      <vt:lpstr>ITEM35_1Q23</vt:lpstr>
      <vt:lpstr>ITEM35_1Q24</vt:lpstr>
      <vt:lpstr>Tags!ITEM35_2000</vt:lpstr>
      <vt:lpstr>ITEM35_2000</vt:lpstr>
      <vt:lpstr>Tags!ITEM35_2001</vt:lpstr>
      <vt:lpstr>ITEM35_2001</vt:lpstr>
      <vt:lpstr>Tags!ITEM35_2002</vt:lpstr>
      <vt:lpstr>ITEM35_2002</vt:lpstr>
      <vt:lpstr>Tags!ITEM35_2003</vt:lpstr>
      <vt:lpstr>ITEM35_2003</vt:lpstr>
      <vt:lpstr>Tags!ITEM35_2004</vt:lpstr>
      <vt:lpstr>ITEM35_2004</vt:lpstr>
      <vt:lpstr>Tags!ITEM35_2005</vt:lpstr>
      <vt:lpstr>ITEM35_2005</vt:lpstr>
      <vt:lpstr>Tags!ITEM35_2006</vt:lpstr>
      <vt:lpstr>ITEM35_2006</vt:lpstr>
      <vt:lpstr>Tags!ITEM35_2007</vt:lpstr>
      <vt:lpstr>ITEM35_2007</vt:lpstr>
      <vt:lpstr>Tags!ITEM35_2008</vt:lpstr>
      <vt:lpstr>ITEM35_2008</vt:lpstr>
      <vt:lpstr>Tags!ITEM35_2009</vt:lpstr>
      <vt:lpstr>ITEM35_2009</vt:lpstr>
      <vt:lpstr>Tags!ITEM35_2010</vt:lpstr>
      <vt:lpstr>ITEM35_2010</vt:lpstr>
      <vt:lpstr>Tags!ITEM35_2011</vt:lpstr>
      <vt:lpstr>ITEM35_2011</vt:lpstr>
      <vt:lpstr>Tags!ITEM35_2012</vt:lpstr>
      <vt:lpstr>ITEM35_2012</vt:lpstr>
      <vt:lpstr>Tags!ITEM35_2013</vt:lpstr>
      <vt:lpstr>ITEM35_2013</vt:lpstr>
      <vt:lpstr>Tags!ITEM35_2014</vt:lpstr>
      <vt:lpstr>ITEM35_2014</vt:lpstr>
      <vt:lpstr>ITEM35_2015</vt:lpstr>
      <vt:lpstr>Tags!ITEM35_2016</vt:lpstr>
      <vt:lpstr>ITEM35_2016</vt:lpstr>
      <vt:lpstr>Tags!ITEM35_2017</vt:lpstr>
      <vt:lpstr>ITEM35_2017</vt:lpstr>
      <vt:lpstr>Tags!ITEM35_2018</vt:lpstr>
      <vt:lpstr>ITEM35_2018</vt:lpstr>
      <vt:lpstr>Tags!ITEM35_2019</vt:lpstr>
      <vt:lpstr>ITEM35_2019</vt:lpstr>
      <vt:lpstr>Tags!ITEM35_2020</vt:lpstr>
      <vt:lpstr>ITEM35_2020</vt:lpstr>
      <vt:lpstr>ITEM35_2021</vt:lpstr>
      <vt:lpstr>ITEM35_2022</vt:lpstr>
      <vt:lpstr>ITEM35_2023</vt:lpstr>
      <vt:lpstr>ITEM35_2024</vt:lpstr>
      <vt:lpstr>Tags!ITEM35_2Q00</vt:lpstr>
      <vt:lpstr>ITEM35_2Q00</vt:lpstr>
      <vt:lpstr>Tags!ITEM35_2Q01</vt:lpstr>
      <vt:lpstr>ITEM35_2Q01</vt:lpstr>
      <vt:lpstr>Tags!ITEM35_2Q02</vt:lpstr>
      <vt:lpstr>ITEM35_2Q02</vt:lpstr>
      <vt:lpstr>Tags!ITEM35_2Q03</vt:lpstr>
      <vt:lpstr>ITEM35_2Q03</vt:lpstr>
      <vt:lpstr>Tags!ITEM35_2Q04</vt:lpstr>
      <vt:lpstr>ITEM35_2Q04</vt:lpstr>
      <vt:lpstr>Tags!ITEM35_2Q05</vt:lpstr>
      <vt:lpstr>ITEM35_2Q05</vt:lpstr>
      <vt:lpstr>Tags!ITEM35_2Q06</vt:lpstr>
      <vt:lpstr>ITEM35_2Q06</vt:lpstr>
      <vt:lpstr>Tags!ITEM35_2Q07</vt:lpstr>
      <vt:lpstr>ITEM35_2Q07</vt:lpstr>
      <vt:lpstr>Tags!ITEM35_2Q08</vt:lpstr>
      <vt:lpstr>ITEM35_2Q08</vt:lpstr>
      <vt:lpstr>Tags!ITEM35_2Q09</vt:lpstr>
      <vt:lpstr>ITEM35_2Q09</vt:lpstr>
      <vt:lpstr>Tags!ITEM35_2Q10</vt:lpstr>
      <vt:lpstr>ITEM35_2Q10</vt:lpstr>
      <vt:lpstr>Tags!ITEM35_2Q11</vt:lpstr>
      <vt:lpstr>ITEM35_2Q11</vt:lpstr>
      <vt:lpstr>Tags!ITEM35_2Q12</vt:lpstr>
      <vt:lpstr>ITEM35_2Q12</vt:lpstr>
      <vt:lpstr>Tags!ITEM35_2Q13</vt:lpstr>
      <vt:lpstr>ITEM35_2Q13</vt:lpstr>
      <vt:lpstr>Tags!ITEM35_2Q14</vt:lpstr>
      <vt:lpstr>ITEM35_2Q14</vt:lpstr>
      <vt:lpstr>Tags!ITEM35_2Q15</vt:lpstr>
      <vt:lpstr>ITEM35_2Q15</vt:lpstr>
      <vt:lpstr>Tags!ITEM35_2Q16</vt:lpstr>
      <vt:lpstr>ITEM35_2Q16</vt:lpstr>
      <vt:lpstr>Tags!ITEM35_2Q17</vt:lpstr>
      <vt:lpstr>ITEM35_2Q17</vt:lpstr>
      <vt:lpstr>Tags!ITEM35_2Q18</vt:lpstr>
      <vt:lpstr>ITEM35_2Q18</vt:lpstr>
      <vt:lpstr>Tags!ITEM35_2Q19</vt:lpstr>
      <vt:lpstr>ITEM35_2Q19</vt:lpstr>
      <vt:lpstr>Tags!ITEM35_2Q20</vt:lpstr>
      <vt:lpstr>ITEM35_2Q20</vt:lpstr>
      <vt:lpstr>ITEM35_2Q21</vt:lpstr>
      <vt:lpstr>ITEM35_2Q22</vt:lpstr>
      <vt:lpstr>ITEM35_2Q23</vt:lpstr>
      <vt:lpstr>ITEM35_2Q24</vt:lpstr>
      <vt:lpstr>Tags!ITEM35_3Q00</vt:lpstr>
      <vt:lpstr>ITEM35_3Q00</vt:lpstr>
      <vt:lpstr>Tags!ITEM35_3Q01</vt:lpstr>
      <vt:lpstr>ITEM35_3Q01</vt:lpstr>
      <vt:lpstr>Tags!ITEM35_3Q02</vt:lpstr>
      <vt:lpstr>ITEM35_3Q02</vt:lpstr>
      <vt:lpstr>Tags!ITEM35_3Q03</vt:lpstr>
      <vt:lpstr>ITEM35_3Q03</vt:lpstr>
      <vt:lpstr>Tags!ITEM35_3Q04</vt:lpstr>
      <vt:lpstr>ITEM35_3Q04</vt:lpstr>
      <vt:lpstr>Tags!ITEM35_3Q05</vt:lpstr>
      <vt:lpstr>ITEM35_3Q05</vt:lpstr>
      <vt:lpstr>Tags!ITEM35_3Q06</vt:lpstr>
      <vt:lpstr>ITEM35_3Q06</vt:lpstr>
      <vt:lpstr>Tags!ITEM35_3Q07</vt:lpstr>
      <vt:lpstr>ITEM35_3Q07</vt:lpstr>
      <vt:lpstr>Tags!ITEM35_3Q08</vt:lpstr>
      <vt:lpstr>ITEM35_3Q08</vt:lpstr>
      <vt:lpstr>Tags!ITEM35_3Q09</vt:lpstr>
      <vt:lpstr>ITEM35_3Q09</vt:lpstr>
      <vt:lpstr>Tags!ITEM35_3Q10</vt:lpstr>
      <vt:lpstr>ITEM35_3Q10</vt:lpstr>
      <vt:lpstr>Tags!ITEM35_3Q11</vt:lpstr>
      <vt:lpstr>ITEM35_3Q11</vt:lpstr>
      <vt:lpstr>Tags!ITEM35_3Q12</vt:lpstr>
      <vt:lpstr>ITEM35_3Q12</vt:lpstr>
      <vt:lpstr>Tags!ITEM35_3Q13</vt:lpstr>
      <vt:lpstr>ITEM35_3Q13</vt:lpstr>
      <vt:lpstr>Tags!ITEM35_3Q14</vt:lpstr>
      <vt:lpstr>ITEM35_3Q14</vt:lpstr>
      <vt:lpstr>Tags!ITEM35_3Q15</vt:lpstr>
      <vt:lpstr>ITEM35_3Q15</vt:lpstr>
      <vt:lpstr>Tags!ITEM35_3Q16</vt:lpstr>
      <vt:lpstr>ITEM35_3Q16</vt:lpstr>
      <vt:lpstr>Tags!ITEM35_3Q17</vt:lpstr>
      <vt:lpstr>ITEM35_3Q17</vt:lpstr>
      <vt:lpstr>Tags!ITEM35_3Q18</vt:lpstr>
      <vt:lpstr>ITEM35_3Q18</vt:lpstr>
      <vt:lpstr>Tags!ITEM35_3Q19</vt:lpstr>
      <vt:lpstr>ITEM35_3Q19</vt:lpstr>
      <vt:lpstr>Tags!ITEM35_3Q20</vt:lpstr>
      <vt:lpstr>ITEM35_3Q20</vt:lpstr>
      <vt:lpstr>ITEM35_3Q21</vt:lpstr>
      <vt:lpstr>ITEM35_3Q22</vt:lpstr>
      <vt:lpstr>ITEM35_3Q23</vt:lpstr>
      <vt:lpstr>ITEM35_3Q24</vt:lpstr>
      <vt:lpstr>Tags!ITEM35_4Q00</vt:lpstr>
      <vt:lpstr>ITEM35_4Q00</vt:lpstr>
      <vt:lpstr>Tags!ITEM35_4Q01</vt:lpstr>
      <vt:lpstr>ITEM35_4Q01</vt:lpstr>
      <vt:lpstr>Tags!ITEM35_4Q02</vt:lpstr>
      <vt:lpstr>ITEM35_4Q02</vt:lpstr>
      <vt:lpstr>Tags!ITEM35_4Q03</vt:lpstr>
      <vt:lpstr>ITEM35_4Q03</vt:lpstr>
      <vt:lpstr>Tags!ITEM35_4Q04</vt:lpstr>
      <vt:lpstr>ITEM35_4Q04</vt:lpstr>
      <vt:lpstr>Tags!ITEM35_4Q05</vt:lpstr>
      <vt:lpstr>ITEM35_4Q05</vt:lpstr>
      <vt:lpstr>Tags!ITEM35_4Q06</vt:lpstr>
      <vt:lpstr>ITEM35_4Q06</vt:lpstr>
      <vt:lpstr>Tags!ITEM35_4Q07</vt:lpstr>
      <vt:lpstr>ITEM35_4Q07</vt:lpstr>
      <vt:lpstr>Tags!ITEM35_4Q08</vt:lpstr>
      <vt:lpstr>ITEM35_4Q08</vt:lpstr>
      <vt:lpstr>Tags!ITEM35_4Q09</vt:lpstr>
      <vt:lpstr>ITEM35_4Q09</vt:lpstr>
      <vt:lpstr>Tags!ITEM35_4Q10</vt:lpstr>
      <vt:lpstr>ITEM35_4Q10</vt:lpstr>
      <vt:lpstr>Tags!ITEM35_4Q11</vt:lpstr>
      <vt:lpstr>ITEM35_4Q11</vt:lpstr>
      <vt:lpstr>Tags!ITEM35_4Q12</vt:lpstr>
      <vt:lpstr>ITEM35_4Q12</vt:lpstr>
      <vt:lpstr>Tags!ITEM35_4Q13</vt:lpstr>
      <vt:lpstr>ITEM35_4Q13</vt:lpstr>
      <vt:lpstr>Tags!ITEM35_4Q14</vt:lpstr>
      <vt:lpstr>ITEM35_4Q14</vt:lpstr>
      <vt:lpstr>Tags!ITEM35_4Q15</vt:lpstr>
      <vt:lpstr>ITEM35_4Q15</vt:lpstr>
      <vt:lpstr>Tags!ITEM35_4Q16</vt:lpstr>
      <vt:lpstr>ITEM35_4Q16</vt:lpstr>
      <vt:lpstr>Tags!ITEM35_4Q17</vt:lpstr>
      <vt:lpstr>ITEM35_4Q17</vt:lpstr>
      <vt:lpstr>Tags!ITEM35_4Q18</vt:lpstr>
      <vt:lpstr>ITEM35_4Q18</vt:lpstr>
      <vt:lpstr>Tags!ITEM35_4Q19</vt:lpstr>
      <vt:lpstr>ITEM35_4Q19</vt:lpstr>
      <vt:lpstr>Tags!ITEM35_4Q20</vt:lpstr>
      <vt:lpstr>ITEM35_4Q20</vt:lpstr>
      <vt:lpstr>ITEM35_4Q21</vt:lpstr>
      <vt:lpstr>ITEM35_4Q22</vt:lpstr>
      <vt:lpstr>ITEM35_4Q23</vt:lpstr>
      <vt:lpstr>ITEM35_4Q24</vt:lpstr>
      <vt:lpstr>ITEM36_1995</vt:lpstr>
      <vt:lpstr>ITEM36_1996</vt:lpstr>
      <vt:lpstr>ITEM36_1997</vt:lpstr>
      <vt:lpstr>ITEM36_1998</vt:lpstr>
      <vt:lpstr>ITEM36_1999</vt:lpstr>
      <vt:lpstr>Tags!ITEM36_1Q00</vt:lpstr>
      <vt:lpstr>ITEM36_1Q00</vt:lpstr>
      <vt:lpstr>Tags!ITEM36_1Q01</vt:lpstr>
      <vt:lpstr>ITEM36_1Q01</vt:lpstr>
      <vt:lpstr>Tags!ITEM36_1Q02</vt:lpstr>
      <vt:lpstr>ITEM36_1Q02</vt:lpstr>
      <vt:lpstr>Tags!ITEM36_1Q03</vt:lpstr>
      <vt:lpstr>ITEM36_1Q03</vt:lpstr>
      <vt:lpstr>Tags!ITEM36_1Q04</vt:lpstr>
      <vt:lpstr>ITEM36_1Q04</vt:lpstr>
      <vt:lpstr>Tags!ITEM36_1Q05</vt:lpstr>
      <vt:lpstr>ITEM36_1Q05</vt:lpstr>
      <vt:lpstr>Tags!ITEM36_1Q06</vt:lpstr>
      <vt:lpstr>ITEM36_1Q06</vt:lpstr>
      <vt:lpstr>Tags!ITEM36_1Q07</vt:lpstr>
      <vt:lpstr>ITEM36_1Q07</vt:lpstr>
      <vt:lpstr>Tags!ITEM36_1Q08</vt:lpstr>
      <vt:lpstr>ITEM36_1Q08</vt:lpstr>
      <vt:lpstr>Tags!ITEM36_1Q09</vt:lpstr>
      <vt:lpstr>ITEM36_1Q09</vt:lpstr>
      <vt:lpstr>Tags!ITEM36_1Q10</vt:lpstr>
      <vt:lpstr>ITEM36_1Q10</vt:lpstr>
      <vt:lpstr>Tags!ITEM36_1Q11</vt:lpstr>
      <vt:lpstr>ITEM36_1Q11</vt:lpstr>
      <vt:lpstr>Tags!ITEM36_1Q12</vt:lpstr>
      <vt:lpstr>ITEM36_1Q12</vt:lpstr>
      <vt:lpstr>Tags!ITEM36_1Q13</vt:lpstr>
      <vt:lpstr>ITEM36_1Q13</vt:lpstr>
      <vt:lpstr>Tags!ITEM36_1Q14</vt:lpstr>
      <vt:lpstr>ITEM36_1Q14</vt:lpstr>
      <vt:lpstr>Tags!ITEM36_1Q15</vt:lpstr>
      <vt:lpstr>ITEM36_1Q15</vt:lpstr>
      <vt:lpstr>Tags!ITEM36_1Q16</vt:lpstr>
      <vt:lpstr>ITEM36_1Q16</vt:lpstr>
      <vt:lpstr>Tags!ITEM36_1Q17</vt:lpstr>
      <vt:lpstr>ITEM36_1Q17</vt:lpstr>
      <vt:lpstr>Tags!ITEM36_1Q18</vt:lpstr>
      <vt:lpstr>ITEM36_1Q18</vt:lpstr>
      <vt:lpstr>Tags!ITEM36_1Q19</vt:lpstr>
      <vt:lpstr>ITEM36_1Q19</vt:lpstr>
      <vt:lpstr>Tags!ITEM36_1Q20</vt:lpstr>
      <vt:lpstr>ITEM36_1Q20</vt:lpstr>
      <vt:lpstr>ITEM36_1Q21</vt:lpstr>
      <vt:lpstr>ITEM36_1Q22</vt:lpstr>
      <vt:lpstr>ITEM36_1Q23</vt:lpstr>
      <vt:lpstr>ITEM36_1Q24</vt:lpstr>
      <vt:lpstr>Tags!ITEM36_2000</vt:lpstr>
      <vt:lpstr>ITEM36_2000</vt:lpstr>
      <vt:lpstr>Tags!ITEM36_2001</vt:lpstr>
      <vt:lpstr>ITEM36_2001</vt:lpstr>
      <vt:lpstr>Tags!ITEM36_2002</vt:lpstr>
      <vt:lpstr>ITEM36_2002</vt:lpstr>
      <vt:lpstr>Tags!ITEM36_2003</vt:lpstr>
      <vt:lpstr>ITEM36_2003</vt:lpstr>
      <vt:lpstr>Tags!ITEM36_2004</vt:lpstr>
      <vt:lpstr>ITEM36_2004</vt:lpstr>
      <vt:lpstr>Tags!ITEM36_2005</vt:lpstr>
      <vt:lpstr>ITEM36_2005</vt:lpstr>
      <vt:lpstr>Tags!ITEM36_2006</vt:lpstr>
      <vt:lpstr>ITEM36_2006</vt:lpstr>
      <vt:lpstr>Tags!ITEM36_2007</vt:lpstr>
      <vt:lpstr>ITEM36_2007</vt:lpstr>
      <vt:lpstr>Tags!ITEM36_2008</vt:lpstr>
      <vt:lpstr>ITEM36_2008</vt:lpstr>
      <vt:lpstr>Tags!ITEM36_2009</vt:lpstr>
      <vt:lpstr>ITEM36_2009</vt:lpstr>
      <vt:lpstr>Tags!ITEM36_2010</vt:lpstr>
      <vt:lpstr>ITEM36_2010</vt:lpstr>
      <vt:lpstr>Tags!ITEM36_2011</vt:lpstr>
      <vt:lpstr>ITEM36_2011</vt:lpstr>
      <vt:lpstr>Tags!ITEM36_2012</vt:lpstr>
      <vt:lpstr>ITEM36_2012</vt:lpstr>
      <vt:lpstr>Tags!ITEM36_2013</vt:lpstr>
      <vt:lpstr>ITEM36_2013</vt:lpstr>
      <vt:lpstr>Tags!ITEM36_2014</vt:lpstr>
      <vt:lpstr>ITEM36_2014</vt:lpstr>
      <vt:lpstr>ITEM36_2015</vt:lpstr>
      <vt:lpstr>Tags!ITEM36_2016</vt:lpstr>
      <vt:lpstr>ITEM36_2016</vt:lpstr>
      <vt:lpstr>Tags!ITEM36_2017</vt:lpstr>
      <vt:lpstr>ITEM36_2017</vt:lpstr>
      <vt:lpstr>Tags!ITEM36_2018</vt:lpstr>
      <vt:lpstr>ITEM36_2018</vt:lpstr>
      <vt:lpstr>Tags!ITEM36_2019</vt:lpstr>
      <vt:lpstr>ITEM36_2019</vt:lpstr>
      <vt:lpstr>Tags!ITEM36_2020</vt:lpstr>
      <vt:lpstr>ITEM36_2020</vt:lpstr>
      <vt:lpstr>ITEM36_2021</vt:lpstr>
      <vt:lpstr>ITEM36_2022</vt:lpstr>
      <vt:lpstr>ITEM36_2023</vt:lpstr>
      <vt:lpstr>ITEM36_2024</vt:lpstr>
      <vt:lpstr>Tags!ITEM36_2Q00</vt:lpstr>
      <vt:lpstr>ITEM36_2Q00</vt:lpstr>
      <vt:lpstr>Tags!ITEM36_2Q01</vt:lpstr>
      <vt:lpstr>ITEM36_2Q01</vt:lpstr>
      <vt:lpstr>Tags!ITEM36_2Q02</vt:lpstr>
      <vt:lpstr>ITEM36_2Q02</vt:lpstr>
      <vt:lpstr>Tags!ITEM36_2Q03</vt:lpstr>
      <vt:lpstr>ITEM36_2Q03</vt:lpstr>
      <vt:lpstr>Tags!ITEM36_2Q04</vt:lpstr>
      <vt:lpstr>ITEM36_2Q04</vt:lpstr>
      <vt:lpstr>Tags!ITEM36_2Q05</vt:lpstr>
      <vt:lpstr>ITEM36_2Q05</vt:lpstr>
      <vt:lpstr>Tags!ITEM36_2Q06</vt:lpstr>
      <vt:lpstr>ITEM36_2Q06</vt:lpstr>
      <vt:lpstr>Tags!ITEM36_2Q07</vt:lpstr>
      <vt:lpstr>ITEM36_2Q07</vt:lpstr>
      <vt:lpstr>Tags!ITEM36_2Q08</vt:lpstr>
      <vt:lpstr>ITEM36_2Q08</vt:lpstr>
      <vt:lpstr>Tags!ITEM36_2Q09</vt:lpstr>
      <vt:lpstr>ITEM36_2Q09</vt:lpstr>
      <vt:lpstr>Tags!ITEM36_2Q10</vt:lpstr>
      <vt:lpstr>ITEM36_2Q10</vt:lpstr>
      <vt:lpstr>Tags!ITEM36_2Q11</vt:lpstr>
      <vt:lpstr>ITEM36_2Q11</vt:lpstr>
      <vt:lpstr>Tags!ITEM36_2Q12</vt:lpstr>
      <vt:lpstr>ITEM36_2Q12</vt:lpstr>
      <vt:lpstr>Tags!ITEM36_2Q13</vt:lpstr>
      <vt:lpstr>ITEM36_2Q13</vt:lpstr>
      <vt:lpstr>Tags!ITEM36_2Q14</vt:lpstr>
      <vt:lpstr>ITEM36_2Q14</vt:lpstr>
      <vt:lpstr>Tags!ITEM36_2Q15</vt:lpstr>
      <vt:lpstr>ITEM36_2Q15</vt:lpstr>
      <vt:lpstr>Tags!ITEM36_2Q16</vt:lpstr>
      <vt:lpstr>ITEM36_2Q16</vt:lpstr>
      <vt:lpstr>Tags!ITEM36_2Q17</vt:lpstr>
      <vt:lpstr>ITEM36_2Q17</vt:lpstr>
      <vt:lpstr>Tags!ITEM36_2Q18</vt:lpstr>
      <vt:lpstr>ITEM36_2Q18</vt:lpstr>
      <vt:lpstr>Tags!ITEM36_2Q19</vt:lpstr>
      <vt:lpstr>ITEM36_2Q19</vt:lpstr>
      <vt:lpstr>Tags!ITEM36_2Q20</vt:lpstr>
      <vt:lpstr>ITEM36_2Q20</vt:lpstr>
      <vt:lpstr>ITEM36_2Q21</vt:lpstr>
      <vt:lpstr>ITEM36_2Q22</vt:lpstr>
      <vt:lpstr>ITEM36_2Q23</vt:lpstr>
      <vt:lpstr>ITEM36_2Q24</vt:lpstr>
      <vt:lpstr>Tags!ITEM36_3Q00</vt:lpstr>
      <vt:lpstr>ITEM36_3Q00</vt:lpstr>
      <vt:lpstr>Tags!ITEM36_3Q01</vt:lpstr>
      <vt:lpstr>ITEM36_3Q01</vt:lpstr>
      <vt:lpstr>Tags!ITEM36_3Q02</vt:lpstr>
      <vt:lpstr>ITEM36_3Q02</vt:lpstr>
      <vt:lpstr>Tags!ITEM36_3Q03</vt:lpstr>
      <vt:lpstr>ITEM36_3Q03</vt:lpstr>
      <vt:lpstr>Tags!ITEM36_3Q04</vt:lpstr>
      <vt:lpstr>ITEM36_3Q04</vt:lpstr>
      <vt:lpstr>Tags!ITEM36_3Q05</vt:lpstr>
      <vt:lpstr>ITEM36_3Q05</vt:lpstr>
      <vt:lpstr>Tags!ITEM36_3Q06</vt:lpstr>
      <vt:lpstr>ITEM36_3Q06</vt:lpstr>
      <vt:lpstr>Tags!ITEM36_3Q07</vt:lpstr>
      <vt:lpstr>ITEM36_3Q07</vt:lpstr>
      <vt:lpstr>Tags!ITEM36_3Q08</vt:lpstr>
      <vt:lpstr>ITEM36_3Q08</vt:lpstr>
      <vt:lpstr>Tags!ITEM36_3Q09</vt:lpstr>
      <vt:lpstr>ITEM36_3Q09</vt:lpstr>
      <vt:lpstr>Tags!ITEM36_3Q10</vt:lpstr>
      <vt:lpstr>ITEM36_3Q10</vt:lpstr>
      <vt:lpstr>Tags!ITEM36_3Q11</vt:lpstr>
      <vt:lpstr>ITEM36_3Q11</vt:lpstr>
      <vt:lpstr>Tags!ITEM36_3Q12</vt:lpstr>
      <vt:lpstr>ITEM36_3Q12</vt:lpstr>
      <vt:lpstr>Tags!ITEM36_3Q13</vt:lpstr>
      <vt:lpstr>ITEM36_3Q13</vt:lpstr>
      <vt:lpstr>Tags!ITEM36_3Q14</vt:lpstr>
      <vt:lpstr>ITEM36_3Q14</vt:lpstr>
      <vt:lpstr>Tags!ITEM36_3Q15</vt:lpstr>
      <vt:lpstr>ITEM36_3Q15</vt:lpstr>
      <vt:lpstr>Tags!ITEM36_3Q16</vt:lpstr>
      <vt:lpstr>ITEM36_3Q16</vt:lpstr>
      <vt:lpstr>Tags!ITEM36_3Q17</vt:lpstr>
      <vt:lpstr>ITEM36_3Q17</vt:lpstr>
      <vt:lpstr>Tags!ITEM36_3Q18</vt:lpstr>
      <vt:lpstr>ITEM36_3Q18</vt:lpstr>
      <vt:lpstr>Tags!ITEM36_3Q19</vt:lpstr>
      <vt:lpstr>ITEM36_3Q19</vt:lpstr>
      <vt:lpstr>Tags!ITEM36_3Q20</vt:lpstr>
      <vt:lpstr>ITEM36_3Q20</vt:lpstr>
      <vt:lpstr>ITEM36_3Q21</vt:lpstr>
      <vt:lpstr>ITEM36_3Q22</vt:lpstr>
      <vt:lpstr>ITEM36_3Q23</vt:lpstr>
      <vt:lpstr>ITEM36_3Q24</vt:lpstr>
      <vt:lpstr>Tags!ITEM36_4Q00</vt:lpstr>
      <vt:lpstr>ITEM36_4Q00</vt:lpstr>
      <vt:lpstr>Tags!ITEM36_4Q01</vt:lpstr>
      <vt:lpstr>ITEM36_4Q01</vt:lpstr>
      <vt:lpstr>Tags!ITEM36_4Q02</vt:lpstr>
      <vt:lpstr>ITEM36_4Q02</vt:lpstr>
      <vt:lpstr>Tags!ITEM36_4Q03</vt:lpstr>
      <vt:lpstr>ITEM36_4Q03</vt:lpstr>
      <vt:lpstr>Tags!ITEM36_4Q04</vt:lpstr>
      <vt:lpstr>ITEM36_4Q04</vt:lpstr>
      <vt:lpstr>Tags!ITEM36_4Q05</vt:lpstr>
      <vt:lpstr>ITEM36_4Q05</vt:lpstr>
      <vt:lpstr>Tags!ITEM36_4Q06</vt:lpstr>
      <vt:lpstr>ITEM36_4Q06</vt:lpstr>
      <vt:lpstr>Tags!ITEM36_4Q07</vt:lpstr>
      <vt:lpstr>ITEM36_4Q07</vt:lpstr>
      <vt:lpstr>Tags!ITEM36_4Q08</vt:lpstr>
      <vt:lpstr>ITEM36_4Q08</vt:lpstr>
      <vt:lpstr>Tags!ITEM36_4Q09</vt:lpstr>
      <vt:lpstr>ITEM36_4Q09</vt:lpstr>
      <vt:lpstr>Tags!ITEM36_4Q10</vt:lpstr>
      <vt:lpstr>ITEM36_4Q10</vt:lpstr>
      <vt:lpstr>Tags!ITEM36_4Q11</vt:lpstr>
      <vt:lpstr>ITEM36_4Q11</vt:lpstr>
      <vt:lpstr>Tags!ITEM36_4Q12</vt:lpstr>
      <vt:lpstr>ITEM36_4Q12</vt:lpstr>
      <vt:lpstr>Tags!ITEM36_4Q13</vt:lpstr>
      <vt:lpstr>ITEM36_4Q13</vt:lpstr>
      <vt:lpstr>Tags!ITEM36_4Q14</vt:lpstr>
      <vt:lpstr>ITEM36_4Q14</vt:lpstr>
      <vt:lpstr>Tags!ITEM36_4Q15</vt:lpstr>
      <vt:lpstr>ITEM36_4Q15</vt:lpstr>
      <vt:lpstr>Tags!ITEM36_4Q16</vt:lpstr>
      <vt:lpstr>ITEM36_4Q16</vt:lpstr>
      <vt:lpstr>Tags!ITEM36_4Q17</vt:lpstr>
      <vt:lpstr>ITEM36_4Q17</vt:lpstr>
      <vt:lpstr>Tags!ITEM36_4Q18</vt:lpstr>
      <vt:lpstr>ITEM36_4Q18</vt:lpstr>
      <vt:lpstr>Tags!ITEM36_4Q19</vt:lpstr>
      <vt:lpstr>ITEM36_4Q19</vt:lpstr>
      <vt:lpstr>Tags!ITEM36_4Q20</vt:lpstr>
      <vt:lpstr>ITEM36_4Q20</vt:lpstr>
      <vt:lpstr>ITEM36_4Q21</vt:lpstr>
      <vt:lpstr>ITEM36_4Q22</vt:lpstr>
      <vt:lpstr>ITEM36_4Q23</vt:lpstr>
      <vt:lpstr>ITEM36_4Q24</vt:lpstr>
      <vt:lpstr>ITEM37_1995</vt:lpstr>
      <vt:lpstr>ITEM37_1996</vt:lpstr>
      <vt:lpstr>ITEM37_1997</vt:lpstr>
      <vt:lpstr>ITEM37_1998</vt:lpstr>
      <vt:lpstr>ITEM37_1999</vt:lpstr>
      <vt:lpstr>Tags!ITEM37_1Q00</vt:lpstr>
      <vt:lpstr>ITEM37_1Q00</vt:lpstr>
      <vt:lpstr>Tags!ITEM37_1Q01</vt:lpstr>
      <vt:lpstr>ITEM37_1Q01</vt:lpstr>
      <vt:lpstr>Tags!ITEM37_1Q02</vt:lpstr>
      <vt:lpstr>ITEM37_1Q02</vt:lpstr>
      <vt:lpstr>Tags!ITEM37_1Q03</vt:lpstr>
      <vt:lpstr>ITEM37_1Q03</vt:lpstr>
      <vt:lpstr>Tags!ITEM37_1Q04</vt:lpstr>
      <vt:lpstr>ITEM37_1Q04</vt:lpstr>
      <vt:lpstr>Tags!ITEM37_1Q05</vt:lpstr>
      <vt:lpstr>ITEM37_1Q05</vt:lpstr>
      <vt:lpstr>Tags!ITEM37_1Q06</vt:lpstr>
      <vt:lpstr>ITEM37_1Q06</vt:lpstr>
      <vt:lpstr>Tags!ITEM37_1Q07</vt:lpstr>
      <vt:lpstr>ITEM37_1Q07</vt:lpstr>
      <vt:lpstr>Tags!ITEM37_1Q08</vt:lpstr>
      <vt:lpstr>ITEM37_1Q08</vt:lpstr>
      <vt:lpstr>Tags!ITEM37_1Q09</vt:lpstr>
      <vt:lpstr>ITEM37_1Q09</vt:lpstr>
      <vt:lpstr>Tags!ITEM37_1Q10</vt:lpstr>
      <vt:lpstr>ITEM37_1Q10</vt:lpstr>
      <vt:lpstr>Tags!ITEM37_1Q11</vt:lpstr>
      <vt:lpstr>ITEM37_1Q11</vt:lpstr>
      <vt:lpstr>Tags!ITEM37_1Q12</vt:lpstr>
      <vt:lpstr>ITEM37_1Q12</vt:lpstr>
      <vt:lpstr>Tags!ITEM37_1Q13</vt:lpstr>
      <vt:lpstr>ITEM37_1Q13</vt:lpstr>
      <vt:lpstr>Tags!ITEM37_1Q14</vt:lpstr>
      <vt:lpstr>ITEM37_1Q14</vt:lpstr>
      <vt:lpstr>Tags!ITEM37_1Q15</vt:lpstr>
      <vt:lpstr>ITEM37_1Q15</vt:lpstr>
      <vt:lpstr>Tags!ITEM37_1Q16</vt:lpstr>
      <vt:lpstr>ITEM37_1Q16</vt:lpstr>
      <vt:lpstr>Tags!ITEM37_1Q17</vt:lpstr>
      <vt:lpstr>ITEM37_1Q17</vt:lpstr>
      <vt:lpstr>Tags!ITEM37_1Q18</vt:lpstr>
      <vt:lpstr>ITEM37_1Q18</vt:lpstr>
      <vt:lpstr>Tags!ITEM37_1Q19</vt:lpstr>
      <vt:lpstr>ITEM37_1Q19</vt:lpstr>
      <vt:lpstr>Tags!ITEM37_1Q20</vt:lpstr>
      <vt:lpstr>ITEM37_1Q20</vt:lpstr>
      <vt:lpstr>ITEM37_1Q21</vt:lpstr>
      <vt:lpstr>ITEM37_1Q22</vt:lpstr>
      <vt:lpstr>ITEM37_1Q23</vt:lpstr>
      <vt:lpstr>ITEM37_1Q24</vt:lpstr>
      <vt:lpstr>Tags!ITEM37_2000</vt:lpstr>
      <vt:lpstr>ITEM37_2000</vt:lpstr>
      <vt:lpstr>Tags!ITEM37_2001</vt:lpstr>
      <vt:lpstr>ITEM37_2001</vt:lpstr>
      <vt:lpstr>Tags!ITEM37_2002</vt:lpstr>
      <vt:lpstr>ITEM37_2002</vt:lpstr>
      <vt:lpstr>Tags!ITEM37_2003</vt:lpstr>
      <vt:lpstr>ITEM37_2003</vt:lpstr>
      <vt:lpstr>Tags!ITEM37_2004</vt:lpstr>
      <vt:lpstr>ITEM37_2004</vt:lpstr>
      <vt:lpstr>Tags!ITEM37_2005</vt:lpstr>
      <vt:lpstr>ITEM37_2005</vt:lpstr>
      <vt:lpstr>Tags!ITEM37_2006</vt:lpstr>
      <vt:lpstr>ITEM37_2006</vt:lpstr>
      <vt:lpstr>Tags!ITEM37_2007</vt:lpstr>
      <vt:lpstr>ITEM37_2007</vt:lpstr>
      <vt:lpstr>Tags!ITEM37_2008</vt:lpstr>
      <vt:lpstr>ITEM37_2008</vt:lpstr>
      <vt:lpstr>Tags!ITEM37_2009</vt:lpstr>
      <vt:lpstr>ITEM37_2009</vt:lpstr>
      <vt:lpstr>Tags!ITEM37_2010</vt:lpstr>
      <vt:lpstr>ITEM37_2010</vt:lpstr>
      <vt:lpstr>Tags!ITEM37_2011</vt:lpstr>
      <vt:lpstr>ITEM37_2011</vt:lpstr>
      <vt:lpstr>Tags!ITEM37_2012</vt:lpstr>
      <vt:lpstr>ITEM37_2012</vt:lpstr>
      <vt:lpstr>Tags!ITEM37_2013</vt:lpstr>
      <vt:lpstr>ITEM37_2013</vt:lpstr>
      <vt:lpstr>Tags!ITEM37_2014</vt:lpstr>
      <vt:lpstr>ITEM37_2014</vt:lpstr>
      <vt:lpstr>ITEM37_2015</vt:lpstr>
      <vt:lpstr>Tags!ITEM37_2016</vt:lpstr>
      <vt:lpstr>ITEM37_2016</vt:lpstr>
      <vt:lpstr>Tags!ITEM37_2017</vt:lpstr>
      <vt:lpstr>ITEM37_2017</vt:lpstr>
      <vt:lpstr>Tags!ITEM37_2018</vt:lpstr>
      <vt:lpstr>ITEM37_2018</vt:lpstr>
      <vt:lpstr>Tags!ITEM37_2019</vt:lpstr>
      <vt:lpstr>ITEM37_2019</vt:lpstr>
      <vt:lpstr>Tags!ITEM37_2020</vt:lpstr>
      <vt:lpstr>ITEM37_2020</vt:lpstr>
      <vt:lpstr>ITEM37_2021</vt:lpstr>
      <vt:lpstr>ITEM37_2022</vt:lpstr>
      <vt:lpstr>ITEM37_2023</vt:lpstr>
      <vt:lpstr>ITEM37_2024</vt:lpstr>
      <vt:lpstr>Tags!ITEM37_2Q00</vt:lpstr>
      <vt:lpstr>ITEM37_2Q00</vt:lpstr>
      <vt:lpstr>Tags!ITEM37_2Q01</vt:lpstr>
      <vt:lpstr>ITEM37_2Q01</vt:lpstr>
      <vt:lpstr>Tags!ITEM37_2Q02</vt:lpstr>
      <vt:lpstr>ITEM37_2Q02</vt:lpstr>
      <vt:lpstr>Tags!ITEM37_2Q03</vt:lpstr>
      <vt:lpstr>ITEM37_2Q03</vt:lpstr>
      <vt:lpstr>Tags!ITEM37_2Q04</vt:lpstr>
      <vt:lpstr>ITEM37_2Q04</vt:lpstr>
      <vt:lpstr>Tags!ITEM37_2Q05</vt:lpstr>
      <vt:lpstr>ITEM37_2Q05</vt:lpstr>
      <vt:lpstr>Tags!ITEM37_2Q06</vt:lpstr>
      <vt:lpstr>ITEM37_2Q06</vt:lpstr>
      <vt:lpstr>Tags!ITEM37_2Q07</vt:lpstr>
      <vt:lpstr>ITEM37_2Q07</vt:lpstr>
      <vt:lpstr>Tags!ITEM37_2Q08</vt:lpstr>
      <vt:lpstr>ITEM37_2Q08</vt:lpstr>
      <vt:lpstr>Tags!ITEM37_2Q09</vt:lpstr>
      <vt:lpstr>ITEM37_2Q09</vt:lpstr>
      <vt:lpstr>Tags!ITEM37_2Q10</vt:lpstr>
      <vt:lpstr>ITEM37_2Q10</vt:lpstr>
      <vt:lpstr>Tags!ITEM37_2Q11</vt:lpstr>
      <vt:lpstr>ITEM37_2Q11</vt:lpstr>
      <vt:lpstr>Tags!ITEM37_2Q12</vt:lpstr>
      <vt:lpstr>ITEM37_2Q12</vt:lpstr>
      <vt:lpstr>Tags!ITEM37_2Q13</vt:lpstr>
      <vt:lpstr>ITEM37_2Q13</vt:lpstr>
      <vt:lpstr>Tags!ITEM37_2Q14</vt:lpstr>
      <vt:lpstr>ITEM37_2Q14</vt:lpstr>
      <vt:lpstr>Tags!ITEM37_2Q15</vt:lpstr>
      <vt:lpstr>ITEM37_2Q15</vt:lpstr>
      <vt:lpstr>Tags!ITEM37_2Q16</vt:lpstr>
      <vt:lpstr>ITEM37_2Q16</vt:lpstr>
      <vt:lpstr>Tags!ITEM37_2Q17</vt:lpstr>
      <vt:lpstr>ITEM37_2Q17</vt:lpstr>
      <vt:lpstr>Tags!ITEM37_2Q18</vt:lpstr>
      <vt:lpstr>ITEM37_2Q18</vt:lpstr>
      <vt:lpstr>Tags!ITEM37_2Q19</vt:lpstr>
      <vt:lpstr>ITEM37_2Q19</vt:lpstr>
      <vt:lpstr>Tags!ITEM37_2Q20</vt:lpstr>
      <vt:lpstr>ITEM37_2Q20</vt:lpstr>
      <vt:lpstr>ITEM37_2Q21</vt:lpstr>
      <vt:lpstr>ITEM37_2Q22</vt:lpstr>
      <vt:lpstr>ITEM37_2Q23</vt:lpstr>
      <vt:lpstr>ITEM37_2Q24</vt:lpstr>
      <vt:lpstr>Tags!ITEM37_3Q00</vt:lpstr>
      <vt:lpstr>ITEM37_3Q00</vt:lpstr>
      <vt:lpstr>Tags!ITEM37_3Q01</vt:lpstr>
      <vt:lpstr>ITEM37_3Q01</vt:lpstr>
      <vt:lpstr>Tags!ITEM37_3Q02</vt:lpstr>
      <vt:lpstr>ITEM37_3Q02</vt:lpstr>
      <vt:lpstr>Tags!ITEM37_3Q03</vt:lpstr>
      <vt:lpstr>ITEM37_3Q03</vt:lpstr>
      <vt:lpstr>Tags!ITEM37_3Q04</vt:lpstr>
      <vt:lpstr>ITEM37_3Q04</vt:lpstr>
      <vt:lpstr>Tags!ITEM37_3Q05</vt:lpstr>
      <vt:lpstr>ITEM37_3Q05</vt:lpstr>
      <vt:lpstr>Tags!ITEM37_3Q06</vt:lpstr>
      <vt:lpstr>ITEM37_3Q06</vt:lpstr>
      <vt:lpstr>Tags!ITEM37_3Q07</vt:lpstr>
      <vt:lpstr>ITEM37_3Q07</vt:lpstr>
      <vt:lpstr>Tags!ITEM37_3Q08</vt:lpstr>
      <vt:lpstr>ITEM37_3Q08</vt:lpstr>
      <vt:lpstr>Tags!ITEM37_3Q09</vt:lpstr>
      <vt:lpstr>ITEM37_3Q09</vt:lpstr>
      <vt:lpstr>Tags!ITEM37_3Q10</vt:lpstr>
      <vt:lpstr>ITEM37_3Q10</vt:lpstr>
      <vt:lpstr>Tags!ITEM37_3Q11</vt:lpstr>
      <vt:lpstr>ITEM37_3Q11</vt:lpstr>
      <vt:lpstr>Tags!ITEM37_3Q12</vt:lpstr>
      <vt:lpstr>ITEM37_3Q12</vt:lpstr>
      <vt:lpstr>Tags!ITEM37_3Q13</vt:lpstr>
      <vt:lpstr>ITEM37_3Q13</vt:lpstr>
      <vt:lpstr>Tags!ITEM37_3Q14</vt:lpstr>
      <vt:lpstr>ITEM37_3Q14</vt:lpstr>
      <vt:lpstr>Tags!ITEM37_3Q15</vt:lpstr>
      <vt:lpstr>ITEM37_3Q15</vt:lpstr>
      <vt:lpstr>Tags!ITEM37_3Q16</vt:lpstr>
      <vt:lpstr>ITEM37_3Q16</vt:lpstr>
      <vt:lpstr>Tags!ITEM37_3Q17</vt:lpstr>
      <vt:lpstr>ITEM37_3Q17</vt:lpstr>
      <vt:lpstr>Tags!ITEM37_3Q18</vt:lpstr>
      <vt:lpstr>ITEM37_3Q18</vt:lpstr>
      <vt:lpstr>Tags!ITEM37_3Q19</vt:lpstr>
      <vt:lpstr>ITEM37_3Q19</vt:lpstr>
      <vt:lpstr>Tags!ITEM37_3Q20</vt:lpstr>
      <vt:lpstr>ITEM37_3Q20</vt:lpstr>
      <vt:lpstr>ITEM37_3Q21</vt:lpstr>
      <vt:lpstr>ITEM37_3Q22</vt:lpstr>
      <vt:lpstr>ITEM37_3Q23</vt:lpstr>
      <vt:lpstr>ITEM37_3Q24</vt:lpstr>
      <vt:lpstr>Tags!ITEM37_4Q00</vt:lpstr>
      <vt:lpstr>ITEM37_4Q00</vt:lpstr>
      <vt:lpstr>Tags!ITEM37_4Q01</vt:lpstr>
      <vt:lpstr>ITEM37_4Q01</vt:lpstr>
      <vt:lpstr>Tags!ITEM37_4Q02</vt:lpstr>
      <vt:lpstr>ITEM37_4Q02</vt:lpstr>
      <vt:lpstr>Tags!ITEM37_4Q03</vt:lpstr>
      <vt:lpstr>ITEM37_4Q03</vt:lpstr>
      <vt:lpstr>Tags!ITEM37_4Q04</vt:lpstr>
      <vt:lpstr>ITEM37_4Q04</vt:lpstr>
      <vt:lpstr>Tags!ITEM37_4Q05</vt:lpstr>
      <vt:lpstr>ITEM37_4Q05</vt:lpstr>
      <vt:lpstr>Tags!ITEM37_4Q06</vt:lpstr>
      <vt:lpstr>ITEM37_4Q06</vt:lpstr>
      <vt:lpstr>Tags!ITEM37_4Q07</vt:lpstr>
      <vt:lpstr>ITEM37_4Q07</vt:lpstr>
      <vt:lpstr>Tags!ITEM37_4Q08</vt:lpstr>
      <vt:lpstr>ITEM37_4Q08</vt:lpstr>
      <vt:lpstr>Tags!ITEM37_4Q09</vt:lpstr>
      <vt:lpstr>ITEM37_4Q09</vt:lpstr>
      <vt:lpstr>Tags!ITEM37_4Q10</vt:lpstr>
      <vt:lpstr>ITEM37_4Q10</vt:lpstr>
      <vt:lpstr>Tags!ITEM37_4Q11</vt:lpstr>
      <vt:lpstr>ITEM37_4Q11</vt:lpstr>
      <vt:lpstr>Tags!ITEM37_4Q12</vt:lpstr>
      <vt:lpstr>ITEM37_4Q12</vt:lpstr>
      <vt:lpstr>Tags!ITEM37_4Q13</vt:lpstr>
      <vt:lpstr>ITEM37_4Q13</vt:lpstr>
      <vt:lpstr>Tags!ITEM37_4Q14</vt:lpstr>
      <vt:lpstr>ITEM37_4Q14</vt:lpstr>
      <vt:lpstr>Tags!ITEM37_4Q15</vt:lpstr>
      <vt:lpstr>ITEM37_4Q15</vt:lpstr>
      <vt:lpstr>Tags!ITEM37_4Q16</vt:lpstr>
      <vt:lpstr>ITEM37_4Q16</vt:lpstr>
      <vt:lpstr>Tags!ITEM37_4Q17</vt:lpstr>
      <vt:lpstr>ITEM37_4Q17</vt:lpstr>
      <vt:lpstr>Tags!ITEM37_4Q18</vt:lpstr>
      <vt:lpstr>ITEM37_4Q18</vt:lpstr>
      <vt:lpstr>Tags!ITEM37_4Q19</vt:lpstr>
      <vt:lpstr>ITEM37_4Q19</vt:lpstr>
      <vt:lpstr>Tags!ITEM37_4Q20</vt:lpstr>
      <vt:lpstr>ITEM37_4Q20</vt:lpstr>
      <vt:lpstr>ITEM37_4Q21</vt:lpstr>
      <vt:lpstr>ITEM37_4Q22</vt:lpstr>
      <vt:lpstr>ITEM37_4Q23</vt:lpstr>
      <vt:lpstr>ITEM37_4Q24</vt:lpstr>
      <vt:lpstr>ITEM38_1995</vt:lpstr>
      <vt:lpstr>ITEM38_1996</vt:lpstr>
      <vt:lpstr>ITEM38_1997</vt:lpstr>
      <vt:lpstr>ITEM38_1998</vt:lpstr>
      <vt:lpstr>ITEM38_1999</vt:lpstr>
      <vt:lpstr>Tags!ITEM38_1Q00</vt:lpstr>
      <vt:lpstr>ITEM38_1Q00</vt:lpstr>
      <vt:lpstr>Tags!ITEM38_1Q01</vt:lpstr>
      <vt:lpstr>ITEM38_1Q01</vt:lpstr>
      <vt:lpstr>Tags!ITEM38_1Q02</vt:lpstr>
      <vt:lpstr>ITEM38_1Q02</vt:lpstr>
      <vt:lpstr>Tags!ITEM38_1Q03</vt:lpstr>
      <vt:lpstr>ITEM38_1Q03</vt:lpstr>
      <vt:lpstr>Tags!ITEM38_1Q04</vt:lpstr>
      <vt:lpstr>ITEM38_1Q04</vt:lpstr>
      <vt:lpstr>Tags!ITEM38_1Q05</vt:lpstr>
      <vt:lpstr>ITEM38_1Q05</vt:lpstr>
      <vt:lpstr>Tags!ITEM38_1Q06</vt:lpstr>
      <vt:lpstr>ITEM38_1Q06</vt:lpstr>
      <vt:lpstr>Tags!ITEM38_1Q07</vt:lpstr>
      <vt:lpstr>ITEM38_1Q07</vt:lpstr>
      <vt:lpstr>Tags!ITEM38_1Q08</vt:lpstr>
      <vt:lpstr>ITEM38_1Q08</vt:lpstr>
      <vt:lpstr>Tags!ITEM38_1Q09</vt:lpstr>
      <vt:lpstr>ITEM38_1Q09</vt:lpstr>
      <vt:lpstr>Tags!ITEM38_1Q10</vt:lpstr>
      <vt:lpstr>ITEM38_1Q10</vt:lpstr>
      <vt:lpstr>Tags!ITEM38_1Q11</vt:lpstr>
      <vt:lpstr>ITEM38_1Q11</vt:lpstr>
      <vt:lpstr>Tags!ITEM38_1Q12</vt:lpstr>
      <vt:lpstr>ITEM38_1Q12</vt:lpstr>
      <vt:lpstr>Tags!ITEM38_1Q13</vt:lpstr>
      <vt:lpstr>ITEM38_1Q13</vt:lpstr>
      <vt:lpstr>Tags!ITEM38_1Q14</vt:lpstr>
      <vt:lpstr>ITEM38_1Q14</vt:lpstr>
      <vt:lpstr>Tags!ITEM38_1Q15</vt:lpstr>
      <vt:lpstr>ITEM38_1Q15</vt:lpstr>
      <vt:lpstr>Tags!ITEM38_1Q16</vt:lpstr>
      <vt:lpstr>ITEM38_1Q16</vt:lpstr>
      <vt:lpstr>Tags!ITEM38_1Q17</vt:lpstr>
      <vt:lpstr>ITEM38_1Q17</vt:lpstr>
      <vt:lpstr>Tags!ITEM38_1Q18</vt:lpstr>
      <vt:lpstr>ITEM38_1Q18</vt:lpstr>
      <vt:lpstr>Tags!ITEM38_1Q19</vt:lpstr>
      <vt:lpstr>ITEM38_1Q19</vt:lpstr>
      <vt:lpstr>Tags!ITEM38_1Q20</vt:lpstr>
      <vt:lpstr>ITEM38_1Q20</vt:lpstr>
      <vt:lpstr>ITEM38_1Q21</vt:lpstr>
      <vt:lpstr>ITEM38_1Q22</vt:lpstr>
      <vt:lpstr>ITEM38_1Q23</vt:lpstr>
      <vt:lpstr>ITEM38_1Q24</vt:lpstr>
      <vt:lpstr>Tags!ITEM38_2000</vt:lpstr>
      <vt:lpstr>ITEM38_2000</vt:lpstr>
      <vt:lpstr>Tags!ITEM38_2001</vt:lpstr>
      <vt:lpstr>ITEM38_2001</vt:lpstr>
      <vt:lpstr>Tags!ITEM38_2002</vt:lpstr>
      <vt:lpstr>ITEM38_2002</vt:lpstr>
      <vt:lpstr>Tags!ITEM38_2003</vt:lpstr>
      <vt:lpstr>ITEM38_2003</vt:lpstr>
      <vt:lpstr>Tags!ITEM38_2004</vt:lpstr>
      <vt:lpstr>ITEM38_2004</vt:lpstr>
      <vt:lpstr>Tags!ITEM38_2005</vt:lpstr>
      <vt:lpstr>ITEM38_2005</vt:lpstr>
      <vt:lpstr>Tags!ITEM38_2006</vt:lpstr>
      <vt:lpstr>ITEM38_2006</vt:lpstr>
      <vt:lpstr>Tags!ITEM38_2007</vt:lpstr>
      <vt:lpstr>ITEM38_2007</vt:lpstr>
      <vt:lpstr>Tags!ITEM38_2008</vt:lpstr>
      <vt:lpstr>ITEM38_2008</vt:lpstr>
      <vt:lpstr>Tags!ITEM38_2009</vt:lpstr>
      <vt:lpstr>ITEM38_2009</vt:lpstr>
      <vt:lpstr>Tags!ITEM38_2010</vt:lpstr>
      <vt:lpstr>ITEM38_2010</vt:lpstr>
      <vt:lpstr>Tags!ITEM38_2011</vt:lpstr>
      <vt:lpstr>ITEM38_2011</vt:lpstr>
      <vt:lpstr>Tags!ITEM38_2012</vt:lpstr>
      <vt:lpstr>ITEM38_2012</vt:lpstr>
      <vt:lpstr>Tags!ITEM38_2013</vt:lpstr>
      <vt:lpstr>ITEM38_2013</vt:lpstr>
      <vt:lpstr>Tags!ITEM38_2014</vt:lpstr>
      <vt:lpstr>ITEM38_2014</vt:lpstr>
      <vt:lpstr>ITEM38_2015</vt:lpstr>
      <vt:lpstr>Tags!ITEM38_2016</vt:lpstr>
      <vt:lpstr>ITEM38_2016</vt:lpstr>
      <vt:lpstr>Tags!ITEM38_2017</vt:lpstr>
      <vt:lpstr>ITEM38_2017</vt:lpstr>
      <vt:lpstr>Tags!ITEM38_2018</vt:lpstr>
      <vt:lpstr>ITEM38_2018</vt:lpstr>
      <vt:lpstr>Tags!ITEM38_2019</vt:lpstr>
      <vt:lpstr>ITEM38_2019</vt:lpstr>
      <vt:lpstr>Tags!ITEM38_2020</vt:lpstr>
      <vt:lpstr>ITEM38_2020</vt:lpstr>
      <vt:lpstr>ITEM38_2021</vt:lpstr>
      <vt:lpstr>ITEM38_2022</vt:lpstr>
      <vt:lpstr>ITEM38_2023</vt:lpstr>
      <vt:lpstr>ITEM38_2024</vt:lpstr>
      <vt:lpstr>Tags!ITEM38_2Q00</vt:lpstr>
      <vt:lpstr>ITEM38_2Q00</vt:lpstr>
      <vt:lpstr>Tags!ITEM38_2Q01</vt:lpstr>
      <vt:lpstr>ITEM38_2Q01</vt:lpstr>
      <vt:lpstr>Tags!ITEM38_2Q02</vt:lpstr>
      <vt:lpstr>ITEM38_2Q02</vt:lpstr>
      <vt:lpstr>Tags!ITEM38_2Q03</vt:lpstr>
      <vt:lpstr>ITEM38_2Q03</vt:lpstr>
      <vt:lpstr>Tags!ITEM38_2Q04</vt:lpstr>
      <vt:lpstr>ITEM38_2Q04</vt:lpstr>
      <vt:lpstr>Tags!ITEM38_2Q05</vt:lpstr>
      <vt:lpstr>ITEM38_2Q05</vt:lpstr>
      <vt:lpstr>Tags!ITEM38_2Q06</vt:lpstr>
      <vt:lpstr>ITEM38_2Q06</vt:lpstr>
      <vt:lpstr>Tags!ITEM38_2Q07</vt:lpstr>
      <vt:lpstr>ITEM38_2Q07</vt:lpstr>
      <vt:lpstr>Tags!ITEM38_2Q08</vt:lpstr>
      <vt:lpstr>ITEM38_2Q08</vt:lpstr>
      <vt:lpstr>Tags!ITEM38_2Q09</vt:lpstr>
      <vt:lpstr>ITEM38_2Q09</vt:lpstr>
      <vt:lpstr>Tags!ITEM38_2Q10</vt:lpstr>
      <vt:lpstr>ITEM38_2Q10</vt:lpstr>
      <vt:lpstr>Tags!ITEM38_2Q11</vt:lpstr>
      <vt:lpstr>ITEM38_2Q11</vt:lpstr>
      <vt:lpstr>Tags!ITEM38_2Q12</vt:lpstr>
      <vt:lpstr>ITEM38_2Q12</vt:lpstr>
      <vt:lpstr>Tags!ITEM38_2Q13</vt:lpstr>
      <vt:lpstr>ITEM38_2Q13</vt:lpstr>
      <vt:lpstr>Tags!ITEM38_2Q14</vt:lpstr>
      <vt:lpstr>ITEM38_2Q14</vt:lpstr>
      <vt:lpstr>Tags!ITEM38_2Q15</vt:lpstr>
      <vt:lpstr>ITEM38_2Q15</vt:lpstr>
      <vt:lpstr>Tags!ITEM38_2Q16</vt:lpstr>
      <vt:lpstr>ITEM38_2Q16</vt:lpstr>
      <vt:lpstr>Tags!ITEM38_2Q17</vt:lpstr>
      <vt:lpstr>ITEM38_2Q17</vt:lpstr>
      <vt:lpstr>Tags!ITEM38_2Q18</vt:lpstr>
      <vt:lpstr>ITEM38_2Q18</vt:lpstr>
      <vt:lpstr>Tags!ITEM38_2Q19</vt:lpstr>
      <vt:lpstr>ITEM38_2Q19</vt:lpstr>
      <vt:lpstr>Tags!ITEM38_2Q20</vt:lpstr>
      <vt:lpstr>ITEM38_2Q20</vt:lpstr>
      <vt:lpstr>ITEM38_2Q21</vt:lpstr>
      <vt:lpstr>ITEM38_2Q22</vt:lpstr>
      <vt:lpstr>ITEM38_2Q23</vt:lpstr>
      <vt:lpstr>ITEM38_2Q24</vt:lpstr>
      <vt:lpstr>Tags!ITEM38_3Q00</vt:lpstr>
      <vt:lpstr>ITEM38_3Q00</vt:lpstr>
      <vt:lpstr>Tags!ITEM38_3Q01</vt:lpstr>
      <vt:lpstr>ITEM38_3Q01</vt:lpstr>
      <vt:lpstr>Tags!ITEM38_3Q02</vt:lpstr>
      <vt:lpstr>ITEM38_3Q02</vt:lpstr>
      <vt:lpstr>Tags!ITEM38_3Q03</vt:lpstr>
      <vt:lpstr>ITEM38_3Q03</vt:lpstr>
      <vt:lpstr>Tags!ITEM38_3Q04</vt:lpstr>
      <vt:lpstr>ITEM38_3Q04</vt:lpstr>
      <vt:lpstr>Tags!ITEM38_3Q05</vt:lpstr>
      <vt:lpstr>ITEM38_3Q05</vt:lpstr>
      <vt:lpstr>Tags!ITEM38_3Q06</vt:lpstr>
      <vt:lpstr>ITEM38_3Q06</vt:lpstr>
      <vt:lpstr>Tags!ITEM38_3Q07</vt:lpstr>
      <vt:lpstr>ITEM38_3Q07</vt:lpstr>
      <vt:lpstr>Tags!ITEM38_3Q08</vt:lpstr>
      <vt:lpstr>ITEM38_3Q08</vt:lpstr>
      <vt:lpstr>Tags!ITEM38_3Q09</vt:lpstr>
      <vt:lpstr>ITEM38_3Q09</vt:lpstr>
      <vt:lpstr>Tags!ITEM38_3Q10</vt:lpstr>
      <vt:lpstr>ITEM38_3Q10</vt:lpstr>
      <vt:lpstr>Tags!ITEM38_3Q11</vt:lpstr>
      <vt:lpstr>ITEM38_3Q11</vt:lpstr>
      <vt:lpstr>Tags!ITEM38_3Q12</vt:lpstr>
      <vt:lpstr>ITEM38_3Q12</vt:lpstr>
      <vt:lpstr>Tags!ITEM38_3Q13</vt:lpstr>
      <vt:lpstr>ITEM38_3Q13</vt:lpstr>
      <vt:lpstr>Tags!ITEM38_3Q14</vt:lpstr>
      <vt:lpstr>ITEM38_3Q14</vt:lpstr>
      <vt:lpstr>Tags!ITEM38_3Q15</vt:lpstr>
      <vt:lpstr>ITEM38_3Q15</vt:lpstr>
      <vt:lpstr>Tags!ITEM38_3Q16</vt:lpstr>
      <vt:lpstr>ITEM38_3Q16</vt:lpstr>
      <vt:lpstr>Tags!ITEM38_3Q17</vt:lpstr>
      <vt:lpstr>ITEM38_3Q17</vt:lpstr>
      <vt:lpstr>Tags!ITEM38_3Q18</vt:lpstr>
      <vt:lpstr>ITEM38_3Q18</vt:lpstr>
      <vt:lpstr>Tags!ITEM38_3Q19</vt:lpstr>
      <vt:lpstr>ITEM38_3Q19</vt:lpstr>
      <vt:lpstr>Tags!ITEM38_3Q20</vt:lpstr>
      <vt:lpstr>ITEM38_3Q20</vt:lpstr>
      <vt:lpstr>ITEM38_3Q21</vt:lpstr>
      <vt:lpstr>ITEM38_3Q22</vt:lpstr>
      <vt:lpstr>ITEM38_3Q23</vt:lpstr>
      <vt:lpstr>ITEM38_3Q24</vt:lpstr>
      <vt:lpstr>Tags!ITEM38_4Q00</vt:lpstr>
      <vt:lpstr>ITEM38_4Q00</vt:lpstr>
      <vt:lpstr>Tags!ITEM38_4Q01</vt:lpstr>
      <vt:lpstr>ITEM38_4Q01</vt:lpstr>
      <vt:lpstr>Tags!ITEM38_4Q02</vt:lpstr>
      <vt:lpstr>ITEM38_4Q02</vt:lpstr>
      <vt:lpstr>Tags!ITEM38_4Q03</vt:lpstr>
      <vt:lpstr>ITEM38_4Q03</vt:lpstr>
      <vt:lpstr>Tags!ITEM38_4Q04</vt:lpstr>
      <vt:lpstr>ITEM38_4Q04</vt:lpstr>
      <vt:lpstr>Tags!ITEM38_4Q05</vt:lpstr>
      <vt:lpstr>ITEM38_4Q05</vt:lpstr>
      <vt:lpstr>Tags!ITEM38_4Q06</vt:lpstr>
      <vt:lpstr>ITEM38_4Q06</vt:lpstr>
      <vt:lpstr>Tags!ITEM38_4Q07</vt:lpstr>
      <vt:lpstr>ITEM38_4Q07</vt:lpstr>
      <vt:lpstr>Tags!ITEM38_4Q08</vt:lpstr>
      <vt:lpstr>ITEM38_4Q08</vt:lpstr>
      <vt:lpstr>Tags!ITEM38_4Q09</vt:lpstr>
      <vt:lpstr>ITEM38_4Q09</vt:lpstr>
      <vt:lpstr>Tags!ITEM38_4Q10</vt:lpstr>
      <vt:lpstr>ITEM38_4Q10</vt:lpstr>
      <vt:lpstr>Tags!ITEM38_4Q11</vt:lpstr>
      <vt:lpstr>ITEM38_4Q11</vt:lpstr>
      <vt:lpstr>Tags!ITEM38_4Q12</vt:lpstr>
      <vt:lpstr>ITEM38_4Q12</vt:lpstr>
      <vt:lpstr>Tags!ITEM38_4Q13</vt:lpstr>
      <vt:lpstr>ITEM38_4Q13</vt:lpstr>
      <vt:lpstr>Tags!ITEM38_4Q14</vt:lpstr>
      <vt:lpstr>ITEM38_4Q14</vt:lpstr>
      <vt:lpstr>Tags!ITEM38_4Q15</vt:lpstr>
      <vt:lpstr>ITEM38_4Q15</vt:lpstr>
      <vt:lpstr>Tags!ITEM38_4Q16</vt:lpstr>
      <vt:lpstr>ITEM38_4Q16</vt:lpstr>
      <vt:lpstr>Tags!ITEM38_4Q17</vt:lpstr>
      <vt:lpstr>ITEM38_4Q17</vt:lpstr>
      <vt:lpstr>Tags!ITEM38_4Q18</vt:lpstr>
      <vt:lpstr>ITEM38_4Q18</vt:lpstr>
      <vt:lpstr>Tags!ITEM38_4Q19</vt:lpstr>
      <vt:lpstr>ITEM38_4Q19</vt:lpstr>
      <vt:lpstr>Tags!ITEM38_4Q20</vt:lpstr>
      <vt:lpstr>ITEM38_4Q20</vt:lpstr>
      <vt:lpstr>ITEM38_4Q21</vt:lpstr>
      <vt:lpstr>ITEM38_4Q22</vt:lpstr>
      <vt:lpstr>ITEM38_4Q23</vt:lpstr>
      <vt:lpstr>ITEM38_4Q24</vt:lpstr>
      <vt:lpstr>ITEM39_1995</vt:lpstr>
      <vt:lpstr>ITEM39_1996</vt:lpstr>
      <vt:lpstr>ITEM39_1997</vt:lpstr>
      <vt:lpstr>ITEM39_1998</vt:lpstr>
      <vt:lpstr>ITEM39_1999</vt:lpstr>
      <vt:lpstr>Tags!ITEM39_1Q00</vt:lpstr>
      <vt:lpstr>ITEM39_1Q00</vt:lpstr>
      <vt:lpstr>Tags!ITEM39_1Q01</vt:lpstr>
      <vt:lpstr>ITEM39_1Q01</vt:lpstr>
      <vt:lpstr>Tags!ITEM39_1Q02</vt:lpstr>
      <vt:lpstr>ITEM39_1Q02</vt:lpstr>
      <vt:lpstr>Tags!ITEM39_1Q03</vt:lpstr>
      <vt:lpstr>ITEM39_1Q03</vt:lpstr>
      <vt:lpstr>Tags!ITEM39_1Q04</vt:lpstr>
      <vt:lpstr>ITEM39_1Q04</vt:lpstr>
      <vt:lpstr>Tags!ITEM39_1Q05</vt:lpstr>
      <vt:lpstr>ITEM39_1Q05</vt:lpstr>
      <vt:lpstr>Tags!ITEM39_1Q06</vt:lpstr>
      <vt:lpstr>ITEM39_1Q06</vt:lpstr>
      <vt:lpstr>Tags!ITEM39_1Q07</vt:lpstr>
      <vt:lpstr>ITEM39_1Q07</vt:lpstr>
      <vt:lpstr>Tags!ITEM39_1Q08</vt:lpstr>
      <vt:lpstr>ITEM39_1Q08</vt:lpstr>
      <vt:lpstr>Tags!ITEM39_1Q09</vt:lpstr>
      <vt:lpstr>ITEM39_1Q09</vt:lpstr>
      <vt:lpstr>Tags!ITEM39_1Q10</vt:lpstr>
      <vt:lpstr>ITEM39_1Q10</vt:lpstr>
      <vt:lpstr>Tags!ITEM39_1Q11</vt:lpstr>
      <vt:lpstr>ITEM39_1Q11</vt:lpstr>
      <vt:lpstr>Tags!ITEM39_1Q12</vt:lpstr>
      <vt:lpstr>ITEM39_1Q12</vt:lpstr>
      <vt:lpstr>Tags!ITEM39_1Q13</vt:lpstr>
      <vt:lpstr>ITEM39_1Q13</vt:lpstr>
      <vt:lpstr>Tags!ITEM39_1Q14</vt:lpstr>
      <vt:lpstr>ITEM39_1Q14</vt:lpstr>
      <vt:lpstr>Tags!ITEM39_1Q15</vt:lpstr>
      <vt:lpstr>ITEM39_1Q15</vt:lpstr>
      <vt:lpstr>Tags!ITEM39_1Q16</vt:lpstr>
      <vt:lpstr>ITEM39_1Q16</vt:lpstr>
      <vt:lpstr>Tags!ITEM39_1Q17</vt:lpstr>
      <vt:lpstr>ITEM39_1Q17</vt:lpstr>
      <vt:lpstr>Tags!ITEM39_1Q18</vt:lpstr>
      <vt:lpstr>ITEM39_1Q18</vt:lpstr>
      <vt:lpstr>Tags!ITEM39_1Q19</vt:lpstr>
      <vt:lpstr>ITEM39_1Q19</vt:lpstr>
      <vt:lpstr>Tags!ITEM39_1Q20</vt:lpstr>
      <vt:lpstr>ITEM39_1Q20</vt:lpstr>
      <vt:lpstr>ITEM39_1Q21</vt:lpstr>
      <vt:lpstr>ITEM39_1Q22</vt:lpstr>
      <vt:lpstr>ITEM39_1Q23</vt:lpstr>
      <vt:lpstr>ITEM39_1Q24</vt:lpstr>
      <vt:lpstr>Tags!ITEM39_2000</vt:lpstr>
      <vt:lpstr>ITEM39_2000</vt:lpstr>
      <vt:lpstr>Tags!ITEM39_2001</vt:lpstr>
      <vt:lpstr>ITEM39_2001</vt:lpstr>
      <vt:lpstr>Tags!ITEM39_2002</vt:lpstr>
      <vt:lpstr>ITEM39_2002</vt:lpstr>
      <vt:lpstr>Tags!ITEM39_2003</vt:lpstr>
      <vt:lpstr>ITEM39_2003</vt:lpstr>
      <vt:lpstr>Tags!ITEM39_2004</vt:lpstr>
      <vt:lpstr>ITEM39_2004</vt:lpstr>
      <vt:lpstr>Tags!ITEM39_2005</vt:lpstr>
      <vt:lpstr>ITEM39_2005</vt:lpstr>
      <vt:lpstr>Tags!ITEM39_2006</vt:lpstr>
      <vt:lpstr>ITEM39_2006</vt:lpstr>
      <vt:lpstr>Tags!ITEM39_2007</vt:lpstr>
      <vt:lpstr>ITEM39_2007</vt:lpstr>
      <vt:lpstr>Tags!ITEM39_2008</vt:lpstr>
      <vt:lpstr>ITEM39_2008</vt:lpstr>
      <vt:lpstr>Tags!ITEM39_2009</vt:lpstr>
      <vt:lpstr>ITEM39_2009</vt:lpstr>
      <vt:lpstr>Tags!ITEM39_2010</vt:lpstr>
      <vt:lpstr>ITEM39_2010</vt:lpstr>
      <vt:lpstr>Tags!ITEM39_2011</vt:lpstr>
      <vt:lpstr>ITEM39_2011</vt:lpstr>
      <vt:lpstr>Tags!ITEM39_2012</vt:lpstr>
      <vt:lpstr>ITEM39_2012</vt:lpstr>
      <vt:lpstr>Tags!ITEM39_2013</vt:lpstr>
      <vt:lpstr>ITEM39_2013</vt:lpstr>
      <vt:lpstr>Tags!ITEM39_2014</vt:lpstr>
      <vt:lpstr>ITEM39_2014</vt:lpstr>
      <vt:lpstr>ITEM39_2015</vt:lpstr>
      <vt:lpstr>Tags!ITEM39_2016</vt:lpstr>
      <vt:lpstr>ITEM39_2016</vt:lpstr>
      <vt:lpstr>Tags!ITEM39_2017</vt:lpstr>
      <vt:lpstr>ITEM39_2017</vt:lpstr>
      <vt:lpstr>Tags!ITEM39_2018</vt:lpstr>
      <vt:lpstr>ITEM39_2018</vt:lpstr>
      <vt:lpstr>Tags!ITEM39_2019</vt:lpstr>
      <vt:lpstr>ITEM39_2019</vt:lpstr>
      <vt:lpstr>Tags!ITEM39_2020</vt:lpstr>
      <vt:lpstr>ITEM39_2020</vt:lpstr>
      <vt:lpstr>ITEM39_2021</vt:lpstr>
      <vt:lpstr>ITEM39_2022</vt:lpstr>
      <vt:lpstr>ITEM39_2023</vt:lpstr>
      <vt:lpstr>ITEM39_2024</vt:lpstr>
      <vt:lpstr>Tags!ITEM39_2Q00</vt:lpstr>
      <vt:lpstr>ITEM39_2Q00</vt:lpstr>
      <vt:lpstr>Tags!ITEM39_2Q01</vt:lpstr>
      <vt:lpstr>ITEM39_2Q01</vt:lpstr>
      <vt:lpstr>Tags!ITEM39_2Q02</vt:lpstr>
      <vt:lpstr>ITEM39_2Q02</vt:lpstr>
      <vt:lpstr>Tags!ITEM39_2Q03</vt:lpstr>
      <vt:lpstr>ITEM39_2Q03</vt:lpstr>
      <vt:lpstr>Tags!ITEM39_2Q04</vt:lpstr>
      <vt:lpstr>ITEM39_2Q04</vt:lpstr>
      <vt:lpstr>Tags!ITEM39_2Q05</vt:lpstr>
      <vt:lpstr>ITEM39_2Q05</vt:lpstr>
      <vt:lpstr>Tags!ITEM39_2Q06</vt:lpstr>
      <vt:lpstr>ITEM39_2Q06</vt:lpstr>
      <vt:lpstr>Tags!ITEM39_2Q07</vt:lpstr>
      <vt:lpstr>ITEM39_2Q07</vt:lpstr>
      <vt:lpstr>Tags!ITEM39_2Q08</vt:lpstr>
      <vt:lpstr>ITEM39_2Q08</vt:lpstr>
      <vt:lpstr>Tags!ITEM39_2Q09</vt:lpstr>
      <vt:lpstr>ITEM39_2Q09</vt:lpstr>
      <vt:lpstr>Tags!ITEM39_2Q10</vt:lpstr>
      <vt:lpstr>ITEM39_2Q10</vt:lpstr>
      <vt:lpstr>Tags!ITEM39_2Q11</vt:lpstr>
      <vt:lpstr>ITEM39_2Q11</vt:lpstr>
      <vt:lpstr>Tags!ITEM39_2Q12</vt:lpstr>
      <vt:lpstr>ITEM39_2Q12</vt:lpstr>
      <vt:lpstr>Tags!ITEM39_2Q13</vt:lpstr>
      <vt:lpstr>ITEM39_2Q13</vt:lpstr>
      <vt:lpstr>Tags!ITEM39_2Q14</vt:lpstr>
      <vt:lpstr>ITEM39_2Q14</vt:lpstr>
      <vt:lpstr>Tags!ITEM39_2Q15</vt:lpstr>
      <vt:lpstr>ITEM39_2Q15</vt:lpstr>
      <vt:lpstr>Tags!ITEM39_2Q16</vt:lpstr>
      <vt:lpstr>ITEM39_2Q16</vt:lpstr>
      <vt:lpstr>Tags!ITEM39_2Q17</vt:lpstr>
      <vt:lpstr>ITEM39_2Q17</vt:lpstr>
      <vt:lpstr>Tags!ITEM39_2Q18</vt:lpstr>
      <vt:lpstr>ITEM39_2Q18</vt:lpstr>
      <vt:lpstr>Tags!ITEM39_2Q19</vt:lpstr>
      <vt:lpstr>ITEM39_2Q19</vt:lpstr>
      <vt:lpstr>Tags!ITEM39_2Q20</vt:lpstr>
      <vt:lpstr>ITEM39_2Q20</vt:lpstr>
      <vt:lpstr>ITEM39_2Q21</vt:lpstr>
      <vt:lpstr>ITEM39_2Q22</vt:lpstr>
      <vt:lpstr>ITEM39_2Q23</vt:lpstr>
      <vt:lpstr>ITEM39_2Q24</vt:lpstr>
      <vt:lpstr>Tags!ITEM39_3Q00</vt:lpstr>
      <vt:lpstr>ITEM39_3Q00</vt:lpstr>
      <vt:lpstr>Tags!ITEM39_3Q01</vt:lpstr>
      <vt:lpstr>ITEM39_3Q01</vt:lpstr>
      <vt:lpstr>Tags!ITEM39_3Q02</vt:lpstr>
      <vt:lpstr>ITEM39_3Q02</vt:lpstr>
      <vt:lpstr>Tags!ITEM39_3Q03</vt:lpstr>
      <vt:lpstr>ITEM39_3Q03</vt:lpstr>
      <vt:lpstr>Tags!ITEM39_3Q04</vt:lpstr>
      <vt:lpstr>ITEM39_3Q04</vt:lpstr>
      <vt:lpstr>Tags!ITEM39_3Q05</vt:lpstr>
      <vt:lpstr>ITEM39_3Q05</vt:lpstr>
      <vt:lpstr>Tags!ITEM39_3Q06</vt:lpstr>
      <vt:lpstr>ITEM39_3Q06</vt:lpstr>
      <vt:lpstr>Tags!ITEM39_3Q07</vt:lpstr>
      <vt:lpstr>ITEM39_3Q07</vt:lpstr>
      <vt:lpstr>Tags!ITEM39_3Q08</vt:lpstr>
      <vt:lpstr>ITEM39_3Q08</vt:lpstr>
      <vt:lpstr>Tags!ITEM39_3Q09</vt:lpstr>
      <vt:lpstr>ITEM39_3Q09</vt:lpstr>
      <vt:lpstr>Tags!ITEM39_3Q10</vt:lpstr>
      <vt:lpstr>ITEM39_3Q10</vt:lpstr>
      <vt:lpstr>Tags!ITEM39_3Q11</vt:lpstr>
      <vt:lpstr>ITEM39_3Q11</vt:lpstr>
      <vt:lpstr>Tags!ITEM39_3Q12</vt:lpstr>
      <vt:lpstr>ITEM39_3Q12</vt:lpstr>
      <vt:lpstr>Tags!ITEM39_3Q13</vt:lpstr>
      <vt:lpstr>ITEM39_3Q13</vt:lpstr>
      <vt:lpstr>Tags!ITEM39_3Q14</vt:lpstr>
      <vt:lpstr>ITEM39_3Q14</vt:lpstr>
      <vt:lpstr>Tags!ITEM39_3Q15</vt:lpstr>
      <vt:lpstr>ITEM39_3Q15</vt:lpstr>
      <vt:lpstr>Tags!ITEM39_3Q16</vt:lpstr>
      <vt:lpstr>ITEM39_3Q16</vt:lpstr>
      <vt:lpstr>Tags!ITEM39_3Q17</vt:lpstr>
      <vt:lpstr>ITEM39_3Q17</vt:lpstr>
      <vt:lpstr>Tags!ITEM39_3Q18</vt:lpstr>
      <vt:lpstr>ITEM39_3Q18</vt:lpstr>
      <vt:lpstr>Tags!ITEM39_3Q19</vt:lpstr>
      <vt:lpstr>ITEM39_3Q19</vt:lpstr>
      <vt:lpstr>Tags!ITEM39_3Q20</vt:lpstr>
      <vt:lpstr>ITEM39_3Q20</vt:lpstr>
      <vt:lpstr>ITEM39_3Q21</vt:lpstr>
      <vt:lpstr>ITEM39_3Q22</vt:lpstr>
      <vt:lpstr>ITEM39_3Q23</vt:lpstr>
      <vt:lpstr>ITEM39_3Q24</vt:lpstr>
      <vt:lpstr>Tags!ITEM39_4Q00</vt:lpstr>
      <vt:lpstr>ITEM39_4Q00</vt:lpstr>
      <vt:lpstr>Tags!ITEM39_4Q01</vt:lpstr>
      <vt:lpstr>ITEM39_4Q01</vt:lpstr>
      <vt:lpstr>Tags!ITEM39_4Q02</vt:lpstr>
      <vt:lpstr>ITEM39_4Q02</vt:lpstr>
      <vt:lpstr>Tags!ITEM39_4Q03</vt:lpstr>
      <vt:lpstr>ITEM39_4Q03</vt:lpstr>
      <vt:lpstr>Tags!ITEM39_4Q04</vt:lpstr>
      <vt:lpstr>ITEM39_4Q04</vt:lpstr>
      <vt:lpstr>Tags!ITEM39_4Q05</vt:lpstr>
      <vt:lpstr>ITEM39_4Q05</vt:lpstr>
      <vt:lpstr>Tags!ITEM39_4Q06</vt:lpstr>
      <vt:lpstr>ITEM39_4Q06</vt:lpstr>
      <vt:lpstr>Tags!ITEM39_4Q07</vt:lpstr>
      <vt:lpstr>ITEM39_4Q07</vt:lpstr>
      <vt:lpstr>Tags!ITEM39_4Q08</vt:lpstr>
      <vt:lpstr>ITEM39_4Q08</vt:lpstr>
      <vt:lpstr>Tags!ITEM39_4Q09</vt:lpstr>
      <vt:lpstr>ITEM39_4Q09</vt:lpstr>
      <vt:lpstr>Tags!ITEM39_4Q10</vt:lpstr>
      <vt:lpstr>ITEM39_4Q10</vt:lpstr>
      <vt:lpstr>Tags!ITEM39_4Q11</vt:lpstr>
      <vt:lpstr>ITEM39_4Q11</vt:lpstr>
      <vt:lpstr>Tags!ITEM39_4Q12</vt:lpstr>
      <vt:lpstr>ITEM39_4Q12</vt:lpstr>
      <vt:lpstr>Tags!ITEM39_4Q13</vt:lpstr>
      <vt:lpstr>ITEM39_4Q13</vt:lpstr>
      <vt:lpstr>Tags!ITEM39_4Q14</vt:lpstr>
      <vt:lpstr>ITEM39_4Q14</vt:lpstr>
      <vt:lpstr>Tags!ITEM39_4Q15</vt:lpstr>
      <vt:lpstr>ITEM39_4Q15</vt:lpstr>
      <vt:lpstr>Tags!ITEM39_4Q16</vt:lpstr>
      <vt:lpstr>ITEM39_4Q16</vt:lpstr>
      <vt:lpstr>Tags!ITEM39_4Q17</vt:lpstr>
      <vt:lpstr>ITEM39_4Q17</vt:lpstr>
      <vt:lpstr>Tags!ITEM39_4Q18</vt:lpstr>
      <vt:lpstr>ITEM39_4Q18</vt:lpstr>
      <vt:lpstr>Tags!ITEM39_4Q19</vt:lpstr>
      <vt:lpstr>ITEM39_4Q19</vt:lpstr>
      <vt:lpstr>Tags!ITEM39_4Q20</vt:lpstr>
      <vt:lpstr>ITEM39_4Q20</vt:lpstr>
      <vt:lpstr>ITEM39_4Q21</vt:lpstr>
      <vt:lpstr>ITEM39_4Q22</vt:lpstr>
      <vt:lpstr>ITEM39_4Q23</vt:lpstr>
      <vt:lpstr>ITEM39_4Q24</vt:lpstr>
      <vt:lpstr>ITEM4_1995</vt:lpstr>
      <vt:lpstr>ITEM4_1996</vt:lpstr>
      <vt:lpstr>ITEM4_1997</vt:lpstr>
      <vt:lpstr>ITEM4_1998</vt:lpstr>
      <vt:lpstr>ITEM4_1999</vt:lpstr>
      <vt:lpstr>Tags!ITEM4_1Q00</vt:lpstr>
      <vt:lpstr>ITEM4_1Q00</vt:lpstr>
      <vt:lpstr>Tags!ITEM4_1Q01</vt:lpstr>
      <vt:lpstr>ITEM4_1Q01</vt:lpstr>
      <vt:lpstr>Tags!ITEM4_1Q02</vt:lpstr>
      <vt:lpstr>ITEM4_1Q02</vt:lpstr>
      <vt:lpstr>Tags!ITEM4_1Q03</vt:lpstr>
      <vt:lpstr>ITEM4_1Q03</vt:lpstr>
      <vt:lpstr>Tags!ITEM4_1Q04</vt:lpstr>
      <vt:lpstr>ITEM4_1Q04</vt:lpstr>
      <vt:lpstr>Tags!ITEM4_1Q05</vt:lpstr>
      <vt:lpstr>ITEM4_1Q05</vt:lpstr>
      <vt:lpstr>Tags!ITEM4_1Q06</vt:lpstr>
      <vt:lpstr>ITEM4_1Q06</vt:lpstr>
      <vt:lpstr>Tags!ITEM4_1Q07</vt:lpstr>
      <vt:lpstr>ITEM4_1Q07</vt:lpstr>
      <vt:lpstr>Tags!ITEM4_1Q08</vt:lpstr>
      <vt:lpstr>ITEM4_1Q08</vt:lpstr>
      <vt:lpstr>Tags!ITEM4_1Q09</vt:lpstr>
      <vt:lpstr>ITEM4_1Q09</vt:lpstr>
      <vt:lpstr>Tags!ITEM4_1Q10</vt:lpstr>
      <vt:lpstr>ITEM4_1Q10</vt:lpstr>
      <vt:lpstr>Tags!ITEM4_1Q11</vt:lpstr>
      <vt:lpstr>ITEM4_1Q11</vt:lpstr>
      <vt:lpstr>Tags!ITEM4_1Q12</vt:lpstr>
      <vt:lpstr>ITEM4_1Q12</vt:lpstr>
      <vt:lpstr>Tags!ITEM4_1Q13</vt:lpstr>
      <vt:lpstr>ITEM4_1Q13</vt:lpstr>
      <vt:lpstr>Tags!ITEM4_1Q14</vt:lpstr>
      <vt:lpstr>ITEM4_1Q14</vt:lpstr>
      <vt:lpstr>Tags!ITEM4_1Q15</vt:lpstr>
      <vt:lpstr>ITEM4_1Q15</vt:lpstr>
      <vt:lpstr>Tags!ITEM4_1Q16</vt:lpstr>
      <vt:lpstr>ITEM4_1Q16</vt:lpstr>
      <vt:lpstr>Tags!ITEM4_1Q17</vt:lpstr>
      <vt:lpstr>ITEM4_1Q17</vt:lpstr>
      <vt:lpstr>Tags!ITEM4_1Q18</vt:lpstr>
      <vt:lpstr>ITEM4_1Q18</vt:lpstr>
      <vt:lpstr>Tags!ITEM4_1Q19</vt:lpstr>
      <vt:lpstr>ITEM4_1Q19</vt:lpstr>
      <vt:lpstr>Tags!ITEM4_1Q20</vt:lpstr>
      <vt:lpstr>ITEM4_1Q20</vt:lpstr>
      <vt:lpstr>ITEM4_1Q21</vt:lpstr>
      <vt:lpstr>ITEM4_1Q22</vt:lpstr>
      <vt:lpstr>ITEM4_1Q23</vt:lpstr>
      <vt:lpstr>ITEM4_1Q24</vt:lpstr>
      <vt:lpstr>Tags!ITEM4_2000</vt:lpstr>
      <vt:lpstr>ITEM4_2000</vt:lpstr>
      <vt:lpstr>Tags!ITEM4_2001</vt:lpstr>
      <vt:lpstr>ITEM4_2001</vt:lpstr>
      <vt:lpstr>Tags!ITEM4_2002</vt:lpstr>
      <vt:lpstr>ITEM4_2002</vt:lpstr>
      <vt:lpstr>Tags!ITEM4_2003</vt:lpstr>
      <vt:lpstr>ITEM4_2003</vt:lpstr>
      <vt:lpstr>Tags!ITEM4_2004</vt:lpstr>
      <vt:lpstr>ITEM4_2004</vt:lpstr>
      <vt:lpstr>Tags!ITEM4_2005</vt:lpstr>
      <vt:lpstr>ITEM4_2005</vt:lpstr>
      <vt:lpstr>Tags!ITEM4_2006</vt:lpstr>
      <vt:lpstr>ITEM4_2006</vt:lpstr>
      <vt:lpstr>Tags!ITEM4_2007</vt:lpstr>
      <vt:lpstr>ITEM4_2007</vt:lpstr>
      <vt:lpstr>Tags!ITEM4_2008</vt:lpstr>
      <vt:lpstr>ITEM4_2008</vt:lpstr>
      <vt:lpstr>Tags!ITEM4_2009</vt:lpstr>
      <vt:lpstr>ITEM4_2009</vt:lpstr>
      <vt:lpstr>Tags!ITEM4_2010</vt:lpstr>
      <vt:lpstr>ITEM4_2010</vt:lpstr>
      <vt:lpstr>Tags!ITEM4_2011</vt:lpstr>
      <vt:lpstr>ITEM4_2011</vt:lpstr>
      <vt:lpstr>Tags!ITEM4_2012</vt:lpstr>
      <vt:lpstr>ITEM4_2012</vt:lpstr>
      <vt:lpstr>Tags!ITEM4_2013</vt:lpstr>
      <vt:lpstr>ITEM4_2013</vt:lpstr>
      <vt:lpstr>Tags!ITEM4_2014</vt:lpstr>
      <vt:lpstr>ITEM4_2014</vt:lpstr>
      <vt:lpstr>ITEM4_2015</vt:lpstr>
      <vt:lpstr>Tags!ITEM4_2016</vt:lpstr>
      <vt:lpstr>ITEM4_2016</vt:lpstr>
      <vt:lpstr>Tags!ITEM4_2017</vt:lpstr>
      <vt:lpstr>ITEM4_2017</vt:lpstr>
      <vt:lpstr>Tags!ITEM4_2018</vt:lpstr>
      <vt:lpstr>ITEM4_2018</vt:lpstr>
      <vt:lpstr>Tags!ITEM4_2019</vt:lpstr>
      <vt:lpstr>ITEM4_2019</vt:lpstr>
      <vt:lpstr>Tags!ITEM4_2020</vt:lpstr>
      <vt:lpstr>ITEM4_2020</vt:lpstr>
      <vt:lpstr>ITEM4_2021</vt:lpstr>
      <vt:lpstr>ITEM4_2022</vt:lpstr>
      <vt:lpstr>ITEM4_2023</vt:lpstr>
      <vt:lpstr>ITEM4_2024</vt:lpstr>
      <vt:lpstr>Tags!ITEM4_2Q00</vt:lpstr>
      <vt:lpstr>ITEM4_2Q00</vt:lpstr>
      <vt:lpstr>Tags!ITEM4_2Q01</vt:lpstr>
      <vt:lpstr>ITEM4_2Q01</vt:lpstr>
      <vt:lpstr>Tags!ITEM4_2Q02</vt:lpstr>
      <vt:lpstr>ITEM4_2Q02</vt:lpstr>
      <vt:lpstr>Tags!ITEM4_2Q03</vt:lpstr>
      <vt:lpstr>ITEM4_2Q03</vt:lpstr>
      <vt:lpstr>Tags!ITEM4_2Q04</vt:lpstr>
      <vt:lpstr>ITEM4_2Q04</vt:lpstr>
      <vt:lpstr>Tags!ITEM4_2Q05</vt:lpstr>
      <vt:lpstr>ITEM4_2Q05</vt:lpstr>
      <vt:lpstr>Tags!ITEM4_2Q06</vt:lpstr>
      <vt:lpstr>ITEM4_2Q06</vt:lpstr>
      <vt:lpstr>Tags!ITEM4_2Q07</vt:lpstr>
      <vt:lpstr>ITEM4_2Q07</vt:lpstr>
      <vt:lpstr>Tags!ITEM4_2Q08</vt:lpstr>
      <vt:lpstr>ITEM4_2Q08</vt:lpstr>
      <vt:lpstr>Tags!ITEM4_2Q09</vt:lpstr>
      <vt:lpstr>ITEM4_2Q09</vt:lpstr>
      <vt:lpstr>Tags!ITEM4_2Q10</vt:lpstr>
      <vt:lpstr>ITEM4_2Q10</vt:lpstr>
      <vt:lpstr>Tags!ITEM4_2Q11</vt:lpstr>
      <vt:lpstr>ITEM4_2Q11</vt:lpstr>
      <vt:lpstr>Tags!ITEM4_2Q12</vt:lpstr>
      <vt:lpstr>ITEM4_2Q12</vt:lpstr>
      <vt:lpstr>Tags!ITEM4_2Q13</vt:lpstr>
      <vt:lpstr>ITEM4_2Q13</vt:lpstr>
      <vt:lpstr>Tags!ITEM4_2Q14</vt:lpstr>
      <vt:lpstr>ITEM4_2Q14</vt:lpstr>
      <vt:lpstr>Tags!ITEM4_2Q15</vt:lpstr>
      <vt:lpstr>ITEM4_2Q15</vt:lpstr>
      <vt:lpstr>Tags!ITEM4_2Q16</vt:lpstr>
      <vt:lpstr>ITEM4_2Q16</vt:lpstr>
      <vt:lpstr>Tags!ITEM4_2Q17</vt:lpstr>
      <vt:lpstr>ITEM4_2Q17</vt:lpstr>
      <vt:lpstr>Tags!ITEM4_2Q18</vt:lpstr>
      <vt:lpstr>ITEM4_2Q18</vt:lpstr>
      <vt:lpstr>Tags!ITEM4_2Q19</vt:lpstr>
      <vt:lpstr>ITEM4_2Q19</vt:lpstr>
      <vt:lpstr>Tags!ITEM4_2Q20</vt:lpstr>
      <vt:lpstr>ITEM4_2Q20</vt:lpstr>
      <vt:lpstr>ITEM4_2Q21</vt:lpstr>
      <vt:lpstr>ITEM4_2Q22</vt:lpstr>
      <vt:lpstr>ITEM4_2Q23</vt:lpstr>
      <vt:lpstr>ITEM4_2Q24</vt:lpstr>
      <vt:lpstr>Tags!ITEM4_3Q00</vt:lpstr>
      <vt:lpstr>ITEM4_3Q00</vt:lpstr>
      <vt:lpstr>Tags!ITEM4_3Q01</vt:lpstr>
      <vt:lpstr>ITEM4_3Q01</vt:lpstr>
      <vt:lpstr>Tags!ITEM4_3Q02</vt:lpstr>
      <vt:lpstr>ITEM4_3Q02</vt:lpstr>
      <vt:lpstr>Tags!ITEM4_3Q03</vt:lpstr>
      <vt:lpstr>ITEM4_3Q03</vt:lpstr>
      <vt:lpstr>Tags!ITEM4_3Q04</vt:lpstr>
      <vt:lpstr>ITEM4_3Q04</vt:lpstr>
      <vt:lpstr>Tags!ITEM4_3Q05</vt:lpstr>
      <vt:lpstr>ITEM4_3Q05</vt:lpstr>
      <vt:lpstr>Tags!ITEM4_3Q06</vt:lpstr>
      <vt:lpstr>ITEM4_3Q06</vt:lpstr>
      <vt:lpstr>Tags!ITEM4_3Q07</vt:lpstr>
      <vt:lpstr>ITEM4_3Q07</vt:lpstr>
      <vt:lpstr>Tags!ITEM4_3Q08</vt:lpstr>
      <vt:lpstr>ITEM4_3Q08</vt:lpstr>
      <vt:lpstr>Tags!ITEM4_3Q09</vt:lpstr>
      <vt:lpstr>ITEM4_3Q09</vt:lpstr>
      <vt:lpstr>Tags!ITEM4_3Q10</vt:lpstr>
      <vt:lpstr>ITEM4_3Q10</vt:lpstr>
      <vt:lpstr>Tags!ITEM4_3Q11</vt:lpstr>
      <vt:lpstr>ITEM4_3Q11</vt:lpstr>
      <vt:lpstr>Tags!ITEM4_3Q12</vt:lpstr>
      <vt:lpstr>ITEM4_3Q12</vt:lpstr>
      <vt:lpstr>Tags!ITEM4_3Q13</vt:lpstr>
      <vt:lpstr>ITEM4_3Q13</vt:lpstr>
      <vt:lpstr>Tags!ITEM4_3Q14</vt:lpstr>
      <vt:lpstr>ITEM4_3Q14</vt:lpstr>
      <vt:lpstr>Tags!ITEM4_3Q15</vt:lpstr>
      <vt:lpstr>ITEM4_3Q15</vt:lpstr>
      <vt:lpstr>Tags!ITEM4_3Q16</vt:lpstr>
      <vt:lpstr>ITEM4_3Q16</vt:lpstr>
      <vt:lpstr>Tags!ITEM4_3Q17</vt:lpstr>
      <vt:lpstr>ITEM4_3Q17</vt:lpstr>
      <vt:lpstr>Tags!ITEM4_3Q18</vt:lpstr>
      <vt:lpstr>ITEM4_3Q18</vt:lpstr>
      <vt:lpstr>Tags!ITEM4_3Q19</vt:lpstr>
      <vt:lpstr>ITEM4_3Q19</vt:lpstr>
      <vt:lpstr>Tags!ITEM4_3Q20</vt:lpstr>
      <vt:lpstr>ITEM4_3Q20</vt:lpstr>
      <vt:lpstr>ITEM4_3Q21</vt:lpstr>
      <vt:lpstr>ITEM4_3Q22</vt:lpstr>
      <vt:lpstr>ITEM4_3Q23</vt:lpstr>
      <vt:lpstr>ITEM4_3Q24</vt:lpstr>
      <vt:lpstr>Tags!ITEM4_4Q00</vt:lpstr>
      <vt:lpstr>ITEM4_4Q00</vt:lpstr>
      <vt:lpstr>Tags!ITEM4_4Q01</vt:lpstr>
      <vt:lpstr>ITEM4_4Q01</vt:lpstr>
      <vt:lpstr>Tags!ITEM4_4Q02</vt:lpstr>
      <vt:lpstr>ITEM4_4Q02</vt:lpstr>
      <vt:lpstr>Tags!ITEM4_4Q03</vt:lpstr>
      <vt:lpstr>ITEM4_4Q03</vt:lpstr>
      <vt:lpstr>Tags!ITEM4_4Q04</vt:lpstr>
      <vt:lpstr>ITEM4_4Q04</vt:lpstr>
      <vt:lpstr>Tags!ITEM4_4Q05</vt:lpstr>
      <vt:lpstr>ITEM4_4Q05</vt:lpstr>
      <vt:lpstr>Tags!ITEM4_4Q06</vt:lpstr>
      <vt:lpstr>ITEM4_4Q06</vt:lpstr>
      <vt:lpstr>Tags!ITEM4_4Q07</vt:lpstr>
      <vt:lpstr>ITEM4_4Q07</vt:lpstr>
      <vt:lpstr>Tags!ITEM4_4Q08</vt:lpstr>
      <vt:lpstr>ITEM4_4Q08</vt:lpstr>
      <vt:lpstr>Tags!ITEM4_4Q09</vt:lpstr>
      <vt:lpstr>ITEM4_4Q09</vt:lpstr>
      <vt:lpstr>Tags!ITEM4_4Q10</vt:lpstr>
      <vt:lpstr>ITEM4_4Q10</vt:lpstr>
      <vt:lpstr>Tags!ITEM4_4Q11</vt:lpstr>
      <vt:lpstr>ITEM4_4Q11</vt:lpstr>
      <vt:lpstr>Tags!ITEM4_4Q12</vt:lpstr>
      <vt:lpstr>ITEM4_4Q12</vt:lpstr>
      <vt:lpstr>Tags!ITEM4_4Q13</vt:lpstr>
      <vt:lpstr>ITEM4_4Q13</vt:lpstr>
      <vt:lpstr>Tags!ITEM4_4Q14</vt:lpstr>
      <vt:lpstr>ITEM4_4Q14</vt:lpstr>
      <vt:lpstr>Tags!ITEM4_4Q15</vt:lpstr>
      <vt:lpstr>ITEM4_4Q15</vt:lpstr>
      <vt:lpstr>Tags!ITEM4_4Q16</vt:lpstr>
      <vt:lpstr>ITEM4_4Q16</vt:lpstr>
      <vt:lpstr>Tags!ITEM4_4Q17</vt:lpstr>
      <vt:lpstr>ITEM4_4Q17</vt:lpstr>
      <vt:lpstr>Tags!ITEM4_4Q18</vt:lpstr>
      <vt:lpstr>ITEM4_4Q18</vt:lpstr>
      <vt:lpstr>Tags!ITEM4_4Q19</vt:lpstr>
      <vt:lpstr>ITEM4_4Q19</vt:lpstr>
      <vt:lpstr>Tags!ITEM4_4Q20</vt:lpstr>
      <vt:lpstr>ITEM4_4Q20</vt:lpstr>
      <vt:lpstr>ITEM4_4Q21</vt:lpstr>
      <vt:lpstr>ITEM4_4Q22</vt:lpstr>
      <vt:lpstr>ITEM4_4Q23</vt:lpstr>
      <vt:lpstr>ITEM4_4Q24</vt:lpstr>
      <vt:lpstr>ITEM40_1995</vt:lpstr>
      <vt:lpstr>ITEM40_1996</vt:lpstr>
      <vt:lpstr>ITEM40_1997</vt:lpstr>
      <vt:lpstr>ITEM40_1998</vt:lpstr>
      <vt:lpstr>ITEM40_1999</vt:lpstr>
      <vt:lpstr>Tags!ITEM40_1Q00</vt:lpstr>
      <vt:lpstr>ITEM40_1Q00</vt:lpstr>
      <vt:lpstr>Tags!ITEM40_1Q01</vt:lpstr>
      <vt:lpstr>ITEM40_1Q01</vt:lpstr>
      <vt:lpstr>Tags!ITEM40_1Q02</vt:lpstr>
      <vt:lpstr>ITEM40_1Q02</vt:lpstr>
      <vt:lpstr>Tags!ITEM40_1Q03</vt:lpstr>
      <vt:lpstr>ITEM40_1Q03</vt:lpstr>
      <vt:lpstr>Tags!ITEM40_1Q04</vt:lpstr>
      <vt:lpstr>ITEM40_1Q04</vt:lpstr>
      <vt:lpstr>Tags!ITEM40_1Q05</vt:lpstr>
      <vt:lpstr>ITEM40_1Q05</vt:lpstr>
      <vt:lpstr>Tags!ITEM40_1Q06</vt:lpstr>
      <vt:lpstr>ITEM40_1Q06</vt:lpstr>
      <vt:lpstr>Tags!ITEM40_1Q07</vt:lpstr>
      <vt:lpstr>ITEM40_1Q07</vt:lpstr>
      <vt:lpstr>Tags!ITEM40_1Q08</vt:lpstr>
      <vt:lpstr>ITEM40_1Q08</vt:lpstr>
      <vt:lpstr>Tags!ITEM40_1Q09</vt:lpstr>
      <vt:lpstr>ITEM40_1Q09</vt:lpstr>
      <vt:lpstr>Tags!ITEM40_1Q10</vt:lpstr>
      <vt:lpstr>ITEM40_1Q10</vt:lpstr>
      <vt:lpstr>Tags!ITEM40_1Q11</vt:lpstr>
      <vt:lpstr>ITEM40_1Q11</vt:lpstr>
      <vt:lpstr>Tags!ITEM40_1Q12</vt:lpstr>
      <vt:lpstr>ITEM40_1Q12</vt:lpstr>
      <vt:lpstr>Tags!ITEM40_1Q13</vt:lpstr>
      <vt:lpstr>ITEM40_1Q13</vt:lpstr>
      <vt:lpstr>Tags!ITEM40_1Q14</vt:lpstr>
      <vt:lpstr>ITEM40_1Q14</vt:lpstr>
      <vt:lpstr>Tags!ITEM40_1Q15</vt:lpstr>
      <vt:lpstr>ITEM40_1Q15</vt:lpstr>
      <vt:lpstr>Tags!ITEM40_1Q16</vt:lpstr>
      <vt:lpstr>ITEM40_1Q16</vt:lpstr>
      <vt:lpstr>Tags!ITEM40_1Q17</vt:lpstr>
      <vt:lpstr>ITEM40_1Q17</vt:lpstr>
      <vt:lpstr>Tags!ITEM40_1Q18</vt:lpstr>
      <vt:lpstr>ITEM40_1Q18</vt:lpstr>
      <vt:lpstr>Tags!ITEM40_1Q19</vt:lpstr>
      <vt:lpstr>ITEM40_1Q19</vt:lpstr>
      <vt:lpstr>Tags!ITEM40_1Q20</vt:lpstr>
      <vt:lpstr>ITEM40_1Q20</vt:lpstr>
      <vt:lpstr>ITEM40_1Q21</vt:lpstr>
      <vt:lpstr>ITEM40_1Q22</vt:lpstr>
      <vt:lpstr>ITEM40_1Q23</vt:lpstr>
      <vt:lpstr>ITEM40_1Q24</vt:lpstr>
      <vt:lpstr>Tags!ITEM40_2000</vt:lpstr>
      <vt:lpstr>ITEM40_2000</vt:lpstr>
      <vt:lpstr>Tags!ITEM40_2001</vt:lpstr>
      <vt:lpstr>ITEM40_2001</vt:lpstr>
      <vt:lpstr>Tags!ITEM40_2002</vt:lpstr>
      <vt:lpstr>ITEM40_2002</vt:lpstr>
      <vt:lpstr>Tags!ITEM40_2003</vt:lpstr>
      <vt:lpstr>ITEM40_2003</vt:lpstr>
      <vt:lpstr>Tags!ITEM40_2004</vt:lpstr>
      <vt:lpstr>ITEM40_2004</vt:lpstr>
      <vt:lpstr>Tags!ITEM40_2005</vt:lpstr>
      <vt:lpstr>ITEM40_2005</vt:lpstr>
      <vt:lpstr>Tags!ITEM40_2006</vt:lpstr>
      <vt:lpstr>ITEM40_2006</vt:lpstr>
      <vt:lpstr>Tags!ITEM40_2007</vt:lpstr>
      <vt:lpstr>ITEM40_2007</vt:lpstr>
      <vt:lpstr>Tags!ITEM40_2008</vt:lpstr>
      <vt:lpstr>ITEM40_2008</vt:lpstr>
      <vt:lpstr>Tags!ITEM40_2009</vt:lpstr>
      <vt:lpstr>ITEM40_2009</vt:lpstr>
      <vt:lpstr>Tags!ITEM40_2010</vt:lpstr>
      <vt:lpstr>ITEM40_2010</vt:lpstr>
      <vt:lpstr>Tags!ITEM40_2011</vt:lpstr>
      <vt:lpstr>ITEM40_2011</vt:lpstr>
      <vt:lpstr>Tags!ITEM40_2012</vt:lpstr>
      <vt:lpstr>ITEM40_2012</vt:lpstr>
      <vt:lpstr>Tags!ITEM40_2013</vt:lpstr>
      <vt:lpstr>ITEM40_2013</vt:lpstr>
      <vt:lpstr>Tags!ITEM40_2014</vt:lpstr>
      <vt:lpstr>ITEM40_2014</vt:lpstr>
      <vt:lpstr>ITEM40_2015</vt:lpstr>
      <vt:lpstr>Tags!ITEM40_2016</vt:lpstr>
      <vt:lpstr>ITEM40_2016</vt:lpstr>
      <vt:lpstr>Tags!ITEM40_2017</vt:lpstr>
      <vt:lpstr>ITEM40_2017</vt:lpstr>
      <vt:lpstr>Tags!ITEM40_2018</vt:lpstr>
      <vt:lpstr>ITEM40_2018</vt:lpstr>
      <vt:lpstr>Tags!ITEM40_2019</vt:lpstr>
      <vt:lpstr>ITEM40_2019</vt:lpstr>
      <vt:lpstr>Tags!ITEM40_2020</vt:lpstr>
      <vt:lpstr>ITEM40_2020</vt:lpstr>
      <vt:lpstr>ITEM40_2021</vt:lpstr>
      <vt:lpstr>ITEM40_2022</vt:lpstr>
      <vt:lpstr>ITEM40_2023</vt:lpstr>
      <vt:lpstr>ITEM40_2024</vt:lpstr>
      <vt:lpstr>Tags!ITEM40_2Q00</vt:lpstr>
      <vt:lpstr>ITEM40_2Q00</vt:lpstr>
      <vt:lpstr>Tags!ITEM40_2Q01</vt:lpstr>
      <vt:lpstr>ITEM40_2Q01</vt:lpstr>
      <vt:lpstr>Tags!ITEM40_2Q02</vt:lpstr>
      <vt:lpstr>ITEM40_2Q02</vt:lpstr>
      <vt:lpstr>Tags!ITEM40_2Q03</vt:lpstr>
      <vt:lpstr>ITEM40_2Q03</vt:lpstr>
      <vt:lpstr>Tags!ITEM40_2Q04</vt:lpstr>
      <vt:lpstr>ITEM40_2Q04</vt:lpstr>
      <vt:lpstr>Tags!ITEM40_2Q05</vt:lpstr>
      <vt:lpstr>ITEM40_2Q05</vt:lpstr>
      <vt:lpstr>Tags!ITEM40_2Q06</vt:lpstr>
      <vt:lpstr>ITEM40_2Q06</vt:lpstr>
      <vt:lpstr>Tags!ITEM40_2Q07</vt:lpstr>
      <vt:lpstr>ITEM40_2Q07</vt:lpstr>
      <vt:lpstr>Tags!ITEM40_2Q08</vt:lpstr>
      <vt:lpstr>ITEM40_2Q08</vt:lpstr>
      <vt:lpstr>Tags!ITEM40_2Q09</vt:lpstr>
      <vt:lpstr>ITEM40_2Q09</vt:lpstr>
      <vt:lpstr>Tags!ITEM40_2Q10</vt:lpstr>
      <vt:lpstr>ITEM40_2Q10</vt:lpstr>
      <vt:lpstr>Tags!ITEM40_2Q11</vt:lpstr>
      <vt:lpstr>ITEM40_2Q11</vt:lpstr>
      <vt:lpstr>Tags!ITEM40_2Q12</vt:lpstr>
      <vt:lpstr>ITEM40_2Q12</vt:lpstr>
      <vt:lpstr>Tags!ITEM40_2Q13</vt:lpstr>
      <vt:lpstr>ITEM40_2Q13</vt:lpstr>
      <vt:lpstr>Tags!ITEM40_2Q14</vt:lpstr>
      <vt:lpstr>ITEM40_2Q14</vt:lpstr>
      <vt:lpstr>Tags!ITEM40_2Q15</vt:lpstr>
      <vt:lpstr>ITEM40_2Q15</vt:lpstr>
      <vt:lpstr>Tags!ITEM40_2Q16</vt:lpstr>
      <vt:lpstr>ITEM40_2Q16</vt:lpstr>
      <vt:lpstr>Tags!ITEM40_2Q17</vt:lpstr>
      <vt:lpstr>ITEM40_2Q17</vt:lpstr>
      <vt:lpstr>Tags!ITEM40_2Q18</vt:lpstr>
      <vt:lpstr>ITEM40_2Q18</vt:lpstr>
      <vt:lpstr>Tags!ITEM40_2Q19</vt:lpstr>
      <vt:lpstr>ITEM40_2Q19</vt:lpstr>
      <vt:lpstr>Tags!ITEM40_2Q20</vt:lpstr>
      <vt:lpstr>ITEM40_2Q20</vt:lpstr>
      <vt:lpstr>ITEM40_2Q21</vt:lpstr>
      <vt:lpstr>ITEM40_2Q22</vt:lpstr>
      <vt:lpstr>ITEM40_2Q23</vt:lpstr>
      <vt:lpstr>ITEM40_2Q24</vt:lpstr>
      <vt:lpstr>Tags!ITEM40_3Q00</vt:lpstr>
      <vt:lpstr>ITEM40_3Q00</vt:lpstr>
      <vt:lpstr>Tags!ITEM40_3Q01</vt:lpstr>
      <vt:lpstr>ITEM40_3Q01</vt:lpstr>
      <vt:lpstr>Tags!ITEM40_3Q02</vt:lpstr>
      <vt:lpstr>ITEM40_3Q02</vt:lpstr>
      <vt:lpstr>Tags!ITEM40_3Q03</vt:lpstr>
      <vt:lpstr>ITEM40_3Q03</vt:lpstr>
      <vt:lpstr>Tags!ITEM40_3Q04</vt:lpstr>
      <vt:lpstr>ITEM40_3Q04</vt:lpstr>
      <vt:lpstr>Tags!ITEM40_3Q05</vt:lpstr>
      <vt:lpstr>ITEM40_3Q05</vt:lpstr>
      <vt:lpstr>Tags!ITEM40_3Q06</vt:lpstr>
      <vt:lpstr>ITEM40_3Q06</vt:lpstr>
      <vt:lpstr>Tags!ITEM40_3Q07</vt:lpstr>
      <vt:lpstr>ITEM40_3Q07</vt:lpstr>
      <vt:lpstr>Tags!ITEM40_3Q08</vt:lpstr>
      <vt:lpstr>ITEM40_3Q08</vt:lpstr>
      <vt:lpstr>Tags!ITEM40_3Q09</vt:lpstr>
      <vt:lpstr>ITEM40_3Q09</vt:lpstr>
      <vt:lpstr>Tags!ITEM40_3Q10</vt:lpstr>
      <vt:lpstr>ITEM40_3Q10</vt:lpstr>
      <vt:lpstr>Tags!ITEM40_3Q11</vt:lpstr>
      <vt:lpstr>ITEM40_3Q11</vt:lpstr>
      <vt:lpstr>Tags!ITEM40_3Q12</vt:lpstr>
      <vt:lpstr>ITEM40_3Q12</vt:lpstr>
      <vt:lpstr>Tags!ITEM40_3Q13</vt:lpstr>
      <vt:lpstr>ITEM40_3Q13</vt:lpstr>
      <vt:lpstr>Tags!ITEM40_3Q14</vt:lpstr>
      <vt:lpstr>ITEM40_3Q14</vt:lpstr>
      <vt:lpstr>Tags!ITEM40_3Q15</vt:lpstr>
      <vt:lpstr>ITEM40_3Q15</vt:lpstr>
      <vt:lpstr>Tags!ITEM40_3Q16</vt:lpstr>
      <vt:lpstr>ITEM40_3Q16</vt:lpstr>
      <vt:lpstr>Tags!ITEM40_3Q17</vt:lpstr>
      <vt:lpstr>ITEM40_3Q17</vt:lpstr>
      <vt:lpstr>Tags!ITEM40_3Q18</vt:lpstr>
      <vt:lpstr>ITEM40_3Q18</vt:lpstr>
      <vt:lpstr>Tags!ITEM40_3Q19</vt:lpstr>
      <vt:lpstr>ITEM40_3Q19</vt:lpstr>
      <vt:lpstr>Tags!ITEM40_3Q20</vt:lpstr>
      <vt:lpstr>ITEM40_3Q20</vt:lpstr>
      <vt:lpstr>ITEM40_3Q21</vt:lpstr>
      <vt:lpstr>ITEM40_3Q22</vt:lpstr>
      <vt:lpstr>ITEM40_3Q23</vt:lpstr>
      <vt:lpstr>ITEM40_3Q24</vt:lpstr>
      <vt:lpstr>Tags!ITEM40_4Q00</vt:lpstr>
      <vt:lpstr>ITEM40_4Q00</vt:lpstr>
      <vt:lpstr>Tags!ITEM40_4Q01</vt:lpstr>
      <vt:lpstr>ITEM40_4Q01</vt:lpstr>
      <vt:lpstr>Tags!ITEM40_4Q02</vt:lpstr>
      <vt:lpstr>ITEM40_4Q02</vt:lpstr>
      <vt:lpstr>Tags!ITEM40_4Q03</vt:lpstr>
      <vt:lpstr>ITEM40_4Q03</vt:lpstr>
      <vt:lpstr>Tags!ITEM40_4Q04</vt:lpstr>
      <vt:lpstr>ITEM40_4Q04</vt:lpstr>
      <vt:lpstr>Tags!ITEM40_4Q05</vt:lpstr>
      <vt:lpstr>ITEM40_4Q05</vt:lpstr>
      <vt:lpstr>Tags!ITEM40_4Q06</vt:lpstr>
      <vt:lpstr>ITEM40_4Q06</vt:lpstr>
      <vt:lpstr>Tags!ITEM40_4Q07</vt:lpstr>
      <vt:lpstr>ITEM40_4Q07</vt:lpstr>
      <vt:lpstr>Tags!ITEM40_4Q08</vt:lpstr>
      <vt:lpstr>ITEM40_4Q08</vt:lpstr>
      <vt:lpstr>Tags!ITEM40_4Q09</vt:lpstr>
      <vt:lpstr>ITEM40_4Q09</vt:lpstr>
      <vt:lpstr>Tags!ITEM40_4Q10</vt:lpstr>
      <vt:lpstr>ITEM40_4Q10</vt:lpstr>
      <vt:lpstr>Tags!ITEM40_4Q11</vt:lpstr>
      <vt:lpstr>ITEM40_4Q11</vt:lpstr>
      <vt:lpstr>Tags!ITEM40_4Q12</vt:lpstr>
      <vt:lpstr>ITEM40_4Q12</vt:lpstr>
      <vt:lpstr>Tags!ITEM40_4Q13</vt:lpstr>
      <vt:lpstr>ITEM40_4Q13</vt:lpstr>
      <vt:lpstr>Tags!ITEM40_4Q14</vt:lpstr>
      <vt:lpstr>ITEM40_4Q14</vt:lpstr>
      <vt:lpstr>Tags!ITEM40_4Q15</vt:lpstr>
      <vt:lpstr>ITEM40_4Q15</vt:lpstr>
      <vt:lpstr>Tags!ITEM40_4Q16</vt:lpstr>
      <vt:lpstr>ITEM40_4Q16</vt:lpstr>
      <vt:lpstr>Tags!ITEM40_4Q17</vt:lpstr>
      <vt:lpstr>ITEM40_4Q17</vt:lpstr>
      <vt:lpstr>Tags!ITEM40_4Q18</vt:lpstr>
      <vt:lpstr>ITEM40_4Q18</vt:lpstr>
      <vt:lpstr>Tags!ITEM40_4Q19</vt:lpstr>
      <vt:lpstr>ITEM40_4Q19</vt:lpstr>
      <vt:lpstr>Tags!ITEM40_4Q20</vt:lpstr>
      <vt:lpstr>ITEM40_4Q20</vt:lpstr>
      <vt:lpstr>ITEM40_4Q21</vt:lpstr>
      <vt:lpstr>ITEM40_4Q22</vt:lpstr>
      <vt:lpstr>ITEM40_4Q23</vt:lpstr>
      <vt:lpstr>ITEM40_4Q24</vt:lpstr>
      <vt:lpstr>ITEM41_1995</vt:lpstr>
      <vt:lpstr>ITEM41_1996</vt:lpstr>
      <vt:lpstr>ITEM41_1997</vt:lpstr>
      <vt:lpstr>ITEM41_1998</vt:lpstr>
      <vt:lpstr>ITEM41_1999</vt:lpstr>
      <vt:lpstr>Tags!ITEM41_1Q00</vt:lpstr>
      <vt:lpstr>ITEM41_1Q00</vt:lpstr>
      <vt:lpstr>Tags!ITEM41_1Q01</vt:lpstr>
      <vt:lpstr>ITEM41_1Q01</vt:lpstr>
      <vt:lpstr>Tags!ITEM41_1Q02</vt:lpstr>
      <vt:lpstr>ITEM41_1Q02</vt:lpstr>
      <vt:lpstr>Tags!ITEM41_1Q03</vt:lpstr>
      <vt:lpstr>ITEM41_1Q03</vt:lpstr>
      <vt:lpstr>Tags!ITEM41_1Q04</vt:lpstr>
      <vt:lpstr>ITEM41_1Q04</vt:lpstr>
      <vt:lpstr>Tags!ITEM41_1Q05</vt:lpstr>
      <vt:lpstr>ITEM41_1Q05</vt:lpstr>
      <vt:lpstr>Tags!ITEM41_1Q06</vt:lpstr>
      <vt:lpstr>ITEM41_1Q06</vt:lpstr>
      <vt:lpstr>Tags!ITEM41_1Q07</vt:lpstr>
      <vt:lpstr>ITEM41_1Q07</vt:lpstr>
      <vt:lpstr>Tags!ITEM41_1Q08</vt:lpstr>
      <vt:lpstr>ITEM41_1Q08</vt:lpstr>
      <vt:lpstr>Tags!ITEM41_1Q09</vt:lpstr>
      <vt:lpstr>ITEM41_1Q09</vt:lpstr>
      <vt:lpstr>Tags!ITEM41_1Q10</vt:lpstr>
      <vt:lpstr>ITEM41_1Q10</vt:lpstr>
      <vt:lpstr>Tags!ITEM41_1Q11</vt:lpstr>
      <vt:lpstr>ITEM41_1Q11</vt:lpstr>
      <vt:lpstr>Tags!ITEM41_1Q12</vt:lpstr>
      <vt:lpstr>ITEM41_1Q12</vt:lpstr>
      <vt:lpstr>Tags!ITEM41_1Q13</vt:lpstr>
      <vt:lpstr>ITEM41_1Q13</vt:lpstr>
      <vt:lpstr>Tags!ITEM41_1Q14</vt:lpstr>
      <vt:lpstr>ITEM41_1Q14</vt:lpstr>
      <vt:lpstr>Tags!ITEM41_1Q15</vt:lpstr>
      <vt:lpstr>ITEM41_1Q15</vt:lpstr>
      <vt:lpstr>Tags!ITEM41_1Q16</vt:lpstr>
      <vt:lpstr>ITEM41_1Q16</vt:lpstr>
      <vt:lpstr>Tags!ITEM41_1Q17</vt:lpstr>
      <vt:lpstr>ITEM41_1Q17</vt:lpstr>
      <vt:lpstr>Tags!ITEM41_1Q18</vt:lpstr>
      <vt:lpstr>ITEM41_1Q18</vt:lpstr>
      <vt:lpstr>Tags!ITEM41_1Q19</vt:lpstr>
      <vt:lpstr>ITEM41_1Q19</vt:lpstr>
      <vt:lpstr>Tags!ITEM41_1Q20</vt:lpstr>
      <vt:lpstr>ITEM41_1Q20</vt:lpstr>
      <vt:lpstr>ITEM41_1Q21</vt:lpstr>
      <vt:lpstr>ITEM41_1Q22</vt:lpstr>
      <vt:lpstr>ITEM41_1Q23</vt:lpstr>
      <vt:lpstr>ITEM41_1Q24</vt:lpstr>
      <vt:lpstr>Tags!ITEM41_2000</vt:lpstr>
      <vt:lpstr>ITEM41_2000</vt:lpstr>
      <vt:lpstr>Tags!ITEM41_2001</vt:lpstr>
      <vt:lpstr>ITEM41_2001</vt:lpstr>
      <vt:lpstr>Tags!ITEM41_2002</vt:lpstr>
      <vt:lpstr>ITEM41_2002</vt:lpstr>
      <vt:lpstr>Tags!ITEM41_2003</vt:lpstr>
      <vt:lpstr>ITEM41_2003</vt:lpstr>
      <vt:lpstr>Tags!ITEM41_2004</vt:lpstr>
      <vt:lpstr>ITEM41_2004</vt:lpstr>
      <vt:lpstr>Tags!ITEM41_2005</vt:lpstr>
      <vt:lpstr>ITEM41_2005</vt:lpstr>
      <vt:lpstr>Tags!ITEM41_2006</vt:lpstr>
      <vt:lpstr>ITEM41_2006</vt:lpstr>
      <vt:lpstr>Tags!ITEM41_2007</vt:lpstr>
      <vt:lpstr>ITEM41_2007</vt:lpstr>
      <vt:lpstr>Tags!ITEM41_2008</vt:lpstr>
      <vt:lpstr>ITEM41_2008</vt:lpstr>
      <vt:lpstr>Tags!ITEM41_2009</vt:lpstr>
      <vt:lpstr>ITEM41_2009</vt:lpstr>
      <vt:lpstr>Tags!ITEM41_2010</vt:lpstr>
      <vt:lpstr>ITEM41_2010</vt:lpstr>
      <vt:lpstr>Tags!ITEM41_2011</vt:lpstr>
      <vt:lpstr>ITEM41_2011</vt:lpstr>
      <vt:lpstr>Tags!ITEM41_2012</vt:lpstr>
      <vt:lpstr>ITEM41_2012</vt:lpstr>
      <vt:lpstr>Tags!ITEM41_2013</vt:lpstr>
      <vt:lpstr>ITEM41_2013</vt:lpstr>
      <vt:lpstr>Tags!ITEM41_2014</vt:lpstr>
      <vt:lpstr>ITEM41_2014</vt:lpstr>
      <vt:lpstr>ITEM41_2015</vt:lpstr>
      <vt:lpstr>Tags!ITEM41_2016</vt:lpstr>
      <vt:lpstr>ITEM41_2016</vt:lpstr>
      <vt:lpstr>Tags!ITEM41_2017</vt:lpstr>
      <vt:lpstr>ITEM41_2017</vt:lpstr>
      <vt:lpstr>Tags!ITEM41_2018</vt:lpstr>
      <vt:lpstr>ITEM41_2018</vt:lpstr>
      <vt:lpstr>Tags!ITEM41_2019</vt:lpstr>
      <vt:lpstr>ITEM41_2019</vt:lpstr>
      <vt:lpstr>Tags!ITEM41_2020</vt:lpstr>
      <vt:lpstr>ITEM41_2020</vt:lpstr>
      <vt:lpstr>ITEM41_2021</vt:lpstr>
      <vt:lpstr>ITEM41_2022</vt:lpstr>
      <vt:lpstr>ITEM41_2023</vt:lpstr>
      <vt:lpstr>ITEM41_2024</vt:lpstr>
      <vt:lpstr>Tags!ITEM41_2Q00</vt:lpstr>
      <vt:lpstr>ITEM41_2Q00</vt:lpstr>
      <vt:lpstr>Tags!ITEM41_2Q01</vt:lpstr>
      <vt:lpstr>ITEM41_2Q01</vt:lpstr>
      <vt:lpstr>Tags!ITEM41_2Q02</vt:lpstr>
      <vt:lpstr>ITEM41_2Q02</vt:lpstr>
      <vt:lpstr>Tags!ITEM41_2Q03</vt:lpstr>
      <vt:lpstr>ITEM41_2Q03</vt:lpstr>
      <vt:lpstr>Tags!ITEM41_2Q04</vt:lpstr>
      <vt:lpstr>ITEM41_2Q04</vt:lpstr>
      <vt:lpstr>Tags!ITEM41_2Q05</vt:lpstr>
      <vt:lpstr>ITEM41_2Q05</vt:lpstr>
      <vt:lpstr>Tags!ITEM41_2Q06</vt:lpstr>
      <vt:lpstr>ITEM41_2Q06</vt:lpstr>
      <vt:lpstr>Tags!ITEM41_2Q07</vt:lpstr>
      <vt:lpstr>ITEM41_2Q07</vt:lpstr>
      <vt:lpstr>Tags!ITEM41_2Q08</vt:lpstr>
      <vt:lpstr>ITEM41_2Q08</vt:lpstr>
      <vt:lpstr>Tags!ITEM41_2Q09</vt:lpstr>
      <vt:lpstr>ITEM41_2Q09</vt:lpstr>
      <vt:lpstr>Tags!ITEM41_2Q10</vt:lpstr>
      <vt:lpstr>ITEM41_2Q10</vt:lpstr>
      <vt:lpstr>Tags!ITEM41_2Q11</vt:lpstr>
      <vt:lpstr>ITEM41_2Q11</vt:lpstr>
      <vt:lpstr>Tags!ITEM41_2Q12</vt:lpstr>
      <vt:lpstr>ITEM41_2Q12</vt:lpstr>
      <vt:lpstr>Tags!ITEM41_2Q13</vt:lpstr>
      <vt:lpstr>ITEM41_2Q13</vt:lpstr>
      <vt:lpstr>Tags!ITEM41_2Q14</vt:lpstr>
      <vt:lpstr>ITEM41_2Q14</vt:lpstr>
      <vt:lpstr>Tags!ITEM41_2Q15</vt:lpstr>
      <vt:lpstr>ITEM41_2Q15</vt:lpstr>
      <vt:lpstr>Tags!ITEM41_2Q16</vt:lpstr>
      <vt:lpstr>ITEM41_2Q16</vt:lpstr>
      <vt:lpstr>Tags!ITEM41_2Q17</vt:lpstr>
      <vt:lpstr>ITEM41_2Q17</vt:lpstr>
      <vt:lpstr>Tags!ITEM41_2Q18</vt:lpstr>
      <vt:lpstr>ITEM41_2Q18</vt:lpstr>
      <vt:lpstr>Tags!ITEM41_2Q19</vt:lpstr>
      <vt:lpstr>ITEM41_2Q19</vt:lpstr>
      <vt:lpstr>Tags!ITEM41_2Q20</vt:lpstr>
      <vt:lpstr>ITEM41_2Q20</vt:lpstr>
      <vt:lpstr>ITEM41_2Q21</vt:lpstr>
      <vt:lpstr>ITEM41_2Q22</vt:lpstr>
      <vt:lpstr>ITEM41_2Q23</vt:lpstr>
      <vt:lpstr>ITEM41_2Q24</vt:lpstr>
      <vt:lpstr>Tags!ITEM41_3Q00</vt:lpstr>
      <vt:lpstr>ITEM41_3Q00</vt:lpstr>
      <vt:lpstr>Tags!ITEM41_3Q01</vt:lpstr>
      <vt:lpstr>ITEM41_3Q01</vt:lpstr>
      <vt:lpstr>Tags!ITEM41_3Q02</vt:lpstr>
      <vt:lpstr>ITEM41_3Q02</vt:lpstr>
      <vt:lpstr>Tags!ITEM41_3Q03</vt:lpstr>
      <vt:lpstr>ITEM41_3Q03</vt:lpstr>
      <vt:lpstr>Tags!ITEM41_3Q04</vt:lpstr>
      <vt:lpstr>ITEM41_3Q04</vt:lpstr>
      <vt:lpstr>Tags!ITEM41_3Q05</vt:lpstr>
      <vt:lpstr>ITEM41_3Q05</vt:lpstr>
      <vt:lpstr>Tags!ITEM41_3Q06</vt:lpstr>
      <vt:lpstr>ITEM41_3Q06</vt:lpstr>
      <vt:lpstr>Tags!ITEM41_3Q07</vt:lpstr>
      <vt:lpstr>ITEM41_3Q07</vt:lpstr>
      <vt:lpstr>Tags!ITEM41_3Q08</vt:lpstr>
      <vt:lpstr>ITEM41_3Q08</vt:lpstr>
      <vt:lpstr>Tags!ITEM41_3Q09</vt:lpstr>
      <vt:lpstr>ITEM41_3Q09</vt:lpstr>
      <vt:lpstr>Tags!ITEM41_3Q10</vt:lpstr>
      <vt:lpstr>ITEM41_3Q10</vt:lpstr>
      <vt:lpstr>Tags!ITEM41_3Q11</vt:lpstr>
      <vt:lpstr>ITEM41_3Q11</vt:lpstr>
      <vt:lpstr>Tags!ITEM41_3Q12</vt:lpstr>
      <vt:lpstr>ITEM41_3Q12</vt:lpstr>
      <vt:lpstr>Tags!ITEM41_3Q13</vt:lpstr>
      <vt:lpstr>ITEM41_3Q13</vt:lpstr>
      <vt:lpstr>Tags!ITEM41_3Q14</vt:lpstr>
      <vt:lpstr>ITEM41_3Q14</vt:lpstr>
      <vt:lpstr>Tags!ITEM41_3Q15</vt:lpstr>
      <vt:lpstr>ITEM41_3Q15</vt:lpstr>
      <vt:lpstr>Tags!ITEM41_3Q16</vt:lpstr>
      <vt:lpstr>ITEM41_3Q16</vt:lpstr>
      <vt:lpstr>Tags!ITEM41_3Q17</vt:lpstr>
      <vt:lpstr>ITEM41_3Q17</vt:lpstr>
      <vt:lpstr>Tags!ITEM41_3Q18</vt:lpstr>
      <vt:lpstr>ITEM41_3Q18</vt:lpstr>
      <vt:lpstr>Tags!ITEM41_3Q19</vt:lpstr>
      <vt:lpstr>ITEM41_3Q19</vt:lpstr>
      <vt:lpstr>Tags!ITEM41_3Q20</vt:lpstr>
      <vt:lpstr>ITEM41_3Q20</vt:lpstr>
      <vt:lpstr>ITEM41_3Q21</vt:lpstr>
      <vt:lpstr>ITEM41_3Q22</vt:lpstr>
      <vt:lpstr>ITEM41_3Q23</vt:lpstr>
      <vt:lpstr>ITEM41_3Q24</vt:lpstr>
      <vt:lpstr>Tags!ITEM41_4Q00</vt:lpstr>
      <vt:lpstr>ITEM41_4Q00</vt:lpstr>
      <vt:lpstr>Tags!ITEM41_4Q01</vt:lpstr>
      <vt:lpstr>ITEM41_4Q01</vt:lpstr>
      <vt:lpstr>Tags!ITEM41_4Q02</vt:lpstr>
      <vt:lpstr>ITEM41_4Q02</vt:lpstr>
      <vt:lpstr>Tags!ITEM41_4Q03</vt:lpstr>
      <vt:lpstr>ITEM41_4Q03</vt:lpstr>
      <vt:lpstr>Tags!ITEM41_4Q04</vt:lpstr>
      <vt:lpstr>ITEM41_4Q04</vt:lpstr>
      <vt:lpstr>Tags!ITEM41_4Q05</vt:lpstr>
      <vt:lpstr>ITEM41_4Q05</vt:lpstr>
      <vt:lpstr>Tags!ITEM41_4Q06</vt:lpstr>
      <vt:lpstr>ITEM41_4Q06</vt:lpstr>
      <vt:lpstr>Tags!ITEM41_4Q07</vt:lpstr>
      <vt:lpstr>ITEM41_4Q07</vt:lpstr>
      <vt:lpstr>Tags!ITEM41_4Q08</vt:lpstr>
      <vt:lpstr>ITEM41_4Q08</vt:lpstr>
      <vt:lpstr>Tags!ITEM41_4Q09</vt:lpstr>
      <vt:lpstr>ITEM41_4Q09</vt:lpstr>
      <vt:lpstr>Tags!ITEM41_4Q10</vt:lpstr>
      <vt:lpstr>ITEM41_4Q10</vt:lpstr>
      <vt:lpstr>Tags!ITEM41_4Q11</vt:lpstr>
      <vt:lpstr>ITEM41_4Q11</vt:lpstr>
      <vt:lpstr>Tags!ITEM41_4Q12</vt:lpstr>
      <vt:lpstr>ITEM41_4Q12</vt:lpstr>
      <vt:lpstr>Tags!ITEM41_4Q13</vt:lpstr>
      <vt:lpstr>ITEM41_4Q13</vt:lpstr>
      <vt:lpstr>Tags!ITEM41_4Q14</vt:lpstr>
      <vt:lpstr>ITEM41_4Q14</vt:lpstr>
      <vt:lpstr>Tags!ITEM41_4Q15</vt:lpstr>
      <vt:lpstr>ITEM41_4Q15</vt:lpstr>
      <vt:lpstr>Tags!ITEM41_4Q16</vt:lpstr>
      <vt:lpstr>ITEM41_4Q16</vt:lpstr>
      <vt:lpstr>Tags!ITEM41_4Q17</vt:lpstr>
      <vt:lpstr>ITEM41_4Q17</vt:lpstr>
      <vt:lpstr>Tags!ITEM41_4Q18</vt:lpstr>
      <vt:lpstr>ITEM41_4Q18</vt:lpstr>
      <vt:lpstr>Tags!ITEM41_4Q19</vt:lpstr>
      <vt:lpstr>ITEM41_4Q19</vt:lpstr>
      <vt:lpstr>Tags!ITEM41_4Q20</vt:lpstr>
      <vt:lpstr>ITEM41_4Q20</vt:lpstr>
      <vt:lpstr>ITEM41_4Q21</vt:lpstr>
      <vt:lpstr>ITEM41_4Q22</vt:lpstr>
      <vt:lpstr>ITEM41_4Q23</vt:lpstr>
      <vt:lpstr>ITEM41_4Q24</vt:lpstr>
      <vt:lpstr>ITEM42_1995</vt:lpstr>
      <vt:lpstr>ITEM42_1996</vt:lpstr>
      <vt:lpstr>ITEM42_1997</vt:lpstr>
      <vt:lpstr>ITEM42_1998</vt:lpstr>
      <vt:lpstr>ITEM42_1999</vt:lpstr>
      <vt:lpstr>Tags!ITEM42_1Q00</vt:lpstr>
      <vt:lpstr>ITEM42_1Q00</vt:lpstr>
      <vt:lpstr>Tags!ITEM42_1Q01</vt:lpstr>
      <vt:lpstr>ITEM42_1Q01</vt:lpstr>
      <vt:lpstr>Tags!ITEM42_1Q02</vt:lpstr>
      <vt:lpstr>ITEM42_1Q02</vt:lpstr>
      <vt:lpstr>Tags!ITEM42_1Q03</vt:lpstr>
      <vt:lpstr>ITEM42_1Q03</vt:lpstr>
      <vt:lpstr>Tags!ITEM42_1Q04</vt:lpstr>
      <vt:lpstr>ITEM42_1Q04</vt:lpstr>
      <vt:lpstr>Tags!ITEM42_1Q05</vt:lpstr>
      <vt:lpstr>ITEM42_1Q05</vt:lpstr>
      <vt:lpstr>Tags!ITEM42_1Q06</vt:lpstr>
      <vt:lpstr>ITEM42_1Q06</vt:lpstr>
      <vt:lpstr>Tags!ITEM42_1Q07</vt:lpstr>
      <vt:lpstr>ITEM42_1Q07</vt:lpstr>
      <vt:lpstr>Tags!ITEM42_1Q08</vt:lpstr>
      <vt:lpstr>ITEM42_1Q08</vt:lpstr>
      <vt:lpstr>Tags!ITEM42_1Q09</vt:lpstr>
      <vt:lpstr>ITEM42_1Q09</vt:lpstr>
      <vt:lpstr>Tags!ITEM42_1Q10</vt:lpstr>
      <vt:lpstr>ITEM42_1Q10</vt:lpstr>
      <vt:lpstr>Tags!ITEM42_1Q11</vt:lpstr>
      <vt:lpstr>ITEM42_1Q11</vt:lpstr>
      <vt:lpstr>Tags!ITEM42_1Q12</vt:lpstr>
      <vt:lpstr>ITEM42_1Q12</vt:lpstr>
      <vt:lpstr>Tags!ITEM42_1Q13</vt:lpstr>
      <vt:lpstr>ITEM42_1Q13</vt:lpstr>
      <vt:lpstr>Tags!ITEM42_1Q14</vt:lpstr>
      <vt:lpstr>ITEM42_1Q14</vt:lpstr>
      <vt:lpstr>Tags!ITEM42_1Q15</vt:lpstr>
      <vt:lpstr>ITEM42_1Q15</vt:lpstr>
      <vt:lpstr>Tags!ITEM42_1Q16</vt:lpstr>
      <vt:lpstr>ITEM42_1Q16</vt:lpstr>
      <vt:lpstr>Tags!ITEM42_1Q17</vt:lpstr>
      <vt:lpstr>ITEM42_1Q17</vt:lpstr>
      <vt:lpstr>Tags!ITEM42_1Q18</vt:lpstr>
      <vt:lpstr>ITEM42_1Q18</vt:lpstr>
      <vt:lpstr>Tags!ITEM42_1Q19</vt:lpstr>
      <vt:lpstr>ITEM42_1Q19</vt:lpstr>
      <vt:lpstr>Tags!ITEM42_1Q20</vt:lpstr>
      <vt:lpstr>ITEM42_1Q20</vt:lpstr>
      <vt:lpstr>ITEM42_1Q21</vt:lpstr>
      <vt:lpstr>ITEM42_1Q22</vt:lpstr>
      <vt:lpstr>ITEM42_1Q23</vt:lpstr>
      <vt:lpstr>ITEM42_1Q24</vt:lpstr>
      <vt:lpstr>Tags!ITEM42_2000</vt:lpstr>
      <vt:lpstr>ITEM42_2000</vt:lpstr>
      <vt:lpstr>Tags!ITEM42_2001</vt:lpstr>
      <vt:lpstr>ITEM42_2001</vt:lpstr>
      <vt:lpstr>Tags!ITEM42_2002</vt:lpstr>
      <vt:lpstr>ITEM42_2002</vt:lpstr>
      <vt:lpstr>Tags!ITEM42_2003</vt:lpstr>
      <vt:lpstr>ITEM42_2003</vt:lpstr>
      <vt:lpstr>Tags!ITEM42_2004</vt:lpstr>
      <vt:lpstr>ITEM42_2004</vt:lpstr>
      <vt:lpstr>Tags!ITEM42_2005</vt:lpstr>
      <vt:lpstr>ITEM42_2005</vt:lpstr>
      <vt:lpstr>Tags!ITEM42_2006</vt:lpstr>
      <vt:lpstr>ITEM42_2006</vt:lpstr>
      <vt:lpstr>Tags!ITEM42_2007</vt:lpstr>
      <vt:lpstr>ITEM42_2007</vt:lpstr>
      <vt:lpstr>Tags!ITEM42_2008</vt:lpstr>
      <vt:lpstr>ITEM42_2008</vt:lpstr>
      <vt:lpstr>Tags!ITEM42_2009</vt:lpstr>
      <vt:lpstr>ITEM42_2009</vt:lpstr>
      <vt:lpstr>Tags!ITEM42_2010</vt:lpstr>
      <vt:lpstr>ITEM42_2010</vt:lpstr>
      <vt:lpstr>Tags!ITEM42_2011</vt:lpstr>
      <vt:lpstr>ITEM42_2011</vt:lpstr>
      <vt:lpstr>Tags!ITEM42_2012</vt:lpstr>
      <vt:lpstr>ITEM42_2012</vt:lpstr>
      <vt:lpstr>Tags!ITEM42_2013</vt:lpstr>
      <vt:lpstr>ITEM42_2013</vt:lpstr>
      <vt:lpstr>Tags!ITEM42_2014</vt:lpstr>
      <vt:lpstr>ITEM42_2014</vt:lpstr>
      <vt:lpstr>ITEM42_2015</vt:lpstr>
      <vt:lpstr>Tags!ITEM42_2016</vt:lpstr>
      <vt:lpstr>ITEM42_2016</vt:lpstr>
      <vt:lpstr>Tags!ITEM42_2017</vt:lpstr>
      <vt:lpstr>ITEM42_2017</vt:lpstr>
      <vt:lpstr>Tags!ITEM42_2018</vt:lpstr>
      <vt:lpstr>ITEM42_2018</vt:lpstr>
      <vt:lpstr>Tags!ITEM42_2019</vt:lpstr>
      <vt:lpstr>ITEM42_2019</vt:lpstr>
      <vt:lpstr>Tags!ITEM42_2020</vt:lpstr>
      <vt:lpstr>ITEM42_2020</vt:lpstr>
      <vt:lpstr>ITEM42_2021</vt:lpstr>
      <vt:lpstr>ITEM42_2022</vt:lpstr>
      <vt:lpstr>ITEM42_2023</vt:lpstr>
      <vt:lpstr>ITEM42_2024</vt:lpstr>
      <vt:lpstr>Tags!ITEM42_2Q00</vt:lpstr>
      <vt:lpstr>ITEM42_2Q00</vt:lpstr>
      <vt:lpstr>Tags!ITEM42_2Q01</vt:lpstr>
      <vt:lpstr>ITEM42_2Q01</vt:lpstr>
      <vt:lpstr>Tags!ITEM42_2Q02</vt:lpstr>
      <vt:lpstr>ITEM42_2Q02</vt:lpstr>
      <vt:lpstr>Tags!ITEM42_2Q03</vt:lpstr>
      <vt:lpstr>ITEM42_2Q03</vt:lpstr>
      <vt:lpstr>Tags!ITEM42_2Q04</vt:lpstr>
      <vt:lpstr>ITEM42_2Q04</vt:lpstr>
      <vt:lpstr>Tags!ITEM42_2Q05</vt:lpstr>
      <vt:lpstr>ITEM42_2Q05</vt:lpstr>
      <vt:lpstr>Tags!ITEM42_2Q06</vt:lpstr>
      <vt:lpstr>ITEM42_2Q06</vt:lpstr>
      <vt:lpstr>Tags!ITEM42_2Q07</vt:lpstr>
      <vt:lpstr>ITEM42_2Q07</vt:lpstr>
      <vt:lpstr>Tags!ITEM42_2Q08</vt:lpstr>
      <vt:lpstr>ITEM42_2Q08</vt:lpstr>
      <vt:lpstr>Tags!ITEM42_2Q09</vt:lpstr>
      <vt:lpstr>ITEM42_2Q09</vt:lpstr>
      <vt:lpstr>Tags!ITEM42_2Q10</vt:lpstr>
      <vt:lpstr>ITEM42_2Q10</vt:lpstr>
      <vt:lpstr>Tags!ITEM42_2Q11</vt:lpstr>
      <vt:lpstr>ITEM42_2Q11</vt:lpstr>
      <vt:lpstr>Tags!ITEM42_2Q12</vt:lpstr>
      <vt:lpstr>ITEM42_2Q12</vt:lpstr>
      <vt:lpstr>Tags!ITEM42_2Q13</vt:lpstr>
      <vt:lpstr>ITEM42_2Q13</vt:lpstr>
      <vt:lpstr>Tags!ITEM42_2Q14</vt:lpstr>
      <vt:lpstr>ITEM42_2Q14</vt:lpstr>
      <vt:lpstr>Tags!ITEM42_2Q15</vt:lpstr>
      <vt:lpstr>ITEM42_2Q15</vt:lpstr>
      <vt:lpstr>Tags!ITEM42_2Q16</vt:lpstr>
      <vt:lpstr>ITEM42_2Q16</vt:lpstr>
      <vt:lpstr>Tags!ITEM42_2Q17</vt:lpstr>
      <vt:lpstr>ITEM42_2Q17</vt:lpstr>
      <vt:lpstr>Tags!ITEM42_2Q18</vt:lpstr>
      <vt:lpstr>ITEM42_2Q18</vt:lpstr>
      <vt:lpstr>Tags!ITEM42_2Q19</vt:lpstr>
      <vt:lpstr>ITEM42_2Q19</vt:lpstr>
      <vt:lpstr>Tags!ITEM42_2Q20</vt:lpstr>
      <vt:lpstr>ITEM42_2Q20</vt:lpstr>
      <vt:lpstr>ITEM42_2Q21</vt:lpstr>
      <vt:lpstr>ITEM42_2Q22</vt:lpstr>
      <vt:lpstr>ITEM42_2Q23</vt:lpstr>
      <vt:lpstr>ITEM42_2Q24</vt:lpstr>
      <vt:lpstr>Tags!ITEM42_3Q00</vt:lpstr>
      <vt:lpstr>ITEM42_3Q00</vt:lpstr>
      <vt:lpstr>Tags!ITEM42_3Q01</vt:lpstr>
      <vt:lpstr>ITEM42_3Q01</vt:lpstr>
      <vt:lpstr>Tags!ITEM42_3Q02</vt:lpstr>
      <vt:lpstr>ITEM42_3Q02</vt:lpstr>
      <vt:lpstr>Tags!ITEM42_3Q03</vt:lpstr>
      <vt:lpstr>ITEM42_3Q03</vt:lpstr>
      <vt:lpstr>Tags!ITEM42_3Q04</vt:lpstr>
      <vt:lpstr>ITEM42_3Q04</vt:lpstr>
      <vt:lpstr>Tags!ITEM42_3Q05</vt:lpstr>
      <vt:lpstr>ITEM42_3Q05</vt:lpstr>
      <vt:lpstr>Tags!ITEM42_3Q06</vt:lpstr>
      <vt:lpstr>ITEM42_3Q06</vt:lpstr>
      <vt:lpstr>Tags!ITEM42_3Q07</vt:lpstr>
      <vt:lpstr>ITEM42_3Q07</vt:lpstr>
      <vt:lpstr>Tags!ITEM42_3Q08</vt:lpstr>
      <vt:lpstr>ITEM42_3Q08</vt:lpstr>
      <vt:lpstr>Tags!ITEM42_3Q09</vt:lpstr>
      <vt:lpstr>ITEM42_3Q09</vt:lpstr>
      <vt:lpstr>Tags!ITEM42_3Q10</vt:lpstr>
      <vt:lpstr>ITEM42_3Q10</vt:lpstr>
      <vt:lpstr>Tags!ITEM42_3Q11</vt:lpstr>
      <vt:lpstr>ITEM42_3Q11</vt:lpstr>
      <vt:lpstr>Tags!ITEM42_3Q12</vt:lpstr>
      <vt:lpstr>ITEM42_3Q12</vt:lpstr>
      <vt:lpstr>Tags!ITEM42_3Q13</vt:lpstr>
      <vt:lpstr>ITEM42_3Q13</vt:lpstr>
      <vt:lpstr>Tags!ITEM42_3Q14</vt:lpstr>
      <vt:lpstr>ITEM42_3Q14</vt:lpstr>
      <vt:lpstr>Tags!ITEM42_3Q15</vt:lpstr>
      <vt:lpstr>ITEM42_3Q15</vt:lpstr>
      <vt:lpstr>Tags!ITEM42_3Q16</vt:lpstr>
      <vt:lpstr>ITEM42_3Q16</vt:lpstr>
      <vt:lpstr>Tags!ITEM42_3Q17</vt:lpstr>
      <vt:lpstr>ITEM42_3Q17</vt:lpstr>
      <vt:lpstr>Tags!ITEM42_3Q18</vt:lpstr>
      <vt:lpstr>ITEM42_3Q18</vt:lpstr>
      <vt:lpstr>Tags!ITEM42_3Q19</vt:lpstr>
      <vt:lpstr>ITEM42_3Q19</vt:lpstr>
      <vt:lpstr>Tags!ITEM42_3Q20</vt:lpstr>
      <vt:lpstr>ITEM42_3Q20</vt:lpstr>
      <vt:lpstr>ITEM42_3Q21</vt:lpstr>
      <vt:lpstr>ITEM42_3Q22</vt:lpstr>
      <vt:lpstr>ITEM42_3Q23</vt:lpstr>
      <vt:lpstr>ITEM42_3Q24</vt:lpstr>
      <vt:lpstr>Tags!ITEM42_4Q00</vt:lpstr>
      <vt:lpstr>ITEM42_4Q00</vt:lpstr>
      <vt:lpstr>Tags!ITEM42_4Q01</vt:lpstr>
      <vt:lpstr>ITEM42_4Q01</vt:lpstr>
      <vt:lpstr>Tags!ITEM42_4Q02</vt:lpstr>
      <vt:lpstr>ITEM42_4Q02</vt:lpstr>
      <vt:lpstr>Tags!ITEM42_4Q03</vt:lpstr>
      <vt:lpstr>ITEM42_4Q03</vt:lpstr>
      <vt:lpstr>Tags!ITEM42_4Q04</vt:lpstr>
      <vt:lpstr>ITEM42_4Q04</vt:lpstr>
      <vt:lpstr>Tags!ITEM42_4Q05</vt:lpstr>
      <vt:lpstr>ITEM42_4Q05</vt:lpstr>
      <vt:lpstr>Tags!ITEM42_4Q06</vt:lpstr>
      <vt:lpstr>ITEM42_4Q06</vt:lpstr>
      <vt:lpstr>Tags!ITEM42_4Q07</vt:lpstr>
      <vt:lpstr>ITEM42_4Q07</vt:lpstr>
      <vt:lpstr>Tags!ITEM42_4Q08</vt:lpstr>
      <vt:lpstr>ITEM42_4Q08</vt:lpstr>
      <vt:lpstr>Tags!ITEM42_4Q09</vt:lpstr>
      <vt:lpstr>ITEM42_4Q09</vt:lpstr>
      <vt:lpstr>Tags!ITEM42_4Q10</vt:lpstr>
      <vt:lpstr>ITEM42_4Q10</vt:lpstr>
      <vt:lpstr>Tags!ITEM42_4Q11</vt:lpstr>
      <vt:lpstr>ITEM42_4Q11</vt:lpstr>
      <vt:lpstr>Tags!ITEM42_4Q12</vt:lpstr>
      <vt:lpstr>ITEM42_4Q12</vt:lpstr>
      <vt:lpstr>Tags!ITEM42_4Q13</vt:lpstr>
      <vt:lpstr>ITEM42_4Q13</vt:lpstr>
      <vt:lpstr>Tags!ITEM42_4Q14</vt:lpstr>
      <vt:lpstr>ITEM42_4Q14</vt:lpstr>
      <vt:lpstr>Tags!ITEM42_4Q15</vt:lpstr>
      <vt:lpstr>ITEM42_4Q15</vt:lpstr>
      <vt:lpstr>Tags!ITEM42_4Q16</vt:lpstr>
      <vt:lpstr>ITEM42_4Q16</vt:lpstr>
      <vt:lpstr>Tags!ITEM42_4Q17</vt:lpstr>
      <vt:lpstr>ITEM42_4Q17</vt:lpstr>
      <vt:lpstr>Tags!ITEM42_4Q18</vt:lpstr>
      <vt:lpstr>ITEM42_4Q18</vt:lpstr>
      <vt:lpstr>Tags!ITEM42_4Q19</vt:lpstr>
      <vt:lpstr>ITEM42_4Q19</vt:lpstr>
      <vt:lpstr>Tags!ITEM42_4Q20</vt:lpstr>
      <vt:lpstr>ITEM42_4Q20</vt:lpstr>
      <vt:lpstr>ITEM42_4Q21</vt:lpstr>
      <vt:lpstr>ITEM42_4Q22</vt:lpstr>
      <vt:lpstr>ITEM42_4Q23</vt:lpstr>
      <vt:lpstr>ITEM42_4Q24</vt:lpstr>
      <vt:lpstr>ITEM43_1995</vt:lpstr>
      <vt:lpstr>ITEM43_1996</vt:lpstr>
      <vt:lpstr>ITEM43_1997</vt:lpstr>
      <vt:lpstr>ITEM43_1998</vt:lpstr>
      <vt:lpstr>ITEM43_1999</vt:lpstr>
      <vt:lpstr>Tags!ITEM43_1Q00</vt:lpstr>
      <vt:lpstr>ITEM43_1Q00</vt:lpstr>
      <vt:lpstr>Tags!ITEM43_1Q01</vt:lpstr>
      <vt:lpstr>ITEM43_1Q01</vt:lpstr>
      <vt:lpstr>Tags!ITEM43_1Q02</vt:lpstr>
      <vt:lpstr>ITEM43_1Q02</vt:lpstr>
      <vt:lpstr>Tags!ITEM43_1Q03</vt:lpstr>
      <vt:lpstr>ITEM43_1Q03</vt:lpstr>
      <vt:lpstr>Tags!ITEM43_1Q04</vt:lpstr>
      <vt:lpstr>ITEM43_1Q04</vt:lpstr>
      <vt:lpstr>Tags!ITEM43_1Q05</vt:lpstr>
      <vt:lpstr>ITEM43_1Q05</vt:lpstr>
      <vt:lpstr>Tags!ITEM43_1Q06</vt:lpstr>
      <vt:lpstr>ITEM43_1Q06</vt:lpstr>
      <vt:lpstr>Tags!ITEM43_1Q07</vt:lpstr>
      <vt:lpstr>ITEM43_1Q07</vt:lpstr>
      <vt:lpstr>Tags!ITEM43_1Q08</vt:lpstr>
      <vt:lpstr>ITEM43_1Q08</vt:lpstr>
      <vt:lpstr>Tags!ITEM43_1Q09</vt:lpstr>
      <vt:lpstr>ITEM43_1Q09</vt:lpstr>
      <vt:lpstr>Tags!ITEM43_1Q10</vt:lpstr>
      <vt:lpstr>ITEM43_1Q10</vt:lpstr>
      <vt:lpstr>Tags!ITEM43_1Q11</vt:lpstr>
      <vt:lpstr>ITEM43_1Q11</vt:lpstr>
      <vt:lpstr>Tags!ITEM43_1Q12</vt:lpstr>
      <vt:lpstr>ITEM43_1Q12</vt:lpstr>
      <vt:lpstr>Tags!ITEM43_1Q13</vt:lpstr>
      <vt:lpstr>ITEM43_1Q13</vt:lpstr>
      <vt:lpstr>Tags!ITEM43_1Q14</vt:lpstr>
      <vt:lpstr>ITEM43_1Q14</vt:lpstr>
      <vt:lpstr>Tags!ITEM43_1Q15</vt:lpstr>
      <vt:lpstr>ITEM43_1Q15</vt:lpstr>
      <vt:lpstr>Tags!ITEM43_1Q16</vt:lpstr>
      <vt:lpstr>ITEM43_1Q16</vt:lpstr>
      <vt:lpstr>Tags!ITEM43_1Q17</vt:lpstr>
      <vt:lpstr>ITEM43_1Q17</vt:lpstr>
      <vt:lpstr>Tags!ITEM43_1Q18</vt:lpstr>
      <vt:lpstr>ITEM43_1Q18</vt:lpstr>
      <vt:lpstr>Tags!ITEM43_1Q19</vt:lpstr>
      <vt:lpstr>ITEM43_1Q19</vt:lpstr>
      <vt:lpstr>Tags!ITEM43_1Q20</vt:lpstr>
      <vt:lpstr>ITEM43_1Q20</vt:lpstr>
      <vt:lpstr>ITEM43_1Q21</vt:lpstr>
      <vt:lpstr>ITEM43_1Q22</vt:lpstr>
      <vt:lpstr>ITEM43_1Q23</vt:lpstr>
      <vt:lpstr>ITEM43_1Q24</vt:lpstr>
      <vt:lpstr>Tags!ITEM43_2000</vt:lpstr>
      <vt:lpstr>ITEM43_2000</vt:lpstr>
      <vt:lpstr>Tags!ITEM43_2001</vt:lpstr>
      <vt:lpstr>ITEM43_2001</vt:lpstr>
      <vt:lpstr>Tags!ITEM43_2002</vt:lpstr>
      <vt:lpstr>ITEM43_2002</vt:lpstr>
      <vt:lpstr>Tags!ITEM43_2003</vt:lpstr>
      <vt:lpstr>ITEM43_2003</vt:lpstr>
      <vt:lpstr>Tags!ITEM43_2004</vt:lpstr>
      <vt:lpstr>ITEM43_2004</vt:lpstr>
      <vt:lpstr>Tags!ITEM43_2005</vt:lpstr>
      <vt:lpstr>ITEM43_2005</vt:lpstr>
      <vt:lpstr>Tags!ITEM43_2006</vt:lpstr>
      <vt:lpstr>ITEM43_2006</vt:lpstr>
      <vt:lpstr>Tags!ITEM43_2007</vt:lpstr>
      <vt:lpstr>ITEM43_2007</vt:lpstr>
      <vt:lpstr>Tags!ITEM43_2008</vt:lpstr>
      <vt:lpstr>ITEM43_2008</vt:lpstr>
      <vt:lpstr>Tags!ITEM43_2009</vt:lpstr>
      <vt:lpstr>ITEM43_2009</vt:lpstr>
      <vt:lpstr>Tags!ITEM43_2010</vt:lpstr>
      <vt:lpstr>ITEM43_2010</vt:lpstr>
      <vt:lpstr>Tags!ITEM43_2011</vt:lpstr>
      <vt:lpstr>ITEM43_2011</vt:lpstr>
      <vt:lpstr>Tags!ITEM43_2012</vt:lpstr>
      <vt:lpstr>ITEM43_2012</vt:lpstr>
      <vt:lpstr>Tags!ITEM43_2013</vt:lpstr>
      <vt:lpstr>ITEM43_2013</vt:lpstr>
      <vt:lpstr>Tags!ITEM43_2014</vt:lpstr>
      <vt:lpstr>ITEM43_2014</vt:lpstr>
      <vt:lpstr>ITEM43_2015</vt:lpstr>
      <vt:lpstr>Tags!ITEM43_2016</vt:lpstr>
      <vt:lpstr>ITEM43_2016</vt:lpstr>
      <vt:lpstr>Tags!ITEM43_2017</vt:lpstr>
      <vt:lpstr>ITEM43_2017</vt:lpstr>
      <vt:lpstr>Tags!ITEM43_2018</vt:lpstr>
      <vt:lpstr>ITEM43_2018</vt:lpstr>
      <vt:lpstr>Tags!ITEM43_2019</vt:lpstr>
      <vt:lpstr>ITEM43_2019</vt:lpstr>
      <vt:lpstr>Tags!ITEM43_2020</vt:lpstr>
      <vt:lpstr>ITEM43_2020</vt:lpstr>
      <vt:lpstr>ITEM43_2021</vt:lpstr>
      <vt:lpstr>ITEM43_2022</vt:lpstr>
      <vt:lpstr>ITEM43_2023</vt:lpstr>
      <vt:lpstr>ITEM43_2024</vt:lpstr>
      <vt:lpstr>Tags!ITEM43_2Q00</vt:lpstr>
      <vt:lpstr>ITEM43_2Q00</vt:lpstr>
      <vt:lpstr>Tags!ITEM43_2Q01</vt:lpstr>
      <vt:lpstr>ITEM43_2Q01</vt:lpstr>
      <vt:lpstr>Tags!ITEM43_2Q02</vt:lpstr>
      <vt:lpstr>ITEM43_2Q02</vt:lpstr>
      <vt:lpstr>Tags!ITEM43_2Q03</vt:lpstr>
      <vt:lpstr>ITEM43_2Q03</vt:lpstr>
      <vt:lpstr>Tags!ITEM43_2Q04</vt:lpstr>
      <vt:lpstr>ITEM43_2Q04</vt:lpstr>
      <vt:lpstr>Tags!ITEM43_2Q05</vt:lpstr>
      <vt:lpstr>ITEM43_2Q05</vt:lpstr>
      <vt:lpstr>Tags!ITEM43_2Q06</vt:lpstr>
      <vt:lpstr>ITEM43_2Q06</vt:lpstr>
      <vt:lpstr>Tags!ITEM43_2Q07</vt:lpstr>
      <vt:lpstr>ITEM43_2Q07</vt:lpstr>
      <vt:lpstr>Tags!ITEM43_2Q08</vt:lpstr>
      <vt:lpstr>ITEM43_2Q08</vt:lpstr>
      <vt:lpstr>Tags!ITEM43_2Q09</vt:lpstr>
      <vt:lpstr>ITEM43_2Q09</vt:lpstr>
      <vt:lpstr>Tags!ITEM43_2Q10</vt:lpstr>
      <vt:lpstr>ITEM43_2Q10</vt:lpstr>
      <vt:lpstr>Tags!ITEM43_2Q11</vt:lpstr>
      <vt:lpstr>ITEM43_2Q11</vt:lpstr>
      <vt:lpstr>Tags!ITEM43_2Q12</vt:lpstr>
      <vt:lpstr>ITEM43_2Q12</vt:lpstr>
      <vt:lpstr>Tags!ITEM43_2Q13</vt:lpstr>
      <vt:lpstr>ITEM43_2Q13</vt:lpstr>
      <vt:lpstr>Tags!ITEM43_2Q14</vt:lpstr>
      <vt:lpstr>ITEM43_2Q14</vt:lpstr>
      <vt:lpstr>Tags!ITEM43_2Q15</vt:lpstr>
      <vt:lpstr>ITEM43_2Q15</vt:lpstr>
      <vt:lpstr>Tags!ITEM43_2Q16</vt:lpstr>
      <vt:lpstr>ITEM43_2Q16</vt:lpstr>
      <vt:lpstr>Tags!ITEM43_2Q17</vt:lpstr>
      <vt:lpstr>ITEM43_2Q17</vt:lpstr>
      <vt:lpstr>Tags!ITEM43_2Q18</vt:lpstr>
      <vt:lpstr>ITEM43_2Q18</vt:lpstr>
      <vt:lpstr>Tags!ITEM43_2Q19</vt:lpstr>
      <vt:lpstr>ITEM43_2Q19</vt:lpstr>
      <vt:lpstr>Tags!ITEM43_2Q20</vt:lpstr>
      <vt:lpstr>ITEM43_2Q20</vt:lpstr>
      <vt:lpstr>ITEM43_2Q21</vt:lpstr>
      <vt:lpstr>ITEM43_2Q22</vt:lpstr>
      <vt:lpstr>ITEM43_2Q23</vt:lpstr>
      <vt:lpstr>ITEM43_2Q24</vt:lpstr>
      <vt:lpstr>Tags!ITEM43_3Q00</vt:lpstr>
      <vt:lpstr>ITEM43_3Q00</vt:lpstr>
      <vt:lpstr>Tags!ITEM43_3Q01</vt:lpstr>
      <vt:lpstr>ITEM43_3Q01</vt:lpstr>
      <vt:lpstr>Tags!ITEM43_3Q02</vt:lpstr>
      <vt:lpstr>ITEM43_3Q02</vt:lpstr>
      <vt:lpstr>Tags!ITEM43_3Q03</vt:lpstr>
      <vt:lpstr>ITEM43_3Q03</vt:lpstr>
      <vt:lpstr>Tags!ITEM43_3Q04</vt:lpstr>
      <vt:lpstr>ITEM43_3Q04</vt:lpstr>
      <vt:lpstr>Tags!ITEM43_3Q05</vt:lpstr>
      <vt:lpstr>ITEM43_3Q05</vt:lpstr>
      <vt:lpstr>Tags!ITEM43_3Q06</vt:lpstr>
      <vt:lpstr>ITEM43_3Q06</vt:lpstr>
      <vt:lpstr>Tags!ITEM43_3Q07</vt:lpstr>
      <vt:lpstr>ITEM43_3Q07</vt:lpstr>
      <vt:lpstr>Tags!ITEM43_3Q08</vt:lpstr>
      <vt:lpstr>ITEM43_3Q08</vt:lpstr>
      <vt:lpstr>Tags!ITEM43_3Q09</vt:lpstr>
      <vt:lpstr>ITEM43_3Q09</vt:lpstr>
      <vt:lpstr>Tags!ITEM43_3Q10</vt:lpstr>
      <vt:lpstr>ITEM43_3Q10</vt:lpstr>
      <vt:lpstr>Tags!ITEM43_3Q11</vt:lpstr>
      <vt:lpstr>ITEM43_3Q11</vt:lpstr>
      <vt:lpstr>Tags!ITEM43_3Q12</vt:lpstr>
      <vt:lpstr>ITEM43_3Q12</vt:lpstr>
      <vt:lpstr>Tags!ITEM43_3Q13</vt:lpstr>
      <vt:lpstr>ITEM43_3Q13</vt:lpstr>
      <vt:lpstr>Tags!ITEM43_3Q14</vt:lpstr>
      <vt:lpstr>ITEM43_3Q14</vt:lpstr>
      <vt:lpstr>Tags!ITEM43_3Q15</vt:lpstr>
      <vt:lpstr>ITEM43_3Q15</vt:lpstr>
      <vt:lpstr>Tags!ITEM43_3Q16</vt:lpstr>
      <vt:lpstr>ITEM43_3Q16</vt:lpstr>
      <vt:lpstr>Tags!ITEM43_3Q17</vt:lpstr>
      <vt:lpstr>ITEM43_3Q17</vt:lpstr>
      <vt:lpstr>Tags!ITEM43_3Q18</vt:lpstr>
      <vt:lpstr>ITEM43_3Q18</vt:lpstr>
      <vt:lpstr>Tags!ITEM43_3Q19</vt:lpstr>
      <vt:lpstr>ITEM43_3Q19</vt:lpstr>
      <vt:lpstr>Tags!ITEM43_3Q20</vt:lpstr>
      <vt:lpstr>ITEM43_3Q20</vt:lpstr>
      <vt:lpstr>ITEM43_3Q21</vt:lpstr>
      <vt:lpstr>ITEM43_3Q22</vt:lpstr>
      <vt:lpstr>ITEM43_3Q23</vt:lpstr>
      <vt:lpstr>ITEM43_3Q24</vt:lpstr>
      <vt:lpstr>Tags!ITEM43_4Q00</vt:lpstr>
      <vt:lpstr>ITEM43_4Q00</vt:lpstr>
      <vt:lpstr>Tags!ITEM43_4Q01</vt:lpstr>
      <vt:lpstr>ITEM43_4Q01</vt:lpstr>
      <vt:lpstr>Tags!ITEM43_4Q02</vt:lpstr>
      <vt:lpstr>ITEM43_4Q02</vt:lpstr>
      <vt:lpstr>Tags!ITEM43_4Q03</vt:lpstr>
      <vt:lpstr>ITEM43_4Q03</vt:lpstr>
      <vt:lpstr>Tags!ITEM43_4Q04</vt:lpstr>
      <vt:lpstr>ITEM43_4Q04</vt:lpstr>
      <vt:lpstr>Tags!ITEM43_4Q05</vt:lpstr>
      <vt:lpstr>ITEM43_4Q05</vt:lpstr>
      <vt:lpstr>Tags!ITEM43_4Q06</vt:lpstr>
      <vt:lpstr>ITEM43_4Q06</vt:lpstr>
      <vt:lpstr>Tags!ITEM43_4Q07</vt:lpstr>
      <vt:lpstr>ITEM43_4Q07</vt:lpstr>
      <vt:lpstr>Tags!ITEM43_4Q08</vt:lpstr>
      <vt:lpstr>ITEM43_4Q08</vt:lpstr>
      <vt:lpstr>Tags!ITEM43_4Q09</vt:lpstr>
      <vt:lpstr>ITEM43_4Q09</vt:lpstr>
      <vt:lpstr>Tags!ITEM43_4Q10</vt:lpstr>
      <vt:lpstr>ITEM43_4Q10</vt:lpstr>
      <vt:lpstr>Tags!ITEM43_4Q11</vt:lpstr>
      <vt:lpstr>ITEM43_4Q11</vt:lpstr>
      <vt:lpstr>Tags!ITEM43_4Q12</vt:lpstr>
      <vt:lpstr>ITEM43_4Q12</vt:lpstr>
      <vt:lpstr>Tags!ITEM43_4Q13</vt:lpstr>
      <vt:lpstr>ITEM43_4Q13</vt:lpstr>
      <vt:lpstr>Tags!ITEM43_4Q14</vt:lpstr>
      <vt:lpstr>ITEM43_4Q14</vt:lpstr>
      <vt:lpstr>Tags!ITEM43_4Q15</vt:lpstr>
      <vt:lpstr>ITEM43_4Q15</vt:lpstr>
      <vt:lpstr>Tags!ITEM43_4Q16</vt:lpstr>
      <vt:lpstr>ITEM43_4Q16</vt:lpstr>
      <vt:lpstr>Tags!ITEM43_4Q17</vt:lpstr>
      <vt:lpstr>ITEM43_4Q17</vt:lpstr>
      <vt:lpstr>Tags!ITEM43_4Q18</vt:lpstr>
      <vt:lpstr>ITEM43_4Q18</vt:lpstr>
      <vt:lpstr>Tags!ITEM43_4Q19</vt:lpstr>
      <vt:lpstr>ITEM43_4Q19</vt:lpstr>
      <vt:lpstr>Tags!ITEM43_4Q20</vt:lpstr>
      <vt:lpstr>ITEM43_4Q20</vt:lpstr>
      <vt:lpstr>ITEM43_4Q21</vt:lpstr>
      <vt:lpstr>ITEM43_4Q22</vt:lpstr>
      <vt:lpstr>ITEM43_4Q23</vt:lpstr>
      <vt:lpstr>ITEM43_4Q24</vt:lpstr>
      <vt:lpstr>ITEM44_1995</vt:lpstr>
      <vt:lpstr>ITEM44_1996</vt:lpstr>
      <vt:lpstr>ITEM44_1997</vt:lpstr>
      <vt:lpstr>ITEM44_1998</vt:lpstr>
      <vt:lpstr>ITEM44_1999</vt:lpstr>
      <vt:lpstr>Tags!ITEM44_1Q00</vt:lpstr>
      <vt:lpstr>ITEM44_1Q00</vt:lpstr>
      <vt:lpstr>Tags!ITEM44_1Q01</vt:lpstr>
      <vt:lpstr>ITEM44_1Q01</vt:lpstr>
      <vt:lpstr>Tags!ITEM44_1Q02</vt:lpstr>
      <vt:lpstr>ITEM44_1Q02</vt:lpstr>
      <vt:lpstr>Tags!ITEM44_1Q03</vt:lpstr>
      <vt:lpstr>ITEM44_1Q03</vt:lpstr>
      <vt:lpstr>Tags!ITEM44_1Q04</vt:lpstr>
      <vt:lpstr>ITEM44_1Q04</vt:lpstr>
      <vt:lpstr>Tags!ITEM44_1Q05</vt:lpstr>
      <vt:lpstr>ITEM44_1Q05</vt:lpstr>
      <vt:lpstr>Tags!ITEM44_1Q06</vt:lpstr>
      <vt:lpstr>ITEM44_1Q06</vt:lpstr>
      <vt:lpstr>Tags!ITEM44_1Q07</vt:lpstr>
      <vt:lpstr>ITEM44_1Q07</vt:lpstr>
      <vt:lpstr>Tags!ITEM44_1Q08</vt:lpstr>
      <vt:lpstr>ITEM44_1Q08</vt:lpstr>
      <vt:lpstr>Tags!ITEM44_1Q09</vt:lpstr>
      <vt:lpstr>ITEM44_1Q09</vt:lpstr>
      <vt:lpstr>Tags!ITEM44_1Q10</vt:lpstr>
      <vt:lpstr>ITEM44_1Q10</vt:lpstr>
      <vt:lpstr>Tags!ITEM44_1Q11</vt:lpstr>
      <vt:lpstr>ITEM44_1Q11</vt:lpstr>
      <vt:lpstr>Tags!ITEM44_1Q12</vt:lpstr>
      <vt:lpstr>ITEM44_1Q12</vt:lpstr>
      <vt:lpstr>Tags!ITEM44_1Q13</vt:lpstr>
      <vt:lpstr>ITEM44_1Q13</vt:lpstr>
      <vt:lpstr>Tags!ITEM44_1Q14</vt:lpstr>
      <vt:lpstr>ITEM44_1Q14</vt:lpstr>
      <vt:lpstr>Tags!ITEM44_1Q15</vt:lpstr>
      <vt:lpstr>ITEM44_1Q15</vt:lpstr>
      <vt:lpstr>Tags!ITEM44_1Q16</vt:lpstr>
      <vt:lpstr>ITEM44_1Q16</vt:lpstr>
      <vt:lpstr>Tags!ITEM44_1Q17</vt:lpstr>
      <vt:lpstr>ITEM44_1Q17</vt:lpstr>
      <vt:lpstr>Tags!ITEM44_1Q18</vt:lpstr>
      <vt:lpstr>ITEM44_1Q18</vt:lpstr>
      <vt:lpstr>Tags!ITEM44_1Q19</vt:lpstr>
      <vt:lpstr>ITEM44_1Q19</vt:lpstr>
      <vt:lpstr>Tags!ITEM44_1Q20</vt:lpstr>
      <vt:lpstr>ITEM44_1Q20</vt:lpstr>
      <vt:lpstr>ITEM44_1Q21</vt:lpstr>
      <vt:lpstr>ITEM44_1Q22</vt:lpstr>
      <vt:lpstr>ITEM44_1Q23</vt:lpstr>
      <vt:lpstr>ITEM44_1Q24</vt:lpstr>
      <vt:lpstr>Tags!ITEM44_2000</vt:lpstr>
      <vt:lpstr>ITEM44_2000</vt:lpstr>
      <vt:lpstr>Tags!ITEM44_2001</vt:lpstr>
      <vt:lpstr>ITEM44_2001</vt:lpstr>
      <vt:lpstr>Tags!ITEM44_2002</vt:lpstr>
      <vt:lpstr>ITEM44_2002</vt:lpstr>
      <vt:lpstr>Tags!ITEM44_2003</vt:lpstr>
      <vt:lpstr>ITEM44_2003</vt:lpstr>
      <vt:lpstr>Tags!ITEM44_2004</vt:lpstr>
      <vt:lpstr>ITEM44_2004</vt:lpstr>
      <vt:lpstr>Tags!ITEM44_2005</vt:lpstr>
      <vt:lpstr>ITEM44_2005</vt:lpstr>
      <vt:lpstr>Tags!ITEM44_2006</vt:lpstr>
      <vt:lpstr>ITEM44_2006</vt:lpstr>
      <vt:lpstr>Tags!ITEM44_2007</vt:lpstr>
      <vt:lpstr>ITEM44_2007</vt:lpstr>
      <vt:lpstr>Tags!ITEM44_2008</vt:lpstr>
      <vt:lpstr>ITEM44_2008</vt:lpstr>
      <vt:lpstr>Tags!ITEM44_2009</vt:lpstr>
      <vt:lpstr>ITEM44_2009</vt:lpstr>
      <vt:lpstr>Tags!ITEM44_2010</vt:lpstr>
      <vt:lpstr>ITEM44_2010</vt:lpstr>
      <vt:lpstr>Tags!ITEM44_2011</vt:lpstr>
      <vt:lpstr>ITEM44_2011</vt:lpstr>
      <vt:lpstr>Tags!ITEM44_2012</vt:lpstr>
      <vt:lpstr>ITEM44_2012</vt:lpstr>
      <vt:lpstr>Tags!ITEM44_2013</vt:lpstr>
      <vt:lpstr>ITEM44_2013</vt:lpstr>
      <vt:lpstr>Tags!ITEM44_2014</vt:lpstr>
      <vt:lpstr>ITEM44_2014</vt:lpstr>
      <vt:lpstr>ITEM44_2015</vt:lpstr>
      <vt:lpstr>Tags!ITEM44_2016</vt:lpstr>
      <vt:lpstr>ITEM44_2016</vt:lpstr>
      <vt:lpstr>Tags!ITEM44_2017</vt:lpstr>
      <vt:lpstr>ITEM44_2017</vt:lpstr>
      <vt:lpstr>Tags!ITEM44_2018</vt:lpstr>
      <vt:lpstr>ITEM44_2018</vt:lpstr>
      <vt:lpstr>Tags!ITEM44_2019</vt:lpstr>
      <vt:lpstr>ITEM44_2019</vt:lpstr>
      <vt:lpstr>Tags!ITEM44_2020</vt:lpstr>
      <vt:lpstr>ITEM44_2020</vt:lpstr>
      <vt:lpstr>ITEM44_2021</vt:lpstr>
      <vt:lpstr>ITEM44_2022</vt:lpstr>
      <vt:lpstr>ITEM44_2023</vt:lpstr>
      <vt:lpstr>ITEM44_2024</vt:lpstr>
      <vt:lpstr>Tags!ITEM44_2Q00</vt:lpstr>
      <vt:lpstr>ITEM44_2Q00</vt:lpstr>
      <vt:lpstr>Tags!ITEM44_2Q01</vt:lpstr>
      <vt:lpstr>ITEM44_2Q01</vt:lpstr>
      <vt:lpstr>Tags!ITEM44_2Q02</vt:lpstr>
      <vt:lpstr>ITEM44_2Q02</vt:lpstr>
      <vt:lpstr>Tags!ITEM44_2Q03</vt:lpstr>
      <vt:lpstr>ITEM44_2Q03</vt:lpstr>
      <vt:lpstr>Tags!ITEM44_2Q04</vt:lpstr>
      <vt:lpstr>ITEM44_2Q04</vt:lpstr>
      <vt:lpstr>Tags!ITEM44_2Q05</vt:lpstr>
      <vt:lpstr>ITEM44_2Q05</vt:lpstr>
      <vt:lpstr>Tags!ITEM44_2Q06</vt:lpstr>
      <vt:lpstr>ITEM44_2Q06</vt:lpstr>
      <vt:lpstr>Tags!ITEM44_2Q07</vt:lpstr>
      <vt:lpstr>ITEM44_2Q07</vt:lpstr>
      <vt:lpstr>Tags!ITEM44_2Q08</vt:lpstr>
      <vt:lpstr>ITEM44_2Q08</vt:lpstr>
      <vt:lpstr>Tags!ITEM44_2Q09</vt:lpstr>
      <vt:lpstr>ITEM44_2Q09</vt:lpstr>
      <vt:lpstr>Tags!ITEM44_2Q10</vt:lpstr>
      <vt:lpstr>ITEM44_2Q10</vt:lpstr>
      <vt:lpstr>Tags!ITEM44_2Q11</vt:lpstr>
      <vt:lpstr>ITEM44_2Q11</vt:lpstr>
      <vt:lpstr>Tags!ITEM44_2Q12</vt:lpstr>
      <vt:lpstr>ITEM44_2Q12</vt:lpstr>
      <vt:lpstr>Tags!ITEM44_2Q13</vt:lpstr>
      <vt:lpstr>ITEM44_2Q13</vt:lpstr>
      <vt:lpstr>Tags!ITEM44_2Q14</vt:lpstr>
      <vt:lpstr>ITEM44_2Q14</vt:lpstr>
      <vt:lpstr>Tags!ITEM44_2Q15</vt:lpstr>
      <vt:lpstr>ITEM44_2Q15</vt:lpstr>
      <vt:lpstr>Tags!ITEM44_2Q16</vt:lpstr>
      <vt:lpstr>ITEM44_2Q16</vt:lpstr>
      <vt:lpstr>Tags!ITEM44_2Q17</vt:lpstr>
      <vt:lpstr>ITEM44_2Q17</vt:lpstr>
      <vt:lpstr>Tags!ITEM44_2Q18</vt:lpstr>
      <vt:lpstr>ITEM44_2Q18</vt:lpstr>
      <vt:lpstr>Tags!ITEM44_2Q19</vt:lpstr>
      <vt:lpstr>ITEM44_2Q19</vt:lpstr>
      <vt:lpstr>Tags!ITEM44_2Q20</vt:lpstr>
      <vt:lpstr>ITEM44_2Q20</vt:lpstr>
      <vt:lpstr>ITEM44_2Q21</vt:lpstr>
      <vt:lpstr>ITEM44_2Q22</vt:lpstr>
      <vt:lpstr>ITEM44_2Q23</vt:lpstr>
      <vt:lpstr>ITEM44_2Q24</vt:lpstr>
      <vt:lpstr>Tags!ITEM44_3Q00</vt:lpstr>
      <vt:lpstr>ITEM44_3Q00</vt:lpstr>
      <vt:lpstr>Tags!ITEM44_3Q01</vt:lpstr>
      <vt:lpstr>ITEM44_3Q01</vt:lpstr>
      <vt:lpstr>Tags!ITEM44_3Q02</vt:lpstr>
      <vt:lpstr>ITEM44_3Q02</vt:lpstr>
      <vt:lpstr>Tags!ITEM44_3Q03</vt:lpstr>
      <vt:lpstr>ITEM44_3Q03</vt:lpstr>
      <vt:lpstr>Tags!ITEM44_3Q04</vt:lpstr>
      <vt:lpstr>ITEM44_3Q04</vt:lpstr>
      <vt:lpstr>Tags!ITEM44_3Q05</vt:lpstr>
      <vt:lpstr>ITEM44_3Q05</vt:lpstr>
      <vt:lpstr>Tags!ITEM44_3Q06</vt:lpstr>
      <vt:lpstr>ITEM44_3Q06</vt:lpstr>
      <vt:lpstr>Tags!ITEM44_3Q07</vt:lpstr>
      <vt:lpstr>ITEM44_3Q07</vt:lpstr>
      <vt:lpstr>Tags!ITEM44_3Q08</vt:lpstr>
      <vt:lpstr>ITEM44_3Q08</vt:lpstr>
      <vt:lpstr>Tags!ITEM44_3Q09</vt:lpstr>
      <vt:lpstr>ITEM44_3Q09</vt:lpstr>
      <vt:lpstr>Tags!ITEM44_3Q10</vt:lpstr>
      <vt:lpstr>ITEM44_3Q10</vt:lpstr>
      <vt:lpstr>Tags!ITEM44_3Q11</vt:lpstr>
      <vt:lpstr>ITEM44_3Q11</vt:lpstr>
      <vt:lpstr>Tags!ITEM44_3Q12</vt:lpstr>
      <vt:lpstr>ITEM44_3Q12</vt:lpstr>
      <vt:lpstr>Tags!ITEM44_3Q13</vt:lpstr>
      <vt:lpstr>ITEM44_3Q13</vt:lpstr>
      <vt:lpstr>Tags!ITEM44_3Q14</vt:lpstr>
      <vt:lpstr>ITEM44_3Q14</vt:lpstr>
      <vt:lpstr>Tags!ITEM44_3Q15</vt:lpstr>
      <vt:lpstr>ITEM44_3Q15</vt:lpstr>
      <vt:lpstr>Tags!ITEM44_3Q16</vt:lpstr>
      <vt:lpstr>ITEM44_3Q16</vt:lpstr>
      <vt:lpstr>Tags!ITEM44_3Q17</vt:lpstr>
      <vt:lpstr>ITEM44_3Q17</vt:lpstr>
      <vt:lpstr>Tags!ITEM44_3Q18</vt:lpstr>
      <vt:lpstr>ITEM44_3Q18</vt:lpstr>
      <vt:lpstr>Tags!ITEM44_3Q19</vt:lpstr>
      <vt:lpstr>ITEM44_3Q19</vt:lpstr>
      <vt:lpstr>Tags!ITEM44_3Q20</vt:lpstr>
      <vt:lpstr>ITEM44_3Q20</vt:lpstr>
      <vt:lpstr>ITEM44_3Q21</vt:lpstr>
      <vt:lpstr>ITEM44_3Q22</vt:lpstr>
      <vt:lpstr>ITEM44_3Q23</vt:lpstr>
      <vt:lpstr>ITEM44_3Q24</vt:lpstr>
      <vt:lpstr>Tags!ITEM44_4Q00</vt:lpstr>
      <vt:lpstr>ITEM44_4Q00</vt:lpstr>
      <vt:lpstr>Tags!ITEM44_4Q01</vt:lpstr>
      <vt:lpstr>ITEM44_4Q01</vt:lpstr>
      <vt:lpstr>Tags!ITEM44_4Q02</vt:lpstr>
      <vt:lpstr>ITEM44_4Q02</vt:lpstr>
      <vt:lpstr>Tags!ITEM44_4Q03</vt:lpstr>
      <vt:lpstr>ITEM44_4Q03</vt:lpstr>
      <vt:lpstr>Tags!ITEM44_4Q04</vt:lpstr>
      <vt:lpstr>ITEM44_4Q04</vt:lpstr>
      <vt:lpstr>Tags!ITEM44_4Q05</vt:lpstr>
      <vt:lpstr>ITEM44_4Q05</vt:lpstr>
      <vt:lpstr>Tags!ITEM44_4Q06</vt:lpstr>
      <vt:lpstr>ITEM44_4Q06</vt:lpstr>
      <vt:lpstr>Tags!ITEM44_4Q07</vt:lpstr>
      <vt:lpstr>ITEM44_4Q07</vt:lpstr>
      <vt:lpstr>Tags!ITEM44_4Q08</vt:lpstr>
      <vt:lpstr>ITEM44_4Q08</vt:lpstr>
      <vt:lpstr>Tags!ITEM44_4Q09</vt:lpstr>
      <vt:lpstr>ITEM44_4Q09</vt:lpstr>
      <vt:lpstr>Tags!ITEM44_4Q10</vt:lpstr>
      <vt:lpstr>ITEM44_4Q10</vt:lpstr>
      <vt:lpstr>Tags!ITEM44_4Q11</vt:lpstr>
      <vt:lpstr>ITEM44_4Q11</vt:lpstr>
      <vt:lpstr>Tags!ITEM44_4Q12</vt:lpstr>
      <vt:lpstr>ITEM44_4Q12</vt:lpstr>
      <vt:lpstr>Tags!ITEM44_4Q13</vt:lpstr>
      <vt:lpstr>ITEM44_4Q13</vt:lpstr>
      <vt:lpstr>Tags!ITEM44_4Q14</vt:lpstr>
      <vt:lpstr>ITEM44_4Q14</vt:lpstr>
      <vt:lpstr>Tags!ITEM44_4Q15</vt:lpstr>
      <vt:lpstr>ITEM44_4Q15</vt:lpstr>
      <vt:lpstr>Tags!ITEM44_4Q16</vt:lpstr>
      <vt:lpstr>ITEM44_4Q16</vt:lpstr>
      <vt:lpstr>Tags!ITEM44_4Q17</vt:lpstr>
      <vt:lpstr>ITEM44_4Q17</vt:lpstr>
      <vt:lpstr>Tags!ITEM44_4Q18</vt:lpstr>
      <vt:lpstr>ITEM44_4Q18</vt:lpstr>
      <vt:lpstr>Tags!ITEM44_4Q19</vt:lpstr>
      <vt:lpstr>ITEM44_4Q19</vt:lpstr>
      <vt:lpstr>Tags!ITEM44_4Q20</vt:lpstr>
      <vt:lpstr>ITEM44_4Q20</vt:lpstr>
      <vt:lpstr>ITEM44_4Q21</vt:lpstr>
      <vt:lpstr>ITEM44_4Q22</vt:lpstr>
      <vt:lpstr>ITEM44_4Q23</vt:lpstr>
      <vt:lpstr>ITEM44_4Q24</vt:lpstr>
      <vt:lpstr>ITEM45_1995</vt:lpstr>
      <vt:lpstr>ITEM45_1996</vt:lpstr>
      <vt:lpstr>ITEM45_1997</vt:lpstr>
      <vt:lpstr>ITEM45_1998</vt:lpstr>
      <vt:lpstr>ITEM45_1999</vt:lpstr>
      <vt:lpstr>Tags!ITEM45_1Q00</vt:lpstr>
      <vt:lpstr>ITEM45_1Q00</vt:lpstr>
      <vt:lpstr>Tags!ITEM45_1Q01</vt:lpstr>
      <vt:lpstr>ITEM45_1Q01</vt:lpstr>
      <vt:lpstr>Tags!ITEM45_1Q02</vt:lpstr>
      <vt:lpstr>ITEM45_1Q02</vt:lpstr>
      <vt:lpstr>Tags!ITEM45_1Q03</vt:lpstr>
      <vt:lpstr>ITEM45_1Q03</vt:lpstr>
      <vt:lpstr>Tags!ITEM45_1Q04</vt:lpstr>
      <vt:lpstr>ITEM45_1Q04</vt:lpstr>
      <vt:lpstr>Tags!ITEM45_1Q05</vt:lpstr>
      <vt:lpstr>ITEM45_1Q05</vt:lpstr>
      <vt:lpstr>Tags!ITEM45_1Q06</vt:lpstr>
      <vt:lpstr>ITEM45_1Q06</vt:lpstr>
      <vt:lpstr>Tags!ITEM45_1Q07</vt:lpstr>
      <vt:lpstr>ITEM45_1Q07</vt:lpstr>
      <vt:lpstr>Tags!ITEM45_1Q08</vt:lpstr>
      <vt:lpstr>ITEM45_1Q08</vt:lpstr>
      <vt:lpstr>Tags!ITEM45_1Q09</vt:lpstr>
      <vt:lpstr>ITEM45_1Q09</vt:lpstr>
      <vt:lpstr>Tags!ITEM45_1Q10</vt:lpstr>
      <vt:lpstr>ITEM45_1Q10</vt:lpstr>
      <vt:lpstr>Tags!ITEM45_1Q11</vt:lpstr>
      <vt:lpstr>ITEM45_1Q11</vt:lpstr>
      <vt:lpstr>Tags!ITEM45_1Q12</vt:lpstr>
      <vt:lpstr>ITEM45_1Q12</vt:lpstr>
      <vt:lpstr>Tags!ITEM45_1Q13</vt:lpstr>
      <vt:lpstr>ITEM45_1Q13</vt:lpstr>
      <vt:lpstr>Tags!ITEM45_1Q14</vt:lpstr>
      <vt:lpstr>ITEM45_1Q14</vt:lpstr>
      <vt:lpstr>Tags!ITEM45_1Q15</vt:lpstr>
      <vt:lpstr>ITEM45_1Q15</vt:lpstr>
      <vt:lpstr>Tags!ITEM45_1Q16</vt:lpstr>
      <vt:lpstr>ITEM45_1Q16</vt:lpstr>
      <vt:lpstr>Tags!ITEM45_1Q17</vt:lpstr>
      <vt:lpstr>ITEM45_1Q17</vt:lpstr>
      <vt:lpstr>Tags!ITEM45_1Q18</vt:lpstr>
      <vt:lpstr>ITEM45_1Q18</vt:lpstr>
      <vt:lpstr>Tags!ITEM45_1Q19</vt:lpstr>
      <vt:lpstr>ITEM45_1Q19</vt:lpstr>
      <vt:lpstr>Tags!ITEM45_1Q20</vt:lpstr>
      <vt:lpstr>ITEM45_1Q20</vt:lpstr>
      <vt:lpstr>ITEM45_1Q21</vt:lpstr>
      <vt:lpstr>ITEM45_1Q22</vt:lpstr>
      <vt:lpstr>ITEM45_1Q23</vt:lpstr>
      <vt:lpstr>ITEM45_1Q24</vt:lpstr>
      <vt:lpstr>Tags!ITEM45_2000</vt:lpstr>
      <vt:lpstr>ITEM45_2000</vt:lpstr>
      <vt:lpstr>Tags!ITEM45_2001</vt:lpstr>
      <vt:lpstr>ITEM45_2001</vt:lpstr>
      <vt:lpstr>Tags!ITEM45_2002</vt:lpstr>
      <vt:lpstr>ITEM45_2002</vt:lpstr>
      <vt:lpstr>Tags!ITEM45_2003</vt:lpstr>
      <vt:lpstr>ITEM45_2003</vt:lpstr>
      <vt:lpstr>Tags!ITEM45_2004</vt:lpstr>
      <vt:lpstr>ITEM45_2004</vt:lpstr>
      <vt:lpstr>Tags!ITEM45_2005</vt:lpstr>
      <vt:lpstr>ITEM45_2005</vt:lpstr>
      <vt:lpstr>Tags!ITEM45_2006</vt:lpstr>
      <vt:lpstr>ITEM45_2006</vt:lpstr>
      <vt:lpstr>Tags!ITEM45_2007</vt:lpstr>
      <vt:lpstr>ITEM45_2007</vt:lpstr>
      <vt:lpstr>Tags!ITEM45_2008</vt:lpstr>
      <vt:lpstr>ITEM45_2008</vt:lpstr>
      <vt:lpstr>Tags!ITEM45_2009</vt:lpstr>
      <vt:lpstr>ITEM45_2009</vt:lpstr>
      <vt:lpstr>Tags!ITEM45_2010</vt:lpstr>
      <vt:lpstr>ITEM45_2010</vt:lpstr>
      <vt:lpstr>Tags!ITEM45_2011</vt:lpstr>
      <vt:lpstr>ITEM45_2011</vt:lpstr>
      <vt:lpstr>Tags!ITEM45_2012</vt:lpstr>
      <vt:lpstr>ITEM45_2012</vt:lpstr>
      <vt:lpstr>Tags!ITEM45_2013</vt:lpstr>
      <vt:lpstr>ITEM45_2013</vt:lpstr>
      <vt:lpstr>Tags!ITEM45_2014</vt:lpstr>
      <vt:lpstr>ITEM45_2014</vt:lpstr>
      <vt:lpstr>ITEM45_2015</vt:lpstr>
      <vt:lpstr>Tags!ITEM45_2016</vt:lpstr>
      <vt:lpstr>ITEM45_2016</vt:lpstr>
      <vt:lpstr>Tags!ITEM45_2017</vt:lpstr>
      <vt:lpstr>ITEM45_2017</vt:lpstr>
      <vt:lpstr>Tags!ITEM45_2018</vt:lpstr>
      <vt:lpstr>ITEM45_2018</vt:lpstr>
      <vt:lpstr>Tags!ITEM45_2019</vt:lpstr>
      <vt:lpstr>ITEM45_2019</vt:lpstr>
      <vt:lpstr>Tags!ITEM45_2020</vt:lpstr>
      <vt:lpstr>ITEM45_2020</vt:lpstr>
      <vt:lpstr>ITEM45_2021</vt:lpstr>
      <vt:lpstr>ITEM45_2022</vt:lpstr>
      <vt:lpstr>ITEM45_2023</vt:lpstr>
      <vt:lpstr>ITEM45_2024</vt:lpstr>
      <vt:lpstr>Tags!ITEM45_2Q00</vt:lpstr>
      <vt:lpstr>ITEM45_2Q00</vt:lpstr>
      <vt:lpstr>Tags!ITEM45_2Q01</vt:lpstr>
      <vt:lpstr>ITEM45_2Q01</vt:lpstr>
      <vt:lpstr>Tags!ITEM45_2Q02</vt:lpstr>
      <vt:lpstr>ITEM45_2Q02</vt:lpstr>
      <vt:lpstr>Tags!ITEM45_2Q03</vt:lpstr>
      <vt:lpstr>ITEM45_2Q03</vt:lpstr>
      <vt:lpstr>Tags!ITEM45_2Q04</vt:lpstr>
      <vt:lpstr>ITEM45_2Q04</vt:lpstr>
      <vt:lpstr>Tags!ITEM45_2Q05</vt:lpstr>
      <vt:lpstr>ITEM45_2Q05</vt:lpstr>
      <vt:lpstr>Tags!ITEM45_2Q06</vt:lpstr>
      <vt:lpstr>ITEM45_2Q06</vt:lpstr>
      <vt:lpstr>Tags!ITEM45_2Q07</vt:lpstr>
      <vt:lpstr>ITEM45_2Q07</vt:lpstr>
      <vt:lpstr>Tags!ITEM45_2Q08</vt:lpstr>
      <vt:lpstr>ITEM45_2Q08</vt:lpstr>
      <vt:lpstr>Tags!ITEM45_2Q09</vt:lpstr>
      <vt:lpstr>ITEM45_2Q09</vt:lpstr>
      <vt:lpstr>Tags!ITEM45_2Q10</vt:lpstr>
      <vt:lpstr>ITEM45_2Q10</vt:lpstr>
      <vt:lpstr>Tags!ITEM45_2Q11</vt:lpstr>
      <vt:lpstr>ITEM45_2Q11</vt:lpstr>
      <vt:lpstr>Tags!ITEM45_2Q12</vt:lpstr>
      <vt:lpstr>ITEM45_2Q12</vt:lpstr>
      <vt:lpstr>Tags!ITEM45_2Q13</vt:lpstr>
      <vt:lpstr>ITEM45_2Q13</vt:lpstr>
      <vt:lpstr>Tags!ITEM45_2Q14</vt:lpstr>
      <vt:lpstr>ITEM45_2Q14</vt:lpstr>
      <vt:lpstr>Tags!ITEM45_2Q15</vt:lpstr>
      <vt:lpstr>ITEM45_2Q15</vt:lpstr>
      <vt:lpstr>Tags!ITEM45_2Q16</vt:lpstr>
      <vt:lpstr>ITEM45_2Q16</vt:lpstr>
      <vt:lpstr>Tags!ITEM45_2Q17</vt:lpstr>
      <vt:lpstr>ITEM45_2Q17</vt:lpstr>
      <vt:lpstr>Tags!ITEM45_2Q18</vt:lpstr>
      <vt:lpstr>ITEM45_2Q18</vt:lpstr>
      <vt:lpstr>Tags!ITEM45_2Q19</vt:lpstr>
      <vt:lpstr>ITEM45_2Q19</vt:lpstr>
      <vt:lpstr>Tags!ITEM45_2Q20</vt:lpstr>
      <vt:lpstr>ITEM45_2Q20</vt:lpstr>
      <vt:lpstr>ITEM45_2Q21</vt:lpstr>
      <vt:lpstr>ITEM45_2Q22</vt:lpstr>
      <vt:lpstr>ITEM45_2Q23</vt:lpstr>
      <vt:lpstr>ITEM45_2Q24</vt:lpstr>
      <vt:lpstr>Tags!ITEM45_3Q00</vt:lpstr>
      <vt:lpstr>ITEM45_3Q00</vt:lpstr>
      <vt:lpstr>Tags!ITEM45_3Q01</vt:lpstr>
      <vt:lpstr>ITEM45_3Q01</vt:lpstr>
      <vt:lpstr>Tags!ITEM45_3Q02</vt:lpstr>
      <vt:lpstr>ITEM45_3Q02</vt:lpstr>
      <vt:lpstr>Tags!ITEM45_3Q03</vt:lpstr>
      <vt:lpstr>ITEM45_3Q03</vt:lpstr>
      <vt:lpstr>Tags!ITEM45_3Q04</vt:lpstr>
      <vt:lpstr>ITEM45_3Q04</vt:lpstr>
      <vt:lpstr>Tags!ITEM45_3Q05</vt:lpstr>
      <vt:lpstr>ITEM45_3Q05</vt:lpstr>
      <vt:lpstr>Tags!ITEM45_3Q06</vt:lpstr>
      <vt:lpstr>ITEM45_3Q06</vt:lpstr>
      <vt:lpstr>Tags!ITEM45_3Q07</vt:lpstr>
      <vt:lpstr>ITEM45_3Q07</vt:lpstr>
      <vt:lpstr>Tags!ITEM45_3Q08</vt:lpstr>
      <vt:lpstr>ITEM45_3Q08</vt:lpstr>
      <vt:lpstr>Tags!ITEM45_3Q09</vt:lpstr>
      <vt:lpstr>ITEM45_3Q09</vt:lpstr>
      <vt:lpstr>Tags!ITEM45_3Q10</vt:lpstr>
      <vt:lpstr>ITEM45_3Q10</vt:lpstr>
      <vt:lpstr>Tags!ITEM45_3Q11</vt:lpstr>
      <vt:lpstr>ITEM45_3Q11</vt:lpstr>
      <vt:lpstr>Tags!ITEM45_3Q12</vt:lpstr>
      <vt:lpstr>ITEM45_3Q12</vt:lpstr>
      <vt:lpstr>Tags!ITEM45_3Q13</vt:lpstr>
      <vt:lpstr>ITEM45_3Q13</vt:lpstr>
      <vt:lpstr>Tags!ITEM45_3Q14</vt:lpstr>
      <vt:lpstr>ITEM45_3Q14</vt:lpstr>
      <vt:lpstr>Tags!ITEM45_3Q15</vt:lpstr>
      <vt:lpstr>ITEM45_3Q15</vt:lpstr>
      <vt:lpstr>Tags!ITEM45_3Q16</vt:lpstr>
      <vt:lpstr>ITEM45_3Q16</vt:lpstr>
      <vt:lpstr>Tags!ITEM45_3Q17</vt:lpstr>
      <vt:lpstr>ITEM45_3Q17</vt:lpstr>
      <vt:lpstr>Tags!ITEM45_3Q18</vt:lpstr>
      <vt:lpstr>ITEM45_3Q18</vt:lpstr>
      <vt:lpstr>Tags!ITEM45_3Q19</vt:lpstr>
      <vt:lpstr>ITEM45_3Q19</vt:lpstr>
      <vt:lpstr>Tags!ITEM45_3Q20</vt:lpstr>
      <vt:lpstr>ITEM45_3Q20</vt:lpstr>
      <vt:lpstr>ITEM45_3Q21</vt:lpstr>
      <vt:lpstr>ITEM45_3Q22</vt:lpstr>
      <vt:lpstr>ITEM45_3Q23</vt:lpstr>
      <vt:lpstr>ITEM45_3Q24</vt:lpstr>
      <vt:lpstr>Tags!ITEM45_4Q00</vt:lpstr>
      <vt:lpstr>ITEM45_4Q00</vt:lpstr>
      <vt:lpstr>Tags!ITEM45_4Q01</vt:lpstr>
      <vt:lpstr>ITEM45_4Q01</vt:lpstr>
      <vt:lpstr>Tags!ITEM45_4Q02</vt:lpstr>
      <vt:lpstr>ITEM45_4Q02</vt:lpstr>
      <vt:lpstr>Tags!ITEM45_4Q03</vt:lpstr>
      <vt:lpstr>ITEM45_4Q03</vt:lpstr>
      <vt:lpstr>Tags!ITEM45_4Q04</vt:lpstr>
      <vt:lpstr>ITEM45_4Q04</vt:lpstr>
      <vt:lpstr>Tags!ITEM45_4Q05</vt:lpstr>
      <vt:lpstr>ITEM45_4Q05</vt:lpstr>
      <vt:lpstr>Tags!ITEM45_4Q06</vt:lpstr>
      <vt:lpstr>ITEM45_4Q06</vt:lpstr>
      <vt:lpstr>Tags!ITEM45_4Q07</vt:lpstr>
      <vt:lpstr>ITEM45_4Q07</vt:lpstr>
      <vt:lpstr>Tags!ITEM45_4Q08</vt:lpstr>
      <vt:lpstr>ITEM45_4Q08</vt:lpstr>
      <vt:lpstr>Tags!ITEM45_4Q09</vt:lpstr>
      <vt:lpstr>ITEM45_4Q09</vt:lpstr>
      <vt:lpstr>Tags!ITEM45_4Q10</vt:lpstr>
      <vt:lpstr>ITEM45_4Q10</vt:lpstr>
      <vt:lpstr>Tags!ITEM45_4Q11</vt:lpstr>
      <vt:lpstr>ITEM45_4Q11</vt:lpstr>
      <vt:lpstr>Tags!ITEM45_4Q12</vt:lpstr>
      <vt:lpstr>ITEM45_4Q12</vt:lpstr>
      <vt:lpstr>Tags!ITEM45_4Q13</vt:lpstr>
      <vt:lpstr>ITEM45_4Q13</vt:lpstr>
      <vt:lpstr>Tags!ITEM45_4Q14</vt:lpstr>
      <vt:lpstr>ITEM45_4Q14</vt:lpstr>
      <vt:lpstr>Tags!ITEM45_4Q15</vt:lpstr>
      <vt:lpstr>ITEM45_4Q15</vt:lpstr>
      <vt:lpstr>Tags!ITEM45_4Q16</vt:lpstr>
      <vt:lpstr>ITEM45_4Q16</vt:lpstr>
      <vt:lpstr>Tags!ITEM45_4Q17</vt:lpstr>
      <vt:lpstr>ITEM45_4Q17</vt:lpstr>
      <vt:lpstr>Tags!ITEM45_4Q18</vt:lpstr>
      <vt:lpstr>ITEM45_4Q18</vt:lpstr>
      <vt:lpstr>Tags!ITEM45_4Q19</vt:lpstr>
      <vt:lpstr>ITEM45_4Q19</vt:lpstr>
      <vt:lpstr>Tags!ITEM45_4Q20</vt:lpstr>
      <vt:lpstr>ITEM45_4Q20</vt:lpstr>
      <vt:lpstr>ITEM45_4Q21</vt:lpstr>
      <vt:lpstr>ITEM45_4Q22</vt:lpstr>
      <vt:lpstr>ITEM45_4Q23</vt:lpstr>
      <vt:lpstr>ITEM45_4Q24</vt:lpstr>
      <vt:lpstr>ITEM46_1995</vt:lpstr>
      <vt:lpstr>ITEM46_1996</vt:lpstr>
      <vt:lpstr>ITEM46_1997</vt:lpstr>
      <vt:lpstr>ITEM46_1998</vt:lpstr>
      <vt:lpstr>ITEM46_1999</vt:lpstr>
      <vt:lpstr>Tags!ITEM46_1Q00</vt:lpstr>
      <vt:lpstr>ITEM46_1Q00</vt:lpstr>
      <vt:lpstr>Tags!ITEM46_1Q01</vt:lpstr>
      <vt:lpstr>ITEM46_1Q01</vt:lpstr>
      <vt:lpstr>Tags!ITEM46_1Q02</vt:lpstr>
      <vt:lpstr>ITEM46_1Q02</vt:lpstr>
      <vt:lpstr>Tags!ITEM46_1Q03</vt:lpstr>
      <vt:lpstr>ITEM46_1Q03</vt:lpstr>
      <vt:lpstr>Tags!ITEM46_1Q04</vt:lpstr>
      <vt:lpstr>ITEM46_1Q04</vt:lpstr>
      <vt:lpstr>Tags!ITEM46_1Q05</vt:lpstr>
      <vt:lpstr>ITEM46_1Q05</vt:lpstr>
      <vt:lpstr>Tags!ITEM46_1Q06</vt:lpstr>
      <vt:lpstr>ITEM46_1Q06</vt:lpstr>
      <vt:lpstr>Tags!ITEM46_1Q07</vt:lpstr>
      <vt:lpstr>ITEM46_1Q07</vt:lpstr>
      <vt:lpstr>Tags!ITEM46_1Q08</vt:lpstr>
      <vt:lpstr>ITEM46_1Q08</vt:lpstr>
      <vt:lpstr>Tags!ITEM46_1Q09</vt:lpstr>
      <vt:lpstr>ITEM46_1Q09</vt:lpstr>
      <vt:lpstr>Tags!ITEM46_1Q10</vt:lpstr>
      <vt:lpstr>ITEM46_1Q10</vt:lpstr>
      <vt:lpstr>Tags!ITEM46_1Q11</vt:lpstr>
      <vt:lpstr>ITEM46_1Q11</vt:lpstr>
      <vt:lpstr>Tags!ITEM46_1Q12</vt:lpstr>
      <vt:lpstr>ITEM46_1Q12</vt:lpstr>
      <vt:lpstr>Tags!ITEM46_1Q13</vt:lpstr>
      <vt:lpstr>ITEM46_1Q13</vt:lpstr>
      <vt:lpstr>Tags!ITEM46_1Q14</vt:lpstr>
      <vt:lpstr>ITEM46_1Q14</vt:lpstr>
      <vt:lpstr>Tags!ITEM46_1Q15</vt:lpstr>
      <vt:lpstr>ITEM46_1Q15</vt:lpstr>
      <vt:lpstr>Tags!ITEM46_1Q16</vt:lpstr>
      <vt:lpstr>ITEM46_1Q16</vt:lpstr>
      <vt:lpstr>Tags!ITEM46_1Q17</vt:lpstr>
      <vt:lpstr>ITEM46_1Q17</vt:lpstr>
      <vt:lpstr>Tags!ITEM46_1Q18</vt:lpstr>
      <vt:lpstr>ITEM46_1Q18</vt:lpstr>
      <vt:lpstr>Tags!ITEM46_1Q19</vt:lpstr>
      <vt:lpstr>ITEM46_1Q19</vt:lpstr>
      <vt:lpstr>Tags!ITEM46_1Q20</vt:lpstr>
      <vt:lpstr>ITEM46_1Q20</vt:lpstr>
      <vt:lpstr>ITEM46_1Q21</vt:lpstr>
      <vt:lpstr>ITEM46_1Q22</vt:lpstr>
      <vt:lpstr>ITEM46_1Q23</vt:lpstr>
      <vt:lpstr>ITEM46_1Q24</vt:lpstr>
      <vt:lpstr>Tags!ITEM46_2000</vt:lpstr>
      <vt:lpstr>ITEM46_2000</vt:lpstr>
      <vt:lpstr>Tags!ITEM46_2001</vt:lpstr>
      <vt:lpstr>ITEM46_2001</vt:lpstr>
      <vt:lpstr>Tags!ITEM46_2002</vt:lpstr>
      <vt:lpstr>ITEM46_2002</vt:lpstr>
      <vt:lpstr>Tags!ITEM46_2003</vt:lpstr>
      <vt:lpstr>ITEM46_2003</vt:lpstr>
      <vt:lpstr>Tags!ITEM46_2004</vt:lpstr>
      <vt:lpstr>ITEM46_2004</vt:lpstr>
      <vt:lpstr>Tags!ITEM46_2005</vt:lpstr>
      <vt:lpstr>ITEM46_2005</vt:lpstr>
      <vt:lpstr>Tags!ITEM46_2006</vt:lpstr>
      <vt:lpstr>ITEM46_2006</vt:lpstr>
      <vt:lpstr>Tags!ITEM46_2007</vt:lpstr>
      <vt:lpstr>ITEM46_2007</vt:lpstr>
      <vt:lpstr>Tags!ITEM46_2008</vt:lpstr>
      <vt:lpstr>ITEM46_2008</vt:lpstr>
      <vt:lpstr>Tags!ITEM46_2009</vt:lpstr>
      <vt:lpstr>ITEM46_2009</vt:lpstr>
      <vt:lpstr>Tags!ITEM46_2010</vt:lpstr>
      <vt:lpstr>ITEM46_2010</vt:lpstr>
      <vt:lpstr>Tags!ITEM46_2011</vt:lpstr>
      <vt:lpstr>ITEM46_2011</vt:lpstr>
      <vt:lpstr>Tags!ITEM46_2012</vt:lpstr>
      <vt:lpstr>ITEM46_2012</vt:lpstr>
      <vt:lpstr>Tags!ITEM46_2013</vt:lpstr>
      <vt:lpstr>ITEM46_2013</vt:lpstr>
      <vt:lpstr>Tags!ITEM46_2014</vt:lpstr>
      <vt:lpstr>ITEM46_2014</vt:lpstr>
      <vt:lpstr>ITEM46_2015</vt:lpstr>
      <vt:lpstr>Tags!ITEM46_2016</vt:lpstr>
      <vt:lpstr>ITEM46_2016</vt:lpstr>
      <vt:lpstr>Tags!ITEM46_2017</vt:lpstr>
      <vt:lpstr>ITEM46_2017</vt:lpstr>
      <vt:lpstr>Tags!ITEM46_2018</vt:lpstr>
      <vt:lpstr>ITEM46_2018</vt:lpstr>
      <vt:lpstr>Tags!ITEM46_2019</vt:lpstr>
      <vt:lpstr>ITEM46_2019</vt:lpstr>
      <vt:lpstr>Tags!ITEM46_2020</vt:lpstr>
      <vt:lpstr>ITEM46_2020</vt:lpstr>
      <vt:lpstr>ITEM46_2021</vt:lpstr>
      <vt:lpstr>ITEM46_2022</vt:lpstr>
      <vt:lpstr>ITEM46_2023</vt:lpstr>
      <vt:lpstr>ITEM46_2024</vt:lpstr>
      <vt:lpstr>Tags!ITEM46_2Q00</vt:lpstr>
      <vt:lpstr>ITEM46_2Q00</vt:lpstr>
      <vt:lpstr>Tags!ITEM46_2Q01</vt:lpstr>
      <vt:lpstr>ITEM46_2Q01</vt:lpstr>
      <vt:lpstr>Tags!ITEM46_2Q02</vt:lpstr>
      <vt:lpstr>ITEM46_2Q02</vt:lpstr>
      <vt:lpstr>Tags!ITEM46_2Q03</vt:lpstr>
      <vt:lpstr>ITEM46_2Q03</vt:lpstr>
      <vt:lpstr>Tags!ITEM46_2Q04</vt:lpstr>
      <vt:lpstr>ITEM46_2Q04</vt:lpstr>
      <vt:lpstr>Tags!ITEM46_2Q05</vt:lpstr>
      <vt:lpstr>ITEM46_2Q05</vt:lpstr>
      <vt:lpstr>Tags!ITEM46_2Q06</vt:lpstr>
      <vt:lpstr>ITEM46_2Q06</vt:lpstr>
      <vt:lpstr>Tags!ITEM46_2Q07</vt:lpstr>
      <vt:lpstr>ITEM46_2Q07</vt:lpstr>
      <vt:lpstr>Tags!ITEM46_2Q08</vt:lpstr>
      <vt:lpstr>ITEM46_2Q08</vt:lpstr>
      <vt:lpstr>Tags!ITEM46_2Q09</vt:lpstr>
      <vt:lpstr>ITEM46_2Q09</vt:lpstr>
      <vt:lpstr>Tags!ITEM46_2Q10</vt:lpstr>
      <vt:lpstr>ITEM46_2Q10</vt:lpstr>
      <vt:lpstr>Tags!ITEM46_2Q11</vt:lpstr>
      <vt:lpstr>ITEM46_2Q11</vt:lpstr>
      <vt:lpstr>Tags!ITEM46_2Q12</vt:lpstr>
      <vt:lpstr>ITEM46_2Q12</vt:lpstr>
      <vt:lpstr>Tags!ITEM46_2Q13</vt:lpstr>
      <vt:lpstr>ITEM46_2Q13</vt:lpstr>
      <vt:lpstr>Tags!ITEM46_2Q14</vt:lpstr>
      <vt:lpstr>ITEM46_2Q14</vt:lpstr>
      <vt:lpstr>Tags!ITEM46_2Q15</vt:lpstr>
      <vt:lpstr>ITEM46_2Q15</vt:lpstr>
      <vt:lpstr>Tags!ITEM46_2Q16</vt:lpstr>
      <vt:lpstr>ITEM46_2Q16</vt:lpstr>
      <vt:lpstr>Tags!ITEM46_2Q17</vt:lpstr>
      <vt:lpstr>ITEM46_2Q17</vt:lpstr>
      <vt:lpstr>Tags!ITEM46_2Q18</vt:lpstr>
      <vt:lpstr>ITEM46_2Q18</vt:lpstr>
      <vt:lpstr>Tags!ITEM46_2Q19</vt:lpstr>
      <vt:lpstr>ITEM46_2Q19</vt:lpstr>
      <vt:lpstr>Tags!ITEM46_2Q20</vt:lpstr>
      <vt:lpstr>ITEM46_2Q20</vt:lpstr>
      <vt:lpstr>ITEM46_2Q21</vt:lpstr>
      <vt:lpstr>ITEM46_2Q22</vt:lpstr>
      <vt:lpstr>ITEM46_2Q23</vt:lpstr>
      <vt:lpstr>ITEM46_2Q24</vt:lpstr>
      <vt:lpstr>Tags!ITEM46_3Q00</vt:lpstr>
      <vt:lpstr>ITEM46_3Q00</vt:lpstr>
      <vt:lpstr>Tags!ITEM46_3Q01</vt:lpstr>
      <vt:lpstr>ITEM46_3Q01</vt:lpstr>
      <vt:lpstr>Tags!ITEM46_3Q02</vt:lpstr>
      <vt:lpstr>ITEM46_3Q02</vt:lpstr>
      <vt:lpstr>Tags!ITEM46_3Q03</vt:lpstr>
      <vt:lpstr>ITEM46_3Q03</vt:lpstr>
      <vt:lpstr>Tags!ITEM46_3Q04</vt:lpstr>
      <vt:lpstr>ITEM46_3Q04</vt:lpstr>
      <vt:lpstr>Tags!ITEM46_3Q05</vt:lpstr>
      <vt:lpstr>ITEM46_3Q05</vt:lpstr>
      <vt:lpstr>Tags!ITEM46_3Q06</vt:lpstr>
      <vt:lpstr>ITEM46_3Q06</vt:lpstr>
      <vt:lpstr>Tags!ITEM46_3Q07</vt:lpstr>
      <vt:lpstr>ITEM46_3Q07</vt:lpstr>
      <vt:lpstr>Tags!ITEM46_3Q08</vt:lpstr>
      <vt:lpstr>ITEM46_3Q08</vt:lpstr>
      <vt:lpstr>Tags!ITEM46_3Q09</vt:lpstr>
      <vt:lpstr>ITEM46_3Q09</vt:lpstr>
      <vt:lpstr>Tags!ITEM46_3Q10</vt:lpstr>
      <vt:lpstr>ITEM46_3Q10</vt:lpstr>
      <vt:lpstr>Tags!ITEM46_3Q11</vt:lpstr>
      <vt:lpstr>ITEM46_3Q11</vt:lpstr>
      <vt:lpstr>Tags!ITEM46_3Q12</vt:lpstr>
      <vt:lpstr>ITEM46_3Q12</vt:lpstr>
      <vt:lpstr>Tags!ITEM46_3Q13</vt:lpstr>
      <vt:lpstr>ITEM46_3Q13</vt:lpstr>
      <vt:lpstr>Tags!ITEM46_3Q14</vt:lpstr>
      <vt:lpstr>ITEM46_3Q14</vt:lpstr>
      <vt:lpstr>Tags!ITEM46_3Q15</vt:lpstr>
      <vt:lpstr>ITEM46_3Q15</vt:lpstr>
      <vt:lpstr>Tags!ITEM46_3Q16</vt:lpstr>
      <vt:lpstr>ITEM46_3Q16</vt:lpstr>
      <vt:lpstr>Tags!ITEM46_3Q17</vt:lpstr>
      <vt:lpstr>ITEM46_3Q17</vt:lpstr>
      <vt:lpstr>Tags!ITEM46_3Q18</vt:lpstr>
      <vt:lpstr>ITEM46_3Q18</vt:lpstr>
      <vt:lpstr>Tags!ITEM46_3Q19</vt:lpstr>
      <vt:lpstr>ITEM46_3Q19</vt:lpstr>
      <vt:lpstr>Tags!ITEM46_3Q20</vt:lpstr>
      <vt:lpstr>ITEM46_3Q20</vt:lpstr>
      <vt:lpstr>ITEM46_3Q21</vt:lpstr>
      <vt:lpstr>ITEM46_3Q22</vt:lpstr>
      <vt:lpstr>ITEM46_3Q23</vt:lpstr>
      <vt:lpstr>ITEM46_3Q24</vt:lpstr>
      <vt:lpstr>Tags!ITEM46_4Q00</vt:lpstr>
      <vt:lpstr>ITEM46_4Q00</vt:lpstr>
      <vt:lpstr>Tags!ITEM46_4Q01</vt:lpstr>
      <vt:lpstr>ITEM46_4Q01</vt:lpstr>
      <vt:lpstr>Tags!ITEM46_4Q02</vt:lpstr>
      <vt:lpstr>ITEM46_4Q02</vt:lpstr>
      <vt:lpstr>Tags!ITEM46_4Q03</vt:lpstr>
      <vt:lpstr>ITEM46_4Q03</vt:lpstr>
      <vt:lpstr>Tags!ITEM46_4Q04</vt:lpstr>
      <vt:lpstr>ITEM46_4Q04</vt:lpstr>
      <vt:lpstr>Tags!ITEM46_4Q05</vt:lpstr>
      <vt:lpstr>ITEM46_4Q05</vt:lpstr>
      <vt:lpstr>Tags!ITEM46_4Q06</vt:lpstr>
      <vt:lpstr>ITEM46_4Q06</vt:lpstr>
      <vt:lpstr>Tags!ITEM46_4Q07</vt:lpstr>
      <vt:lpstr>ITEM46_4Q07</vt:lpstr>
      <vt:lpstr>Tags!ITEM46_4Q08</vt:lpstr>
      <vt:lpstr>ITEM46_4Q08</vt:lpstr>
      <vt:lpstr>Tags!ITEM46_4Q09</vt:lpstr>
      <vt:lpstr>ITEM46_4Q09</vt:lpstr>
      <vt:lpstr>Tags!ITEM46_4Q10</vt:lpstr>
      <vt:lpstr>ITEM46_4Q10</vt:lpstr>
      <vt:lpstr>Tags!ITEM46_4Q11</vt:lpstr>
      <vt:lpstr>ITEM46_4Q11</vt:lpstr>
      <vt:lpstr>Tags!ITEM46_4Q12</vt:lpstr>
      <vt:lpstr>ITEM46_4Q12</vt:lpstr>
      <vt:lpstr>Tags!ITEM46_4Q13</vt:lpstr>
      <vt:lpstr>ITEM46_4Q13</vt:lpstr>
      <vt:lpstr>Tags!ITEM46_4Q14</vt:lpstr>
      <vt:lpstr>ITEM46_4Q14</vt:lpstr>
      <vt:lpstr>Tags!ITEM46_4Q15</vt:lpstr>
      <vt:lpstr>ITEM46_4Q15</vt:lpstr>
      <vt:lpstr>Tags!ITEM46_4Q16</vt:lpstr>
      <vt:lpstr>ITEM46_4Q16</vt:lpstr>
      <vt:lpstr>Tags!ITEM46_4Q17</vt:lpstr>
      <vt:lpstr>ITEM46_4Q17</vt:lpstr>
      <vt:lpstr>Tags!ITEM46_4Q18</vt:lpstr>
      <vt:lpstr>ITEM46_4Q18</vt:lpstr>
      <vt:lpstr>Tags!ITEM46_4Q19</vt:lpstr>
      <vt:lpstr>ITEM46_4Q19</vt:lpstr>
      <vt:lpstr>Tags!ITEM46_4Q20</vt:lpstr>
      <vt:lpstr>ITEM46_4Q20</vt:lpstr>
      <vt:lpstr>ITEM46_4Q21</vt:lpstr>
      <vt:lpstr>ITEM46_4Q22</vt:lpstr>
      <vt:lpstr>ITEM46_4Q23</vt:lpstr>
      <vt:lpstr>ITEM46_4Q24</vt:lpstr>
      <vt:lpstr>ITEM47_1995</vt:lpstr>
      <vt:lpstr>ITEM47_1996</vt:lpstr>
      <vt:lpstr>ITEM47_1997</vt:lpstr>
      <vt:lpstr>ITEM47_1998</vt:lpstr>
      <vt:lpstr>ITEM47_1999</vt:lpstr>
      <vt:lpstr>Tags!ITEM47_1Q00</vt:lpstr>
      <vt:lpstr>ITEM47_1Q00</vt:lpstr>
      <vt:lpstr>Tags!ITEM47_1Q01</vt:lpstr>
      <vt:lpstr>ITEM47_1Q01</vt:lpstr>
      <vt:lpstr>Tags!ITEM47_1Q02</vt:lpstr>
      <vt:lpstr>ITEM47_1Q02</vt:lpstr>
      <vt:lpstr>Tags!ITEM47_1Q03</vt:lpstr>
      <vt:lpstr>ITEM47_1Q03</vt:lpstr>
      <vt:lpstr>Tags!ITEM47_1Q04</vt:lpstr>
      <vt:lpstr>ITEM47_1Q04</vt:lpstr>
      <vt:lpstr>Tags!ITEM47_1Q05</vt:lpstr>
      <vt:lpstr>ITEM47_1Q05</vt:lpstr>
      <vt:lpstr>Tags!ITEM47_1Q06</vt:lpstr>
      <vt:lpstr>ITEM47_1Q06</vt:lpstr>
      <vt:lpstr>Tags!ITEM47_1Q07</vt:lpstr>
      <vt:lpstr>ITEM47_1Q07</vt:lpstr>
      <vt:lpstr>Tags!ITEM47_1Q08</vt:lpstr>
      <vt:lpstr>ITEM47_1Q08</vt:lpstr>
      <vt:lpstr>Tags!ITEM47_1Q09</vt:lpstr>
      <vt:lpstr>ITEM47_1Q09</vt:lpstr>
      <vt:lpstr>Tags!ITEM47_1Q10</vt:lpstr>
      <vt:lpstr>ITEM47_1Q10</vt:lpstr>
      <vt:lpstr>Tags!ITEM47_1Q11</vt:lpstr>
      <vt:lpstr>ITEM47_1Q11</vt:lpstr>
      <vt:lpstr>Tags!ITEM47_1Q12</vt:lpstr>
      <vt:lpstr>ITEM47_1Q12</vt:lpstr>
      <vt:lpstr>Tags!ITEM47_1Q13</vt:lpstr>
      <vt:lpstr>ITEM47_1Q13</vt:lpstr>
      <vt:lpstr>Tags!ITEM47_1Q14</vt:lpstr>
      <vt:lpstr>ITEM47_1Q14</vt:lpstr>
      <vt:lpstr>Tags!ITEM47_1Q15</vt:lpstr>
      <vt:lpstr>ITEM47_1Q15</vt:lpstr>
      <vt:lpstr>Tags!ITEM47_1Q16</vt:lpstr>
      <vt:lpstr>ITEM47_1Q16</vt:lpstr>
      <vt:lpstr>Tags!ITEM47_1Q17</vt:lpstr>
      <vt:lpstr>ITEM47_1Q17</vt:lpstr>
      <vt:lpstr>Tags!ITEM47_1Q18</vt:lpstr>
      <vt:lpstr>ITEM47_1Q18</vt:lpstr>
      <vt:lpstr>Tags!ITEM47_1Q19</vt:lpstr>
      <vt:lpstr>ITEM47_1Q19</vt:lpstr>
      <vt:lpstr>Tags!ITEM47_1Q20</vt:lpstr>
      <vt:lpstr>ITEM47_1Q20</vt:lpstr>
      <vt:lpstr>ITEM47_1Q21</vt:lpstr>
      <vt:lpstr>ITEM47_1Q22</vt:lpstr>
      <vt:lpstr>ITEM47_1Q23</vt:lpstr>
      <vt:lpstr>ITEM47_1Q24</vt:lpstr>
      <vt:lpstr>Tags!ITEM47_2000</vt:lpstr>
      <vt:lpstr>ITEM47_2000</vt:lpstr>
      <vt:lpstr>Tags!ITEM47_2001</vt:lpstr>
      <vt:lpstr>ITEM47_2001</vt:lpstr>
      <vt:lpstr>Tags!ITEM47_2002</vt:lpstr>
      <vt:lpstr>ITEM47_2002</vt:lpstr>
      <vt:lpstr>Tags!ITEM47_2003</vt:lpstr>
      <vt:lpstr>ITEM47_2003</vt:lpstr>
      <vt:lpstr>Tags!ITEM47_2004</vt:lpstr>
      <vt:lpstr>ITEM47_2004</vt:lpstr>
      <vt:lpstr>Tags!ITEM47_2005</vt:lpstr>
      <vt:lpstr>ITEM47_2005</vt:lpstr>
      <vt:lpstr>Tags!ITEM47_2006</vt:lpstr>
      <vt:lpstr>ITEM47_2006</vt:lpstr>
      <vt:lpstr>Tags!ITEM47_2007</vt:lpstr>
      <vt:lpstr>ITEM47_2007</vt:lpstr>
      <vt:lpstr>Tags!ITEM47_2008</vt:lpstr>
      <vt:lpstr>ITEM47_2008</vt:lpstr>
      <vt:lpstr>Tags!ITEM47_2009</vt:lpstr>
      <vt:lpstr>ITEM47_2009</vt:lpstr>
      <vt:lpstr>Tags!ITEM47_2010</vt:lpstr>
      <vt:lpstr>ITEM47_2010</vt:lpstr>
      <vt:lpstr>Tags!ITEM47_2011</vt:lpstr>
      <vt:lpstr>ITEM47_2011</vt:lpstr>
      <vt:lpstr>Tags!ITEM47_2012</vt:lpstr>
      <vt:lpstr>ITEM47_2012</vt:lpstr>
      <vt:lpstr>Tags!ITEM47_2013</vt:lpstr>
      <vt:lpstr>ITEM47_2013</vt:lpstr>
      <vt:lpstr>Tags!ITEM47_2014</vt:lpstr>
      <vt:lpstr>ITEM47_2014</vt:lpstr>
      <vt:lpstr>ITEM47_2015</vt:lpstr>
      <vt:lpstr>Tags!ITEM47_2016</vt:lpstr>
      <vt:lpstr>ITEM47_2016</vt:lpstr>
      <vt:lpstr>Tags!ITEM47_2017</vt:lpstr>
      <vt:lpstr>ITEM47_2017</vt:lpstr>
      <vt:lpstr>Tags!ITEM47_2018</vt:lpstr>
      <vt:lpstr>ITEM47_2018</vt:lpstr>
      <vt:lpstr>Tags!ITEM47_2019</vt:lpstr>
      <vt:lpstr>ITEM47_2019</vt:lpstr>
      <vt:lpstr>Tags!ITEM47_2020</vt:lpstr>
      <vt:lpstr>ITEM47_2020</vt:lpstr>
      <vt:lpstr>ITEM47_2021</vt:lpstr>
      <vt:lpstr>ITEM47_2022</vt:lpstr>
      <vt:lpstr>ITEM47_2023</vt:lpstr>
      <vt:lpstr>ITEM47_2024</vt:lpstr>
      <vt:lpstr>Tags!ITEM47_2Q00</vt:lpstr>
      <vt:lpstr>ITEM47_2Q00</vt:lpstr>
      <vt:lpstr>Tags!ITEM47_2Q01</vt:lpstr>
      <vt:lpstr>ITEM47_2Q01</vt:lpstr>
      <vt:lpstr>Tags!ITEM47_2Q02</vt:lpstr>
      <vt:lpstr>ITEM47_2Q02</vt:lpstr>
      <vt:lpstr>Tags!ITEM47_2Q03</vt:lpstr>
      <vt:lpstr>ITEM47_2Q03</vt:lpstr>
      <vt:lpstr>Tags!ITEM47_2Q04</vt:lpstr>
      <vt:lpstr>ITEM47_2Q04</vt:lpstr>
      <vt:lpstr>Tags!ITEM47_2Q05</vt:lpstr>
      <vt:lpstr>ITEM47_2Q05</vt:lpstr>
      <vt:lpstr>Tags!ITEM47_2Q06</vt:lpstr>
      <vt:lpstr>ITEM47_2Q06</vt:lpstr>
      <vt:lpstr>Tags!ITEM47_2Q07</vt:lpstr>
      <vt:lpstr>ITEM47_2Q07</vt:lpstr>
      <vt:lpstr>Tags!ITEM47_2Q08</vt:lpstr>
      <vt:lpstr>ITEM47_2Q08</vt:lpstr>
      <vt:lpstr>Tags!ITEM47_2Q09</vt:lpstr>
      <vt:lpstr>ITEM47_2Q09</vt:lpstr>
      <vt:lpstr>Tags!ITEM47_2Q10</vt:lpstr>
      <vt:lpstr>ITEM47_2Q10</vt:lpstr>
      <vt:lpstr>Tags!ITEM47_2Q11</vt:lpstr>
      <vt:lpstr>ITEM47_2Q11</vt:lpstr>
      <vt:lpstr>Tags!ITEM47_2Q12</vt:lpstr>
      <vt:lpstr>ITEM47_2Q12</vt:lpstr>
      <vt:lpstr>Tags!ITEM47_2Q13</vt:lpstr>
      <vt:lpstr>ITEM47_2Q13</vt:lpstr>
      <vt:lpstr>Tags!ITEM47_2Q14</vt:lpstr>
      <vt:lpstr>ITEM47_2Q14</vt:lpstr>
      <vt:lpstr>Tags!ITEM47_2Q15</vt:lpstr>
      <vt:lpstr>ITEM47_2Q15</vt:lpstr>
      <vt:lpstr>Tags!ITEM47_2Q16</vt:lpstr>
      <vt:lpstr>ITEM47_2Q16</vt:lpstr>
      <vt:lpstr>Tags!ITEM47_2Q17</vt:lpstr>
      <vt:lpstr>ITEM47_2Q17</vt:lpstr>
      <vt:lpstr>Tags!ITEM47_2Q18</vt:lpstr>
      <vt:lpstr>ITEM47_2Q18</vt:lpstr>
      <vt:lpstr>Tags!ITEM47_2Q19</vt:lpstr>
      <vt:lpstr>ITEM47_2Q19</vt:lpstr>
      <vt:lpstr>Tags!ITEM47_2Q20</vt:lpstr>
      <vt:lpstr>ITEM47_2Q20</vt:lpstr>
      <vt:lpstr>ITEM47_2Q21</vt:lpstr>
      <vt:lpstr>ITEM47_2Q22</vt:lpstr>
      <vt:lpstr>ITEM47_2Q23</vt:lpstr>
      <vt:lpstr>ITEM47_2Q24</vt:lpstr>
      <vt:lpstr>Tags!ITEM47_3Q00</vt:lpstr>
      <vt:lpstr>ITEM47_3Q00</vt:lpstr>
      <vt:lpstr>Tags!ITEM47_3Q01</vt:lpstr>
      <vt:lpstr>ITEM47_3Q01</vt:lpstr>
      <vt:lpstr>Tags!ITEM47_3Q02</vt:lpstr>
      <vt:lpstr>ITEM47_3Q02</vt:lpstr>
      <vt:lpstr>Tags!ITEM47_3Q03</vt:lpstr>
      <vt:lpstr>ITEM47_3Q03</vt:lpstr>
      <vt:lpstr>Tags!ITEM47_3Q04</vt:lpstr>
      <vt:lpstr>ITEM47_3Q04</vt:lpstr>
      <vt:lpstr>Tags!ITEM47_3Q05</vt:lpstr>
      <vt:lpstr>ITEM47_3Q05</vt:lpstr>
      <vt:lpstr>Tags!ITEM47_3Q06</vt:lpstr>
      <vt:lpstr>ITEM47_3Q06</vt:lpstr>
      <vt:lpstr>Tags!ITEM47_3Q07</vt:lpstr>
      <vt:lpstr>ITEM47_3Q07</vt:lpstr>
      <vt:lpstr>Tags!ITEM47_3Q08</vt:lpstr>
      <vt:lpstr>ITEM47_3Q08</vt:lpstr>
      <vt:lpstr>Tags!ITEM47_3Q09</vt:lpstr>
      <vt:lpstr>ITEM47_3Q09</vt:lpstr>
      <vt:lpstr>Tags!ITEM47_3Q10</vt:lpstr>
      <vt:lpstr>ITEM47_3Q10</vt:lpstr>
      <vt:lpstr>Tags!ITEM47_3Q11</vt:lpstr>
      <vt:lpstr>ITEM47_3Q11</vt:lpstr>
      <vt:lpstr>Tags!ITEM47_3Q12</vt:lpstr>
      <vt:lpstr>ITEM47_3Q12</vt:lpstr>
      <vt:lpstr>Tags!ITEM47_3Q13</vt:lpstr>
      <vt:lpstr>ITEM47_3Q13</vt:lpstr>
      <vt:lpstr>Tags!ITEM47_3Q14</vt:lpstr>
      <vt:lpstr>ITEM47_3Q14</vt:lpstr>
      <vt:lpstr>Tags!ITEM47_3Q15</vt:lpstr>
      <vt:lpstr>ITEM47_3Q15</vt:lpstr>
      <vt:lpstr>Tags!ITEM47_3Q16</vt:lpstr>
      <vt:lpstr>ITEM47_3Q16</vt:lpstr>
      <vt:lpstr>Tags!ITEM47_3Q17</vt:lpstr>
      <vt:lpstr>ITEM47_3Q17</vt:lpstr>
      <vt:lpstr>Tags!ITEM47_3Q18</vt:lpstr>
      <vt:lpstr>ITEM47_3Q18</vt:lpstr>
      <vt:lpstr>Tags!ITEM47_3Q19</vt:lpstr>
      <vt:lpstr>ITEM47_3Q19</vt:lpstr>
      <vt:lpstr>Tags!ITEM47_3Q20</vt:lpstr>
      <vt:lpstr>ITEM47_3Q20</vt:lpstr>
      <vt:lpstr>ITEM47_3Q21</vt:lpstr>
      <vt:lpstr>ITEM47_3Q22</vt:lpstr>
      <vt:lpstr>ITEM47_3Q23</vt:lpstr>
      <vt:lpstr>ITEM47_3Q24</vt:lpstr>
      <vt:lpstr>Tags!ITEM47_4Q00</vt:lpstr>
      <vt:lpstr>ITEM47_4Q00</vt:lpstr>
      <vt:lpstr>Tags!ITEM47_4Q01</vt:lpstr>
      <vt:lpstr>ITEM47_4Q01</vt:lpstr>
      <vt:lpstr>Tags!ITEM47_4Q02</vt:lpstr>
      <vt:lpstr>ITEM47_4Q02</vt:lpstr>
      <vt:lpstr>Tags!ITEM47_4Q03</vt:lpstr>
      <vt:lpstr>ITEM47_4Q03</vt:lpstr>
      <vt:lpstr>Tags!ITEM47_4Q04</vt:lpstr>
      <vt:lpstr>ITEM47_4Q04</vt:lpstr>
      <vt:lpstr>Tags!ITEM47_4Q05</vt:lpstr>
      <vt:lpstr>ITEM47_4Q05</vt:lpstr>
      <vt:lpstr>Tags!ITEM47_4Q06</vt:lpstr>
      <vt:lpstr>ITEM47_4Q06</vt:lpstr>
      <vt:lpstr>Tags!ITEM47_4Q07</vt:lpstr>
      <vt:lpstr>ITEM47_4Q07</vt:lpstr>
      <vt:lpstr>Tags!ITEM47_4Q08</vt:lpstr>
      <vt:lpstr>ITEM47_4Q08</vt:lpstr>
      <vt:lpstr>Tags!ITEM47_4Q09</vt:lpstr>
      <vt:lpstr>ITEM47_4Q09</vt:lpstr>
      <vt:lpstr>Tags!ITEM47_4Q10</vt:lpstr>
      <vt:lpstr>ITEM47_4Q10</vt:lpstr>
      <vt:lpstr>Tags!ITEM47_4Q11</vt:lpstr>
      <vt:lpstr>ITEM47_4Q11</vt:lpstr>
      <vt:lpstr>Tags!ITEM47_4Q12</vt:lpstr>
      <vt:lpstr>ITEM47_4Q12</vt:lpstr>
      <vt:lpstr>Tags!ITEM47_4Q13</vt:lpstr>
      <vt:lpstr>ITEM47_4Q13</vt:lpstr>
      <vt:lpstr>Tags!ITEM47_4Q14</vt:lpstr>
      <vt:lpstr>ITEM47_4Q14</vt:lpstr>
      <vt:lpstr>Tags!ITEM47_4Q15</vt:lpstr>
      <vt:lpstr>ITEM47_4Q15</vt:lpstr>
      <vt:lpstr>Tags!ITEM47_4Q16</vt:lpstr>
      <vt:lpstr>ITEM47_4Q16</vt:lpstr>
      <vt:lpstr>Tags!ITEM47_4Q17</vt:lpstr>
      <vt:lpstr>ITEM47_4Q17</vt:lpstr>
      <vt:lpstr>Tags!ITEM47_4Q18</vt:lpstr>
      <vt:lpstr>ITEM47_4Q18</vt:lpstr>
      <vt:lpstr>Tags!ITEM47_4Q19</vt:lpstr>
      <vt:lpstr>ITEM47_4Q19</vt:lpstr>
      <vt:lpstr>Tags!ITEM47_4Q20</vt:lpstr>
      <vt:lpstr>ITEM47_4Q20</vt:lpstr>
      <vt:lpstr>ITEM47_4Q21</vt:lpstr>
      <vt:lpstr>ITEM47_4Q22</vt:lpstr>
      <vt:lpstr>ITEM47_4Q23</vt:lpstr>
      <vt:lpstr>ITEM47_4Q24</vt:lpstr>
      <vt:lpstr>ITEM48_1995</vt:lpstr>
      <vt:lpstr>ITEM48_1996</vt:lpstr>
      <vt:lpstr>ITEM48_1997</vt:lpstr>
      <vt:lpstr>ITEM48_1998</vt:lpstr>
      <vt:lpstr>ITEM48_1999</vt:lpstr>
      <vt:lpstr>Tags!ITEM48_1Q00</vt:lpstr>
      <vt:lpstr>ITEM48_1Q00</vt:lpstr>
      <vt:lpstr>Tags!ITEM48_1Q01</vt:lpstr>
      <vt:lpstr>ITEM48_1Q01</vt:lpstr>
      <vt:lpstr>Tags!ITEM48_1Q02</vt:lpstr>
      <vt:lpstr>ITEM48_1Q02</vt:lpstr>
      <vt:lpstr>Tags!ITEM48_1Q03</vt:lpstr>
      <vt:lpstr>ITEM48_1Q03</vt:lpstr>
      <vt:lpstr>Tags!ITEM48_1Q04</vt:lpstr>
      <vt:lpstr>ITEM48_1Q04</vt:lpstr>
      <vt:lpstr>Tags!ITEM48_1Q05</vt:lpstr>
      <vt:lpstr>ITEM48_1Q05</vt:lpstr>
      <vt:lpstr>Tags!ITEM48_1Q06</vt:lpstr>
      <vt:lpstr>ITEM48_1Q06</vt:lpstr>
      <vt:lpstr>Tags!ITEM48_1Q07</vt:lpstr>
      <vt:lpstr>ITEM48_1Q07</vt:lpstr>
      <vt:lpstr>Tags!ITEM48_1Q08</vt:lpstr>
      <vt:lpstr>ITEM48_1Q08</vt:lpstr>
      <vt:lpstr>Tags!ITEM48_1Q09</vt:lpstr>
      <vt:lpstr>ITEM48_1Q09</vt:lpstr>
      <vt:lpstr>Tags!ITEM48_1Q10</vt:lpstr>
      <vt:lpstr>ITEM48_1Q10</vt:lpstr>
      <vt:lpstr>Tags!ITEM48_1Q11</vt:lpstr>
      <vt:lpstr>ITEM48_1Q11</vt:lpstr>
      <vt:lpstr>Tags!ITEM48_1Q12</vt:lpstr>
      <vt:lpstr>ITEM48_1Q12</vt:lpstr>
      <vt:lpstr>Tags!ITEM48_1Q13</vt:lpstr>
      <vt:lpstr>ITEM48_1Q13</vt:lpstr>
      <vt:lpstr>Tags!ITEM48_1Q14</vt:lpstr>
      <vt:lpstr>ITEM48_1Q14</vt:lpstr>
      <vt:lpstr>Tags!ITEM48_1Q15</vt:lpstr>
      <vt:lpstr>ITEM48_1Q15</vt:lpstr>
      <vt:lpstr>Tags!ITEM48_1Q16</vt:lpstr>
      <vt:lpstr>ITEM48_1Q16</vt:lpstr>
      <vt:lpstr>Tags!ITEM48_1Q17</vt:lpstr>
      <vt:lpstr>ITEM48_1Q17</vt:lpstr>
      <vt:lpstr>Tags!ITEM48_1Q18</vt:lpstr>
      <vt:lpstr>ITEM48_1Q18</vt:lpstr>
      <vt:lpstr>Tags!ITEM48_1Q19</vt:lpstr>
      <vt:lpstr>ITEM48_1Q19</vt:lpstr>
      <vt:lpstr>Tags!ITEM48_1Q20</vt:lpstr>
      <vt:lpstr>ITEM48_1Q20</vt:lpstr>
      <vt:lpstr>ITEM48_1Q21</vt:lpstr>
      <vt:lpstr>ITEM48_1Q22</vt:lpstr>
      <vt:lpstr>ITEM48_1Q23</vt:lpstr>
      <vt:lpstr>ITEM48_1Q24</vt:lpstr>
      <vt:lpstr>Tags!ITEM48_2000</vt:lpstr>
      <vt:lpstr>ITEM48_2000</vt:lpstr>
      <vt:lpstr>Tags!ITEM48_2001</vt:lpstr>
      <vt:lpstr>ITEM48_2001</vt:lpstr>
      <vt:lpstr>Tags!ITEM48_2002</vt:lpstr>
      <vt:lpstr>ITEM48_2002</vt:lpstr>
      <vt:lpstr>Tags!ITEM48_2003</vt:lpstr>
      <vt:lpstr>ITEM48_2003</vt:lpstr>
      <vt:lpstr>Tags!ITEM48_2004</vt:lpstr>
      <vt:lpstr>ITEM48_2004</vt:lpstr>
      <vt:lpstr>Tags!ITEM48_2005</vt:lpstr>
      <vt:lpstr>ITEM48_2005</vt:lpstr>
      <vt:lpstr>Tags!ITEM48_2006</vt:lpstr>
      <vt:lpstr>ITEM48_2006</vt:lpstr>
      <vt:lpstr>Tags!ITEM48_2007</vt:lpstr>
      <vt:lpstr>ITEM48_2007</vt:lpstr>
      <vt:lpstr>Tags!ITEM48_2008</vt:lpstr>
      <vt:lpstr>ITEM48_2008</vt:lpstr>
      <vt:lpstr>Tags!ITEM48_2009</vt:lpstr>
      <vt:lpstr>ITEM48_2009</vt:lpstr>
      <vt:lpstr>Tags!ITEM48_2010</vt:lpstr>
      <vt:lpstr>ITEM48_2010</vt:lpstr>
      <vt:lpstr>Tags!ITEM48_2011</vt:lpstr>
      <vt:lpstr>ITEM48_2011</vt:lpstr>
      <vt:lpstr>Tags!ITEM48_2012</vt:lpstr>
      <vt:lpstr>ITEM48_2012</vt:lpstr>
      <vt:lpstr>Tags!ITEM48_2013</vt:lpstr>
      <vt:lpstr>ITEM48_2013</vt:lpstr>
      <vt:lpstr>Tags!ITEM48_2014</vt:lpstr>
      <vt:lpstr>ITEM48_2014</vt:lpstr>
      <vt:lpstr>ITEM48_2015</vt:lpstr>
      <vt:lpstr>Tags!ITEM48_2016</vt:lpstr>
      <vt:lpstr>ITEM48_2016</vt:lpstr>
      <vt:lpstr>Tags!ITEM48_2017</vt:lpstr>
      <vt:lpstr>ITEM48_2017</vt:lpstr>
      <vt:lpstr>Tags!ITEM48_2018</vt:lpstr>
      <vt:lpstr>ITEM48_2018</vt:lpstr>
      <vt:lpstr>Tags!ITEM48_2019</vt:lpstr>
      <vt:lpstr>ITEM48_2019</vt:lpstr>
      <vt:lpstr>Tags!ITEM48_2020</vt:lpstr>
      <vt:lpstr>ITEM48_2020</vt:lpstr>
      <vt:lpstr>ITEM48_2021</vt:lpstr>
      <vt:lpstr>ITEM48_2022</vt:lpstr>
      <vt:lpstr>ITEM48_2023</vt:lpstr>
      <vt:lpstr>ITEM48_2024</vt:lpstr>
      <vt:lpstr>Tags!ITEM48_2Q00</vt:lpstr>
      <vt:lpstr>ITEM48_2Q00</vt:lpstr>
      <vt:lpstr>Tags!ITEM48_2Q01</vt:lpstr>
      <vt:lpstr>ITEM48_2Q01</vt:lpstr>
      <vt:lpstr>Tags!ITEM48_2Q02</vt:lpstr>
      <vt:lpstr>ITEM48_2Q02</vt:lpstr>
      <vt:lpstr>Tags!ITEM48_2Q03</vt:lpstr>
      <vt:lpstr>ITEM48_2Q03</vt:lpstr>
      <vt:lpstr>Tags!ITEM48_2Q04</vt:lpstr>
      <vt:lpstr>ITEM48_2Q04</vt:lpstr>
      <vt:lpstr>Tags!ITEM48_2Q05</vt:lpstr>
      <vt:lpstr>ITEM48_2Q05</vt:lpstr>
      <vt:lpstr>Tags!ITEM48_2Q06</vt:lpstr>
      <vt:lpstr>ITEM48_2Q06</vt:lpstr>
      <vt:lpstr>Tags!ITEM48_2Q07</vt:lpstr>
      <vt:lpstr>ITEM48_2Q07</vt:lpstr>
      <vt:lpstr>Tags!ITEM48_2Q08</vt:lpstr>
      <vt:lpstr>ITEM48_2Q08</vt:lpstr>
      <vt:lpstr>Tags!ITEM48_2Q09</vt:lpstr>
      <vt:lpstr>ITEM48_2Q09</vt:lpstr>
      <vt:lpstr>Tags!ITEM48_2Q10</vt:lpstr>
      <vt:lpstr>ITEM48_2Q10</vt:lpstr>
      <vt:lpstr>Tags!ITEM48_2Q11</vt:lpstr>
      <vt:lpstr>ITEM48_2Q11</vt:lpstr>
      <vt:lpstr>Tags!ITEM48_2Q12</vt:lpstr>
      <vt:lpstr>ITEM48_2Q12</vt:lpstr>
      <vt:lpstr>Tags!ITEM48_2Q13</vt:lpstr>
      <vt:lpstr>ITEM48_2Q13</vt:lpstr>
      <vt:lpstr>Tags!ITEM48_2Q14</vt:lpstr>
      <vt:lpstr>ITEM48_2Q14</vt:lpstr>
      <vt:lpstr>Tags!ITEM48_2Q15</vt:lpstr>
      <vt:lpstr>ITEM48_2Q15</vt:lpstr>
      <vt:lpstr>Tags!ITEM48_2Q16</vt:lpstr>
      <vt:lpstr>ITEM48_2Q16</vt:lpstr>
      <vt:lpstr>Tags!ITEM48_2Q17</vt:lpstr>
      <vt:lpstr>ITEM48_2Q17</vt:lpstr>
      <vt:lpstr>Tags!ITEM48_2Q18</vt:lpstr>
      <vt:lpstr>ITEM48_2Q18</vt:lpstr>
      <vt:lpstr>Tags!ITEM48_2Q19</vt:lpstr>
      <vt:lpstr>ITEM48_2Q19</vt:lpstr>
      <vt:lpstr>Tags!ITEM48_2Q20</vt:lpstr>
      <vt:lpstr>ITEM48_2Q20</vt:lpstr>
      <vt:lpstr>ITEM48_2Q21</vt:lpstr>
      <vt:lpstr>ITEM48_2Q22</vt:lpstr>
      <vt:lpstr>ITEM48_2Q23</vt:lpstr>
      <vt:lpstr>ITEM48_2Q24</vt:lpstr>
      <vt:lpstr>Tags!ITEM48_3Q00</vt:lpstr>
      <vt:lpstr>ITEM48_3Q00</vt:lpstr>
      <vt:lpstr>Tags!ITEM48_3Q01</vt:lpstr>
      <vt:lpstr>ITEM48_3Q01</vt:lpstr>
      <vt:lpstr>Tags!ITEM48_3Q02</vt:lpstr>
      <vt:lpstr>ITEM48_3Q02</vt:lpstr>
      <vt:lpstr>Tags!ITEM48_3Q03</vt:lpstr>
      <vt:lpstr>ITEM48_3Q03</vt:lpstr>
      <vt:lpstr>Tags!ITEM48_3Q04</vt:lpstr>
      <vt:lpstr>ITEM48_3Q04</vt:lpstr>
      <vt:lpstr>Tags!ITEM48_3Q05</vt:lpstr>
      <vt:lpstr>ITEM48_3Q05</vt:lpstr>
      <vt:lpstr>Tags!ITEM48_3Q06</vt:lpstr>
      <vt:lpstr>ITEM48_3Q06</vt:lpstr>
      <vt:lpstr>Tags!ITEM48_3Q07</vt:lpstr>
      <vt:lpstr>ITEM48_3Q07</vt:lpstr>
      <vt:lpstr>Tags!ITEM48_3Q08</vt:lpstr>
      <vt:lpstr>ITEM48_3Q08</vt:lpstr>
      <vt:lpstr>Tags!ITEM48_3Q09</vt:lpstr>
      <vt:lpstr>ITEM48_3Q09</vt:lpstr>
      <vt:lpstr>Tags!ITEM48_3Q10</vt:lpstr>
      <vt:lpstr>ITEM48_3Q10</vt:lpstr>
      <vt:lpstr>Tags!ITEM48_3Q11</vt:lpstr>
      <vt:lpstr>ITEM48_3Q11</vt:lpstr>
      <vt:lpstr>Tags!ITEM48_3Q12</vt:lpstr>
      <vt:lpstr>ITEM48_3Q12</vt:lpstr>
      <vt:lpstr>Tags!ITEM48_3Q13</vt:lpstr>
      <vt:lpstr>ITEM48_3Q13</vt:lpstr>
      <vt:lpstr>Tags!ITEM48_3Q14</vt:lpstr>
      <vt:lpstr>ITEM48_3Q14</vt:lpstr>
      <vt:lpstr>Tags!ITEM48_3Q15</vt:lpstr>
      <vt:lpstr>ITEM48_3Q15</vt:lpstr>
      <vt:lpstr>Tags!ITEM48_3Q16</vt:lpstr>
      <vt:lpstr>ITEM48_3Q16</vt:lpstr>
      <vt:lpstr>Tags!ITEM48_3Q17</vt:lpstr>
      <vt:lpstr>ITEM48_3Q17</vt:lpstr>
      <vt:lpstr>Tags!ITEM48_3Q18</vt:lpstr>
      <vt:lpstr>ITEM48_3Q18</vt:lpstr>
      <vt:lpstr>Tags!ITEM48_3Q19</vt:lpstr>
      <vt:lpstr>ITEM48_3Q19</vt:lpstr>
      <vt:lpstr>Tags!ITEM48_3Q20</vt:lpstr>
      <vt:lpstr>ITEM48_3Q20</vt:lpstr>
      <vt:lpstr>ITEM48_3Q21</vt:lpstr>
      <vt:lpstr>ITEM48_3Q22</vt:lpstr>
      <vt:lpstr>ITEM48_3Q23</vt:lpstr>
      <vt:lpstr>ITEM48_3Q24</vt:lpstr>
      <vt:lpstr>Tags!ITEM48_4Q00</vt:lpstr>
      <vt:lpstr>ITEM48_4Q00</vt:lpstr>
      <vt:lpstr>Tags!ITEM48_4Q01</vt:lpstr>
      <vt:lpstr>ITEM48_4Q01</vt:lpstr>
      <vt:lpstr>Tags!ITEM48_4Q02</vt:lpstr>
      <vt:lpstr>ITEM48_4Q02</vt:lpstr>
      <vt:lpstr>Tags!ITEM48_4Q03</vt:lpstr>
      <vt:lpstr>ITEM48_4Q03</vt:lpstr>
      <vt:lpstr>Tags!ITEM48_4Q04</vt:lpstr>
      <vt:lpstr>ITEM48_4Q04</vt:lpstr>
      <vt:lpstr>Tags!ITEM48_4Q05</vt:lpstr>
      <vt:lpstr>ITEM48_4Q05</vt:lpstr>
      <vt:lpstr>Tags!ITEM48_4Q06</vt:lpstr>
      <vt:lpstr>ITEM48_4Q06</vt:lpstr>
      <vt:lpstr>Tags!ITEM48_4Q07</vt:lpstr>
      <vt:lpstr>ITEM48_4Q07</vt:lpstr>
      <vt:lpstr>Tags!ITEM48_4Q08</vt:lpstr>
      <vt:lpstr>ITEM48_4Q08</vt:lpstr>
      <vt:lpstr>Tags!ITEM48_4Q09</vt:lpstr>
      <vt:lpstr>ITEM48_4Q09</vt:lpstr>
      <vt:lpstr>Tags!ITEM48_4Q10</vt:lpstr>
      <vt:lpstr>ITEM48_4Q10</vt:lpstr>
      <vt:lpstr>Tags!ITEM48_4Q11</vt:lpstr>
      <vt:lpstr>ITEM48_4Q11</vt:lpstr>
      <vt:lpstr>Tags!ITEM48_4Q12</vt:lpstr>
      <vt:lpstr>ITEM48_4Q12</vt:lpstr>
      <vt:lpstr>Tags!ITEM48_4Q13</vt:lpstr>
      <vt:lpstr>ITEM48_4Q13</vt:lpstr>
      <vt:lpstr>Tags!ITEM48_4Q14</vt:lpstr>
      <vt:lpstr>ITEM48_4Q14</vt:lpstr>
      <vt:lpstr>Tags!ITEM48_4Q15</vt:lpstr>
      <vt:lpstr>ITEM48_4Q15</vt:lpstr>
      <vt:lpstr>Tags!ITEM48_4Q16</vt:lpstr>
      <vt:lpstr>ITEM48_4Q16</vt:lpstr>
      <vt:lpstr>Tags!ITEM48_4Q17</vt:lpstr>
      <vt:lpstr>ITEM48_4Q17</vt:lpstr>
      <vt:lpstr>Tags!ITEM48_4Q18</vt:lpstr>
      <vt:lpstr>ITEM48_4Q18</vt:lpstr>
      <vt:lpstr>Tags!ITEM48_4Q19</vt:lpstr>
      <vt:lpstr>ITEM48_4Q19</vt:lpstr>
      <vt:lpstr>Tags!ITEM48_4Q20</vt:lpstr>
      <vt:lpstr>ITEM48_4Q20</vt:lpstr>
      <vt:lpstr>ITEM48_4Q21</vt:lpstr>
      <vt:lpstr>ITEM48_4Q22</vt:lpstr>
      <vt:lpstr>ITEM48_4Q23</vt:lpstr>
      <vt:lpstr>ITEM48_4Q24</vt:lpstr>
      <vt:lpstr>ITEM49_1995</vt:lpstr>
      <vt:lpstr>ITEM49_1996</vt:lpstr>
      <vt:lpstr>ITEM49_1997</vt:lpstr>
      <vt:lpstr>ITEM49_1998</vt:lpstr>
      <vt:lpstr>ITEM49_1999</vt:lpstr>
      <vt:lpstr>Tags!ITEM49_1Q00</vt:lpstr>
      <vt:lpstr>ITEM49_1Q00</vt:lpstr>
      <vt:lpstr>Tags!ITEM49_1Q01</vt:lpstr>
      <vt:lpstr>ITEM49_1Q01</vt:lpstr>
      <vt:lpstr>Tags!ITEM49_1Q02</vt:lpstr>
      <vt:lpstr>ITEM49_1Q02</vt:lpstr>
      <vt:lpstr>Tags!ITEM49_1Q03</vt:lpstr>
      <vt:lpstr>ITEM49_1Q03</vt:lpstr>
      <vt:lpstr>Tags!ITEM49_1Q04</vt:lpstr>
      <vt:lpstr>ITEM49_1Q04</vt:lpstr>
      <vt:lpstr>Tags!ITEM49_1Q05</vt:lpstr>
      <vt:lpstr>ITEM49_1Q05</vt:lpstr>
      <vt:lpstr>Tags!ITEM49_1Q06</vt:lpstr>
      <vt:lpstr>ITEM49_1Q06</vt:lpstr>
      <vt:lpstr>Tags!ITEM49_1Q07</vt:lpstr>
      <vt:lpstr>ITEM49_1Q07</vt:lpstr>
      <vt:lpstr>Tags!ITEM49_1Q08</vt:lpstr>
      <vt:lpstr>ITEM49_1Q08</vt:lpstr>
      <vt:lpstr>Tags!ITEM49_1Q09</vt:lpstr>
      <vt:lpstr>ITEM49_1Q09</vt:lpstr>
      <vt:lpstr>Tags!ITEM49_1Q10</vt:lpstr>
      <vt:lpstr>ITEM49_1Q10</vt:lpstr>
      <vt:lpstr>Tags!ITEM49_1Q11</vt:lpstr>
      <vt:lpstr>ITEM49_1Q11</vt:lpstr>
      <vt:lpstr>Tags!ITEM49_1Q12</vt:lpstr>
      <vt:lpstr>ITEM49_1Q12</vt:lpstr>
      <vt:lpstr>Tags!ITEM49_1Q13</vt:lpstr>
      <vt:lpstr>ITEM49_1Q13</vt:lpstr>
      <vt:lpstr>Tags!ITEM49_1Q14</vt:lpstr>
      <vt:lpstr>ITEM49_1Q14</vt:lpstr>
      <vt:lpstr>Tags!ITEM49_1Q15</vt:lpstr>
      <vt:lpstr>ITEM49_1Q15</vt:lpstr>
      <vt:lpstr>Tags!ITEM49_1Q16</vt:lpstr>
      <vt:lpstr>ITEM49_1Q16</vt:lpstr>
      <vt:lpstr>Tags!ITEM49_1Q17</vt:lpstr>
      <vt:lpstr>ITEM49_1Q17</vt:lpstr>
      <vt:lpstr>Tags!ITEM49_1Q18</vt:lpstr>
      <vt:lpstr>ITEM49_1Q18</vt:lpstr>
      <vt:lpstr>Tags!ITEM49_1Q19</vt:lpstr>
      <vt:lpstr>ITEM49_1Q19</vt:lpstr>
      <vt:lpstr>Tags!ITEM49_1Q20</vt:lpstr>
      <vt:lpstr>ITEM49_1Q20</vt:lpstr>
      <vt:lpstr>ITEM49_1Q21</vt:lpstr>
      <vt:lpstr>ITEM49_1Q22</vt:lpstr>
      <vt:lpstr>ITEM49_1Q23</vt:lpstr>
      <vt:lpstr>ITEM49_1Q24</vt:lpstr>
      <vt:lpstr>Tags!ITEM49_2000</vt:lpstr>
      <vt:lpstr>ITEM49_2000</vt:lpstr>
      <vt:lpstr>Tags!ITEM49_2001</vt:lpstr>
      <vt:lpstr>ITEM49_2001</vt:lpstr>
      <vt:lpstr>Tags!ITEM49_2002</vt:lpstr>
      <vt:lpstr>ITEM49_2002</vt:lpstr>
      <vt:lpstr>Tags!ITEM49_2003</vt:lpstr>
      <vt:lpstr>ITEM49_2003</vt:lpstr>
      <vt:lpstr>Tags!ITEM49_2004</vt:lpstr>
      <vt:lpstr>ITEM49_2004</vt:lpstr>
      <vt:lpstr>Tags!ITEM49_2005</vt:lpstr>
      <vt:lpstr>ITEM49_2005</vt:lpstr>
      <vt:lpstr>Tags!ITEM49_2006</vt:lpstr>
      <vt:lpstr>ITEM49_2006</vt:lpstr>
      <vt:lpstr>Tags!ITEM49_2007</vt:lpstr>
      <vt:lpstr>ITEM49_2007</vt:lpstr>
      <vt:lpstr>Tags!ITEM49_2008</vt:lpstr>
      <vt:lpstr>ITEM49_2008</vt:lpstr>
      <vt:lpstr>Tags!ITEM49_2009</vt:lpstr>
      <vt:lpstr>ITEM49_2009</vt:lpstr>
      <vt:lpstr>Tags!ITEM49_2010</vt:lpstr>
      <vt:lpstr>ITEM49_2010</vt:lpstr>
      <vt:lpstr>Tags!ITEM49_2011</vt:lpstr>
      <vt:lpstr>ITEM49_2011</vt:lpstr>
      <vt:lpstr>Tags!ITEM49_2012</vt:lpstr>
      <vt:lpstr>ITEM49_2012</vt:lpstr>
      <vt:lpstr>Tags!ITEM49_2013</vt:lpstr>
      <vt:lpstr>ITEM49_2013</vt:lpstr>
      <vt:lpstr>Tags!ITEM49_2014</vt:lpstr>
      <vt:lpstr>ITEM49_2014</vt:lpstr>
      <vt:lpstr>ITEM49_2015</vt:lpstr>
      <vt:lpstr>Tags!ITEM49_2016</vt:lpstr>
      <vt:lpstr>ITEM49_2016</vt:lpstr>
      <vt:lpstr>Tags!ITEM49_2017</vt:lpstr>
      <vt:lpstr>ITEM49_2017</vt:lpstr>
      <vt:lpstr>Tags!ITEM49_2018</vt:lpstr>
      <vt:lpstr>ITEM49_2018</vt:lpstr>
      <vt:lpstr>Tags!ITEM49_2019</vt:lpstr>
      <vt:lpstr>ITEM49_2019</vt:lpstr>
      <vt:lpstr>Tags!ITEM49_2020</vt:lpstr>
      <vt:lpstr>ITEM49_2020</vt:lpstr>
      <vt:lpstr>ITEM49_2021</vt:lpstr>
      <vt:lpstr>ITEM49_2022</vt:lpstr>
      <vt:lpstr>ITEM49_2023</vt:lpstr>
      <vt:lpstr>ITEM49_2024</vt:lpstr>
      <vt:lpstr>Tags!ITEM49_2Q00</vt:lpstr>
      <vt:lpstr>ITEM49_2Q00</vt:lpstr>
      <vt:lpstr>Tags!ITEM49_2Q01</vt:lpstr>
      <vt:lpstr>ITEM49_2Q01</vt:lpstr>
      <vt:lpstr>Tags!ITEM49_2Q02</vt:lpstr>
      <vt:lpstr>ITEM49_2Q02</vt:lpstr>
      <vt:lpstr>Tags!ITEM49_2Q03</vt:lpstr>
      <vt:lpstr>ITEM49_2Q03</vt:lpstr>
      <vt:lpstr>Tags!ITEM49_2Q04</vt:lpstr>
      <vt:lpstr>ITEM49_2Q04</vt:lpstr>
      <vt:lpstr>Tags!ITEM49_2Q05</vt:lpstr>
      <vt:lpstr>ITEM49_2Q05</vt:lpstr>
      <vt:lpstr>Tags!ITEM49_2Q06</vt:lpstr>
      <vt:lpstr>ITEM49_2Q06</vt:lpstr>
      <vt:lpstr>Tags!ITEM49_2Q07</vt:lpstr>
      <vt:lpstr>ITEM49_2Q07</vt:lpstr>
      <vt:lpstr>Tags!ITEM49_2Q08</vt:lpstr>
      <vt:lpstr>ITEM49_2Q08</vt:lpstr>
      <vt:lpstr>Tags!ITEM49_2Q09</vt:lpstr>
      <vt:lpstr>ITEM49_2Q09</vt:lpstr>
      <vt:lpstr>Tags!ITEM49_2Q10</vt:lpstr>
      <vt:lpstr>ITEM49_2Q10</vt:lpstr>
      <vt:lpstr>Tags!ITEM49_2Q11</vt:lpstr>
      <vt:lpstr>ITEM49_2Q11</vt:lpstr>
      <vt:lpstr>Tags!ITEM49_2Q12</vt:lpstr>
      <vt:lpstr>ITEM49_2Q12</vt:lpstr>
      <vt:lpstr>Tags!ITEM49_2Q13</vt:lpstr>
      <vt:lpstr>ITEM49_2Q13</vt:lpstr>
      <vt:lpstr>Tags!ITEM49_2Q14</vt:lpstr>
      <vt:lpstr>ITEM49_2Q14</vt:lpstr>
      <vt:lpstr>Tags!ITEM49_2Q15</vt:lpstr>
      <vt:lpstr>ITEM49_2Q15</vt:lpstr>
      <vt:lpstr>Tags!ITEM49_2Q16</vt:lpstr>
      <vt:lpstr>ITEM49_2Q16</vt:lpstr>
      <vt:lpstr>Tags!ITEM49_2Q17</vt:lpstr>
      <vt:lpstr>ITEM49_2Q17</vt:lpstr>
      <vt:lpstr>Tags!ITEM49_2Q18</vt:lpstr>
      <vt:lpstr>ITEM49_2Q18</vt:lpstr>
      <vt:lpstr>Tags!ITEM49_2Q19</vt:lpstr>
      <vt:lpstr>ITEM49_2Q19</vt:lpstr>
      <vt:lpstr>Tags!ITEM49_2Q20</vt:lpstr>
      <vt:lpstr>ITEM49_2Q20</vt:lpstr>
      <vt:lpstr>ITEM49_2Q21</vt:lpstr>
      <vt:lpstr>ITEM49_2Q22</vt:lpstr>
      <vt:lpstr>ITEM49_2Q23</vt:lpstr>
      <vt:lpstr>ITEM49_2Q24</vt:lpstr>
      <vt:lpstr>Tags!ITEM49_3Q00</vt:lpstr>
      <vt:lpstr>ITEM49_3Q00</vt:lpstr>
      <vt:lpstr>Tags!ITEM49_3Q01</vt:lpstr>
      <vt:lpstr>ITEM49_3Q01</vt:lpstr>
      <vt:lpstr>Tags!ITEM49_3Q02</vt:lpstr>
      <vt:lpstr>ITEM49_3Q02</vt:lpstr>
      <vt:lpstr>Tags!ITEM49_3Q03</vt:lpstr>
      <vt:lpstr>ITEM49_3Q03</vt:lpstr>
      <vt:lpstr>Tags!ITEM49_3Q04</vt:lpstr>
      <vt:lpstr>ITEM49_3Q04</vt:lpstr>
      <vt:lpstr>Tags!ITEM49_3Q05</vt:lpstr>
      <vt:lpstr>ITEM49_3Q05</vt:lpstr>
      <vt:lpstr>Tags!ITEM49_3Q06</vt:lpstr>
      <vt:lpstr>ITEM49_3Q06</vt:lpstr>
      <vt:lpstr>Tags!ITEM49_3Q07</vt:lpstr>
      <vt:lpstr>ITEM49_3Q07</vt:lpstr>
      <vt:lpstr>Tags!ITEM49_3Q08</vt:lpstr>
      <vt:lpstr>ITEM49_3Q08</vt:lpstr>
      <vt:lpstr>Tags!ITEM49_3Q09</vt:lpstr>
      <vt:lpstr>ITEM49_3Q09</vt:lpstr>
      <vt:lpstr>Tags!ITEM49_3Q10</vt:lpstr>
      <vt:lpstr>ITEM49_3Q10</vt:lpstr>
      <vt:lpstr>Tags!ITEM49_3Q11</vt:lpstr>
      <vt:lpstr>ITEM49_3Q11</vt:lpstr>
      <vt:lpstr>Tags!ITEM49_3Q12</vt:lpstr>
      <vt:lpstr>ITEM49_3Q12</vt:lpstr>
      <vt:lpstr>Tags!ITEM49_3Q13</vt:lpstr>
      <vt:lpstr>ITEM49_3Q13</vt:lpstr>
      <vt:lpstr>Tags!ITEM49_3Q14</vt:lpstr>
      <vt:lpstr>ITEM49_3Q14</vt:lpstr>
      <vt:lpstr>Tags!ITEM49_3Q15</vt:lpstr>
      <vt:lpstr>ITEM49_3Q15</vt:lpstr>
      <vt:lpstr>Tags!ITEM49_3Q16</vt:lpstr>
      <vt:lpstr>ITEM49_3Q16</vt:lpstr>
      <vt:lpstr>Tags!ITEM49_3Q17</vt:lpstr>
      <vt:lpstr>ITEM49_3Q17</vt:lpstr>
      <vt:lpstr>Tags!ITEM49_3Q18</vt:lpstr>
      <vt:lpstr>ITEM49_3Q18</vt:lpstr>
      <vt:lpstr>Tags!ITEM49_3Q19</vt:lpstr>
      <vt:lpstr>ITEM49_3Q19</vt:lpstr>
      <vt:lpstr>Tags!ITEM49_3Q20</vt:lpstr>
      <vt:lpstr>ITEM49_3Q20</vt:lpstr>
      <vt:lpstr>ITEM49_3Q21</vt:lpstr>
      <vt:lpstr>ITEM49_3Q22</vt:lpstr>
      <vt:lpstr>ITEM49_3Q23</vt:lpstr>
      <vt:lpstr>ITEM49_3Q24</vt:lpstr>
      <vt:lpstr>Tags!ITEM49_4Q00</vt:lpstr>
      <vt:lpstr>ITEM49_4Q00</vt:lpstr>
      <vt:lpstr>Tags!ITEM49_4Q01</vt:lpstr>
      <vt:lpstr>ITEM49_4Q01</vt:lpstr>
      <vt:lpstr>Tags!ITEM49_4Q02</vt:lpstr>
      <vt:lpstr>ITEM49_4Q02</vt:lpstr>
      <vt:lpstr>Tags!ITEM49_4Q03</vt:lpstr>
      <vt:lpstr>ITEM49_4Q03</vt:lpstr>
      <vt:lpstr>Tags!ITEM49_4Q04</vt:lpstr>
      <vt:lpstr>ITEM49_4Q04</vt:lpstr>
      <vt:lpstr>Tags!ITEM49_4Q05</vt:lpstr>
      <vt:lpstr>ITEM49_4Q05</vt:lpstr>
      <vt:lpstr>Tags!ITEM49_4Q06</vt:lpstr>
      <vt:lpstr>ITEM49_4Q06</vt:lpstr>
      <vt:lpstr>Tags!ITEM49_4Q07</vt:lpstr>
      <vt:lpstr>ITEM49_4Q07</vt:lpstr>
      <vt:lpstr>Tags!ITEM49_4Q08</vt:lpstr>
      <vt:lpstr>ITEM49_4Q08</vt:lpstr>
      <vt:lpstr>Tags!ITEM49_4Q09</vt:lpstr>
      <vt:lpstr>ITEM49_4Q09</vt:lpstr>
      <vt:lpstr>Tags!ITEM49_4Q10</vt:lpstr>
      <vt:lpstr>ITEM49_4Q10</vt:lpstr>
      <vt:lpstr>Tags!ITEM49_4Q11</vt:lpstr>
      <vt:lpstr>ITEM49_4Q11</vt:lpstr>
      <vt:lpstr>Tags!ITEM49_4Q12</vt:lpstr>
      <vt:lpstr>ITEM49_4Q12</vt:lpstr>
      <vt:lpstr>Tags!ITEM49_4Q13</vt:lpstr>
      <vt:lpstr>ITEM49_4Q13</vt:lpstr>
      <vt:lpstr>Tags!ITEM49_4Q14</vt:lpstr>
      <vt:lpstr>ITEM49_4Q14</vt:lpstr>
      <vt:lpstr>Tags!ITEM49_4Q15</vt:lpstr>
      <vt:lpstr>ITEM49_4Q15</vt:lpstr>
      <vt:lpstr>Tags!ITEM49_4Q16</vt:lpstr>
      <vt:lpstr>ITEM49_4Q16</vt:lpstr>
      <vt:lpstr>Tags!ITEM49_4Q17</vt:lpstr>
      <vt:lpstr>ITEM49_4Q17</vt:lpstr>
      <vt:lpstr>Tags!ITEM49_4Q18</vt:lpstr>
      <vt:lpstr>ITEM49_4Q18</vt:lpstr>
      <vt:lpstr>Tags!ITEM49_4Q19</vt:lpstr>
      <vt:lpstr>ITEM49_4Q19</vt:lpstr>
      <vt:lpstr>Tags!ITEM49_4Q20</vt:lpstr>
      <vt:lpstr>ITEM49_4Q20</vt:lpstr>
      <vt:lpstr>ITEM49_4Q21</vt:lpstr>
      <vt:lpstr>ITEM49_4Q22</vt:lpstr>
      <vt:lpstr>ITEM49_4Q23</vt:lpstr>
      <vt:lpstr>ITEM49_4Q24</vt:lpstr>
      <vt:lpstr>ITEM5_1995</vt:lpstr>
      <vt:lpstr>ITEM5_1996</vt:lpstr>
      <vt:lpstr>ITEM5_1997</vt:lpstr>
      <vt:lpstr>ITEM5_1998</vt:lpstr>
      <vt:lpstr>ITEM5_1999</vt:lpstr>
      <vt:lpstr>Tags!ITEM5_1Q00</vt:lpstr>
      <vt:lpstr>ITEM5_1Q00</vt:lpstr>
      <vt:lpstr>Tags!ITEM5_1Q01</vt:lpstr>
      <vt:lpstr>ITEM5_1Q01</vt:lpstr>
      <vt:lpstr>Tags!ITEM5_1Q02</vt:lpstr>
      <vt:lpstr>ITEM5_1Q02</vt:lpstr>
      <vt:lpstr>Tags!ITEM5_1Q03</vt:lpstr>
      <vt:lpstr>ITEM5_1Q03</vt:lpstr>
      <vt:lpstr>Tags!ITEM5_1Q04</vt:lpstr>
      <vt:lpstr>ITEM5_1Q04</vt:lpstr>
      <vt:lpstr>Tags!ITEM5_1Q05</vt:lpstr>
      <vt:lpstr>ITEM5_1Q05</vt:lpstr>
      <vt:lpstr>Tags!ITEM5_1Q06</vt:lpstr>
      <vt:lpstr>ITEM5_1Q06</vt:lpstr>
      <vt:lpstr>Tags!ITEM5_1Q07</vt:lpstr>
      <vt:lpstr>ITEM5_1Q07</vt:lpstr>
      <vt:lpstr>Tags!ITEM5_1Q08</vt:lpstr>
      <vt:lpstr>ITEM5_1Q08</vt:lpstr>
      <vt:lpstr>Tags!ITEM5_1Q09</vt:lpstr>
      <vt:lpstr>ITEM5_1Q09</vt:lpstr>
      <vt:lpstr>Tags!ITEM5_1Q10</vt:lpstr>
      <vt:lpstr>ITEM5_1Q10</vt:lpstr>
      <vt:lpstr>Tags!ITEM5_1Q11</vt:lpstr>
      <vt:lpstr>ITEM5_1Q11</vt:lpstr>
      <vt:lpstr>Tags!ITEM5_1Q12</vt:lpstr>
      <vt:lpstr>ITEM5_1Q12</vt:lpstr>
      <vt:lpstr>Tags!ITEM5_1Q13</vt:lpstr>
      <vt:lpstr>ITEM5_1Q13</vt:lpstr>
      <vt:lpstr>Tags!ITEM5_1Q14</vt:lpstr>
      <vt:lpstr>ITEM5_1Q14</vt:lpstr>
      <vt:lpstr>Tags!ITEM5_1Q15</vt:lpstr>
      <vt:lpstr>ITEM5_1Q15</vt:lpstr>
      <vt:lpstr>Tags!ITEM5_1Q16</vt:lpstr>
      <vt:lpstr>ITEM5_1Q16</vt:lpstr>
      <vt:lpstr>Tags!ITEM5_1Q17</vt:lpstr>
      <vt:lpstr>ITEM5_1Q17</vt:lpstr>
      <vt:lpstr>Tags!ITEM5_1Q18</vt:lpstr>
      <vt:lpstr>ITEM5_1Q18</vt:lpstr>
      <vt:lpstr>Tags!ITEM5_1Q19</vt:lpstr>
      <vt:lpstr>ITEM5_1Q19</vt:lpstr>
      <vt:lpstr>Tags!ITEM5_1Q20</vt:lpstr>
      <vt:lpstr>ITEM5_1Q20</vt:lpstr>
      <vt:lpstr>ITEM5_1Q21</vt:lpstr>
      <vt:lpstr>ITEM5_1Q22</vt:lpstr>
      <vt:lpstr>ITEM5_1Q23</vt:lpstr>
      <vt:lpstr>ITEM5_1Q24</vt:lpstr>
      <vt:lpstr>Tags!ITEM5_2000</vt:lpstr>
      <vt:lpstr>ITEM5_2000</vt:lpstr>
      <vt:lpstr>Tags!ITEM5_2001</vt:lpstr>
      <vt:lpstr>ITEM5_2001</vt:lpstr>
      <vt:lpstr>Tags!ITEM5_2002</vt:lpstr>
      <vt:lpstr>ITEM5_2002</vt:lpstr>
      <vt:lpstr>Tags!ITEM5_2003</vt:lpstr>
      <vt:lpstr>ITEM5_2003</vt:lpstr>
      <vt:lpstr>Tags!ITEM5_2004</vt:lpstr>
      <vt:lpstr>ITEM5_2004</vt:lpstr>
      <vt:lpstr>Tags!ITEM5_2005</vt:lpstr>
      <vt:lpstr>ITEM5_2005</vt:lpstr>
      <vt:lpstr>Tags!ITEM5_2006</vt:lpstr>
      <vt:lpstr>ITEM5_2006</vt:lpstr>
      <vt:lpstr>Tags!ITEM5_2007</vt:lpstr>
      <vt:lpstr>ITEM5_2007</vt:lpstr>
      <vt:lpstr>Tags!ITEM5_2008</vt:lpstr>
      <vt:lpstr>ITEM5_2008</vt:lpstr>
      <vt:lpstr>Tags!ITEM5_2009</vt:lpstr>
      <vt:lpstr>ITEM5_2009</vt:lpstr>
      <vt:lpstr>Tags!ITEM5_2010</vt:lpstr>
      <vt:lpstr>ITEM5_2010</vt:lpstr>
      <vt:lpstr>Tags!ITEM5_2011</vt:lpstr>
      <vt:lpstr>ITEM5_2011</vt:lpstr>
      <vt:lpstr>Tags!ITEM5_2012</vt:lpstr>
      <vt:lpstr>ITEM5_2012</vt:lpstr>
      <vt:lpstr>Tags!ITEM5_2013</vt:lpstr>
      <vt:lpstr>ITEM5_2013</vt:lpstr>
      <vt:lpstr>Tags!ITEM5_2014</vt:lpstr>
      <vt:lpstr>ITEM5_2014</vt:lpstr>
      <vt:lpstr>ITEM5_2015</vt:lpstr>
      <vt:lpstr>Tags!ITEM5_2016</vt:lpstr>
      <vt:lpstr>ITEM5_2016</vt:lpstr>
      <vt:lpstr>Tags!ITEM5_2017</vt:lpstr>
      <vt:lpstr>ITEM5_2017</vt:lpstr>
      <vt:lpstr>Tags!ITEM5_2018</vt:lpstr>
      <vt:lpstr>ITEM5_2018</vt:lpstr>
      <vt:lpstr>Tags!ITEM5_2019</vt:lpstr>
      <vt:lpstr>ITEM5_2019</vt:lpstr>
      <vt:lpstr>Tags!ITEM5_2020</vt:lpstr>
      <vt:lpstr>ITEM5_2020</vt:lpstr>
      <vt:lpstr>ITEM5_2021</vt:lpstr>
      <vt:lpstr>ITEM5_2022</vt:lpstr>
      <vt:lpstr>ITEM5_2023</vt:lpstr>
      <vt:lpstr>ITEM5_2024</vt:lpstr>
      <vt:lpstr>Tags!ITEM5_2Q00</vt:lpstr>
      <vt:lpstr>ITEM5_2Q00</vt:lpstr>
      <vt:lpstr>Tags!ITEM5_2Q01</vt:lpstr>
      <vt:lpstr>ITEM5_2Q01</vt:lpstr>
      <vt:lpstr>Tags!ITEM5_2Q02</vt:lpstr>
      <vt:lpstr>ITEM5_2Q02</vt:lpstr>
      <vt:lpstr>Tags!ITEM5_2Q03</vt:lpstr>
      <vt:lpstr>ITEM5_2Q03</vt:lpstr>
      <vt:lpstr>Tags!ITEM5_2Q04</vt:lpstr>
      <vt:lpstr>ITEM5_2Q04</vt:lpstr>
      <vt:lpstr>Tags!ITEM5_2Q05</vt:lpstr>
      <vt:lpstr>ITEM5_2Q05</vt:lpstr>
      <vt:lpstr>Tags!ITEM5_2Q06</vt:lpstr>
      <vt:lpstr>ITEM5_2Q06</vt:lpstr>
      <vt:lpstr>Tags!ITEM5_2Q07</vt:lpstr>
      <vt:lpstr>ITEM5_2Q07</vt:lpstr>
      <vt:lpstr>Tags!ITEM5_2Q08</vt:lpstr>
      <vt:lpstr>ITEM5_2Q08</vt:lpstr>
      <vt:lpstr>Tags!ITEM5_2Q09</vt:lpstr>
      <vt:lpstr>ITEM5_2Q09</vt:lpstr>
      <vt:lpstr>Tags!ITEM5_2Q10</vt:lpstr>
      <vt:lpstr>ITEM5_2Q10</vt:lpstr>
      <vt:lpstr>Tags!ITEM5_2Q11</vt:lpstr>
      <vt:lpstr>ITEM5_2Q11</vt:lpstr>
      <vt:lpstr>Tags!ITEM5_2Q12</vt:lpstr>
      <vt:lpstr>ITEM5_2Q12</vt:lpstr>
      <vt:lpstr>Tags!ITEM5_2Q13</vt:lpstr>
      <vt:lpstr>ITEM5_2Q13</vt:lpstr>
      <vt:lpstr>Tags!ITEM5_2Q14</vt:lpstr>
      <vt:lpstr>ITEM5_2Q14</vt:lpstr>
      <vt:lpstr>Tags!ITEM5_2Q15</vt:lpstr>
      <vt:lpstr>ITEM5_2Q15</vt:lpstr>
      <vt:lpstr>Tags!ITEM5_2Q16</vt:lpstr>
      <vt:lpstr>ITEM5_2Q16</vt:lpstr>
      <vt:lpstr>Tags!ITEM5_2Q17</vt:lpstr>
      <vt:lpstr>ITEM5_2Q17</vt:lpstr>
      <vt:lpstr>Tags!ITEM5_2Q18</vt:lpstr>
      <vt:lpstr>ITEM5_2Q18</vt:lpstr>
      <vt:lpstr>Tags!ITEM5_2Q19</vt:lpstr>
      <vt:lpstr>ITEM5_2Q19</vt:lpstr>
      <vt:lpstr>Tags!ITEM5_2Q20</vt:lpstr>
      <vt:lpstr>ITEM5_2Q20</vt:lpstr>
      <vt:lpstr>ITEM5_2Q21</vt:lpstr>
      <vt:lpstr>ITEM5_2Q22</vt:lpstr>
      <vt:lpstr>ITEM5_2Q23</vt:lpstr>
      <vt:lpstr>ITEM5_2Q24</vt:lpstr>
      <vt:lpstr>Tags!ITEM5_3Q00</vt:lpstr>
      <vt:lpstr>ITEM5_3Q00</vt:lpstr>
      <vt:lpstr>Tags!ITEM5_3Q01</vt:lpstr>
      <vt:lpstr>ITEM5_3Q01</vt:lpstr>
      <vt:lpstr>Tags!ITEM5_3Q02</vt:lpstr>
      <vt:lpstr>ITEM5_3Q02</vt:lpstr>
      <vt:lpstr>Tags!ITEM5_3Q03</vt:lpstr>
      <vt:lpstr>ITEM5_3Q03</vt:lpstr>
      <vt:lpstr>Tags!ITEM5_3Q04</vt:lpstr>
      <vt:lpstr>ITEM5_3Q04</vt:lpstr>
      <vt:lpstr>Tags!ITEM5_3Q05</vt:lpstr>
      <vt:lpstr>ITEM5_3Q05</vt:lpstr>
      <vt:lpstr>Tags!ITEM5_3Q06</vt:lpstr>
      <vt:lpstr>ITEM5_3Q06</vt:lpstr>
      <vt:lpstr>Tags!ITEM5_3Q07</vt:lpstr>
      <vt:lpstr>ITEM5_3Q07</vt:lpstr>
      <vt:lpstr>Tags!ITEM5_3Q08</vt:lpstr>
      <vt:lpstr>ITEM5_3Q08</vt:lpstr>
      <vt:lpstr>Tags!ITEM5_3Q09</vt:lpstr>
      <vt:lpstr>ITEM5_3Q09</vt:lpstr>
      <vt:lpstr>Tags!ITEM5_3Q10</vt:lpstr>
      <vt:lpstr>ITEM5_3Q10</vt:lpstr>
      <vt:lpstr>Tags!ITEM5_3Q11</vt:lpstr>
      <vt:lpstr>ITEM5_3Q11</vt:lpstr>
      <vt:lpstr>Tags!ITEM5_3Q12</vt:lpstr>
      <vt:lpstr>ITEM5_3Q12</vt:lpstr>
      <vt:lpstr>Tags!ITEM5_3Q13</vt:lpstr>
      <vt:lpstr>ITEM5_3Q13</vt:lpstr>
      <vt:lpstr>Tags!ITEM5_3Q14</vt:lpstr>
      <vt:lpstr>ITEM5_3Q14</vt:lpstr>
      <vt:lpstr>Tags!ITEM5_3Q15</vt:lpstr>
      <vt:lpstr>ITEM5_3Q15</vt:lpstr>
      <vt:lpstr>Tags!ITEM5_3Q16</vt:lpstr>
      <vt:lpstr>ITEM5_3Q16</vt:lpstr>
      <vt:lpstr>Tags!ITEM5_3Q17</vt:lpstr>
      <vt:lpstr>ITEM5_3Q17</vt:lpstr>
      <vt:lpstr>Tags!ITEM5_3Q18</vt:lpstr>
      <vt:lpstr>ITEM5_3Q18</vt:lpstr>
      <vt:lpstr>Tags!ITEM5_3Q19</vt:lpstr>
      <vt:lpstr>ITEM5_3Q19</vt:lpstr>
      <vt:lpstr>Tags!ITEM5_3Q20</vt:lpstr>
      <vt:lpstr>ITEM5_3Q20</vt:lpstr>
      <vt:lpstr>ITEM5_3Q21</vt:lpstr>
      <vt:lpstr>ITEM5_3Q22</vt:lpstr>
      <vt:lpstr>ITEM5_3Q23</vt:lpstr>
      <vt:lpstr>ITEM5_3Q24</vt:lpstr>
      <vt:lpstr>Tags!ITEM5_4Q00</vt:lpstr>
      <vt:lpstr>ITEM5_4Q00</vt:lpstr>
      <vt:lpstr>Tags!ITEM5_4Q01</vt:lpstr>
      <vt:lpstr>ITEM5_4Q01</vt:lpstr>
      <vt:lpstr>Tags!ITEM5_4Q02</vt:lpstr>
      <vt:lpstr>ITEM5_4Q02</vt:lpstr>
      <vt:lpstr>Tags!ITEM5_4Q03</vt:lpstr>
      <vt:lpstr>ITEM5_4Q03</vt:lpstr>
      <vt:lpstr>Tags!ITEM5_4Q04</vt:lpstr>
      <vt:lpstr>ITEM5_4Q04</vt:lpstr>
      <vt:lpstr>Tags!ITEM5_4Q05</vt:lpstr>
      <vt:lpstr>ITEM5_4Q05</vt:lpstr>
      <vt:lpstr>Tags!ITEM5_4Q06</vt:lpstr>
      <vt:lpstr>ITEM5_4Q06</vt:lpstr>
      <vt:lpstr>Tags!ITEM5_4Q07</vt:lpstr>
      <vt:lpstr>ITEM5_4Q07</vt:lpstr>
      <vt:lpstr>Tags!ITEM5_4Q08</vt:lpstr>
      <vt:lpstr>ITEM5_4Q08</vt:lpstr>
      <vt:lpstr>Tags!ITEM5_4Q09</vt:lpstr>
      <vt:lpstr>ITEM5_4Q09</vt:lpstr>
      <vt:lpstr>Tags!ITEM5_4Q10</vt:lpstr>
      <vt:lpstr>ITEM5_4Q10</vt:lpstr>
      <vt:lpstr>Tags!ITEM5_4Q11</vt:lpstr>
      <vt:lpstr>ITEM5_4Q11</vt:lpstr>
      <vt:lpstr>Tags!ITEM5_4Q12</vt:lpstr>
      <vt:lpstr>ITEM5_4Q12</vt:lpstr>
      <vt:lpstr>Tags!ITEM5_4Q13</vt:lpstr>
      <vt:lpstr>ITEM5_4Q13</vt:lpstr>
      <vt:lpstr>Tags!ITEM5_4Q14</vt:lpstr>
      <vt:lpstr>ITEM5_4Q14</vt:lpstr>
      <vt:lpstr>Tags!ITEM5_4Q15</vt:lpstr>
      <vt:lpstr>ITEM5_4Q15</vt:lpstr>
      <vt:lpstr>Tags!ITEM5_4Q16</vt:lpstr>
      <vt:lpstr>ITEM5_4Q16</vt:lpstr>
      <vt:lpstr>Tags!ITEM5_4Q17</vt:lpstr>
      <vt:lpstr>ITEM5_4Q17</vt:lpstr>
      <vt:lpstr>Tags!ITEM5_4Q18</vt:lpstr>
      <vt:lpstr>ITEM5_4Q18</vt:lpstr>
      <vt:lpstr>Tags!ITEM5_4Q19</vt:lpstr>
      <vt:lpstr>ITEM5_4Q19</vt:lpstr>
      <vt:lpstr>Tags!ITEM5_4Q20</vt:lpstr>
      <vt:lpstr>ITEM5_4Q20</vt:lpstr>
      <vt:lpstr>ITEM5_4Q21</vt:lpstr>
      <vt:lpstr>ITEM5_4Q22</vt:lpstr>
      <vt:lpstr>ITEM5_4Q23</vt:lpstr>
      <vt:lpstr>ITEM5_4Q24</vt:lpstr>
      <vt:lpstr>ITEM50_1995</vt:lpstr>
      <vt:lpstr>ITEM50_1996</vt:lpstr>
      <vt:lpstr>ITEM50_1997</vt:lpstr>
      <vt:lpstr>ITEM50_1998</vt:lpstr>
      <vt:lpstr>ITEM50_1999</vt:lpstr>
      <vt:lpstr>Tags!ITEM50_1Q00</vt:lpstr>
      <vt:lpstr>ITEM50_1Q00</vt:lpstr>
      <vt:lpstr>Tags!ITEM50_1Q01</vt:lpstr>
      <vt:lpstr>ITEM50_1Q01</vt:lpstr>
      <vt:lpstr>Tags!ITEM50_1Q02</vt:lpstr>
      <vt:lpstr>ITEM50_1Q02</vt:lpstr>
      <vt:lpstr>Tags!ITEM50_1Q03</vt:lpstr>
      <vt:lpstr>ITEM50_1Q03</vt:lpstr>
      <vt:lpstr>Tags!ITEM50_1Q04</vt:lpstr>
      <vt:lpstr>ITEM50_1Q04</vt:lpstr>
      <vt:lpstr>Tags!ITEM50_1Q05</vt:lpstr>
      <vt:lpstr>ITEM50_1Q05</vt:lpstr>
      <vt:lpstr>Tags!ITEM50_1Q06</vt:lpstr>
      <vt:lpstr>ITEM50_1Q06</vt:lpstr>
      <vt:lpstr>Tags!ITEM50_1Q07</vt:lpstr>
      <vt:lpstr>ITEM50_1Q07</vt:lpstr>
      <vt:lpstr>Tags!ITEM50_1Q08</vt:lpstr>
      <vt:lpstr>ITEM50_1Q08</vt:lpstr>
      <vt:lpstr>Tags!ITEM50_1Q09</vt:lpstr>
      <vt:lpstr>ITEM50_1Q09</vt:lpstr>
      <vt:lpstr>Tags!ITEM50_1Q10</vt:lpstr>
      <vt:lpstr>ITEM50_1Q10</vt:lpstr>
      <vt:lpstr>Tags!ITEM50_1Q11</vt:lpstr>
      <vt:lpstr>ITEM50_1Q11</vt:lpstr>
      <vt:lpstr>Tags!ITEM50_1Q12</vt:lpstr>
      <vt:lpstr>ITEM50_1Q12</vt:lpstr>
      <vt:lpstr>Tags!ITEM50_1Q13</vt:lpstr>
      <vt:lpstr>ITEM50_1Q13</vt:lpstr>
      <vt:lpstr>Tags!ITEM50_1Q14</vt:lpstr>
      <vt:lpstr>ITEM50_1Q14</vt:lpstr>
      <vt:lpstr>Tags!ITEM50_1Q15</vt:lpstr>
      <vt:lpstr>ITEM50_1Q15</vt:lpstr>
      <vt:lpstr>Tags!ITEM50_1Q16</vt:lpstr>
      <vt:lpstr>ITEM50_1Q16</vt:lpstr>
      <vt:lpstr>Tags!ITEM50_1Q17</vt:lpstr>
      <vt:lpstr>ITEM50_1Q17</vt:lpstr>
      <vt:lpstr>Tags!ITEM50_1Q18</vt:lpstr>
      <vt:lpstr>ITEM50_1Q18</vt:lpstr>
      <vt:lpstr>Tags!ITEM50_1Q19</vt:lpstr>
      <vt:lpstr>ITEM50_1Q19</vt:lpstr>
      <vt:lpstr>Tags!ITEM50_1Q20</vt:lpstr>
      <vt:lpstr>ITEM50_1Q20</vt:lpstr>
      <vt:lpstr>ITEM50_1Q21</vt:lpstr>
      <vt:lpstr>ITEM50_1Q22</vt:lpstr>
      <vt:lpstr>ITEM50_1Q23</vt:lpstr>
      <vt:lpstr>ITEM50_1Q24</vt:lpstr>
      <vt:lpstr>Tags!ITEM50_2000</vt:lpstr>
      <vt:lpstr>ITEM50_2000</vt:lpstr>
      <vt:lpstr>Tags!ITEM50_2001</vt:lpstr>
      <vt:lpstr>ITEM50_2001</vt:lpstr>
      <vt:lpstr>Tags!ITEM50_2002</vt:lpstr>
      <vt:lpstr>ITEM50_2002</vt:lpstr>
      <vt:lpstr>Tags!ITEM50_2003</vt:lpstr>
      <vt:lpstr>ITEM50_2003</vt:lpstr>
      <vt:lpstr>Tags!ITEM50_2004</vt:lpstr>
      <vt:lpstr>ITEM50_2004</vt:lpstr>
      <vt:lpstr>Tags!ITEM50_2005</vt:lpstr>
      <vt:lpstr>ITEM50_2005</vt:lpstr>
      <vt:lpstr>Tags!ITEM50_2006</vt:lpstr>
      <vt:lpstr>ITEM50_2006</vt:lpstr>
      <vt:lpstr>Tags!ITEM50_2007</vt:lpstr>
      <vt:lpstr>ITEM50_2007</vt:lpstr>
      <vt:lpstr>Tags!ITEM50_2008</vt:lpstr>
      <vt:lpstr>ITEM50_2008</vt:lpstr>
      <vt:lpstr>Tags!ITEM50_2009</vt:lpstr>
      <vt:lpstr>ITEM50_2009</vt:lpstr>
      <vt:lpstr>Tags!ITEM50_2010</vt:lpstr>
      <vt:lpstr>ITEM50_2010</vt:lpstr>
      <vt:lpstr>Tags!ITEM50_2011</vt:lpstr>
      <vt:lpstr>ITEM50_2011</vt:lpstr>
      <vt:lpstr>Tags!ITEM50_2012</vt:lpstr>
      <vt:lpstr>ITEM50_2012</vt:lpstr>
      <vt:lpstr>Tags!ITEM50_2013</vt:lpstr>
      <vt:lpstr>ITEM50_2013</vt:lpstr>
      <vt:lpstr>Tags!ITEM50_2014</vt:lpstr>
      <vt:lpstr>ITEM50_2014</vt:lpstr>
      <vt:lpstr>ITEM50_2015</vt:lpstr>
      <vt:lpstr>Tags!ITEM50_2016</vt:lpstr>
      <vt:lpstr>ITEM50_2016</vt:lpstr>
      <vt:lpstr>Tags!ITEM50_2017</vt:lpstr>
      <vt:lpstr>ITEM50_2017</vt:lpstr>
      <vt:lpstr>Tags!ITEM50_2018</vt:lpstr>
      <vt:lpstr>ITEM50_2018</vt:lpstr>
      <vt:lpstr>Tags!ITEM50_2019</vt:lpstr>
      <vt:lpstr>ITEM50_2019</vt:lpstr>
      <vt:lpstr>Tags!ITEM50_2020</vt:lpstr>
      <vt:lpstr>ITEM50_2020</vt:lpstr>
      <vt:lpstr>ITEM50_2021</vt:lpstr>
      <vt:lpstr>ITEM50_2022</vt:lpstr>
      <vt:lpstr>ITEM50_2023</vt:lpstr>
      <vt:lpstr>ITEM50_2024</vt:lpstr>
      <vt:lpstr>Tags!ITEM50_2Q00</vt:lpstr>
      <vt:lpstr>ITEM50_2Q00</vt:lpstr>
      <vt:lpstr>Tags!ITEM50_2Q01</vt:lpstr>
      <vt:lpstr>ITEM50_2Q01</vt:lpstr>
      <vt:lpstr>Tags!ITEM50_2Q02</vt:lpstr>
      <vt:lpstr>ITEM50_2Q02</vt:lpstr>
      <vt:lpstr>Tags!ITEM50_2Q03</vt:lpstr>
      <vt:lpstr>ITEM50_2Q03</vt:lpstr>
      <vt:lpstr>Tags!ITEM50_2Q04</vt:lpstr>
      <vt:lpstr>ITEM50_2Q04</vt:lpstr>
      <vt:lpstr>Tags!ITEM50_2Q05</vt:lpstr>
      <vt:lpstr>ITEM50_2Q05</vt:lpstr>
      <vt:lpstr>Tags!ITEM50_2Q06</vt:lpstr>
      <vt:lpstr>ITEM50_2Q06</vt:lpstr>
      <vt:lpstr>Tags!ITEM50_2Q07</vt:lpstr>
      <vt:lpstr>ITEM50_2Q07</vt:lpstr>
      <vt:lpstr>Tags!ITEM50_2Q08</vt:lpstr>
      <vt:lpstr>ITEM50_2Q08</vt:lpstr>
      <vt:lpstr>Tags!ITEM50_2Q09</vt:lpstr>
      <vt:lpstr>ITEM50_2Q09</vt:lpstr>
      <vt:lpstr>Tags!ITEM50_2Q10</vt:lpstr>
      <vt:lpstr>ITEM50_2Q10</vt:lpstr>
      <vt:lpstr>Tags!ITEM50_2Q11</vt:lpstr>
      <vt:lpstr>ITEM50_2Q11</vt:lpstr>
      <vt:lpstr>Tags!ITEM50_2Q12</vt:lpstr>
      <vt:lpstr>ITEM50_2Q12</vt:lpstr>
      <vt:lpstr>Tags!ITEM50_2Q13</vt:lpstr>
      <vt:lpstr>ITEM50_2Q13</vt:lpstr>
      <vt:lpstr>Tags!ITEM50_2Q14</vt:lpstr>
      <vt:lpstr>ITEM50_2Q14</vt:lpstr>
      <vt:lpstr>Tags!ITEM50_2Q15</vt:lpstr>
      <vt:lpstr>ITEM50_2Q15</vt:lpstr>
      <vt:lpstr>Tags!ITEM50_2Q16</vt:lpstr>
      <vt:lpstr>ITEM50_2Q16</vt:lpstr>
      <vt:lpstr>Tags!ITEM50_2Q17</vt:lpstr>
      <vt:lpstr>ITEM50_2Q17</vt:lpstr>
      <vt:lpstr>Tags!ITEM50_2Q18</vt:lpstr>
      <vt:lpstr>ITEM50_2Q18</vt:lpstr>
      <vt:lpstr>Tags!ITEM50_2Q19</vt:lpstr>
      <vt:lpstr>ITEM50_2Q19</vt:lpstr>
      <vt:lpstr>Tags!ITEM50_2Q20</vt:lpstr>
      <vt:lpstr>ITEM50_2Q20</vt:lpstr>
      <vt:lpstr>ITEM50_2Q21</vt:lpstr>
      <vt:lpstr>ITEM50_2Q22</vt:lpstr>
      <vt:lpstr>ITEM50_2Q23</vt:lpstr>
      <vt:lpstr>ITEM50_2Q24</vt:lpstr>
      <vt:lpstr>Tags!ITEM50_3Q00</vt:lpstr>
      <vt:lpstr>ITEM50_3Q00</vt:lpstr>
      <vt:lpstr>Tags!ITEM50_3Q01</vt:lpstr>
      <vt:lpstr>ITEM50_3Q01</vt:lpstr>
      <vt:lpstr>Tags!ITEM50_3Q02</vt:lpstr>
      <vt:lpstr>ITEM50_3Q02</vt:lpstr>
      <vt:lpstr>Tags!ITEM50_3Q03</vt:lpstr>
      <vt:lpstr>ITEM50_3Q03</vt:lpstr>
      <vt:lpstr>Tags!ITEM50_3Q04</vt:lpstr>
      <vt:lpstr>ITEM50_3Q04</vt:lpstr>
      <vt:lpstr>Tags!ITEM50_3Q05</vt:lpstr>
      <vt:lpstr>ITEM50_3Q05</vt:lpstr>
      <vt:lpstr>Tags!ITEM50_3Q06</vt:lpstr>
      <vt:lpstr>ITEM50_3Q06</vt:lpstr>
      <vt:lpstr>Tags!ITEM50_3Q07</vt:lpstr>
      <vt:lpstr>ITEM50_3Q07</vt:lpstr>
      <vt:lpstr>Tags!ITEM50_3Q08</vt:lpstr>
      <vt:lpstr>ITEM50_3Q08</vt:lpstr>
      <vt:lpstr>Tags!ITEM50_3Q09</vt:lpstr>
      <vt:lpstr>ITEM50_3Q09</vt:lpstr>
      <vt:lpstr>Tags!ITEM50_3Q10</vt:lpstr>
      <vt:lpstr>ITEM50_3Q10</vt:lpstr>
      <vt:lpstr>Tags!ITEM50_3Q11</vt:lpstr>
      <vt:lpstr>ITEM50_3Q11</vt:lpstr>
      <vt:lpstr>Tags!ITEM50_3Q12</vt:lpstr>
      <vt:lpstr>ITEM50_3Q12</vt:lpstr>
      <vt:lpstr>Tags!ITEM50_3Q13</vt:lpstr>
      <vt:lpstr>ITEM50_3Q13</vt:lpstr>
      <vt:lpstr>Tags!ITEM50_3Q14</vt:lpstr>
      <vt:lpstr>ITEM50_3Q14</vt:lpstr>
      <vt:lpstr>Tags!ITEM50_3Q15</vt:lpstr>
      <vt:lpstr>ITEM50_3Q15</vt:lpstr>
      <vt:lpstr>Tags!ITEM50_3Q16</vt:lpstr>
      <vt:lpstr>ITEM50_3Q16</vt:lpstr>
      <vt:lpstr>Tags!ITEM50_3Q17</vt:lpstr>
      <vt:lpstr>ITEM50_3Q17</vt:lpstr>
      <vt:lpstr>Tags!ITEM50_3Q18</vt:lpstr>
      <vt:lpstr>ITEM50_3Q18</vt:lpstr>
      <vt:lpstr>Tags!ITEM50_3Q19</vt:lpstr>
      <vt:lpstr>ITEM50_3Q19</vt:lpstr>
      <vt:lpstr>Tags!ITEM50_3Q20</vt:lpstr>
      <vt:lpstr>ITEM50_3Q20</vt:lpstr>
      <vt:lpstr>ITEM50_3Q21</vt:lpstr>
      <vt:lpstr>ITEM50_3Q22</vt:lpstr>
      <vt:lpstr>ITEM50_3Q23</vt:lpstr>
      <vt:lpstr>ITEM50_3Q24</vt:lpstr>
      <vt:lpstr>Tags!ITEM50_4Q00</vt:lpstr>
      <vt:lpstr>ITEM50_4Q00</vt:lpstr>
      <vt:lpstr>Tags!ITEM50_4Q01</vt:lpstr>
      <vt:lpstr>ITEM50_4Q01</vt:lpstr>
      <vt:lpstr>Tags!ITEM50_4Q02</vt:lpstr>
      <vt:lpstr>ITEM50_4Q02</vt:lpstr>
      <vt:lpstr>Tags!ITEM50_4Q03</vt:lpstr>
      <vt:lpstr>ITEM50_4Q03</vt:lpstr>
      <vt:lpstr>Tags!ITEM50_4Q04</vt:lpstr>
      <vt:lpstr>ITEM50_4Q04</vt:lpstr>
      <vt:lpstr>Tags!ITEM50_4Q05</vt:lpstr>
      <vt:lpstr>ITEM50_4Q05</vt:lpstr>
      <vt:lpstr>Tags!ITEM50_4Q06</vt:lpstr>
      <vt:lpstr>ITEM50_4Q06</vt:lpstr>
      <vt:lpstr>Tags!ITEM50_4Q07</vt:lpstr>
      <vt:lpstr>ITEM50_4Q07</vt:lpstr>
      <vt:lpstr>Tags!ITEM50_4Q08</vt:lpstr>
      <vt:lpstr>ITEM50_4Q08</vt:lpstr>
      <vt:lpstr>Tags!ITEM50_4Q09</vt:lpstr>
      <vt:lpstr>ITEM50_4Q09</vt:lpstr>
      <vt:lpstr>Tags!ITEM50_4Q10</vt:lpstr>
      <vt:lpstr>ITEM50_4Q10</vt:lpstr>
      <vt:lpstr>Tags!ITEM50_4Q11</vt:lpstr>
      <vt:lpstr>ITEM50_4Q11</vt:lpstr>
      <vt:lpstr>Tags!ITEM50_4Q12</vt:lpstr>
      <vt:lpstr>ITEM50_4Q12</vt:lpstr>
      <vt:lpstr>Tags!ITEM50_4Q13</vt:lpstr>
      <vt:lpstr>ITEM50_4Q13</vt:lpstr>
      <vt:lpstr>Tags!ITEM50_4Q14</vt:lpstr>
      <vt:lpstr>ITEM50_4Q14</vt:lpstr>
      <vt:lpstr>Tags!ITEM50_4Q15</vt:lpstr>
      <vt:lpstr>ITEM50_4Q15</vt:lpstr>
      <vt:lpstr>Tags!ITEM50_4Q16</vt:lpstr>
      <vt:lpstr>ITEM50_4Q16</vt:lpstr>
      <vt:lpstr>Tags!ITEM50_4Q17</vt:lpstr>
      <vt:lpstr>ITEM50_4Q17</vt:lpstr>
      <vt:lpstr>Tags!ITEM50_4Q18</vt:lpstr>
      <vt:lpstr>ITEM50_4Q18</vt:lpstr>
      <vt:lpstr>Tags!ITEM50_4Q19</vt:lpstr>
      <vt:lpstr>ITEM50_4Q19</vt:lpstr>
      <vt:lpstr>Tags!ITEM50_4Q20</vt:lpstr>
      <vt:lpstr>ITEM50_4Q20</vt:lpstr>
      <vt:lpstr>ITEM50_4Q21</vt:lpstr>
      <vt:lpstr>ITEM50_4Q22</vt:lpstr>
      <vt:lpstr>ITEM50_4Q23</vt:lpstr>
      <vt:lpstr>ITEM50_4Q24</vt:lpstr>
      <vt:lpstr>ITEM6_1995</vt:lpstr>
      <vt:lpstr>ITEM6_1996</vt:lpstr>
      <vt:lpstr>ITEM6_1997</vt:lpstr>
      <vt:lpstr>ITEM6_1998</vt:lpstr>
      <vt:lpstr>ITEM6_1999</vt:lpstr>
      <vt:lpstr>Tags!ITEM6_1Q00</vt:lpstr>
      <vt:lpstr>ITEM6_1Q00</vt:lpstr>
      <vt:lpstr>Tags!ITEM6_1Q01</vt:lpstr>
      <vt:lpstr>ITEM6_1Q01</vt:lpstr>
      <vt:lpstr>Tags!ITEM6_1Q02</vt:lpstr>
      <vt:lpstr>ITEM6_1Q02</vt:lpstr>
      <vt:lpstr>Tags!ITEM6_1Q03</vt:lpstr>
      <vt:lpstr>ITEM6_1Q03</vt:lpstr>
      <vt:lpstr>Tags!ITEM6_1Q04</vt:lpstr>
      <vt:lpstr>ITEM6_1Q04</vt:lpstr>
      <vt:lpstr>Tags!ITEM6_1Q05</vt:lpstr>
      <vt:lpstr>ITEM6_1Q05</vt:lpstr>
      <vt:lpstr>Tags!ITEM6_1Q06</vt:lpstr>
      <vt:lpstr>ITEM6_1Q06</vt:lpstr>
      <vt:lpstr>Tags!ITEM6_1Q07</vt:lpstr>
      <vt:lpstr>ITEM6_1Q07</vt:lpstr>
      <vt:lpstr>Tags!ITEM6_1Q08</vt:lpstr>
      <vt:lpstr>ITEM6_1Q08</vt:lpstr>
      <vt:lpstr>Tags!ITEM6_1Q09</vt:lpstr>
      <vt:lpstr>ITEM6_1Q09</vt:lpstr>
      <vt:lpstr>Tags!ITEM6_1Q10</vt:lpstr>
      <vt:lpstr>ITEM6_1Q10</vt:lpstr>
      <vt:lpstr>Tags!ITEM6_1Q11</vt:lpstr>
      <vt:lpstr>ITEM6_1Q11</vt:lpstr>
      <vt:lpstr>Tags!ITEM6_1Q12</vt:lpstr>
      <vt:lpstr>ITEM6_1Q12</vt:lpstr>
      <vt:lpstr>Tags!ITEM6_1Q13</vt:lpstr>
      <vt:lpstr>ITEM6_1Q13</vt:lpstr>
      <vt:lpstr>Tags!ITEM6_1Q14</vt:lpstr>
      <vt:lpstr>ITEM6_1Q14</vt:lpstr>
      <vt:lpstr>Tags!ITEM6_1Q15</vt:lpstr>
      <vt:lpstr>ITEM6_1Q15</vt:lpstr>
      <vt:lpstr>Tags!ITEM6_1Q16</vt:lpstr>
      <vt:lpstr>ITEM6_1Q16</vt:lpstr>
      <vt:lpstr>Tags!ITEM6_1Q17</vt:lpstr>
      <vt:lpstr>ITEM6_1Q17</vt:lpstr>
      <vt:lpstr>Tags!ITEM6_1Q18</vt:lpstr>
      <vt:lpstr>ITEM6_1Q18</vt:lpstr>
      <vt:lpstr>Tags!ITEM6_1Q19</vt:lpstr>
      <vt:lpstr>ITEM6_1Q19</vt:lpstr>
      <vt:lpstr>Tags!ITEM6_1Q20</vt:lpstr>
      <vt:lpstr>ITEM6_1Q20</vt:lpstr>
      <vt:lpstr>ITEM6_1Q21</vt:lpstr>
      <vt:lpstr>ITEM6_1Q22</vt:lpstr>
      <vt:lpstr>ITEM6_1Q23</vt:lpstr>
      <vt:lpstr>ITEM6_1Q24</vt:lpstr>
      <vt:lpstr>Tags!ITEM6_2000</vt:lpstr>
      <vt:lpstr>ITEM6_2000</vt:lpstr>
      <vt:lpstr>Tags!ITEM6_2001</vt:lpstr>
      <vt:lpstr>ITEM6_2001</vt:lpstr>
      <vt:lpstr>Tags!ITEM6_2002</vt:lpstr>
      <vt:lpstr>ITEM6_2002</vt:lpstr>
      <vt:lpstr>Tags!ITEM6_2003</vt:lpstr>
      <vt:lpstr>ITEM6_2003</vt:lpstr>
      <vt:lpstr>Tags!ITEM6_2004</vt:lpstr>
      <vt:lpstr>ITEM6_2004</vt:lpstr>
      <vt:lpstr>Tags!ITEM6_2005</vt:lpstr>
      <vt:lpstr>ITEM6_2005</vt:lpstr>
      <vt:lpstr>Tags!ITEM6_2006</vt:lpstr>
      <vt:lpstr>ITEM6_2006</vt:lpstr>
      <vt:lpstr>Tags!ITEM6_2007</vt:lpstr>
      <vt:lpstr>ITEM6_2007</vt:lpstr>
      <vt:lpstr>Tags!ITEM6_2008</vt:lpstr>
      <vt:lpstr>ITEM6_2008</vt:lpstr>
      <vt:lpstr>Tags!ITEM6_2009</vt:lpstr>
      <vt:lpstr>ITEM6_2009</vt:lpstr>
      <vt:lpstr>Tags!ITEM6_2010</vt:lpstr>
      <vt:lpstr>ITEM6_2010</vt:lpstr>
      <vt:lpstr>Tags!ITEM6_2011</vt:lpstr>
      <vt:lpstr>ITEM6_2011</vt:lpstr>
      <vt:lpstr>Tags!ITEM6_2012</vt:lpstr>
      <vt:lpstr>ITEM6_2012</vt:lpstr>
      <vt:lpstr>Tags!ITEM6_2013</vt:lpstr>
      <vt:lpstr>ITEM6_2013</vt:lpstr>
      <vt:lpstr>Tags!ITEM6_2014</vt:lpstr>
      <vt:lpstr>ITEM6_2014</vt:lpstr>
      <vt:lpstr>ITEM6_2015</vt:lpstr>
      <vt:lpstr>Tags!ITEM6_2016</vt:lpstr>
      <vt:lpstr>ITEM6_2016</vt:lpstr>
      <vt:lpstr>Tags!ITEM6_2017</vt:lpstr>
      <vt:lpstr>ITEM6_2017</vt:lpstr>
      <vt:lpstr>Tags!ITEM6_2018</vt:lpstr>
      <vt:lpstr>ITEM6_2018</vt:lpstr>
      <vt:lpstr>Tags!ITEM6_2019</vt:lpstr>
      <vt:lpstr>ITEM6_2019</vt:lpstr>
      <vt:lpstr>Tags!ITEM6_2020</vt:lpstr>
      <vt:lpstr>ITEM6_2020</vt:lpstr>
      <vt:lpstr>ITEM6_2021</vt:lpstr>
      <vt:lpstr>ITEM6_2022</vt:lpstr>
      <vt:lpstr>ITEM6_2023</vt:lpstr>
      <vt:lpstr>ITEM6_2024</vt:lpstr>
      <vt:lpstr>Tags!ITEM6_2Q00</vt:lpstr>
      <vt:lpstr>ITEM6_2Q00</vt:lpstr>
      <vt:lpstr>Tags!ITEM6_2Q01</vt:lpstr>
      <vt:lpstr>ITEM6_2Q01</vt:lpstr>
      <vt:lpstr>Tags!ITEM6_2Q02</vt:lpstr>
      <vt:lpstr>ITEM6_2Q02</vt:lpstr>
      <vt:lpstr>Tags!ITEM6_2Q03</vt:lpstr>
      <vt:lpstr>ITEM6_2Q03</vt:lpstr>
      <vt:lpstr>Tags!ITEM6_2Q04</vt:lpstr>
      <vt:lpstr>ITEM6_2Q04</vt:lpstr>
      <vt:lpstr>Tags!ITEM6_2Q05</vt:lpstr>
      <vt:lpstr>ITEM6_2Q05</vt:lpstr>
      <vt:lpstr>Tags!ITEM6_2Q06</vt:lpstr>
      <vt:lpstr>ITEM6_2Q06</vt:lpstr>
      <vt:lpstr>Tags!ITEM6_2Q07</vt:lpstr>
      <vt:lpstr>ITEM6_2Q07</vt:lpstr>
      <vt:lpstr>Tags!ITEM6_2Q08</vt:lpstr>
      <vt:lpstr>ITEM6_2Q08</vt:lpstr>
      <vt:lpstr>Tags!ITEM6_2Q09</vt:lpstr>
      <vt:lpstr>ITEM6_2Q09</vt:lpstr>
      <vt:lpstr>Tags!ITEM6_2Q10</vt:lpstr>
      <vt:lpstr>ITEM6_2Q10</vt:lpstr>
      <vt:lpstr>Tags!ITEM6_2Q11</vt:lpstr>
      <vt:lpstr>ITEM6_2Q11</vt:lpstr>
      <vt:lpstr>Tags!ITEM6_2Q12</vt:lpstr>
      <vt:lpstr>ITEM6_2Q12</vt:lpstr>
      <vt:lpstr>Tags!ITEM6_2Q13</vt:lpstr>
      <vt:lpstr>ITEM6_2Q13</vt:lpstr>
      <vt:lpstr>Tags!ITEM6_2Q14</vt:lpstr>
      <vt:lpstr>ITEM6_2Q14</vt:lpstr>
      <vt:lpstr>Tags!ITEM6_2Q15</vt:lpstr>
      <vt:lpstr>ITEM6_2Q15</vt:lpstr>
      <vt:lpstr>Tags!ITEM6_2Q16</vt:lpstr>
      <vt:lpstr>ITEM6_2Q16</vt:lpstr>
      <vt:lpstr>Tags!ITEM6_2Q17</vt:lpstr>
      <vt:lpstr>ITEM6_2Q17</vt:lpstr>
      <vt:lpstr>Tags!ITEM6_2Q18</vt:lpstr>
      <vt:lpstr>ITEM6_2Q18</vt:lpstr>
      <vt:lpstr>Tags!ITEM6_2Q19</vt:lpstr>
      <vt:lpstr>ITEM6_2Q19</vt:lpstr>
      <vt:lpstr>Tags!ITEM6_2Q20</vt:lpstr>
      <vt:lpstr>ITEM6_2Q20</vt:lpstr>
      <vt:lpstr>ITEM6_2Q21</vt:lpstr>
      <vt:lpstr>ITEM6_2Q22</vt:lpstr>
      <vt:lpstr>ITEM6_2Q23</vt:lpstr>
      <vt:lpstr>ITEM6_2Q24</vt:lpstr>
      <vt:lpstr>Tags!ITEM6_3Q00</vt:lpstr>
      <vt:lpstr>ITEM6_3Q00</vt:lpstr>
      <vt:lpstr>Tags!ITEM6_3Q01</vt:lpstr>
      <vt:lpstr>ITEM6_3Q01</vt:lpstr>
      <vt:lpstr>Tags!ITEM6_3Q02</vt:lpstr>
      <vt:lpstr>ITEM6_3Q02</vt:lpstr>
      <vt:lpstr>Tags!ITEM6_3Q03</vt:lpstr>
      <vt:lpstr>ITEM6_3Q03</vt:lpstr>
      <vt:lpstr>Tags!ITEM6_3Q04</vt:lpstr>
      <vt:lpstr>ITEM6_3Q04</vt:lpstr>
      <vt:lpstr>Tags!ITEM6_3Q05</vt:lpstr>
      <vt:lpstr>ITEM6_3Q05</vt:lpstr>
      <vt:lpstr>Tags!ITEM6_3Q06</vt:lpstr>
      <vt:lpstr>ITEM6_3Q06</vt:lpstr>
      <vt:lpstr>Tags!ITEM6_3Q07</vt:lpstr>
      <vt:lpstr>ITEM6_3Q07</vt:lpstr>
      <vt:lpstr>Tags!ITEM6_3Q08</vt:lpstr>
      <vt:lpstr>ITEM6_3Q08</vt:lpstr>
      <vt:lpstr>Tags!ITEM6_3Q09</vt:lpstr>
      <vt:lpstr>ITEM6_3Q09</vt:lpstr>
      <vt:lpstr>Tags!ITEM6_3Q10</vt:lpstr>
      <vt:lpstr>ITEM6_3Q10</vt:lpstr>
      <vt:lpstr>Tags!ITEM6_3Q11</vt:lpstr>
      <vt:lpstr>ITEM6_3Q11</vt:lpstr>
      <vt:lpstr>Tags!ITEM6_3Q12</vt:lpstr>
      <vt:lpstr>ITEM6_3Q12</vt:lpstr>
      <vt:lpstr>Tags!ITEM6_3Q13</vt:lpstr>
      <vt:lpstr>ITEM6_3Q13</vt:lpstr>
      <vt:lpstr>Tags!ITEM6_3Q14</vt:lpstr>
      <vt:lpstr>ITEM6_3Q14</vt:lpstr>
      <vt:lpstr>Tags!ITEM6_3Q15</vt:lpstr>
      <vt:lpstr>ITEM6_3Q15</vt:lpstr>
      <vt:lpstr>Tags!ITEM6_3Q16</vt:lpstr>
      <vt:lpstr>ITEM6_3Q16</vt:lpstr>
      <vt:lpstr>Tags!ITEM6_3Q17</vt:lpstr>
      <vt:lpstr>ITEM6_3Q17</vt:lpstr>
      <vt:lpstr>Tags!ITEM6_3Q18</vt:lpstr>
      <vt:lpstr>ITEM6_3Q18</vt:lpstr>
      <vt:lpstr>Tags!ITEM6_3Q19</vt:lpstr>
      <vt:lpstr>ITEM6_3Q19</vt:lpstr>
      <vt:lpstr>Tags!ITEM6_3Q20</vt:lpstr>
      <vt:lpstr>ITEM6_3Q20</vt:lpstr>
      <vt:lpstr>ITEM6_3Q21</vt:lpstr>
      <vt:lpstr>ITEM6_3Q22</vt:lpstr>
      <vt:lpstr>ITEM6_3Q23</vt:lpstr>
      <vt:lpstr>ITEM6_3Q24</vt:lpstr>
      <vt:lpstr>Tags!ITEM6_4Q00</vt:lpstr>
      <vt:lpstr>ITEM6_4Q00</vt:lpstr>
      <vt:lpstr>Tags!ITEM6_4Q01</vt:lpstr>
      <vt:lpstr>ITEM6_4Q01</vt:lpstr>
      <vt:lpstr>Tags!ITEM6_4Q02</vt:lpstr>
      <vt:lpstr>ITEM6_4Q02</vt:lpstr>
      <vt:lpstr>Tags!ITEM6_4Q03</vt:lpstr>
      <vt:lpstr>ITEM6_4Q03</vt:lpstr>
      <vt:lpstr>Tags!ITEM6_4Q04</vt:lpstr>
      <vt:lpstr>ITEM6_4Q04</vt:lpstr>
      <vt:lpstr>Tags!ITEM6_4Q05</vt:lpstr>
      <vt:lpstr>ITEM6_4Q05</vt:lpstr>
      <vt:lpstr>Tags!ITEM6_4Q06</vt:lpstr>
      <vt:lpstr>ITEM6_4Q06</vt:lpstr>
      <vt:lpstr>Tags!ITEM6_4Q07</vt:lpstr>
      <vt:lpstr>ITEM6_4Q07</vt:lpstr>
      <vt:lpstr>Tags!ITEM6_4Q08</vt:lpstr>
      <vt:lpstr>ITEM6_4Q08</vt:lpstr>
      <vt:lpstr>Tags!ITEM6_4Q09</vt:lpstr>
      <vt:lpstr>ITEM6_4Q09</vt:lpstr>
      <vt:lpstr>Tags!ITEM6_4Q10</vt:lpstr>
      <vt:lpstr>ITEM6_4Q10</vt:lpstr>
      <vt:lpstr>Tags!ITEM6_4Q11</vt:lpstr>
      <vt:lpstr>ITEM6_4Q11</vt:lpstr>
      <vt:lpstr>Tags!ITEM6_4Q12</vt:lpstr>
      <vt:lpstr>ITEM6_4Q12</vt:lpstr>
      <vt:lpstr>Tags!ITEM6_4Q13</vt:lpstr>
      <vt:lpstr>ITEM6_4Q13</vt:lpstr>
      <vt:lpstr>Tags!ITEM6_4Q14</vt:lpstr>
      <vt:lpstr>ITEM6_4Q14</vt:lpstr>
      <vt:lpstr>Tags!ITEM6_4Q15</vt:lpstr>
      <vt:lpstr>ITEM6_4Q15</vt:lpstr>
      <vt:lpstr>Tags!ITEM6_4Q16</vt:lpstr>
      <vt:lpstr>ITEM6_4Q16</vt:lpstr>
      <vt:lpstr>Tags!ITEM6_4Q17</vt:lpstr>
      <vt:lpstr>ITEM6_4Q17</vt:lpstr>
      <vt:lpstr>Tags!ITEM6_4Q18</vt:lpstr>
      <vt:lpstr>ITEM6_4Q18</vt:lpstr>
      <vt:lpstr>Tags!ITEM6_4Q19</vt:lpstr>
      <vt:lpstr>ITEM6_4Q19</vt:lpstr>
      <vt:lpstr>Tags!ITEM6_4Q20</vt:lpstr>
      <vt:lpstr>ITEM6_4Q20</vt:lpstr>
      <vt:lpstr>ITEM6_4Q21</vt:lpstr>
      <vt:lpstr>ITEM6_4Q22</vt:lpstr>
      <vt:lpstr>ITEM6_4Q23</vt:lpstr>
      <vt:lpstr>ITEM6_4Q24</vt:lpstr>
      <vt:lpstr>ITEM7_1995</vt:lpstr>
      <vt:lpstr>ITEM7_1996</vt:lpstr>
      <vt:lpstr>ITEM7_1997</vt:lpstr>
      <vt:lpstr>ITEM7_1998</vt:lpstr>
      <vt:lpstr>ITEM7_1999</vt:lpstr>
      <vt:lpstr>Tags!ITEM7_1Q00</vt:lpstr>
      <vt:lpstr>ITEM7_1Q00</vt:lpstr>
      <vt:lpstr>Tags!ITEM7_1Q01</vt:lpstr>
      <vt:lpstr>ITEM7_1Q01</vt:lpstr>
      <vt:lpstr>Tags!ITEM7_1Q02</vt:lpstr>
      <vt:lpstr>ITEM7_1Q02</vt:lpstr>
      <vt:lpstr>Tags!ITEM7_1Q03</vt:lpstr>
      <vt:lpstr>ITEM7_1Q03</vt:lpstr>
      <vt:lpstr>Tags!ITEM7_1Q04</vt:lpstr>
      <vt:lpstr>ITEM7_1Q04</vt:lpstr>
      <vt:lpstr>Tags!ITEM7_1Q05</vt:lpstr>
      <vt:lpstr>ITEM7_1Q05</vt:lpstr>
      <vt:lpstr>Tags!ITEM7_1Q06</vt:lpstr>
      <vt:lpstr>ITEM7_1Q06</vt:lpstr>
      <vt:lpstr>Tags!ITEM7_1Q07</vt:lpstr>
      <vt:lpstr>ITEM7_1Q07</vt:lpstr>
      <vt:lpstr>Tags!ITEM7_1Q08</vt:lpstr>
      <vt:lpstr>ITEM7_1Q08</vt:lpstr>
      <vt:lpstr>Tags!ITEM7_1Q09</vt:lpstr>
      <vt:lpstr>ITEM7_1Q09</vt:lpstr>
      <vt:lpstr>Tags!ITEM7_1Q10</vt:lpstr>
      <vt:lpstr>ITEM7_1Q10</vt:lpstr>
      <vt:lpstr>Tags!ITEM7_1Q11</vt:lpstr>
      <vt:lpstr>ITEM7_1Q11</vt:lpstr>
      <vt:lpstr>Tags!ITEM7_1Q12</vt:lpstr>
      <vt:lpstr>ITEM7_1Q12</vt:lpstr>
      <vt:lpstr>Tags!ITEM7_1Q13</vt:lpstr>
      <vt:lpstr>ITEM7_1Q13</vt:lpstr>
      <vt:lpstr>Tags!ITEM7_1Q14</vt:lpstr>
      <vt:lpstr>ITEM7_1Q14</vt:lpstr>
      <vt:lpstr>Tags!ITEM7_1Q15</vt:lpstr>
      <vt:lpstr>ITEM7_1Q15</vt:lpstr>
      <vt:lpstr>Tags!ITEM7_1Q16</vt:lpstr>
      <vt:lpstr>ITEM7_1Q16</vt:lpstr>
      <vt:lpstr>Tags!ITEM7_1Q17</vt:lpstr>
      <vt:lpstr>ITEM7_1Q17</vt:lpstr>
      <vt:lpstr>Tags!ITEM7_1Q18</vt:lpstr>
      <vt:lpstr>ITEM7_1Q18</vt:lpstr>
      <vt:lpstr>Tags!ITEM7_1Q19</vt:lpstr>
      <vt:lpstr>ITEM7_1Q19</vt:lpstr>
      <vt:lpstr>Tags!ITEM7_1Q20</vt:lpstr>
      <vt:lpstr>ITEM7_1Q20</vt:lpstr>
      <vt:lpstr>ITEM7_1Q21</vt:lpstr>
      <vt:lpstr>ITEM7_1Q22</vt:lpstr>
      <vt:lpstr>ITEM7_1Q23</vt:lpstr>
      <vt:lpstr>ITEM7_1Q24</vt:lpstr>
      <vt:lpstr>Tags!ITEM7_2000</vt:lpstr>
      <vt:lpstr>ITEM7_2000</vt:lpstr>
      <vt:lpstr>Tags!ITEM7_2001</vt:lpstr>
      <vt:lpstr>ITEM7_2001</vt:lpstr>
      <vt:lpstr>Tags!ITEM7_2002</vt:lpstr>
      <vt:lpstr>ITEM7_2002</vt:lpstr>
      <vt:lpstr>Tags!ITEM7_2003</vt:lpstr>
      <vt:lpstr>ITEM7_2003</vt:lpstr>
      <vt:lpstr>Tags!ITEM7_2004</vt:lpstr>
      <vt:lpstr>ITEM7_2004</vt:lpstr>
      <vt:lpstr>Tags!ITEM7_2005</vt:lpstr>
      <vt:lpstr>ITEM7_2005</vt:lpstr>
      <vt:lpstr>Tags!ITEM7_2006</vt:lpstr>
      <vt:lpstr>ITEM7_2006</vt:lpstr>
      <vt:lpstr>Tags!ITEM7_2007</vt:lpstr>
      <vt:lpstr>ITEM7_2007</vt:lpstr>
      <vt:lpstr>Tags!ITEM7_2008</vt:lpstr>
      <vt:lpstr>ITEM7_2008</vt:lpstr>
      <vt:lpstr>Tags!ITEM7_2009</vt:lpstr>
      <vt:lpstr>ITEM7_2009</vt:lpstr>
      <vt:lpstr>Tags!ITEM7_2010</vt:lpstr>
      <vt:lpstr>ITEM7_2010</vt:lpstr>
      <vt:lpstr>Tags!ITEM7_2011</vt:lpstr>
      <vt:lpstr>ITEM7_2011</vt:lpstr>
      <vt:lpstr>Tags!ITEM7_2012</vt:lpstr>
      <vt:lpstr>ITEM7_2012</vt:lpstr>
      <vt:lpstr>Tags!ITEM7_2013</vt:lpstr>
      <vt:lpstr>ITEM7_2013</vt:lpstr>
      <vt:lpstr>Tags!ITEM7_2014</vt:lpstr>
      <vt:lpstr>ITEM7_2014</vt:lpstr>
      <vt:lpstr>ITEM7_2015</vt:lpstr>
      <vt:lpstr>Tags!ITEM7_2016</vt:lpstr>
      <vt:lpstr>ITEM7_2016</vt:lpstr>
      <vt:lpstr>Tags!ITEM7_2017</vt:lpstr>
      <vt:lpstr>ITEM7_2017</vt:lpstr>
      <vt:lpstr>Tags!ITEM7_2018</vt:lpstr>
      <vt:lpstr>ITEM7_2018</vt:lpstr>
      <vt:lpstr>Tags!ITEM7_2019</vt:lpstr>
      <vt:lpstr>ITEM7_2019</vt:lpstr>
      <vt:lpstr>Tags!ITEM7_2020</vt:lpstr>
      <vt:lpstr>ITEM7_2020</vt:lpstr>
      <vt:lpstr>ITEM7_2021</vt:lpstr>
      <vt:lpstr>ITEM7_2022</vt:lpstr>
      <vt:lpstr>ITEM7_2023</vt:lpstr>
      <vt:lpstr>ITEM7_2024</vt:lpstr>
      <vt:lpstr>Tags!ITEM7_2Q00</vt:lpstr>
      <vt:lpstr>ITEM7_2Q00</vt:lpstr>
      <vt:lpstr>Tags!ITEM7_2Q01</vt:lpstr>
      <vt:lpstr>ITEM7_2Q01</vt:lpstr>
      <vt:lpstr>Tags!ITEM7_2Q02</vt:lpstr>
      <vt:lpstr>ITEM7_2Q02</vt:lpstr>
      <vt:lpstr>Tags!ITEM7_2Q03</vt:lpstr>
      <vt:lpstr>ITEM7_2Q03</vt:lpstr>
      <vt:lpstr>Tags!ITEM7_2Q04</vt:lpstr>
      <vt:lpstr>ITEM7_2Q04</vt:lpstr>
      <vt:lpstr>Tags!ITEM7_2Q05</vt:lpstr>
      <vt:lpstr>ITEM7_2Q05</vt:lpstr>
      <vt:lpstr>Tags!ITEM7_2Q06</vt:lpstr>
      <vt:lpstr>ITEM7_2Q06</vt:lpstr>
      <vt:lpstr>Tags!ITEM7_2Q07</vt:lpstr>
      <vt:lpstr>ITEM7_2Q07</vt:lpstr>
      <vt:lpstr>Tags!ITEM7_2Q08</vt:lpstr>
      <vt:lpstr>ITEM7_2Q08</vt:lpstr>
      <vt:lpstr>Tags!ITEM7_2Q09</vt:lpstr>
      <vt:lpstr>ITEM7_2Q09</vt:lpstr>
      <vt:lpstr>Tags!ITEM7_2Q10</vt:lpstr>
      <vt:lpstr>ITEM7_2Q10</vt:lpstr>
      <vt:lpstr>Tags!ITEM7_2Q11</vt:lpstr>
      <vt:lpstr>ITEM7_2Q11</vt:lpstr>
      <vt:lpstr>Tags!ITEM7_2Q12</vt:lpstr>
      <vt:lpstr>ITEM7_2Q12</vt:lpstr>
      <vt:lpstr>Tags!ITEM7_2Q13</vt:lpstr>
      <vt:lpstr>ITEM7_2Q13</vt:lpstr>
      <vt:lpstr>Tags!ITEM7_2Q14</vt:lpstr>
      <vt:lpstr>ITEM7_2Q14</vt:lpstr>
      <vt:lpstr>Tags!ITEM7_2Q15</vt:lpstr>
      <vt:lpstr>ITEM7_2Q15</vt:lpstr>
      <vt:lpstr>Tags!ITEM7_2Q16</vt:lpstr>
      <vt:lpstr>ITEM7_2Q16</vt:lpstr>
      <vt:lpstr>Tags!ITEM7_2Q17</vt:lpstr>
      <vt:lpstr>ITEM7_2Q17</vt:lpstr>
      <vt:lpstr>Tags!ITEM7_2Q18</vt:lpstr>
      <vt:lpstr>ITEM7_2Q18</vt:lpstr>
      <vt:lpstr>Tags!ITEM7_2Q19</vt:lpstr>
      <vt:lpstr>ITEM7_2Q19</vt:lpstr>
      <vt:lpstr>Tags!ITEM7_2Q20</vt:lpstr>
      <vt:lpstr>ITEM7_2Q20</vt:lpstr>
      <vt:lpstr>ITEM7_2Q21</vt:lpstr>
      <vt:lpstr>ITEM7_2Q22</vt:lpstr>
      <vt:lpstr>ITEM7_2Q23</vt:lpstr>
      <vt:lpstr>ITEM7_2Q24</vt:lpstr>
      <vt:lpstr>Tags!ITEM7_3Q00</vt:lpstr>
      <vt:lpstr>ITEM7_3Q00</vt:lpstr>
      <vt:lpstr>Tags!ITEM7_3Q01</vt:lpstr>
      <vt:lpstr>ITEM7_3Q01</vt:lpstr>
      <vt:lpstr>Tags!ITEM7_3Q02</vt:lpstr>
      <vt:lpstr>ITEM7_3Q02</vt:lpstr>
      <vt:lpstr>Tags!ITEM7_3Q03</vt:lpstr>
      <vt:lpstr>ITEM7_3Q03</vt:lpstr>
      <vt:lpstr>Tags!ITEM7_3Q04</vt:lpstr>
      <vt:lpstr>ITEM7_3Q04</vt:lpstr>
      <vt:lpstr>Tags!ITEM7_3Q05</vt:lpstr>
      <vt:lpstr>ITEM7_3Q05</vt:lpstr>
      <vt:lpstr>Tags!ITEM7_3Q06</vt:lpstr>
      <vt:lpstr>ITEM7_3Q06</vt:lpstr>
      <vt:lpstr>Tags!ITEM7_3Q07</vt:lpstr>
      <vt:lpstr>ITEM7_3Q07</vt:lpstr>
      <vt:lpstr>Tags!ITEM7_3Q08</vt:lpstr>
      <vt:lpstr>ITEM7_3Q08</vt:lpstr>
      <vt:lpstr>Tags!ITEM7_3Q09</vt:lpstr>
      <vt:lpstr>ITEM7_3Q09</vt:lpstr>
      <vt:lpstr>Tags!ITEM7_3Q10</vt:lpstr>
      <vt:lpstr>ITEM7_3Q10</vt:lpstr>
      <vt:lpstr>Tags!ITEM7_3Q11</vt:lpstr>
      <vt:lpstr>ITEM7_3Q11</vt:lpstr>
      <vt:lpstr>Tags!ITEM7_3Q12</vt:lpstr>
      <vt:lpstr>ITEM7_3Q12</vt:lpstr>
      <vt:lpstr>Tags!ITEM7_3Q13</vt:lpstr>
      <vt:lpstr>ITEM7_3Q13</vt:lpstr>
      <vt:lpstr>Tags!ITEM7_3Q14</vt:lpstr>
      <vt:lpstr>ITEM7_3Q14</vt:lpstr>
      <vt:lpstr>Tags!ITEM7_3Q15</vt:lpstr>
      <vt:lpstr>ITEM7_3Q15</vt:lpstr>
      <vt:lpstr>Tags!ITEM7_3Q16</vt:lpstr>
      <vt:lpstr>ITEM7_3Q16</vt:lpstr>
      <vt:lpstr>Tags!ITEM7_3Q17</vt:lpstr>
      <vt:lpstr>ITEM7_3Q17</vt:lpstr>
      <vt:lpstr>Tags!ITEM7_3Q18</vt:lpstr>
      <vt:lpstr>ITEM7_3Q18</vt:lpstr>
      <vt:lpstr>Tags!ITEM7_3Q19</vt:lpstr>
      <vt:lpstr>ITEM7_3Q19</vt:lpstr>
      <vt:lpstr>Tags!ITEM7_3Q20</vt:lpstr>
      <vt:lpstr>ITEM7_3Q20</vt:lpstr>
      <vt:lpstr>ITEM7_3Q21</vt:lpstr>
      <vt:lpstr>ITEM7_3Q22</vt:lpstr>
      <vt:lpstr>ITEM7_3Q23</vt:lpstr>
      <vt:lpstr>ITEM7_3Q24</vt:lpstr>
      <vt:lpstr>Tags!ITEM7_4Q00</vt:lpstr>
      <vt:lpstr>ITEM7_4Q00</vt:lpstr>
      <vt:lpstr>Tags!ITEM7_4Q01</vt:lpstr>
      <vt:lpstr>ITEM7_4Q01</vt:lpstr>
      <vt:lpstr>Tags!ITEM7_4Q02</vt:lpstr>
      <vt:lpstr>ITEM7_4Q02</vt:lpstr>
      <vt:lpstr>Tags!ITEM7_4Q03</vt:lpstr>
      <vt:lpstr>ITEM7_4Q03</vt:lpstr>
      <vt:lpstr>Tags!ITEM7_4Q04</vt:lpstr>
      <vt:lpstr>ITEM7_4Q04</vt:lpstr>
      <vt:lpstr>Tags!ITEM7_4Q05</vt:lpstr>
      <vt:lpstr>ITEM7_4Q05</vt:lpstr>
      <vt:lpstr>Tags!ITEM7_4Q06</vt:lpstr>
      <vt:lpstr>ITEM7_4Q06</vt:lpstr>
      <vt:lpstr>Tags!ITEM7_4Q07</vt:lpstr>
      <vt:lpstr>ITEM7_4Q07</vt:lpstr>
      <vt:lpstr>Tags!ITEM7_4Q08</vt:lpstr>
      <vt:lpstr>ITEM7_4Q08</vt:lpstr>
      <vt:lpstr>Tags!ITEM7_4Q09</vt:lpstr>
      <vt:lpstr>ITEM7_4Q09</vt:lpstr>
      <vt:lpstr>Tags!ITEM7_4Q10</vt:lpstr>
      <vt:lpstr>ITEM7_4Q10</vt:lpstr>
      <vt:lpstr>Tags!ITEM7_4Q11</vt:lpstr>
      <vt:lpstr>ITEM7_4Q11</vt:lpstr>
      <vt:lpstr>Tags!ITEM7_4Q12</vt:lpstr>
      <vt:lpstr>ITEM7_4Q12</vt:lpstr>
      <vt:lpstr>Tags!ITEM7_4Q13</vt:lpstr>
      <vt:lpstr>ITEM7_4Q13</vt:lpstr>
      <vt:lpstr>Tags!ITEM7_4Q14</vt:lpstr>
      <vt:lpstr>ITEM7_4Q14</vt:lpstr>
      <vt:lpstr>Tags!ITEM7_4Q15</vt:lpstr>
      <vt:lpstr>ITEM7_4Q15</vt:lpstr>
      <vt:lpstr>Tags!ITEM7_4Q16</vt:lpstr>
      <vt:lpstr>ITEM7_4Q16</vt:lpstr>
      <vt:lpstr>Tags!ITEM7_4Q17</vt:lpstr>
      <vt:lpstr>ITEM7_4Q17</vt:lpstr>
      <vt:lpstr>Tags!ITEM7_4Q18</vt:lpstr>
      <vt:lpstr>ITEM7_4Q18</vt:lpstr>
      <vt:lpstr>Tags!ITEM7_4Q19</vt:lpstr>
      <vt:lpstr>ITEM7_4Q19</vt:lpstr>
      <vt:lpstr>Tags!ITEM7_4Q20</vt:lpstr>
      <vt:lpstr>ITEM7_4Q20</vt:lpstr>
      <vt:lpstr>ITEM7_4Q21</vt:lpstr>
      <vt:lpstr>ITEM7_4Q22</vt:lpstr>
      <vt:lpstr>ITEM7_4Q23</vt:lpstr>
      <vt:lpstr>ITEM7_4Q24</vt:lpstr>
      <vt:lpstr>ITEM8_1995</vt:lpstr>
      <vt:lpstr>ITEM8_1996</vt:lpstr>
      <vt:lpstr>ITEM8_1997</vt:lpstr>
      <vt:lpstr>ITEM8_1998</vt:lpstr>
      <vt:lpstr>ITEM8_1999</vt:lpstr>
      <vt:lpstr>Tags!ITEM8_1Q00</vt:lpstr>
      <vt:lpstr>ITEM8_1Q00</vt:lpstr>
      <vt:lpstr>Tags!ITEM8_1Q01</vt:lpstr>
      <vt:lpstr>ITEM8_1Q01</vt:lpstr>
      <vt:lpstr>Tags!ITEM8_1Q02</vt:lpstr>
      <vt:lpstr>ITEM8_1Q02</vt:lpstr>
      <vt:lpstr>Tags!ITEM8_1Q03</vt:lpstr>
      <vt:lpstr>ITEM8_1Q03</vt:lpstr>
      <vt:lpstr>Tags!ITEM8_1Q04</vt:lpstr>
      <vt:lpstr>ITEM8_1Q04</vt:lpstr>
      <vt:lpstr>Tags!ITEM8_1Q05</vt:lpstr>
      <vt:lpstr>ITEM8_1Q05</vt:lpstr>
      <vt:lpstr>Tags!ITEM8_1Q06</vt:lpstr>
      <vt:lpstr>ITEM8_1Q06</vt:lpstr>
      <vt:lpstr>Tags!ITEM8_1Q07</vt:lpstr>
      <vt:lpstr>ITEM8_1Q07</vt:lpstr>
      <vt:lpstr>Tags!ITEM8_1Q08</vt:lpstr>
      <vt:lpstr>ITEM8_1Q08</vt:lpstr>
      <vt:lpstr>Tags!ITEM8_1Q09</vt:lpstr>
      <vt:lpstr>ITEM8_1Q09</vt:lpstr>
      <vt:lpstr>Tags!ITEM8_1Q10</vt:lpstr>
      <vt:lpstr>ITEM8_1Q10</vt:lpstr>
      <vt:lpstr>Tags!ITEM8_1Q11</vt:lpstr>
      <vt:lpstr>ITEM8_1Q11</vt:lpstr>
      <vt:lpstr>Tags!ITEM8_1Q12</vt:lpstr>
      <vt:lpstr>ITEM8_1Q12</vt:lpstr>
      <vt:lpstr>Tags!ITEM8_1Q13</vt:lpstr>
      <vt:lpstr>ITEM8_1Q13</vt:lpstr>
      <vt:lpstr>Tags!ITEM8_1Q14</vt:lpstr>
      <vt:lpstr>ITEM8_1Q14</vt:lpstr>
      <vt:lpstr>Tags!ITEM8_1Q15</vt:lpstr>
      <vt:lpstr>ITEM8_1Q15</vt:lpstr>
      <vt:lpstr>Tags!ITEM8_1Q16</vt:lpstr>
      <vt:lpstr>ITEM8_1Q16</vt:lpstr>
      <vt:lpstr>Tags!ITEM8_1Q17</vt:lpstr>
      <vt:lpstr>ITEM8_1Q17</vt:lpstr>
      <vt:lpstr>Tags!ITEM8_1Q18</vt:lpstr>
      <vt:lpstr>ITEM8_1Q18</vt:lpstr>
      <vt:lpstr>Tags!ITEM8_1Q19</vt:lpstr>
      <vt:lpstr>ITEM8_1Q19</vt:lpstr>
      <vt:lpstr>Tags!ITEM8_1Q20</vt:lpstr>
      <vt:lpstr>ITEM8_1Q20</vt:lpstr>
      <vt:lpstr>ITEM8_1Q21</vt:lpstr>
      <vt:lpstr>ITEM8_1Q22</vt:lpstr>
      <vt:lpstr>ITEM8_1Q23</vt:lpstr>
      <vt:lpstr>ITEM8_1Q24</vt:lpstr>
      <vt:lpstr>Tags!ITEM8_2000</vt:lpstr>
      <vt:lpstr>ITEM8_2000</vt:lpstr>
      <vt:lpstr>Tags!ITEM8_2001</vt:lpstr>
      <vt:lpstr>ITEM8_2001</vt:lpstr>
      <vt:lpstr>Tags!ITEM8_2002</vt:lpstr>
      <vt:lpstr>ITEM8_2002</vt:lpstr>
      <vt:lpstr>Tags!ITEM8_2003</vt:lpstr>
      <vt:lpstr>ITEM8_2003</vt:lpstr>
      <vt:lpstr>Tags!ITEM8_2004</vt:lpstr>
      <vt:lpstr>ITEM8_2004</vt:lpstr>
      <vt:lpstr>Tags!ITEM8_2005</vt:lpstr>
      <vt:lpstr>ITEM8_2005</vt:lpstr>
      <vt:lpstr>Tags!ITEM8_2006</vt:lpstr>
      <vt:lpstr>ITEM8_2006</vt:lpstr>
      <vt:lpstr>Tags!ITEM8_2007</vt:lpstr>
      <vt:lpstr>ITEM8_2007</vt:lpstr>
      <vt:lpstr>Tags!ITEM8_2008</vt:lpstr>
      <vt:lpstr>ITEM8_2008</vt:lpstr>
      <vt:lpstr>Tags!ITEM8_2009</vt:lpstr>
      <vt:lpstr>ITEM8_2009</vt:lpstr>
      <vt:lpstr>Tags!ITEM8_2010</vt:lpstr>
      <vt:lpstr>ITEM8_2010</vt:lpstr>
      <vt:lpstr>Tags!ITEM8_2011</vt:lpstr>
      <vt:lpstr>ITEM8_2011</vt:lpstr>
      <vt:lpstr>Tags!ITEM8_2012</vt:lpstr>
      <vt:lpstr>ITEM8_2012</vt:lpstr>
      <vt:lpstr>Tags!ITEM8_2013</vt:lpstr>
      <vt:lpstr>ITEM8_2013</vt:lpstr>
      <vt:lpstr>Tags!ITEM8_2014</vt:lpstr>
      <vt:lpstr>ITEM8_2014</vt:lpstr>
      <vt:lpstr>ITEM8_2015</vt:lpstr>
      <vt:lpstr>Tags!ITEM8_2016</vt:lpstr>
      <vt:lpstr>ITEM8_2016</vt:lpstr>
      <vt:lpstr>Tags!ITEM8_2017</vt:lpstr>
      <vt:lpstr>ITEM8_2017</vt:lpstr>
      <vt:lpstr>Tags!ITEM8_2018</vt:lpstr>
      <vt:lpstr>ITEM8_2018</vt:lpstr>
      <vt:lpstr>Tags!ITEM8_2019</vt:lpstr>
      <vt:lpstr>ITEM8_2019</vt:lpstr>
      <vt:lpstr>Tags!ITEM8_2020</vt:lpstr>
      <vt:lpstr>ITEM8_2020</vt:lpstr>
      <vt:lpstr>ITEM8_2021</vt:lpstr>
      <vt:lpstr>ITEM8_2022</vt:lpstr>
      <vt:lpstr>ITEM8_2023</vt:lpstr>
      <vt:lpstr>ITEM8_2024</vt:lpstr>
      <vt:lpstr>Tags!ITEM8_2Q00</vt:lpstr>
      <vt:lpstr>ITEM8_2Q00</vt:lpstr>
      <vt:lpstr>Tags!ITEM8_2Q01</vt:lpstr>
      <vt:lpstr>ITEM8_2Q01</vt:lpstr>
      <vt:lpstr>Tags!ITEM8_2Q02</vt:lpstr>
      <vt:lpstr>ITEM8_2Q02</vt:lpstr>
      <vt:lpstr>Tags!ITEM8_2Q03</vt:lpstr>
      <vt:lpstr>ITEM8_2Q03</vt:lpstr>
      <vt:lpstr>Tags!ITEM8_2Q04</vt:lpstr>
      <vt:lpstr>ITEM8_2Q04</vt:lpstr>
      <vt:lpstr>Tags!ITEM8_2Q05</vt:lpstr>
      <vt:lpstr>ITEM8_2Q05</vt:lpstr>
      <vt:lpstr>Tags!ITEM8_2Q06</vt:lpstr>
      <vt:lpstr>ITEM8_2Q06</vt:lpstr>
      <vt:lpstr>Tags!ITEM8_2Q07</vt:lpstr>
      <vt:lpstr>ITEM8_2Q07</vt:lpstr>
      <vt:lpstr>Tags!ITEM8_2Q08</vt:lpstr>
      <vt:lpstr>ITEM8_2Q08</vt:lpstr>
      <vt:lpstr>Tags!ITEM8_2Q09</vt:lpstr>
      <vt:lpstr>ITEM8_2Q09</vt:lpstr>
      <vt:lpstr>Tags!ITEM8_2Q10</vt:lpstr>
      <vt:lpstr>ITEM8_2Q10</vt:lpstr>
      <vt:lpstr>Tags!ITEM8_2Q11</vt:lpstr>
      <vt:lpstr>ITEM8_2Q11</vt:lpstr>
      <vt:lpstr>Tags!ITEM8_2Q12</vt:lpstr>
      <vt:lpstr>ITEM8_2Q12</vt:lpstr>
      <vt:lpstr>Tags!ITEM8_2Q13</vt:lpstr>
      <vt:lpstr>ITEM8_2Q13</vt:lpstr>
      <vt:lpstr>Tags!ITEM8_2Q14</vt:lpstr>
      <vt:lpstr>ITEM8_2Q14</vt:lpstr>
      <vt:lpstr>Tags!ITEM8_2Q15</vt:lpstr>
      <vt:lpstr>ITEM8_2Q15</vt:lpstr>
      <vt:lpstr>Tags!ITEM8_2Q16</vt:lpstr>
      <vt:lpstr>ITEM8_2Q16</vt:lpstr>
      <vt:lpstr>Tags!ITEM8_2Q17</vt:lpstr>
      <vt:lpstr>ITEM8_2Q17</vt:lpstr>
      <vt:lpstr>Tags!ITEM8_2Q18</vt:lpstr>
      <vt:lpstr>ITEM8_2Q18</vt:lpstr>
      <vt:lpstr>Tags!ITEM8_2Q19</vt:lpstr>
      <vt:lpstr>ITEM8_2Q19</vt:lpstr>
      <vt:lpstr>Tags!ITEM8_2Q20</vt:lpstr>
      <vt:lpstr>ITEM8_2Q20</vt:lpstr>
      <vt:lpstr>ITEM8_2Q21</vt:lpstr>
      <vt:lpstr>ITEM8_2Q22</vt:lpstr>
      <vt:lpstr>ITEM8_2Q23</vt:lpstr>
      <vt:lpstr>ITEM8_2Q24</vt:lpstr>
      <vt:lpstr>Tags!ITEM8_3Q00</vt:lpstr>
      <vt:lpstr>ITEM8_3Q00</vt:lpstr>
      <vt:lpstr>Tags!ITEM8_3Q01</vt:lpstr>
      <vt:lpstr>ITEM8_3Q01</vt:lpstr>
      <vt:lpstr>Tags!ITEM8_3Q02</vt:lpstr>
      <vt:lpstr>ITEM8_3Q02</vt:lpstr>
      <vt:lpstr>Tags!ITEM8_3Q03</vt:lpstr>
      <vt:lpstr>ITEM8_3Q03</vt:lpstr>
      <vt:lpstr>Tags!ITEM8_3Q04</vt:lpstr>
      <vt:lpstr>ITEM8_3Q04</vt:lpstr>
      <vt:lpstr>Tags!ITEM8_3Q05</vt:lpstr>
      <vt:lpstr>ITEM8_3Q05</vt:lpstr>
      <vt:lpstr>Tags!ITEM8_3Q06</vt:lpstr>
      <vt:lpstr>ITEM8_3Q06</vt:lpstr>
      <vt:lpstr>Tags!ITEM8_3Q07</vt:lpstr>
      <vt:lpstr>ITEM8_3Q07</vt:lpstr>
      <vt:lpstr>Tags!ITEM8_3Q08</vt:lpstr>
      <vt:lpstr>ITEM8_3Q08</vt:lpstr>
      <vt:lpstr>Tags!ITEM8_3Q09</vt:lpstr>
      <vt:lpstr>ITEM8_3Q09</vt:lpstr>
      <vt:lpstr>Tags!ITEM8_3Q10</vt:lpstr>
      <vt:lpstr>ITEM8_3Q10</vt:lpstr>
      <vt:lpstr>Tags!ITEM8_3Q11</vt:lpstr>
      <vt:lpstr>ITEM8_3Q11</vt:lpstr>
      <vt:lpstr>Tags!ITEM8_3Q12</vt:lpstr>
      <vt:lpstr>ITEM8_3Q12</vt:lpstr>
      <vt:lpstr>Tags!ITEM8_3Q13</vt:lpstr>
      <vt:lpstr>ITEM8_3Q13</vt:lpstr>
      <vt:lpstr>Tags!ITEM8_3Q14</vt:lpstr>
      <vt:lpstr>ITEM8_3Q14</vt:lpstr>
      <vt:lpstr>Tags!ITEM8_3Q15</vt:lpstr>
      <vt:lpstr>ITEM8_3Q15</vt:lpstr>
      <vt:lpstr>Tags!ITEM8_3Q16</vt:lpstr>
      <vt:lpstr>ITEM8_3Q16</vt:lpstr>
      <vt:lpstr>Tags!ITEM8_3Q17</vt:lpstr>
      <vt:lpstr>ITEM8_3Q17</vt:lpstr>
      <vt:lpstr>Tags!ITEM8_3Q18</vt:lpstr>
      <vt:lpstr>ITEM8_3Q18</vt:lpstr>
      <vt:lpstr>Tags!ITEM8_3Q19</vt:lpstr>
      <vt:lpstr>ITEM8_3Q19</vt:lpstr>
      <vt:lpstr>Tags!ITEM8_3Q20</vt:lpstr>
      <vt:lpstr>ITEM8_3Q20</vt:lpstr>
      <vt:lpstr>ITEM8_3Q21</vt:lpstr>
      <vt:lpstr>ITEM8_3Q22</vt:lpstr>
      <vt:lpstr>ITEM8_3Q23</vt:lpstr>
      <vt:lpstr>ITEM8_3Q24</vt:lpstr>
      <vt:lpstr>Tags!ITEM8_4Q00</vt:lpstr>
      <vt:lpstr>ITEM8_4Q00</vt:lpstr>
      <vt:lpstr>Tags!ITEM8_4Q01</vt:lpstr>
      <vt:lpstr>ITEM8_4Q01</vt:lpstr>
      <vt:lpstr>Tags!ITEM8_4Q02</vt:lpstr>
      <vt:lpstr>ITEM8_4Q02</vt:lpstr>
      <vt:lpstr>Tags!ITEM8_4Q03</vt:lpstr>
      <vt:lpstr>ITEM8_4Q03</vt:lpstr>
      <vt:lpstr>Tags!ITEM8_4Q04</vt:lpstr>
      <vt:lpstr>ITEM8_4Q04</vt:lpstr>
      <vt:lpstr>Tags!ITEM8_4Q05</vt:lpstr>
      <vt:lpstr>ITEM8_4Q05</vt:lpstr>
      <vt:lpstr>Tags!ITEM8_4Q06</vt:lpstr>
      <vt:lpstr>ITEM8_4Q06</vt:lpstr>
      <vt:lpstr>Tags!ITEM8_4Q07</vt:lpstr>
      <vt:lpstr>ITEM8_4Q07</vt:lpstr>
      <vt:lpstr>Tags!ITEM8_4Q08</vt:lpstr>
      <vt:lpstr>ITEM8_4Q08</vt:lpstr>
      <vt:lpstr>Tags!ITEM8_4Q09</vt:lpstr>
      <vt:lpstr>ITEM8_4Q09</vt:lpstr>
      <vt:lpstr>Tags!ITEM8_4Q10</vt:lpstr>
      <vt:lpstr>ITEM8_4Q10</vt:lpstr>
      <vt:lpstr>Tags!ITEM8_4Q11</vt:lpstr>
      <vt:lpstr>ITEM8_4Q11</vt:lpstr>
      <vt:lpstr>Tags!ITEM8_4Q12</vt:lpstr>
      <vt:lpstr>ITEM8_4Q12</vt:lpstr>
      <vt:lpstr>Tags!ITEM8_4Q13</vt:lpstr>
      <vt:lpstr>ITEM8_4Q13</vt:lpstr>
      <vt:lpstr>Tags!ITEM8_4Q14</vt:lpstr>
      <vt:lpstr>ITEM8_4Q14</vt:lpstr>
      <vt:lpstr>Tags!ITEM8_4Q15</vt:lpstr>
      <vt:lpstr>ITEM8_4Q15</vt:lpstr>
      <vt:lpstr>Tags!ITEM8_4Q16</vt:lpstr>
      <vt:lpstr>ITEM8_4Q16</vt:lpstr>
      <vt:lpstr>Tags!ITEM8_4Q17</vt:lpstr>
      <vt:lpstr>ITEM8_4Q17</vt:lpstr>
      <vt:lpstr>Tags!ITEM8_4Q18</vt:lpstr>
      <vt:lpstr>ITEM8_4Q18</vt:lpstr>
      <vt:lpstr>Tags!ITEM8_4Q19</vt:lpstr>
      <vt:lpstr>ITEM8_4Q19</vt:lpstr>
      <vt:lpstr>Tags!ITEM8_4Q20</vt:lpstr>
      <vt:lpstr>ITEM8_4Q20</vt:lpstr>
      <vt:lpstr>ITEM8_4Q21</vt:lpstr>
      <vt:lpstr>ITEM8_4Q22</vt:lpstr>
      <vt:lpstr>ITEM8_4Q23</vt:lpstr>
      <vt:lpstr>ITEM8_4Q24</vt:lpstr>
      <vt:lpstr>ITEM9_1995</vt:lpstr>
      <vt:lpstr>ITEM9_1996</vt:lpstr>
      <vt:lpstr>ITEM9_1997</vt:lpstr>
      <vt:lpstr>ITEM9_1998</vt:lpstr>
      <vt:lpstr>ITEM9_1999</vt:lpstr>
      <vt:lpstr>Tags!ITEM9_1Q00</vt:lpstr>
      <vt:lpstr>ITEM9_1Q00</vt:lpstr>
      <vt:lpstr>Tags!ITEM9_1Q01</vt:lpstr>
      <vt:lpstr>ITEM9_1Q01</vt:lpstr>
      <vt:lpstr>Tags!ITEM9_1Q02</vt:lpstr>
      <vt:lpstr>ITEM9_1Q02</vt:lpstr>
      <vt:lpstr>Tags!ITEM9_1Q03</vt:lpstr>
      <vt:lpstr>ITEM9_1Q03</vt:lpstr>
      <vt:lpstr>Tags!ITEM9_1Q04</vt:lpstr>
      <vt:lpstr>ITEM9_1Q04</vt:lpstr>
      <vt:lpstr>Tags!ITEM9_1Q05</vt:lpstr>
      <vt:lpstr>ITEM9_1Q05</vt:lpstr>
      <vt:lpstr>Tags!ITEM9_1Q06</vt:lpstr>
      <vt:lpstr>ITEM9_1Q06</vt:lpstr>
      <vt:lpstr>Tags!ITEM9_1Q07</vt:lpstr>
      <vt:lpstr>ITEM9_1Q07</vt:lpstr>
      <vt:lpstr>Tags!ITEM9_1Q08</vt:lpstr>
      <vt:lpstr>ITEM9_1Q08</vt:lpstr>
      <vt:lpstr>Tags!ITEM9_1Q09</vt:lpstr>
      <vt:lpstr>ITEM9_1Q09</vt:lpstr>
      <vt:lpstr>Tags!ITEM9_1Q10</vt:lpstr>
      <vt:lpstr>ITEM9_1Q10</vt:lpstr>
      <vt:lpstr>Tags!ITEM9_1Q11</vt:lpstr>
      <vt:lpstr>ITEM9_1Q11</vt:lpstr>
      <vt:lpstr>Tags!ITEM9_1Q12</vt:lpstr>
      <vt:lpstr>ITEM9_1Q12</vt:lpstr>
      <vt:lpstr>Tags!ITEM9_1Q13</vt:lpstr>
      <vt:lpstr>ITEM9_1Q13</vt:lpstr>
      <vt:lpstr>Tags!ITEM9_1Q14</vt:lpstr>
      <vt:lpstr>ITEM9_1Q14</vt:lpstr>
      <vt:lpstr>Tags!ITEM9_1Q15</vt:lpstr>
      <vt:lpstr>ITEM9_1Q15</vt:lpstr>
      <vt:lpstr>Tags!ITEM9_1Q16</vt:lpstr>
      <vt:lpstr>ITEM9_1Q16</vt:lpstr>
      <vt:lpstr>Tags!ITEM9_1Q17</vt:lpstr>
      <vt:lpstr>ITEM9_1Q17</vt:lpstr>
      <vt:lpstr>Tags!ITEM9_1Q18</vt:lpstr>
      <vt:lpstr>ITEM9_1Q18</vt:lpstr>
      <vt:lpstr>Tags!ITEM9_1Q19</vt:lpstr>
      <vt:lpstr>ITEM9_1Q19</vt:lpstr>
      <vt:lpstr>Tags!ITEM9_1Q20</vt:lpstr>
      <vt:lpstr>ITEM9_1Q20</vt:lpstr>
      <vt:lpstr>ITEM9_1Q21</vt:lpstr>
      <vt:lpstr>ITEM9_1Q22</vt:lpstr>
      <vt:lpstr>ITEM9_1Q23</vt:lpstr>
      <vt:lpstr>ITEM9_1Q24</vt:lpstr>
      <vt:lpstr>Tags!ITEM9_2000</vt:lpstr>
      <vt:lpstr>ITEM9_2000</vt:lpstr>
      <vt:lpstr>Tags!ITEM9_2001</vt:lpstr>
      <vt:lpstr>ITEM9_2001</vt:lpstr>
      <vt:lpstr>Tags!ITEM9_2002</vt:lpstr>
      <vt:lpstr>ITEM9_2002</vt:lpstr>
      <vt:lpstr>Tags!ITEM9_2003</vt:lpstr>
      <vt:lpstr>ITEM9_2003</vt:lpstr>
      <vt:lpstr>Tags!ITEM9_2004</vt:lpstr>
      <vt:lpstr>ITEM9_2004</vt:lpstr>
      <vt:lpstr>Tags!ITEM9_2005</vt:lpstr>
      <vt:lpstr>ITEM9_2005</vt:lpstr>
      <vt:lpstr>Tags!ITEM9_2006</vt:lpstr>
      <vt:lpstr>ITEM9_2006</vt:lpstr>
      <vt:lpstr>Tags!ITEM9_2007</vt:lpstr>
      <vt:lpstr>ITEM9_2007</vt:lpstr>
      <vt:lpstr>Tags!ITEM9_2008</vt:lpstr>
      <vt:lpstr>ITEM9_2008</vt:lpstr>
      <vt:lpstr>Tags!ITEM9_2009</vt:lpstr>
      <vt:lpstr>ITEM9_2009</vt:lpstr>
      <vt:lpstr>Tags!ITEM9_2010</vt:lpstr>
      <vt:lpstr>ITEM9_2010</vt:lpstr>
      <vt:lpstr>Tags!ITEM9_2011</vt:lpstr>
      <vt:lpstr>ITEM9_2011</vt:lpstr>
      <vt:lpstr>Tags!ITEM9_2012</vt:lpstr>
      <vt:lpstr>ITEM9_2012</vt:lpstr>
      <vt:lpstr>Tags!ITEM9_2013</vt:lpstr>
      <vt:lpstr>ITEM9_2013</vt:lpstr>
      <vt:lpstr>Tags!ITEM9_2014</vt:lpstr>
      <vt:lpstr>ITEM9_2014</vt:lpstr>
      <vt:lpstr>ITEM9_2015</vt:lpstr>
      <vt:lpstr>Tags!ITEM9_2016</vt:lpstr>
      <vt:lpstr>ITEM9_2016</vt:lpstr>
      <vt:lpstr>Tags!ITEM9_2017</vt:lpstr>
      <vt:lpstr>ITEM9_2017</vt:lpstr>
      <vt:lpstr>Tags!ITEM9_2018</vt:lpstr>
      <vt:lpstr>ITEM9_2018</vt:lpstr>
      <vt:lpstr>Tags!ITEM9_2019</vt:lpstr>
      <vt:lpstr>ITEM9_2019</vt:lpstr>
      <vt:lpstr>Tags!ITEM9_2020</vt:lpstr>
      <vt:lpstr>ITEM9_2020</vt:lpstr>
      <vt:lpstr>ITEM9_2021</vt:lpstr>
      <vt:lpstr>ITEM9_2022</vt:lpstr>
      <vt:lpstr>ITEM9_2023</vt:lpstr>
      <vt:lpstr>ITEM9_2024</vt:lpstr>
      <vt:lpstr>Tags!ITEM9_2Q00</vt:lpstr>
      <vt:lpstr>ITEM9_2Q00</vt:lpstr>
      <vt:lpstr>Tags!ITEM9_2Q01</vt:lpstr>
      <vt:lpstr>ITEM9_2Q01</vt:lpstr>
      <vt:lpstr>Tags!ITEM9_2Q02</vt:lpstr>
      <vt:lpstr>ITEM9_2Q02</vt:lpstr>
      <vt:lpstr>Tags!ITEM9_2Q03</vt:lpstr>
      <vt:lpstr>ITEM9_2Q03</vt:lpstr>
      <vt:lpstr>Tags!ITEM9_2Q04</vt:lpstr>
      <vt:lpstr>ITEM9_2Q04</vt:lpstr>
      <vt:lpstr>Tags!ITEM9_2Q05</vt:lpstr>
      <vt:lpstr>ITEM9_2Q05</vt:lpstr>
      <vt:lpstr>Tags!ITEM9_2Q06</vt:lpstr>
      <vt:lpstr>ITEM9_2Q06</vt:lpstr>
      <vt:lpstr>Tags!ITEM9_2Q07</vt:lpstr>
      <vt:lpstr>ITEM9_2Q07</vt:lpstr>
      <vt:lpstr>Tags!ITEM9_2Q08</vt:lpstr>
      <vt:lpstr>ITEM9_2Q08</vt:lpstr>
      <vt:lpstr>Tags!ITEM9_2Q09</vt:lpstr>
      <vt:lpstr>ITEM9_2Q09</vt:lpstr>
      <vt:lpstr>Tags!ITEM9_2Q10</vt:lpstr>
      <vt:lpstr>ITEM9_2Q10</vt:lpstr>
      <vt:lpstr>Tags!ITEM9_2Q11</vt:lpstr>
      <vt:lpstr>ITEM9_2Q11</vt:lpstr>
      <vt:lpstr>Tags!ITEM9_2Q12</vt:lpstr>
      <vt:lpstr>ITEM9_2Q12</vt:lpstr>
      <vt:lpstr>Tags!ITEM9_2Q13</vt:lpstr>
      <vt:lpstr>ITEM9_2Q13</vt:lpstr>
      <vt:lpstr>Tags!ITEM9_2Q14</vt:lpstr>
      <vt:lpstr>ITEM9_2Q14</vt:lpstr>
      <vt:lpstr>Tags!ITEM9_2Q15</vt:lpstr>
      <vt:lpstr>ITEM9_2Q15</vt:lpstr>
      <vt:lpstr>Tags!ITEM9_2Q16</vt:lpstr>
      <vt:lpstr>ITEM9_2Q16</vt:lpstr>
      <vt:lpstr>Tags!ITEM9_2Q17</vt:lpstr>
      <vt:lpstr>ITEM9_2Q17</vt:lpstr>
      <vt:lpstr>Tags!ITEM9_2Q18</vt:lpstr>
      <vt:lpstr>ITEM9_2Q18</vt:lpstr>
      <vt:lpstr>Tags!ITEM9_2Q19</vt:lpstr>
      <vt:lpstr>ITEM9_2Q19</vt:lpstr>
      <vt:lpstr>Tags!ITEM9_2Q20</vt:lpstr>
      <vt:lpstr>ITEM9_2Q20</vt:lpstr>
      <vt:lpstr>ITEM9_2Q21</vt:lpstr>
      <vt:lpstr>ITEM9_2Q22</vt:lpstr>
      <vt:lpstr>ITEM9_2Q23</vt:lpstr>
      <vt:lpstr>ITEM9_2Q24</vt:lpstr>
      <vt:lpstr>Tags!ITEM9_3Q00</vt:lpstr>
      <vt:lpstr>ITEM9_3Q00</vt:lpstr>
      <vt:lpstr>Tags!ITEM9_3Q01</vt:lpstr>
      <vt:lpstr>ITEM9_3Q01</vt:lpstr>
      <vt:lpstr>Tags!ITEM9_3Q02</vt:lpstr>
      <vt:lpstr>ITEM9_3Q02</vt:lpstr>
      <vt:lpstr>Tags!ITEM9_3Q03</vt:lpstr>
      <vt:lpstr>ITEM9_3Q03</vt:lpstr>
      <vt:lpstr>Tags!ITEM9_3Q04</vt:lpstr>
      <vt:lpstr>ITEM9_3Q04</vt:lpstr>
      <vt:lpstr>Tags!ITEM9_3Q05</vt:lpstr>
      <vt:lpstr>ITEM9_3Q05</vt:lpstr>
      <vt:lpstr>Tags!ITEM9_3Q06</vt:lpstr>
      <vt:lpstr>ITEM9_3Q06</vt:lpstr>
      <vt:lpstr>Tags!ITEM9_3Q07</vt:lpstr>
      <vt:lpstr>ITEM9_3Q07</vt:lpstr>
      <vt:lpstr>Tags!ITEM9_3Q08</vt:lpstr>
      <vt:lpstr>ITEM9_3Q08</vt:lpstr>
      <vt:lpstr>Tags!ITEM9_3Q09</vt:lpstr>
      <vt:lpstr>ITEM9_3Q09</vt:lpstr>
      <vt:lpstr>Tags!ITEM9_3Q10</vt:lpstr>
      <vt:lpstr>ITEM9_3Q10</vt:lpstr>
      <vt:lpstr>Tags!ITEM9_3Q11</vt:lpstr>
      <vt:lpstr>ITEM9_3Q11</vt:lpstr>
      <vt:lpstr>Tags!ITEM9_3Q12</vt:lpstr>
      <vt:lpstr>ITEM9_3Q12</vt:lpstr>
      <vt:lpstr>Tags!ITEM9_3Q13</vt:lpstr>
      <vt:lpstr>ITEM9_3Q13</vt:lpstr>
      <vt:lpstr>Tags!ITEM9_3Q14</vt:lpstr>
      <vt:lpstr>ITEM9_3Q14</vt:lpstr>
      <vt:lpstr>Tags!ITEM9_3Q15</vt:lpstr>
      <vt:lpstr>ITEM9_3Q15</vt:lpstr>
      <vt:lpstr>Tags!ITEM9_3Q16</vt:lpstr>
      <vt:lpstr>ITEM9_3Q16</vt:lpstr>
      <vt:lpstr>Tags!ITEM9_3Q17</vt:lpstr>
      <vt:lpstr>ITEM9_3Q17</vt:lpstr>
      <vt:lpstr>Tags!ITEM9_3Q18</vt:lpstr>
      <vt:lpstr>ITEM9_3Q18</vt:lpstr>
      <vt:lpstr>Tags!ITEM9_3Q19</vt:lpstr>
      <vt:lpstr>ITEM9_3Q19</vt:lpstr>
      <vt:lpstr>Tags!ITEM9_3Q20</vt:lpstr>
      <vt:lpstr>ITEM9_3Q20</vt:lpstr>
      <vt:lpstr>ITEM9_3Q21</vt:lpstr>
      <vt:lpstr>ITEM9_3Q22</vt:lpstr>
      <vt:lpstr>ITEM9_3Q23</vt:lpstr>
      <vt:lpstr>ITEM9_3Q24</vt:lpstr>
      <vt:lpstr>Tags!ITEM9_4Q00</vt:lpstr>
      <vt:lpstr>ITEM9_4Q00</vt:lpstr>
      <vt:lpstr>Tags!ITEM9_4Q01</vt:lpstr>
      <vt:lpstr>ITEM9_4Q01</vt:lpstr>
      <vt:lpstr>Tags!ITEM9_4Q02</vt:lpstr>
      <vt:lpstr>ITEM9_4Q02</vt:lpstr>
      <vt:lpstr>Tags!ITEM9_4Q03</vt:lpstr>
      <vt:lpstr>ITEM9_4Q03</vt:lpstr>
      <vt:lpstr>Tags!ITEM9_4Q04</vt:lpstr>
      <vt:lpstr>ITEM9_4Q04</vt:lpstr>
      <vt:lpstr>Tags!ITEM9_4Q05</vt:lpstr>
      <vt:lpstr>ITEM9_4Q05</vt:lpstr>
      <vt:lpstr>Tags!ITEM9_4Q06</vt:lpstr>
      <vt:lpstr>ITEM9_4Q06</vt:lpstr>
      <vt:lpstr>Tags!ITEM9_4Q07</vt:lpstr>
      <vt:lpstr>ITEM9_4Q07</vt:lpstr>
      <vt:lpstr>Tags!ITEM9_4Q08</vt:lpstr>
      <vt:lpstr>ITEM9_4Q08</vt:lpstr>
      <vt:lpstr>Tags!ITEM9_4Q09</vt:lpstr>
      <vt:lpstr>ITEM9_4Q09</vt:lpstr>
      <vt:lpstr>Tags!ITEM9_4Q10</vt:lpstr>
      <vt:lpstr>ITEM9_4Q10</vt:lpstr>
      <vt:lpstr>Tags!ITEM9_4Q11</vt:lpstr>
      <vt:lpstr>ITEM9_4Q11</vt:lpstr>
      <vt:lpstr>Tags!ITEM9_4Q12</vt:lpstr>
      <vt:lpstr>ITEM9_4Q12</vt:lpstr>
      <vt:lpstr>Tags!ITEM9_4Q13</vt:lpstr>
      <vt:lpstr>ITEM9_4Q13</vt:lpstr>
      <vt:lpstr>Tags!ITEM9_4Q14</vt:lpstr>
      <vt:lpstr>ITEM9_4Q14</vt:lpstr>
      <vt:lpstr>Tags!ITEM9_4Q15</vt:lpstr>
      <vt:lpstr>ITEM9_4Q15</vt:lpstr>
      <vt:lpstr>Tags!ITEM9_4Q16</vt:lpstr>
      <vt:lpstr>ITEM9_4Q16</vt:lpstr>
      <vt:lpstr>Tags!ITEM9_4Q17</vt:lpstr>
      <vt:lpstr>ITEM9_4Q17</vt:lpstr>
      <vt:lpstr>Tags!ITEM9_4Q18</vt:lpstr>
      <vt:lpstr>ITEM9_4Q18</vt:lpstr>
      <vt:lpstr>Tags!ITEM9_4Q19</vt:lpstr>
      <vt:lpstr>ITEM9_4Q19</vt:lpstr>
      <vt:lpstr>Tags!ITEM9_4Q20</vt:lpstr>
      <vt:lpstr>ITEM9_4Q20</vt:lpstr>
      <vt:lpstr>ITEM9_4Q21</vt:lpstr>
      <vt:lpstr>ITEM9_4Q22</vt:lpstr>
      <vt:lpstr>ITEM9_4Q23</vt:lpstr>
      <vt:lpstr>ITEM9_4Q24</vt:lpstr>
      <vt:lpstr>KE_1995</vt:lpstr>
      <vt:lpstr>KE_1996</vt:lpstr>
      <vt:lpstr>KE_1997</vt:lpstr>
      <vt:lpstr>KE_1998</vt:lpstr>
      <vt:lpstr>KE_1999</vt:lpstr>
      <vt:lpstr>Tags!KE_1Q00</vt:lpstr>
      <vt:lpstr>KE_1Q00</vt:lpstr>
      <vt:lpstr>Tags!KE_1Q01</vt:lpstr>
      <vt:lpstr>KE_1Q01</vt:lpstr>
      <vt:lpstr>Tags!KE_1Q02</vt:lpstr>
      <vt:lpstr>KE_1Q02</vt:lpstr>
      <vt:lpstr>Tags!KE_1Q03</vt:lpstr>
      <vt:lpstr>KE_1Q03</vt:lpstr>
      <vt:lpstr>Tags!KE_1Q04</vt:lpstr>
      <vt:lpstr>KE_1Q04</vt:lpstr>
      <vt:lpstr>Tags!KE_1Q05</vt:lpstr>
      <vt:lpstr>KE_1Q05</vt:lpstr>
      <vt:lpstr>Tags!KE_1Q06</vt:lpstr>
      <vt:lpstr>KE_1Q06</vt:lpstr>
      <vt:lpstr>Tags!KE_1Q07</vt:lpstr>
      <vt:lpstr>KE_1Q07</vt:lpstr>
      <vt:lpstr>Tags!KE_1Q08</vt:lpstr>
      <vt:lpstr>KE_1Q08</vt:lpstr>
      <vt:lpstr>Tags!KE_1Q09</vt:lpstr>
      <vt:lpstr>KE_1Q09</vt:lpstr>
      <vt:lpstr>Tags!KE_1Q10</vt:lpstr>
      <vt:lpstr>KE_1Q10</vt:lpstr>
      <vt:lpstr>Tags!KE_1Q11</vt:lpstr>
      <vt:lpstr>KE_1Q11</vt:lpstr>
      <vt:lpstr>Tags!KE_1Q12</vt:lpstr>
      <vt:lpstr>KE_1Q12</vt:lpstr>
      <vt:lpstr>Tags!KE_1Q13</vt:lpstr>
      <vt:lpstr>KE_1Q13</vt:lpstr>
      <vt:lpstr>Tags!KE_1Q14</vt:lpstr>
      <vt:lpstr>KE_1Q14</vt:lpstr>
      <vt:lpstr>Tags!KE_1Q15</vt:lpstr>
      <vt:lpstr>KE_1Q15</vt:lpstr>
      <vt:lpstr>Tags!KE_1Q16</vt:lpstr>
      <vt:lpstr>KE_1Q16</vt:lpstr>
      <vt:lpstr>Tags!KE_1Q17</vt:lpstr>
      <vt:lpstr>KE_1Q17</vt:lpstr>
      <vt:lpstr>Tags!KE_1Q18</vt:lpstr>
      <vt:lpstr>KE_1Q18</vt:lpstr>
      <vt:lpstr>Tags!KE_1Q19</vt:lpstr>
      <vt:lpstr>KE_1Q19</vt:lpstr>
      <vt:lpstr>Tags!KE_1Q20</vt:lpstr>
      <vt:lpstr>KE_1Q20</vt:lpstr>
      <vt:lpstr>KE_1Q21</vt:lpstr>
      <vt:lpstr>KE_1Q22</vt:lpstr>
      <vt:lpstr>KE_1Q23</vt:lpstr>
      <vt:lpstr>KE_1Q24</vt:lpstr>
      <vt:lpstr>Tags!KE_2000</vt:lpstr>
      <vt:lpstr>KE_2000</vt:lpstr>
      <vt:lpstr>Tags!KE_2001</vt:lpstr>
      <vt:lpstr>KE_2001</vt:lpstr>
      <vt:lpstr>Tags!KE_2002</vt:lpstr>
      <vt:lpstr>KE_2002</vt:lpstr>
      <vt:lpstr>Tags!KE_2003</vt:lpstr>
      <vt:lpstr>KE_2003</vt:lpstr>
      <vt:lpstr>Tags!KE_2004</vt:lpstr>
      <vt:lpstr>KE_2004</vt:lpstr>
      <vt:lpstr>Tags!KE_2005</vt:lpstr>
      <vt:lpstr>KE_2005</vt:lpstr>
      <vt:lpstr>Tags!KE_2006</vt:lpstr>
      <vt:lpstr>KE_2006</vt:lpstr>
      <vt:lpstr>Tags!KE_2007</vt:lpstr>
      <vt:lpstr>KE_2007</vt:lpstr>
      <vt:lpstr>Tags!KE_2008</vt:lpstr>
      <vt:lpstr>KE_2008</vt:lpstr>
      <vt:lpstr>Tags!KE_2009</vt:lpstr>
      <vt:lpstr>KE_2009</vt:lpstr>
      <vt:lpstr>Tags!KE_2010</vt:lpstr>
      <vt:lpstr>KE_2010</vt:lpstr>
      <vt:lpstr>Tags!KE_2011</vt:lpstr>
      <vt:lpstr>KE_2011</vt:lpstr>
      <vt:lpstr>Tags!KE_2012</vt:lpstr>
      <vt:lpstr>KE_2012</vt:lpstr>
      <vt:lpstr>Tags!KE_2013</vt:lpstr>
      <vt:lpstr>KE_2013</vt:lpstr>
      <vt:lpstr>Tags!KE_2014</vt:lpstr>
      <vt:lpstr>KE_2014</vt:lpstr>
      <vt:lpstr>KE_2015</vt:lpstr>
      <vt:lpstr>Tags!KE_2016</vt:lpstr>
      <vt:lpstr>KE_2016</vt:lpstr>
      <vt:lpstr>Tags!KE_2017</vt:lpstr>
      <vt:lpstr>KE_2017</vt:lpstr>
      <vt:lpstr>Tags!KE_2018</vt:lpstr>
      <vt:lpstr>KE_2018</vt:lpstr>
      <vt:lpstr>Tags!KE_2019</vt:lpstr>
      <vt:lpstr>KE_2019</vt:lpstr>
      <vt:lpstr>Tags!KE_2020</vt:lpstr>
      <vt:lpstr>KE_2020</vt:lpstr>
      <vt:lpstr>KE_2021</vt:lpstr>
      <vt:lpstr>KE_2022</vt:lpstr>
      <vt:lpstr>KE_2023</vt:lpstr>
      <vt:lpstr>KE_2024</vt:lpstr>
      <vt:lpstr>Tags!KE_2Q00</vt:lpstr>
      <vt:lpstr>KE_2Q00</vt:lpstr>
      <vt:lpstr>Tags!KE_2Q01</vt:lpstr>
      <vt:lpstr>KE_2Q01</vt:lpstr>
      <vt:lpstr>Tags!KE_2Q02</vt:lpstr>
      <vt:lpstr>KE_2Q02</vt:lpstr>
      <vt:lpstr>Tags!KE_2Q03</vt:lpstr>
      <vt:lpstr>KE_2Q03</vt:lpstr>
      <vt:lpstr>Tags!KE_2Q04</vt:lpstr>
      <vt:lpstr>KE_2Q04</vt:lpstr>
      <vt:lpstr>Tags!KE_2Q05</vt:lpstr>
      <vt:lpstr>KE_2Q05</vt:lpstr>
      <vt:lpstr>Tags!KE_2Q06</vt:lpstr>
      <vt:lpstr>KE_2Q06</vt:lpstr>
      <vt:lpstr>Tags!KE_2Q07</vt:lpstr>
      <vt:lpstr>KE_2Q07</vt:lpstr>
      <vt:lpstr>Tags!KE_2Q08</vt:lpstr>
      <vt:lpstr>KE_2Q08</vt:lpstr>
      <vt:lpstr>Tags!KE_2Q09</vt:lpstr>
      <vt:lpstr>KE_2Q09</vt:lpstr>
      <vt:lpstr>Tags!KE_2Q10</vt:lpstr>
      <vt:lpstr>KE_2Q10</vt:lpstr>
      <vt:lpstr>Tags!KE_2Q11</vt:lpstr>
      <vt:lpstr>KE_2Q11</vt:lpstr>
      <vt:lpstr>Tags!KE_2Q12</vt:lpstr>
      <vt:lpstr>KE_2Q12</vt:lpstr>
      <vt:lpstr>Tags!KE_2Q13</vt:lpstr>
      <vt:lpstr>KE_2Q13</vt:lpstr>
      <vt:lpstr>Tags!KE_2Q14</vt:lpstr>
      <vt:lpstr>KE_2Q14</vt:lpstr>
      <vt:lpstr>Tags!KE_2Q15</vt:lpstr>
      <vt:lpstr>KE_2Q15</vt:lpstr>
      <vt:lpstr>Tags!KE_2Q16</vt:lpstr>
      <vt:lpstr>KE_2Q16</vt:lpstr>
      <vt:lpstr>Tags!KE_2Q17</vt:lpstr>
      <vt:lpstr>KE_2Q17</vt:lpstr>
      <vt:lpstr>Tags!KE_2Q18</vt:lpstr>
      <vt:lpstr>KE_2Q18</vt:lpstr>
      <vt:lpstr>Tags!KE_2Q19</vt:lpstr>
      <vt:lpstr>KE_2Q19</vt:lpstr>
      <vt:lpstr>Tags!KE_2Q20</vt:lpstr>
      <vt:lpstr>KE_2Q20</vt:lpstr>
      <vt:lpstr>KE_2Q21</vt:lpstr>
      <vt:lpstr>KE_2Q22</vt:lpstr>
      <vt:lpstr>KE_2Q23</vt:lpstr>
      <vt:lpstr>KE_2Q24</vt:lpstr>
      <vt:lpstr>Tags!KE_3Q00</vt:lpstr>
      <vt:lpstr>KE_3Q00</vt:lpstr>
      <vt:lpstr>Tags!KE_3Q01</vt:lpstr>
      <vt:lpstr>KE_3Q01</vt:lpstr>
      <vt:lpstr>Tags!KE_3Q02</vt:lpstr>
      <vt:lpstr>KE_3Q02</vt:lpstr>
      <vt:lpstr>Tags!KE_3Q03</vt:lpstr>
      <vt:lpstr>KE_3Q03</vt:lpstr>
      <vt:lpstr>Tags!KE_3Q04</vt:lpstr>
      <vt:lpstr>KE_3Q04</vt:lpstr>
      <vt:lpstr>Tags!KE_3Q05</vt:lpstr>
      <vt:lpstr>KE_3Q05</vt:lpstr>
      <vt:lpstr>Tags!KE_3Q06</vt:lpstr>
      <vt:lpstr>KE_3Q06</vt:lpstr>
      <vt:lpstr>Tags!KE_3Q07</vt:lpstr>
      <vt:lpstr>KE_3Q07</vt:lpstr>
      <vt:lpstr>Tags!KE_3Q08</vt:lpstr>
      <vt:lpstr>KE_3Q08</vt:lpstr>
      <vt:lpstr>Tags!KE_3Q09</vt:lpstr>
      <vt:lpstr>KE_3Q09</vt:lpstr>
      <vt:lpstr>Tags!KE_3Q10</vt:lpstr>
      <vt:lpstr>KE_3Q10</vt:lpstr>
      <vt:lpstr>Tags!KE_3Q11</vt:lpstr>
      <vt:lpstr>KE_3Q11</vt:lpstr>
      <vt:lpstr>Tags!KE_3Q12</vt:lpstr>
      <vt:lpstr>KE_3Q12</vt:lpstr>
      <vt:lpstr>Tags!KE_3Q13</vt:lpstr>
      <vt:lpstr>KE_3Q13</vt:lpstr>
      <vt:lpstr>Tags!KE_3Q14</vt:lpstr>
      <vt:lpstr>KE_3Q14</vt:lpstr>
      <vt:lpstr>Tags!KE_3Q15</vt:lpstr>
      <vt:lpstr>KE_3Q15</vt:lpstr>
      <vt:lpstr>Tags!KE_3Q16</vt:lpstr>
      <vt:lpstr>KE_3Q16</vt:lpstr>
      <vt:lpstr>Tags!KE_3Q17</vt:lpstr>
      <vt:lpstr>KE_3Q17</vt:lpstr>
      <vt:lpstr>Tags!KE_3Q18</vt:lpstr>
      <vt:lpstr>KE_3Q18</vt:lpstr>
      <vt:lpstr>Tags!KE_3Q19</vt:lpstr>
      <vt:lpstr>KE_3Q19</vt:lpstr>
      <vt:lpstr>Tags!KE_3Q20</vt:lpstr>
      <vt:lpstr>KE_3Q20</vt:lpstr>
      <vt:lpstr>KE_3Q21</vt:lpstr>
      <vt:lpstr>KE_3Q22</vt:lpstr>
      <vt:lpstr>KE_3Q23</vt:lpstr>
      <vt:lpstr>KE_3Q24</vt:lpstr>
      <vt:lpstr>Tags!KE_4Q00</vt:lpstr>
      <vt:lpstr>KE_4Q00</vt:lpstr>
      <vt:lpstr>Tags!KE_4Q01</vt:lpstr>
      <vt:lpstr>KE_4Q01</vt:lpstr>
      <vt:lpstr>Tags!KE_4Q02</vt:lpstr>
      <vt:lpstr>KE_4Q02</vt:lpstr>
      <vt:lpstr>Tags!KE_4Q03</vt:lpstr>
      <vt:lpstr>KE_4Q03</vt:lpstr>
      <vt:lpstr>Tags!KE_4Q04</vt:lpstr>
      <vt:lpstr>KE_4Q04</vt:lpstr>
      <vt:lpstr>Tags!KE_4Q05</vt:lpstr>
      <vt:lpstr>KE_4Q05</vt:lpstr>
      <vt:lpstr>Tags!KE_4Q06</vt:lpstr>
      <vt:lpstr>KE_4Q06</vt:lpstr>
      <vt:lpstr>Tags!KE_4Q07</vt:lpstr>
      <vt:lpstr>KE_4Q07</vt:lpstr>
      <vt:lpstr>Tags!KE_4Q08</vt:lpstr>
      <vt:lpstr>KE_4Q08</vt:lpstr>
      <vt:lpstr>Tags!KE_4Q09</vt:lpstr>
      <vt:lpstr>KE_4Q09</vt:lpstr>
      <vt:lpstr>Tags!KE_4Q10</vt:lpstr>
      <vt:lpstr>KE_4Q10</vt:lpstr>
      <vt:lpstr>Tags!KE_4Q11</vt:lpstr>
      <vt:lpstr>KE_4Q11</vt:lpstr>
      <vt:lpstr>Tags!KE_4Q12</vt:lpstr>
      <vt:lpstr>KE_4Q12</vt:lpstr>
      <vt:lpstr>Tags!KE_4Q13</vt:lpstr>
      <vt:lpstr>KE_4Q13</vt:lpstr>
      <vt:lpstr>Tags!KE_4Q14</vt:lpstr>
      <vt:lpstr>KE_4Q14</vt:lpstr>
      <vt:lpstr>Tags!KE_4Q15</vt:lpstr>
      <vt:lpstr>KE_4Q15</vt:lpstr>
      <vt:lpstr>Tags!KE_4Q16</vt:lpstr>
      <vt:lpstr>KE_4Q16</vt:lpstr>
      <vt:lpstr>Tags!KE_4Q17</vt:lpstr>
      <vt:lpstr>KE_4Q17</vt:lpstr>
      <vt:lpstr>Tags!KE_4Q18</vt:lpstr>
      <vt:lpstr>KE_4Q18</vt:lpstr>
      <vt:lpstr>Tags!KE_4Q19</vt:lpstr>
      <vt:lpstr>KE_4Q19</vt:lpstr>
      <vt:lpstr>Tags!KE_4Q20</vt:lpstr>
      <vt:lpstr>KE_4Q20</vt:lpstr>
      <vt:lpstr>KE_4Q21</vt:lpstr>
      <vt:lpstr>KE_4Q22</vt:lpstr>
      <vt:lpstr>KE_4Q23</vt:lpstr>
      <vt:lpstr>KE_4Q24</vt:lpstr>
      <vt:lpstr>LTDCH_1995</vt:lpstr>
      <vt:lpstr>LTDCH_1996</vt:lpstr>
      <vt:lpstr>LTDCH_1997</vt:lpstr>
      <vt:lpstr>LTDCH_1998</vt:lpstr>
      <vt:lpstr>LTDCH_1999</vt:lpstr>
      <vt:lpstr>Tags!LTDCH_1Q00</vt:lpstr>
      <vt:lpstr>LTDCH_1Q00</vt:lpstr>
      <vt:lpstr>Tags!LTDCH_1Q01</vt:lpstr>
      <vt:lpstr>LTDCH_1Q01</vt:lpstr>
      <vt:lpstr>Tags!LTDCH_1Q02</vt:lpstr>
      <vt:lpstr>LTDCH_1Q02</vt:lpstr>
      <vt:lpstr>Tags!LTDCH_1Q03</vt:lpstr>
      <vt:lpstr>LTDCH_1Q03</vt:lpstr>
      <vt:lpstr>Tags!LTDCH_1Q04</vt:lpstr>
      <vt:lpstr>LTDCH_1Q04</vt:lpstr>
      <vt:lpstr>Tags!LTDCH_1Q05</vt:lpstr>
      <vt:lpstr>LTDCH_1Q05</vt:lpstr>
      <vt:lpstr>Tags!LTDCH_1Q06</vt:lpstr>
      <vt:lpstr>LTDCH_1Q06</vt:lpstr>
      <vt:lpstr>Tags!LTDCH_1Q07</vt:lpstr>
      <vt:lpstr>LTDCH_1Q07</vt:lpstr>
      <vt:lpstr>Tags!LTDCH_1Q08</vt:lpstr>
      <vt:lpstr>LTDCH_1Q08</vt:lpstr>
      <vt:lpstr>Tags!LTDCH_1Q09</vt:lpstr>
      <vt:lpstr>LTDCH_1Q09</vt:lpstr>
      <vt:lpstr>Tags!LTDCH_1Q10</vt:lpstr>
      <vt:lpstr>LTDCH_1Q10</vt:lpstr>
      <vt:lpstr>Tags!LTDCH_1Q11</vt:lpstr>
      <vt:lpstr>LTDCH_1Q11</vt:lpstr>
      <vt:lpstr>Tags!LTDCH_1Q12</vt:lpstr>
      <vt:lpstr>LTDCH_1Q12</vt:lpstr>
      <vt:lpstr>Tags!LTDCH_1Q13</vt:lpstr>
      <vt:lpstr>LTDCH_1Q13</vt:lpstr>
      <vt:lpstr>Tags!LTDCH_1Q14</vt:lpstr>
      <vt:lpstr>LTDCH_1Q14</vt:lpstr>
      <vt:lpstr>Tags!LTDCH_1Q15</vt:lpstr>
      <vt:lpstr>LTDCH_1Q15</vt:lpstr>
      <vt:lpstr>Tags!LTDCH_1Q16</vt:lpstr>
      <vt:lpstr>LTDCH_1Q16</vt:lpstr>
      <vt:lpstr>Tags!LTDCH_1Q17</vt:lpstr>
      <vt:lpstr>LTDCH_1Q17</vt:lpstr>
      <vt:lpstr>Tags!LTDCH_1Q18</vt:lpstr>
      <vt:lpstr>LTDCH_1Q18</vt:lpstr>
      <vt:lpstr>Tags!LTDCH_1Q19</vt:lpstr>
      <vt:lpstr>LTDCH_1Q19</vt:lpstr>
      <vt:lpstr>Tags!LTDCH_1Q20</vt:lpstr>
      <vt:lpstr>LTDCH_1Q20</vt:lpstr>
      <vt:lpstr>LTDCH_1Q21</vt:lpstr>
      <vt:lpstr>LTDCH_1Q22</vt:lpstr>
      <vt:lpstr>LTDCH_1Q23</vt:lpstr>
      <vt:lpstr>LTDCH_1Q24</vt:lpstr>
      <vt:lpstr>Tags!LTDCH_2000</vt:lpstr>
      <vt:lpstr>LTDCH_2000</vt:lpstr>
      <vt:lpstr>Tags!LTDCH_2001</vt:lpstr>
      <vt:lpstr>LTDCH_2001</vt:lpstr>
      <vt:lpstr>Tags!LTDCH_2002</vt:lpstr>
      <vt:lpstr>LTDCH_2002</vt:lpstr>
      <vt:lpstr>Tags!LTDCH_2003</vt:lpstr>
      <vt:lpstr>LTDCH_2003</vt:lpstr>
      <vt:lpstr>Tags!LTDCH_2004</vt:lpstr>
      <vt:lpstr>LTDCH_2004</vt:lpstr>
      <vt:lpstr>Tags!LTDCH_2005</vt:lpstr>
      <vt:lpstr>LTDCH_2005</vt:lpstr>
      <vt:lpstr>Tags!LTDCH_2006</vt:lpstr>
      <vt:lpstr>LTDCH_2006</vt:lpstr>
      <vt:lpstr>Tags!LTDCH_2007</vt:lpstr>
      <vt:lpstr>LTDCH_2007</vt:lpstr>
      <vt:lpstr>Tags!LTDCH_2008</vt:lpstr>
      <vt:lpstr>LTDCH_2008</vt:lpstr>
      <vt:lpstr>Tags!LTDCH_2009</vt:lpstr>
      <vt:lpstr>LTDCH_2009</vt:lpstr>
      <vt:lpstr>Tags!LTDCH_2010</vt:lpstr>
      <vt:lpstr>LTDCH_2010</vt:lpstr>
      <vt:lpstr>Tags!LTDCH_2011</vt:lpstr>
      <vt:lpstr>LTDCH_2011</vt:lpstr>
      <vt:lpstr>Tags!LTDCH_2012</vt:lpstr>
      <vt:lpstr>LTDCH_2012</vt:lpstr>
      <vt:lpstr>Tags!LTDCH_2013</vt:lpstr>
      <vt:lpstr>LTDCH_2013</vt:lpstr>
      <vt:lpstr>Tags!LTDCH_2014</vt:lpstr>
      <vt:lpstr>LTDCH_2014</vt:lpstr>
      <vt:lpstr>LTDCH_2015</vt:lpstr>
      <vt:lpstr>Tags!LTDCH_2016</vt:lpstr>
      <vt:lpstr>LTDCH_2016</vt:lpstr>
      <vt:lpstr>Tags!LTDCH_2017</vt:lpstr>
      <vt:lpstr>LTDCH_2017</vt:lpstr>
      <vt:lpstr>Tags!LTDCH_2018</vt:lpstr>
      <vt:lpstr>LTDCH_2018</vt:lpstr>
      <vt:lpstr>Tags!LTDCH_2019</vt:lpstr>
      <vt:lpstr>LTDCH_2019</vt:lpstr>
      <vt:lpstr>Tags!LTDCH_2020</vt:lpstr>
      <vt:lpstr>LTDCH_2020</vt:lpstr>
      <vt:lpstr>LTDCH_2021</vt:lpstr>
      <vt:lpstr>LTDCH_2022</vt:lpstr>
      <vt:lpstr>LTDCH_2023</vt:lpstr>
      <vt:lpstr>LTDCH_2024</vt:lpstr>
      <vt:lpstr>Tags!LTDCH_2Q00</vt:lpstr>
      <vt:lpstr>LTDCH_2Q00</vt:lpstr>
      <vt:lpstr>Tags!LTDCH_2Q01</vt:lpstr>
      <vt:lpstr>LTDCH_2Q01</vt:lpstr>
      <vt:lpstr>Tags!LTDCH_2Q02</vt:lpstr>
      <vt:lpstr>LTDCH_2Q02</vt:lpstr>
      <vt:lpstr>Tags!LTDCH_2Q03</vt:lpstr>
      <vt:lpstr>LTDCH_2Q03</vt:lpstr>
      <vt:lpstr>Tags!LTDCH_2Q04</vt:lpstr>
      <vt:lpstr>LTDCH_2Q04</vt:lpstr>
      <vt:lpstr>Tags!LTDCH_2Q05</vt:lpstr>
      <vt:lpstr>LTDCH_2Q05</vt:lpstr>
      <vt:lpstr>Tags!LTDCH_2Q06</vt:lpstr>
      <vt:lpstr>LTDCH_2Q06</vt:lpstr>
      <vt:lpstr>Tags!LTDCH_2Q07</vt:lpstr>
      <vt:lpstr>LTDCH_2Q07</vt:lpstr>
      <vt:lpstr>Tags!LTDCH_2Q08</vt:lpstr>
      <vt:lpstr>LTDCH_2Q08</vt:lpstr>
      <vt:lpstr>Tags!LTDCH_2Q09</vt:lpstr>
      <vt:lpstr>LTDCH_2Q09</vt:lpstr>
      <vt:lpstr>Tags!LTDCH_2Q10</vt:lpstr>
      <vt:lpstr>LTDCH_2Q10</vt:lpstr>
      <vt:lpstr>Tags!LTDCH_2Q11</vt:lpstr>
      <vt:lpstr>LTDCH_2Q11</vt:lpstr>
      <vt:lpstr>Tags!LTDCH_2Q12</vt:lpstr>
      <vt:lpstr>LTDCH_2Q12</vt:lpstr>
      <vt:lpstr>Tags!LTDCH_2Q13</vt:lpstr>
      <vt:lpstr>LTDCH_2Q13</vt:lpstr>
      <vt:lpstr>Tags!LTDCH_2Q14</vt:lpstr>
      <vt:lpstr>LTDCH_2Q14</vt:lpstr>
      <vt:lpstr>Tags!LTDCH_2Q15</vt:lpstr>
      <vt:lpstr>LTDCH_2Q15</vt:lpstr>
      <vt:lpstr>Tags!LTDCH_2Q16</vt:lpstr>
      <vt:lpstr>LTDCH_2Q16</vt:lpstr>
      <vt:lpstr>Tags!LTDCH_2Q17</vt:lpstr>
      <vt:lpstr>LTDCH_2Q17</vt:lpstr>
      <vt:lpstr>Tags!LTDCH_2Q18</vt:lpstr>
      <vt:lpstr>LTDCH_2Q18</vt:lpstr>
      <vt:lpstr>Tags!LTDCH_2Q19</vt:lpstr>
      <vt:lpstr>LTDCH_2Q19</vt:lpstr>
      <vt:lpstr>Tags!LTDCH_2Q20</vt:lpstr>
      <vt:lpstr>LTDCH_2Q20</vt:lpstr>
      <vt:lpstr>LTDCH_2Q21</vt:lpstr>
      <vt:lpstr>LTDCH_2Q22</vt:lpstr>
      <vt:lpstr>LTDCH_2Q23</vt:lpstr>
      <vt:lpstr>LTDCH_2Q24</vt:lpstr>
      <vt:lpstr>Tags!LTDCH_3Q00</vt:lpstr>
      <vt:lpstr>LTDCH_3Q00</vt:lpstr>
      <vt:lpstr>Tags!LTDCH_3Q01</vt:lpstr>
      <vt:lpstr>LTDCH_3Q01</vt:lpstr>
      <vt:lpstr>Tags!LTDCH_3Q02</vt:lpstr>
      <vt:lpstr>LTDCH_3Q02</vt:lpstr>
      <vt:lpstr>Tags!LTDCH_3Q03</vt:lpstr>
      <vt:lpstr>LTDCH_3Q03</vt:lpstr>
      <vt:lpstr>Tags!LTDCH_3Q04</vt:lpstr>
      <vt:lpstr>LTDCH_3Q04</vt:lpstr>
      <vt:lpstr>Tags!LTDCH_3Q05</vt:lpstr>
      <vt:lpstr>LTDCH_3Q05</vt:lpstr>
      <vt:lpstr>Tags!LTDCH_3Q06</vt:lpstr>
      <vt:lpstr>LTDCH_3Q06</vt:lpstr>
      <vt:lpstr>Tags!LTDCH_3Q07</vt:lpstr>
      <vt:lpstr>LTDCH_3Q07</vt:lpstr>
      <vt:lpstr>Tags!LTDCH_3Q08</vt:lpstr>
      <vt:lpstr>LTDCH_3Q08</vt:lpstr>
      <vt:lpstr>Tags!LTDCH_3Q09</vt:lpstr>
      <vt:lpstr>LTDCH_3Q09</vt:lpstr>
      <vt:lpstr>Tags!LTDCH_3Q10</vt:lpstr>
      <vt:lpstr>LTDCH_3Q10</vt:lpstr>
      <vt:lpstr>Tags!LTDCH_3Q11</vt:lpstr>
      <vt:lpstr>LTDCH_3Q11</vt:lpstr>
      <vt:lpstr>Tags!LTDCH_3Q12</vt:lpstr>
      <vt:lpstr>LTDCH_3Q12</vt:lpstr>
      <vt:lpstr>Tags!LTDCH_3Q13</vt:lpstr>
      <vt:lpstr>LTDCH_3Q13</vt:lpstr>
      <vt:lpstr>Tags!LTDCH_3Q14</vt:lpstr>
      <vt:lpstr>LTDCH_3Q14</vt:lpstr>
      <vt:lpstr>Tags!LTDCH_3Q15</vt:lpstr>
      <vt:lpstr>LTDCH_3Q15</vt:lpstr>
      <vt:lpstr>Tags!LTDCH_3Q16</vt:lpstr>
      <vt:lpstr>LTDCH_3Q16</vt:lpstr>
      <vt:lpstr>Tags!LTDCH_3Q17</vt:lpstr>
      <vt:lpstr>LTDCH_3Q17</vt:lpstr>
      <vt:lpstr>Tags!LTDCH_3Q18</vt:lpstr>
      <vt:lpstr>LTDCH_3Q18</vt:lpstr>
      <vt:lpstr>Tags!LTDCH_3Q19</vt:lpstr>
      <vt:lpstr>LTDCH_3Q19</vt:lpstr>
      <vt:lpstr>Tags!LTDCH_3Q20</vt:lpstr>
      <vt:lpstr>LTDCH_3Q20</vt:lpstr>
      <vt:lpstr>LTDCH_3Q21</vt:lpstr>
      <vt:lpstr>LTDCH_3Q22</vt:lpstr>
      <vt:lpstr>LTDCH_3Q23</vt:lpstr>
      <vt:lpstr>LTDCH_3Q24</vt:lpstr>
      <vt:lpstr>Tags!LTDCH_4Q00</vt:lpstr>
      <vt:lpstr>LTDCH_4Q00</vt:lpstr>
      <vt:lpstr>Tags!LTDCH_4Q01</vt:lpstr>
      <vt:lpstr>LTDCH_4Q01</vt:lpstr>
      <vt:lpstr>Tags!LTDCH_4Q02</vt:lpstr>
      <vt:lpstr>LTDCH_4Q02</vt:lpstr>
      <vt:lpstr>Tags!LTDCH_4Q03</vt:lpstr>
      <vt:lpstr>LTDCH_4Q03</vt:lpstr>
      <vt:lpstr>Tags!LTDCH_4Q04</vt:lpstr>
      <vt:lpstr>LTDCH_4Q04</vt:lpstr>
      <vt:lpstr>Tags!LTDCH_4Q05</vt:lpstr>
      <vt:lpstr>LTDCH_4Q05</vt:lpstr>
      <vt:lpstr>Tags!LTDCH_4Q06</vt:lpstr>
      <vt:lpstr>LTDCH_4Q06</vt:lpstr>
      <vt:lpstr>Tags!LTDCH_4Q07</vt:lpstr>
      <vt:lpstr>LTDCH_4Q07</vt:lpstr>
      <vt:lpstr>Tags!LTDCH_4Q08</vt:lpstr>
      <vt:lpstr>LTDCH_4Q08</vt:lpstr>
      <vt:lpstr>Tags!LTDCH_4Q09</vt:lpstr>
      <vt:lpstr>LTDCH_4Q09</vt:lpstr>
      <vt:lpstr>Tags!LTDCH_4Q10</vt:lpstr>
      <vt:lpstr>LTDCH_4Q10</vt:lpstr>
      <vt:lpstr>Tags!LTDCH_4Q11</vt:lpstr>
      <vt:lpstr>LTDCH_4Q11</vt:lpstr>
      <vt:lpstr>Tags!LTDCH_4Q12</vt:lpstr>
      <vt:lpstr>LTDCH_4Q12</vt:lpstr>
      <vt:lpstr>Tags!LTDCH_4Q13</vt:lpstr>
      <vt:lpstr>LTDCH_4Q13</vt:lpstr>
      <vt:lpstr>Tags!LTDCH_4Q14</vt:lpstr>
      <vt:lpstr>LTDCH_4Q14</vt:lpstr>
      <vt:lpstr>Tags!LTDCH_4Q15</vt:lpstr>
      <vt:lpstr>LTDCH_4Q15</vt:lpstr>
      <vt:lpstr>Tags!LTDCH_4Q16</vt:lpstr>
      <vt:lpstr>LTDCH_4Q16</vt:lpstr>
      <vt:lpstr>Tags!LTDCH_4Q17</vt:lpstr>
      <vt:lpstr>LTDCH_4Q17</vt:lpstr>
      <vt:lpstr>Tags!LTDCH_4Q18</vt:lpstr>
      <vt:lpstr>LTDCH_4Q18</vt:lpstr>
      <vt:lpstr>Tags!LTDCH_4Q19</vt:lpstr>
      <vt:lpstr>LTDCH_4Q19</vt:lpstr>
      <vt:lpstr>Tags!LTDCH_4Q20</vt:lpstr>
      <vt:lpstr>LTDCH_4Q20</vt:lpstr>
      <vt:lpstr>LTDCH_4Q21</vt:lpstr>
      <vt:lpstr>LTDCH_4Q22</vt:lpstr>
      <vt:lpstr>LTDCH_4Q23</vt:lpstr>
      <vt:lpstr>LTDCH_4Q24</vt:lpstr>
      <vt:lpstr>LTDEBT_1995</vt:lpstr>
      <vt:lpstr>LTDEBT_1996</vt:lpstr>
      <vt:lpstr>LTDEBT_1997</vt:lpstr>
      <vt:lpstr>LTDEBT_1998</vt:lpstr>
      <vt:lpstr>LTDEBT_1999</vt:lpstr>
      <vt:lpstr>Tags!LTDEBT_1Q00</vt:lpstr>
      <vt:lpstr>LTDEBT_1Q00</vt:lpstr>
      <vt:lpstr>Tags!LTDEBT_1Q01</vt:lpstr>
      <vt:lpstr>LTDEBT_1Q01</vt:lpstr>
      <vt:lpstr>Tags!LTDEBT_1Q02</vt:lpstr>
      <vt:lpstr>LTDEBT_1Q02</vt:lpstr>
      <vt:lpstr>Tags!LTDEBT_1Q03</vt:lpstr>
      <vt:lpstr>LTDEBT_1Q03</vt:lpstr>
      <vt:lpstr>Tags!LTDEBT_1Q04</vt:lpstr>
      <vt:lpstr>LTDEBT_1Q04</vt:lpstr>
      <vt:lpstr>Tags!LTDEBT_1Q05</vt:lpstr>
      <vt:lpstr>LTDEBT_1Q05</vt:lpstr>
      <vt:lpstr>Tags!LTDEBT_1Q06</vt:lpstr>
      <vt:lpstr>LTDEBT_1Q06</vt:lpstr>
      <vt:lpstr>Tags!LTDEBT_1Q07</vt:lpstr>
      <vt:lpstr>LTDEBT_1Q07</vt:lpstr>
      <vt:lpstr>Tags!LTDEBT_1Q08</vt:lpstr>
      <vt:lpstr>LTDEBT_1Q08</vt:lpstr>
      <vt:lpstr>Tags!LTDEBT_1Q09</vt:lpstr>
      <vt:lpstr>LTDEBT_1Q09</vt:lpstr>
      <vt:lpstr>Tags!LTDEBT_1Q10</vt:lpstr>
      <vt:lpstr>LTDEBT_1Q10</vt:lpstr>
      <vt:lpstr>Tags!LTDEBT_1Q11</vt:lpstr>
      <vt:lpstr>LTDEBT_1Q11</vt:lpstr>
      <vt:lpstr>Tags!LTDEBT_1Q12</vt:lpstr>
      <vt:lpstr>LTDEBT_1Q12</vt:lpstr>
      <vt:lpstr>Tags!LTDEBT_1Q13</vt:lpstr>
      <vt:lpstr>LTDEBT_1Q13</vt:lpstr>
      <vt:lpstr>Tags!LTDEBT_1Q14</vt:lpstr>
      <vt:lpstr>LTDEBT_1Q14</vt:lpstr>
      <vt:lpstr>Tags!LTDEBT_1Q15</vt:lpstr>
      <vt:lpstr>LTDEBT_1Q15</vt:lpstr>
      <vt:lpstr>Tags!LTDEBT_1Q16</vt:lpstr>
      <vt:lpstr>LTDEBT_1Q16</vt:lpstr>
      <vt:lpstr>Tags!LTDEBT_1Q17</vt:lpstr>
      <vt:lpstr>LTDEBT_1Q17</vt:lpstr>
      <vt:lpstr>Tags!LTDEBT_1Q18</vt:lpstr>
      <vt:lpstr>LTDEBT_1Q18</vt:lpstr>
      <vt:lpstr>Tags!LTDEBT_1Q19</vt:lpstr>
      <vt:lpstr>LTDEBT_1Q19</vt:lpstr>
      <vt:lpstr>Tags!LTDEBT_1Q20</vt:lpstr>
      <vt:lpstr>LTDEBT_1Q20</vt:lpstr>
      <vt:lpstr>LTDEBT_1Q21</vt:lpstr>
      <vt:lpstr>LTDEBT_1Q22</vt:lpstr>
      <vt:lpstr>LTDEBT_1Q23</vt:lpstr>
      <vt:lpstr>LTDEBT_1Q24</vt:lpstr>
      <vt:lpstr>Tags!LTDEBT_2000</vt:lpstr>
      <vt:lpstr>LTDEBT_2000</vt:lpstr>
      <vt:lpstr>Tags!LTDEBT_2001</vt:lpstr>
      <vt:lpstr>LTDEBT_2001</vt:lpstr>
      <vt:lpstr>Tags!LTDEBT_2002</vt:lpstr>
      <vt:lpstr>LTDEBT_2002</vt:lpstr>
      <vt:lpstr>Tags!LTDEBT_2003</vt:lpstr>
      <vt:lpstr>LTDEBT_2003</vt:lpstr>
      <vt:lpstr>Tags!LTDEBT_2004</vt:lpstr>
      <vt:lpstr>LTDEBT_2004</vt:lpstr>
      <vt:lpstr>Tags!LTDEBT_2005</vt:lpstr>
      <vt:lpstr>LTDEBT_2005</vt:lpstr>
      <vt:lpstr>Tags!LTDEBT_2006</vt:lpstr>
      <vt:lpstr>LTDEBT_2006</vt:lpstr>
      <vt:lpstr>Tags!LTDEBT_2007</vt:lpstr>
      <vt:lpstr>LTDEBT_2007</vt:lpstr>
      <vt:lpstr>Tags!LTDEBT_2008</vt:lpstr>
      <vt:lpstr>LTDEBT_2008</vt:lpstr>
      <vt:lpstr>Tags!LTDEBT_2009</vt:lpstr>
      <vt:lpstr>LTDEBT_2009</vt:lpstr>
      <vt:lpstr>Tags!LTDEBT_2010</vt:lpstr>
      <vt:lpstr>LTDEBT_2010</vt:lpstr>
      <vt:lpstr>Tags!LTDEBT_2011</vt:lpstr>
      <vt:lpstr>LTDEBT_2011</vt:lpstr>
      <vt:lpstr>Tags!LTDEBT_2012</vt:lpstr>
      <vt:lpstr>LTDEBT_2012</vt:lpstr>
      <vt:lpstr>Tags!LTDEBT_2013</vt:lpstr>
      <vt:lpstr>LTDEBT_2013</vt:lpstr>
      <vt:lpstr>Tags!LTDEBT_2014</vt:lpstr>
      <vt:lpstr>LTDEBT_2014</vt:lpstr>
      <vt:lpstr>LTDEBT_2015</vt:lpstr>
      <vt:lpstr>Tags!LTDEBT_2016</vt:lpstr>
      <vt:lpstr>LTDEBT_2016</vt:lpstr>
      <vt:lpstr>Tags!LTDEBT_2017</vt:lpstr>
      <vt:lpstr>LTDEBT_2017</vt:lpstr>
      <vt:lpstr>Tags!LTDEBT_2018</vt:lpstr>
      <vt:lpstr>LTDEBT_2018</vt:lpstr>
      <vt:lpstr>Tags!LTDEBT_2019</vt:lpstr>
      <vt:lpstr>LTDEBT_2019</vt:lpstr>
      <vt:lpstr>Tags!LTDEBT_2020</vt:lpstr>
      <vt:lpstr>LTDEBT_2020</vt:lpstr>
      <vt:lpstr>LTDEBT_2021</vt:lpstr>
      <vt:lpstr>LTDEBT_2022</vt:lpstr>
      <vt:lpstr>LTDEBT_2023</vt:lpstr>
      <vt:lpstr>LTDEBT_2024</vt:lpstr>
      <vt:lpstr>Tags!LTDEBT_2Q00</vt:lpstr>
      <vt:lpstr>LTDEBT_2Q00</vt:lpstr>
      <vt:lpstr>Tags!LTDEBT_2Q01</vt:lpstr>
      <vt:lpstr>LTDEBT_2Q01</vt:lpstr>
      <vt:lpstr>Tags!LTDEBT_2Q02</vt:lpstr>
      <vt:lpstr>LTDEBT_2Q02</vt:lpstr>
      <vt:lpstr>Tags!LTDEBT_2Q03</vt:lpstr>
      <vt:lpstr>LTDEBT_2Q03</vt:lpstr>
      <vt:lpstr>Tags!LTDEBT_2Q04</vt:lpstr>
      <vt:lpstr>LTDEBT_2Q04</vt:lpstr>
      <vt:lpstr>Tags!LTDEBT_2Q05</vt:lpstr>
      <vt:lpstr>LTDEBT_2Q05</vt:lpstr>
      <vt:lpstr>Tags!LTDEBT_2Q06</vt:lpstr>
      <vt:lpstr>LTDEBT_2Q06</vt:lpstr>
      <vt:lpstr>Tags!LTDEBT_2Q07</vt:lpstr>
      <vt:lpstr>LTDEBT_2Q07</vt:lpstr>
      <vt:lpstr>Tags!LTDEBT_2Q08</vt:lpstr>
      <vt:lpstr>LTDEBT_2Q08</vt:lpstr>
      <vt:lpstr>Tags!LTDEBT_2Q09</vt:lpstr>
      <vt:lpstr>LTDEBT_2Q09</vt:lpstr>
      <vt:lpstr>Tags!LTDEBT_2Q10</vt:lpstr>
      <vt:lpstr>LTDEBT_2Q10</vt:lpstr>
      <vt:lpstr>Tags!LTDEBT_2Q11</vt:lpstr>
      <vt:lpstr>LTDEBT_2Q11</vt:lpstr>
      <vt:lpstr>Tags!LTDEBT_2Q12</vt:lpstr>
      <vt:lpstr>LTDEBT_2Q12</vt:lpstr>
      <vt:lpstr>Tags!LTDEBT_2Q13</vt:lpstr>
      <vt:lpstr>LTDEBT_2Q13</vt:lpstr>
      <vt:lpstr>Tags!LTDEBT_2Q14</vt:lpstr>
      <vt:lpstr>LTDEBT_2Q14</vt:lpstr>
      <vt:lpstr>Tags!LTDEBT_2Q15</vt:lpstr>
      <vt:lpstr>LTDEBT_2Q15</vt:lpstr>
      <vt:lpstr>Tags!LTDEBT_2Q16</vt:lpstr>
      <vt:lpstr>LTDEBT_2Q16</vt:lpstr>
      <vt:lpstr>Tags!LTDEBT_2Q17</vt:lpstr>
      <vt:lpstr>LTDEBT_2Q17</vt:lpstr>
      <vt:lpstr>Tags!LTDEBT_2Q18</vt:lpstr>
      <vt:lpstr>LTDEBT_2Q18</vt:lpstr>
      <vt:lpstr>Tags!LTDEBT_2Q19</vt:lpstr>
      <vt:lpstr>LTDEBT_2Q19</vt:lpstr>
      <vt:lpstr>Tags!LTDEBT_2Q20</vt:lpstr>
      <vt:lpstr>LTDEBT_2Q20</vt:lpstr>
      <vt:lpstr>LTDEBT_2Q21</vt:lpstr>
      <vt:lpstr>LTDEBT_2Q22</vt:lpstr>
      <vt:lpstr>LTDEBT_2Q23</vt:lpstr>
      <vt:lpstr>LTDEBT_2Q24</vt:lpstr>
      <vt:lpstr>Tags!LTDEBT_3Q00</vt:lpstr>
      <vt:lpstr>LTDEBT_3Q00</vt:lpstr>
      <vt:lpstr>Tags!LTDEBT_3Q01</vt:lpstr>
      <vt:lpstr>LTDEBT_3Q01</vt:lpstr>
      <vt:lpstr>Tags!LTDEBT_3Q02</vt:lpstr>
      <vt:lpstr>LTDEBT_3Q02</vt:lpstr>
      <vt:lpstr>Tags!LTDEBT_3Q03</vt:lpstr>
      <vt:lpstr>LTDEBT_3Q03</vt:lpstr>
      <vt:lpstr>Tags!LTDEBT_3Q04</vt:lpstr>
      <vt:lpstr>LTDEBT_3Q04</vt:lpstr>
      <vt:lpstr>Tags!LTDEBT_3Q05</vt:lpstr>
      <vt:lpstr>LTDEBT_3Q05</vt:lpstr>
      <vt:lpstr>Tags!LTDEBT_3Q06</vt:lpstr>
      <vt:lpstr>LTDEBT_3Q06</vt:lpstr>
      <vt:lpstr>Tags!LTDEBT_3Q07</vt:lpstr>
      <vt:lpstr>LTDEBT_3Q07</vt:lpstr>
      <vt:lpstr>Tags!LTDEBT_3Q08</vt:lpstr>
      <vt:lpstr>LTDEBT_3Q08</vt:lpstr>
      <vt:lpstr>Tags!LTDEBT_3Q09</vt:lpstr>
      <vt:lpstr>LTDEBT_3Q09</vt:lpstr>
      <vt:lpstr>Tags!LTDEBT_3Q10</vt:lpstr>
      <vt:lpstr>LTDEBT_3Q10</vt:lpstr>
      <vt:lpstr>Tags!LTDEBT_3Q11</vt:lpstr>
      <vt:lpstr>LTDEBT_3Q11</vt:lpstr>
      <vt:lpstr>Tags!LTDEBT_3Q12</vt:lpstr>
      <vt:lpstr>LTDEBT_3Q12</vt:lpstr>
      <vt:lpstr>Tags!LTDEBT_3Q13</vt:lpstr>
      <vt:lpstr>LTDEBT_3Q13</vt:lpstr>
      <vt:lpstr>Tags!LTDEBT_3Q14</vt:lpstr>
      <vt:lpstr>LTDEBT_3Q14</vt:lpstr>
      <vt:lpstr>Tags!LTDEBT_3Q15</vt:lpstr>
      <vt:lpstr>LTDEBT_3Q15</vt:lpstr>
      <vt:lpstr>Tags!LTDEBT_3Q16</vt:lpstr>
      <vt:lpstr>LTDEBT_3Q16</vt:lpstr>
      <vt:lpstr>Tags!LTDEBT_3Q17</vt:lpstr>
      <vt:lpstr>LTDEBT_3Q17</vt:lpstr>
      <vt:lpstr>Tags!LTDEBT_3Q18</vt:lpstr>
      <vt:lpstr>LTDEBT_3Q18</vt:lpstr>
      <vt:lpstr>Tags!LTDEBT_3Q19</vt:lpstr>
      <vt:lpstr>LTDEBT_3Q19</vt:lpstr>
      <vt:lpstr>Tags!LTDEBT_3Q20</vt:lpstr>
      <vt:lpstr>LTDEBT_3Q20</vt:lpstr>
      <vt:lpstr>LTDEBT_3Q21</vt:lpstr>
      <vt:lpstr>LTDEBT_3Q22</vt:lpstr>
      <vt:lpstr>LTDEBT_3Q23</vt:lpstr>
      <vt:lpstr>LTDEBT_3Q24</vt:lpstr>
      <vt:lpstr>Tags!LTDEBT_4Q00</vt:lpstr>
      <vt:lpstr>LTDEBT_4Q00</vt:lpstr>
      <vt:lpstr>Tags!LTDEBT_4Q01</vt:lpstr>
      <vt:lpstr>LTDEBT_4Q01</vt:lpstr>
      <vt:lpstr>Tags!LTDEBT_4Q02</vt:lpstr>
      <vt:lpstr>LTDEBT_4Q02</vt:lpstr>
      <vt:lpstr>Tags!LTDEBT_4Q03</vt:lpstr>
      <vt:lpstr>LTDEBT_4Q03</vt:lpstr>
      <vt:lpstr>Tags!LTDEBT_4Q04</vt:lpstr>
      <vt:lpstr>LTDEBT_4Q04</vt:lpstr>
      <vt:lpstr>Tags!LTDEBT_4Q05</vt:lpstr>
      <vt:lpstr>LTDEBT_4Q05</vt:lpstr>
      <vt:lpstr>Tags!LTDEBT_4Q06</vt:lpstr>
      <vt:lpstr>LTDEBT_4Q06</vt:lpstr>
      <vt:lpstr>Tags!LTDEBT_4Q07</vt:lpstr>
      <vt:lpstr>LTDEBT_4Q07</vt:lpstr>
      <vt:lpstr>Tags!LTDEBT_4Q08</vt:lpstr>
      <vt:lpstr>LTDEBT_4Q08</vt:lpstr>
      <vt:lpstr>Tags!LTDEBT_4Q09</vt:lpstr>
      <vt:lpstr>LTDEBT_4Q09</vt:lpstr>
      <vt:lpstr>Tags!LTDEBT_4Q10</vt:lpstr>
      <vt:lpstr>LTDEBT_4Q10</vt:lpstr>
      <vt:lpstr>Tags!LTDEBT_4Q11</vt:lpstr>
      <vt:lpstr>LTDEBT_4Q11</vt:lpstr>
      <vt:lpstr>Tags!LTDEBT_4Q12</vt:lpstr>
      <vt:lpstr>LTDEBT_4Q12</vt:lpstr>
      <vt:lpstr>Tags!LTDEBT_4Q13</vt:lpstr>
      <vt:lpstr>LTDEBT_4Q13</vt:lpstr>
      <vt:lpstr>Tags!LTDEBT_4Q14</vt:lpstr>
      <vt:lpstr>LTDEBT_4Q14</vt:lpstr>
      <vt:lpstr>Tags!LTDEBT_4Q15</vt:lpstr>
      <vt:lpstr>LTDEBT_4Q15</vt:lpstr>
      <vt:lpstr>Tags!LTDEBT_4Q16</vt:lpstr>
      <vt:lpstr>LTDEBT_4Q16</vt:lpstr>
      <vt:lpstr>Tags!LTDEBT_4Q17</vt:lpstr>
      <vt:lpstr>LTDEBT_4Q17</vt:lpstr>
      <vt:lpstr>Tags!LTDEBT_4Q18</vt:lpstr>
      <vt:lpstr>LTDEBT_4Q18</vt:lpstr>
      <vt:lpstr>Tags!LTDEBT_4Q19</vt:lpstr>
      <vt:lpstr>LTDEBT_4Q19</vt:lpstr>
      <vt:lpstr>Tags!LTDEBT_4Q20</vt:lpstr>
      <vt:lpstr>LTDEBT_4Q20</vt:lpstr>
      <vt:lpstr>LTDEBT_4Q21</vt:lpstr>
      <vt:lpstr>LTDEBT_4Q22</vt:lpstr>
      <vt:lpstr>LTDEBT_4Q23</vt:lpstr>
      <vt:lpstr>LTDEBT_4Q24</vt:lpstr>
      <vt:lpstr>MININT_1995</vt:lpstr>
      <vt:lpstr>MININT_1996</vt:lpstr>
      <vt:lpstr>MININT_1997</vt:lpstr>
      <vt:lpstr>MININT_1998</vt:lpstr>
      <vt:lpstr>MININT_1999</vt:lpstr>
      <vt:lpstr>Tags!MININT_1Q00</vt:lpstr>
      <vt:lpstr>MININT_1Q00</vt:lpstr>
      <vt:lpstr>Tags!MININT_1Q01</vt:lpstr>
      <vt:lpstr>MININT_1Q01</vt:lpstr>
      <vt:lpstr>Tags!MININT_1Q02</vt:lpstr>
      <vt:lpstr>MININT_1Q02</vt:lpstr>
      <vt:lpstr>Tags!MININT_1Q03</vt:lpstr>
      <vt:lpstr>MININT_1Q03</vt:lpstr>
      <vt:lpstr>Tags!MININT_1Q04</vt:lpstr>
      <vt:lpstr>MININT_1Q04</vt:lpstr>
      <vt:lpstr>Tags!MININT_1Q05</vt:lpstr>
      <vt:lpstr>MININT_1Q05</vt:lpstr>
      <vt:lpstr>Tags!MININT_1Q06</vt:lpstr>
      <vt:lpstr>MININT_1Q06</vt:lpstr>
      <vt:lpstr>Tags!MININT_1Q07</vt:lpstr>
      <vt:lpstr>MININT_1Q07</vt:lpstr>
      <vt:lpstr>Tags!MININT_1Q08</vt:lpstr>
      <vt:lpstr>MININT_1Q08</vt:lpstr>
      <vt:lpstr>Tags!MININT_1Q09</vt:lpstr>
      <vt:lpstr>MININT_1Q09</vt:lpstr>
      <vt:lpstr>Tags!MININT_1Q10</vt:lpstr>
      <vt:lpstr>MININT_1Q10</vt:lpstr>
      <vt:lpstr>Tags!MININT_1Q11</vt:lpstr>
      <vt:lpstr>MININT_1Q11</vt:lpstr>
      <vt:lpstr>Tags!MININT_1Q12</vt:lpstr>
      <vt:lpstr>MININT_1Q12</vt:lpstr>
      <vt:lpstr>Tags!MININT_1Q13</vt:lpstr>
      <vt:lpstr>MININT_1Q13</vt:lpstr>
      <vt:lpstr>Tags!MININT_1Q14</vt:lpstr>
      <vt:lpstr>MININT_1Q14</vt:lpstr>
      <vt:lpstr>Tags!MININT_1Q15</vt:lpstr>
      <vt:lpstr>MININT_1Q15</vt:lpstr>
      <vt:lpstr>Tags!MININT_1Q16</vt:lpstr>
      <vt:lpstr>MININT_1Q16</vt:lpstr>
      <vt:lpstr>Tags!MININT_1Q17</vt:lpstr>
      <vt:lpstr>MININT_1Q17</vt:lpstr>
      <vt:lpstr>Tags!MININT_1Q18</vt:lpstr>
      <vt:lpstr>MININT_1Q18</vt:lpstr>
      <vt:lpstr>Tags!MININT_1Q19</vt:lpstr>
      <vt:lpstr>MININT_1Q19</vt:lpstr>
      <vt:lpstr>Tags!MININT_1Q20</vt:lpstr>
      <vt:lpstr>MININT_1Q20</vt:lpstr>
      <vt:lpstr>MININT_1Q21</vt:lpstr>
      <vt:lpstr>MININT_1Q22</vt:lpstr>
      <vt:lpstr>MININT_1Q23</vt:lpstr>
      <vt:lpstr>MININT_1Q24</vt:lpstr>
      <vt:lpstr>Tags!MININT_2000</vt:lpstr>
      <vt:lpstr>MININT_2000</vt:lpstr>
      <vt:lpstr>Tags!MININT_2001</vt:lpstr>
      <vt:lpstr>MININT_2001</vt:lpstr>
      <vt:lpstr>Tags!MININT_2002</vt:lpstr>
      <vt:lpstr>MININT_2002</vt:lpstr>
      <vt:lpstr>Tags!MININT_2003</vt:lpstr>
      <vt:lpstr>MININT_2003</vt:lpstr>
      <vt:lpstr>Tags!MININT_2004</vt:lpstr>
      <vt:lpstr>MININT_2004</vt:lpstr>
      <vt:lpstr>Tags!MININT_2005</vt:lpstr>
      <vt:lpstr>MININT_2005</vt:lpstr>
      <vt:lpstr>Tags!MININT_2006</vt:lpstr>
      <vt:lpstr>MININT_2006</vt:lpstr>
      <vt:lpstr>Tags!MININT_2007</vt:lpstr>
      <vt:lpstr>MININT_2007</vt:lpstr>
      <vt:lpstr>Tags!MININT_2008</vt:lpstr>
      <vt:lpstr>MININT_2008</vt:lpstr>
      <vt:lpstr>Tags!MININT_2009</vt:lpstr>
      <vt:lpstr>MININT_2009</vt:lpstr>
      <vt:lpstr>Tags!MININT_2010</vt:lpstr>
      <vt:lpstr>MININT_2010</vt:lpstr>
      <vt:lpstr>Tags!MININT_2011</vt:lpstr>
      <vt:lpstr>MININT_2011</vt:lpstr>
      <vt:lpstr>Tags!MININT_2012</vt:lpstr>
      <vt:lpstr>MININT_2012</vt:lpstr>
      <vt:lpstr>Tags!MININT_2013</vt:lpstr>
      <vt:lpstr>MININT_2013</vt:lpstr>
      <vt:lpstr>Tags!MININT_2014</vt:lpstr>
      <vt:lpstr>MININT_2014</vt:lpstr>
      <vt:lpstr>MININT_2015</vt:lpstr>
      <vt:lpstr>Tags!MININT_2016</vt:lpstr>
      <vt:lpstr>MININT_2016</vt:lpstr>
      <vt:lpstr>Tags!MININT_2017</vt:lpstr>
      <vt:lpstr>MININT_2017</vt:lpstr>
      <vt:lpstr>Tags!MININT_2018</vt:lpstr>
      <vt:lpstr>MININT_2018</vt:lpstr>
      <vt:lpstr>Tags!MININT_2019</vt:lpstr>
      <vt:lpstr>MININT_2019</vt:lpstr>
      <vt:lpstr>Tags!MININT_2020</vt:lpstr>
      <vt:lpstr>MININT_2020</vt:lpstr>
      <vt:lpstr>MININT_2021</vt:lpstr>
      <vt:lpstr>MININT_2022</vt:lpstr>
      <vt:lpstr>MININT_2023</vt:lpstr>
      <vt:lpstr>MININT_2024</vt:lpstr>
      <vt:lpstr>Tags!MININT_2Q00</vt:lpstr>
      <vt:lpstr>MININT_2Q00</vt:lpstr>
      <vt:lpstr>Tags!MININT_2Q01</vt:lpstr>
      <vt:lpstr>MININT_2Q01</vt:lpstr>
      <vt:lpstr>Tags!MININT_2Q02</vt:lpstr>
      <vt:lpstr>MININT_2Q02</vt:lpstr>
      <vt:lpstr>Tags!MININT_2Q03</vt:lpstr>
      <vt:lpstr>MININT_2Q03</vt:lpstr>
      <vt:lpstr>Tags!MININT_2Q04</vt:lpstr>
      <vt:lpstr>MININT_2Q04</vt:lpstr>
      <vt:lpstr>Tags!MININT_2Q05</vt:lpstr>
      <vt:lpstr>MININT_2Q05</vt:lpstr>
      <vt:lpstr>Tags!MININT_2Q06</vt:lpstr>
      <vt:lpstr>MININT_2Q06</vt:lpstr>
      <vt:lpstr>Tags!MININT_2Q07</vt:lpstr>
      <vt:lpstr>MININT_2Q07</vt:lpstr>
      <vt:lpstr>Tags!MININT_2Q08</vt:lpstr>
      <vt:lpstr>MININT_2Q08</vt:lpstr>
      <vt:lpstr>Tags!MININT_2Q09</vt:lpstr>
      <vt:lpstr>MININT_2Q09</vt:lpstr>
      <vt:lpstr>Tags!MININT_2Q10</vt:lpstr>
      <vt:lpstr>MININT_2Q10</vt:lpstr>
      <vt:lpstr>Tags!MININT_2Q11</vt:lpstr>
      <vt:lpstr>MININT_2Q11</vt:lpstr>
      <vt:lpstr>Tags!MININT_2Q12</vt:lpstr>
      <vt:lpstr>MININT_2Q12</vt:lpstr>
      <vt:lpstr>Tags!MININT_2Q13</vt:lpstr>
      <vt:lpstr>MININT_2Q13</vt:lpstr>
      <vt:lpstr>Tags!MININT_2Q14</vt:lpstr>
      <vt:lpstr>MININT_2Q14</vt:lpstr>
      <vt:lpstr>Tags!MININT_2Q15</vt:lpstr>
      <vt:lpstr>MININT_2Q15</vt:lpstr>
      <vt:lpstr>Tags!MININT_2Q16</vt:lpstr>
      <vt:lpstr>MININT_2Q16</vt:lpstr>
      <vt:lpstr>Tags!MININT_2Q17</vt:lpstr>
      <vt:lpstr>MININT_2Q17</vt:lpstr>
      <vt:lpstr>Tags!MININT_2Q18</vt:lpstr>
      <vt:lpstr>MININT_2Q18</vt:lpstr>
      <vt:lpstr>Tags!MININT_2Q19</vt:lpstr>
      <vt:lpstr>MININT_2Q19</vt:lpstr>
      <vt:lpstr>Tags!MININT_2Q20</vt:lpstr>
      <vt:lpstr>MININT_2Q20</vt:lpstr>
      <vt:lpstr>MININT_2Q21</vt:lpstr>
      <vt:lpstr>MININT_2Q22</vt:lpstr>
      <vt:lpstr>MININT_2Q23</vt:lpstr>
      <vt:lpstr>MININT_2Q24</vt:lpstr>
      <vt:lpstr>Tags!MININT_3Q00</vt:lpstr>
      <vt:lpstr>MININT_3Q00</vt:lpstr>
      <vt:lpstr>Tags!MININT_3Q01</vt:lpstr>
      <vt:lpstr>MININT_3Q01</vt:lpstr>
      <vt:lpstr>Tags!MININT_3Q02</vt:lpstr>
      <vt:lpstr>MININT_3Q02</vt:lpstr>
      <vt:lpstr>Tags!MININT_3Q03</vt:lpstr>
      <vt:lpstr>MININT_3Q03</vt:lpstr>
      <vt:lpstr>Tags!MININT_3Q04</vt:lpstr>
      <vt:lpstr>MININT_3Q04</vt:lpstr>
      <vt:lpstr>Tags!MININT_3Q05</vt:lpstr>
      <vt:lpstr>MININT_3Q05</vt:lpstr>
      <vt:lpstr>Tags!MININT_3Q06</vt:lpstr>
      <vt:lpstr>MININT_3Q06</vt:lpstr>
      <vt:lpstr>Tags!MININT_3Q07</vt:lpstr>
      <vt:lpstr>MININT_3Q07</vt:lpstr>
      <vt:lpstr>Tags!MININT_3Q08</vt:lpstr>
      <vt:lpstr>MININT_3Q08</vt:lpstr>
      <vt:lpstr>Tags!MININT_3Q09</vt:lpstr>
      <vt:lpstr>MININT_3Q09</vt:lpstr>
      <vt:lpstr>Tags!MININT_3Q10</vt:lpstr>
      <vt:lpstr>MININT_3Q10</vt:lpstr>
      <vt:lpstr>Tags!MININT_3Q11</vt:lpstr>
      <vt:lpstr>MININT_3Q11</vt:lpstr>
      <vt:lpstr>Tags!MININT_3Q12</vt:lpstr>
      <vt:lpstr>MININT_3Q12</vt:lpstr>
      <vt:lpstr>Tags!MININT_3Q13</vt:lpstr>
      <vt:lpstr>MININT_3Q13</vt:lpstr>
      <vt:lpstr>Tags!MININT_3Q14</vt:lpstr>
      <vt:lpstr>MININT_3Q14</vt:lpstr>
      <vt:lpstr>Tags!MININT_3Q15</vt:lpstr>
      <vt:lpstr>MININT_3Q15</vt:lpstr>
      <vt:lpstr>Tags!MININT_3Q16</vt:lpstr>
      <vt:lpstr>MININT_3Q16</vt:lpstr>
      <vt:lpstr>Tags!MININT_3Q17</vt:lpstr>
      <vt:lpstr>MININT_3Q17</vt:lpstr>
      <vt:lpstr>Tags!MININT_3Q18</vt:lpstr>
      <vt:lpstr>MININT_3Q18</vt:lpstr>
      <vt:lpstr>Tags!MININT_3Q19</vt:lpstr>
      <vt:lpstr>MININT_3Q19</vt:lpstr>
      <vt:lpstr>Tags!MININT_3Q20</vt:lpstr>
      <vt:lpstr>MININT_3Q20</vt:lpstr>
      <vt:lpstr>MININT_3Q21</vt:lpstr>
      <vt:lpstr>MININT_3Q22</vt:lpstr>
      <vt:lpstr>MININT_3Q23</vt:lpstr>
      <vt:lpstr>MININT_3Q24</vt:lpstr>
      <vt:lpstr>Tags!MININT_4Q00</vt:lpstr>
      <vt:lpstr>MININT_4Q00</vt:lpstr>
      <vt:lpstr>Tags!MININT_4Q01</vt:lpstr>
      <vt:lpstr>MININT_4Q01</vt:lpstr>
      <vt:lpstr>Tags!MININT_4Q02</vt:lpstr>
      <vt:lpstr>MININT_4Q02</vt:lpstr>
      <vt:lpstr>Tags!MININT_4Q03</vt:lpstr>
      <vt:lpstr>MININT_4Q03</vt:lpstr>
      <vt:lpstr>Tags!MININT_4Q04</vt:lpstr>
      <vt:lpstr>MININT_4Q04</vt:lpstr>
      <vt:lpstr>Tags!MININT_4Q05</vt:lpstr>
      <vt:lpstr>MININT_4Q05</vt:lpstr>
      <vt:lpstr>Tags!MININT_4Q06</vt:lpstr>
      <vt:lpstr>MININT_4Q06</vt:lpstr>
      <vt:lpstr>Tags!MININT_4Q07</vt:lpstr>
      <vt:lpstr>MININT_4Q07</vt:lpstr>
      <vt:lpstr>Tags!MININT_4Q08</vt:lpstr>
      <vt:lpstr>MININT_4Q08</vt:lpstr>
      <vt:lpstr>Tags!MININT_4Q09</vt:lpstr>
      <vt:lpstr>MININT_4Q09</vt:lpstr>
      <vt:lpstr>Tags!MININT_4Q10</vt:lpstr>
      <vt:lpstr>MININT_4Q10</vt:lpstr>
      <vt:lpstr>Tags!MININT_4Q11</vt:lpstr>
      <vt:lpstr>MININT_4Q11</vt:lpstr>
      <vt:lpstr>Tags!MININT_4Q12</vt:lpstr>
      <vt:lpstr>MININT_4Q12</vt:lpstr>
      <vt:lpstr>Tags!MININT_4Q13</vt:lpstr>
      <vt:lpstr>MININT_4Q13</vt:lpstr>
      <vt:lpstr>Tags!MININT_4Q14</vt:lpstr>
      <vt:lpstr>MININT_4Q14</vt:lpstr>
      <vt:lpstr>Tags!MININT_4Q15</vt:lpstr>
      <vt:lpstr>MININT_4Q15</vt:lpstr>
      <vt:lpstr>Tags!MININT_4Q16</vt:lpstr>
      <vt:lpstr>MININT_4Q16</vt:lpstr>
      <vt:lpstr>Tags!MININT_4Q17</vt:lpstr>
      <vt:lpstr>MININT_4Q17</vt:lpstr>
      <vt:lpstr>Tags!MININT_4Q18</vt:lpstr>
      <vt:lpstr>MININT_4Q18</vt:lpstr>
      <vt:lpstr>Tags!MININT_4Q19</vt:lpstr>
      <vt:lpstr>MININT_4Q19</vt:lpstr>
      <vt:lpstr>Tags!MININT_4Q20</vt:lpstr>
      <vt:lpstr>MININT_4Q20</vt:lpstr>
      <vt:lpstr>MININT_4Q21</vt:lpstr>
      <vt:lpstr>MININT_4Q22</vt:lpstr>
      <vt:lpstr>MININT_4Q23</vt:lpstr>
      <vt:lpstr>MININT_4Q24</vt:lpstr>
      <vt:lpstr>MINOR_1995</vt:lpstr>
      <vt:lpstr>MINOR_1996</vt:lpstr>
      <vt:lpstr>MINOR_1997</vt:lpstr>
      <vt:lpstr>MINOR_1998</vt:lpstr>
      <vt:lpstr>MINOR_1999</vt:lpstr>
      <vt:lpstr>Tags!MINOR_1Q00</vt:lpstr>
      <vt:lpstr>MINOR_1Q00</vt:lpstr>
      <vt:lpstr>Tags!MINOR_1Q01</vt:lpstr>
      <vt:lpstr>MINOR_1Q01</vt:lpstr>
      <vt:lpstr>Tags!MINOR_1Q02</vt:lpstr>
      <vt:lpstr>MINOR_1Q02</vt:lpstr>
      <vt:lpstr>Tags!MINOR_1Q03</vt:lpstr>
      <vt:lpstr>MINOR_1Q03</vt:lpstr>
      <vt:lpstr>Tags!MINOR_1Q04</vt:lpstr>
      <vt:lpstr>MINOR_1Q04</vt:lpstr>
      <vt:lpstr>Tags!MINOR_1Q05</vt:lpstr>
      <vt:lpstr>MINOR_1Q05</vt:lpstr>
      <vt:lpstr>Tags!MINOR_1Q06</vt:lpstr>
      <vt:lpstr>MINOR_1Q06</vt:lpstr>
      <vt:lpstr>Tags!MINOR_1Q07</vt:lpstr>
      <vt:lpstr>MINOR_1Q07</vt:lpstr>
      <vt:lpstr>Tags!MINOR_1Q08</vt:lpstr>
      <vt:lpstr>MINOR_1Q08</vt:lpstr>
      <vt:lpstr>Tags!MINOR_1Q09</vt:lpstr>
      <vt:lpstr>MINOR_1Q09</vt:lpstr>
      <vt:lpstr>Tags!MINOR_1Q10</vt:lpstr>
      <vt:lpstr>MINOR_1Q10</vt:lpstr>
      <vt:lpstr>Tags!MINOR_1Q11</vt:lpstr>
      <vt:lpstr>MINOR_1Q11</vt:lpstr>
      <vt:lpstr>Tags!MINOR_1Q12</vt:lpstr>
      <vt:lpstr>MINOR_1Q12</vt:lpstr>
      <vt:lpstr>Tags!MINOR_1Q13</vt:lpstr>
      <vt:lpstr>MINOR_1Q13</vt:lpstr>
      <vt:lpstr>Tags!MINOR_1Q14</vt:lpstr>
      <vt:lpstr>MINOR_1Q14</vt:lpstr>
      <vt:lpstr>Tags!MINOR_1Q15</vt:lpstr>
      <vt:lpstr>MINOR_1Q15</vt:lpstr>
      <vt:lpstr>Tags!MINOR_1Q16</vt:lpstr>
      <vt:lpstr>MINOR_1Q16</vt:lpstr>
      <vt:lpstr>Tags!MINOR_1Q17</vt:lpstr>
      <vt:lpstr>MINOR_1Q17</vt:lpstr>
      <vt:lpstr>Tags!MINOR_1Q18</vt:lpstr>
      <vt:lpstr>MINOR_1Q18</vt:lpstr>
      <vt:lpstr>Tags!MINOR_1Q19</vt:lpstr>
      <vt:lpstr>MINOR_1Q19</vt:lpstr>
      <vt:lpstr>Tags!MINOR_1Q20</vt:lpstr>
      <vt:lpstr>MINOR_1Q20</vt:lpstr>
      <vt:lpstr>MINOR_1Q21</vt:lpstr>
      <vt:lpstr>MINOR_1Q22</vt:lpstr>
      <vt:lpstr>MINOR_1Q23</vt:lpstr>
      <vt:lpstr>MINOR_1Q24</vt:lpstr>
      <vt:lpstr>Tags!MINOR_2000</vt:lpstr>
      <vt:lpstr>MINOR_2000</vt:lpstr>
      <vt:lpstr>Tags!MINOR_2001</vt:lpstr>
      <vt:lpstr>MINOR_2001</vt:lpstr>
      <vt:lpstr>Tags!MINOR_2002</vt:lpstr>
      <vt:lpstr>MINOR_2002</vt:lpstr>
      <vt:lpstr>Tags!MINOR_2003</vt:lpstr>
      <vt:lpstr>MINOR_2003</vt:lpstr>
      <vt:lpstr>Tags!MINOR_2004</vt:lpstr>
      <vt:lpstr>MINOR_2004</vt:lpstr>
      <vt:lpstr>Tags!MINOR_2005</vt:lpstr>
      <vt:lpstr>MINOR_2005</vt:lpstr>
      <vt:lpstr>Tags!MINOR_2006</vt:lpstr>
      <vt:lpstr>MINOR_2006</vt:lpstr>
      <vt:lpstr>Tags!MINOR_2007</vt:lpstr>
      <vt:lpstr>MINOR_2007</vt:lpstr>
      <vt:lpstr>Tags!MINOR_2008</vt:lpstr>
      <vt:lpstr>MINOR_2008</vt:lpstr>
      <vt:lpstr>Tags!MINOR_2009</vt:lpstr>
      <vt:lpstr>MINOR_2009</vt:lpstr>
      <vt:lpstr>Tags!MINOR_2010</vt:lpstr>
      <vt:lpstr>MINOR_2010</vt:lpstr>
      <vt:lpstr>Tags!MINOR_2011</vt:lpstr>
      <vt:lpstr>MINOR_2011</vt:lpstr>
      <vt:lpstr>Tags!MINOR_2012</vt:lpstr>
      <vt:lpstr>MINOR_2012</vt:lpstr>
      <vt:lpstr>Tags!MINOR_2013</vt:lpstr>
      <vt:lpstr>MINOR_2013</vt:lpstr>
      <vt:lpstr>Tags!MINOR_2014</vt:lpstr>
      <vt:lpstr>MINOR_2014</vt:lpstr>
      <vt:lpstr>MINOR_2015</vt:lpstr>
      <vt:lpstr>Tags!MINOR_2016</vt:lpstr>
      <vt:lpstr>MINOR_2016</vt:lpstr>
      <vt:lpstr>Tags!MINOR_2017</vt:lpstr>
      <vt:lpstr>MINOR_2017</vt:lpstr>
      <vt:lpstr>Tags!MINOR_2018</vt:lpstr>
      <vt:lpstr>MINOR_2018</vt:lpstr>
      <vt:lpstr>Tags!MINOR_2019</vt:lpstr>
      <vt:lpstr>MINOR_2019</vt:lpstr>
      <vt:lpstr>Tags!MINOR_2020</vt:lpstr>
      <vt:lpstr>MINOR_2020</vt:lpstr>
      <vt:lpstr>MINOR_2021</vt:lpstr>
      <vt:lpstr>MINOR_2022</vt:lpstr>
      <vt:lpstr>MINOR_2023</vt:lpstr>
      <vt:lpstr>MINOR_2024</vt:lpstr>
      <vt:lpstr>Tags!MINOR_2Q00</vt:lpstr>
      <vt:lpstr>MINOR_2Q00</vt:lpstr>
      <vt:lpstr>Tags!MINOR_2Q01</vt:lpstr>
      <vt:lpstr>MINOR_2Q01</vt:lpstr>
      <vt:lpstr>Tags!MINOR_2Q02</vt:lpstr>
      <vt:lpstr>MINOR_2Q02</vt:lpstr>
      <vt:lpstr>Tags!MINOR_2Q03</vt:lpstr>
      <vt:lpstr>MINOR_2Q03</vt:lpstr>
      <vt:lpstr>Tags!MINOR_2Q04</vt:lpstr>
      <vt:lpstr>MINOR_2Q04</vt:lpstr>
      <vt:lpstr>Tags!MINOR_2Q05</vt:lpstr>
      <vt:lpstr>MINOR_2Q05</vt:lpstr>
      <vt:lpstr>Tags!MINOR_2Q06</vt:lpstr>
      <vt:lpstr>MINOR_2Q06</vt:lpstr>
      <vt:lpstr>Tags!MINOR_2Q07</vt:lpstr>
      <vt:lpstr>MINOR_2Q07</vt:lpstr>
      <vt:lpstr>Tags!MINOR_2Q08</vt:lpstr>
      <vt:lpstr>MINOR_2Q08</vt:lpstr>
      <vt:lpstr>Tags!MINOR_2Q09</vt:lpstr>
      <vt:lpstr>MINOR_2Q09</vt:lpstr>
      <vt:lpstr>Tags!MINOR_2Q10</vt:lpstr>
      <vt:lpstr>MINOR_2Q10</vt:lpstr>
      <vt:lpstr>Tags!MINOR_2Q11</vt:lpstr>
      <vt:lpstr>MINOR_2Q11</vt:lpstr>
      <vt:lpstr>Tags!MINOR_2Q12</vt:lpstr>
      <vt:lpstr>MINOR_2Q12</vt:lpstr>
      <vt:lpstr>Tags!MINOR_2Q13</vt:lpstr>
      <vt:lpstr>MINOR_2Q13</vt:lpstr>
      <vt:lpstr>Tags!MINOR_2Q14</vt:lpstr>
      <vt:lpstr>MINOR_2Q14</vt:lpstr>
      <vt:lpstr>Tags!MINOR_2Q15</vt:lpstr>
      <vt:lpstr>MINOR_2Q15</vt:lpstr>
      <vt:lpstr>Tags!MINOR_2Q16</vt:lpstr>
      <vt:lpstr>MINOR_2Q16</vt:lpstr>
      <vt:lpstr>Tags!MINOR_2Q17</vt:lpstr>
      <vt:lpstr>MINOR_2Q17</vt:lpstr>
      <vt:lpstr>Tags!MINOR_2Q18</vt:lpstr>
      <vt:lpstr>MINOR_2Q18</vt:lpstr>
      <vt:lpstr>Tags!MINOR_2Q19</vt:lpstr>
      <vt:lpstr>MINOR_2Q19</vt:lpstr>
      <vt:lpstr>Tags!MINOR_2Q20</vt:lpstr>
      <vt:lpstr>MINOR_2Q20</vt:lpstr>
      <vt:lpstr>MINOR_2Q21</vt:lpstr>
      <vt:lpstr>MINOR_2Q22</vt:lpstr>
      <vt:lpstr>MINOR_2Q23</vt:lpstr>
      <vt:lpstr>MINOR_2Q24</vt:lpstr>
      <vt:lpstr>Tags!MINOR_3Q00</vt:lpstr>
      <vt:lpstr>MINOR_3Q00</vt:lpstr>
      <vt:lpstr>Tags!MINOR_3Q01</vt:lpstr>
      <vt:lpstr>MINOR_3Q01</vt:lpstr>
      <vt:lpstr>Tags!MINOR_3Q02</vt:lpstr>
      <vt:lpstr>MINOR_3Q02</vt:lpstr>
      <vt:lpstr>Tags!MINOR_3Q03</vt:lpstr>
      <vt:lpstr>MINOR_3Q03</vt:lpstr>
      <vt:lpstr>Tags!MINOR_3Q04</vt:lpstr>
      <vt:lpstr>MINOR_3Q04</vt:lpstr>
      <vt:lpstr>Tags!MINOR_3Q05</vt:lpstr>
      <vt:lpstr>MINOR_3Q05</vt:lpstr>
      <vt:lpstr>Tags!MINOR_3Q06</vt:lpstr>
      <vt:lpstr>MINOR_3Q06</vt:lpstr>
      <vt:lpstr>Tags!MINOR_3Q07</vt:lpstr>
      <vt:lpstr>MINOR_3Q07</vt:lpstr>
      <vt:lpstr>Tags!MINOR_3Q08</vt:lpstr>
      <vt:lpstr>MINOR_3Q08</vt:lpstr>
      <vt:lpstr>Tags!MINOR_3Q09</vt:lpstr>
      <vt:lpstr>MINOR_3Q09</vt:lpstr>
      <vt:lpstr>Tags!MINOR_3Q10</vt:lpstr>
      <vt:lpstr>MINOR_3Q10</vt:lpstr>
      <vt:lpstr>Tags!MINOR_3Q11</vt:lpstr>
      <vt:lpstr>MINOR_3Q11</vt:lpstr>
      <vt:lpstr>Tags!MINOR_3Q12</vt:lpstr>
      <vt:lpstr>MINOR_3Q12</vt:lpstr>
      <vt:lpstr>Tags!MINOR_3Q13</vt:lpstr>
      <vt:lpstr>MINOR_3Q13</vt:lpstr>
      <vt:lpstr>Tags!MINOR_3Q14</vt:lpstr>
      <vt:lpstr>MINOR_3Q14</vt:lpstr>
      <vt:lpstr>Tags!MINOR_3Q15</vt:lpstr>
      <vt:lpstr>MINOR_3Q15</vt:lpstr>
      <vt:lpstr>Tags!MINOR_3Q16</vt:lpstr>
      <vt:lpstr>MINOR_3Q16</vt:lpstr>
      <vt:lpstr>Tags!MINOR_3Q17</vt:lpstr>
      <vt:lpstr>MINOR_3Q17</vt:lpstr>
      <vt:lpstr>Tags!MINOR_3Q18</vt:lpstr>
      <vt:lpstr>MINOR_3Q18</vt:lpstr>
      <vt:lpstr>Tags!MINOR_3Q19</vt:lpstr>
      <vt:lpstr>MINOR_3Q19</vt:lpstr>
      <vt:lpstr>Tags!MINOR_3Q20</vt:lpstr>
      <vt:lpstr>MINOR_3Q20</vt:lpstr>
      <vt:lpstr>MINOR_3Q21</vt:lpstr>
      <vt:lpstr>MINOR_3Q22</vt:lpstr>
      <vt:lpstr>MINOR_3Q23</vt:lpstr>
      <vt:lpstr>MINOR_3Q24</vt:lpstr>
      <vt:lpstr>Tags!MINOR_4Q00</vt:lpstr>
      <vt:lpstr>MINOR_4Q00</vt:lpstr>
      <vt:lpstr>Tags!MINOR_4Q01</vt:lpstr>
      <vt:lpstr>MINOR_4Q01</vt:lpstr>
      <vt:lpstr>Tags!MINOR_4Q02</vt:lpstr>
      <vt:lpstr>MINOR_4Q02</vt:lpstr>
      <vt:lpstr>Tags!MINOR_4Q03</vt:lpstr>
      <vt:lpstr>MINOR_4Q03</vt:lpstr>
      <vt:lpstr>Tags!MINOR_4Q04</vt:lpstr>
      <vt:lpstr>MINOR_4Q04</vt:lpstr>
      <vt:lpstr>Tags!MINOR_4Q05</vt:lpstr>
      <vt:lpstr>MINOR_4Q05</vt:lpstr>
      <vt:lpstr>Tags!MINOR_4Q06</vt:lpstr>
      <vt:lpstr>MINOR_4Q06</vt:lpstr>
      <vt:lpstr>Tags!MINOR_4Q07</vt:lpstr>
      <vt:lpstr>MINOR_4Q07</vt:lpstr>
      <vt:lpstr>Tags!MINOR_4Q08</vt:lpstr>
      <vt:lpstr>MINOR_4Q08</vt:lpstr>
      <vt:lpstr>Tags!MINOR_4Q09</vt:lpstr>
      <vt:lpstr>MINOR_4Q09</vt:lpstr>
      <vt:lpstr>Tags!MINOR_4Q10</vt:lpstr>
      <vt:lpstr>MINOR_4Q10</vt:lpstr>
      <vt:lpstr>Tags!MINOR_4Q11</vt:lpstr>
      <vt:lpstr>MINOR_4Q11</vt:lpstr>
      <vt:lpstr>Tags!MINOR_4Q12</vt:lpstr>
      <vt:lpstr>MINOR_4Q12</vt:lpstr>
      <vt:lpstr>Tags!MINOR_4Q13</vt:lpstr>
      <vt:lpstr>MINOR_4Q13</vt:lpstr>
      <vt:lpstr>Tags!MINOR_4Q14</vt:lpstr>
      <vt:lpstr>MINOR_4Q14</vt:lpstr>
      <vt:lpstr>Tags!MINOR_4Q15</vt:lpstr>
      <vt:lpstr>MINOR_4Q15</vt:lpstr>
      <vt:lpstr>Tags!MINOR_4Q16</vt:lpstr>
      <vt:lpstr>MINOR_4Q16</vt:lpstr>
      <vt:lpstr>Tags!MINOR_4Q17</vt:lpstr>
      <vt:lpstr>MINOR_4Q17</vt:lpstr>
      <vt:lpstr>Tags!MINOR_4Q18</vt:lpstr>
      <vt:lpstr>MINOR_4Q18</vt:lpstr>
      <vt:lpstr>Tags!MINOR_4Q19</vt:lpstr>
      <vt:lpstr>MINOR_4Q19</vt:lpstr>
      <vt:lpstr>Tags!MINOR_4Q20</vt:lpstr>
      <vt:lpstr>MINOR_4Q20</vt:lpstr>
      <vt:lpstr>MINOR_4Q21</vt:lpstr>
      <vt:lpstr>MINOR_4Q22</vt:lpstr>
      <vt:lpstr>MINOR_4Q23</vt:lpstr>
      <vt:lpstr>MINOR_4Q24</vt:lpstr>
      <vt:lpstr>NAV_1995</vt:lpstr>
      <vt:lpstr>NAV_1996</vt:lpstr>
      <vt:lpstr>NAV_1997</vt:lpstr>
      <vt:lpstr>NAV_1998</vt:lpstr>
      <vt:lpstr>NAV_1999</vt:lpstr>
      <vt:lpstr>Tags!NAV_1Q00</vt:lpstr>
      <vt:lpstr>NAV_1Q00</vt:lpstr>
      <vt:lpstr>Tags!NAV_1Q01</vt:lpstr>
      <vt:lpstr>NAV_1Q01</vt:lpstr>
      <vt:lpstr>Tags!NAV_1Q02</vt:lpstr>
      <vt:lpstr>NAV_1Q02</vt:lpstr>
      <vt:lpstr>Tags!NAV_1Q03</vt:lpstr>
      <vt:lpstr>NAV_1Q03</vt:lpstr>
      <vt:lpstr>Tags!NAV_1Q04</vt:lpstr>
      <vt:lpstr>NAV_1Q04</vt:lpstr>
      <vt:lpstr>Tags!NAV_1Q05</vt:lpstr>
      <vt:lpstr>NAV_1Q05</vt:lpstr>
      <vt:lpstr>Tags!NAV_1Q06</vt:lpstr>
      <vt:lpstr>NAV_1Q06</vt:lpstr>
      <vt:lpstr>Tags!NAV_1Q07</vt:lpstr>
      <vt:lpstr>NAV_1Q07</vt:lpstr>
      <vt:lpstr>Tags!NAV_1Q08</vt:lpstr>
      <vt:lpstr>NAV_1Q08</vt:lpstr>
      <vt:lpstr>Tags!NAV_1Q09</vt:lpstr>
      <vt:lpstr>NAV_1Q09</vt:lpstr>
      <vt:lpstr>Tags!NAV_1Q10</vt:lpstr>
      <vt:lpstr>NAV_1Q10</vt:lpstr>
      <vt:lpstr>Tags!NAV_1Q11</vt:lpstr>
      <vt:lpstr>NAV_1Q11</vt:lpstr>
      <vt:lpstr>Tags!NAV_1Q12</vt:lpstr>
      <vt:lpstr>NAV_1Q12</vt:lpstr>
      <vt:lpstr>Tags!NAV_1Q13</vt:lpstr>
      <vt:lpstr>NAV_1Q13</vt:lpstr>
      <vt:lpstr>Tags!NAV_1Q14</vt:lpstr>
      <vt:lpstr>NAV_1Q14</vt:lpstr>
      <vt:lpstr>Tags!NAV_1Q15</vt:lpstr>
      <vt:lpstr>NAV_1Q15</vt:lpstr>
      <vt:lpstr>Tags!NAV_1Q16</vt:lpstr>
      <vt:lpstr>NAV_1Q16</vt:lpstr>
      <vt:lpstr>Tags!NAV_1Q17</vt:lpstr>
      <vt:lpstr>NAV_1Q17</vt:lpstr>
      <vt:lpstr>Tags!NAV_1Q18</vt:lpstr>
      <vt:lpstr>NAV_1Q18</vt:lpstr>
      <vt:lpstr>Tags!NAV_1Q19</vt:lpstr>
      <vt:lpstr>NAV_1Q19</vt:lpstr>
      <vt:lpstr>Tags!NAV_1Q20</vt:lpstr>
      <vt:lpstr>NAV_1Q20</vt:lpstr>
      <vt:lpstr>NAV_1Q21</vt:lpstr>
      <vt:lpstr>NAV_1Q22</vt:lpstr>
      <vt:lpstr>NAV_1Q23</vt:lpstr>
      <vt:lpstr>NAV_1Q24</vt:lpstr>
      <vt:lpstr>Tags!NAV_2000</vt:lpstr>
      <vt:lpstr>NAV_2000</vt:lpstr>
      <vt:lpstr>Tags!NAV_2001</vt:lpstr>
      <vt:lpstr>NAV_2001</vt:lpstr>
      <vt:lpstr>Tags!NAV_2002</vt:lpstr>
      <vt:lpstr>NAV_2002</vt:lpstr>
      <vt:lpstr>Tags!NAV_2003</vt:lpstr>
      <vt:lpstr>NAV_2003</vt:lpstr>
      <vt:lpstr>Tags!NAV_2004</vt:lpstr>
      <vt:lpstr>NAV_2004</vt:lpstr>
      <vt:lpstr>Tags!NAV_2005</vt:lpstr>
      <vt:lpstr>NAV_2005</vt:lpstr>
      <vt:lpstr>Tags!NAV_2006</vt:lpstr>
      <vt:lpstr>NAV_2006</vt:lpstr>
      <vt:lpstr>Tags!NAV_2007</vt:lpstr>
      <vt:lpstr>NAV_2007</vt:lpstr>
      <vt:lpstr>Tags!NAV_2008</vt:lpstr>
      <vt:lpstr>NAV_2008</vt:lpstr>
      <vt:lpstr>Tags!NAV_2009</vt:lpstr>
      <vt:lpstr>NAV_2009</vt:lpstr>
      <vt:lpstr>Tags!NAV_2010</vt:lpstr>
      <vt:lpstr>NAV_2010</vt:lpstr>
      <vt:lpstr>Tags!NAV_2011</vt:lpstr>
      <vt:lpstr>NAV_2011</vt:lpstr>
      <vt:lpstr>Tags!NAV_2012</vt:lpstr>
      <vt:lpstr>NAV_2012</vt:lpstr>
      <vt:lpstr>Tags!NAV_2013</vt:lpstr>
      <vt:lpstr>NAV_2013</vt:lpstr>
      <vt:lpstr>Tags!NAV_2014</vt:lpstr>
      <vt:lpstr>NAV_2014</vt:lpstr>
      <vt:lpstr>NAV_2015</vt:lpstr>
      <vt:lpstr>Tags!NAV_2016</vt:lpstr>
      <vt:lpstr>NAV_2016</vt:lpstr>
      <vt:lpstr>Tags!NAV_2017</vt:lpstr>
      <vt:lpstr>NAV_2017</vt:lpstr>
      <vt:lpstr>Tags!NAV_2018</vt:lpstr>
      <vt:lpstr>NAV_2018</vt:lpstr>
      <vt:lpstr>Tags!NAV_2019</vt:lpstr>
      <vt:lpstr>NAV_2019</vt:lpstr>
      <vt:lpstr>Tags!NAV_2020</vt:lpstr>
      <vt:lpstr>NAV_2020</vt:lpstr>
      <vt:lpstr>NAV_2021</vt:lpstr>
      <vt:lpstr>NAV_2022</vt:lpstr>
      <vt:lpstr>NAV_2023</vt:lpstr>
      <vt:lpstr>NAV_2024</vt:lpstr>
      <vt:lpstr>Tags!NAV_2Q00</vt:lpstr>
      <vt:lpstr>NAV_2Q00</vt:lpstr>
      <vt:lpstr>Tags!NAV_2Q01</vt:lpstr>
      <vt:lpstr>NAV_2Q01</vt:lpstr>
      <vt:lpstr>Tags!NAV_2Q02</vt:lpstr>
      <vt:lpstr>NAV_2Q02</vt:lpstr>
      <vt:lpstr>Tags!NAV_2Q03</vt:lpstr>
      <vt:lpstr>NAV_2Q03</vt:lpstr>
      <vt:lpstr>Tags!NAV_2Q04</vt:lpstr>
      <vt:lpstr>NAV_2Q04</vt:lpstr>
      <vt:lpstr>Tags!NAV_2Q05</vt:lpstr>
      <vt:lpstr>NAV_2Q05</vt:lpstr>
      <vt:lpstr>Tags!NAV_2Q06</vt:lpstr>
      <vt:lpstr>NAV_2Q06</vt:lpstr>
      <vt:lpstr>Tags!NAV_2Q07</vt:lpstr>
      <vt:lpstr>NAV_2Q07</vt:lpstr>
      <vt:lpstr>Tags!NAV_2Q08</vt:lpstr>
      <vt:lpstr>NAV_2Q08</vt:lpstr>
      <vt:lpstr>Tags!NAV_2Q09</vt:lpstr>
      <vt:lpstr>NAV_2Q09</vt:lpstr>
      <vt:lpstr>Tags!NAV_2Q10</vt:lpstr>
      <vt:lpstr>NAV_2Q10</vt:lpstr>
      <vt:lpstr>Tags!NAV_2Q11</vt:lpstr>
      <vt:lpstr>NAV_2Q11</vt:lpstr>
      <vt:lpstr>Tags!NAV_2Q12</vt:lpstr>
      <vt:lpstr>NAV_2Q12</vt:lpstr>
      <vt:lpstr>Tags!NAV_2Q13</vt:lpstr>
      <vt:lpstr>NAV_2Q13</vt:lpstr>
      <vt:lpstr>Tags!NAV_2Q14</vt:lpstr>
      <vt:lpstr>NAV_2Q14</vt:lpstr>
      <vt:lpstr>Tags!NAV_2Q15</vt:lpstr>
      <vt:lpstr>NAV_2Q15</vt:lpstr>
      <vt:lpstr>Tags!NAV_2Q16</vt:lpstr>
      <vt:lpstr>NAV_2Q16</vt:lpstr>
      <vt:lpstr>Tags!NAV_2Q17</vt:lpstr>
      <vt:lpstr>NAV_2Q17</vt:lpstr>
      <vt:lpstr>Tags!NAV_2Q18</vt:lpstr>
      <vt:lpstr>NAV_2Q18</vt:lpstr>
      <vt:lpstr>Tags!NAV_2Q19</vt:lpstr>
      <vt:lpstr>NAV_2Q19</vt:lpstr>
      <vt:lpstr>Tags!NAV_2Q20</vt:lpstr>
      <vt:lpstr>NAV_2Q20</vt:lpstr>
      <vt:lpstr>NAV_2Q21</vt:lpstr>
      <vt:lpstr>NAV_2Q22</vt:lpstr>
      <vt:lpstr>NAV_2Q23</vt:lpstr>
      <vt:lpstr>NAV_2Q24</vt:lpstr>
      <vt:lpstr>Tags!NAV_3Q00</vt:lpstr>
      <vt:lpstr>NAV_3Q00</vt:lpstr>
      <vt:lpstr>Tags!NAV_3Q01</vt:lpstr>
      <vt:lpstr>NAV_3Q01</vt:lpstr>
      <vt:lpstr>Tags!NAV_3Q02</vt:lpstr>
      <vt:lpstr>NAV_3Q02</vt:lpstr>
      <vt:lpstr>Tags!NAV_3Q03</vt:lpstr>
      <vt:lpstr>NAV_3Q03</vt:lpstr>
      <vt:lpstr>Tags!NAV_3Q04</vt:lpstr>
      <vt:lpstr>NAV_3Q04</vt:lpstr>
      <vt:lpstr>Tags!NAV_3Q05</vt:lpstr>
      <vt:lpstr>NAV_3Q05</vt:lpstr>
      <vt:lpstr>Tags!NAV_3Q06</vt:lpstr>
      <vt:lpstr>NAV_3Q06</vt:lpstr>
      <vt:lpstr>Tags!NAV_3Q07</vt:lpstr>
      <vt:lpstr>NAV_3Q07</vt:lpstr>
      <vt:lpstr>Tags!NAV_3Q08</vt:lpstr>
      <vt:lpstr>NAV_3Q08</vt:lpstr>
      <vt:lpstr>Tags!NAV_3Q09</vt:lpstr>
      <vt:lpstr>NAV_3Q09</vt:lpstr>
      <vt:lpstr>Tags!NAV_3Q10</vt:lpstr>
      <vt:lpstr>NAV_3Q10</vt:lpstr>
      <vt:lpstr>Tags!NAV_3Q11</vt:lpstr>
      <vt:lpstr>NAV_3Q11</vt:lpstr>
      <vt:lpstr>Tags!NAV_3Q12</vt:lpstr>
      <vt:lpstr>NAV_3Q12</vt:lpstr>
      <vt:lpstr>Tags!NAV_3Q13</vt:lpstr>
      <vt:lpstr>NAV_3Q13</vt:lpstr>
      <vt:lpstr>Tags!NAV_3Q14</vt:lpstr>
      <vt:lpstr>NAV_3Q14</vt:lpstr>
      <vt:lpstr>Tags!NAV_3Q15</vt:lpstr>
      <vt:lpstr>NAV_3Q15</vt:lpstr>
      <vt:lpstr>Tags!NAV_3Q16</vt:lpstr>
      <vt:lpstr>NAV_3Q16</vt:lpstr>
      <vt:lpstr>Tags!NAV_3Q17</vt:lpstr>
      <vt:lpstr>NAV_3Q17</vt:lpstr>
      <vt:lpstr>Tags!NAV_3Q18</vt:lpstr>
      <vt:lpstr>NAV_3Q18</vt:lpstr>
      <vt:lpstr>Tags!NAV_3Q19</vt:lpstr>
      <vt:lpstr>NAV_3Q19</vt:lpstr>
      <vt:lpstr>Tags!NAV_3Q20</vt:lpstr>
      <vt:lpstr>NAV_3Q20</vt:lpstr>
      <vt:lpstr>NAV_3Q21</vt:lpstr>
      <vt:lpstr>NAV_3Q22</vt:lpstr>
      <vt:lpstr>NAV_3Q23</vt:lpstr>
      <vt:lpstr>NAV_3Q24</vt:lpstr>
      <vt:lpstr>Tags!NAV_4Q00</vt:lpstr>
      <vt:lpstr>NAV_4Q00</vt:lpstr>
      <vt:lpstr>Tags!NAV_4Q01</vt:lpstr>
      <vt:lpstr>NAV_4Q01</vt:lpstr>
      <vt:lpstr>Tags!NAV_4Q02</vt:lpstr>
      <vt:lpstr>NAV_4Q02</vt:lpstr>
      <vt:lpstr>Tags!NAV_4Q03</vt:lpstr>
      <vt:lpstr>NAV_4Q03</vt:lpstr>
      <vt:lpstr>Tags!NAV_4Q04</vt:lpstr>
      <vt:lpstr>NAV_4Q04</vt:lpstr>
      <vt:lpstr>Tags!NAV_4Q05</vt:lpstr>
      <vt:lpstr>NAV_4Q05</vt:lpstr>
      <vt:lpstr>Tags!NAV_4Q06</vt:lpstr>
      <vt:lpstr>NAV_4Q06</vt:lpstr>
      <vt:lpstr>Tags!NAV_4Q07</vt:lpstr>
      <vt:lpstr>NAV_4Q07</vt:lpstr>
      <vt:lpstr>Tags!NAV_4Q08</vt:lpstr>
      <vt:lpstr>NAV_4Q08</vt:lpstr>
      <vt:lpstr>Tags!NAV_4Q09</vt:lpstr>
      <vt:lpstr>NAV_4Q09</vt:lpstr>
      <vt:lpstr>Tags!NAV_4Q10</vt:lpstr>
      <vt:lpstr>NAV_4Q10</vt:lpstr>
      <vt:lpstr>Tags!NAV_4Q11</vt:lpstr>
      <vt:lpstr>NAV_4Q11</vt:lpstr>
      <vt:lpstr>Tags!NAV_4Q12</vt:lpstr>
      <vt:lpstr>NAV_4Q12</vt:lpstr>
      <vt:lpstr>Tags!NAV_4Q13</vt:lpstr>
      <vt:lpstr>NAV_4Q13</vt:lpstr>
      <vt:lpstr>Tags!NAV_4Q14</vt:lpstr>
      <vt:lpstr>NAV_4Q14</vt:lpstr>
      <vt:lpstr>Tags!NAV_4Q15</vt:lpstr>
      <vt:lpstr>NAV_4Q15</vt:lpstr>
      <vt:lpstr>Tags!NAV_4Q16</vt:lpstr>
      <vt:lpstr>NAV_4Q16</vt:lpstr>
      <vt:lpstr>Tags!NAV_4Q17</vt:lpstr>
      <vt:lpstr>NAV_4Q17</vt:lpstr>
      <vt:lpstr>Tags!NAV_4Q18</vt:lpstr>
      <vt:lpstr>NAV_4Q18</vt:lpstr>
      <vt:lpstr>Tags!NAV_4Q19</vt:lpstr>
      <vt:lpstr>NAV_4Q19</vt:lpstr>
      <vt:lpstr>Tags!NAV_4Q20</vt:lpstr>
      <vt:lpstr>NAV_4Q20</vt:lpstr>
      <vt:lpstr>NAV_4Q21</vt:lpstr>
      <vt:lpstr>NAV_4Q22</vt:lpstr>
      <vt:lpstr>NAV_4Q23</vt:lpstr>
      <vt:lpstr>NAV_4Q24</vt:lpstr>
      <vt:lpstr>NCACQS_1995</vt:lpstr>
      <vt:lpstr>NCACQS_1996</vt:lpstr>
      <vt:lpstr>NCACQS_1997</vt:lpstr>
      <vt:lpstr>NCACQS_1998</vt:lpstr>
      <vt:lpstr>NCACQS_1999</vt:lpstr>
      <vt:lpstr>Tags!NCACQS_1Q00</vt:lpstr>
      <vt:lpstr>NCACQS_1Q00</vt:lpstr>
      <vt:lpstr>Tags!NCACQS_1Q01</vt:lpstr>
      <vt:lpstr>NCACQS_1Q01</vt:lpstr>
      <vt:lpstr>Tags!NCACQS_1Q02</vt:lpstr>
      <vt:lpstr>NCACQS_1Q02</vt:lpstr>
      <vt:lpstr>Tags!NCACQS_1Q03</vt:lpstr>
      <vt:lpstr>NCACQS_1Q03</vt:lpstr>
      <vt:lpstr>Tags!NCACQS_1Q04</vt:lpstr>
      <vt:lpstr>NCACQS_1Q04</vt:lpstr>
      <vt:lpstr>Tags!NCACQS_1Q05</vt:lpstr>
      <vt:lpstr>NCACQS_1Q05</vt:lpstr>
      <vt:lpstr>Tags!NCACQS_1Q06</vt:lpstr>
      <vt:lpstr>NCACQS_1Q06</vt:lpstr>
      <vt:lpstr>Tags!NCACQS_1Q07</vt:lpstr>
      <vt:lpstr>NCACQS_1Q07</vt:lpstr>
      <vt:lpstr>Tags!NCACQS_1Q08</vt:lpstr>
      <vt:lpstr>NCACQS_1Q08</vt:lpstr>
      <vt:lpstr>Tags!NCACQS_1Q09</vt:lpstr>
      <vt:lpstr>NCACQS_1Q09</vt:lpstr>
      <vt:lpstr>Tags!NCACQS_1Q10</vt:lpstr>
      <vt:lpstr>NCACQS_1Q10</vt:lpstr>
      <vt:lpstr>Tags!NCACQS_1Q11</vt:lpstr>
      <vt:lpstr>NCACQS_1Q11</vt:lpstr>
      <vt:lpstr>Tags!NCACQS_1Q12</vt:lpstr>
      <vt:lpstr>NCACQS_1Q12</vt:lpstr>
      <vt:lpstr>Tags!NCACQS_1Q13</vt:lpstr>
      <vt:lpstr>NCACQS_1Q13</vt:lpstr>
      <vt:lpstr>Tags!NCACQS_1Q14</vt:lpstr>
      <vt:lpstr>NCACQS_1Q14</vt:lpstr>
      <vt:lpstr>Tags!NCACQS_1Q15</vt:lpstr>
      <vt:lpstr>NCACQS_1Q15</vt:lpstr>
      <vt:lpstr>Tags!NCACQS_1Q16</vt:lpstr>
      <vt:lpstr>NCACQS_1Q16</vt:lpstr>
      <vt:lpstr>Tags!NCACQS_1Q17</vt:lpstr>
      <vt:lpstr>NCACQS_1Q17</vt:lpstr>
      <vt:lpstr>Tags!NCACQS_1Q18</vt:lpstr>
      <vt:lpstr>NCACQS_1Q18</vt:lpstr>
      <vt:lpstr>Tags!NCACQS_1Q19</vt:lpstr>
      <vt:lpstr>NCACQS_1Q19</vt:lpstr>
      <vt:lpstr>Tags!NCACQS_1Q20</vt:lpstr>
      <vt:lpstr>NCACQS_1Q20</vt:lpstr>
      <vt:lpstr>NCACQS_1Q21</vt:lpstr>
      <vt:lpstr>NCACQS_1Q22</vt:lpstr>
      <vt:lpstr>NCACQS_1Q23</vt:lpstr>
      <vt:lpstr>NCACQS_1Q24</vt:lpstr>
      <vt:lpstr>Tags!NCACQS_2000</vt:lpstr>
      <vt:lpstr>NCACQS_2000</vt:lpstr>
      <vt:lpstr>Tags!NCACQS_2001</vt:lpstr>
      <vt:lpstr>NCACQS_2001</vt:lpstr>
      <vt:lpstr>Tags!NCACQS_2002</vt:lpstr>
      <vt:lpstr>NCACQS_2002</vt:lpstr>
      <vt:lpstr>Tags!NCACQS_2003</vt:lpstr>
      <vt:lpstr>NCACQS_2003</vt:lpstr>
      <vt:lpstr>Tags!NCACQS_2004</vt:lpstr>
      <vt:lpstr>NCACQS_2004</vt:lpstr>
      <vt:lpstr>Tags!NCACQS_2005</vt:lpstr>
      <vt:lpstr>NCACQS_2005</vt:lpstr>
      <vt:lpstr>Tags!NCACQS_2006</vt:lpstr>
      <vt:lpstr>NCACQS_2006</vt:lpstr>
      <vt:lpstr>Tags!NCACQS_2007</vt:lpstr>
      <vt:lpstr>NCACQS_2007</vt:lpstr>
      <vt:lpstr>Tags!NCACQS_2008</vt:lpstr>
      <vt:lpstr>NCACQS_2008</vt:lpstr>
      <vt:lpstr>Tags!NCACQS_2009</vt:lpstr>
      <vt:lpstr>NCACQS_2009</vt:lpstr>
      <vt:lpstr>Tags!NCACQS_2010</vt:lpstr>
      <vt:lpstr>NCACQS_2010</vt:lpstr>
      <vt:lpstr>Tags!NCACQS_2011</vt:lpstr>
      <vt:lpstr>NCACQS_2011</vt:lpstr>
      <vt:lpstr>Tags!NCACQS_2012</vt:lpstr>
      <vt:lpstr>NCACQS_2012</vt:lpstr>
      <vt:lpstr>Tags!NCACQS_2013</vt:lpstr>
      <vt:lpstr>NCACQS_2013</vt:lpstr>
      <vt:lpstr>Tags!NCACQS_2014</vt:lpstr>
      <vt:lpstr>NCACQS_2014</vt:lpstr>
      <vt:lpstr>NCACQS_2015</vt:lpstr>
      <vt:lpstr>Tags!NCACQS_2016</vt:lpstr>
      <vt:lpstr>NCACQS_2016</vt:lpstr>
      <vt:lpstr>Tags!NCACQS_2017</vt:lpstr>
      <vt:lpstr>NCACQS_2017</vt:lpstr>
      <vt:lpstr>Tags!NCACQS_2018</vt:lpstr>
      <vt:lpstr>NCACQS_2018</vt:lpstr>
      <vt:lpstr>Tags!NCACQS_2019</vt:lpstr>
      <vt:lpstr>NCACQS_2019</vt:lpstr>
      <vt:lpstr>Tags!NCACQS_2020</vt:lpstr>
      <vt:lpstr>NCACQS_2020</vt:lpstr>
      <vt:lpstr>NCACQS_2021</vt:lpstr>
      <vt:lpstr>NCACQS_2022</vt:lpstr>
      <vt:lpstr>NCACQS_2023</vt:lpstr>
      <vt:lpstr>NCACQS_2024</vt:lpstr>
      <vt:lpstr>Tags!NCACQS_2Q00</vt:lpstr>
      <vt:lpstr>NCACQS_2Q00</vt:lpstr>
      <vt:lpstr>Tags!NCACQS_2Q01</vt:lpstr>
      <vt:lpstr>NCACQS_2Q01</vt:lpstr>
      <vt:lpstr>Tags!NCACQS_2Q02</vt:lpstr>
      <vt:lpstr>NCACQS_2Q02</vt:lpstr>
      <vt:lpstr>Tags!NCACQS_2Q03</vt:lpstr>
      <vt:lpstr>NCACQS_2Q03</vt:lpstr>
      <vt:lpstr>Tags!NCACQS_2Q04</vt:lpstr>
      <vt:lpstr>NCACQS_2Q04</vt:lpstr>
      <vt:lpstr>Tags!NCACQS_2Q05</vt:lpstr>
      <vt:lpstr>NCACQS_2Q05</vt:lpstr>
      <vt:lpstr>Tags!NCACQS_2Q06</vt:lpstr>
      <vt:lpstr>NCACQS_2Q06</vt:lpstr>
      <vt:lpstr>Tags!NCACQS_2Q07</vt:lpstr>
      <vt:lpstr>NCACQS_2Q07</vt:lpstr>
      <vt:lpstr>Tags!NCACQS_2Q08</vt:lpstr>
      <vt:lpstr>NCACQS_2Q08</vt:lpstr>
      <vt:lpstr>Tags!NCACQS_2Q09</vt:lpstr>
      <vt:lpstr>NCACQS_2Q09</vt:lpstr>
      <vt:lpstr>Tags!NCACQS_2Q10</vt:lpstr>
      <vt:lpstr>NCACQS_2Q10</vt:lpstr>
      <vt:lpstr>Tags!NCACQS_2Q11</vt:lpstr>
      <vt:lpstr>NCACQS_2Q11</vt:lpstr>
      <vt:lpstr>Tags!NCACQS_2Q12</vt:lpstr>
      <vt:lpstr>NCACQS_2Q12</vt:lpstr>
      <vt:lpstr>Tags!NCACQS_2Q13</vt:lpstr>
      <vt:lpstr>NCACQS_2Q13</vt:lpstr>
      <vt:lpstr>Tags!NCACQS_2Q14</vt:lpstr>
      <vt:lpstr>NCACQS_2Q14</vt:lpstr>
      <vt:lpstr>Tags!NCACQS_2Q15</vt:lpstr>
      <vt:lpstr>NCACQS_2Q15</vt:lpstr>
      <vt:lpstr>Tags!NCACQS_2Q16</vt:lpstr>
      <vt:lpstr>NCACQS_2Q16</vt:lpstr>
      <vt:lpstr>Tags!NCACQS_2Q17</vt:lpstr>
      <vt:lpstr>NCACQS_2Q17</vt:lpstr>
      <vt:lpstr>Tags!NCACQS_2Q18</vt:lpstr>
      <vt:lpstr>NCACQS_2Q18</vt:lpstr>
      <vt:lpstr>Tags!NCACQS_2Q19</vt:lpstr>
      <vt:lpstr>NCACQS_2Q19</vt:lpstr>
      <vt:lpstr>Tags!NCACQS_2Q20</vt:lpstr>
      <vt:lpstr>NCACQS_2Q20</vt:lpstr>
      <vt:lpstr>NCACQS_2Q21</vt:lpstr>
      <vt:lpstr>NCACQS_2Q22</vt:lpstr>
      <vt:lpstr>NCACQS_2Q23</vt:lpstr>
      <vt:lpstr>NCACQS_2Q24</vt:lpstr>
      <vt:lpstr>Tags!NCACQS_3Q00</vt:lpstr>
      <vt:lpstr>NCACQS_3Q00</vt:lpstr>
      <vt:lpstr>Tags!NCACQS_3Q01</vt:lpstr>
      <vt:lpstr>NCACQS_3Q01</vt:lpstr>
      <vt:lpstr>Tags!NCACQS_3Q02</vt:lpstr>
      <vt:lpstr>NCACQS_3Q02</vt:lpstr>
      <vt:lpstr>Tags!NCACQS_3Q03</vt:lpstr>
      <vt:lpstr>NCACQS_3Q03</vt:lpstr>
      <vt:lpstr>Tags!NCACQS_3Q04</vt:lpstr>
      <vt:lpstr>NCACQS_3Q04</vt:lpstr>
      <vt:lpstr>Tags!NCACQS_3Q05</vt:lpstr>
      <vt:lpstr>NCACQS_3Q05</vt:lpstr>
      <vt:lpstr>Tags!NCACQS_3Q06</vt:lpstr>
      <vt:lpstr>NCACQS_3Q06</vt:lpstr>
      <vt:lpstr>Tags!NCACQS_3Q07</vt:lpstr>
      <vt:lpstr>NCACQS_3Q07</vt:lpstr>
      <vt:lpstr>Tags!NCACQS_3Q08</vt:lpstr>
      <vt:lpstr>NCACQS_3Q08</vt:lpstr>
      <vt:lpstr>Tags!NCACQS_3Q09</vt:lpstr>
      <vt:lpstr>NCACQS_3Q09</vt:lpstr>
      <vt:lpstr>Tags!NCACQS_3Q10</vt:lpstr>
      <vt:lpstr>NCACQS_3Q10</vt:lpstr>
      <vt:lpstr>Tags!NCACQS_3Q11</vt:lpstr>
      <vt:lpstr>NCACQS_3Q11</vt:lpstr>
      <vt:lpstr>Tags!NCACQS_3Q12</vt:lpstr>
      <vt:lpstr>NCACQS_3Q12</vt:lpstr>
      <vt:lpstr>Tags!NCACQS_3Q13</vt:lpstr>
      <vt:lpstr>NCACQS_3Q13</vt:lpstr>
      <vt:lpstr>Tags!NCACQS_3Q14</vt:lpstr>
      <vt:lpstr>NCACQS_3Q14</vt:lpstr>
      <vt:lpstr>Tags!NCACQS_3Q15</vt:lpstr>
      <vt:lpstr>NCACQS_3Q15</vt:lpstr>
      <vt:lpstr>Tags!NCACQS_3Q16</vt:lpstr>
      <vt:lpstr>NCACQS_3Q16</vt:lpstr>
      <vt:lpstr>Tags!NCACQS_3Q17</vt:lpstr>
      <vt:lpstr>NCACQS_3Q17</vt:lpstr>
      <vt:lpstr>Tags!NCACQS_3Q18</vt:lpstr>
      <vt:lpstr>NCACQS_3Q18</vt:lpstr>
      <vt:lpstr>Tags!NCACQS_3Q19</vt:lpstr>
      <vt:lpstr>NCACQS_3Q19</vt:lpstr>
      <vt:lpstr>Tags!NCACQS_3Q20</vt:lpstr>
      <vt:lpstr>NCACQS_3Q20</vt:lpstr>
      <vt:lpstr>NCACQS_3Q21</vt:lpstr>
      <vt:lpstr>NCACQS_3Q22</vt:lpstr>
      <vt:lpstr>NCACQS_3Q23</vt:lpstr>
      <vt:lpstr>NCACQS_3Q24</vt:lpstr>
      <vt:lpstr>Tags!NCACQS_4Q00</vt:lpstr>
      <vt:lpstr>NCACQS_4Q00</vt:lpstr>
      <vt:lpstr>Tags!NCACQS_4Q01</vt:lpstr>
      <vt:lpstr>NCACQS_4Q01</vt:lpstr>
      <vt:lpstr>Tags!NCACQS_4Q02</vt:lpstr>
      <vt:lpstr>NCACQS_4Q02</vt:lpstr>
      <vt:lpstr>Tags!NCACQS_4Q03</vt:lpstr>
      <vt:lpstr>NCACQS_4Q03</vt:lpstr>
      <vt:lpstr>Tags!NCACQS_4Q04</vt:lpstr>
      <vt:lpstr>NCACQS_4Q04</vt:lpstr>
      <vt:lpstr>Tags!NCACQS_4Q05</vt:lpstr>
      <vt:lpstr>NCACQS_4Q05</vt:lpstr>
      <vt:lpstr>Tags!NCACQS_4Q06</vt:lpstr>
      <vt:lpstr>NCACQS_4Q06</vt:lpstr>
      <vt:lpstr>Tags!NCACQS_4Q07</vt:lpstr>
      <vt:lpstr>NCACQS_4Q07</vt:lpstr>
      <vt:lpstr>Tags!NCACQS_4Q08</vt:lpstr>
      <vt:lpstr>NCACQS_4Q08</vt:lpstr>
      <vt:lpstr>Tags!NCACQS_4Q09</vt:lpstr>
      <vt:lpstr>NCACQS_4Q09</vt:lpstr>
      <vt:lpstr>Tags!NCACQS_4Q10</vt:lpstr>
      <vt:lpstr>NCACQS_4Q10</vt:lpstr>
      <vt:lpstr>Tags!NCACQS_4Q11</vt:lpstr>
      <vt:lpstr>NCACQS_4Q11</vt:lpstr>
      <vt:lpstr>Tags!NCACQS_4Q12</vt:lpstr>
      <vt:lpstr>NCACQS_4Q12</vt:lpstr>
      <vt:lpstr>Tags!NCACQS_4Q13</vt:lpstr>
      <vt:lpstr>NCACQS_4Q13</vt:lpstr>
      <vt:lpstr>Tags!NCACQS_4Q14</vt:lpstr>
      <vt:lpstr>NCACQS_4Q14</vt:lpstr>
      <vt:lpstr>Tags!NCACQS_4Q15</vt:lpstr>
      <vt:lpstr>NCACQS_4Q15</vt:lpstr>
      <vt:lpstr>Tags!NCACQS_4Q16</vt:lpstr>
      <vt:lpstr>NCACQS_4Q16</vt:lpstr>
      <vt:lpstr>Tags!NCACQS_4Q17</vt:lpstr>
      <vt:lpstr>NCACQS_4Q17</vt:lpstr>
      <vt:lpstr>Tags!NCACQS_4Q18</vt:lpstr>
      <vt:lpstr>NCACQS_4Q18</vt:lpstr>
      <vt:lpstr>Tags!NCACQS_4Q19</vt:lpstr>
      <vt:lpstr>NCACQS_4Q19</vt:lpstr>
      <vt:lpstr>Tags!NCACQS_4Q20</vt:lpstr>
      <vt:lpstr>NCACQS_4Q20</vt:lpstr>
      <vt:lpstr>NCACQS_4Q21</vt:lpstr>
      <vt:lpstr>NCACQS_4Q22</vt:lpstr>
      <vt:lpstr>NCACQS_4Q23</vt:lpstr>
      <vt:lpstr>NCACQS_4Q24</vt:lpstr>
      <vt:lpstr>NCCAPX_1995</vt:lpstr>
      <vt:lpstr>NCCAPX_1996</vt:lpstr>
      <vt:lpstr>NCCAPX_1997</vt:lpstr>
      <vt:lpstr>NCCAPX_1998</vt:lpstr>
      <vt:lpstr>NCCAPX_1999</vt:lpstr>
      <vt:lpstr>Tags!NCCAPX_1Q00</vt:lpstr>
      <vt:lpstr>NCCAPX_1Q00</vt:lpstr>
      <vt:lpstr>Tags!NCCAPX_1Q01</vt:lpstr>
      <vt:lpstr>NCCAPX_1Q01</vt:lpstr>
      <vt:lpstr>Tags!NCCAPX_1Q02</vt:lpstr>
      <vt:lpstr>NCCAPX_1Q02</vt:lpstr>
      <vt:lpstr>Tags!NCCAPX_1Q03</vt:lpstr>
      <vt:lpstr>NCCAPX_1Q03</vt:lpstr>
      <vt:lpstr>Tags!NCCAPX_1Q04</vt:lpstr>
      <vt:lpstr>NCCAPX_1Q04</vt:lpstr>
      <vt:lpstr>Tags!NCCAPX_1Q05</vt:lpstr>
      <vt:lpstr>NCCAPX_1Q05</vt:lpstr>
      <vt:lpstr>Tags!NCCAPX_1Q06</vt:lpstr>
      <vt:lpstr>NCCAPX_1Q06</vt:lpstr>
      <vt:lpstr>Tags!NCCAPX_1Q07</vt:lpstr>
      <vt:lpstr>NCCAPX_1Q07</vt:lpstr>
      <vt:lpstr>Tags!NCCAPX_1Q08</vt:lpstr>
      <vt:lpstr>NCCAPX_1Q08</vt:lpstr>
      <vt:lpstr>Tags!NCCAPX_1Q09</vt:lpstr>
      <vt:lpstr>NCCAPX_1Q09</vt:lpstr>
      <vt:lpstr>Tags!NCCAPX_1Q10</vt:lpstr>
      <vt:lpstr>NCCAPX_1Q10</vt:lpstr>
      <vt:lpstr>Tags!NCCAPX_1Q11</vt:lpstr>
      <vt:lpstr>NCCAPX_1Q11</vt:lpstr>
      <vt:lpstr>Tags!NCCAPX_1Q12</vt:lpstr>
      <vt:lpstr>NCCAPX_1Q12</vt:lpstr>
      <vt:lpstr>Tags!NCCAPX_1Q13</vt:lpstr>
      <vt:lpstr>NCCAPX_1Q13</vt:lpstr>
      <vt:lpstr>Tags!NCCAPX_1Q14</vt:lpstr>
      <vt:lpstr>NCCAPX_1Q14</vt:lpstr>
      <vt:lpstr>Tags!NCCAPX_1Q15</vt:lpstr>
      <vt:lpstr>NCCAPX_1Q15</vt:lpstr>
      <vt:lpstr>Tags!NCCAPX_1Q16</vt:lpstr>
      <vt:lpstr>NCCAPX_1Q16</vt:lpstr>
      <vt:lpstr>Tags!NCCAPX_1Q17</vt:lpstr>
      <vt:lpstr>NCCAPX_1Q17</vt:lpstr>
      <vt:lpstr>Tags!NCCAPX_1Q18</vt:lpstr>
      <vt:lpstr>NCCAPX_1Q18</vt:lpstr>
      <vt:lpstr>Tags!NCCAPX_1Q19</vt:lpstr>
      <vt:lpstr>NCCAPX_1Q19</vt:lpstr>
      <vt:lpstr>Tags!NCCAPX_1Q20</vt:lpstr>
      <vt:lpstr>NCCAPX_1Q20</vt:lpstr>
      <vt:lpstr>NCCAPX_1Q21</vt:lpstr>
      <vt:lpstr>NCCAPX_1Q22</vt:lpstr>
      <vt:lpstr>NCCAPX_1Q23</vt:lpstr>
      <vt:lpstr>NCCAPX_1Q24</vt:lpstr>
      <vt:lpstr>Tags!NCCAPX_2000</vt:lpstr>
      <vt:lpstr>NCCAPX_2000</vt:lpstr>
      <vt:lpstr>Tags!NCCAPX_2001</vt:lpstr>
      <vt:lpstr>NCCAPX_2001</vt:lpstr>
      <vt:lpstr>Tags!NCCAPX_2002</vt:lpstr>
      <vt:lpstr>NCCAPX_2002</vt:lpstr>
      <vt:lpstr>Tags!NCCAPX_2003</vt:lpstr>
      <vt:lpstr>NCCAPX_2003</vt:lpstr>
      <vt:lpstr>Tags!NCCAPX_2004</vt:lpstr>
      <vt:lpstr>NCCAPX_2004</vt:lpstr>
      <vt:lpstr>Tags!NCCAPX_2005</vt:lpstr>
      <vt:lpstr>NCCAPX_2005</vt:lpstr>
      <vt:lpstr>Tags!NCCAPX_2006</vt:lpstr>
      <vt:lpstr>NCCAPX_2006</vt:lpstr>
      <vt:lpstr>Tags!NCCAPX_2007</vt:lpstr>
      <vt:lpstr>NCCAPX_2007</vt:lpstr>
      <vt:lpstr>Tags!NCCAPX_2008</vt:lpstr>
      <vt:lpstr>NCCAPX_2008</vt:lpstr>
      <vt:lpstr>Tags!NCCAPX_2009</vt:lpstr>
      <vt:lpstr>NCCAPX_2009</vt:lpstr>
      <vt:lpstr>Tags!NCCAPX_2010</vt:lpstr>
      <vt:lpstr>NCCAPX_2010</vt:lpstr>
      <vt:lpstr>Tags!NCCAPX_2011</vt:lpstr>
      <vt:lpstr>NCCAPX_2011</vt:lpstr>
      <vt:lpstr>Tags!NCCAPX_2012</vt:lpstr>
      <vt:lpstr>NCCAPX_2012</vt:lpstr>
      <vt:lpstr>Tags!NCCAPX_2013</vt:lpstr>
      <vt:lpstr>NCCAPX_2013</vt:lpstr>
      <vt:lpstr>Tags!NCCAPX_2014</vt:lpstr>
      <vt:lpstr>NCCAPX_2014</vt:lpstr>
      <vt:lpstr>NCCAPX_2015</vt:lpstr>
      <vt:lpstr>Tags!NCCAPX_2016</vt:lpstr>
      <vt:lpstr>NCCAPX_2016</vt:lpstr>
      <vt:lpstr>Tags!NCCAPX_2017</vt:lpstr>
      <vt:lpstr>NCCAPX_2017</vt:lpstr>
      <vt:lpstr>Tags!NCCAPX_2018</vt:lpstr>
      <vt:lpstr>NCCAPX_2018</vt:lpstr>
      <vt:lpstr>Tags!NCCAPX_2019</vt:lpstr>
      <vt:lpstr>NCCAPX_2019</vt:lpstr>
      <vt:lpstr>Tags!NCCAPX_2020</vt:lpstr>
      <vt:lpstr>NCCAPX_2020</vt:lpstr>
      <vt:lpstr>NCCAPX_2021</vt:lpstr>
      <vt:lpstr>NCCAPX_2022</vt:lpstr>
      <vt:lpstr>NCCAPX_2023</vt:lpstr>
      <vt:lpstr>NCCAPX_2024</vt:lpstr>
      <vt:lpstr>Tags!NCCAPX_2Q00</vt:lpstr>
      <vt:lpstr>NCCAPX_2Q00</vt:lpstr>
      <vt:lpstr>Tags!NCCAPX_2Q01</vt:lpstr>
      <vt:lpstr>NCCAPX_2Q01</vt:lpstr>
      <vt:lpstr>Tags!NCCAPX_2Q02</vt:lpstr>
      <vt:lpstr>NCCAPX_2Q02</vt:lpstr>
      <vt:lpstr>Tags!NCCAPX_2Q03</vt:lpstr>
      <vt:lpstr>NCCAPX_2Q03</vt:lpstr>
      <vt:lpstr>Tags!NCCAPX_2Q04</vt:lpstr>
      <vt:lpstr>NCCAPX_2Q04</vt:lpstr>
      <vt:lpstr>Tags!NCCAPX_2Q05</vt:lpstr>
      <vt:lpstr>NCCAPX_2Q05</vt:lpstr>
      <vt:lpstr>Tags!NCCAPX_2Q06</vt:lpstr>
      <vt:lpstr>NCCAPX_2Q06</vt:lpstr>
      <vt:lpstr>Tags!NCCAPX_2Q07</vt:lpstr>
      <vt:lpstr>NCCAPX_2Q07</vt:lpstr>
      <vt:lpstr>Tags!NCCAPX_2Q08</vt:lpstr>
      <vt:lpstr>NCCAPX_2Q08</vt:lpstr>
      <vt:lpstr>Tags!NCCAPX_2Q09</vt:lpstr>
      <vt:lpstr>NCCAPX_2Q09</vt:lpstr>
      <vt:lpstr>Tags!NCCAPX_2Q10</vt:lpstr>
      <vt:lpstr>NCCAPX_2Q10</vt:lpstr>
      <vt:lpstr>Tags!NCCAPX_2Q11</vt:lpstr>
      <vt:lpstr>NCCAPX_2Q11</vt:lpstr>
      <vt:lpstr>Tags!NCCAPX_2Q12</vt:lpstr>
      <vt:lpstr>NCCAPX_2Q12</vt:lpstr>
      <vt:lpstr>Tags!NCCAPX_2Q13</vt:lpstr>
      <vt:lpstr>NCCAPX_2Q13</vt:lpstr>
      <vt:lpstr>Tags!NCCAPX_2Q14</vt:lpstr>
      <vt:lpstr>NCCAPX_2Q14</vt:lpstr>
      <vt:lpstr>Tags!NCCAPX_2Q15</vt:lpstr>
      <vt:lpstr>NCCAPX_2Q15</vt:lpstr>
      <vt:lpstr>Tags!NCCAPX_2Q16</vt:lpstr>
      <vt:lpstr>NCCAPX_2Q16</vt:lpstr>
      <vt:lpstr>Tags!NCCAPX_2Q17</vt:lpstr>
      <vt:lpstr>NCCAPX_2Q17</vt:lpstr>
      <vt:lpstr>Tags!NCCAPX_2Q18</vt:lpstr>
      <vt:lpstr>NCCAPX_2Q18</vt:lpstr>
      <vt:lpstr>Tags!NCCAPX_2Q19</vt:lpstr>
      <vt:lpstr>NCCAPX_2Q19</vt:lpstr>
      <vt:lpstr>Tags!NCCAPX_2Q20</vt:lpstr>
      <vt:lpstr>NCCAPX_2Q20</vt:lpstr>
      <vt:lpstr>NCCAPX_2Q21</vt:lpstr>
      <vt:lpstr>NCCAPX_2Q22</vt:lpstr>
      <vt:lpstr>NCCAPX_2Q23</vt:lpstr>
      <vt:lpstr>NCCAPX_2Q24</vt:lpstr>
      <vt:lpstr>Tags!NCCAPX_3Q00</vt:lpstr>
      <vt:lpstr>NCCAPX_3Q00</vt:lpstr>
      <vt:lpstr>Tags!NCCAPX_3Q01</vt:lpstr>
      <vt:lpstr>NCCAPX_3Q01</vt:lpstr>
      <vt:lpstr>Tags!NCCAPX_3Q02</vt:lpstr>
      <vt:lpstr>NCCAPX_3Q02</vt:lpstr>
      <vt:lpstr>Tags!NCCAPX_3Q03</vt:lpstr>
      <vt:lpstr>NCCAPX_3Q03</vt:lpstr>
      <vt:lpstr>Tags!NCCAPX_3Q04</vt:lpstr>
      <vt:lpstr>NCCAPX_3Q04</vt:lpstr>
      <vt:lpstr>Tags!NCCAPX_3Q05</vt:lpstr>
      <vt:lpstr>NCCAPX_3Q05</vt:lpstr>
      <vt:lpstr>Tags!NCCAPX_3Q06</vt:lpstr>
      <vt:lpstr>NCCAPX_3Q06</vt:lpstr>
      <vt:lpstr>Tags!NCCAPX_3Q07</vt:lpstr>
      <vt:lpstr>NCCAPX_3Q07</vt:lpstr>
      <vt:lpstr>Tags!NCCAPX_3Q08</vt:lpstr>
      <vt:lpstr>NCCAPX_3Q08</vt:lpstr>
      <vt:lpstr>Tags!NCCAPX_3Q09</vt:lpstr>
      <vt:lpstr>NCCAPX_3Q09</vt:lpstr>
      <vt:lpstr>Tags!NCCAPX_3Q10</vt:lpstr>
      <vt:lpstr>NCCAPX_3Q10</vt:lpstr>
      <vt:lpstr>Tags!NCCAPX_3Q11</vt:lpstr>
      <vt:lpstr>NCCAPX_3Q11</vt:lpstr>
      <vt:lpstr>Tags!NCCAPX_3Q12</vt:lpstr>
      <vt:lpstr>NCCAPX_3Q12</vt:lpstr>
      <vt:lpstr>Tags!NCCAPX_3Q13</vt:lpstr>
      <vt:lpstr>NCCAPX_3Q13</vt:lpstr>
      <vt:lpstr>Tags!NCCAPX_3Q14</vt:lpstr>
      <vt:lpstr>NCCAPX_3Q14</vt:lpstr>
      <vt:lpstr>Tags!NCCAPX_3Q15</vt:lpstr>
      <vt:lpstr>NCCAPX_3Q15</vt:lpstr>
      <vt:lpstr>Tags!NCCAPX_3Q16</vt:lpstr>
      <vt:lpstr>NCCAPX_3Q16</vt:lpstr>
      <vt:lpstr>Tags!NCCAPX_3Q17</vt:lpstr>
      <vt:lpstr>NCCAPX_3Q17</vt:lpstr>
      <vt:lpstr>Tags!NCCAPX_3Q18</vt:lpstr>
      <vt:lpstr>NCCAPX_3Q18</vt:lpstr>
      <vt:lpstr>Tags!NCCAPX_3Q19</vt:lpstr>
      <vt:lpstr>NCCAPX_3Q19</vt:lpstr>
      <vt:lpstr>Tags!NCCAPX_3Q20</vt:lpstr>
      <vt:lpstr>NCCAPX_3Q20</vt:lpstr>
      <vt:lpstr>NCCAPX_3Q21</vt:lpstr>
      <vt:lpstr>NCCAPX_3Q22</vt:lpstr>
      <vt:lpstr>NCCAPX_3Q23</vt:lpstr>
      <vt:lpstr>NCCAPX_3Q24</vt:lpstr>
      <vt:lpstr>Tags!NCCAPX_4Q00</vt:lpstr>
      <vt:lpstr>NCCAPX_4Q00</vt:lpstr>
      <vt:lpstr>Tags!NCCAPX_4Q01</vt:lpstr>
      <vt:lpstr>NCCAPX_4Q01</vt:lpstr>
      <vt:lpstr>Tags!NCCAPX_4Q02</vt:lpstr>
      <vt:lpstr>NCCAPX_4Q02</vt:lpstr>
      <vt:lpstr>Tags!NCCAPX_4Q03</vt:lpstr>
      <vt:lpstr>NCCAPX_4Q03</vt:lpstr>
      <vt:lpstr>Tags!NCCAPX_4Q04</vt:lpstr>
      <vt:lpstr>NCCAPX_4Q04</vt:lpstr>
      <vt:lpstr>Tags!NCCAPX_4Q05</vt:lpstr>
      <vt:lpstr>NCCAPX_4Q05</vt:lpstr>
      <vt:lpstr>Tags!NCCAPX_4Q06</vt:lpstr>
      <vt:lpstr>NCCAPX_4Q06</vt:lpstr>
      <vt:lpstr>Tags!NCCAPX_4Q07</vt:lpstr>
      <vt:lpstr>NCCAPX_4Q07</vt:lpstr>
      <vt:lpstr>Tags!NCCAPX_4Q08</vt:lpstr>
      <vt:lpstr>NCCAPX_4Q08</vt:lpstr>
      <vt:lpstr>Tags!NCCAPX_4Q09</vt:lpstr>
      <vt:lpstr>NCCAPX_4Q09</vt:lpstr>
      <vt:lpstr>Tags!NCCAPX_4Q10</vt:lpstr>
      <vt:lpstr>NCCAPX_4Q10</vt:lpstr>
      <vt:lpstr>Tags!NCCAPX_4Q11</vt:lpstr>
      <vt:lpstr>NCCAPX_4Q11</vt:lpstr>
      <vt:lpstr>Tags!NCCAPX_4Q12</vt:lpstr>
      <vt:lpstr>NCCAPX_4Q12</vt:lpstr>
      <vt:lpstr>Tags!NCCAPX_4Q13</vt:lpstr>
      <vt:lpstr>NCCAPX_4Q13</vt:lpstr>
      <vt:lpstr>Tags!NCCAPX_4Q14</vt:lpstr>
      <vt:lpstr>NCCAPX_4Q14</vt:lpstr>
      <vt:lpstr>Tags!NCCAPX_4Q15</vt:lpstr>
      <vt:lpstr>NCCAPX_4Q15</vt:lpstr>
      <vt:lpstr>Tags!NCCAPX_4Q16</vt:lpstr>
      <vt:lpstr>NCCAPX_4Q16</vt:lpstr>
      <vt:lpstr>Tags!NCCAPX_4Q17</vt:lpstr>
      <vt:lpstr>NCCAPX_4Q17</vt:lpstr>
      <vt:lpstr>Tags!NCCAPX_4Q18</vt:lpstr>
      <vt:lpstr>NCCAPX_4Q18</vt:lpstr>
      <vt:lpstr>Tags!NCCAPX_4Q19</vt:lpstr>
      <vt:lpstr>NCCAPX_4Q19</vt:lpstr>
      <vt:lpstr>Tags!NCCAPX_4Q20</vt:lpstr>
      <vt:lpstr>NCCAPX_4Q20</vt:lpstr>
      <vt:lpstr>NCCAPX_4Q21</vt:lpstr>
      <vt:lpstr>NCCAPX_4Q22</vt:lpstr>
      <vt:lpstr>NCCAPX_4Q23</vt:lpstr>
      <vt:lpstr>NCCAPX_4Q24</vt:lpstr>
      <vt:lpstr>NEBIT_1995</vt:lpstr>
      <vt:lpstr>NEBIT_1996</vt:lpstr>
      <vt:lpstr>NEBIT_1997</vt:lpstr>
      <vt:lpstr>NEBIT_1998</vt:lpstr>
      <vt:lpstr>NEBIT_1999</vt:lpstr>
      <vt:lpstr>Tags!NEBIT_1Q00</vt:lpstr>
      <vt:lpstr>NEBIT_1Q00</vt:lpstr>
      <vt:lpstr>Tags!NEBIT_1Q01</vt:lpstr>
      <vt:lpstr>NEBIT_1Q01</vt:lpstr>
      <vt:lpstr>Tags!NEBIT_1Q02</vt:lpstr>
      <vt:lpstr>NEBIT_1Q02</vt:lpstr>
      <vt:lpstr>Tags!NEBIT_1Q03</vt:lpstr>
      <vt:lpstr>NEBIT_1Q03</vt:lpstr>
      <vt:lpstr>Tags!NEBIT_1Q04</vt:lpstr>
      <vt:lpstr>NEBIT_1Q04</vt:lpstr>
      <vt:lpstr>Tags!NEBIT_1Q05</vt:lpstr>
      <vt:lpstr>NEBIT_1Q05</vt:lpstr>
      <vt:lpstr>Tags!NEBIT_1Q06</vt:lpstr>
      <vt:lpstr>NEBIT_1Q06</vt:lpstr>
      <vt:lpstr>Tags!NEBIT_1Q07</vt:lpstr>
      <vt:lpstr>NEBIT_1Q07</vt:lpstr>
      <vt:lpstr>Tags!NEBIT_1Q08</vt:lpstr>
      <vt:lpstr>NEBIT_1Q08</vt:lpstr>
      <vt:lpstr>Tags!NEBIT_1Q09</vt:lpstr>
      <vt:lpstr>NEBIT_1Q09</vt:lpstr>
      <vt:lpstr>Tags!NEBIT_1Q10</vt:lpstr>
      <vt:lpstr>NEBIT_1Q10</vt:lpstr>
      <vt:lpstr>Tags!NEBIT_1Q11</vt:lpstr>
      <vt:lpstr>NEBIT_1Q11</vt:lpstr>
      <vt:lpstr>Tags!NEBIT_1Q12</vt:lpstr>
      <vt:lpstr>NEBIT_1Q12</vt:lpstr>
      <vt:lpstr>Tags!NEBIT_1Q13</vt:lpstr>
      <vt:lpstr>NEBIT_1Q13</vt:lpstr>
      <vt:lpstr>Tags!NEBIT_1Q14</vt:lpstr>
      <vt:lpstr>NEBIT_1Q14</vt:lpstr>
      <vt:lpstr>Tags!NEBIT_1Q15</vt:lpstr>
      <vt:lpstr>NEBIT_1Q15</vt:lpstr>
      <vt:lpstr>Tags!NEBIT_1Q16</vt:lpstr>
      <vt:lpstr>NEBIT_1Q16</vt:lpstr>
      <vt:lpstr>Tags!NEBIT_1Q17</vt:lpstr>
      <vt:lpstr>NEBIT_1Q17</vt:lpstr>
      <vt:lpstr>Tags!NEBIT_1Q18</vt:lpstr>
      <vt:lpstr>NEBIT_1Q18</vt:lpstr>
      <vt:lpstr>Tags!NEBIT_1Q19</vt:lpstr>
      <vt:lpstr>NEBIT_1Q19</vt:lpstr>
      <vt:lpstr>Tags!NEBIT_1Q20</vt:lpstr>
      <vt:lpstr>NEBIT_1Q20</vt:lpstr>
      <vt:lpstr>NEBIT_1Q21</vt:lpstr>
      <vt:lpstr>NEBIT_1Q22</vt:lpstr>
      <vt:lpstr>NEBIT_1Q23</vt:lpstr>
      <vt:lpstr>NEBIT_1Q24</vt:lpstr>
      <vt:lpstr>Tags!NEBIT_2000</vt:lpstr>
      <vt:lpstr>NEBIT_2000</vt:lpstr>
      <vt:lpstr>Tags!NEBIT_2001</vt:lpstr>
      <vt:lpstr>NEBIT_2001</vt:lpstr>
      <vt:lpstr>Tags!NEBIT_2002</vt:lpstr>
      <vt:lpstr>NEBIT_2002</vt:lpstr>
      <vt:lpstr>Tags!NEBIT_2003</vt:lpstr>
      <vt:lpstr>NEBIT_2003</vt:lpstr>
      <vt:lpstr>Tags!NEBIT_2004</vt:lpstr>
      <vt:lpstr>NEBIT_2004</vt:lpstr>
      <vt:lpstr>Tags!NEBIT_2005</vt:lpstr>
      <vt:lpstr>NEBIT_2005</vt:lpstr>
      <vt:lpstr>Tags!NEBIT_2006</vt:lpstr>
      <vt:lpstr>NEBIT_2006</vt:lpstr>
      <vt:lpstr>Tags!NEBIT_2007</vt:lpstr>
      <vt:lpstr>NEBIT_2007</vt:lpstr>
      <vt:lpstr>Tags!NEBIT_2008</vt:lpstr>
      <vt:lpstr>NEBIT_2008</vt:lpstr>
      <vt:lpstr>Tags!NEBIT_2009</vt:lpstr>
      <vt:lpstr>NEBIT_2009</vt:lpstr>
      <vt:lpstr>Tags!NEBIT_2010</vt:lpstr>
      <vt:lpstr>NEBIT_2010</vt:lpstr>
      <vt:lpstr>Tags!NEBIT_2011</vt:lpstr>
      <vt:lpstr>NEBIT_2011</vt:lpstr>
      <vt:lpstr>Tags!NEBIT_2012</vt:lpstr>
      <vt:lpstr>NEBIT_2012</vt:lpstr>
      <vt:lpstr>Tags!NEBIT_2013</vt:lpstr>
      <vt:lpstr>NEBIT_2013</vt:lpstr>
      <vt:lpstr>Tags!NEBIT_2014</vt:lpstr>
      <vt:lpstr>NEBIT_2014</vt:lpstr>
      <vt:lpstr>NEBIT_2015</vt:lpstr>
      <vt:lpstr>Tags!NEBIT_2016</vt:lpstr>
      <vt:lpstr>NEBIT_2016</vt:lpstr>
      <vt:lpstr>Tags!NEBIT_2017</vt:lpstr>
      <vt:lpstr>NEBIT_2017</vt:lpstr>
      <vt:lpstr>Tags!NEBIT_2018</vt:lpstr>
      <vt:lpstr>NEBIT_2018</vt:lpstr>
      <vt:lpstr>Tags!NEBIT_2019</vt:lpstr>
      <vt:lpstr>NEBIT_2019</vt:lpstr>
      <vt:lpstr>Tags!NEBIT_2020</vt:lpstr>
      <vt:lpstr>NEBIT_2020</vt:lpstr>
      <vt:lpstr>NEBIT_2021</vt:lpstr>
      <vt:lpstr>NEBIT_2022</vt:lpstr>
      <vt:lpstr>NEBIT_2023</vt:lpstr>
      <vt:lpstr>NEBIT_2024</vt:lpstr>
      <vt:lpstr>Tags!NEBIT_2Q00</vt:lpstr>
      <vt:lpstr>NEBIT_2Q00</vt:lpstr>
      <vt:lpstr>Tags!NEBIT_2Q01</vt:lpstr>
      <vt:lpstr>NEBIT_2Q01</vt:lpstr>
      <vt:lpstr>Tags!NEBIT_2Q02</vt:lpstr>
      <vt:lpstr>NEBIT_2Q02</vt:lpstr>
      <vt:lpstr>Tags!NEBIT_2Q03</vt:lpstr>
      <vt:lpstr>NEBIT_2Q03</vt:lpstr>
      <vt:lpstr>Tags!NEBIT_2Q04</vt:lpstr>
      <vt:lpstr>NEBIT_2Q04</vt:lpstr>
      <vt:lpstr>Tags!NEBIT_2Q05</vt:lpstr>
      <vt:lpstr>NEBIT_2Q05</vt:lpstr>
      <vt:lpstr>Tags!NEBIT_2Q06</vt:lpstr>
      <vt:lpstr>NEBIT_2Q06</vt:lpstr>
      <vt:lpstr>Tags!NEBIT_2Q07</vt:lpstr>
      <vt:lpstr>NEBIT_2Q07</vt:lpstr>
      <vt:lpstr>Tags!NEBIT_2Q08</vt:lpstr>
      <vt:lpstr>NEBIT_2Q08</vt:lpstr>
      <vt:lpstr>Tags!NEBIT_2Q09</vt:lpstr>
      <vt:lpstr>NEBIT_2Q09</vt:lpstr>
      <vt:lpstr>Tags!NEBIT_2Q10</vt:lpstr>
      <vt:lpstr>NEBIT_2Q10</vt:lpstr>
      <vt:lpstr>Tags!NEBIT_2Q11</vt:lpstr>
      <vt:lpstr>NEBIT_2Q11</vt:lpstr>
      <vt:lpstr>Tags!NEBIT_2Q12</vt:lpstr>
      <vt:lpstr>NEBIT_2Q12</vt:lpstr>
      <vt:lpstr>Tags!NEBIT_2Q13</vt:lpstr>
      <vt:lpstr>NEBIT_2Q13</vt:lpstr>
      <vt:lpstr>Tags!NEBIT_2Q14</vt:lpstr>
      <vt:lpstr>NEBIT_2Q14</vt:lpstr>
      <vt:lpstr>Tags!NEBIT_2Q15</vt:lpstr>
      <vt:lpstr>NEBIT_2Q15</vt:lpstr>
      <vt:lpstr>Tags!NEBIT_2Q16</vt:lpstr>
      <vt:lpstr>NEBIT_2Q16</vt:lpstr>
      <vt:lpstr>Tags!NEBIT_2Q17</vt:lpstr>
      <vt:lpstr>NEBIT_2Q17</vt:lpstr>
      <vt:lpstr>Tags!NEBIT_2Q18</vt:lpstr>
      <vt:lpstr>NEBIT_2Q18</vt:lpstr>
      <vt:lpstr>Tags!NEBIT_2Q19</vt:lpstr>
      <vt:lpstr>NEBIT_2Q19</vt:lpstr>
      <vt:lpstr>Tags!NEBIT_2Q20</vt:lpstr>
      <vt:lpstr>NEBIT_2Q20</vt:lpstr>
      <vt:lpstr>NEBIT_2Q21</vt:lpstr>
      <vt:lpstr>NEBIT_2Q22</vt:lpstr>
      <vt:lpstr>NEBIT_2Q23</vt:lpstr>
      <vt:lpstr>NEBIT_2Q24</vt:lpstr>
      <vt:lpstr>Tags!NEBIT_3Q00</vt:lpstr>
      <vt:lpstr>NEBIT_3Q00</vt:lpstr>
      <vt:lpstr>Tags!NEBIT_3Q01</vt:lpstr>
      <vt:lpstr>NEBIT_3Q01</vt:lpstr>
      <vt:lpstr>Tags!NEBIT_3Q02</vt:lpstr>
      <vt:lpstr>NEBIT_3Q02</vt:lpstr>
      <vt:lpstr>Tags!NEBIT_3Q03</vt:lpstr>
      <vt:lpstr>NEBIT_3Q03</vt:lpstr>
      <vt:lpstr>Tags!NEBIT_3Q04</vt:lpstr>
      <vt:lpstr>NEBIT_3Q04</vt:lpstr>
      <vt:lpstr>Tags!NEBIT_3Q05</vt:lpstr>
      <vt:lpstr>NEBIT_3Q05</vt:lpstr>
      <vt:lpstr>Tags!NEBIT_3Q06</vt:lpstr>
      <vt:lpstr>NEBIT_3Q06</vt:lpstr>
      <vt:lpstr>Tags!NEBIT_3Q07</vt:lpstr>
      <vt:lpstr>NEBIT_3Q07</vt:lpstr>
      <vt:lpstr>Tags!NEBIT_3Q08</vt:lpstr>
      <vt:lpstr>NEBIT_3Q08</vt:lpstr>
      <vt:lpstr>Tags!NEBIT_3Q09</vt:lpstr>
      <vt:lpstr>NEBIT_3Q09</vt:lpstr>
      <vt:lpstr>Tags!NEBIT_3Q10</vt:lpstr>
      <vt:lpstr>NEBIT_3Q10</vt:lpstr>
      <vt:lpstr>Tags!NEBIT_3Q11</vt:lpstr>
      <vt:lpstr>NEBIT_3Q11</vt:lpstr>
      <vt:lpstr>Tags!NEBIT_3Q12</vt:lpstr>
      <vt:lpstr>NEBIT_3Q12</vt:lpstr>
      <vt:lpstr>Tags!NEBIT_3Q13</vt:lpstr>
      <vt:lpstr>NEBIT_3Q13</vt:lpstr>
      <vt:lpstr>Tags!NEBIT_3Q14</vt:lpstr>
      <vt:lpstr>NEBIT_3Q14</vt:lpstr>
      <vt:lpstr>Tags!NEBIT_3Q15</vt:lpstr>
      <vt:lpstr>NEBIT_3Q15</vt:lpstr>
      <vt:lpstr>Tags!NEBIT_3Q16</vt:lpstr>
      <vt:lpstr>NEBIT_3Q16</vt:lpstr>
      <vt:lpstr>Tags!NEBIT_3Q17</vt:lpstr>
      <vt:lpstr>NEBIT_3Q17</vt:lpstr>
      <vt:lpstr>Tags!NEBIT_3Q18</vt:lpstr>
      <vt:lpstr>NEBIT_3Q18</vt:lpstr>
      <vt:lpstr>Tags!NEBIT_3Q19</vt:lpstr>
      <vt:lpstr>NEBIT_3Q19</vt:lpstr>
      <vt:lpstr>Tags!NEBIT_3Q20</vt:lpstr>
      <vt:lpstr>NEBIT_3Q20</vt:lpstr>
      <vt:lpstr>NEBIT_3Q21</vt:lpstr>
      <vt:lpstr>NEBIT_3Q22</vt:lpstr>
      <vt:lpstr>NEBIT_3Q23</vt:lpstr>
      <vt:lpstr>NEBIT_3Q24</vt:lpstr>
      <vt:lpstr>Tags!NEBIT_4Q00</vt:lpstr>
      <vt:lpstr>NEBIT_4Q00</vt:lpstr>
      <vt:lpstr>Tags!NEBIT_4Q01</vt:lpstr>
      <vt:lpstr>NEBIT_4Q01</vt:lpstr>
      <vt:lpstr>Tags!NEBIT_4Q02</vt:lpstr>
      <vt:lpstr>NEBIT_4Q02</vt:lpstr>
      <vt:lpstr>Tags!NEBIT_4Q03</vt:lpstr>
      <vt:lpstr>NEBIT_4Q03</vt:lpstr>
      <vt:lpstr>Tags!NEBIT_4Q04</vt:lpstr>
      <vt:lpstr>NEBIT_4Q04</vt:lpstr>
      <vt:lpstr>Tags!NEBIT_4Q05</vt:lpstr>
      <vt:lpstr>NEBIT_4Q05</vt:lpstr>
      <vt:lpstr>Tags!NEBIT_4Q06</vt:lpstr>
      <vt:lpstr>NEBIT_4Q06</vt:lpstr>
      <vt:lpstr>Tags!NEBIT_4Q07</vt:lpstr>
      <vt:lpstr>NEBIT_4Q07</vt:lpstr>
      <vt:lpstr>Tags!NEBIT_4Q08</vt:lpstr>
      <vt:lpstr>NEBIT_4Q08</vt:lpstr>
      <vt:lpstr>Tags!NEBIT_4Q09</vt:lpstr>
      <vt:lpstr>NEBIT_4Q09</vt:lpstr>
      <vt:lpstr>Tags!NEBIT_4Q10</vt:lpstr>
      <vt:lpstr>NEBIT_4Q10</vt:lpstr>
      <vt:lpstr>Tags!NEBIT_4Q11</vt:lpstr>
      <vt:lpstr>NEBIT_4Q11</vt:lpstr>
      <vt:lpstr>Tags!NEBIT_4Q12</vt:lpstr>
      <vt:lpstr>NEBIT_4Q12</vt:lpstr>
      <vt:lpstr>Tags!NEBIT_4Q13</vt:lpstr>
      <vt:lpstr>NEBIT_4Q13</vt:lpstr>
      <vt:lpstr>Tags!NEBIT_4Q14</vt:lpstr>
      <vt:lpstr>NEBIT_4Q14</vt:lpstr>
      <vt:lpstr>Tags!NEBIT_4Q15</vt:lpstr>
      <vt:lpstr>NEBIT_4Q15</vt:lpstr>
      <vt:lpstr>Tags!NEBIT_4Q16</vt:lpstr>
      <vt:lpstr>NEBIT_4Q16</vt:lpstr>
      <vt:lpstr>Tags!NEBIT_4Q17</vt:lpstr>
      <vt:lpstr>NEBIT_4Q17</vt:lpstr>
      <vt:lpstr>Tags!NEBIT_4Q18</vt:lpstr>
      <vt:lpstr>NEBIT_4Q18</vt:lpstr>
      <vt:lpstr>Tags!NEBIT_4Q19</vt:lpstr>
      <vt:lpstr>NEBIT_4Q19</vt:lpstr>
      <vt:lpstr>Tags!NEBIT_4Q20</vt:lpstr>
      <vt:lpstr>NEBIT_4Q20</vt:lpstr>
      <vt:lpstr>NEBIT_4Q21</vt:lpstr>
      <vt:lpstr>NEBIT_4Q22</vt:lpstr>
      <vt:lpstr>NEBIT_4Q23</vt:lpstr>
      <vt:lpstr>NEBIT_4Q24</vt:lpstr>
      <vt:lpstr>NEBITD_1995</vt:lpstr>
      <vt:lpstr>NEBITD_1996</vt:lpstr>
      <vt:lpstr>NEBITD_1997</vt:lpstr>
      <vt:lpstr>NEBITD_1998</vt:lpstr>
      <vt:lpstr>NEBITD_1999</vt:lpstr>
      <vt:lpstr>Tags!NEBITD_1Q00</vt:lpstr>
      <vt:lpstr>NEBITD_1Q00</vt:lpstr>
      <vt:lpstr>Tags!NEBITD_1Q01</vt:lpstr>
      <vt:lpstr>NEBITD_1Q01</vt:lpstr>
      <vt:lpstr>Tags!NEBITD_1Q02</vt:lpstr>
      <vt:lpstr>NEBITD_1Q02</vt:lpstr>
      <vt:lpstr>Tags!NEBITD_1Q03</vt:lpstr>
      <vt:lpstr>NEBITD_1Q03</vt:lpstr>
      <vt:lpstr>Tags!NEBITD_1Q04</vt:lpstr>
      <vt:lpstr>NEBITD_1Q04</vt:lpstr>
      <vt:lpstr>Tags!NEBITD_1Q05</vt:lpstr>
      <vt:lpstr>NEBITD_1Q05</vt:lpstr>
      <vt:lpstr>Tags!NEBITD_1Q06</vt:lpstr>
      <vt:lpstr>NEBITD_1Q06</vt:lpstr>
      <vt:lpstr>Tags!NEBITD_1Q07</vt:lpstr>
      <vt:lpstr>NEBITD_1Q07</vt:lpstr>
      <vt:lpstr>Tags!NEBITD_1Q08</vt:lpstr>
      <vt:lpstr>NEBITD_1Q08</vt:lpstr>
      <vt:lpstr>Tags!NEBITD_1Q09</vt:lpstr>
      <vt:lpstr>NEBITD_1Q09</vt:lpstr>
      <vt:lpstr>Tags!NEBITD_1Q10</vt:lpstr>
      <vt:lpstr>NEBITD_1Q10</vt:lpstr>
      <vt:lpstr>Tags!NEBITD_1Q11</vt:lpstr>
      <vt:lpstr>NEBITD_1Q11</vt:lpstr>
      <vt:lpstr>Tags!NEBITD_1Q12</vt:lpstr>
      <vt:lpstr>NEBITD_1Q12</vt:lpstr>
      <vt:lpstr>Tags!NEBITD_1Q13</vt:lpstr>
      <vt:lpstr>NEBITD_1Q13</vt:lpstr>
      <vt:lpstr>Tags!NEBITD_1Q14</vt:lpstr>
      <vt:lpstr>NEBITD_1Q14</vt:lpstr>
      <vt:lpstr>Tags!NEBITD_1Q15</vt:lpstr>
      <vt:lpstr>NEBITD_1Q15</vt:lpstr>
      <vt:lpstr>Tags!NEBITD_1Q16</vt:lpstr>
      <vt:lpstr>NEBITD_1Q16</vt:lpstr>
      <vt:lpstr>Tags!NEBITD_1Q17</vt:lpstr>
      <vt:lpstr>NEBITD_1Q17</vt:lpstr>
      <vt:lpstr>Tags!NEBITD_1Q18</vt:lpstr>
      <vt:lpstr>NEBITD_1Q18</vt:lpstr>
      <vt:lpstr>Tags!NEBITD_1Q19</vt:lpstr>
      <vt:lpstr>NEBITD_1Q19</vt:lpstr>
      <vt:lpstr>Tags!NEBITD_1Q20</vt:lpstr>
      <vt:lpstr>NEBITD_1Q20</vt:lpstr>
      <vt:lpstr>NEBITD_1Q21</vt:lpstr>
      <vt:lpstr>NEBITD_1Q22</vt:lpstr>
      <vt:lpstr>NEBITD_1Q23</vt:lpstr>
      <vt:lpstr>NEBITD_1Q24</vt:lpstr>
      <vt:lpstr>Tags!NEBITD_2000</vt:lpstr>
      <vt:lpstr>NEBITD_2000</vt:lpstr>
      <vt:lpstr>Tags!NEBITD_2001</vt:lpstr>
      <vt:lpstr>NEBITD_2001</vt:lpstr>
      <vt:lpstr>Tags!NEBITD_2002</vt:lpstr>
      <vt:lpstr>NEBITD_2002</vt:lpstr>
      <vt:lpstr>Tags!NEBITD_2003</vt:lpstr>
      <vt:lpstr>NEBITD_2003</vt:lpstr>
      <vt:lpstr>Tags!NEBITD_2004</vt:lpstr>
      <vt:lpstr>NEBITD_2004</vt:lpstr>
      <vt:lpstr>Tags!NEBITD_2005</vt:lpstr>
      <vt:lpstr>NEBITD_2005</vt:lpstr>
      <vt:lpstr>Tags!NEBITD_2006</vt:lpstr>
      <vt:lpstr>NEBITD_2006</vt:lpstr>
      <vt:lpstr>Tags!NEBITD_2007</vt:lpstr>
      <vt:lpstr>NEBITD_2007</vt:lpstr>
      <vt:lpstr>Tags!NEBITD_2008</vt:lpstr>
      <vt:lpstr>NEBITD_2008</vt:lpstr>
      <vt:lpstr>Tags!NEBITD_2009</vt:lpstr>
      <vt:lpstr>NEBITD_2009</vt:lpstr>
      <vt:lpstr>Tags!NEBITD_2010</vt:lpstr>
      <vt:lpstr>NEBITD_2010</vt:lpstr>
      <vt:lpstr>Tags!NEBITD_2011</vt:lpstr>
      <vt:lpstr>NEBITD_2011</vt:lpstr>
      <vt:lpstr>Tags!NEBITD_2012</vt:lpstr>
      <vt:lpstr>NEBITD_2012</vt:lpstr>
      <vt:lpstr>Tags!NEBITD_2013</vt:lpstr>
      <vt:lpstr>NEBITD_2013</vt:lpstr>
      <vt:lpstr>Tags!NEBITD_2014</vt:lpstr>
      <vt:lpstr>NEBITD_2014</vt:lpstr>
      <vt:lpstr>NEBITD_2015</vt:lpstr>
      <vt:lpstr>Tags!NEBITD_2016</vt:lpstr>
      <vt:lpstr>NEBITD_2016</vt:lpstr>
      <vt:lpstr>Tags!NEBITD_2017</vt:lpstr>
      <vt:lpstr>NEBITD_2017</vt:lpstr>
      <vt:lpstr>Tags!NEBITD_2018</vt:lpstr>
      <vt:lpstr>NEBITD_2018</vt:lpstr>
      <vt:lpstr>Tags!NEBITD_2019</vt:lpstr>
      <vt:lpstr>NEBITD_2019</vt:lpstr>
      <vt:lpstr>Tags!NEBITD_2020</vt:lpstr>
      <vt:lpstr>NEBITD_2020</vt:lpstr>
      <vt:lpstr>NEBITD_2021</vt:lpstr>
      <vt:lpstr>NEBITD_2022</vt:lpstr>
      <vt:lpstr>NEBITD_2023</vt:lpstr>
      <vt:lpstr>NEBITD_2024</vt:lpstr>
      <vt:lpstr>Tags!NEBITD_2Q00</vt:lpstr>
      <vt:lpstr>NEBITD_2Q00</vt:lpstr>
      <vt:lpstr>Tags!NEBITD_2Q01</vt:lpstr>
      <vt:lpstr>NEBITD_2Q01</vt:lpstr>
      <vt:lpstr>Tags!NEBITD_2Q02</vt:lpstr>
      <vt:lpstr>NEBITD_2Q02</vt:lpstr>
      <vt:lpstr>Tags!NEBITD_2Q03</vt:lpstr>
      <vt:lpstr>NEBITD_2Q03</vt:lpstr>
      <vt:lpstr>Tags!NEBITD_2Q04</vt:lpstr>
      <vt:lpstr>NEBITD_2Q04</vt:lpstr>
      <vt:lpstr>Tags!NEBITD_2Q05</vt:lpstr>
      <vt:lpstr>NEBITD_2Q05</vt:lpstr>
      <vt:lpstr>Tags!NEBITD_2Q06</vt:lpstr>
      <vt:lpstr>NEBITD_2Q06</vt:lpstr>
      <vt:lpstr>Tags!NEBITD_2Q07</vt:lpstr>
      <vt:lpstr>NEBITD_2Q07</vt:lpstr>
      <vt:lpstr>Tags!NEBITD_2Q08</vt:lpstr>
      <vt:lpstr>NEBITD_2Q08</vt:lpstr>
      <vt:lpstr>Tags!NEBITD_2Q09</vt:lpstr>
      <vt:lpstr>NEBITD_2Q09</vt:lpstr>
      <vt:lpstr>Tags!NEBITD_2Q10</vt:lpstr>
      <vt:lpstr>NEBITD_2Q10</vt:lpstr>
      <vt:lpstr>Tags!NEBITD_2Q11</vt:lpstr>
      <vt:lpstr>NEBITD_2Q11</vt:lpstr>
      <vt:lpstr>Tags!NEBITD_2Q12</vt:lpstr>
      <vt:lpstr>NEBITD_2Q12</vt:lpstr>
      <vt:lpstr>Tags!NEBITD_2Q13</vt:lpstr>
      <vt:lpstr>NEBITD_2Q13</vt:lpstr>
      <vt:lpstr>Tags!NEBITD_2Q14</vt:lpstr>
      <vt:lpstr>NEBITD_2Q14</vt:lpstr>
      <vt:lpstr>Tags!NEBITD_2Q15</vt:lpstr>
      <vt:lpstr>NEBITD_2Q15</vt:lpstr>
      <vt:lpstr>Tags!NEBITD_2Q16</vt:lpstr>
      <vt:lpstr>NEBITD_2Q16</vt:lpstr>
      <vt:lpstr>Tags!NEBITD_2Q17</vt:lpstr>
      <vt:lpstr>NEBITD_2Q17</vt:lpstr>
      <vt:lpstr>Tags!NEBITD_2Q18</vt:lpstr>
      <vt:lpstr>NEBITD_2Q18</vt:lpstr>
      <vt:lpstr>Tags!NEBITD_2Q19</vt:lpstr>
      <vt:lpstr>NEBITD_2Q19</vt:lpstr>
      <vt:lpstr>Tags!NEBITD_2Q20</vt:lpstr>
      <vt:lpstr>NEBITD_2Q20</vt:lpstr>
      <vt:lpstr>NEBITD_2Q21</vt:lpstr>
      <vt:lpstr>NEBITD_2Q22</vt:lpstr>
      <vt:lpstr>NEBITD_2Q23</vt:lpstr>
      <vt:lpstr>NEBITD_2Q24</vt:lpstr>
      <vt:lpstr>Tags!NEBITD_3Q00</vt:lpstr>
      <vt:lpstr>NEBITD_3Q00</vt:lpstr>
      <vt:lpstr>Tags!NEBITD_3Q01</vt:lpstr>
      <vt:lpstr>NEBITD_3Q01</vt:lpstr>
      <vt:lpstr>Tags!NEBITD_3Q02</vt:lpstr>
      <vt:lpstr>NEBITD_3Q02</vt:lpstr>
      <vt:lpstr>Tags!NEBITD_3Q03</vt:lpstr>
      <vt:lpstr>NEBITD_3Q03</vt:lpstr>
      <vt:lpstr>Tags!NEBITD_3Q04</vt:lpstr>
      <vt:lpstr>NEBITD_3Q04</vt:lpstr>
      <vt:lpstr>Tags!NEBITD_3Q05</vt:lpstr>
      <vt:lpstr>NEBITD_3Q05</vt:lpstr>
      <vt:lpstr>Tags!NEBITD_3Q06</vt:lpstr>
      <vt:lpstr>NEBITD_3Q06</vt:lpstr>
      <vt:lpstr>Tags!NEBITD_3Q07</vt:lpstr>
      <vt:lpstr>NEBITD_3Q07</vt:lpstr>
      <vt:lpstr>Tags!NEBITD_3Q08</vt:lpstr>
      <vt:lpstr>NEBITD_3Q08</vt:lpstr>
      <vt:lpstr>Tags!NEBITD_3Q09</vt:lpstr>
      <vt:lpstr>NEBITD_3Q09</vt:lpstr>
      <vt:lpstr>Tags!NEBITD_3Q10</vt:lpstr>
      <vt:lpstr>NEBITD_3Q10</vt:lpstr>
      <vt:lpstr>Tags!NEBITD_3Q11</vt:lpstr>
      <vt:lpstr>NEBITD_3Q11</vt:lpstr>
      <vt:lpstr>Tags!NEBITD_3Q12</vt:lpstr>
      <vt:lpstr>NEBITD_3Q12</vt:lpstr>
      <vt:lpstr>Tags!NEBITD_3Q13</vt:lpstr>
      <vt:lpstr>NEBITD_3Q13</vt:lpstr>
      <vt:lpstr>Tags!NEBITD_3Q14</vt:lpstr>
      <vt:lpstr>NEBITD_3Q14</vt:lpstr>
      <vt:lpstr>Tags!NEBITD_3Q15</vt:lpstr>
      <vt:lpstr>NEBITD_3Q15</vt:lpstr>
      <vt:lpstr>Tags!NEBITD_3Q16</vt:lpstr>
      <vt:lpstr>NEBITD_3Q16</vt:lpstr>
      <vt:lpstr>Tags!NEBITD_3Q17</vt:lpstr>
      <vt:lpstr>NEBITD_3Q17</vt:lpstr>
      <vt:lpstr>Tags!NEBITD_3Q18</vt:lpstr>
      <vt:lpstr>NEBITD_3Q18</vt:lpstr>
      <vt:lpstr>Tags!NEBITD_3Q19</vt:lpstr>
      <vt:lpstr>NEBITD_3Q19</vt:lpstr>
      <vt:lpstr>Tags!NEBITD_3Q20</vt:lpstr>
      <vt:lpstr>NEBITD_3Q20</vt:lpstr>
      <vt:lpstr>NEBITD_3Q21</vt:lpstr>
      <vt:lpstr>NEBITD_3Q22</vt:lpstr>
      <vt:lpstr>NEBITD_3Q23</vt:lpstr>
      <vt:lpstr>NEBITD_3Q24</vt:lpstr>
      <vt:lpstr>Tags!NEBITD_4Q00</vt:lpstr>
      <vt:lpstr>NEBITD_4Q00</vt:lpstr>
      <vt:lpstr>Tags!NEBITD_4Q01</vt:lpstr>
      <vt:lpstr>NEBITD_4Q01</vt:lpstr>
      <vt:lpstr>Tags!NEBITD_4Q02</vt:lpstr>
      <vt:lpstr>NEBITD_4Q02</vt:lpstr>
      <vt:lpstr>Tags!NEBITD_4Q03</vt:lpstr>
      <vt:lpstr>NEBITD_4Q03</vt:lpstr>
      <vt:lpstr>Tags!NEBITD_4Q04</vt:lpstr>
      <vt:lpstr>NEBITD_4Q04</vt:lpstr>
      <vt:lpstr>Tags!NEBITD_4Q05</vt:lpstr>
      <vt:lpstr>NEBITD_4Q05</vt:lpstr>
      <vt:lpstr>Tags!NEBITD_4Q06</vt:lpstr>
      <vt:lpstr>NEBITD_4Q06</vt:lpstr>
      <vt:lpstr>Tags!NEBITD_4Q07</vt:lpstr>
      <vt:lpstr>NEBITD_4Q07</vt:lpstr>
      <vt:lpstr>Tags!NEBITD_4Q08</vt:lpstr>
      <vt:lpstr>NEBITD_4Q08</vt:lpstr>
      <vt:lpstr>Tags!NEBITD_4Q09</vt:lpstr>
      <vt:lpstr>NEBITD_4Q09</vt:lpstr>
      <vt:lpstr>Tags!NEBITD_4Q10</vt:lpstr>
      <vt:lpstr>NEBITD_4Q10</vt:lpstr>
      <vt:lpstr>Tags!NEBITD_4Q11</vt:lpstr>
      <vt:lpstr>NEBITD_4Q11</vt:lpstr>
      <vt:lpstr>Tags!NEBITD_4Q12</vt:lpstr>
      <vt:lpstr>NEBITD_4Q12</vt:lpstr>
      <vt:lpstr>Tags!NEBITD_4Q13</vt:lpstr>
      <vt:lpstr>NEBITD_4Q13</vt:lpstr>
      <vt:lpstr>Tags!NEBITD_4Q14</vt:lpstr>
      <vt:lpstr>NEBITD_4Q14</vt:lpstr>
      <vt:lpstr>Tags!NEBITD_4Q15</vt:lpstr>
      <vt:lpstr>NEBITD_4Q15</vt:lpstr>
      <vt:lpstr>Tags!NEBITD_4Q16</vt:lpstr>
      <vt:lpstr>NEBITD_4Q16</vt:lpstr>
      <vt:lpstr>Tags!NEBITD_4Q17</vt:lpstr>
      <vt:lpstr>NEBITD_4Q17</vt:lpstr>
      <vt:lpstr>Tags!NEBITD_4Q18</vt:lpstr>
      <vt:lpstr>NEBITD_4Q18</vt:lpstr>
      <vt:lpstr>Tags!NEBITD_4Q19</vt:lpstr>
      <vt:lpstr>NEBITD_4Q19</vt:lpstr>
      <vt:lpstr>Tags!NEBITD_4Q20</vt:lpstr>
      <vt:lpstr>NEBITD_4Q20</vt:lpstr>
      <vt:lpstr>NEBITD_4Q21</vt:lpstr>
      <vt:lpstr>NEBITD_4Q22</vt:lpstr>
      <vt:lpstr>NEBITD_4Q23</vt:lpstr>
      <vt:lpstr>NEBITD_4Q24</vt:lpstr>
      <vt:lpstr>NINT_1995</vt:lpstr>
      <vt:lpstr>NINT_1996</vt:lpstr>
      <vt:lpstr>NINT_1997</vt:lpstr>
      <vt:lpstr>NINT_1998</vt:lpstr>
      <vt:lpstr>NINT_1999</vt:lpstr>
      <vt:lpstr>Tags!NINT_1Q00</vt:lpstr>
      <vt:lpstr>NINT_1Q00</vt:lpstr>
      <vt:lpstr>Tags!NINT_1Q01</vt:lpstr>
      <vt:lpstr>NINT_1Q01</vt:lpstr>
      <vt:lpstr>Tags!NINT_1Q02</vt:lpstr>
      <vt:lpstr>NINT_1Q02</vt:lpstr>
      <vt:lpstr>Tags!NINT_1Q03</vt:lpstr>
      <vt:lpstr>NINT_1Q03</vt:lpstr>
      <vt:lpstr>Tags!NINT_1Q04</vt:lpstr>
      <vt:lpstr>NINT_1Q04</vt:lpstr>
      <vt:lpstr>Tags!NINT_1Q05</vt:lpstr>
      <vt:lpstr>NINT_1Q05</vt:lpstr>
      <vt:lpstr>Tags!NINT_1Q06</vt:lpstr>
      <vt:lpstr>NINT_1Q06</vt:lpstr>
      <vt:lpstr>Tags!NINT_1Q07</vt:lpstr>
      <vt:lpstr>NINT_1Q07</vt:lpstr>
      <vt:lpstr>Tags!NINT_1Q08</vt:lpstr>
      <vt:lpstr>NINT_1Q08</vt:lpstr>
      <vt:lpstr>Tags!NINT_1Q09</vt:lpstr>
      <vt:lpstr>NINT_1Q09</vt:lpstr>
      <vt:lpstr>Tags!NINT_1Q10</vt:lpstr>
      <vt:lpstr>NINT_1Q10</vt:lpstr>
      <vt:lpstr>Tags!NINT_1Q11</vt:lpstr>
      <vt:lpstr>NINT_1Q11</vt:lpstr>
      <vt:lpstr>Tags!NINT_1Q12</vt:lpstr>
      <vt:lpstr>NINT_1Q12</vt:lpstr>
      <vt:lpstr>Tags!NINT_1Q13</vt:lpstr>
      <vt:lpstr>NINT_1Q13</vt:lpstr>
      <vt:lpstr>Tags!NINT_1Q14</vt:lpstr>
      <vt:lpstr>NINT_1Q14</vt:lpstr>
      <vt:lpstr>Tags!NINT_1Q15</vt:lpstr>
      <vt:lpstr>NINT_1Q15</vt:lpstr>
      <vt:lpstr>Tags!NINT_1Q16</vt:lpstr>
      <vt:lpstr>NINT_1Q16</vt:lpstr>
      <vt:lpstr>Tags!NINT_1Q17</vt:lpstr>
      <vt:lpstr>NINT_1Q17</vt:lpstr>
      <vt:lpstr>Tags!NINT_1Q18</vt:lpstr>
      <vt:lpstr>NINT_1Q18</vt:lpstr>
      <vt:lpstr>Tags!NINT_1Q19</vt:lpstr>
      <vt:lpstr>NINT_1Q19</vt:lpstr>
      <vt:lpstr>Tags!NINT_1Q20</vt:lpstr>
      <vt:lpstr>NINT_1Q20</vt:lpstr>
      <vt:lpstr>NINT_1Q21</vt:lpstr>
      <vt:lpstr>NINT_1Q22</vt:lpstr>
      <vt:lpstr>NINT_1Q23</vt:lpstr>
      <vt:lpstr>NINT_1Q24</vt:lpstr>
      <vt:lpstr>Tags!NINT_2000</vt:lpstr>
      <vt:lpstr>NINT_2000</vt:lpstr>
      <vt:lpstr>Tags!NINT_2001</vt:lpstr>
      <vt:lpstr>NINT_2001</vt:lpstr>
      <vt:lpstr>Tags!NINT_2002</vt:lpstr>
      <vt:lpstr>NINT_2002</vt:lpstr>
      <vt:lpstr>Tags!NINT_2003</vt:lpstr>
      <vt:lpstr>NINT_2003</vt:lpstr>
      <vt:lpstr>Tags!NINT_2004</vt:lpstr>
      <vt:lpstr>NINT_2004</vt:lpstr>
      <vt:lpstr>Tags!NINT_2005</vt:lpstr>
      <vt:lpstr>NINT_2005</vt:lpstr>
      <vt:lpstr>Tags!NINT_2006</vt:lpstr>
      <vt:lpstr>NINT_2006</vt:lpstr>
      <vt:lpstr>Tags!NINT_2007</vt:lpstr>
      <vt:lpstr>NINT_2007</vt:lpstr>
      <vt:lpstr>Tags!NINT_2008</vt:lpstr>
      <vt:lpstr>NINT_2008</vt:lpstr>
      <vt:lpstr>Tags!NINT_2009</vt:lpstr>
      <vt:lpstr>NINT_2009</vt:lpstr>
      <vt:lpstr>Tags!NINT_2010</vt:lpstr>
      <vt:lpstr>NINT_2010</vt:lpstr>
      <vt:lpstr>Tags!NINT_2011</vt:lpstr>
      <vt:lpstr>NINT_2011</vt:lpstr>
      <vt:lpstr>Tags!NINT_2012</vt:lpstr>
      <vt:lpstr>NINT_2012</vt:lpstr>
      <vt:lpstr>Tags!NINT_2013</vt:lpstr>
      <vt:lpstr>NINT_2013</vt:lpstr>
      <vt:lpstr>Tags!NINT_2014</vt:lpstr>
      <vt:lpstr>NINT_2014</vt:lpstr>
      <vt:lpstr>NINT_2015</vt:lpstr>
      <vt:lpstr>Tags!NINT_2016</vt:lpstr>
      <vt:lpstr>NINT_2016</vt:lpstr>
      <vt:lpstr>Tags!NINT_2017</vt:lpstr>
      <vt:lpstr>NINT_2017</vt:lpstr>
      <vt:lpstr>Tags!NINT_2018</vt:lpstr>
      <vt:lpstr>NINT_2018</vt:lpstr>
      <vt:lpstr>Tags!NINT_2019</vt:lpstr>
      <vt:lpstr>NINT_2019</vt:lpstr>
      <vt:lpstr>Tags!NINT_2020</vt:lpstr>
      <vt:lpstr>NINT_2020</vt:lpstr>
      <vt:lpstr>NINT_2021</vt:lpstr>
      <vt:lpstr>NINT_2022</vt:lpstr>
      <vt:lpstr>NINT_2023</vt:lpstr>
      <vt:lpstr>NINT_2024</vt:lpstr>
      <vt:lpstr>Tags!NINT_2Q00</vt:lpstr>
      <vt:lpstr>NINT_2Q00</vt:lpstr>
      <vt:lpstr>Tags!NINT_2Q01</vt:lpstr>
      <vt:lpstr>NINT_2Q01</vt:lpstr>
      <vt:lpstr>Tags!NINT_2Q02</vt:lpstr>
      <vt:lpstr>NINT_2Q02</vt:lpstr>
      <vt:lpstr>Tags!NINT_2Q03</vt:lpstr>
      <vt:lpstr>NINT_2Q03</vt:lpstr>
      <vt:lpstr>Tags!NINT_2Q04</vt:lpstr>
      <vt:lpstr>NINT_2Q04</vt:lpstr>
      <vt:lpstr>Tags!NINT_2Q05</vt:lpstr>
      <vt:lpstr>NINT_2Q05</vt:lpstr>
      <vt:lpstr>Tags!NINT_2Q06</vt:lpstr>
      <vt:lpstr>NINT_2Q06</vt:lpstr>
      <vt:lpstr>Tags!NINT_2Q07</vt:lpstr>
      <vt:lpstr>NINT_2Q07</vt:lpstr>
      <vt:lpstr>Tags!NINT_2Q08</vt:lpstr>
      <vt:lpstr>NINT_2Q08</vt:lpstr>
      <vt:lpstr>Tags!NINT_2Q09</vt:lpstr>
      <vt:lpstr>NINT_2Q09</vt:lpstr>
      <vt:lpstr>Tags!NINT_2Q10</vt:lpstr>
      <vt:lpstr>NINT_2Q10</vt:lpstr>
      <vt:lpstr>Tags!NINT_2Q11</vt:lpstr>
      <vt:lpstr>NINT_2Q11</vt:lpstr>
      <vt:lpstr>Tags!NINT_2Q12</vt:lpstr>
      <vt:lpstr>NINT_2Q12</vt:lpstr>
      <vt:lpstr>Tags!NINT_2Q13</vt:lpstr>
      <vt:lpstr>NINT_2Q13</vt:lpstr>
      <vt:lpstr>Tags!NINT_2Q14</vt:lpstr>
      <vt:lpstr>NINT_2Q14</vt:lpstr>
      <vt:lpstr>Tags!NINT_2Q15</vt:lpstr>
      <vt:lpstr>NINT_2Q15</vt:lpstr>
      <vt:lpstr>Tags!NINT_2Q16</vt:lpstr>
      <vt:lpstr>NINT_2Q16</vt:lpstr>
      <vt:lpstr>Tags!NINT_2Q17</vt:lpstr>
      <vt:lpstr>NINT_2Q17</vt:lpstr>
      <vt:lpstr>Tags!NINT_2Q18</vt:lpstr>
      <vt:lpstr>NINT_2Q18</vt:lpstr>
      <vt:lpstr>Tags!NINT_2Q19</vt:lpstr>
      <vt:lpstr>NINT_2Q19</vt:lpstr>
      <vt:lpstr>Tags!NINT_2Q20</vt:lpstr>
      <vt:lpstr>NINT_2Q20</vt:lpstr>
      <vt:lpstr>NINT_2Q21</vt:lpstr>
      <vt:lpstr>NINT_2Q22</vt:lpstr>
      <vt:lpstr>NINT_2Q23</vt:lpstr>
      <vt:lpstr>NINT_2Q24</vt:lpstr>
      <vt:lpstr>Tags!NINT_3Q00</vt:lpstr>
      <vt:lpstr>NINT_3Q00</vt:lpstr>
      <vt:lpstr>Tags!NINT_3Q01</vt:lpstr>
      <vt:lpstr>NINT_3Q01</vt:lpstr>
      <vt:lpstr>Tags!NINT_3Q02</vt:lpstr>
      <vt:lpstr>NINT_3Q02</vt:lpstr>
      <vt:lpstr>Tags!NINT_3Q03</vt:lpstr>
      <vt:lpstr>NINT_3Q03</vt:lpstr>
      <vt:lpstr>Tags!NINT_3Q04</vt:lpstr>
      <vt:lpstr>NINT_3Q04</vt:lpstr>
      <vt:lpstr>Tags!NINT_3Q05</vt:lpstr>
      <vt:lpstr>NINT_3Q05</vt:lpstr>
      <vt:lpstr>Tags!NINT_3Q06</vt:lpstr>
      <vt:lpstr>NINT_3Q06</vt:lpstr>
      <vt:lpstr>Tags!NINT_3Q07</vt:lpstr>
      <vt:lpstr>NINT_3Q07</vt:lpstr>
      <vt:lpstr>Tags!NINT_3Q08</vt:lpstr>
      <vt:lpstr>NINT_3Q08</vt:lpstr>
      <vt:lpstr>Tags!NINT_3Q09</vt:lpstr>
      <vt:lpstr>NINT_3Q09</vt:lpstr>
      <vt:lpstr>Tags!NINT_3Q10</vt:lpstr>
      <vt:lpstr>NINT_3Q10</vt:lpstr>
      <vt:lpstr>Tags!NINT_3Q11</vt:lpstr>
      <vt:lpstr>NINT_3Q11</vt:lpstr>
      <vt:lpstr>Tags!NINT_3Q12</vt:lpstr>
      <vt:lpstr>NINT_3Q12</vt:lpstr>
      <vt:lpstr>Tags!NINT_3Q13</vt:lpstr>
      <vt:lpstr>NINT_3Q13</vt:lpstr>
      <vt:lpstr>Tags!NINT_3Q14</vt:lpstr>
      <vt:lpstr>NINT_3Q14</vt:lpstr>
      <vt:lpstr>Tags!NINT_3Q15</vt:lpstr>
      <vt:lpstr>NINT_3Q15</vt:lpstr>
      <vt:lpstr>Tags!NINT_3Q16</vt:lpstr>
      <vt:lpstr>NINT_3Q16</vt:lpstr>
      <vt:lpstr>Tags!NINT_3Q17</vt:lpstr>
      <vt:lpstr>NINT_3Q17</vt:lpstr>
      <vt:lpstr>Tags!NINT_3Q18</vt:lpstr>
      <vt:lpstr>NINT_3Q18</vt:lpstr>
      <vt:lpstr>Tags!NINT_3Q19</vt:lpstr>
      <vt:lpstr>NINT_3Q19</vt:lpstr>
      <vt:lpstr>Tags!NINT_3Q20</vt:lpstr>
      <vt:lpstr>NINT_3Q20</vt:lpstr>
      <vt:lpstr>NINT_3Q21</vt:lpstr>
      <vt:lpstr>NINT_3Q22</vt:lpstr>
      <vt:lpstr>NINT_3Q23</vt:lpstr>
      <vt:lpstr>NINT_3Q24</vt:lpstr>
      <vt:lpstr>Tags!NINT_4Q00</vt:lpstr>
      <vt:lpstr>NINT_4Q00</vt:lpstr>
      <vt:lpstr>Tags!NINT_4Q01</vt:lpstr>
      <vt:lpstr>NINT_4Q01</vt:lpstr>
      <vt:lpstr>Tags!NINT_4Q02</vt:lpstr>
      <vt:lpstr>NINT_4Q02</vt:lpstr>
      <vt:lpstr>Tags!NINT_4Q03</vt:lpstr>
      <vt:lpstr>NINT_4Q03</vt:lpstr>
      <vt:lpstr>Tags!NINT_4Q04</vt:lpstr>
      <vt:lpstr>NINT_4Q04</vt:lpstr>
      <vt:lpstr>Tags!NINT_4Q05</vt:lpstr>
      <vt:lpstr>NINT_4Q05</vt:lpstr>
      <vt:lpstr>Tags!NINT_4Q06</vt:lpstr>
      <vt:lpstr>NINT_4Q06</vt:lpstr>
      <vt:lpstr>Tags!NINT_4Q07</vt:lpstr>
      <vt:lpstr>NINT_4Q07</vt:lpstr>
      <vt:lpstr>Tags!NINT_4Q08</vt:lpstr>
      <vt:lpstr>NINT_4Q08</vt:lpstr>
      <vt:lpstr>Tags!NINT_4Q09</vt:lpstr>
      <vt:lpstr>NINT_4Q09</vt:lpstr>
      <vt:lpstr>Tags!NINT_4Q10</vt:lpstr>
      <vt:lpstr>NINT_4Q10</vt:lpstr>
      <vt:lpstr>Tags!NINT_4Q11</vt:lpstr>
      <vt:lpstr>NINT_4Q11</vt:lpstr>
      <vt:lpstr>Tags!NINT_4Q12</vt:lpstr>
      <vt:lpstr>NINT_4Q12</vt:lpstr>
      <vt:lpstr>Tags!NINT_4Q13</vt:lpstr>
      <vt:lpstr>NINT_4Q13</vt:lpstr>
      <vt:lpstr>Tags!NINT_4Q14</vt:lpstr>
      <vt:lpstr>NINT_4Q14</vt:lpstr>
      <vt:lpstr>Tags!NINT_4Q15</vt:lpstr>
      <vt:lpstr>NINT_4Q15</vt:lpstr>
      <vt:lpstr>Tags!NINT_4Q16</vt:lpstr>
      <vt:lpstr>NINT_4Q16</vt:lpstr>
      <vt:lpstr>Tags!NINT_4Q17</vt:lpstr>
      <vt:lpstr>NINT_4Q17</vt:lpstr>
      <vt:lpstr>Tags!NINT_4Q18</vt:lpstr>
      <vt:lpstr>NINT_4Q18</vt:lpstr>
      <vt:lpstr>Tags!NINT_4Q19</vt:lpstr>
      <vt:lpstr>NINT_4Q19</vt:lpstr>
      <vt:lpstr>Tags!NINT_4Q20</vt:lpstr>
      <vt:lpstr>NINT_4Q20</vt:lpstr>
      <vt:lpstr>NINT_4Q21</vt:lpstr>
      <vt:lpstr>NINT_4Q22</vt:lpstr>
      <vt:lpstr>NINT_4Q23</vt:lpstr>
      <vt:lpstr>NINT_4Q24</vt:lpstr>
      <vt:lpstr>NPENAS_1995</vt:lpstr>
      <vt:lpstr>NPENAS_1996</vt:lpstr>
      <vt:lpstr>NPENAS_1997</vt:lpstr>
      <vt:lpstr>NPENAS_1998</vt:lpstr>
      <vt:lpstr>NPENAS_1999</vt:lpstr>
      <vt:lpstr>Tags!NPENAS_1Q00</vt:lpstr>
      <vt:lpstr>NPENAS_1Q00</vt:lpstr>
      <vt:lpstr>Tags!NPENAS_1Q01</vt:lpstr>
      <vt:lpstr>NPENAS_1Q01</vt:lpstr>
      <vt:lpstr>Tags!NPENAS_1Q02</vt:lpstr>
      <vt:lpstr>NPENAS_1Q02</vt:lpstr>
      <vt:lpstr>Tags!NPENAS_1Q03</vt:lpstr>
      <vt:lpstr>NPENAS_1Q03</vt:lpstr>
      <vt:lpstr>Tags!NPENAS_1Q04</vt:lpstr>
      <vt:lpstr>NPENAS_1Q04</vt:lpstr>
      <vt:lpstr>Tags!NPENAS_1Q05</vt:lpstr>
      <vt:lpstr>NPENAS_1Q05</vt:lpstr>
      <vt:lpstr>Tags!NPENAS_1Q06</vt:lpstr>
      <vt:lpstr>NPENAS_1Q06</vt:lpstr>
      <vt:lpstr>Tags!NPENAS_1Q07</vt:lpstr>
      <vt:lpstr>NPENAS_1Q07</vt:lpstr>
      <vt:lpstr>Tags!NPENAS_1Q08</vt:lpstr>
      <vt:lpstr>NPENAS_1Q08</vt:lpstr>
      <vt:lpstr>Tags!NPENAS_1Q09</vt:lpstr>
      <vt:lpstr>NPENAS_1Q09</vt:lpstr>
      <vt:lpstr>Tags!NPENAS_1Q10</vt:lpstr>
      <vt:lpstr>NPENAS_1Q10</vt:lpstr>
      <vt:lpstr>Tags!NPENAS_1Q11</vt:lpstr>
      <vt:lpstr>NPENAS_1Q11</vt:lpstr>
      <vt:lpstr>Tags!NPENAS_1Q12</vt:lpstr>
      <vt:lpstr>NPENAS_1Q12</vt:lpstr>
      <vt:lpstr>Tags!NPENAS_1Q13</vt:lpstr>
      <vt:lpstr>NPENAS_1Q13</vt:lpstr>
      <vt:lpstr>Tags!NPENAS_1Q14</vt:lpstr>
      <vt:lpstr>NPENAS_1Q14</vt:lpstr>
      <vt:lpstr>Tags!NPENAS_1Q15</vt:lpstr>
      <vt:lpstr>NPENAS_1Q15</vt:lpstr>
      <vt:lpstr>Tags!NPENAS_1Q16</vt:lpstr>
      <vt:lpstr>NPENAS_1Q16</vt:lpstr>
      <vt:lpstr>Tags!NPENAS_1Q17</vt:lpstr>
      <vt:lpstr>NPENAS_1Q17</vt:lpstr>
      <vt:lpstr>Tags!NPENAS_1Q18</vt:lpstr>
      <vt:lpstr>NPENAS_1Q18</vt:lpstr>
      <vt:lpstr>Tags!NPENAS_1Q19</vt:lpstr>
      <vt:lpstr>NPENAS_1Q19</vt:lpstr>
      <vt:lpstr>Tags!NPENAS_1Q20</vt:lpstr>
      <vt:lpstr>NPENAS_1Q20</vt:lpstr>
      <vt:lpstr>NPENAS_1Q21</vt:lpstr>
      <vt:lpstr>NPENAS_1Q22</vt:lpstr>
      <vt:lpstr>NPENAS_1Q23</vt:lpstr>
      <vt:lpstr>NPENAS_1Q24</vt:lpstr>
      <vt:lpstr>Tags!NPENAS_2000</vt:lpstr>
      <vt:lpstr>NPENAS_2000</vt:lpstr>
      <vt:lpstr>Tags!NPENAS_2001</vt:lpstr>
      <vt:lpstr>NPENAS_2001</vt:lpstr>
      <vt:lpstr>Tags!NPENAS_2002</vt:lpstr>
      <vt:lpstr>NPENAS_2002</vt:lpstr>
      <vt:lpstr>Tags!NPENAS_2003</vt:lpstr>
      <vt:lpstr>NPENAS_2003</vt:lpstr>
      <vt:lpstr>Tags!NPENAS_2004</vt:lpstr>
      <vt:lpstr>NPENAS_2004</vt:lpstr>
      <vt:lpstr>Tags!NPENAS_2005</vt:lpstr>
      <vt:lpstr>NPENAS_2005</vt:lpstr>
      <vt:lpstr>Tags!NPENAS_2006</vt:lpstr>
      <vt:lpstr>NPENAS_2006</vt:lpstr>
      <vt:lpstr>Tags!NPENAS_2007</vt:lpstr>
      <vt:lpstr>NPENAS_2007</vt:lpstr>
      <vt:lpstr>Tags!NPENAS_2008</vt:lpstr>
      <vt:lpstr>NPENAS_2008</vt:lpstr>
      <vt:lpstr>Tags!NPENAS_2009</vt:lpstr>
      <vt:lpstr>NPENAS_2009</vt:lpstr>
      <vt:lpstr>Tags!NPENAS_2010</vt:lpstr>
      <vt:lpstr>NPENAS_2010</vt:lpstr>
      <vt:lpstr>Tags!NPENAS_2011</vt:lpstr>
      <vt:lpstr>NPENAS_2011</vt:lpstr>
      <vt:lpstr>Tags!NPENAS_2012</vt:lpstr>
      <vt:lpstr>NPENAS_2012</vt:lpstr>
      <vt:lpstr>Tags!NPENAS_2013</vt:lpstr>
      <vt:lpstr>NPENAS_2013</vt:lpstr>
      <vt:lpstr>Tags!NPENAS_2014</vt:lpstr>
      <vt:lpstr>NPENAS_2014</vt:lpstr>
      <vt:lpstr>NPENAS_2015</vt:lpstr>
      <vt:lpstr>Tags!NPENAS_2016</vt:lpstr>
      <vt:lpstr>NPENAS_2016</vt:lpstr>
      <vt:lpstr>Tags!NPENAS_2017</vt:lpstr>
      <vt:lpstr>NPENAS_2017</vt:lpstr>
      <vt:lpstr>Tags!NPENAS_2018</vt:lpstr>
      <vt:lpstr>NPENAS_2018</vt:lpstr>
      <vt:lpstr>Tags!NPENAS_2019</vt:lpstr>
      <vt:lpstr>NPENAS_2019</vt:lpstr>
      <vt:lpstr>Tags!NPENAS_2020</vt:lpstr>
      <vt:lpstr>NPENAS_2020</vt:lpstr>
      <vt:lpstr>NPENAS_2021</vt:lpstr>
      <vt:lpstr>NPENAS_2022</vt:lpstr>
      <vt:lpstr>NPENAS_2023</vt:lpstr>
      <vt:lpstr>NPENAS_2024</vt:lpstr>
      <vt:lpstr>Tags!NPENAS_2Q00</vt:lpstr>
      <vt:lpstr>NPENAS_2Q00</vt:lpstr>
      <vt:lpstr>Tags!NPENAS_2Q01</vt:lpstr>
      <vt:lpstr>NPENAS_2Q01</vt:lpstr>
      <vt:lpstr>Tags!NPENAS_2Q02</vt:lpstr>
      <vt:lpstr>NPENAS_2Q02</vt:lpstr>
      <vt:lpstr>Tags!NPENAS_2Q03</vt:lpstr>
      <vt:lpstr>NPENAS_2Q03</vt:lpstr>
      <vt:lpstr>Tags!NPENAS_2Q04</vt:lpstr>
      <vt:lpstr>NPENAS_2Q04</vt:lpstr>
      <vt:lpstr>Tags!NPENAS_2Q05</vt:lpstr>
      <vt:lpstr>NPENAS_2Q05</vt:lpstr>
      <vt:lpstr>Tags!NPENAS_2Q06</vt:lpstr>
      <vt:lpstr>NPENAS_2Q06</vt:lpstr>
      <vt:lpstr>Tags!NPENAS_2Q07</vt:lpstr>
      <vt:lpstr>NPENAS_2Q07</vt:lpstr>
      <vt:lpstr>Tags!NPENAS_2Q08</vt:lpstr>
      <vt:lpstr>NPENAS_2Q08</vt:lpstr>
      <vt:lpstr>Tags!NPENAS_2Q09</vt:lpstr>
      <vt:lpstr>NPENAS_2Q09</vt:lpstr>
      <vt:lpstr>Tags!NPENAS_2Q10</vt:lpstr>
      <vt:lpstr>NPENAS_2Q10</vt:lpstr>
      <vt:lpstr>Tags!NPENAS_2Q11</vt:lpstr>
      <vt:lpstr>NPENAS_2Q11</vt:lpstr>
      <vt:lpstr>Tags!NPENAS_2Q12</vt:lpstr>
      <vt:lpstr>NPENAS_2Q12</vt:lpstr>
      <vt:lpstr>Tags!NPENAS_2Q13</vt:lpstr>
      <vt:lpstr>NPENAS_2Q13</vt:lpstr>
      <vt:lpstr>Tags!NPENAS_2Q14</vt:lpstr>
      <vt:lpstr>NPENAS_2Q14</vt:lpstr>
      <vt:lpstr>Tags!NPENAS_2Q15</vt:lpstr>
      <vt:lpstr>NPENAS_2Q15</vt:lpstr>
      <vt:lpstr>Tags!NPENAS_2Q16</vt:lpstr>
      <vt:lpstr>NPENAS_2Q16</vt:lpstr>
      <vt:lpstr>Tags!NPENAS_2Q17</vt:lpstr>
      <vt:lpstr>NPENAS_2Q17</vt:lpstr>
      <vt:lpstr>Tags!NPENAS_2Q18</vt:lpstr>
      <vt:lpstr>NPENAS_2Q18</vt:lpstr>
      <vt:lpstr>Tags!NPENAS_2Q19</vt:lpstr>
      <vt:lpstr>NPENAS_2Q19</vt:lpstr>
      <vt:lpstr>Tags!NPENAS_2Q20</vt:lpstr>
      <vt:lpstr>NPENAS_2Q20</vt:lpstr>
      <vt:lpstr>NPENAS_2Q21</vt:lpstr>
      <vt:lpstr>NPENAS_2Q22</vt:lpstr>
      <vt:lpstr>NPENAS_2Q23</vt:lpstr>
      <vt:lpstr>NPENAS_2Q24</vt:lpstr>
      <vt:lpstr>Tags!NPENAS_3Q00</vt:lpstr>
      <vt:lpstr>NPENAS_3Q00</vt:lpstr>
      <vt:lpstr>Tags!NPENAS_3Q01</vt:lpstr>
      <vt:lpstr>NPENAS_3Q01</vt:lpstr>
      <vt:lpstr>Tags!NPENAS_3Q02</vt:lpstr>
      <vt:lpstr>NPENAS_3Q02</vt:lpstr>
      <vt:lpstr>Tags!NPENAS_3Q03</vt:lpstr>
      <vt:lpstr>NPENAS_3Q03</vt:lpstr>
      <vt:lpstr>Tags!NPENAS_3Q04</vt:lpstr>
      <vt:lpstr>NPENAS_3Q04</vt:lpstr>
      <vt:lpstr>Tags!NPENAS_3Q05</vt:lpstr>
      <vt:lpstr>NPENAS_3Q05</vt:lpstr>
      <vt:lpstr>Tags!NPENAS_3Q06</vt:lpstr>
      <vt:lpstr>NPENAS_3Q06</vt:lpstr>
      <vt:lpstr>Tags!NPENAS_3Q07</vt:lpstr>
      <vt:lpstr>NPENAS_3Q07</vt:lpstr>
      <vt:lpstr>Tags!NPENAS_3Q08</vt:lpstr>
      <vt:lpstr>NPENAS_3Q08</vt:lpstr>
      <vt:lpstr>Tags!NPENAS_3Q09</vt:lpstr>
      <vt:lpstr>NPENAS_3Q09</vt:lpstr>
      <vt:lpstr>Tags!NPENAS_3Q10</vt:lpstr>
      <vt:lpstr>NPENAS_3Q10</vt:lpstr>
      <vt:lpstr>Tags!NPENAS_3Q11</vt:lpstr>
      <vt:lpstr>NPENAS_3Q11</vt:lpstr>
      <vt:lpstr>Tags!NPENAS_3Q12</vt:lpstr>
      <vt:lpstr>NPENAS_3Q12</vt:lpstr>
      <vt:lpstr>Tags!NPENAS_3Q13</vt:lpstr>
      <vt:lpstr>NPENAS_3Q13</vt:lpstr>
      <vt:lpstr>Tags!NPENAS_3Q14</vt:lpstr>
      <vt:lpstr>NPENAS_3Q14</vt:lpstr>
      <vt:lpstr>Tags!NPENAS_3Q15</vt:lpstr>
      <vt:lpstr>NPENAS_3Q15</vt:lpstr>
      <vt:lpstr>Tags!NPENAS_3Q16</vt:lpstr>
      <vt:lpstr>NPENAS_3Q16</vt:lpstr>
      <vt:lpstr>Tags!NPENAS_3Q17</vt:lpstr>
      <vt:lpstr>NPENAS_3Q17</vt:lpstr>
      <vt:lpstr>Tags!NPENAS_3Q18</vt:lpstr>
      <vt:lpstr>NPENAS_3Q18</vt:lpstr>
      <vt:lpstr>Tags!NPENAS_3Q19</vt:lpstr>
      <vt:lpstr>NPENAS_3Q19</vt:lpstr>
      <vt:lpstr>Tags!NPENAS_3Q20</vt:lpstr>
      <vt:lpstr>NPENAS_3Q20</vt:lpstr>
      <vt:lpstr>NPENAS_3Q21</vt:lpstr>
      <vt:lpstr>NPENAS_3Q22</vt:lpstr>
      <vt:lpstr>NPENAS_3Q23</vt:lpstr>
      <vt:lpstr>NPENAS_3Q24</vt:lpstr>
      <vt:lpstr>Tags!NPENAS_4Q00</vt:lpstr>
      <vt:lpstr>NPENAS_4Q00</vt:lpstr>
      <vt:lpstr>Tags!NPENAS_4Q01</vt:lpstr>
      <vt:lpstr>NPENAS_4Q01</vt:lpstr>
      <vt:lpstr>Tags!NPENAS_4Q02</vt:lpstr>
      <vt:lpstr>NPENAS_4Q02</vt:lpstr>
      <vt:lpstr>Tags!NPENAS_4Q03</vt:lpstr>
      <vt:lpstr>NPENAS_4Q03</vt:lpstr>
      <vt:lpstr>Tags!NPENAS_4Q04</vt:lpstr>
      <vt:lpstr>NPENAS_4Q04</vt:lpstr>
      <vt:lpstr>Tags!NPENAS_4Q05</vt:lpstr>
      <vt:lpstr>NPENAS_4Q05</vt:lpstr>
      <vt:lpstr>Tags!NPENAS_4Q06</vt:lpstr>
      <vt:lpstr>NPENAS_4Q06</vt:lpstr>
      <vt:lpstr>Tags!NPENAS_4Q07</vt:lpstr>
      <vt:lpstr>NPENAS_4Q07</vt:lpstr>
      <vt:lpstr>Tags!NPENAS_4Q08</vt:lpstr>
      <vt:lpstr>NPENAS_4Q08</vt:lpstr>
      <vt:lpstr>Tags!NPENAS_4Q09</vt:lpstr>
      <vt:lpstr>NPENAS_4Q09</vt:lpstr>
      <vt:lpstr>Tags!NPENAS_4Q10</vt:lpstr>
      <vt:lpstr>NPENAS_4Q10</vt:lpstr>
      <vt:lpstr>Tags!NPENAS_4Q11</vt:lpstr>
      <vt:lpstr>NPENAS_4Q11</vt:lpstr>
      <vt:lpstr>Tags!NPENAS_4Q12</vt:lpstr>
      <vt:lpstr>NPENAS_4Q12</vt:lpstr>
      <vt:lpstr>Tags!NPENAS_4Q13</vt:lpstr>
      <vt:lpstr>NPENAS_4Q13</vt:lpstr>
      <vt:lpstr>Tags!NPENAS_4Q14</vt:lpstr>
      <vt:lpstr>NPENAS_4Q14</vt:lpstr>
      <vt:lpstr>Tags!NPENAS_4Q15</vt:lpstr>
      <vt:lpstr>NPENAS_4Q15</vt:lpstr>
      <vt:lpstr>Tags!NPENAS_4Q16</vt:lpstr>
      <vt:lpstr>NPENAS_4Q16</vt:lpstr>
      <vt:lpstr>Tags!NPENAS_4Q17</vt:lpstr>
      <vt:lpstr>NPENAS_4Q17</vt:lpstr>
      <vt:lpstr>Tags!NPENAS_4Q18</vt:lpstr>
      <vt:lpstr>NPENAS_4Q18</vt:lpstr>
      <vt:lpstr>Tags!NPENAS_4Q19</vt:lpstr>
      <vt:lpstr>NPENAS_4Q19</vt:lpstr>
      <vt:lpstr>Tags!NPENAS_4Q20</vt:lpstr>
      <vt:lpstr>NPENAS_4Q20</vt:lpstr>
      <vt:lpstr>NPENAS_4Q21</vt:lpstr>
      <vt:lpstr>NPENAS_4Q22</vt:lpstr>
      <vt:lpstr>NPENAS_4Q23</vt:lpstr>
      <vt:lpstr>NPENAS_4Q24</vt:lpstr>
      <vt:lpstr>NREVS_1995</vt:lpstr>
      <vt:lpstr>NREVS_1996</vt:lpstr>
      <vt:lpstr>NREVS_1997</vt:lpstr>
      <vt:lpstr>NREVS_1998</vt:lpstr>
      <vt:lpstr>NREVS_1999</vt:lpstr>
      <vt:lpstr>Tags!NREVS_1Q00</vt:lpstr>
      <vt:lpstr>NREVS_1Q00</vt:lpstr>
      <vt:lpstr>Tags!NREVS_1Q01</vt:lpstr>
      <vt:lpstr>NREVS_1Q01</vt:lpstr>
      <vt:lpstr>Tags!NREVS_1Q02</vt:lpstr>
      <vt:lpstr>NREVS_1Q02</vt:lpstr>
      <vt:lpstr>Tags!NREVS_1Q03</vt:lpstr>
      <vt:lpstr>NREVS_1Q03</vt:lpstr>
      <vt:lpstr>Tags!NREVS_1Q04</vt:lpstr>
      <vt:lpstr>NREVS_1Q04</vt:lpstr>
      <vt:lpstr>Tags!NREVS_1Q05</vt:lpstr>
      <vt:lpstr>NREVS_1Q05</vt:lpstr>
      <vt:lpstr>Tags!NREVS_1Q06</vt:lpstr>
      <vt:lpstr>NREVS_1Q06</vt:lpstr>
      <vt:lpstr>Tags!NREVS_1Q07</vt:lpstr>
      <vt:lpstr>NREVS_1Q07</vt:lpstr>
      <vt:lpstr>Tags!NREVS_1Q08</vt:lpstr>
      <vt:lpstr>NREVS_1Q08</vt:lpstr>
      <vt:lpstr>Tags!NREVS_1Q09</vt:lpstr>
      <vt:lpstr>NREVS_1Q09</vt:lpstr>
      <vt:lpstr>Tags!NREVS_1Q10</vt:lpstr>
      <vt:lpstr>NREVS_1Q10</vt:lpstr>
      <vt:lpstr>Tags!NREVS_1Q11</vt:lpstr>
      <vt:lpstr>NREVS_1Q11</vt:lpstr>
      <vt:lpstr>Tags!NREVS_1Q12</vt:lpstr>
      <vt:lpstr>NREVS_1Q12</vt:lpstr>
      <vt:lpstr>Tags!NREVS_1Q13</vt:lpstr>
      <vt:lpstr>NREVS_1Q13</vt:lpstr>
      <vt:lpstr>Tags!NREVS_1Q14</vt:lpstr>
      <vt:lpstr>NREVS_1Q14</vt:lpstr>
      <vt:lpstr>Tags!NREVS_1Q15</vt:lpstr>
      <vt:lpstr>NREVS_1Q15</vt:lpstr>
      <vt:lpstr>Tags!NREVS_1Q16</vt:lpstr>
      <vt:lpstr>NREVS_1Q16</vt:lpstr>
      <vt:lpstr>Tags!NREVS_1Q17</vt:lpstr>
      <vt:lpstr>NREVS_1Q17</vt:lpstr>
      <vt:lpstr>Tags!NREVS_1Q18</vt:lpstr>
      <vt:lpstr>NREVS_1Q18</vt:lpstr>
      <vt:lpstr>Tags!NREVS_1Q19</vt:lpstr>
      <vt:lpstr>NREVS_1Q19</vt:lpstr>
      <vt:lpstr>Tags!NREVS_1Q20</vt:lpstr>
      <vt:lpstr>NREVS_1Q20</vt:lpstr>
      <vt:lpstr>NREVS_1Q21</vt:lpstr>
      <vt:lpstr>NREVS_1Q22</vt:lpstr>
      <vt:lpstr>NREVS_1Q23</vt:lpstr>
      <vt:lpstr>NREVS_1Q24</vt:lpstr>
      <vt:lpstr>Tags!NREVS_2000</vt:lpstr>
      <vt:lpstr>NREVS_2000</vt:lpstr>
      <vt:lpstr>Tags!NREVS_2001</vt:lpstr>
      <vt:lpstr>NREVS_2001</vt:lpstr>
      <vt:lpstr>Tags!NREVS_2002</vt:lpstr>
      <vt:lpstr>NREVS_2002</vt:lpstr>
      <vt:lpstr>Tags!NREVS_2003</vt:lpstr>
      <vt:lpstr>NREVS_2003</vt:lpstr>
      <vt:lpstr>Tags!NREVS_2004</vt:lpstr>
      <vt:lpstr>NREVS_2004</vt:lpstr>
      <vt:lpstr>Tags!NREVS_2005</vt:lpstr>
      <vt:lpstr>NREVS_2005</vt:lpstr>
      <vt:lpstr>Tags!NREVS_2006</vt:lpstr>
      <vt:lpstr>NREVS_2006</vt:lpstr>
      <vt:lpstr>Tags!NREVS_2007</vt:lpstr>
      <vt:lpstr>NREVS_2007</vt:lpstr>
      <vt:lpstr>Tags!NREVS_2008</vt:lpstr>
      <vt:lpstr>NREVS_2008</vt:lpstr>
      <vt:lpstr>Tags!NREVS_2009</vt:lpstr>
      <vt:lpstr>NREVS_2009</vt:lpstr>
      <vt:lpstr>Tags!NREVS_2010</vt:lpstr>
      <vt:lpstr>NREVS_2010</vt:lpstr>
      <vt:lpstr>Tags!NREVS_2011</vt:lpstr>
      <vt:lpstr>NREVS_2011</vt:lpstr>
      <vt:lpstr>Tags!NREVS_2012</vt:lpstr>
      <vt:lpstr>NREVS_2012</vt:lpstr>
      <vt:lpstr>Tags!NREVS_2013</vt:lpstr>
      <vt:lpstr>NREVS_2013</vt:lpstr>
      <vt:lpstr>Tags!NREVS_2014</vt:lpstr>
      <vt:lpstr>NREVS_2014</vt:lpstr>
      <vt:lpstr>NREVS_2015</vt:lpstr>
      <vt:lpstr>Tags!NREVS_2016</vt:lpstr>
      <vt:lpstr>NREVS_2016</vt:lpstr>
      <vt:lpstr>Tags!NREVS_2017</vt:lpstr>
      <vt:lpstr>NREVS_2017</vt:lpstr>
      <vt:lpstr>Tags!NREVS_2018</vt:lpstr>
      <vt:lpstr>NREVS_2018</vt:lpstr>
      <vt:lpstr>Tags!NREVS_2019</vt:lpstr>
      <vt:lpstr>NREVS_2019</vt:lpstr>
      <vt:lpstr>Tags!NREVS_2020</vt:lpstr>
      <vt:lpstr>NREVS_2020</vt:lpstr>
      <vt:lpstr>NREVS_2021</vt:lpstr>
      <vt:lpstr>NREVS_2022</vt:lpstr>
      <vt:lpstr>NREVS_2023</vt:lpstr>
      <vt:lpstr>NREVS_2024</vt:lpstr>
      <vt:lpstr>Tags!NREVS_2Q00</vt:lpstr>
      <vt:lpstr>NREVS_2Q00</vt:lpstr>
      <vt:lpstr>Tags!NREVS_2Q01</vt:lpstr>
      <vt:lpstr>NREVS_2Q01</vt:lpstr>
      <vt:lpstr>Tags!NREVS_2Q02</vt:lpstr>
      <vt:lpstr>NREVS_2Q02</vt:lpstr>
      <vt:lpstr>Tags!NREVS_2Q03</vt:lpstr>
      <vt:lpstr>NREVS_2Q03</vt:lpstr>
      <vt:lpstr>Tags!NREVS_2Q04</vt:lpstr>
      <vt:lpstr>NREVS_2Q04</vt:lpstr>
      <vt:lpstr>Tags!NREVS_2Q05</vt:lpstr>
      <vt:lpstr>NREVS_2Q05</vt:lpstr>
      <vt:lpstr>Tags!NREVS_2Q06</vt:lpstr>
      <vt:lpstr>NREVS_2Q06</vt:lpstr>
      <vt:lpstr>Tags!NREVS_2Q07</vt:lpstr>
      <vt:lpstr>NREVS_2Q07</vt:lpstr>
      <vt:lpstr>Tags!NREVS_2Q08</vt:lpstr>
      <vt:lpstr>NREVS_2Q08</vt:lpstr>
      <vt:lpstr>Tags!NREVS_2Q09</vt:lpstr>
      <vt:lpstr>NREVS_2Q09</vt:lpstr>
      <vt:lpstr>Tags!NREVS_2Q10</vt:lpstr>
      <vt:lpstr>NREVS_2Q10</vt:lpstr>
      <vt:lpstr>Tags!NREVS_2Q11</vt:lpstr>
      <vt:lpstr>NREVS_2Q11</vt:lpstr>
      <vt:lpstr>Tags!NREVS_2Q12</vt:lpstr>
      <vt:lpstr>NREVS_2Q12</vt:lpstr>
      <vt:lpstr>Tags!NREVS_2Q13</vt:lpstr>
      <vt:lpstr>NREVS_2Q13</vt:lpstr>
      <vt:lpstr>Tags!NREVS_2Q14</vt:lpstr>
      <vt:lpstr>NREVS_2Q14</vt:lpstr>
      <vt:lpstr>Tags!NREVS_2Q15</vt:lpstr>
      <vt:lpstr>NREVS_2Q15</vt:lpstr>
      <vt:lpstr>Tags!NREVS_2Q16</vt:lpstr>
      <vt:lpstr>NREVS_2Q16</vt:lpstr>
      <vt:lpstr>Tags!NREVS_2Q17</vt:lpstr>
      <vt:lpstr>NREVS_2Q17</vt:lpstr>
      <vt:lpstr>Tags!NREVS_2Q18</vt:lpstr>
      <vt:lpstr>NREVS_2Q18</vt:lpstr>
      <vt:lpstr>Tags!NREVS_2Q19</vt:lpstr>
      <vt:lpstr>NREVS_2Q19</vt:lpstr>
      <vt:lpstr>Tags!NREVS_2Q20</vt:lpstr>
      <vt:lpstr>NREVS_2Q20</vt:lpstr>
      <vt:lpstr>NREVS_2Q21</vt:lpstr>
      <vt:lpstr>NREVS_2Q22</vt:lpstr>
      <vt:lpstr>NREVS_2Q23</vt:lpstr>
      <vt:lpstr>NREVS_2Q24</vt:lpstr>
      <vt:lpstr>Tags!NREVS_3Q00</vt:lpstr>
      <vt:lpstr>NREVS_3Q00</vt:lpstr>
      <vt:lpstr>Tags!NREVS_3Q01</vt:lpstr>
      <vt:lpstr>NREVS_3Q01</vt:lpstr>
      <vt:lpstr>Tags!NREVS_3Q02</vt:lpstr>
      <vt:lpstr>NREVS_3Q02</vt:lpstr>
      <vt:lpstr>Tags!NREVS_3Q03</vt:lpstr>
      <vt:lpstr>NREVS_3Q03</vt:lpstr>
      <vt:lpstr>Tags!NREVS_3Q04</vt:lpstr>
      <vt:lpstr>NREVS_3Q04</vt:lpstr>
      <vt:lpstr>Tags!NREVS_3Q05</vt:lpstr>
      <vt:lpstr>NREVS_3Q05</vt:lpstr>
      <vt:lpstr>Tags!NREVS_3Q06</vt:lpstr>
      <vt:lpstr>NREVS_3Q06</vt:lpstr>
      <vt:lpstr>Tags!NREVS_3Q07</vt:lpstr>
      <vt:lpstr>NREVS_3Q07</vt:lpstr>
      <vt:lpstr>Tags!NREVS_3Q08</vt:lpstr>
      <vt:lpstr>NREVS_3Q08</vt:lpstr>
      <vt:lpstr>Tags!NREVS_3Q09</vt:lpstr>
      <vt:lpstr>NREVS_3Q09</vt:lpstr>
      <vt:lpstr>Tags!NREVS_3Q10</vt:lpstr>
      <vt:lpstr>NREVS_3Q10</vt:lpstr>
      <vt:lpstr>Tags!NREVS_3Q11</vt:lpstr>
      <vt:lpstr>NREVS_3Q11</vt:lpstr>
      <vt:lpstr>Tags!NREVS_3Q12</vt:lpstr>
      <vt:lpstr>NREVS_3Q12</vt:lpstr>
      <vt:lpstr>Tags!NREVS_3Q13</vt:lpstr>
      <vt:lpstr>NREVS_3Q13</vt:lpstr>
      <vt:lpstr>Tags!NREVS_3Q14</vt:lpstr>
      <vt:lpstr>NREVS_3Q14</vt:lpstr>
      <vt:lpstr>Tags!NREVS_3Q15</vt:lpstr>
      <vt:lpstr>NREVS_3Q15</vt:lpstr>
      <vt:lpstr>Tags!NREVS_3Q16</vt:lpstr>
      <vt:lpstr>NREVS_3Q16</vt:lpstr>
      <vt:lpstr>Tags!NREVS_3Q17</vt:lpstr>
      <vt:lpstr>NREVS_3Q17</vt:lpstr>
      <vt:lpstr>Tags!NREVS_3Q18</vt:lpstr>
      <vt:lpstr>NREVS_3Q18</vt:lpstr>
      <vt:lpstr>Tags!NREVS_3Q19</vt:lpstr>
      <vt:lpstr>NREVS_3Q19</vt:lpstr>
      <vt:lpstr>Tags!NREVS_3Q20</vt:lpstr>
      <vt:lpstr>NREVS_3Q20</vt:lpstr>
      <vt:lpstr>NREVS_3Q21</vt:lpstr>
      <vt:lpstr>NREVS_3Q22</vt:lpstr>
      <vt:lpstr>NREVS_3Q23</vt:lpstr>
      <vt:lpstr>NREVS_3Q24</vt:lpstr>
      <vt:lpstr>Tags!NREVS_4Q00</vt:lpstr>
      <vt:lpstr>NREVS_4Q00</vt:lpstr>
      <vt:lpstr>Tags!NREVS_4Q01</vt:lpstr>
      <vt:lpstr>NREVS_4Q01</vt:lpstr>
      <vt:lpstr>Tags!NREVS_4Q02</vt:lpstr>
      <vt:lpstr>NREVS_4Q02</vt:lpstr>
      <vt:lpstr>Tags!NREVS_4Q03</vt:lpstr>
      <vt:lpstr>NREVS_4Q03</vt:lpstr>
      <vt:lpstr>Tags!NREVS_4Q04</vt:lpstr>
      <vt:lpstr>NREVS_4Q04</vt:lpstr>
      <vt:lpstr>Tags!NREVS_4Q05</vt:lpstr>
      <vt:lpstr>NREVS_4Q05</vt:lpstr>
      <vt:lpstr>Tags!NREVS_4Q06</vt:lpstr>
      <vt:lpstr>NREVS_4Q06</vt:lpstr>
      <vt:lpstr>Tags!NREVS_4Q07</vt:lpstr>
      <vt:lpstr>NREVS_4Q07</vt:lpstr>
      <vt:lpstr>Tags!NREVS_4Q08</vt:lpstr>
      <vt:lpstr>NREVS_4Q08</vt:lpstr>
      <vt:lpstr>Tags!NREVS_4Q09</vt:lpstr>
      <vt:lpstr>NREVS_4Q09</vt:lpstr>
      <vt:lpstr>Tags!NREVS_4Q10</vt:lpstr>
      <vt:lpstr>NREVS_4Q10</vt:lpstr>
      <vt:lpstr>Tags!NREVS_4Q11</vt:lpstr>
      <vt:lpstr>NREVS_4Q11</vt:lpstr>
      <vt:lpstr>Tags!NREVS_4Q12</vt:lpstr>
      <vt:lpstr>NREVS_4Q12</vt:lpstr>
      <vt:lpstr>Tags!NREVS_4Q13</vt:lpstr>
      <vt:lpstr>NREVS_4Q13</vt:lpstr>
      <vt:lpstr>Tags!NREVS_4Q14</vt:lpstr>
      <vt:lpstr>NREVS_4Q14</vt:lpstr>
      <vt:lpstr>Tags!NREVS_4Q15</vt:lpstr>
      <vt:lpstr>NREVS_4Q15</vt:lpstr>
      <vt:lpstr>Tags!NREVS_4Q16</vt:lpstr>
      <vt:lpstr>NREVS_4Q16</vt:lpstr>
      <vt:lpstr>Tags!NREVS_4Q17</vt:lpstr>
      <vt:lpstr>NREVS_4Q17</vt:lpstr>
      <vt:lpstr>Tags!NREVS_4Q18</vt:lpstr>
      <vt:lpstr>NREVS_4Q18</vt:lpstr>
      <vt:lpstr>Tags!NREVS_4Q19</vt:lpstr>
      <vt:lpstr>NREVS_4Q19</vt:lpstr>
      <vt:lpstr>Tags!NREVS_4Q20</vt:lpstr>
      <vt:lpstr>NREVS_4Q20</vt:lpstr>
      <vt:lpstr>NREVS_4Q21</vt:lpstr>
      <vt:lpstr>NREVS_4Q22</vt:lpstr>
      <vt:lpstr>NREVS_4Q23</vt:lpstr>
      <vt:lpstr>NREVS_4Q24</vt:lpstr>
      <vt:lpstr>OCASS_1995</vt:lpstr>
      <vt:lpstr>OCASS_1996</vt:lpstr>
      <vt:lpstr>OCASS_1997</vt:lpstr>
      <vt:lpstr>OCASS_1998</vt:lpstr>
      <vt:lpstr>OCASS_1999</vt:lpstr>
      <vt:lpstr>Tags!OCASS_1Q00</vt:lpstr>
      <vt:lpstr>OCASS_1Q00</vt:lpstr>
      <vt:lpstr>Tags!OCASS_1Q01</vt:lpstr>
      <vt:lpstr>OCASS_1Q01</vt:lpstr>
      <vt:lpstr>Tags!OCASS_1Q02</vt:lpstr>
      <vt:lpstr>OCASS_1Q02</vt:lpstr>
      <vt:lpstr>Tags!OCASS_1Q03</vt:lpstr>
      <vt:lpstr>OCASS_1Q03</vt:lpstr>
      <vt:lpstr>Tags!OCASS_1Q04</vt:lpstr>
      <vt:lpstr>OCASS_1Q04</vt:lpstr>
      <vt:lpstr>Tags!OCASS_1Q05</vt:lpstr>
      <vt:lpstr>OCASS_1Q05</vt:lpstr>
      <vt:lpstr>Tags!OCASS_1Q06</vt:lpstr>
      <vt:lpstr>OCASS_1Q06</vt:lpstr>
      <vt:lpstr>Tags!OCASS_1Q07</vt:lpstr>
      <vt:lpstr>OCASS_1Q07</vt:lpstr>
      <vt:lpstr>Tags!OCASS_1Q08</vt:lpstr>
      <vt:lpstr>OCASS_1Q08</vt:lpstr>
      <vt:lpstr>Tags!OCASS_1Q09</vt:lpstr>
      <vt:lpstr>OCASS_1Q09</vt:lpstr>
      <vt:lpstr>Tags!OCASS_1Q10</vt:lpstr>
      <vt:lpstr>OCASS_1Q10</vt:lpstr>
      <vt:lpstr>Tags!OCASS_1Q11</vt:lpstr>
      <vt:lpstr>OCASS_1Q11</vt:lpstr>
      <vt:lpstr>Tags!OCASS_1Q12</vt:lpstr>
      <vt:lpstr>OCASS_1Q12</vt:lpstr>
      <vt:lpstr>Tags!OCASS_1Q13</vt:lpstr>
      <vt:lpstr>OCASS_1Q13</vt:lpstr>
      <vt:lpstr>Tags!OCASS_1Q14</vt:lpstr>
      <vt:lpstr>OCASS_1Q14</vt:lpstr>
      <vt:lpstr>Tags!OCASS_1Q15</vt:lpstr>
      <vt:lpstr>OCASS_1Q15</vt:lpstr>
      <vt:lpstr>Tags!OCASS_1Q16</vt:lpstr>
      <vt:lpstr>OCASS_1Q16</vt:lpstr>
      <vt:lpstr>Tags!OCASS_1Q17</vt:lpstr>
      <vt:lpstr>OCASS_1Q17</vt:lpstr>
      <vt:lpstr>Tags!OCASS_1Q18</vt:lpstr>
      <vt:lpstr>OCASS_1Q18</vt:lpstr>
      <vt:lpstr>Tags!OCASS_1Q19</vt:lpstr>
      <vt:lpstr>OCASS_1Q19</vt:lpstr>
      <vt:lpstr>Tags!OCASS_1Q20</vt:lpstr>
      <vt:lpstr>OCASS_1Q20</vt:lpstr>
      <vt:lpstr>OCASS_1Q21</vt:lpstr>
      <vt:lpstr>OCASS_1Q22</vt:lpstr>
      <vt:lpstr>OCASS_1Q23</vt:lpstr>
      <vt:lpstr>OCASS_1Q24</vt:lpstr>
      <vt:lpstr>Tags!OCASS_2000</vt:lpstr>
      <vt:lpstr>OCASS_2000</vt:lpstr>
      <vt:lpstr>Tags!OCASS_2001</vt:lpstr>
      <vt:lpstr>OCASS_2001</vt:lpstr>
      <vt:lpstr>Tags!OCASS_2002</vt:lpstr>
      <vt:lpstr>OCASS_2002</vt:lpstr>
      <vt:lpstr>Tags!OCASS_2003</vt:lpstr>
      <vt:lpstr>OCASS_2003</vt:lpstr>
      <vt:lpstr>Tags!OCASS_2004</vt:lpstr>
      <vt:lpstr>OCASS_2004</vt:lpstr>
      <vt:lpstr>Tags!OCASS_2005</vt:lpstr>
      <vt:lpstr>OCASS_2005</vt:lpstr>
      <vt:lpstr>Tags!OCASS_2006</vt:lpstr>
      <vt:lpstr>OCASS_2006</vt:lpstr>
      <vt:lpstr>Tags!OCASS_2007</vt:lpstr>
      <vt:lpstr>OCASS_2007</vt:lpstr>
      <vt:lpstr>Tags!OCASS_2008</vt:lpstr>
      <vt:lpstr>OCASS_2008</vt:lpstr>
      <vt:lpstr>Tags!OCASS_2009</vt:lpstr>
      <vt:lpstr>OCASS_2009</vt:lpstr>
      <vt:lpstr>Tags!OCASS_2010</vt:lpstr>
      <vt:lpstr>OCASS_2010</vt:lpstr>
      <vt:lpstr>Tags!OCASS_2011</vt:lpstr>
      <vt:lpstr>OCASS_2011</vt:lpstr>
      <vt:lpstr>Tags!OCASS_2012</vt:lpstr>
      <vt:lpstr>OCASS_2012</vt:lpstr>
      <vt:lpstr>Tags!OCASS_2013</vt:lpstr>
      <vt:lpstr>OCASS_2013</vt:lpstr>
      <vt:lpstr>Tags!OCASS_2014</vt:lpstr>
      <vt:lpstr>OCASS_2014</vt:lpstr>
      <vt:lpstr>OCASS_2015</vt:lpstr>
      <vt:lpstr>Tags!OCASS_2016</vt:lpstr>
      <vt:lpstr>OCASS_2016</vt:lpstr>
      <vt:lpstr>Tags!OCASS_2017</vt:lpstr>
      <vt:lpstr>OCASS_2017</vt:lpstr>
      <vt:lpstr>Tags!OCASS_2018</vt:lpstr>
      <vt:lpstr>OCASS_2018</vt:lpstr>
      <vt:lpstr>Tags!OCASS_2019</vt:lpstr>
      <vt:lpstr>OCASS_2019</vt:lpstr>
      <vt:lpstr>Tags!OCASS_2020</vt:lpstr>
      <vt:lpstr>OCASS_2020</vt:lpstr>
      <vt:lpstr>OCASS_2021</vt:lpstr>
      <vt:lpstr>OCASS_2022</vt:lpstr>
      <vt:lpstr>OCASS_2023</vt:lpstr>
      <vt:lpstr>OCASS_2024</vt:lpstr>
      <vt:lpstr>Tags!OCASS_2Q00</vt:lpstr>
      <vt:lpstr>OCASS_2Q00</vt:lpstr>
      <vt:lpstr>Tags!OCASS_2Q01</vt:lpstr>
      <vt:lpstr>OCASS_2Q01</vt:lpstr>
      <vt:lpstr>Tags!OCASS_2Q02</vt:lpstr>
      <vt:lpstr>OCASS_2Q02</vt:lpstr>
      <vt:lpstr>Tags!OCASS_2Q03</vt:lpstr>
      <vt:lpstr>OCASS_2Q03</vt:lpstr>
      <vt:lpstr>Tags!OCASS_2Q04</vt:lpstr>
      <vt:lpstr>OCASS_2Q04</vt:lpstr>
      <vt:lpstr>Tags!OCASS_2Q05</vt:lpstr>
      <vt:lpstr>OCASS_2Q05</vt:lpstr>
      <vt:lpstr>Tags!OCASS_2Q06</vt:lpstr>
      <vt:lpstr>OCASS_2Q06</vt:lpstr>
      <vt:lpstr>Tags!OCASS_2Q07</vt:lpstr>
      <vt:lpstr>OCASS_2Q07</vt:lpstr>
      <vt:lpstr>Tags!OCASS_2Q08</vt:lpstr>
      <vt:lpstr>OCASS_2Q08</vt:lpstr>
      <vt:lpstr>Tags!OCASS_2Q09</vt:lpstr>
      <vt:lpstr>OCASS_2Q09</vt:lpstr>
      <vt:lpstr>Tags!OCASS_2Q10</vt:lpstr>
      <vt:lpstr>OCASS_2Q10</vt:lpstr>
      <vt:lpstr>Tags!OCASS_2Q11</vt:lpstr>
      <vt:lpstr>OCASS_2Q11</vt:lpstr>
      <vt:lpstr>Tags!OCASS_2Q12</vt:lpstr>
      <vt:lpstr>OCASS_2Q12</vt:lpstr>
      <vt:lpstr>Tags!OCASS_2Q13</vt:lpstr>
      <vt:lpstr>OCASS_2Q13</vt:lpstr>
      <vt:lpstr>Tags!OCASS_2Q14</vt:lpstr>
      <vt:lpstr>OCASS_2Q14</vt:lpstr>
      <vt:lpstr>Tags!OCASS_2Q15</vt:lpstr>
      <vt:lpstr>OCASS_2Q15</vt:lpstr>
      <vt:lpstr>Tags!OCASS_2Q16</vt:lpstr>
      <vt:lpstr>OCASS_2Q16</vt:lpstr>
      <vt:lpstr>Tags!OCASS_2Q17</vt:lpstr>
      <vt:lpstr>OCASS_2Q17</vt:lpstr>
      <vt:lpstr>Tags!OCASS_2Q18</vt:lpstr>
      <vt:lpstr>OCASS_2Q18</vt:lpstr>
      <vt:lpstr>Tags!OCASS_2Q19</vt:lpstr>
      <vt:lpstr>OCASS_2Q19</vt:lpstr>
      <vt:lpstr>Tags!OCASS_2Q20</vt:lpstr>
      <vt:lpstr>OCASS_2Q20</vt:lpstr>
      <vt:lpstr>OCASS_2Q21</vt:lpstr>
      <vt:lpstr>OCASS_2Q22</vt:lpstr>
      <vt:lpstr>OCASS_2Q23</vt:lpstr>
      <vt:lpstr>OCASS_2Q24</vt:lpstr>
      <vt:lpstr>Tags!OCASS_3Q00</vt:lpstr>
      <vt:lpstr>OCASS_3Q00</vt:lpstr>
      <vt:lpstr>Tags!OCASS_3Q01</vt:lpstr>
      <vt:lpstr>OCASS_3Q01</vt:lpstr>
      <vt:lpstr>Tags!OCASS_3Q02</vt:lpstr>
      <vt:lpstr>OCASS_3Q02</vt:lpstr>
      <vt:lpstr>Tags!OCASS_3Q03</vt:lpstr>
      <vt:lpstr>OCASS_3Q03</vt:lpstr>
      <vt:lpstr>Tags!OCASS_3Q04</vt:lpstr>
      <vt:lpstr>OCASS_3Q04</vt:lpstr>
      <vt:lpstr>Tags!OCASS_3Q05</vt:lpstr>
      <vt:lpstr>OCASS_3Q05</vt:lpstr>
      <vt:lpstr>Tags!OCASS_3Q06</vt:lpstr>
      <vt:lpstr>OCASS_3Q06</vt:lpstr>
      <vt:lpstr>Tags!OCASS_3Q07</vt:lpstr>
      <vt:lpstr>OCASS_3Q07</vt:lpstr>
      <vt:lpstr>Tags!OCASS_3Q08</vt:lpstr>
      <vt:lpstr>OCASS_3Q08</vt:lpstr>
      <vt:lpstr>Tags!OCASS_3Q09</vt:lpstr>
      <vt:lpstr>OCASS_3Q09</vt:lpstr>
      <vt:lpstr>Tags!OCASS_3Q10</vt:lpstr>
      <vt:lpstr>OCASS_3Q10</vt:lpstr>
      <vt:lpstr>Tags!OCASS_3Q11</vt:lpstr>
      <vt:lpstr>OCASS_3Q11</vt:lpstr>
      <vt:lpstr>Tags!OCASS_3Q12</vt:lpstr>
      <vt:lpstr>OCASS_3Q12</vt:lpstr>
      <vt:lpstr>Tags!OCASS_3Q13</vt:lpstr>
      <vt:lpstr>OCASS_3Q13</vt:lpstr>
      <vt:lpstr>Tags!OCASS_3Q14</vt:lpstr>
      <vt:lpstr>OCASS_3Q14</vt:lpstr>
      <vt:lpstr>Tags!OCASS_3Q15</vt:lpstr>
      <vt:lpstr>OCASS_3Q15</vt:lpstr>
      <vt:lpstr>Tags!OCASS_3Q16</vt:lpstr>
      <vt:lpstr>OCASS_3Q16</vt:lpstr>
      <vt:lpstr>Tags!OCASS_3Q17</vt:lpstr>
      <vt:lpstr>OCASS_3Q17</vt:lpstr>
      <vt:lpstr>Tags!OCASS_3Q18</vt:lpstr>
      <vt:lpstr>OCASS_3Q18</vt:lpstr>
      <vt:lpstr>Tags!OCASS_3Q19</vt:lpstr>
      <vt:lpstr>OCASS_3Q19</vt:lpstr>
      <vt:lpstr>Tags!OCASS_3Q20</vt:lpstr>
      <vt:lpstr>OCASS_3Q20</vt:lpstr>
      <vt:lpstr>OCASS_3Q21</vt:lpstr>
      <vt:lpstr>OCASS_3Q22</vt:lpstr>
      <vt:lpstr>OCASS_3Q23</vt:lpstr>
      <vt:lpstr>OCASS_3Q24</vt:lpstr>
      <vt:lpstr>Tags!OCASS_4Q00</vt:lpstr>
      <vt:lpstr>OCASS_4Q00</vt:lpstr>
      <vt:lpstr>Tags!OCASS_4Q01</vt:lpstr>
      <vt:lpstr>OCASS_4Q01</vt:lpstr>
      <vt:lpstr>Tags!OCASS_4Q02</vt:lpstr>
      <vt:lpstr>OCASS_4Q02</vt:lpstr>
      <vt:lpstr>Tags!OCASS_4Q03</vt:lpstr>
      <vt:lpstr>OCASS_4Q03</vt:lpstr>
      <vt:lpstr>Tags!OCASS_4Q04</vt:lpstr>
      <vt:lpstr>OCASS_4Q04</vt:lpstr>
      <vt:lpstr>Tags!OCASS_4Q05</vt:lpstr>
      <vt:lpstr>OCASS_4Q05</vt:lpstr>
      <vt:lpstr>Tags!OCASS_4Q06</vt:lpstr>
      <vt:lpstr>OCASS_4Q06</vt:lpstr>
      <vt:lpstr>Tags!OCASS_4Q07</vt:lpstr>
      <vt:lpstr>OCASS_4Q07</vt:lpstr>
      <vt:lpstr>Tags!OCASS_4Q08</vt:lpstr>
      <vt:lpstr>OCASS_4Q08</vt:lpstr>
      <vt:lpstr>Tags!OCASS_4Q09</vt:lpstr>
      <vt:lpstr>OCASS_4Q09</vt:lpstr>
      <vt:lpstr>Tags!OCASS_4Q10</vt:lpstr>
      <vt:lpstr>OCASS_4Q10</vt:lpstr>
      <vt:lpstr>Tags!OCASS_4Q11</vt:lpstr>
      <vt:lpstr>OCASS_4Q11</vt:lpstr>
      <vt:lpstr>Tags!OCASS_4Q12</vt:lpstr>
      <vt:lpstr>OCASS_4Q12</vt:lpstr>
      <vt:lpstr>Tags!OCASS_4Q13</vt:lpstr>
      <vt:lpstr>OCASS_4Q13</vt:lpstr>
      <vt:lpstr>Tags!OCASS_4Q14</vt:lpstr>
      <vt:lpstr>OCASS_4Q14</vt:lpstr>
      <vt:lpstr>Tags!OCASS_4Q15</vt:lpstr>
      <vt:lpstr>OCASS_4Q15</vt:lpstr>
      <vt:lpstr>Tags!OCASS_4Q16</vt:lpstr>
      <vt:lpstr>OCASS_4Q16</vt:lpstr>
      <vt:lpstr>Tags!OCASS_4Q17</vt:lpstr>
      <vt:lpstr>OCASS_4Q17</vt:lpstr>
      <vt:lpstr>Tags!OCASS_4Q18</vt:lpstr>
      <vt:lpstr>OCASS_4Q18</vt:lpstr>
      <vt:lpstr>Tags!OCASS_4Q19</vt:lpstr>
      <vt:lpstr>OCASS_4Q19</vt:lpstr>
      <vt:lpstr>Tags!OCASS_4Q20</vt:lpstr>
      <vt:lpstr>OCASS_4Q20</vt:lpstr>
      <vt:lpstr>OCASS_4Q21</vt:lpstr>
      <vt:lpstr>OCASS_4Q22</vt:lpstr>
      <vt:lpstr>OCASS_4Q23</vt:lpstr>
      <vt:lpstr>OCASS_4Q24</vt:lpstr>
      <vt:lpstr>OIFA_1995</vt:lpstr>
      <vt:lpstr>OIFA_1996</vt:lpstr>
      <vt:lpstr>OIFA_1997</vt:lpstr>
      <vt:lpstr>OIFA_1998</vt:lpstr>
      <vt:lpstr>OIFA_1999</vt:lpstr>
      <vt:lpstr>Tags!OIFA_1Q00</vt:lpstr>
      <vt:lpstr>OIFA_1Q00</vt:lpstr>
      <vt:lpstr>Tags!OIFA_1Q01</vt:lpstr>
      <vt:lpstr>OIFA_1Q01</vt:lpstr>
      <vt:lpstr>Tags!OIFA_1Q02</vt:lpstr>
      <vt:lpstr>OIFA_1Q02</vt:lpstr>
      <vt:lpstr>Tags!OIFA_1Q03</vt:lpstr>
      <vt:lpstr>OIFA_1Q03</vt:lpstr>
      <vt:lpstr>Tags!OIFA_1Q04</vt:lpstr>
      <vt:lpstr>OIFA_1Q04</vt:lpstr>
      <vt:lpstr>Tags!OIFA_1Q05</vt:lpstr>
      <vt:lpstr>OIFA_1Q05</vt:lpstr>
      <vt:lpstr>Tags!OIFA_1Q06</vt:lpstr>
      <vt:lpstr>OIFA_1Q06</vt:lpstr>
      <vt:lpstr>Tags!OIFA_1Q07</vt:lpstr>
      <vt:lpstr>OIFA_1Q07</vt:lpstr>
      <vt:lpstr>Tags!OIFA_1Q08</vt:lpstr>
      <vt:lpstr>OIFA_1Q08</vt:lpstr>
      <vt:lpstr>Tags!OIFA_1Q09</vt:lpstr>
      <vt:lpstr>OIFA_1Q09</vt:lpstr>
      <vt:lpstr>Tags!OIFA_1Q10</vt:lpstr>
      <vt:lpstr>OIFA_1Q10</vt:lpstr>
      <vt:lpstr>Tags!OIFA_1Q11</vt:lpstr>
      <vt:lpstr>OIFA_1Q11</vt:lpstr>
      <vt:lpstr>Tags!OIFA_1Q12</vt:lpstr>
      <vt:lpstr>OIFA_1Q12</vt:lpstr>
      <vt:lpstr>Tags!OIFA_1Q13</vt:lpstr>
      <vt:lpstr>OIFA_1Q13</vt:lpstr>
      <vt:lpstr>Tags!OIFA_1Q14</vt:lpstr>
      <vt:lpstr>OIFA_1Q14</vt:lpstr>
      <vt:lpstr>Tags!OIFA_1Q15</vt:lpstr>
      <vt:lpstr>OIFA_1Q15</vt:lpstr>
      <vt:lpstr>Tags!OIFA_1Q16</vt:lpstr>
      <vt:lpstr>OIFA_1Q16</vt:lpstr>
      <vt:lpstr>Tags!OIFA_1Q17</vt:lpstr>
      <vt:lpstr>OIFA_1Q17</vt:lpstr>
      <vt:lpstr>Tags!OIFA_1Q18</vt:lpstr>
      <vt:lpstr>OIFA_1Q18</vt:lpstr>
      <vt:lpstr>Tags!OIFA_1Q19</vt:lpstr>
      <vt:lpstr>OIFA_1Q19</vt:lpstr>
      <vt:lpstr>Tags!OIFA_1Q20</vt:lpstr>
      <vt:lpstr>OIFA_1Q20</vt:lpstr>
      <vt:lpstr>OIFA_1Q21</vt:lpstr>
      <vt:lpstr>OIFA_1Q22</vt:lpstr>
      <vt:lpstr>OIFA_1Q23</vt:lpstr>
      <vt:lpstr>OIFA_1Q24</vt:lpstr>
      <vt:lpstr>Tags!OIFA_2000</vt:lpstr>
      <vt:lpstr>OIFA_2000</vt:lpstr>
      <vt:lpstr>Tags!OIFA_2001</vt:lpstr>
      <vt:lpstr>OIFA_2001</vt:lpstr>
      <vt:lpstr>Tags!OIFA_2002</vt:lpstr>
      <vt:lpstr>OIFA_2002</vt:lpstr>
      <vt:lpstr>Tags!OIFA_2003</vt:lpstr>
      <vt:lpstr>OIFA_2003</vt:lpstr>
      <vt:lpstr>Tags!OIFA_2004</vt:lpstr>
      <vt:lpstr>OIFA_2004</vt:lpstr>
      <vt:lpstr>Tags!OIFA_2005</vt:lpstr>
      <vt:lpstr>OIFA_2005</vt:lpstr>
      <vt:lpstr>Tags!OIFA_2006</vt:lpstr>
      <vt:lpstr>OIFA_2006</vt:lpstr>
      <vt:lpstr>Tags!OIFA_2007</vt:lpstr>
      <vt:lpstr>OIFA_2007</vt:lpstr>
      <vt:lpstr>Tags!OIFA_2008</vt:lpstr>
      <vt:lpstr>OIFA_2008</vt:lpstr>
      <vt:lpstr>Tags!OIFA_2009</vt:lpstr>
      <vt:lpstr>OIFA_2009</vt:lpstr>
      <vt:lpstr>Tags!OIFA_2010</vt:lpstr>
      <vt:lpstr>OIFA_2010</vt:lpstr>
      <vt:lpstr>Tags!OIFA_2011</vt:lpstr>
      <vt:lpstr>OIFA_2011</vt:lpstr>
      <vt:lpstr>Tags!OIFA_2012</vt:lpstr>
      <vt:lpstr>OIFA_2012</vt:lpstr>
      <vt:lpstr>Tags!OIFA_2013</vt:lpstr>
      <vt:lpstr>OIFA_2013</vt:lpstr>
      <vt:lpstr>Tags!OIFA_2014</vt:lpstr>
      <vt:lpstr>OIFA_2014</vt:lpstr>
      <vt:lpstr>OIFA_2015</vt:lpstr>
      <vt:lpstr>Tags!OIFA_2016</vt:lpstr>
      <vt:lpstr>OIFA_2016</vt:lpstr>
      <vt:lpstr>Tags!OIFA_2017</vt:lpstr>
      <vt:lpstr>OIFA_2017</vt:lpstr>
      <vt:lpstr>Tags!OIFA_2018</vt:lpstr>
      <vt:lpstr>OIFA_2018</vt:lpstr>
      <vt:lpstr>Tags!OIFA_2019</vt:lpstr>
      <vt:lpstr>OIFA_2019</vt:lpstr>
      <vt:lpstr>Tags!OIFA_2020</vt:lpstr>
      <vt:lpstr>OIFA_2020</vt:lpstr>
      <vt:lpstr>OIFA_2021</vt:lpstr>
      <vt:lpstr>OIFA_2022</vt:lpstr>
      <vt:lpstr>OIFA_2023</vt:lpstr>
      <vt:lpstr>OIFA_2024</vt:lpstr>
      <vt:lpstr>Tags!OIFA_2Q00</vt:lpstr>
      <vt:lpstr>OIFA_2Q00</vt:lpstr>
      <vt:lpstr>Tags!OIFA_2Q01</vt:lpstr>
      <vt:lpstr>OIFA_2Q01</vt:lpstr>
      <vt:lpstr>Tags!OIFA_2Q02</vt:lpstr>
      <vt:lpstr>OIFA_2Q02</vt:lpstr>
      <vt:lpstr>Tags!OIFA_2Q03</vt:lpstr>
      <vt:lpstr>OIFA_2Q03</vt:lpstr>
      <vt:lpstr>Tags!OIFA_2Q04</vt:lpstr>
      <vt:lpstr>OIFA_2Q04</vt:lpstr>
      <vt:lpstr>Tags!OIFA_2Q05</vt:lpstr>
      <vt:lpstr>OIFA_2Q05</vt:lpstr>
      <vt:lpstr>Tags!OIFA_2Q06</vt:lpstr>
      <vt:lpstr>OIFA_2Q06</vt:lpstr>
      <vt:lpstr>Tags!OIFA_2Q07</vt:lpstr>
      <vt:lpstr>OIFA_2Q07</vt:lpstr>
      <vt:lpstr>Tags!OIFA_2Q08</vt:lpstr>
      <vt:lpstr>OIFA_2Q08</vt:lpstr>
      <vt:lpstr>Tags!OIFA_2Q09</vt:lpstr>
      <vt:lpstr>OIFA_2Q09</vt:lpstr>
      <vt:lpstr>Tags!OIFA_2Q10</vt:lpstr>
      <vt:lpstr>OIFA_2Q10</vt:lpstr>
      <vt:lpstr>Tags!OIFA_2Q11</vt:lpstr>
      <vt:lpstr>OIFA_2Q11</vt:lpstr>
      <vt:lpstr>Tags!OIFA_2Q12</vt:lpstr>
      <vt:lpstr>OIFA_2Q12</vt:lpstr>
      <vt:lpstr>Tags!OIFA_2Q13</vt:lpstr>
      <vt:lpstr>OIFA_2Q13</vt:lpstr>
      <vt:lpstr>Tags!OIFA_2Q14</vt:lpstr>
      <vt:lpstr>OIFA_2Q14</vt:lpstr>
      <vt:lpstr>Tags!OIFA_2Q15</vt:lpstr>
      <vt:lpstr>OIFA_2Q15</vt:lpstr>
      <vt:lpstr>Tags!OIFA_2Q16</vt:lpstr>
      <vt:lpstr>OIFA_2Q16</vt:lpstr>
      <vt:lpstr>Tags!OIFA_2Q17</vt:lpstr>
      <vt:lpstr>OIFA_2Q17</vt:lpstr>
      <vt:lpstr>Tags!OIFA_2Q18</vt:lpstr>
      <vt:lpstr>OIFA_2Q18</vt:lpstr>
      <vt:lpstr>Tags!OIFA_2Q19</vt:lpstr>
      <vt:lpstr>OIFA_2Q19</vt:lpstr>
      <vt:lpstr>Tags!OIFA_2Q20</vt:lpstr>
      <vt:lpstr>OIFA_2Q20</vt:lpstr>
      <vt:lpstr>OIFA_2Q21</vt:lpstr>
      <vt:lpstr>OIFA_2Q22</vt:lpstr>
      <vt:lpstr>OIFA_2Q23</vt:lpstr>
      <vt:lpstr>OIFA_2Q24</vt:lpstr>
      <vt:lpstr>Tags!OIFA_3Q00</vt:lpstr>
      <vt:lpstr>OIFA_3Q00</vt:lpstr>
      <vt:lpstr>Tags!OIFA_3Q01</vt:lpstr>
      <vt:lpstr>OIFA_3Q01</vt:lpstr>
      <vt:lpstr>Tags!OIFA_3Q02</vt:lpstr>
      <vt:lpstr>OIFA_3Q02</vt:lpstr>
      <vt:lpstr>Tags!OIFA_3Q03</vt:lpstr>
      <vt:lpstr>OIFA_3Q03</vt:lpstr>
      <vt:lpstr>Tags!OIFA_3Q04</vt:lpstr>
      <vt:lpstr>OIFA_3Q04</vt:lpstr>
      <vt:lpstr>Tags!OIFA_3Q05</vt:lpstr>
      <vt:lpstr>OIFA_3Q05</vt:lpstr>
      <vt:lpstr>Tags!OIFA_3Q06</vt:lpstr>
      <vt:lpstr>OIFA_3Q06</vt:lpstr>
      <vt:lpstr>Tags!OIFA_3Q07</vt:lpstr>
      <vt:lpstr>OIFA_3Q07</vt:lpstr>
      <vt:lpstr>Tags!OIFA_3Q08</vt:lpstr>
      <vt:lpstr>OIFA_3Q08</vt:lpstr>
      <vt:lpstr>Tags!OIFA_3Q09</vt:lpstr>
      <vt:lpstr>OIFA_3Q09</vt:lpstr>
      <vt:lpstr>Tags!OIFA_3Q10</vt:lpstr>
      <vt:lpstr>OIFA_3Q10</vt:lpstr>
      <vt:lpstr>Tags!OIFA_3Q11</vt:lpstr>
      <vt:lpstr>OIFA_3Q11</vt:lpstr>
      <vt:lpstr>Tags!OIFA_3Q12</vt:lpstr>
      <vt:lpstr>OIFA_3Q12</vt:lpstr>
      <vt:lpstr>Tags!OIFA_3Q13</vt:lpstr>
      <vt:lpstr>OIFA_3Q13</vt:lpstr>
      <vt:lpstr>Tags!OIFA_3Q14</vt:lpstr>
      <vt:lpstr>OIFA_3Q14</vt:lpstr>
      <vt:lpstr>Tags!OIFA_3Q15</vt:lpstr>
      <vt:lpstr>OIFA_3Q15</vt:lpstr>
      <vt:lpstr>Tags!OIFA_3Q16</vt:lpstr>
      <vt:lpstr>OIFA_3Q16</vt:lpstr>
      <vt:lpstr>Tags!OIFA_3Q17</vt:lpstr>
      <vt:lpstr>OIFA_3Q17</vt:lpstr>
      <vt:lpstr>Tags!OIFA_3Q18</vt:lpstr>
      <vt:lpstr>OIFA_3Q18</vt:lpstr>
      <vt:lpstr>Tags!OIFA_3Q19</vt:lpstr>
      <vt:lpstr>OIFA_3Q19</vt:lpstr>
      <vt:lpstr>Tags!OIFA_3Q20</vt:lpstr>
      <vt:lpstr>OIFA_3Q20</vt:lpstr>
      <vt:lpstr>OIFA_3Q21</vt:lpstr>
      <vt:lpstr>OIFA_3Q22</vt:lpstr>
      <vt:lpstr>OIFA_3Q23</vt:lpstr>
      <vt:lpstr>OIFA_3Q24</vt:lpstr>
      <vt:lpstr>Tags!OIFA_4Q00</vt:lpstr>
      <vt:lpstr>OIFA_4Q00</vt:lpstr>
      <vt:lpstr>Tags!OIFA_4Q01</vt:lpstr>
      <vt:lpstr>OIFA_4Q01</vt:lpstr>
      <vt:lpstr>Tags!OIFA_4Q02</vt:lpstr>
      <vt:lpstr>OIFA_4Q02</vt:lpstr>
      <vt:lpstr>Tags!OIFA_4Q03</vt:lpstr>
      <vt:lpstr>OIFA_4Q03</vt:lpstr>
      <vt:lpstr>Tags!OIFA_4Q04</vt:lpstr>
      <vt:lpstr>OIFA_4Q04</vt:lpstr>
      <vt:lpstr>Tags!OIFA_4Q05</vt:lpstr>
      <vt:lpstr>OIFA_4Q05</vt:lpstr>
      <vt:lpstr>Tags!OIFA_4Q06</vt:lpstr>
      <vt:lpstr>OIFA_4Q06</vt:lpstr>
      <vt:lpstr>Tags!OIFA_4Q07</vt:lpstr>
      <vt:lpstr>OIFA_4Q07</vt:lpstr>
      <vt:lpstr>Tags!OIFA_4Q08</vt:lpstr>
      <vt:lpstr>OIFA_4Q08</vt:lpstr>
      <vt:lpstr>Tags!OIFA_4Q09</vt:lpstr>
      <vt:lpstr>OIFA_4Q09</vt:lpstr>
      <vt:lpstr>Tags!OIFA_4Q10</vt:lpstr>
      <vt:lpstr>OIFA_4Q10</vt:lpstr>
      <vt:lpstr>Tags!OIFA_4Q11</vt:lpstr>
      <vt:lpstr>OIFA_4Q11</vt:lpstr>
      <vt:lpstr>Tags!OIFA_4Q12</vt:lpstr>
      <vt:lpstr>OIFA_4Q12</vt:lpstr>
      <vt:lpstr>Tags!OIFA_4Q13</vt:lpstr>
      <vt:lpstr>OIFA_4Q13</vt:lpstr>
      <vt:lpstr>Tags!OIFA_4Q14</vt:lpstr>
      <vt:lpstr>OIFA_4Q14</vt:lpstr>
      <vt:lpstr>Tags!OIFA_4Q15</vt:lpstr>
      <vt:lpstr>OIFA_4Q15</vt:lpstr>
      <vt:lpstr>Tags!OIFA_4Q16</vt:lpstr>
      <vt:lpstr>OIFA_4Q16</vt:lpstr>
      <vt:lpstr>Tags!OIFA_4Q17</vt:lpstr>
      <vt:lpstr>OIFA_4Q17</vt:lpstr>
      <vt:lpstr>Tags!OIFA_4Q18</vt:lpstr>
      <vt:lpstr>OIFA_4Q18</vt:lpstr>
      <vt:lpstr>Tags!OIFA_4Q19</vt:lpstr>
      <vt:lpstr>OIFA_4Q19</vt:lpstr>
      <vt:lpstr>Tags!OIFA_4Q20</vt:lpstr>
      <vt:lpstr>OIFA_4Q20</vt:lpstr>
      <vt:lpstr>OIFA_4Q21</vt:lpstr>
      <vt:lpstr>OIFA_4Q22</vt:lpstr>
      <vt:lpstr>OIFA_4Q23</vt:lpstr>
      <vt:lpstr>OIFA_4Q24</vt:lpstr>
      <vt:lpstr>OLTL_1995</vt:lpstr>
      <vt:lpstr>OLTL_1996</vt:lpstr>
      <vt:lpstr>OLTL_1997</vt:lpstr>
      <vt:lpstr>OLTL_1998</vt:lpstr>
      <vt:lpstr>OLTL_1999</vt:lpstr>
      <vt:lpstr>Tags!OLTL_1Q00</vt:lpstr>
      <vt:lpstr>OLTL_1Q00</vt:lpstr>
      <vt:lpstr>Tags!OLTL_1Q01</vt:lpstr>
      <vt:lpstr>OLTL_1Q01</vt:lpstr>
      <vt:lpstr>Tags!OLTL_1Q02</vt:lpstr>
      <vt:lpstr>OLTL_1Q02</vt:lpstr>
      <vt:lpstr>Tags!OLTL_1Q03</vt:lpstr>
      <vt:lpstr>OLTL_1Q03</vt:lpstr>
      <vt:lpstr>Tags!OLTL_1Q04</vt:lpstr>
      <vt:lpstr>OLTL_1Q04</vt:lpstr>
      <vt:lpstr>Tags!OLTL_1Q05</vt:lpstr>
      <vt:lpstr>OLTL_1Q05</vt:lpstr>
      <vt:lpstr>Tags!OLTL_1Q06</vt:lpstr>
      <vt:lpstr>OLTL_1Q06</vt:lpstr>
      <vt:lpstr>Tags!OLTL_1Q07</vt:lpstr>
      <vt:lpstr>OLTL_1Q07</vt:lpstr>
      <vt:lpstr>Tags!OLTL_1Q08</vt:lpstr>
      <vt:lpstr>OLTL_1Q08</vt:lpstr>
      <vt:lpstr>Tags!OLTL_1Q09</vt:lpstr>
      <vt:lpstr>OLTL_1Q09</vt:lpstr>
      <vt:lpstr>Tags!OLTL_1Q10</vt:lpstr>
      <vt:lpstr>OLTL_1Q10</vt:lpstr>
      <vt:lpstr>Tags!OLTL_1Q11</vt:lpstr>
      <vt:lpstr>OLTL_1Q11</vt:lpstr>
      <vt:lpstr>Tags!OLTL_1Q12</vt:lpstr>
      <vt:lpstr>OLTL_1Q12</vt:lpstr>
      <vt:lpstr>Tags!OLTL_1Q13</vt:lpstr>
      <vt:lpstr>OLTL_1Q13</vt:lpstr>
      <vt:lpstr>Tags!OLTL_1Q14</vt:lpstr>
      <vt:lpstr>OLTL_1Q14</vt:lpstr>
      <vt:lpstr>Tags!OLTL_1Q15</vt:lpstr>
      <vt:lpstr>OLTL_1Q15</vt:lpstr>
      <vt:lpstr>Tags!OLTL_1Q16</vt:lpstr>
      <vt:lpstr>OLTL_1Q16</vt:lpstr>
      <vt:lpstr>Tags!OLTL_1Q17</vt:lpstr>
      <vt:lpstr>OLTL_1Q17</vt:lpstr>
      <vt:lpstr>Tags!OLTL_1Q18</vt:lpstr>
      <vt:lpstr>OLTL_1Q18</vt:lpstr>
      <vt:lpstr>Tags!OLTL_1Q19</vt:lpstr>
      <vt:lpstr>OLTL_1Q19</vt:lpstr>
      <vt:lpstr>Tags!OLTL_1Q20</vt:lpstr>
      <vt:lpstr>OLTL_1Q20</vt:lpstr>
      <vt:lpstr>OLTL_1Q21</vt:lpstr>
      <vt:lpstr>OLTL_1Q22</vt:lpstr>
      <vt:lpstr>OLTL_1Q23</vt:lpstr>
      <vt:lpstr>OLTL_1Q24</vt:lpstr>
      <vt:lpstr>Tags!OLTL_2000</vt:lpstr>
      <vt:lpstr>OLTL_2000</vt:lpstr>
      <vt:lpstr>Tags!OLTL_2001</vt:lpstr>
      <vt:lpstr>OLTL_2001</vt:lpstr>
      <vt:lpstr>Tags!OLTL_2002</vt:lpstr>
      <vt:lpstr>OLTL_2002</vt:lpstr>
      <vt:lpstr>Tags!OLTL_2003</vt:lpstr>
      <vt:lpstr>OLTL_2003</vt:lpstr>
      <vt:lpstr>Tags!OLTL_2004</vt:lpstr>
      <vt:lpstr>OLTL_2004</vt:lpstr>
      <vt:lpstr>Tags!OLTL_2005</vt:lpstr>
      <vt:lpstr>OLTL_2005</vt:lpstr>
      <vt:lpstr>Tags!OLTL_2006</vt:lpstr>
      <vt:lpstr>OLTL_2006</vt:lpstr>
      <vt:lpstr>Tags!OLTL_2007</vt:lpstr>
      <vt:lpstr>OLTL_2007</vt:lpstr>
      <vt:lpstr>Tags!OLTL_2008</vt:lpstr>
      <vt:lpstr>OLTL_2008</vt:lpstr>
      <vt:lpstr>Tags!OLTL_2009</vt:lpstr>
      <vt:lpstr>OLTL_2009</vt:lpstr>
      <vt:lpstr>Tags!OLTL_2010</vt:lpstr>
      <vt:lpstr>OLTL_2010</vt:lpstr>
      <vt:lpstr>Tags!OLTL_2011</vt:lpstr>
      <vt:lpstr>OLTL_2011</vt:lpstr>
      <vt:lpstr>Tags!OLTL_2012</vt:lpstr>
      <vt:lpstr>OLTL_2012</vt:lpstr>
      <vt:lpstr>Tags!OLTL_2013</vt:lpstr>
      <vt:lpstr>OLTL_2013</vt:lpstr>
      <vt:lpstr>Tags!OLTL_2014</vt:lpstr>
      <vt:lpstr>OLTL_2014</vt:lpstr>
      <vt:lpstr>OLTL_2015</vt:lpstr>
      <vt:lpstr>Tags!OLTL_2016</vt:lpstr>
      <vt:lpstr>OLTL_2016</vt:lpstr>
      <vt:lpstr>Tags!OLTL_2017</vt:lpstr>
      <vt:lpstr>OLTL_2017</vt:lpstr>
      <vt:lpstr>Tags!OLTL_2018</vt:lpstr>
      <vt:lpstr>OLTL_2018</vt:lpstr>
      <vt:lpstr>Tags!OLTL_2019</vt:lpstr>
      <vt:lpstr>OLTL_2019</vt:lpstr>
      <vt:lpstr>Tags!OLTL_2020</vt:lpstr>
      <vt:lpstr>OLTL_2020</vt:lpstr>
      <vt:lpstr>OLTL_2021</vt:lpstr>
      <vt:lpstr>OLTL_2022</vt:lpstr>
      <vt:lpstr>OLTL_2023</vt:lpstr>
      <vt:lpstr>OLTL_2024</vt:lpstr>
      <vt:lpstr>Tags!OLTL_2Q00</vt:lpstr>
      <vt:lpstr>OLTL_2Q00</vt:lpstr>
      <vt:lpstr>Tags!OLTL_2Q01</vt:lpstr>
      <vt:lpstr>OLTL_2Q01</vt:lpstr>
      <vt:lpstr>Tags!OLTL_2Q02</vt:lpstr>
      <vt:lpstr>OLTL_2Q02</vt:lpstr>
      <vt:lpstr>Tags!OLTL_2Q03</vt:lpstr>
      <vt:lpstr>OLTL_2Q03</vt:lpstr>
      <vt:lpstr>Tags!OLTL_2Q04</vt:lpstr>
      <vt:lpstr>OLTL_2Q04</vt:lpstr>
      <vt:lpstr>Tags!OLTL_2Q05</vt:lpstr>
      <vt:lpstr>OLTL_2Q05</vt:lpstr>
      <vt:lpstr>Tags!OLTL_2Q06</vt:lpstr>
      <vt:lpstr>OLTL_2Q06</vt:lpstr>
      <vt:lpstr>Tags!OLTL_2Q07</vt:lpstr>
      <vt:lpstr>OLTL_2Q07</vt:lpstr>
      <vt:lpstr>Tags!OLTL_2Q08</vt:lpstr>
      <vt:lpstr>OLTL_2Q08</vt:lpstr>
      <vt:lpstr>Tags!OLTL_2Q09</vt:lpstr>
      <vt:lpstr>OLTL_2Q09</vt:lpstr>
      <vt:lpstr>Tags!OLTL_2Q10</vt:lpstr>
      <vt:lpstr>OLTL_2Q10</vt:lpstr>
      <vt:lpstr>Tags!OLTL_2Q11</vt:lpstr>
      <vt:lpstr>OLTL_2Q11</vt:lpstr>
      <vt:lpstr>Tags!OLTL_2Q12</vt:lpstr>
      <vt:lpstr>OLTL_2Q12</vt:lpstr>
      <vt:lpstr>Tags!OLTL_2Q13</vt:lpstr>
      <vt:lpstr>OLTL_2Q13</vt:lpstr>
      <vt:lpstr>Tags!OLTL_2Q14</vt:lpstr>
      <vt:lpstr>OLTL_2Q14</vt:lpstr>
      <vt:lpstr>Tags!OLTL_2Q15</vt:lpstr>
      <vt:lpstr>OLTL_2Q15</vt:lpstr>
      <vt:lpstr>Tags!OLTL_2Q16</vt:lpstr>
      <vt:lpstr>OLTL_2Q16</vt:lpstr>
      <vt:lpstr>Tags!OLTL_2Q17</vt:lpstr>
      <vt:lpstr>OLTL_2Q17</vt:lpstr>
      <vt:lpstr>Tags!OLTL_2Q18</vt:lpstr>
      <vt:lpstr>OLTL_2Q18</vt:lpstr>
      <vt:lpstr>Tags!OLTL_2Q19</vt:lpstr>
      <vt:lpstr>OLTL_2Q19</vt:lpstr>
      <vt:lpstr>Tags!OLTL_2Q20</vt:lpstr>
      <vt:lpstr>OLTL_2Q20</vt:lpstr>
      <vt:lpstr>OLTL_2Q21</vt:lpstr>
      <vt:lpstr>OLTL_2Q22</vt:lpstr>
      <vt:lpstr>OLTL_2Q23</vt:lpstr>
      <vt:lpstr>OLTL_2Q24</vt:lpstr>
      <vt:lpstr>Tags!OLTL_3Q00</vt:lpstr>
      <vt:lpstr>OLTL_3Q00</vt:lpstr>
      <vt:lpstr>Tags!OLTL_3Q01</vt:lpstr>
      <vt:lpstr>OLTL_3Q01</vt:lpstr>
      <vt:lpstr>Tags!OLTL_3Q02</vt:lpstr>
      <vt:lpstr>OLTL_3Q02</vt:lpstr>
      <vt:lpstr>Tags!OLTL_3Q03</vt:lpstr>
      <vt:lpstr>OLTL_3Q03</vt:lpstr>
      <vt:lpstr>Tags!OLTL_3Q04</vt:lpstr>
      <vt:lpstr>OLTL_3Q04</vt:lpstr>
      <vt:lpstr>Tags!OLTL_3Q05</vt:lpstr>
      <vt:lpstr>OLTL_3Q05</vt:lpstr>
      <vt:lpstr>Tags!OLTL_3Q06</vt:lpstr>
      <vt:lpstr>OLTL_3Q06</vt:lpstr>
      <vt:lpstr>Tags!OLTL_3Q07</vt:lpstr>
      <vt:lpstr>OLTL_3Q07</vt:lpstr>
      <vt:lpstr>Tags!OLTL_3Q08</vt:lpstr>
      <vt:lpstr>OLTL_3Q08</vt:lpstr>
      <vt:lpstr>Tags!OLTL_3Q09</vt:lpstr>
      <vt:lpstr>OLTL_3Q09</vt:lpstr>
      <vt:lpstr>Tags!OLTL_3Q10</vt:lpstr>
      <vt:lpstr>OLTL_3Q10</vt:lpstr>
      <vt:lpstr>Tags!OLTL_3Q11</vt:lpstr>
      <vt:lpstr>OLTL_3Q11</vt:lpstr>
      <vt:lpstr>Tags!OLTL_3Q12</vt:lpstr>
      <vt:lpstr>OLTL_3Q12</vt:lpstr>
      <vt:lpstr>Tags!OLTL_3Q13</vt:lpstr>
      <vt:lpstr>OLTL_3Q13</vt:lpstr>
      <vt:lpstr>Tags!OLTL_3Q14</vt:lpstr>
      <vt:lpstr>OLTL_3Q14</vt:lpstr>
      <vt:lpstr>Tags!OLTL_3Q15</vt:lpstr>
      <vt:lpstr>OLTL_3Q15</vt:lpstr>
      <vt:lpstr>Tags!OLTL_3Q16</vt:lpstr>
      <vt:lpstr>OLTL_3Q16</vt:lpstr>
      <vt:lpstr>Tags!OLTL_3Q17</vt:lpstr>
      <vt:lpstr>OLTL_3Q17</vt:lpstr>
      <vt:lpstr>Tags!OLTL_3Q18</vt:lpstr>
      <vt:lpstr>OLTL_3Q18</vt:lpstr>
      <vt:lpstr>Tags!OLTL_3Q19</vt:lpstr>
      <vt:lpstr>OLTL_3Q19</vt:lpstr>
      <vt:lpstr>Tags!OLTL_3Q20</vt:lpstr>
      <vt:lpstr>OLTL_3Q20</vt:lpstr>
      <vt:lpstr>OLTL_3Q21</vt:lpstr>
      <vt:lpstr>OLTL_3Q22</vt:lpstr>
      <vt:lpstr>OLTL_3Q23</vt:lpstr>
      <vt:lpstr>OLTL_3Q24</vt:lpstr>
      <vt:lpstr>Tags!OLTL_4Q00</vt:lpstr>
      <vt:lpstr>OLTL_4Q00</vt:lpstr>
      <vt:lpstr>Tags!OLTL_4Q01</vt:lpstr>
      <vt:lpstr>OLTL_4Q01</vt:lpstr>
      <vt:lpstr>Tags!OLTL_4Q02</vt:lpstr>
      <vt:lpstr>OLTL_4Q02</vt:lpstr>
      <vt:lpstr>Tags!OLTL_4Q03</vt:lpstr>
      <vt:lpstr>OLTL_4Q03</vt:lpstr>
      <vt:lpstr>Tags!OLTL_4Q04</vt:lpstr>
      <vt:lpstr>OLTL_4Q04</vt:lpstr>
      <vt:lpstr>Tags!OLTL_4Q05</vt:lpstr>
      <vt:lpstr>OLTL_4Q05</vt:lpstr>
      <vt:lpstr>Tags!OLTL_4Q06</vt:lpstr>
      <vt:lpstr>OLTL_4Q06</vt:lpstr>
      <vt:lpstr>Tags!OLTL_4Q07</vt:lpstr>
      <vt:lpstr>OLTL_4Q07</vt:lpstr>
      <vt:lpstr>Tags!OLTL_4Q08</vt:lpstr>
      <vt:lpstr>OLTL_4Q08</vt:lpstr>
      <vt:lpstr>Tags!OLTL_4Q09</vt:lpstr>
      <vt:lpstr>OLTL_4Q09</vt:lpstr>
      <vt:lpstr>Tags!OLTL_4Q10</vt:lpstr>
      <vt:lpstr>OLTL_4Q10</vt:lpstr>
      <vt:lpstr>Tags!OLTL_4Q11</vt:lpstr>
      <vt:lpstr>OLTL_4Q11</vt:lpstr>
      <vt:lpstr>Tags!OLTL_4Q12</vt:lpstr>
      <vt:lpstr>OLTL_4Q12</vt:lpstr>
      <vt:lpstr>Tags!OLTL_4Q13</vt:lpstr>
      <vt:lpstr>OLTL_4Q13</vt:lpstr>
      <vt:lpstr>Tags!OLTL_4Q14</vt:lpstr>
      <vt:lpstr>OLTL_4Q14</vt:lpstr>
      <vt:lpstr>Tags!OLTL_4Q15</vt:lpstr>
      <vt:lpstr>OLTL_4Q15</vt:lpstr>
      <vt:lpstr>Tags!OLTL_4Q16</vt:lpstr>
      <vt:lpstr>OLTL_4Q16</vt:lpstr>
      <vt:lpstr>Tags!OLTL_4Q17</vt:lpstr>
      <vt:lpstr>OLTL_4Q17</vt:lpstr>
      <vt:lpstr>Tags!OLTL_4Q18</vt:lpstr>
      <vt:lpstr>OLTL_4Q18</vt:lpstr>
      <vt:lpstr>Tags!OLTL_4Q19</vt:lpstr>
      <vt:lpstr>OLTL_4Q19</vt:lpstr>
      <vt:lpstr>Tags!OLTL_4Q20</vt:lpstr>
      <vt:lpstr>OLTL_4Q20</vt:lpstr>
      <vt:lpstr>OLTL_4Q21</vt:lpstr>
      <vt:lpstr>OLTL_4Q22</vt:lpstr>
      <vt:lpstr>OLTL_4Q23</vt:lpstr>
      <vt:lpstr>OLTL_4Q24</vt:lpstr>
      <vt:lpstr>OPCASH_1995</vt:lpstr>
      <vt:lpstr>OPCASH_1996</vt:lpstr>
      <vt:lpstr>OPCASH_1997</vt:lpstr>
      <vt:lpstr>OPCASH_1998</vt:lpstr>
      <vt:lpstr>OPCASH_1999</vt:lpstr>
      <vt:lpstr>Tags!OPCASH_1Q00</vt:lpstr>
      <vt:lpstr>OPCASH_1Q00</vt:lpstr>
      <vt:lpstr>Tags!OPCASH_1Q01</vt:lpstr>
      <vt:lpstr>OPCASH_1Q01</vt:lpstr>
      <vt:lpstr>Tags!OPCASH_1Q02</vt:lpstr>
      <vt:lpstr>OPCASH_1Q02</vt:lpstr>
      <vt:lpstr>Tags!OPCASH_1Q03</vt:lpstr>
      <vt:lpstr>OPCASH_1Q03</vt:lpstr>
      <vt:lpstr>Tags!OPCASH_1Q04</vt:lpstr>
      <vt:lpstr>OPCASH_1Q04</vt:lpstr>
      <vt:lpstr>Tags!OPCASH_1Q05</vt:lpstr>
      <vt:lpstr>OPCASH_1Q05</vt:lpstr>
      <vt:lpstr>Tags!OPCASH_1Q06</vt:lpstr>
      <vt:lpstr>OPCASH_1Q06</vt:lpstr>
      <vt:lpstr>Tags!OPCASH_1Q07</vt:lpstr>
      <vt:lpstr>OPCASH_1Q07</vt:lpstr>
      <vt:lpstr>Tags!OPCASH_1Q08</vt:lpstr>
      <vt:lpstr>OPCASH_1Q08</vt:lpstr>
      <vt:lpstr>Tags!OPCASH_1Q09</vt:lpstr>
      <vt:lpstr>OPCASH_1Q09</vt:lpstr>
      <vt:lpstr>Tags!OPCASH_1Q10</vt:lpstr>
      <vt:lpstr>OPCASH_1Q10</vt:lpstr>
      <vt:lpstr>Tags!OPCASH_1Q11</vt:lpstr>
      <vt:lpstr>OPCASH_1Q11</vt:lpstr>
      <vt:lpstr>Tags!OPCASH_1Q12</vt:lpstr>
      <vt:lpstr>OPCASH_1Q12</vt:lpstr>
      <vt:lpstr>Tags!OPCASH_1Q13</vt:lpstr>
      <vt:lpstr>OPCASH_1Q13</vt:lpstr>
      <vt:lpstr>Tags!OPCASH_1Q14</vt:lpstr>
      <vt:lpstr>OPCASH_1Q14</vt:lpstr>
      <vt:lpstr>Tags!OPCASH_1Q15</vt:lpstr>
      <vt:lpstr>OPCASH_1Q15</vt:lpstr>
      <vt:lpstr>Tags!OPCASH_1Q16</vt:lpstr>
      <vt:lpstr>OPCASH_1Q16</vt:lpstr>
      <vt:lpstr>Tags!OPCASH_1Q17</vt:lpstr>
      <vt:lpstr>OPCASH_1Q17</vt:lpstr>
      <vt:lpstr>Tags!OPCASH_1Q18</vt:lpstr>
      <vt:lpstr>OPCASH_1Q18</vt:lpstr>
      <vt:lpstr>Tags!OPCASH_1Q19</vt:lpstr>
      <vt:lpstr>OPCASH_1Q19</vt:lpstr>
      <vt:lpstr>Tags!OPCASH_1Q20</vt:lpstr>
      <vt:lpstr>OPCASH_1Q20</vt:lpstr>
      <vt:lpstr>OPCASH_1Q21</vt:lpstr>
      <vt:lpstr>OPCASH_1Q22</vt:lpstr>
      <vt:lpstr>OPCASH_1Q23</vt:lpstr>
      <vt:lpstr>OPCASH_1Q24</vt:lpstr>
      <vt:lpstr>Tags!OPCASH_2000</vt:lpstr>
      <vt:lpstr>OPCASH_2000</vt:lpstr>
      <vt:lpstr>Tags!OPCASH_2001</vt:lpstr>
      <vt:lpstr>OPCASH_2001</vt:lpstr>
      <vt:lpstr>Tags!OPCASH_2002</vt:lpstr>
      <vt:lpstr>OPCASH_2002</vt:lpstr>
      <vt:lpstr>Tags!OPCASH_2003</vt:lpstr>
      <vt:lpstr>OPCASH_2003</vt:lpstr>
      <vt:lpstr>Tags!OPCASH_2004</vt:lpstr>
      <vt:lpstr>OPCASH_2004</vt:lpstr>
      <vt:lpstr>Tags!OPCASH_2005</vt:lpstr>
      <vt:lpstr>OPCASH_2005</vt:lpstr>
      <vt:lpstr>Tags!OPCASH_2006</vt:lpstr>
      <vt:lpstr>OPCASH_2006</vt:lpstr>
      <vt:lpstr>Tags!OPCASH_2007</vt:lpstr>
      <vt:lpstr>OPCASH_2007</vt:lpstr>
      <vt:lpstr>Tags!OPCASH_2008</vt:lpstr>
      <vt:lpstr>OPCASH_2008</vt:lpstr>
      <vt:lpstr>Tags!OPCASH_2009</vt:lpstr>
      <vt:lpstr>OPCASH_2009</vt:lpstr>
      <vt:lpstr>Tags!OPCASH_2010</vt:lpstr>
      <vt:lpstr>OPCASH_2010</vt:lpstr>
      <vt:lpstr>Tags!OPCASH_2011</vt:lpstr>
      <vt:lpstr>OPCASH_2011</vt:lpstr>
      <vt:lpstr>Tags!OPCASH_2012</vt:lpstr>
      <vt:lpstr>OPCASH_2012</vt:lpstr>
      <vt:lpstr>Tags!OPCASH_2013</vt:lpstr>
      <vt:lpstr>OPCASH_2013</vt:lpstr>
      <vt:lpstr>Tags!OPCASH_2014</vt:lpstr>
      <vt:lpstr>OPCASH_2014</vt:lpstr>
      <vt:lpstr>OPCASH_2015</vt:lpstr>
      <vt:lpstr>Tags!OPCASH_2016</vt:lpstr>
      <vt:lpstr>OPCASH_2016</vt:lpstr>
      <vt:lpstr>Tags!OPCASH_2017</vt:lpstr>
      <vt:lpstr>OPCASH_2017</vt:lpstr>
      <vt:lpstr>Tags!OPCASH_2018</vt:lpstr>
      <vt:lpstr>OPCASH_2018</vt:lpstr>
      <vt:lpstr>Tags!OPCASH_2019</vt:lpstr>
      <vt:lpstr>OPCASH_2019</vt:lpstr>
      <vt:lpstr>Tags!OPCASH_2020</vt:lpstr>
      <vt:lpstr>OPCASH_2020</vt:lpstr>
      <vt:lpstr>OPCASH_2021</vt:lpstr>
      <vt:lpstr>OPCASH_2022</vt:lpstr>
      <vt:lpstr>OPCASH_2023</vt:lpstr>
      <vt:lpstr>OPCASH_2024</vt:lpstr>
      <vt:lpstr>Tags!OPCASH_2Q00</vt:lpstr>
      <vt:lpstr>OPCASH_2Q00</vt:lpstr>
      <vt:lpstr>Tags!OPCASH_2Q01</vt:lpstr>
      <vt:lpstr>OPCASH_2Q01</vt:lpstr>
      <vt:lpstr>Tags!OPCASH_2Q02</vt:lpstr>
      <vt:lpstr>OPCASH_2Q02</vt:lpstr>
      <vt:lpstr>Tags!OPCASH_2Q03</vt:lpstr>
      <vt:lpstr>OPCASH_2Q03</vt:lpstr>
      <vt:lpstr>Tags!OPCASH_2Q04</vt:lpstr>
      <vt:lpstr>OPCASH_2Q04</vt:lpstr>
      <vt:lpstr>Tags!OPCASH_2Q05</vt:lpstr>
      <vt:lpstr>OPCASH_2Q05</vt:lpstr>
      <vt:lpstr>Tags!OPCASH_2Q06</vt:lpstr>
      <vt:lpstr>OPCASH_2Q06</vt:lpstr>
      <vt:lpstr>Tags!OPCASH_2Q07</vt:lpstr>
      <vt:lpstr>OPCASH_2Q07</vt:lpstr>
      <vt:lpstr>Tags!OPCASH_2Q08</vt:lpstr>
      <vt:lpstr>OPCASH_2Q08</vt:lpstr>
      <vt:lpstr>Tags!OPCASH_2Q09</vt:lpstr>
      <vt:lpstr>OPCASH_2Q09</vt:lpstr>
      <vt:lpstr>Tags!OPCASH_2Q10</vt:lpstr>
      <vt:lpstr>OPCASH_2Q10</vt:lpstr>
      <vt:lpstr>Tags!OPCASH_2Q11</vt:lpstr>
      <vt:lpstr>OPCASH_2Q11</vt:lpstr>
      <vt:lpstr>Tags!OPCASH_2Q12</vt:lpstr>
      <vt:lpstr>OPCASH_2Q12</vt:lpstr>
      <vt:lpstr>Tags!OPCASH_2Q13</vt:lpstr>
      <vt:lpstr>OPCASH_2Q13</vt:lpstr>
      <vt:lpstr>Tags!OPCASH_2Q14</vt:lpstr>
      <vt:lpstr>OPCASH_2Q14</vt:lpstr>
      <vt:lpstr>Tags!OPCASH_2Q15</vt:lpstr>
      <vt:lpstr>OPCASH_2Q15</vt:lpstr>
      <vt:lpstr>Tags!OPCASH_2Q16</vt:lpstr>
      <vt:lpstr>OPCASH_2Q16</vt:lpstr>
      <vt:lpstr>Tags!OPCASH_2Q17</vt:lpstr>
      <vt:lpstr>OPCASH_2Q17</vt:lpstr>
      <vt:lpstr>Tags!OPCASH_2Q18</vt:lpstr>
      <vt:lpstr>OPCASH_2Q18</vt:lpstr>
      <vt:lpstr>Tags!OPCASH_2Q19</vt:lpstr>
      <vt:lpstr>OPCASH_2Q19</vt:lpstr>
      <vt:lpstr>Tags!OPCASH_2Q20</vt:lpstr>
      <vt:lpstr>OPCASH_2Q20</vt:lpstr>
      <vt:lpstr>OPCASH_2Q21</vt:lpstr>
      <vt:lpstr>OPCASH_2Q22</vt:lpstr>
      <vt:lpstr>OPCASH_2Q23</vt:lpstr>
      <vt:lpstr>OPCASH_2Q24</vt:lpstr>
      <vt:lpstr>Tags!OPCASH_3Q00</vt:lpstr>
      <vt:lpstr>OPCASH_3Q00</vt:lpstr>
      <vt:lpstr>Tags!OPCASH_3Q01</vt:lpstr>
      <vt:lpstr>OPCASH_3Q01</vt:lpstr>
      <vt:lpstr>Tags!OPCASH_3Q02</vt:lpstr>
      <vt:lpstr>OPCASH_3Q02</vt:lpstr>
      <vt:lpstr>Tags!OPCASH_3Q03</vt:lpstr>
      <vt:lpstr>OPCASH_3Q03</vt:lpstr>
      <vt:lpstr>Tags!OPCASH_3Q04</vt:lpstr>
      <vt:lpstr>OPCASH_3Q04</vt:lpstr>
      <vt:lpstr>Tags!OPCASH_3Q05</vt:lpstr>
      <vt:lpstr>OPCASH_3Q05</vt:lpstr>
      <vt:lpstr>Tags!OPCASH_3Q06</vt:lpstr>
      <vt:lpstr>OPCASH_3Q06</vt:lpstr>
      <vt:lpstr>Tags!OPCASH_3Q07</vt:lpstr>
      <vt:lpstr>OPCASH_3Q07</vt:lpstr>
      <vt:lpstr>Tags!OPCASH_3Q08</vt:lpstr>
      <vt:lpstr>OPCASH_3Q08</vt:lpstr>
      <vt:lpstr>Tags!OPCASH_3Q09</vt:lpstr>
      <vt:lpstr>OPCASH_3Q09</vt:lpstr>
      <vt:lpstr>Tags!OPCASH_3Q10</vt:lpstr>
      <vt:lpstr>OPCASH_3Q10</vt:lpstr>
      <vt:lpstr>Tags!OPCASH_3Q11</vt:lpstr>
      <vt:lpstr>OPCASH_3Q11</vt:lpstr>
      <vt:lpstr>Tags!OPCASH_3Q12</vt:lpstr>
      <vt:lpstr>OPCASH_3Q12</vt:lpstr>
      <vt:lpstr>Tags!OPCASH_3Q13</vt:lpstr>
      <vt:lpstr>OPCASH_3Q13</vt:lpstr>
      <vt:lpstr>Tags!OPCASH_3Q14</vt:lpstr>
      <vt:lpstr>OPCASH_3Q14</vt:lpstr>
      <vt:lpstr>Tags!OPCASH_3Q15</vt:lpstr>
      <vt:lpstr>OPCASH_3Q15</vt:lpstr>
      <vt:lpstr>Tags!OPCASH_3Q16</vt:lpstr>
      <vt:lpstr>OPCASH_3Q16</vt:lpstr>
      <vt:lpstr>Tags!OPCASH_3Q17</vt:lpstr>
      <vt:lpstr>OPCASH_3Q17</vt:lpstr>
      <vt:lpstr>Tags!OPCASH_3Q18</vt:lpstr>
      <vt:lpstr>OPCASH_3Q18</vt:lpstr>
      <vt:lpstr>Tags!OPCASH_3Q19</vt:lpstr>
      <vt:lpstr>OPCASH_3Q19</vt:lpstr>
      <vt:lpstr>Tags!OPCASH_3Q20</vt:lpstr>
      <vt:lpstr>OPCASH_3Q20</vt:lpstr>
      <vt:lpstr>OPCASH_3Q21</vt:lpstr>
      <vt:lpstr>OPCASH_3Q22</vt:lpstr>
      <vt:lpstr>OPCASH_3Q23</vt:lpstr>
      <vt:lpstr>OPCASH_3Q24</vt:lpstr>
      <vt:lpstr>Tags!OPCASH_4Q00</vt:lpstr>
      <vt:lpstr>OPCASH_4Q00</vt:lpstr>
      <vt:lpstr>Tags!OPCASH_4Q01</vt:lpstr>
      <vt:lpstr>OPCASH_4Q01</vt:lpstr>
      <vt:lpstr>Tags!OPCASH_4Q02</vt:lpstr>
      <vt:lpstr>OPCASH_4Q02</vt:lpstr>
      <vt:lpstr>Tags!OPCASH_4Q03</vt:lpstr>
      <vt:lpstr>OPCASH_4Q03</vt:lpstr>
      <vt:lpstr>Tags!OPCASH_4Q04</vt:lpstr>
      <vt:lpstr>OPCASH_4Q04</vt:lpstr>
      <vt:lpstr>Tags!OPCASH_4Q05</vt:lpstr>
      <vt:lpstr>OPCASH_4Q05</vt:lpstr>
      <vt:lpstr>Tags!OPCASH_4Q06</vt:lpstr>
      <vt:lpstr>OPCASH_4Q06</vt:lpstr>
      <vt:lpstr>Tags!OPCASH_4Q07</vt:lpstr>
      <vt:lpstr>OPCASH_4Q07</vt:lpstr>
      <vt:lpstr>Tags!OPCASH_4Q08</vt:lpstr>
      <vt:lpstr>OPCASH_4Q08</vt:lpstr>
      <vt:lpstr>Tags!OPCASH_4Q09</vt:lpstr>
      <vt:lpstr>OPCASH_4Q09</vt:lpstr>
      <vt:lpstr>Tags!OPCASH_4Q10</vt:lpstr>
      <vt:lpstr>OPCASH_4Q10</vt:lpstr>
      <vt:lpstr>Tags!OPCASH_4Q11</vt:lpstr>
      <vt:lpstr>OPCASH_4Q11</vt:lpstr>
      <vt:lpstr>Tags!OPCASH_4Q12</vt:lpstr>
      <vt:lpstr>OPCASH_4Q12</vt:lpstr>
      <vt:lpstr>Tags!OPCASH_4Q13</vt:lpstr>
      <vt:lpstr>OPCASH_4Q13</vt:lpstr>
      <vt:lpstr>Tags!OPCASH_4Q14</vt:lpstr>
      <vt:lpstr>OPCASH_4Q14</vt:lpstr>
      <vt:lpstr>Tags!OPCASH_4Q15</vt:lpstr>
      <vt:lpstr>OPCASH_4Q15</vt:lpstr>
      <vt:lpstr>Tags!OPCASH_4Q16</vt:lpstr>
      <vt:lpstr>OPCASH_4Q16</vt:lpstr>
      <vt:lpstr>Tags!OPCASH_4Q17</vt:lpstr>
      <vt:lpstr>OPCASH_4Q17</vt:lpstr>
      <vt:lpstr>Tags!OPCASH_4Q18</vt:lpstr>
      <vt:lpstr>OPCASH_4Q18</vt:lpstr>
      <vt:lpstr>Tags!OPCASH_4Q19</vt:lpstr>
      <vt:lpstr>OPCASH_4Q19</vt:lpstr>
      <vt:lpstr>Tags!OPCASH_4Q20</vt:lpstr>
      <vt:lpstr>OPCASH_4Q20</vt:lpstr>
      <vt:lpstr>OPCASH_4Q21</vt:lpstr>
      <vt:lpstr>OPCASH_4Q22</vt:lpstr>
      <vt:lpstr>OPCASH_4Q23</vt:lpstr>
      <vt:lpstr>OPCASH_4Q24</vt:lpstr>
      <vt:lpstr>OPENIT_1995</vt:lpstr>
      <vt:lpstr>OPENIT_1996</vt:lpstr>
      <vt:lpstr>OPENIT_1997</vt:lpstr>
      <vt:lpstr>OPENIT_1998</vt:lpstr>
      <vt:lpstr>OPENIT_1999</vt:lpstr>
      <vt:lpstr>Tags!OPENIT_1Q00</vt:lpstr>
      <vt:lpstr>OPENIT_1Q00</vt:lpstr>
      <vt:lpstr>Tags!OPENIT_1Q01</vt:lpstr>
      <vt:lpstr>OPENIT_1Q01</vt:lpstr>
      <vt:lpstr>Tags!OPENIT_1Q02</vt:lpstr>
      <vt:lpstr>OPENIT_1Q02</vt:lpstr>
      <vt:lpstr>Tags!OPENIT_1Q03</vt:lpstr>
      <vt:lpstr>OPENIT_1Q03</vt:lpstr>
      <vt:lpstr>Tags!OPENIT_1Q04</vt:lpstr>
      <vt:lpstr>OPENIT_1Q04</vt:lpstr>
      <vt:lpstr>Tags!OPENIT_1Q05</vt:lpstr>
      <vt:lpstr>OPENIT_1Q05</vt:lpstr>
      <vt:lpstr>Tags!OPENIT_1Q06</vt:lpstr>
      <vt:lpstr>OPENIT_1Q06</vt:lpstr>
      <vt:lpstr>Tags!OPENIT_1Q07</vt:lpstr>
      <vt:lpstr>OPENIT_1Q07</vt:lpstr>
      <vt:lpstr>Tags!OPENIT_1Q08</vt:lpstr>
      <vt:lpstr>OPENIT_1Q08</vt:lpstr>
      <vt:lpstr>Tags!OPENIT_1Q09</vt:lpstr>
      <vt:lpstr>OPENIT_1Q09</vt:lpstr>
      <vt:lpstr>Tags!OPENIT_1Q10</vt:lpstr>
      <vt:lpstr>OPENIT_1Q10</vt:lpstr>
      <vt:lpstr>Tags!OPENIT_1Q11</vt:lpstr>
      <vt:lpstr>OPENIT_1Q11</vt:lpstr>
      <vt:lpstr>Tags!OPENIT_1Q12</vt:lpstr>
      <vt:lpstr>OPENIT_1Q12</vt:lpstr>
      <vt:lpstr>Tags!OPENIT_1Q13</vt:lpstr>
      <vt:lpstr>OPENIT_1Q13</vt:lpstr>
      <vt:lpstr>Tags!OPENIT_1Q14</vt:lpstr>
      <vt:lpstr>OPENIT_1Q14</vt:lpstr>
      <vt:lpstr>Tags!OPENIT_1Q15</vt:lpstr>
      <vt:lpstr>OPENIT_1Q15</vt:lpstr>
      <vt:lpstr>Tags!OPENIT_1Q16</vt:lpstr>
      <vt:lpstr>OPENIT_1Q16</vt:lpstr>
      <vt:lpstr>Tags!OPENIT_1Q17</vt:lpstr>
      <vt:lpstr>OPENIT_1Q17</vt:lpstr>
      <vt:lpstr>Tags!OPENIT_1Q18</vt:lpstr>
      <vt:lpstr>OPENIT_1Q18</vt:lpstr>
      <vt:lpstr>Tags!OPENIT_1Q19</vt:lpstr>
      <vt:lpstr>OPENIT_1Q19</vt:lpstr>
      <vt:lpstr>Tags!OPENIT_1Q20</vt:lpstr>
      <vt:lpstr>OPENIT_1Q20</vt:lpstr>
      <vt:lpstr>OPENIT_1Q21</vt:lpstr>
      <vt:lpstr>OPENIT_1Q22</vt:lpstr>
      <vt:lpstr>OPENIT_1Q23</vt:lpstr>
      <vt:lpstr>OPENIT_1Q24</vt:lpstr>
      <vt:lpstr>Tags!OPENIT_2000</vt:lpstr>
      <vt:lpstr>OPENIT_2000</vt:lpstr>
      <vt:lpstr>Tags!OPENIT_2001</vt:lpstr>
      <vt:lpstr>OPENIT_2001</vt:lpstr>
      <vt:lpstr>Tags!OPENIT_2002</vt:lpstr>
      <vt:lpstr>OPENIT_2002</vt:lpstr>
      <vt:lpstr>Tags!OPENIT_2003</vt:lpstr>
      <vt:lpstr>OPENIT_2003</vt:lpstr>
      <vt:lpstr>Tags!OPENIT_2004</vt:lpstr>
      <vt:lpstr>OPENIT_2004</vt:lpstr>
      <vt:lpstr>Tags!OPENIT_2005</vt:lpstr>
      <vt:lpstr>OPENIT_2005</vt:lpstr>
      <vt:lpstr>Tags!OPENIT_2006</vt:lpstr>
      <vt:lpstr>OPENIT_2006</vt:lpstr>
      <vt:lpstr>Tags!OPENIT_2007</vt:lpstr>
      <vt:lpstr>OPENIT_2007</vt:lpstr>
      <vt:lpstr>Tags!OPENIT_2008</vt:lpstr>
      <vt:lpstr>OPENIT_2008</vt:lpstr>
      <vt:lpstr>Tags!OPENIT_2009</vt:lpstr>
      <vt:lpstr>OPENIT_2009</vt:lpstr>
      <vt:lpstr>Tags!OPENIT_2010</vt:lpstr>
      <vt:lpstr>OPENIT_2010</vt:lpstr>
      <vt:lpstr>Tags!OPENIT_2011</vt:lpstr>
      <vt:lpstr>OPENIT_2011</vt:lpstr>
      <vt:lpstr>Tags!OPENIT_2012</vt:lpstr>
      <vt:lpstr>OPENIT_2012</vt:lpstr>
      <vt:lpstr>Tags!OPENIT_2013</vt:lpstr>
      <vt:lpstr>OPENIT_2013</vt:lpstr>
      <vt:lpstr>Tags!OPENIT_2014</vt:lpstr>
      <vt:lpstr>OPENIT_2014</vt:lpstr>
      <vt:lpstr>OPENIT_2015</vt:lpstr>
      <vt:lpstr>Tags!OPENIT_2016</vt:lpstr>
      <vt:lpstr>OPENIT_2016</vt:lpstr>
      <vt:lpstr>Tags!OPENIT_2017</vt:lpstr>
      <vt:lpstr>OPENIT_2017</vt:lpstr>
      <vt:lpstr>Tags!OPENIT_2018</vt:lpstr>
      <vt:lpstr>OPENIT_2018</vt:lpstr>
      <vt:lpstr>Tags!OPENIT_2019</vt:lpstr>
      <vt:lpstr>OPENIT_2019</vt:lpstr>
      <vt:lpstr>Tags!OPENIT_2020</vt:lpstr>
      <vt:lpstr>OPENIT_2020</vt:lpstr>
      <vt:lpstr>OPENIT_2021</vt:lpstr>
      <vt:lpstr>OPENIT_2022</vt:lpstr>
      <vt:lpstr>OPENIT_2023</vt:lpstr>
      <vt:lpstr>OPENIT_2024</vt:lpstr>
      <vt:lpstr>Tags!OPENIT_2Q00</vt:lpstr>
      <vt:lpstr>OPENIT_2Q00</vt:lpstr>
      <vt:lpstr>Tags!OPENIT_2Q01</vt:lpstr>
      <vt:lpstr>OPENIT_2Q01</vt:lpstr>
      <vt:lpstr>Tags!OPENIT_2Q02</vt:lpstr>
      <vt:lpstr>OPENIT_2Q02</vt:lpstr>
      <vt:lpstr>Tags!OPENIT_2Q03</vt:lpstr>
      <vt:lpstr>OPENIT_2Q03</vt:lpstr>
      <vt:lpstr>Tags!OPENIT_2Q04</vt:lpstr>
      <vt:lpstr>OPENIT_2Q04</vt:lpstr>
      <vt:lpstr>Tags!OPENIT_2Q05</vt:lpstr>
      <vt:lpstr>OPENIT_2Q05</vt:lpstr>
      <vt:lpstr>Tags!OPENIT_2Q06</vt:lpstr>
      <vt:lpstr>OPENIT_2Q06</vt:lpstr>
      <vt:lpstr>Tags!OPENIT_2Q07</vt:lpstr>
      <vt:lpstr>OPENIT_2Q07</vt:lpstr>
      <vt:lpstr>Tags!OPENIT_2Q08</vt:lpstr>
      <vt:lpstr>OPENIT_2Q08</vt:lpstr>
      <vt:lpstr>Tags!OPENIT_2Q09</vt:lpstr>
      <vt:lpstr>OPENIT_2Q09</vt:lpstr>
      <vt:lpstr>Tags!OPENIT_2Q10</vt:lpstr>
      <vt:lpstr>OPENIT_2Q10</vt:lpstr>
      <vt:lpstr>Tags!OPENIT_2Q11</vt:lpstr>
      <vt:lpstr>OPENIT_2Q11</vt:lpstr>
      <vt:lpstr>Tags!OPENIT_2Q12</vt:lpstr>
      <vt:lpstr>OPENIT_2Q12</vt:lpstr>
      <vt:lpstr>Tags!OPENIT_2Q13</vt:lpstr>
      <vt:lpstr>OPENIT_2Q13</vt:lpstr>
      <vt:lpstr>Tags!OPENIT_2Q14</vt:lpstr>
      <vt:lpstr>OPENIT_2Q14</vt:lpstr>
      <vt:lpstr>Tags!OPENIT_2Q15</vt:lpstr>
      <vt:lpstr>OPENIT_2Q15</vt:lpstr>
      <vt:lpstr>Tags!OPENIT_2Q16</vt:lpstr>
      <vt:lpstr>OPENIT_2Q16</vt:lpstr>
      <vt:lpstr>Tags!OPENIT_2Q17</vt:lpstr>
      <vt:lpstr>OPENIT_2Q17</vt:lpstr>
      <vt:lpstr>Tags!OPENIT_2Q18</vt:lpstr>
      <vt:lpstr>OPENIT_2Q18</vt:lpstr>
      <vt:lpstr>Tags!OPENIT_2Q19</vt:lpstr>
      <vt:lpstr>OPENIT_2Q19</vt:lpstr>
      <vt:lpstr>Tags!OPENIT_2Q20</vt:lpstr>
      <vt:lpstr>OPENIT_2Q20</vt:lpstr>
      <vt:lpstr>OPENIT_2Q21</vt:lpstr>
      <vt:lpstr>OPENIT_2Q22</vt:lpstr>
      <vt:lpstr>OPENIT_2Q23</vt:lpstr>
      <vt:lpstr>OPENIT_2Q24</vt:lpstr>
      <vt:lpstr>Tags!OPENIT_3Q00</vt:lpstr>
      <vt:lpstr>OPENIT_3Q00</vt:lpstr>
      <vt:lpstr>Tags!OPENIT_3Q01</vt:lpstr>
      <vt:lpstr>OPENIT_3Q01</vt:lpstr>
      <vt:lpstr>Tags!OPENIT_3Q02</vt:lpstr>
      <vt:lpstr>OPENIT_3Q02</vt:lpstr>
      <vt:lpstr>Tags!OPENIT_3Q03</vt:lpstr>
      <vt:lpstr>OPENIT_3Q03</vt:lpstr>
      <vt:lpstr>Tags!OPENIT_3Q04</vt:lpstr>
      <vt:lpstr>OPENIT_3Q04</vt:lpstr>
      <vt:lpstr>Tags!OPENIT_3Q05</vt:lpstr>
      <vt:lpstr>OPENIT_3Q05</vt:lpstr>
      <vt:lpstr>Tags!OPENIT_3Q06</vt:lpstr>
      <vt:lpstr>OPENIT_3Q06</vt:lpstr>
      <vt:lpstr>Tags!OPENIT_3Q07</vt:lpstr>
      <vt:lpstr>OPENIT_3Q07</vt:lpstr>
      <vt:lpstr>Tags!OPENIT_3Q08</vt:lpstr>
      <vt:lpstr>OPENIT_3Q08</vt:lpstr>
      <vt:lpstr>Tags!OPENIT_3Q09</vt:lpstr>
      <vt:lpstr>OPENIT_3Q09</vt:lpstr>
      <vt:lpstr>Tags!OPENIT_3Q10</vt:lpstr>
      <vt:lpstr>OPENIT_3Q10</vt:lpstr>
      <vt:lpstr>Tags!OPENIT_3Q11</vt:lpstr>
      <vt:lpstr>OPENIT_3Q11</vt:lpstr>
      <vt:lpstr>Tags!OPENIT_3Q12</vt:lpstr>
      <vt:lpstr>OPENIT_3Q12</vt:lpstr>
      <vt:lpstr>Tags!OPENIT_3Q13</vt:lpstr>
      <vt:lpstr>OPENIT_3Q13</vt:lpstr>
      <vt:lpstr>Tags!OPENIT_3Q14</vt:lpstr>
      <vt:lpstr>OPENIT_3Q14</vt:lpstr>
      <vt:lpstr>Tags!OPENIT_3Q15</vt:lpstr>
      <vt:lpstr>OPENIT_3Q15</vt:lpstr>
      <vt:lpstr>Tags!OPENIT_3Q16</vt:lpstr>
      <vt:lpstr>OPENIT_3Q16</vt:lpstr>
      <vt:lpstr>Tags!OPENIT_3Q17</vt:lpstr>
      <vt:lpstr>OPENIT_3Q17</vt:lpstr>
      <vt:lpstr>Tags!OPENIT_3Q18</vt:lpstr>
      <vt:lpstr>OPENIT_3Q18</vt:lpstr>
      <vt:lpstr>Tags!OPENIT_3Q19</vt:lpstr>
      <vt:lpstr>OPENIT_3Q19</vt:lpstr>
      <vt:lpstr>Tags!OPENIT_3Q20</vt:lpstr>
      <vt:lpstr>OPENIT_3Q20</vt:lpstr>
      <vt:lpstr>OPENIT_3Q21</vt:lpstr>
      <vt:lpstr>OPENIT_3Q22</vt:lpstr>
      <vt:lpstr>OPENIT_3Q23</vt:lpstr>
      <vt:lpstr>OPENIT_3Q24</vt:lpstr>
      <vt:lpstr>Tags!OPENIT_4Q00</vt:lpstr>
      <vt:lpstr>OPENIT_4Q00</vt:lpstr>
      <vt:lpstr>Tags!OPENIT_4Q01</vt:lpstr>
      <vt:lpstr>OPENIT_4Q01</vt:lpstr>
      <vt:lpstr>Tags!OPENIT_4Q02</vt:lpstr>
      <vt:lpstr>OPENIT_4Q02</vt:lpstr>
      <vt:lpstr>Tags!OPENIT_4Q03</vt:lpstr>
      <vt:lpstr>OPENIT_4Q03</vt:lpstr>
      <vt:lpstr>Tags!OPENIT_4Q04</vt:lpstr>
      <vt:lpstr>OPENIT_4Q04</vt:lpstr>
      <vt:lpstr>Tags!OPENIT_4Q05</vt:lpstr>
      <vt:lpstr>OPENIT_4Q05</vt:lpstr>
      <vt:lpstr>Tags!OPENIT_4Q06</vt:lpstr>
      <vt:lpstr>OPENIT_4Q06</vt:lpstr>
      <vt:lpstr>Tags!OPENIT_4Q07</vt:lpstr>
      <vt:lpstr>OPENIT_4Q07</vt:lpstr>
      <vt:lpstr>Tags!OPENIT_4Q08</vt:lpstr>
      <vt:lpstr>OPENIT_4Q08</vt:lpstr>
      <vt:lpstr>Tags!OPENIT_4Q09</vt:lpstr>
      <vt:lpstr>OPENIT_4Q09</vt:lpstr>
      <vt:lpstr>Tags!OPENIT_4Q10</vt:lpstr>
      <vt:lpstr>OPENIT_4Q10</vt:lpstr>
      <vt:lpstr>Tags!OPENIT_4Q11</vt:lpstr>
      <vt:lpstr>OPENIT_4Q11</vt:lpstr>
      <vt:lpstr>Tags!OPENIT_4Q12</vt:lpstr>
      <vt:lpstr>OPENIT_4Q12</vt:lpstr>
      <vt:lpstr>Tags!OPENIT_4Q13</vt:lpstr>
      <vt:lpstr>OPENIT_4Q13</vt:lpstr>
      <vt:lpstr>Tags!OPENIT_4Q14</vt:lpstr>
      <vt:lpstr>OPENIT_4Q14</vt:lpstr>
      <vt:lpstr>Tags!OPENIT_4Q15</vt:lpstr>
      <vt:lpstr>OPENIT_4Q15</vt:lpstr>
      <vt:lpstr>Tags!OPENIT_4Q16</vt:lpstr>
      <vt:lpstr>OPENIT_4Q16</vt:lpstr>
      <vt:lpstr>Tags!OPENIT_4Q17</vt:lpstr>
      <vt:lpstr>OPENIT_4Q17</vt:lpstr>
      <vt:lpstr>Tags!OPENIT_4Q18</vt:lpstr>
      <vt:lpstr>OPENIT_4Q18</vt:lpstr>
      <vt:lpstr>Tags!OPENIT_4Q19</vt:lpstr>
      <vt:lpstr>OPENIT_4Q19</vt:lpstr>
      <vt:lpstr>Tags!OPENIT_4Q20</vt:lpstr>
      <vt:lpstr>OPENIT_4Q20</vt:lpstr>
      <vt:lpstr>OPENIT_4Q21</vt:lpstr>
      <vt:lpstr>OPENIT_4Q22</vt:lpstr>
      <vt:lpstr>OPENIT_4Q23</vt:lpstr>
      <vt:lpstr>OPENIT_4Q24</vt:lpstr>
      <vt:lpstr>OPLREX_1995</vt:lpstr>
      <vt:lpstr>OPLREX_1996</vt:lpstr>
      <vt:lpstr>OPLREX_1997</vt:lpstr>
      <vt:lpstr>OPLREX_1998</vt:lpstr>
      <vt:lpstr>OPLREX_1999</vt:lpstr>
      <vt:lpstr>Tags!OPLREX_1Q00</vt:lpstr>
      <vt:lpstr>OPLREX_1Q00</vt:lpstr>
      <vt:lpstr>Tags!OPLREX_1Q01</vt:lpstr>
      <vt:lpstr>OPLREX_1Q01</vt:lpstr>
      <vt:lpstr>Tags!OPLREX_1Q02</vt:lpstr>
      <vt:lpstr>OPLREX_1Q02</vt:lpstr>
      <vt:lpstr>Tags!OPLREX_1Q03</vt:lpstr>
      <vt:lpstr>OPLREX_1Q03</vt:lpstr>
      <vt:lpstr>Tags!OPLREX_1Q04</vt:lpstr>
      <vt:lpstr>OPLREX_1Q04</vt:lpstr>
      <vt:lpstr>Tags!OPLREX_1Q05</vt:lpstr>
      <vt:lpstr>OPLREX_1Q05</vt:lpstr>
      <vt:lpstr>Tags!OPLREX_1Q06</vt:lpstr>
      <vt:lpstr>OPLREX_1Q06</vt:lpstr>
      <vt:lpstr>Tags!OPLREX_1Q07</vt:lpstr>
      <vt:lpstr>OPLREX_1Q07</vt:lpstr>
      <vt:lpstr>Tags!OPLREX_1Q08</vt:lpstr>
      <vt:lpstr>OPLREX_1Q08</vt:lpstr>
      <vt:lpstr>Tags!OPLREX_1Q09</vt:lpstr>
      <vt:lpstr>OPLREX_1Q09</vt:lpstr>
      <vt:lpstr>Tags!OPLREX_1Q10</vt:lpstr>
      <vt:lpstr>OPLREX_1Q10</vt:lpstr>
      <vt:lpstr>Tags!OPLREX_1Q11</vt:lpstr>
      <vt:lpstr>OPLREX_1Q11</vt:lpstr>
      <vt:lpstr>Tags!OPLREX_1Q12</vt:lpstr>
      <vt:lpstr>OPLREX_1Q12</vt:lpstr>
      <vt:lpstr>Tags!OPLREX_1Q13</vt:lpstr>
      <vt:lpstr>OPLREX_1Q13</vt:lpstr>
      <vt:lpstr>Tags!OPLREX_1Q14</vt:lpstr>
      <vt:lpstr>OPLREX_1Q14</vt:lpstr>
      <vt:lpstr>Tags!OPLREX_1Q15</vt:lpstr>
      <vt:lpstr>OPLREX_1Q15</vt:lpstr>
      <vt:lpstr>Tags!OPLREX_1Q16</vt:lpstr>
      <vt:lpstr>OPLREX_1Q16</vt:lpstr>
      <vt:lpstr>Tags!OPLREX_1Q17</vt:lpstr>
      <vt:lpstr>OPLREX_1Q17</vt:lpstr>
      <vt:lpstr>Tags!OPLREX_1Q18</vt:lpstr>
      <vt:lpstr>OPLREX_1Q18</vt:lpstr>
      <vt:lpstr>Tags!OPLREX_1Q19</vt:lpstr>
      <vt:lpstr>OPLREX_1Q19</vt:lpstr>
      <vt:lpstr>Tags!OPLREX_1Q20</vt:lpstr>
      <vt:lpstr>OPLREX_1Q20</vt:lpstr>
      <vt:lpstr>OPLREX_1Q21</vt:lpstr>
      <vt:lpstr>OPLREX_1Q22</vt:lpstr>
      <vt:lpstr>OPLREX_1Q23</vt:lpstr>
      <vt:lpstr>OPLREX_1Q24</vt:lpstr>
      <vt:lpstr>Tags!OPLREX_2000</vt:lpstr>
      <vt:lpstr>OPLREX_2000</vt:lpstr>
      <vt:lpstr>Tags!OPLREX_2001</vt:lpstr>
      <vt:lpstr>OPLREX_2001</vt:lpstr>
      <vt:lpstr>Tags!OPLREX_2002</vt:lpstr>
      <vt:lpstr>OPLREX_2002</vt:lpstr>
      <vt:lpstr>Tags!OPLREX_2003</vt:lpstr>
      <vt:lpstr>OPLREX_2003</vt:lpstr>
      <vt:lpstr>Tags!OPLREX_2004</vt:lpstr>
      <vt:lpstr>OPLREX_2004</vt:lpstr>
      <vt:lpstr>Tags!OPLREX_2005</vt:lpstr>
      <vt:lpstr>OPLREX_2005</vt:lpstr>
      <vt:lpstr>Tags!OPLREX_2006</vt:lpstr>
      <vt:lpstr>OPLREX_2006</vt:lpstr>
      <vt:lpstr>Tags!OPLREX_2007</vt:lpstr>
      <vt:lpstr>OPLREX_2007</vt:lpstr>
      <vt:lpstr>Tags!OPLREX_2008</vt:lpstr>
      <vt:lpstr>OPLREX_2008</vt:lpstr>
      <vt:lpstr>Tags!OPLREX_2009</vt:lpstr>
      <vt:lpstr>OPLREX_2009</vt:lpstr>
      <vt:lpstr>Tags!OPLREX_2010</vt:lpstr>
      <vt:lpstr>OPLREX_2010</vt:lpstr>
      <vt:lpstr>Tags!OPLREX_2011</vt:lpstr>
      <vt:lpstr>OPLREX_2011</vt:lpstr>
      <vt:lpstr>Tags!OPLREX_2012</vt:lpstr>
      <vt:lpstr>OPLREX_2012</vt:lpstr>
      <vt:lpstr>Tags!OPLREX_2013</vt:lpstr>
      <vt:lpstr>OPLREX_2013</vt:lpstr>
      <vt:lpstr>Tags!OPLREX_2014</vt:lpstr>
      <vt:lpstr>OPLREX_2014</vt:lpstr>
      <vt:lpstr>OPLREX_2015</vt:lpstr>
      <vt:lpstr>Tags!OPLREX_2016</vt:lpstr>
      <vt:lpstr>OPLREX_2016</vt:lpstr>
      <vt:lpstr>Tags!OPLREX_2017</vt:lpstr>
      <vt:lpstr>OPLREX_2017</vt:lpstr>
      <vt:lpstr>Tags!OPLREX_2018</vt:lpstr>
      <vt:lpstr>OPLREX_2018</vt:lpstr>
      <vt:lpstr>Tags!OPLREX_2019</vt:lpstr>
      <vt:lpstr>OPLREX_2019</vt:lpstr>
      <vt:lpstr>Tags!OPLREX_2020</vt:lpstr>
      <vt:lpstr>OPLREX_2020</vt:lpstr>
      <vt:lpstr>OPLREX_2021</vt:lpstr>
      <vt:lpstr>OPLREX_2022</vt:lpstr>
      <vt:lpstr>OPLREX_2023</vt:lpstr>
      <vt:lpstr>OPLREX_2024</vt:lpstr>
      <vt:lpstr>Tags!OPLREX_2Q00</vt:lpstr>
      <vt:lpstr>OPLREX_2Q00</vt:lpstr>
      <vt:lpstr>Tags!OPLREX_2Q01</vt:lpstr>
      <vt:lpstr>OPLREX_2Q01</vt:lpstr>
      <vt:lpstr>Tags!OPLREX_2Q02</vt:lpstr>
      <vt:lpstr>OPLREX_2Q02</vt:lpstr>
      <vt:lpstr>Tags!OPLREX_2Q03</vt:lpstr>
      <vt:lpstr>OPLREX_2Q03</vt:lpstr>
      <vt:lpstr>Tags!OPLREX_2Q04</vt:lpstr>
      <vt:lpstr>OPLREX_2Q04</vt:lpstr>
      <vt:lpstr>Tags!OPLREX_2Q05</vt:lpstr>
      <vt:lpstr>OPLREX_2Q05</vt:lpstr>
      <vt:lpstr>Tags!OPLREX_2Q06</vt:lpstr>
      <vt:lpstr>OPLREX_2Q06</vt:lpstr>
      <vt:lpstr>Tags!OPLREX_2Q07</vt:lpstr>
      <vt:lpstr>OPLREX_2Q07</vt:lpstr>
      <vt:lpstr>Tags!OPLREX_2Q08</vt:lpstr>
      <vt:lpstr>OPLREX_2Q08</vt:lpstr>
      <vt:lpstr>Tags!OPLREX_2Q09</vt:lpstr>
      <vt:lpstr>OPLREX_2Q09</vt:lpstr>
      <vt:lpstr>Tags!OPLREX_2Q10</vt:lpstr>
      <vt:lpstr>OPLREX_2Q10</vt:lpstr>
      <vt:lpstr>Tags!OPLREX_2Q11</vt:lpstr>
      <vt:lpstr>OPLREX_2Q11</vt:lpstr>
      <vt:lpstr>Tags!OPLREX_2Q12</vt:lpstr>
      <vt:lpstr>OPLREX_2Q12</vt:lpstr>
      <vt:lpstr>Tags!OPLREX_2Q13</vt:lpstr>
      <vt:lpstr>OPLREX_2Q13</vt:lpstr>
      <vt:lpstr>Tags!OPLREX_2Q14</vt:lpstr>
      <vt:lpstr>OPLREX_2Q14</vt:lpstr>
      <vt:lpstr>Tags!OPLREX_2Q15</vt:lpstr>
      <vt:lpstr>OPLREX_2Q15</vt:lpstr>
      <vt:lpstr>Tags!OPLREX_2Q16</vt:lpstr>
      <vt:lpstr>OPLREX_2Q16</vt:lpstr>
      <vt:lpstr>Tags!OPLREX_2Q17</vt:lpstr>
      <vt:lpstr>OPLREX_2Q17</vt:lpstr>
      <vt:lpstr>Tags!OPLREX_2Q18</vt:lpstr>
      <vt:lpstr>OPLREX_2Q18</vt:lpstr>
      <vt:lpstr>Tags!OPLREX_2Q19</vt:lpstr>
      <vt:lpstr>OPLREX_2Q19</vt:lpstr>
      <vt:lpstr>Tags!OPLREX_2Q20</vt:lpstr>
      <vt:lpstr>OPLREX_2Q20</vt:lpstr>
      <vt:lpstr>OPLREX_2Q21</vt:lpstr>
      <vt:lpstr>OPLREX_2Q22</vt:lpstr>
      <vt:lpstr>OPLREX_2Q23</vt:lpstr>
      <vt:lpstr>OPLREX_2Q24</vt:lpstr>
      <vt:lpstr>Tags!OPLREX_3Q00</vt:lpstr>
      <vt:lpstr>OPLREX_3Q00</vt:lpstr>
      <vt:lpstr>Tags!OPLREX_3Q01</vt:lpstr>
      <vt:lpstr>OPLREX_3Q01</vt:lpstr>
      <vt:lpstr>Tags!OPLREX_3Q02</vt:lpstr>
      <vt:lpstr>OPLREX_3Q02</vt:lpstr>
      <vt:lpstr>Tags!OPLREX_3Q03</vt:lpstr>
      <vt:lpstr>OPLREX_3Q03</vt:lpstr>
      <vt:lpstr>Tags!OPLREX_3Q04</vt:lpstr>
      <vt:lpstr>OPLREX_3Q04</vt:lpstr>
      <vt:lpstr>Tags!OPLREX_3Q05</vt:lpstr>
      <vt:lpstr>OPLREX_3Q05</vt:lpstr>
      <vt:lpstr>Tags!OPLREX_3Q06</vt:lpstr>
      <vt:lpstr>OPLREX_3Q06</vt:lpstr>
      <vt:lpstr>Tags!OPLREX_3Q07</vt:lpstr>
      <vt:lpstr>OPLREX_3Q07</vt:lpstr>
      <vt:lpstr>Tags!OPLREX_3Q08</vt:lpstr>
      <vt:lpstr>OPLREX_3Q08</vt:lpstr>
      <vt:lpstr>Tags!OPLREX_3Q09</vt:lpstr>
      <vt:lpstr>OPLREX_3Q09</vt:lpstr>
      <vt:lpstr>Tags!OPLREX_3Q10</vt:lpstr>
      <vt:lpstr>OPLREX_3Q10</vt:lpstr>
      <vt:lpstr>Tags!OPLREX_3Q11</vt:lpstr>
      <vt:lpstr>OPLREX_3Q11</vt:lpstr>
      <vt:lpstr>Tags!OPLREX_3Q12</vt:lpstr>
      <vt:lpstr>OPLREX_3Q12</vt:lpstr>
      <vt:lpstr>Tags!OPLREX_3Q13</vt:lpstr>
      <vt:lpstr>OPLREX_3Q13</vt:lpstr>
      <vt:lpstr>Tags!OPLREX_3Q14</vt:lpstr>
      <vt:lpstr>OPLREX_3Q14</vt:lpstr>
      <vt:lpstr>Tags!OPLREX_3Q15</vt:lpstr>
      <vt:lpstr>OPLREX_3Q15</vt:lpstr>
      <vt:lpstr>Tags!OPLREX_3Q16</vt:lpstr>
      <vt:lpstr>OPLREX_3Q16</vt:lpstr>
      <vt:lpstr>Tags!OPLREX_3Q17</vt:lpstr>
      <vt:lpstr>OPLREX_3Q17</vt:lpstr>
      <vt:lpstr>Tags!OPLREX_3Q18</vt:lpstr>
      <vt:lpstr>OPLREX_3Q18</vt:lpstr>
      <vt:lpstr>Tags!OPLREX_3Q19</vt:lpstr>
      <vt:lpstr>OPLREX_3Q19</vt:lpstr>
      <vt:lpstr>Tags!OPLREX_3Q20</vt:lpstr>
      <vt:lpstr>OPLREX_3Q20</vt:lpstr>
      <vt:lpstr>OPLREX_3Q21</vt:lpstr>
      <vt:lpstr>OPLREX_3Q22</vt:lpstr>
      <vt:lpstr>OPLREX_3Q23</vt:lpstr>
      <vt:lpstr>OPLREX_3Q24</vt:lpstr>
      <vt:lpstr>Tags!OPLREX_4Q00</vt:lpstr>
      <vt:lpstr>OPLREX_4Q00</vt:lpstr>
      <vt:lpstr>Tags!OPLREX_4Q01</vt:lpstr>
      <vt:lpstr>OPLREX_4Q01</vt:lpstr>
      <vt:lpstr>Tags!OPLREX_4Q02</vt:lpstr>
      <vt:lpstr>OPLREX_4Q02</vt:lpstr>
      <vt:lpstr>Tags!OPLREX_4Q03</vt:lpstr>
      <vt:lpstr>OPLREX_4Q03</vt:lpstr>
      <vt:lpstr>Tags!OPLREX_4Q04</vt:lpstr>
      <vt:lpstr>OPLREX_4Q04</vt:lpstr>
      <vt:lpstr>Tags!OPLREX_4Q05</vt:lpstr>
      <vt:lpstr>OPLREX_4Q05</vt:lpstr>
      <vt:lpstr>Tags!OPLREX_4Q06</vt:lpstr>
      <vt:lpstr>OPLREX_4Q06</vt:lpstr>
      <vt:lpstr>Tags!OPLREX_4Q07</vt:lpstr>
      <vt:lpstr>OPLREX_4Q07</vt:lpstr>
      <vt:lpstr>Tags!OPLREX_4Q08</vt:lpstr>
      <vt:lpstr>OPLREX_4Q08</vt:lpstr>
      <vt:lpstr>Tags!OPLREX_4Q09</vt:lpstr>
      <vt:lpstr>OPLREX_4Q09</vt:lpstr>
      <vt:lpstr>Tags!OPLREX_4Q10</vt:lpstr>
      <vt:lpstr>OPLREX_4Q10</vt:lpstr>
      <vt:lpstr>Tags!OPLREX_4Q11</vt:lpstr>
      <vt:lpstr>OPLREX_4Q11</vt:lpstr>
      <vt:lpstr>Tags!OPLREX_4Q12</vt:lpstr>
      <vt:lpstr>OPLREX_4Q12</vt:lpstr>
      <vt:lpstr>Tags!OPLREX_4Q13</vt:lpstr>
      <vt:lpstr>OPLREX_4Q13</vt:lpstr>
      <vt:lpstr>Tags!OPLREX_4Q14</vt:lpstr>
      <vt:lpstr>OPLREX_4Q14</vt:lpstr>
      <vt:lpstr>Tags!OPLREX_4Q15</vt:lpstr>
      <vt:lpstr>OPLREX_4Q15</vt:lpstr>
      <vt:lpstr>Tags!OPLREX_4Q16</vt:lpstr>
      <vt:lpstr>OPLREX_4Q16</vt:lpstr>
      <vt:lpstr>Tags!OPLREX_4Q17</vt:lpstr>
      <vt:lpstr>OPLREX_4Q17</vt:lpstr>
      <vt:lpstr>Tags!OPLREX_4Q18</vt:lpstr>
      <vt:lpstr>OPLREX_4Q18</vt:lpstr>
      <vt:lpstr>Tags!OPLREX_4Q19</vt:lpstr>
      <vt:lpstr>OPLREX_4Q19</vt:lpstr>
      <vt:lpstr>Tags!OPLREX_4Q20</vt:lpstr>
      <vt:lpstr>OPLREX_4Q20</vt:lpstr>
      <vt:lpstr>OPLREX_4Q21</vt:lpstr>
      <vt:lpstr>OPLREX_4Q22</vt:lpstr>
      <vt:lpstr>OPLREX_4Q23</vt:lpstr>
      <vt:lpstr>OPLREX_4Q24</vt:lpstr>
      <vt:lpstr>OPTNOI_1995</vt:lpstr>
      <vt:lpstr>OPTNOI_1996</vt:lpstr>
      <vt:lpstr>OPTNOI_1997</vt:lpstr>
      <vt:lpstr>OPTNOI_1998</vt:lpstr>
      <vt:lpstr>OPTNOI_1999</vt:lpstr>
      <vt:lpstr>Tags!OPTNOI_1Q00</vt:lpstr>
      <vt:lpstr>OPTNOI_1Q00</vt:lpstr>
      <vt:lpstr>Tags!OPTNOI_1Q01</vt:lpstr>
      <vt:lpstr>OPTNOI_1Q01</vt:lpstr>
      <vt:lpstr>Tags!OPTNOI_1Q02</vt:lpstr>
      <vt:lpstr>OPTNOI_1Q02</vt:lpstr>
      <vt:lpstr>Tags!OPTNOI_1Q03</vt:lpstr>
      <vt:lpstr>OPTNOI_1Q03</vt:lpstr>
      <vt:lpstr>Tags!OPTNOI_1Q04</vt:lpstr>
      <vt:lpstr>OPTNOI_1Q04</vt:lpstr>
      <vt:lpstr>Tags!OPTNOI_1Q05</vt:lpstr>
      <vt:lpstr>OPTNOI_1Q05</vt:lpstr>
      <vt:lpstr>Tags!OPTNOI_1Q06</vt:lpstr>
      <vt:lpstr>OPTNOI_1Q06</vt:lpstr>
      <vt:lpstr>Tags!OPTNOI_1Q07</vt:lpstr>
      <vt:lpstr>OPTNOI_1Q07</vt:lpstr>
      <vt:lpstr>Tags!OPTNOI_1Q08</vt:lpstr>
      <vt:lpstr>OPTNOI_1Q08</vt:lpstr>
      <vt:lpstr>Tags!OPTNOI_1Q09</vt:lpstr>
      <vt:lpstr>OPTNOI_1Q09</vt:lpstr>
      <vt:lpstr>Tags!OPTNOI_1Q10</vt:lpstr>
      <vt:lpstr>OPTNOI_1Q10</vt:lpstr>
      <vt:lpstr>Tags!OPTNOI_1Q11</vt:lpstr>
      <vt:lpstr>OPTNOI_1Q11</vt:lpstr>
      <vt:lpstr>Tags!OPTNOI_1Q12</vt:lpstr>
      <vt:lpstr>OPTNOI_1Q12</vt:lpstr>
      <vt:lpstr>Tags!OPTNOI_1Q13</vt:lpstr>
      <vt:lpstr>OPTNOI_1Q13</vt:lpstr>
      <vt:lpstr>Tags!OPTNOI_1Q14</vt:lpstr>
      <vt:lpstr>OPTNOI_1Q14</vt:lpstr>
      <vt:lpstr>Tags!OPTNOI_1Q15</vt:lpstr>
      <vt:lpstr>OPTNOI_1Q15</vt:lpstr>
      <vt:lpstr>Tags!OPTNOI_1Q16</vt:lpstr>
      <vt:lpstr>OPTNOI_1Q16</vt:lpstr>
      <vt:lpstr>Tags!OPTNOI_1Q17</vt:lpstr>
      <vt:lpstr>OPTNOI_1Q17</vt:lpstr>
      <vt:lpstr>Tags!OPTNOI_1Q18</vt:lpstr>
      <vt:lpstr>OPTNOI_1Q18</vt:lpstr>
      <vt:lpstr>Tags!OPTNOI_1Q19</vt:lpstr>
      <vt:lpstr>OPTNOI_1Q19</vt:lpstr>
      <vt:lpstr>Tags!OPTNOI_1Q20</vt:lpstr>
      <vt:lpstr>OPTNOI_1Q20</vt:lpstr>
      <vt:lpstr>OPTNOI_1Q21</vt:lpstr>
      <vt:lpstr>OPTNOI_1Q22</vt:lpstr>
      <vt:lpstr>OPTNOI_1Q23</vt:lpstr>
      <vt:lpstr>OPTNOI_1Q24</vt:lpstr>
      <vt:lpstr>Tags!OPTNOI_2000</vt:lpstr>
      <vt:lpstr>OPTNOI_2000</vt:lpstr>
      <vt:lpstr>Tags!OPTNOI_2001</vt:lpstr>
      <vt:lpstr>OPTNOI_2001</vt:lpstr>
      <vt:lpstr>Tags!OPTNOI_2002</vt:lpstr>
      <vt:lpstr>OPTNOI_2002</vt:lpstr>
      <vt:lpstr>Tags!OPTNOI_2003</vt:lpstr>
      <vt:lpstr>OPTNOI_2003</vt:lpstr>
      <vt:lpstr>Tags!OPTNOI_2004</vt:lpstr>
      <vt:lpstr>OPTNOI_2004</vt:lpstr>
      <vt:lpstr>Tags!OPTNOI_2005</vt:lpstr>
      <vt:lpstr>OPTNOI_2005</vt:lpstr>
      <vt:lpstr>Tags!OPTNOI_2006</vt:lpstr>
      <vt:lpstr>OPTNOI_2006</vt:lpstr>
      <vt:lpstr>Tags!OPTNOI_2007</vt:lpstr>
      <vt:lpstr>OPTNOI_2007</vt:lpstr>
      <vt:lpstr>Tags!OPTNOI_2008</vt:lpstr>
      <vt:lpstr>OPTNOI_2008</vt:lpstr>
      <vt:lpstr>Tags!OPTNOI_2009</vt:lpstr>
      <vt:lpstr>OPTNOI_2009</vt:lpstr>
      <vt:lpstr>Tags!OPTNOI_2010</vt:lpstr>
      <vt:lpstr>OPTNOI_2010</vt:lpstr>
      <vt:lpstr>Tags!OPTNOI_2011</vt:lpstr>
      <vt:lpstr>OPTNOI_2011</vt:lpstr>
      <vt:lpstr>Tags!OPTNOI_2012</vt:lpstr>
      <vt:lpstr>OPTNOI_2012</vt:lpstr>
      <vt:lpstr>Tags!OPTNOI_2013</vt:lpstr>
      <vt:lpstr>OPTNOI_2013</vt:lpstr>
      <vt:lpstr>Tags!OPTNOI_2014</vt:lpstr>
      <vt:lpstr>OPTNOI_2014</vt:lpstr>
      <vt:lpstr>OPTNOI_2015</vt:lpstr>
      <vt:lpstr>Tags!OPTNOI_2016</vt:lpstr>
      <vt:lpstr>OPTNOI_2016</vt:lpstr>
      <vt:lpstr>Tags!OPTNOI_2017</vt:lpstr>
      <vt:lpstr>OPTNOI_2017</vt:lpstr>
      <vt:lpstr>Tags!OPTNOI_2018</vt:lpstr>
      <vt:lpstr>OPTNOI_2018</vt:lpstr>
      <vt:lpstr>Tags!OPTNOI_2019</vt:lpstr>
      <vt:lpstr>OPTNOI_2019</vt:lpstr>
      <vt:lpstr>Tags!OPTNOI_2020</vt:lpstr>
      <vt:lpstr>OPTNOI_2020</vt:lpstr>
      <vt:lpstr>OPTNOI_2021</vt:lpstr>
      <vt:lpstr>OPTNOI_2022</vt:lpstr>
      <vt:lpstr>OPTNOI_2023</vt:lpstr>
      <vt:lpstr>OPTNOI_2024</vt:lpstr>
      <vt:lpstr>Tags!OPTNOI_2Q00</vt:lpstr>
      <vt:lpstr>OPTNOI_2Q00</vt:lpstr>
      <vt:lpstr>Tags!OPTNOI_2Q01</vt:lpstr>
      <vt:lpstr>OPTNOI_2Q01</vt:lpstr>
      <vt:lpstr>Tags!OPTNOI_2Q02</vt:lpstr>
      <vt:lpstr>OPTNOI_2Q02</vt:lpstr>
      <vt:lpstr>Tags!OPTNOI_2Q03</vt:lpstr>
      <vt:lpstr>OPTNOI_2Q03</vt:lpstr>
      <vt:lpstr>Tags!OPTNOI_2Q04</vt:lpstr>
      <vt:lpstr>OPTNOI_2Q04</vt:lpstr>
      <vt:lpstr>Tags!OPTNOI_2Q05</vt:lpstr>
      <vt:lpstr>OPTNOI_2Q05</vt:lpstr>
      <vt:lpstr>Tags!OPTNOI_2Q06</vt:lpstr>
      <vt:lpstr>OPTNOI_2Q06</vt:lpstr>
      <vt:lpstr>Tags!OPTNOI_2Q07</vt:lpstr>
      <vt:lpstr>OPTNOI_2Q07</vt:lpstr>
      <vt:lpstr>Tags!OPTNOI_2Q08</vt:lpstr>
      <vt:lpstr>OPTNOI_2Q08</vt:lpstr>
      <vt:lpstr>Tags!OPTNOI_2Q09</vt:lpstr>
      <vt:lpstr>OPTNOI_2Q09</vt:lpstr>
      <vt:lpstr>Tags!OPTNOI_2Q10</vt:lpstr>
      <vt:lpstr>OPTNOI_2Q10</vt:lpstr>
      <vt:lpstr>Tags!OPTNOI_2Q11</vt:lpstr>
      <vt:lpstr>OPTNOI_2Q11</vt:lpstr>
      <vt:lpstr>Tags!OPTNOI_2Q12</vt:lpstr>
      <vt:lpstr>OPTNOI_2Q12</vt:lpstr>
      <vt:lpstr>Tags!OPTNOI_2Q13</vt:lpstr>
      <vt:lpstr>OPTNOI_2Q13</vt:lpstr>
      <vt:lpstr>Tags!OPTNOI_2Q14</vt:lpstr>
      <vt:lpstr>OPTNOI_2Q14</vt:lpstr>
      <vt:lpstr>Tags!OPTNOI_2Q15</vt:lpstr>
      <vt:lpstr>OPTNOI_2Q15</vt:lpstr>
      <vt:lpstr>Tags!OPTNOI_2Q16</vt:lpstr>
      <vt:lpstr>OPTNOI_2Q16</vt:lpstr>
      <vt:lpstr>Tags!OPTNOI_2Q17</vt:lpstr>
      <vt:lpstr>OPTNOI_2Q17</vt:lpstr>
      <vt:lpstr>Tags!OPTNOI_2Q18</vt:lpstr>
      <vt:lpstr>OPTNOI_2Q18</vt:lpstr>
      <vt:lpstr>Tags!OPTNOI_2Q19</vt:lpstr>
      <vt:lpstr>OPTNOI_2Q19</vt:lpstr>
      <vt:lpstr>Tags!OPTNOI_2Q20</vt:lpstr>
      <vt:lpstr>OPTNOI_2Q20</vt:lpstr>
      <vt:lpstr>OPTNOI_2Q21</vt:lpstr>
      <vt:lpstr>OPTNOI_2Q22</vt:lpstr>
      <vt:lpstr>OPTNOI_2Q23</vt:lpstr>
      <vt:lpstr>OPTNOI_2Q24</vt:lpstr>
      <vt:lpstr>Tags!OPTNOI_3Q00</vt:lpstr>
      <vt:lpstr>OPTNOI_3Q00</vt:lpstr>
      <vt:lpstr>Tags!OPTNOI_3Q01</vt:lpstr>
      <vt:lpstr>OPTNOI_3Q01</vt:lpstr>
      <vt:lpstr>Tags!OPTNOI_3Q02</vt:lpstr>
      <vt:lpstr>OPTNOI_3Q02</vt:lpstr>
      <vt:lpstr>Tags!OPTNOI_3Q03</vt:lpstr>
      <vt:lpstr>OPTNOI_3Q03</vt:lpstr>
      <vt:lpstr>Tags!OPTNOI_3Q04</vt:lpstr>
      <vt:lpstr>OPTNOI_3Q04</vt:lpstr>
      <vt:lpstr>Tags!OPTNOI_3Q05</vt:lpstr>
      <vt:lpstr>OPTNOI_3Q05</vt:lpstr>
      <vt:lpstr>Tags!OPTNOI_3Q06</vt:lpstr>
      <vt:lpstr>OPTNOI_3Q06</vt:lpstr>
      <vt:lpstr>Tags!OPTNOI_3Q07</vt:lpstr>
      <vt:lpstr>OPTNOI_3Q07</vt:lpstr>
      <vt:lpstr>Tags!OPTNOI_3Q08</vt:lpstr>
      <vt:lpstr>OPTNOI_3Q08</vt:lpstr>
      <vt:lpstr>Tags!OPTNOI_3Q09</vt:lpstr>
      <vt:lpstr>OPTNOI_3Q09</vt:lpstr>
      <vt:lpstr>Tags!OPTNOI_3Q10</vt:lpstr>
      <vt:lpstr>OPTNOI_3Q10</vt:lpstr>
      <vt:lpstr>Tags!OPTNOI_3Q11</vt:lpstr>
      <vt:lpstr>OPTNOI_3Q11</vt:lpstr>
      <vt:lpstr>Tags!OPTNOI_3Q12</vt:lpstr>
      <vt:lpstr>OPTNOI_3Q12</vt:lpstr>
      <vt:lpstr>Tags!OPTNOI_3Q13</vt:lpstr>
      <vt:lpstr>OPTNOI_3Q13</vt:lpstr>
      <vt:lpstr>Tags!OPTNOI_3Q14</vt:lpstr>
      <vt:lpstr>OPTNOI_3Q14</vt:lpstr>
      <vt:lpstr>Tags!OPTNOI_3Q15</vt:lpstr>
      <vt:lpstr>OPTNOI_3Q15</vt:lpstr>
      <vt:lpstr>Tags!OPTNOI_3Q16</vt:lpstr>
      <vt:lpstr>OPTNOI_3Q16</vt:lpstr>
      <vt:lpstr>Tags!OPTNOI_3Q17</vt:lpstr>
      <vt:lpstr>OPTNOI_3Q17</vt:lpstr>
      <vt:lpstr>Tags!OPTNOI_3Q18</vt:lpstr>
      <vt:lpstr>OPTNOI_3Q18</vt:lpstr>
      <vt:lpstr>Tags!OPTNOI_3Q19</vt:lpstr>
      <vt:lpstr>OPTNOI_3Q19</vt:lpstr>
      <vt:lpstr>Tags!OPTNOI_3Q20</vt:lpstr>
      <vt:lpstr>OPTNOI_3Q20</vt:lpstr>
      <vt:lpstr>OPTNOI_3Q21</vt:lpstr>
      <vt:lpstr>OPTNOI_3Q22</vt:lpstr>
      <vt:lpstr>OPTNOI_3Q23</vt:lpstr>
      <vt:lpstr>OPTNOI_3Q24</vt:lpstr>
      <vt:lpstr>Tags!OPTNOI_4Q00</vt:lpstr>
      <vt:lpstr>OPTNOI_4Q00</vt:lpstr>
      <vt:lpstr>Tags!OPTNOI_4Q01</vt:lpstr>
      <vt:lpstr>OPTNOI_4Q01</vt:lpstr>
      <vt:lpstr>Tags!OPTNOI_4Q02</vt:lpstr>
      <vt:lpstr>OPTNOI_4Q02</vt:lpstr>
      <vt:lpstr>Tags!OPTNOI_4Q03</vt:lpstr>
      <vt:lpstr>OPTNOI_4Q03</vt:lpstr>
      <vt:lpstr>Tags!OPTNOI_4Q04</vt:lpstr>
      <vt:lpstr>OPTNOI_4Q04</vt:lpstr>
      <vt:lpstr>Tags!OPTNOI_4Q05</vt:lpstr>
      <vt:lpstr>OPTNOI_4Q05</vt:lpstr>
      <vt:lpstr>Tags!OPTNOI_4Q06</vt:lpstr>
      <vt:lpstr>OPTNOI_4Q06</vt:lpstr>
      <vt:lpstr>Tags!OPTNOI_4Q07</vt:lpstr>
      <vt:lpstr>OPTNOI_4Q07</vt:lpstr>
      <vt:lpstr>Tags!OPTNOI_4Q08</vt:lpstr>
      <vt:lpstr>OPTNOI_4Q08</vt:lpstr>
      <vt:lpstr>Tags!OPTNOI_4Q09</vt:lpstr>
      <vt:lpstr>OPTNOI_4Q09</vt:lpstr>
      <vt:lpstr>Tags!OPTNOI_4Q10</vt:lpstr>
      <vt:lpstr>OPTNOI_4Q10</vt:lpstr>
      <vt:lpstr>Tags!OPTNOI_4Q11</vt:lpstr>
      <vt:lpstr>OPTNOI_4Q11</vt:lpstr>
      <vt:lpstr>Tags!OPTNOI_4Q12</vt:lpstr>
      <vt:lpstr>OPTNOI_4Q12</vt:lpstr>
      <vt:lpstr>Tags!OPTNOI_4Q13</vt:lpstr>
      <vt:lpstr>OPTNOI_4Q13</vt:lpstr>
      <vt:lpstr>Tags!OPTNOI_4Q14</vt:lpstr>
      <vt:lpstr>OPTNOI_4Q14</vt:lpstr>
      <vt:lpstr>Tags!OPTNOI_4Q15</vt:lpstr>
      <vt:lpstr>OPTNOI_4Q15</vt:lpstr>
      <vt:lpstr>Tags!OPTNOI_4Q16</vt:lpstr>
      <vt:lpstr>OPTNOI_4Q16</vt:lpstr>
      <vt:lpstr>Tags!OPTNOI_4Q17</vt:lpstr>
      <vt:lpstr>OPTNOI_4Q17</vt:lpstr>
      <vt:lpstr>Tags!OPTNOI_4Q18</vt:lpstr>
      <vt:lpstr>OPTNOI_4Q18</vt:lpstr>
      <vt:lpstr>Tags!OPTNOI_4Q19</vt:lpstr>
      <vt:lpstr>OPTNOI_4Q19</vt:lpstr>
      <vt:lpstr>Tags!OPTNOI_4Q20</vt:lpstr>
      <vt:lpstr>OPTNOI_4Q20</vt:lpstr>
      <vt:lpstr>OPTNOI_4Q21</vt:lpstr>
      <vt:lpstr>OPTNOI_4Q22</vt:lpstr>
      <vt:lpstr>OPTNOI_4Q23</vt:lpstr>
      <vt:lpstr>OPTNOI_4Q24</vt:lpstr>
      <vt:lpstr>ORDD_1995</vt:lpstr>
      <vt:lpstr>ORDD_1996</vt:lpstr>
      <vt:lpstr>ORDD_1997</vt:lpstr>
      <vt:lpstr>ORDD_1998</vt:lpstr>
      <vt:lpstr>ORDD_1999</vt:lpstr>
      <vt:lpstr>Tags!ORDD_1Q00</vt:lpstr>
      <vt:lpstr>ORDD_1Q00</vt:lpstr>
      <vt:lpstr>Tags!ORDD_1Q01</vt:lpstr>
      <vt:lpstr>ORDD_1Q01</vt:lpstr>
      <vt:lpstr>Tags!ORDD_1Q02</vt:lpstr>
      <vt:lpstr>ORDD_1Q02</vt:lpstr>
      <vt:lpstr>Tags!ORDD_1Q03</vt:lpstr>
      <vt:lpstr>ORDD_1Q03</vt:lpstr>
      <vt:lpstr>Tags!ORDD_1Q04</vt:lpstr>
      <vt:lpstr>ORDD_1Q04</vt:lpstr>
      <vt:lpstr>Tags!ORDD_1Q05</vt:lpstr>
      <vt:lpstr>ORDD_1Q05</vt:lpstr>
      <vt:lpstr>Tags!ORDD_1Q06</vt:lpstr>
      <vt:lpstr>ORDD_1Q06</vt:lpstr>
      <vt:lpstr>Tags!ORDD_1Q07</vt:lpstr>
      <vt:lpstr>ORDD_1Q07</vt:lpstr>
      <vt:lpstr>Tags!ORDD_1Q08</vt:lpstr>
      <vt:lpstr>ORDD_1Q08</vt:lpstr>
      <vt:lpstr>Tags!ORDD_1Q09</vt:lpstr>
      <vt:lpstr>ORDD_1Q09</vt:lpstr>
      <vt:lpstr>Tags!ORDD_1Q10</vt:lpstr>
      <vt:lpstr>ORDD_1Q10</vt:lpstr>
      <vt:lpstr>Tags!ORDD_1Q11</vt:lpstr>
      <vt:lpstr>ORDD_1Q11</vt:lpstr>
      <vt:lpstr>Tags!ORDD_1Q12</vt:lpstr>
      <vt:lpstr>ORDD_1Q12</vt:lpstr>
      <vt:lpstr>Tags!ORDD_1Q13</vt:lpstr>
      <vt:lpstr>ORDD_1Q13</vt:lpstr>
      <vt:lpstr>Tags!ORDD_1Q14</vt:lpstr>
      <vt:lpstr>ORDD_1Q14</vt:lpstr>
      <vt:lpstr>Tags!ORDD_1Q15</vt:lpstr>
      <vt:lpstr>ORDD_1Q15</vt:lpstr>
      <vt:lpstr>Tags!ORDD_1Q16</vt:lpstr>
      <vt:lpstr>ORDD_1Q16</vt:lpstr>
      <vt:lpstr>Tags!ORDD_1Q17</vt:lpstr>
      <vt:lpstr>ORDD_1Q17</vt:lpstr>
      <vt:lpstr>Tags!ORDD_1Q18</vt:lpstr>
      <vt:lpstr>ORDD_1Q18</vt:lpstr>
      <vt:lpstr>Tags!ORDD_1Q19</vt:lpstr>
      <vt:lpstr>ORDD_1Q19</vt:lpstr>
      <vt:lpstr>Tags!ORDD_1Q20</vt:lpstr>
      <vt:lpstr>ORDD_1Q20</vt:lpstr>
      <vt:lpstr>ORDD_1Q21</vt:lpstr>
      <vt:lpstr>ORDD_1Q22</vt:lpstr>
      <vt:lpstr>ORDD_1Q23</vt:lpstr>
      <vt:lpstr>ORDD_1Q24</vt:lpstr>
      <vt:lpstr>Tags!ORDD_2000</vt:lpstr>
      <vt:lpstr>ORDD_2000</vt:lpstr>
      <vt:lpstr>Tags!ORDD_2001</vt:lpstr>
      <vt:lpstr>ORDD_2001</vt:lpstr>
      <vt:lpstr>Tags!ORDD_2002</vt:lpstr>
      <vt:lpstr>ORDD_2002</vt:lpstr>
      <vt:lpstr>Tags!ORDD_2003</vt:lpstr>
      <vt:lpstr>ORDD_2003</vt:lpstr>
      <vt:lpstr>Tags!ORDD_2004</vt:lpstr>
      <vt:lpstr>ORDD_2004</vt:lpstr>
      <vt:lpstr>Tags!ORDD_2005</vt:lpstr>
      <vt:lpstr>ORDD_2005</vt:lpstr>
      <vt:lpstr>Tags!ORDD_2006</vt:lpstr>
      <vt:lpstr>ORDD_2006</vt:lpstr>
      <vt:lpstr>Tags!ORDD_2007</vt:lpstr>
      <vt:lpstr>ORDD_2007</vt:lpstr>
      <vt:lpstr>Tags!ORDD_2008</vt:lpstr>
      <vt:lpstr>ORDD_2008</vt:lpstr>
      <vt:lpstr>Tags!ORDD_2009</vt:lpstr>
      <vt:lpstr>ORDD_2009</vt:lpstr>
      <vt:lpstr>Tags!ORDD_2010</vt:lpstr>
      <vt:lpstr>ORDD_2010</vt:lpstr>
      <vt:lpstr>Tags!ORDD_2011</vt:lpstr>
      <vt:lpstr>ORDD_2011</vt:lpstr>
      <vt:lpstr>Tags!ORDD_2012</vt:lpstr>
      <vt:lpstr>ORDD_2012</vt:lpstr>
      <vt:lpstr>Tags!ORDD_2013</vt:lpstr>
      <vt:lpstr>ORDD_2013</vt:lpstr>
      <vt:lpstr>Tags!ORDD_2014</vt:lpstr>
      <vt:lpstr>ORDD_2014</vt:lpstr>
      <vt:lpstr>ORDD_2015</vt:lpstr>
      <vt:lpstr>Tags!ORDD_2016</vt:lpstr>
      <vt:lpstr>ORDD_2016</vt:lpstr>
      <vt:lpstr>Tags!ORDD_2017</vt:lpstr>
      <vt:lpstr>ORDD_2017</vt:lpstr>
      <vt:lpstr>Tags!ORDD_2018</vt:lpstr>
      <vt:lpstr>ORDD_2018</vt:lpstr>
      <vt:lpstr>Tags!ORDD_2019</vt:lpstr>
      <vt:lpstr>ORDD_2019</vt:lpstr>
      <vt:lpstr>Tags!ORDD_2020</vt:lpstr>
      <vt:lpstr>ORDD_2020</vt:lpstr>
      <vt:lpstr>ORDD_2021</vt:lpstr>
      <vt:lpstr>ORDD_2022</vt:lpstr>
      <vt:lpstr>ORDD_2023</vt:lpstr>
      <vt:lpstr>ORDD_2024</vt:lpstr>
      <vt:lpstr>Tags!ORDD_2Q00</vt:lpstr>
      <vt:lpstr>ORDD_2Q00</vt:lpstr>
      <vt:lpstr>Tags!ORDD_2Q01</vt:lpstr>
      <vt:lpstr>ORDD_2Q01</vt:lpstr>
      <vt:lpstr>Tags!ORDD_2Q02</vt:lpstr>
      <vt:lpstr>ORDD_2Q02</vt:lpstr>
      <vt:lpstr>Tags!ORDD_2Q03</vt:lpstr>
      <vt:lpstr>ORDD_2Q03</vt:lpstr>
      <vt:lpstr>Tags!ORDD_2Q04</vt:lpstr>
      <vt:lpstr>ORDD_2Q04</vt:lpstr>
      <vt:lpstr>Tags!ORDD_2Q05</vt:lpstr>
      <vt:lpstr>ORDD_2Q05</vt:lpstr>
      <vt:lpstr>Tags!ORDD_2Q06</vt:lpstr>
      <vt:lpstr>ORDD_2Q06</vt:lpstr>
      <vt:lpstr>Tags!ORDD_2Q07</vt:lpstr>
      <vt:lpstr>ORDD_2Q07</vt:lpstr>
      <vt:lpstr>Tags!ORDD_2Q08</vt:lpstr>
      <vt:lpstr>ORDD_2Q08</vt:lpstr>
      <vt:lpstr>Tags!ORDD_2Q09</vt:lpstr>
      <vt:lpstr>ORDD_2Q09</vt:lpstr>
      <vt:lpstr>Tags!ORDD_2Q10</vt:lpstr>
      <vt:lpstr>ORDD_2Q10</vt:lpstr>
      <vt:lpstr>Tags!ORDD_2Q11</vt:lpstr>
      <vt:lpstr>ORDD_2Q11</vt:lpstr>
      <vt:lpstr>Tags!ORDD_2Q12</vt:lpstr>
      <vt:lpstr>ORDD_2Q12</vt:lpstr>
      <vt:lpstr>Tags!ORDD_2Q13</vt:lpstr>
      <vt:lpstr>ORDD_2Q13</vt:lpstr>
      <vt:lpstr>Tags!ORDD_2Q14</vt:lpstr>
      <vt:lpstr>ORDD_2Q14</vt:lpstr>
      <vt:lpstr>Tags!ORDD_2Q15</vt:lpstr>
      <vt:lpstr>ORDD_2Q15</vt:lpstr>
      <vt:lpstr>Tags!ORDD_2Q16</vt:lpstr>
      <vt:lpstr>ORDD_2Q16</vt:lpstr>
      <vt:lpstr>Tags!ORDD_2Q17</vt:lpstr>
      <vt:lpstr>ORDD_2Q17</vt:lpstr>
      <vt:lpstr>Tags!ORDD_2Q18</vt:lpstr>
      <vt:lpstr>ORDD_2Q18</vt:lpstr>
      <vt:lpstr>Tags!ORDD_2Q19</vt:lpstr>
      <vt:lpstr>ORDD_2Q19</vt:lpstr>
      <vt:lpstr>Tags!ORDD_2Q20</vt:lpstr>
      <vt:lpstr>ORDD_2Q20</vt:lpstr>
      <vt:lpstr>ORDD_2Q21</vt:lpstr>
      <vt:lpstr>ORDD_2Q22</vt:lpstr>
      <vt:lpstr>ORDD_2Q23</vt:lpstr>
      <vt:lpstr>ORDD_2Q24</vt:lpstr>
      <vt:lpstr>Tags!ORDD_3Q00</vt:lpstr>
      <vt:lpstr>ORDD_3Q00</vt:lpstr>
      <vt:lpstr>Tags!ORDD_3Q01</vt:lpstr>
      <vt:lpstr>ORDD_3Q01</vt:lpstr>
      <vt:lpstr>Tags!ORDD_3Q02</vt:lpstr>
      <vt:lpstr>ORDD_3Q02</vt:lpstr>
      <vt:lpstr>Tags!ORDD_3Q03</vt:lpstr>
      <vt:lpstr>ORDD_3Q03</vt:lpstr>
      <vt:lpstr>Tags!ORDD_3Q04</vt:lpstr>
      <vt:lpstr>ORDD_3Q04</vt:lpstr>
      <vt:lpstr>Tags!ORDD_3Q05</vt:lpstr>
      <vt:lpstr>ORDD_3Q05</vt:lpstr>
      <vt:lpstr>Tags!ORDD_3Q06</vt:lpstr>
      <vt:lpstr>ORDD_3Q06</vt:lpstr>
      <vt:lpstr>Tags!ORDD_3Q07</vt:lpstr>
      <vt:lpstr>ORDD_3Q07</vt:lpstr>
      <vt:lpstr>Tags!ORDD_3Q08</vt:lpstr>
      <vt:lpstr>ORDD_3Q08</vt:lpstr>
      <vt:lpstr>Tags!ORDD_3Q09</vt:lpstr>
      <vt:lpstr>ORDD_3Q09</vt:lpstr>
      <vt:lpstr>Tags!ORDD_3Q10</vt:lpstr>
      <vt:lpstr>ORDD_3Q10</vt:lpstr>
      <vt:lpstr>Tags!ORDD_3Q11</vt:lpstr>
      <vt:lpstr>ORDD_3Q11</vt:lpstr>
      <vt:lpstr>Tags!ORDD_3Q12</vt:lpstr>
      <vt:lpstr>ORDD_3Q12</vt:lpstr>
      <vt:lpstr>Tags!ORDD_3Q13</vt:lpstr>
      <vt:lpstr>ORDD_3Q13</vt:lpstr>
      <vt:lpstr>Tags!ORDD_3Q14</vt:lpstr>
      <vt:lpstr>ORDD_3Q14</vt:lpstr>
      <vt:lpstr>Tags!ORDD_3Q15</vt:lpstr>
      <vt:lpstr>ORDD_3Q15</vt:lpstr>
      <vt:lpstr>Tags!ORDD_3Q16</vt:lpstr>
      <vt:lpstr>ORDD_3Q16</vt:lpstr>
      <vt:lpstr>Tags!ORDD_3Q17</vt:lpstr>
      <vt:lpstr>ORDD_3Q17</vt:lpstr>
      <vt:lpstr>Tags!ORDD_3Q18</vt:lpstr>
      <vt:lpstr>ORDD_3Q18</vt:lpstr>
      <vt:lpstr>Tags!ORDD_3Q19</vt:lpstr>
      <vt:lpstr>ORDD_3Q19</vt:lpstr>
      <vt:lpstr>Tags!ORDD_3Q20</vt:lpstr>
      <vt:lpstr>ORDD_3Q20</vt:lpstr>
      <vt:lpstr>ORDD_3Q21</vt:lpstr>
      <vt:lpstr>ORDD_3Q22</vt:lpstr>
      <vt:lpstr>ORDD_3Q23</vt:lpstr>
      <vt:lpstr>ORDD_3Q24</vt:lpstr>
      <vt:lpstr>Tags!ORDD_4Q00</vt:lpstr>
      <vt:lpstr>ORDD_4Q00</vt:lpstr>
      <vt:lpstr>Tags!ORDD_4Q01</vt:lpstr>
      <vt:lpstr>ORDD_4Q01</vt:lpstr>
      <vt:lpstr>Tags!ORDD_4Q02</vt:lpstr>
      <vt:lpstr>ORDD_4Q02</vt:lpstr>
      <vt:lpstr>Tags!ORDD_4Q03</vt:lpstr>
      <vt:lpstr>ORDD_4Q03</vt:lpstr>
      <vt:lpstr>Tags!ORDD_4Q04</vt:lpstr>
      <vt:lpstr>ORDD_4Q04</vt:lpstr>
      <vt:lpstr>Tags!ORDD_4Q05</vt:lpstr>
      <vt:lpstr>ORDD_4Q05</vt:lpstr>
      <vt:lpstr>Tags!ORDD_4Q06</vt:lpstr>
      <vt:lpstr>ORDD_4Q06</vt:lpstr>
      <vt:lpstr>Tags!ORDD_4Q07</vt:lpstr>
      <vt:lpstr>ORDD_4Q07</vt:lpstr>
      <vt:lpstr>Tags!ORDD_4Q08</vt:lpstr>
      <vt:lpstr>ORDD_4Q08</vt:lpstr>
      <vt:lpstr>Tags!ORDD_4Q09</vt:lpstr>
      <vt:lpstr>ORDD_4Q09</vt:lpstr>
      <vt:lpstr>Tags!ORDD_4Q10</vt:lpstr>
      <vt:lpstr>ORDD_4Q10</vt:lpstr>
      <vt:lpstr>Tags!ORDD_4Q11</vt:lpstr>
      <vt:lpstr>ORDD_4Q11</vt:lpstr>
      <vt:lpstr>Tags!ORDD_4Q12</vt:lpstr>
      <vt:lpstr>ORDD_4Q12</vt:lpstr>
      <vt:lpstr>Tags!ORDD_4Q13</vt:lpstr>
      <vt:lpstr>ORDD_4Q13</vt:lpstr>
      <vt:lpstr>Tags!ORDD_4Q14</vt:lpstr>
      <vt:lpstr>ORDD_4Q14</vt:lpstr>
      <vt:lpstr>Tags!ORDD_4Q15</vt:lpstr>
      <vt:lpstr>ORDD_4Q15</vt:lpstr>
      <vt:lpstr>Tags!ORDD_4Q16</vt:lpstr>
      <vt:lpstr>ORDD_4Q16</vt:lpstr>
      <vt:lpstr>Tags!ORDD_4Q17</vt:lpstr>
      <vt:lpstr>ORDD_4Q17</vt:lpstr>
      <vt:lpstr>Tags!ORDD_4Q18</vt:lpstr>
      <vt:lpstr>ORDD_4Q18</vt:lpstr>
      <vt:lpstr>Tags!ORDD_4Q19</vt:lpstr>
      <vt:lpstr>ORDD_4Q19</vt:lpstr>
      <vt:lpstr>Tags!ORDD_4Q20</vt:lpstr>
      <vt:lpstr>ORDD_4Q20</vt:lpstr>
      <vt:lpstr>ORDD_4Q21</vt:lpstr>
      <vt:lpstr>ORDD_4Q22</vt:lpstr>
      <vt:lpstr>ORDD_4Q23</vt:lpstr>
      <vt:lpstr>ORDD_4Q24</vt:lpstr>
      <vt:lpstr>OSTLIA_1995</vt:lpstr>
      <vt:lpstr>OSTLIA_1996</vt:lpstr>
      <vt:lpstr>OSTLIA_1997</vt:lpstr>
      <vt:lpstr>OSTLIA_1998</vt:lpstr>
      <vt:lpstr>OSTLIA_1999</vt:lpstr>
      <vt:lpstr>Tags!OSTLIA_1Q00</vt:lpstr>
      <vt:lpstr>OSTLIA_1Q00</vt:lpstr>
      <vt:lpstr>Tags!OSTLIA_1Q01</vt:lpstr>
      <vt:lpstr>OSTLIA_1Q01</vt:lpstr>
      <vt:lpstr>Tags!OSTLIA_1Q02</vt:lpstr>
      <vt:lpstr>OSTLIA_1Q02</vt:lpstr>
      <vt:lpstr>Tags!OSTLIA_1Q03</vt:lpstr>
      <vt:lpstr>OSTLIA_1Q03</vt:lpstr>
      <vt:lpstr>Tags!OSTLIA_1Q04</vt:lpstr>
      <vt:lpstr>OSTLIA_1Q04</vt:lpstr>
      <vt:lpstr>Tags!OSTLIA_1Q05</vt:lpstr>
      <vt:lpstr>OSTLIA_1Q05</vt:lpstr>
      <vt:lpstr>Tags!OSTLIA_1Q06</vt:lpstr>
      <vt:lpstr>OSTLIA_1Q06</vt:lpstr>
      <vt:lpstr>Tags!OSTLIA_1Q07</vt:lpstr>
      <vt:lpstr>OSTLIA_1Q07</vt:lpstr>
      <vt:lpstr>Tags!OSTLIA_1Q08</vt:lpstr>
      <vt:lpstr>OSTLIA_1Q08</vt:lpstr>
      <vt:lpstr>Tags!OSTLIA_1Q09</vt:lpstr>
      <vt:lpstr>OSTLIA_1Q09</vt:lpstr>
      <vt:lpstr>Tags!OSTLIA_1Q10</vt:lpstr>
      <vt:lpstr>OSTLIA_1Q10</vt:lpstr>
      <vt:lpstr>Tags!OSTLIA_1Q11</vt:lpstr>
      <vt:lpstr>OSTLIA_1Q11</vt:lpstr>
      <vt:lpstr>Tags!OSTLIA_1Q12</vt:lpstr>
      <vt:lpstr>OSTLIA_1Q12</vt:lpstr>
      <vt:lpstr>Tags!OSTLIA_1Q13</vt:lpstr>
      <vt:lpstr>OSTLIA_1Q13</vt:lpstr>
      <vt:lpstr>Tags!OSTLIA_1Q14</vt:lpstr>
      <vt:lpstr>OSTLIA_1Q14</vt:lpstr>
      <vt:lpstr>Tags!OSTLIA_1Q15</vt:lpstr>
      <vt:lpstr>OSTLIA_1Q15</vt:lpstr>
      <vt:lpstr>Tags!OSTLIA_1Q16</vt:lpstr>
      <vt:lpstr>OSTLIA_1Q16</vt:lpstr>
      <vt:lpstr>Tags!OSTLIA_1Q17</vt:lpstr>
      <vt:lpstr>OSTLIA_1Q17</vt:lpstr>
      <vt:lpstr>Tags!OSTLIA_1Q18</vt:lpstr>
      <vt:lpstr>OSTLIA_1Q18</vt:lpstr>
      <vt:lpstr>Tags!OSTLIA_1Q19</vt:lpstr>
      <vt:lpstr>OSTLIA_1Q19</vt:lpstr>
      <vt:lpstr>Tags!OSTLIA_1Q20</vt:lpstr>
      <vt:lpstr>OSTLIA_1Q20</vt:lpstr>
      <vt:lpstr>OSTLIA_1Q21</vt:lpstr>
      <vt:lpstr>OSTLIA_1Q22</vt:lpstr>
      <vt:lpstr>OSTLIA_1Q23</vt:lpstr>
      <vt:lpstr>OSTLIA_1Q24</vt:lpstr>
      <vt:lpstr>Tags!OSTLIA_2000</vt:lpstr>
      <vt:lpstr>OSTLIA_2000</vt:lpstr>
      <vt:lpstr>Tags!OSTLIA_2001</vt:lpstr>
      <vt:lpstr>OSTLIA_2001</vt:lpstr>
      <vt:lpstr>Tags!OSTLIA_2002</vt:lpstr>
      <vt:lpstr>OSTLIA_2002</vt:lpstr>
      <vt:lpstr>Tags!OSTLIA_2003</vt:lpstr>
      <vt:lpstr>OSTLIA_2003</vt:lpstr>
      <vt:lpstr>Tags!OSTLIA_2004</vt:lpstr>
      <vt:lpstr>OSTLIA_2004</vt:lpstr>
      <vt:lpstr>Tags!OSTLIA_2005</vt:lpstr>
      <vt:lpstr>OSTLIA_2005</vt:lpstr>
      <vt:lpstr>Tags!OSTLIA_2006</vt:lpstr>
      <vt:lpstr>OSTLIA_2006</vt:lpstr>
      <vt:lpstr>Tags!OSTLIA_2007</vt:lpstr>
      <vt:lpstr>OSTLIA_2007</vt:lpstr>
      <vt:lpstr>Tags!OSTLIA_2008</vt:lpstr>
      <vt:lpstr>OSTLIA_2008</vt:lpstr>
      <vt:lpstr>Tags!OSTLIA_2009</vt:lpstr>
      <vt:lpstr>OSTLIA_2009</vt:lpstr>
      <vt:lpstr>Tags!OSTLIA_2010</vt:lpstr>
      <vt:lpstr>OSTLIA_2010</vt:lpstr>
      <vt:lpstr>Tags!OSTLIA_2011</vt:lpstr>
      <vt:lpstr>OSTLIA_2011</vt:lpstr>
      <vt:lpstr>Tags!OSTLIA_2012</vt:lpstr>
      <vt:lpstr>OSTLIA_2012</vt:lpstr>
      <vt:lpstr>Tags!OSTLIA_2013</vt:lpstr>
      <vt:lpstr>OSTLIA_2013</vt:lpstr>
      <vt:lpstr>Tags!OSTLIA_2014</vt:lpstr>
      <vt:lpstr>OSTLIA_2014</vt:lpstr>
      <vt:lpstr>OSTLIA_2015</vt:lpstr>
      <vt:lpstr>Tags!OSTLIA_2016</vt:lpstr>
      <vt:lpstr>OSTLIA_2016</vt:lpstr>
      <vt:lpstr>Tags!OSTLIA_2017</vt:lpstr>
      <vt:lpstr>OSTLIA_2017</vt:lpstr>
      <vt:lpstr>Tags!OSTLIA_2018</vt:lpstr>
      <vt:lpstr>OSTLIA_2018</vt:lpstr>
      <vt:lpstr>Tags!OSTLIA_2019</vt:lpstr>
      <vt:lpstr>OSTLIA_2019</vt:lpstr>
      <vt:lpstr>Tags!OSTLIA_2020</vt:lpstr>
      <vt:lpstr>OSTLIA_2020</vt:lpstr>
      <vt:lpstr>OSTLIA_2021</vt:lpstr>
      <vt:lpstr>OSTLIA_2022</vt:lpstr>
      <vt:lpstr>OSTLIA_2023</vt:lpstr>
      <vt:lpstr>OSTLIA_2024</vt:lpstr>
      <vt:lpstr>Tags!OSTLIA_2Q00</vt:lpstr>
      <vt:lpstr>OSTLIA_2Q00</vt:lpstr>
      <vt:lpstr>Tags!OSTLIA_2Q01</vt:lpstr>
      <vt:lpstr>OSTLIA_2Q01</vt:lpstr>
      <vt:lpstr>Tags!OSTLIA_2Q02</vt:lpstr>
      <vt:lpstr>OSTLIA_2Q02</vt:lpstr>
      <vt:lpstr>Tags!OSTLIA_2Q03</vt:lpstr>
      <vt:lpstr>OSTLIA_2Q03</vt:lpstr>
      <vt:lpstr>Tags!OSTLIA_2Q04</vt:lpstr>
      <vt:lpstr>OSTLIA_2Q04</vt:lpstr>
      <vt:lpstr>Tags!OSTLIA_2Q05</vt:lpstr>
      <vt:lpstr>OSTLIA_2Q05</vt:lpstr>
      <vt:lpstr>Tags!OSTLIA_2Q06</vt:lpstr>
      <vt:lpstr>OSTLIA_2Q06</vt:lpstr>
      <vt:lpstr>Tags!OSTLIA_2Q07</vt:lpstr>
      <vt:lpstr>OSTLIA_2Q07</vt:lpstr>
      <vt:lpstr>Tags!OSTLIA_2Q08</vt:lpstr>
      <vt:lpstr>OSTLIA_2Q08</vt:lpstr>
      <vt:lpstr>Tags!OSTLIA_2Q09</vt:lpstr>
      <vt:lpstr>OSTLIA_2Q09</vt:lpstr>
      <vt:lpstr>Tags!OSTLIA_2Q10</vt:lpstr>
      <vt:lpstr>OSTLIA_2Q10</vt:lpstr>
      <vt:lpstr>Tags!OSTLIA_2Q11</vt:lpstr>
      <vt:lpstr>OSTLIA_2Q11</vt:lpstr>
      <vt:lpstr>Tags!OSTLIA_2Q12</vt:lpstr>
      <vt:lpstr>OSTLIA_2Q12</vt:lpstr>
      <vt:lpstr>Tags!OSTLIA_2Q13</vt:lpstr>
      <vt:lpstr>OSTLIA_2Q13</vt:lpstr>
      <vt:lpstr>Tags!OSTLIA_2Q14</vt:lpstr>
      <vt:lpstr>OSTLIA_2Q14</vt:lpstr>
      <vt:lpstr>Tags!OSTLIA_2Q15</vt:lpstr>
      <vt:lpstr>OSTLIA_2Q15</vt:lpstr>
      <vt:lpstr>Tags!OSTLIA_2Q16</vt:lpstr>
      <vt:lpstr>OSTLIA_2Q16</vt:lpstr>
      <vt:lpstr>Tags!OSTLIA_2Q17</vt:lpstr>
      <vt:lpstr>OSTLIA_2Q17</vt:lpstr>
      <vt:lpstr>Tags!OSTLIA_2Q18</vt:lpstr>
      <vt:lpstr>OSTLIA_2Q18</vt:lpstr>
      <vt:lpstr>Tags!OSTLIA_2Q19</vt:lpstr>
      <vt:lpstr>OSTLIA_2Q19</vt:lpstr>
      <vt:lpstr>Tags!OSTLIA_2Q20</vt:lpstr>
      <vt:lpstr>OSTLIA_2Q20</vt:lpstr>
      <vt:lpstr>OSTLIA_2Q21</vt:lpstr>
      <vt:lpstr>OSTLIA_2Q22</vt:lpstr>
      <vt:lpstr>OSTLIA_2Q23</vt:lpstr>
      <vt:lpstr>OSTLIA_2Q24</vt:lpstr>
      <vt:lpstr>Tags!OSTLIA_3Q00</vt:lpstr>
      <vt:lpstr>OSTLIA_3Q00</vt:lpstr>
      <vt:lpstr>Tags!OSTLIA_3Q01</vt:lpstr>
      <vt:lpstr>OSTLIA_3Q01</vt:lpstr>
      <vt:lpstr>Tags!OSTLIA_3Q02</vt:lpstr>
      <vt:lpstr>OSTLIA_3Q02</vt:lpstr>
      <vt:lpstr>Tags!OSTLIA_3Q03</vt:lpstr>
      <vt:lpstr>OSTLIA_3Q03</vt:lpstr>
      <vt:lpstr>Tags!OSTLIA_3Q04</vt:lpstr>
      <vt:lpstr>OSTLIA_3Q04</vt:lpstr>
      <vt:lpstr>Tags!OSTLIA_3Q05</vt:lpstr>
      <vt:lpstr>OSTLIA_3Q05</vt:lpstr>
      <vt:lpstr>Tags!OSTLIA_3Q06</vt:lpstr>
      <vt:lpstr>OSTLIA_3Q06</vt:lpstr>
      <vt:lpstr>Tags!OSTLIA_3Q07</vt:lpstr>
      <vt:lpstr>OSTLIA_3Q07</vt:lpstr>
      <vt:lpstr>Tags!OSTLIA_3Q08</vt:lpstr>
      <vt:lpstr>OSTLIA_3Q08</vt:lpstr>
      <vt:lpstr>Tags!OSTLIA_3Q09</vt:lpstr>
      <vt:lpstr>OSTLIA_3Q09</vt:lpstr>
      <vt:lpstr>Tags!OSTLIA_3Q10</vt:lpstr>
      <vt:lpstr>OSTLIA_3Q10</vt:lpstr>
      <vt:lpstr>Tags!OSTLIA_3Q11</vt:lpstr>
      <vt:lpstr>OSTLIA_3Q11</vt:lpstr>
      <vt:lpstr>Tags!OSTLIA_3Q12</vt:lpstr>
      <vt:lpstr>OSTLIA_3Q12</vt:lpstr>
      <vt:lpstr>Tags!OSTLIA_3Q13</vt:lpstr>
      <vt:lpstr>OSTLIA_3Q13</vt:lpstr>
      <vt:lpstr>Tags!OSTLIA_3Q14</vt:lpstr>
      <vt:lpstr>OSTLIA_3Q14</vt:lpstr>
      <vt:lpstr>Tags!OSTLIA_3Q15</vt:lpstr>
      <vt:lpstr>OSTLIA_3Q15</vt:lpstr>
      <vt:lpstr>Tags!OSTLIA_3Q16</vt:lpstr>
      <vt:lpstr>OSTLIA_3Q16</vt:lpstr>
      <vt:lpstr>Tags!OSTLIA_3Q17</vt:lpstr>
      <vt:lpstr>OSTLIA_3Q17</vt:lpstr>
      <vt:lpstr>Tags!OSTLIA_3Q18</vt:lpstr>
      <vt:lpstr>OSTLIA_3Q18</vt:lpstr>
      <vt:lpstr>Tags!OSTLIA_3Q19</vt:lpstr>
      <vt:lpstr>OSTLIA_3Q19</vt:lpstr>
      <vt:lpstr>Tags!OSTLIA_3Q20</vt:lpstr>
      <vt:lpstr>OSTLIA_3Q20</vt:lpstr>
      <vt:lpstr>OSTLIA_3Q21</vt:lpstr>
      <vt:lpstr>OSTLIA_3Q22</vt:lpstr>
      <vt:lpstr>OSTLIA_3Q23</vt:lpstr>
      <vt:lpstr>OSTLIA_3Q24</vt:lpstr>
      <vt:lpstr>Tags!OSTLIA_4Q00</vt:lpstr>
      <vt:lpstr>OSTLIA_4Q00</vt:lpstr>
      <vt:lpstr>Tags!OSTLIA_4Q01</vt:lpstr>
      <vt:lpstr>OSTLIA_4Q01</vt:lpstr>
      <vt:lpstr>Tags!OSTLIA_4Q02</vt:lpstr>
      <vt:lpstr>OSTLIA_4Q02</vt:lpstr>
      <vt:lpstr>Tags!OSTLIA_4Q03</vt:lpstr>
      <vt:lpstr>OSTLIA_4Q03</vt:lpstr>
      <vt:lpstr>Tags!OSTLIA_4Q04</vt:lpstr>
      <vt:lpstr>OSTLIA_4Q04</vt:lpstr>
      <vt:lpstr>Tags!OSTLIA_4Q05</vt:lpstr>
      <vt:lpstr>OSTLIA_4Q05</vt:lpstr>
      <vt:lpstr>Tags!OSTLIA_4Q06</vt:lpstr>
      <vt:lpstr>OSTLIA_4Q06</vt:lpstr>
      <vt:lpstr>Tags!OSTLIA_4Q07</vt:lpstr>
      <vt:lpstr>OSTLIA_4Q07</vt:lpstr>
      <vt:lpstr>Tags!OSTLIA_4Q08</vt:lpstr>
      <vt:lpstr>OSTLIA_4Q08</vt:lpstr>
      <vt:lpstr>Tags!OSTLIA_4Q09</vt:lpstr>
      <vt:lpstr>OSTLIA_4Q09</vt:lpstr>
      <vt:lpstr>Tags!OSTLIA_4Q10</vt:lpstr>
      <vt:lpstr>OSTLIA_4Q10</vt:lpstr>
      <vt:lpstr>Tags!OSTLIA_4Q11</vt:lpstr>
      <vt:lpstr>OSTLIA_4Q11</vt:lpstr>
      <vt:lpstr>Tags!OSTLIA_4Q12</vt:lpstr>
      <vt:lpstr>OSTLIA_4Q12</vt:lpstr>
      <vt:lpstr>Tags!OSTLIA_4Q13</vt:lpstr>
      <vt:lpstr>OSTLIA_4Q13</vt:lpstr>
      <vt:lpstr>Tags!OSTLIA_4Q14</vt:lpstr>
      <vt:lpstr>OSTLIA_4Q14</vt:lpstr>
      <vt:lpstr>Tags!OSTLIA_4Q15</vt:lpstr>
      <vt:lpstr>OSTLIA_4Q15</vt:lpstr>
      <vt:lpstr>Tags!OSTLIA_4Q16</vt:lpstr>
      <vt:lpstr>OSTLIA_4Q16</vt:lpstr>
      <vt:lpstr>Tags!OSTLIA_4Q17</vt:lpstr>
      <vt:lpstr>OSTLIA_4Q17</vt:lpstr>
      <vt:lpstr>Tags!OSTLIA_4Q18</vt:lpstr>
      <vt:lpstr>OSTLIA_4Q18</vt:lpstr>
      <vt:lpstr>Tags!OSTLIA_4Q19</vt:lpstr>
      <vt:lpstr>OSTLIA_4Q19</vt:lpstr>
      <vt:lpstr>Tags!OSTLIA_4Q20</vt:lpstr>
      <vt:lpstr>OSTLIA_4Q20</vt:lpstr>
      <vt:lpstr>OSTLIA_4Q21</vt:lpstr>
      <vt:lpstr>OSTLIA_4Q22</vt:lpstr>
      <vt:lpstr>OSTLIA_4Q23</vt:lpstr>
      <vt:lpstr>OSTLIA_4Q24</vt:lpstr>
      <vt:lpstr>OTHASS_1995</vt:lpstr>
      <vt:lpstr>OTHASS_1996</vt:lpstr>
      <vt:lpstr>OTHASS_1997</vt:lpstr>
      <vt:lpstr>OTHASS_1998</vt:lpstr>
      <vt:lpstr>OTHASS_1999</vt:lpstr>
      <vt:lpstr>Tags!OTHASS_1Q00</vt:lpstr>
      <vt:lpstr>OTHASS_1Q00</vt:lpstr>
      <vt:lpstr>Tags!OTHASS_1Q01</vt:lpstr>
      <vt:lpstr>OTHASS_1Q01</vt:lpstr>
      <vt:lpstr>Tags!OTHASS_1Q02</vt:lpstr>
      <vt:lpstr>OTHASS_1Q02</vt:lpstr>
      <vt:lpstr>Tags!OTHASS_1Q03</vt:lpstr>
      <vt:lpstr>OTHASS_1Q03</vt:lpstr>
      <vt:lpstr>Tags!OTHASS_1Q04</vt:lpstr>
      <vt:lpstr>OTHASS_1Q04</vt:lpstr>
      <vt:lpstr>Tags!OTHASS_1Q05</vt:lpstr>
      <vt:lpstr>OTHASS_1Q05</vt:lpstr>
      <vt:lpstr>Tags!OTHASS_1Q06</vt:lpstr>
      <vt:lpstr>OTHASS_1Q06</vt:lpstr>
      <vt:lpstr>Tags!OTHASS_1Q07</vt:lpstr>
      <vt:lpstr>OTHASS_1Q07</vt:lpstr>
      <vt:lpstr>Tags!OTHASS_1Q08</vt:lpstr>
      <vt:lpstr>OTHASS_1Q08</vt:lpstr>
      <vt:lpstr>Tags!OTHASS_1Q09</vt:lpstr>
      <vt:lpstr>OTHASS_1Q09</vt:lpstr>
      <vt:lpstr>Tags!OTHASS_1Q10</vt:lpstr>
      <vt:lpstr>OTHASS_1Q10</vt:lpstr>
      <vt:lpstr>Tags!OTHASS_1Q11</vt:lpstr>
      <vt:lpstr>OTHASS_1Q11</vt:lpstr>
      <vt:lpstr>Tags!OTHASS_1Q12</vt:lpstr>
      <vt:lpstr>OTHASS_1Q12</vt:lpstr>
      <vt:lpstr>Tags!OTHASS_1Q13</vt:lpstr>
      <vt:lpstr>OTHASS_1Q13</vt:lpstr>
      <vt:lpstr>Tags!OTHASS_1Q14</vt:lpstr>
      <vt:lpstr>OTHASS_1Q14</vt:lpstr>
      <vt:lpstr>Tags!OTHASS_1Q15</vt:lpstr>
      <vt:lpstr>OTHASS_1Q15</vt:lpstr>
      <vt:lpstr>Tags!OTHASS_1Q16</vt:lpstr>
      <vt:lpstr>OTHASS_1Q16</vt:lpstr>
      <vt:lpstr>Tags!OTHASS_1Q17</vt:lpstr>
      <vt:lpstr>OTHASS_1Q17</vt:lpstr>
      <vt:lpstr>Tags!OTHASS_1Q18</vt:lpstr>
      <vt:lpstr>OTHASS_1Q18</vt:lpstr>
      <vt:lpstr>Tags!OTHASS_1Q19</vt:lpstr>
      <vt:lpstr>OTHASS_1Q19</vt:lpstr>
      <vt:lpstr>Tags!OTHASS_1Q20</vt:lpstr>
      <vt:lpstr>OTHASS_1Q20</vt:lpstr>
      <vt:lpstr>OTHASS_1Q21</vt:lpstr>
      <vt:lpstr>OTHASS_1Q22</vt:lpstr>
      <vt:lpstr>OTHASS_1Q23</vt:lpstr>
      <vt:lpstr>OTHASS_1Q24</vt:lpstr>
      <vt:lpstr>Tags!OTHASS_2000</vt:lpstr>
      <vt:lpstr>OTHASS_2000</vt:lpstr>
      <vt:lpstr>Tags!OTHASS_2001</vt:lpstr>
      <vt:lpstr>OTHASS_2001</vt:lpstr>
      <vt:lpstr>Tags!OTHASS_2002</vt:lpstr>
      <vt:lpstr>OTHASS_2002</vt:lpstr>
      <vt:lpstr>Tags!OTHASS_2003</vt:lpstr>
      <vt:lpstr>OTHASS_2003</vt:lpstr>
      <vt:lpstr>Tags!OTHASS_2004</vt:lpstr>
      <vt:lpstr>OTHASS_2004</vt:lpstr>
      <vt:lpstr>Tags!OTHASS_2005</vt:lpstr>
      <vt:lpstr>OTHASS_2005</vt:lpstr>
      <vt:lpstr>Tags!OTHASS_2006</vt:lpstr>
      <vt:lpstr>OTHASS_2006</vt:lpstr>
      <vt:lpstr>Tags!OTHASS_2007</vt:lpstr>
      <vt:lpstr>OTHASS_2007</vt:lpstr>
      <vt:lpstr>Tags!OTHASS_2008</vt:lpstr>
      <vt:lpstr>OTHASS_2008</vt:lpstr>
      <vt:lpstr>Tags!OTHASS_2009</vt:lpstr>
      <vt:lpstr>OTHASS_2009</vt:lpstr>
      <vt:lpstr>Tags!OTHASS_2010</vt:lpstr>
      <vt:lpstr>OTHASS_2010</vt:lpstr>
      <vt:lpstr>Tags!OTHASS_2011</vt:lpstr>
      <vt:lpstr>OTHASS_2011</vt:lpstr>
      <vt:lpstr>Tags!OTHASS_2012</vt:lpstr>
      <vt:lpstr>OTHASS_2012</vt:lpstr>
      <vt:lpstr>Tags!OTHASS_2013</vt:lpstr>
      <vt:lpstr>OTHASS_2013</vt:lpstr>
      <vt:lpstr>Tags!OTHASS_2014</vt:lpstr>
      <vt:lpstr>OTHASS_2014</vt:lpstr>
      <vt:lpstr>OTHASS_2015</vt:lpstr>
      <vt:lpstr>Tags!OTHASS_2016</vt:lpstr>
      <vt:lpstr>OTHASS_2016</vt:lpstr>
      <vt:lpstr>Tags!OTHASS_2017</vt:lpstr>
      <vt:lpstr>OTHASS_2017</vt:lpstr>
      <vt:lpstr>Tags!OTHASS_2018</vt:lpstr>
      <vt:lpstr>OTHASS_2018</vt:lpstr>
      <vt:lpstr>Tags!OTHASS_2019</vt:lpstr>
      <vt:lpstr>OTHASS_2019</vt:lpstr>
      <vt:lpstr>Tags!OTHASS_2020</vt:lpstr>
      <vt:lpstr>OTHASS_2020</vt:lpstr>
      <vt:lpstr>OTHASS_2021</vt:lpstr>
      <vt:lpstr>OTHASS_2022</vt:lpstr>
      <vt:lpstr>OTHASS_2023</vt:lpstr>
      <vt:lpstr>OTHASS_2024</vt:lpstr>
      <vt:lpstr>Tags!OTHASS_2Q00</vt:lpstr>
      <vt:lpstr>OTHASS_2Q00</vt:lpstr>
      <vt:lpstr>Tags!OTHASS_2Q01</vt:lpstr>
      <vt:lpstr>OTHASS_2Q01</vt:lpstr>
      <vt:lpstr>Tags!OTHASS_2Q02</vt:lpstr>
      <vt:lpstr>OTHASS_2Q02</vt:lpstr>
      <vt:lpstr>Tags!OTHASS_2Q03</vt:lpstr>
      <vt:lpstr>OTHASS_2Q03</vt:lpstr>
      <vt:lpstr>Tags!OTHASS_2Q04</vt:lpstr>
      <vt:lpstr>OTHASS_2Q04</vt:lpstr>
      <vt:lpstr>Tags!OTHASS_2Q05</vt:lpstr>
      <vt:lpstr>OTHASS_2Q05</vt:lpstr>
      <vt:lpstr>Tags!OTHASS_2Q06</vt:lpstr>
      <vt:lpstr>OTHASS_2Q06</vt:lpstr>
      <vt:lpstr>Tags!OTHASS_2Q07</vt:lpstr>
      <vt:lpstr>OTHASS_2Q07</vt:lpstr>
      <vt:lpstr>Tags!OTHASS_2Q08</vt:lpstr>
      <vt:lpstr>OTHASS_2Q08</vt:lpstr>
      <vt:lpstr>Tags!OTHASS_2Q09</vt:lpstr>
      <vt:lpstr>OTHASS_2Q09</vt:lpstr>
      <vt:lpstr>Tags!OTHASS_2Q10</vt:lpstr>
      <vt:lpstr>OTHASS_2Q10</vt:lpstr>
      <vt:lpstr>Tags!OTHASS_2Q11</vt:lpstr>
      <vt:lpstr>OTHASS_2Q11</vt:lpstr>
      <vt:lpstr>Tags!OTHASS_2Q12</vt:lpstr>
      <vt:lpstr>OTHASS_2Q12</vt:lpstr>
      <vt:lpstr>Tags!OTHASS_2Q13</vt:lpstr>
      <vt:lpstr>OTHASS_2Q13</vt:lpstr>
      <vt:lpstr>Tags!OTHASS_2Q14</vt:lpstr>
      <vt:lpstr>OTHASS_2Q14</vt:lpstr>
      <vt:lpstr>Tags!OTHASS_2Q15</vt:lpstr>
      <vt:lpstr>OTHASS_2Q15</vt:lpstr>
      <vt:lpstr>Tags!OTHASS_2Q16</vt:lpstr>
      <vt:lpstr>OTHASS_2Q16</vt:lpstr>
      <vt:lpstr>Tags!OTHASS_2Q17</vt:lpstr>
      <vt:lpstr>OTHASS_2Q17</vt:lpstr>
      <vt:lpstr>Tags!OTHASS_2Q18</vt:lpstr>
      <vt:lpstr>OTHASS_2Q18</vt:lpstr>
      <vt:lpstr>Tags!OTHASS_2Q19</vt:lpstr>
      <vt:lpstr>OTHASS_2Q19</vt:lpstr>
      <vt:lpstr>Tags!OTHASS_2Q20</vt:lpstr>
      <vt:lpstr>OTHASS_2Q20</vt:lpstr>
      <vt:lpstr>OTHASS_2Q21</vt:lpstr>
      <vt:lpstr>OTHASS_2Q22</vt:lpstr>
      <vt:lpstr>OTHASS_2Q23</vt:lpstr>
      <vt:lpstr>OTHASS_2Q24</vt:lpstr>
      <vt:lpstr>Tags!OTHASS_3Q00</vt:lpstr>
      <vt:lpstr>OTHASS_3Q00</vt:lpstr>
      <vt:lpstr>Tags!OTHASS_3Q01</vt:lpstr>
      <vt:lpstr>OTHASS_3Q01</vt:lpstr>
      <vt:lpstr>Tags!OTHASS_3Q02</vt:lpstr>
      <vt:lpstr>OTHASS_3Q02</vt:lpstr>
      <vt:lpstr>Tags!OTHASS_3Q03</vt:lpstr>
      <vt:lpstr>OTHASS_3Q03</vt:lpstr>
      <vt:lpstr>Tags!OTHASS_3Q04</vt:lpstr>
      <vt:lpstr>OTHASS_3Q04</vt:lpstr>
      <vt:lpstr>Tags!OTHASS_3Q05</vt:lpstr>
      <vt:lpstr>OTHASS_3Q05</vt:lpstr>
      <vt:lpstr>Tags!OTHASS_3Q06</vt:lpstr>
      <vt:lpstr>OTHASS_3Q06</vt:lpstr>
      <vt:lpstr>Tags!OTHASS_3Q07</vt:lpstr>
      <vt:lpstr>OTHASS_3Q07</vt:lpstr>
      <vt:lpstr>Tags!OTHASS_3Q08</vt:lpstr>
      <vt:lpstr>OTHASS_3Q08</vt:lpstr>
      <vt:lpstr>Tags!OTHASS_3Q09</vt:lpstr>
      <vt:lpstr>OTHASS_3Q09</vt:lpstr>
      <vt:lpstr>Tags!OTHASS_3Q10</vt:lpstr>
      <vt:lpstr>OTHASS_3Q10</vt:lpstr>
      <vt:lpstr>Tags!OTHASS_3Q11</vt:lpstr>
      <vt:lpstr>OTHASS_3Q11</vt:lpstr>
      <vt:lpstr>Tags!OTHASS_3Q12</vt:lpstr>
      <vt:lpstr>OTHASS_3Q12</vt:lpstr>
      <vt:lpstr>Tags!OTHASS_3Q13</vt:lpstr>
      <vt:lpstr>OTHASS_3Q13</vt:lpstr>
      <vt:lpstr>Tags!OTHASS_3Q14</vt:lpstr>
      <vt:lpstr>OTHASS_3Q14</vt:lpstr>
      <vt:lpstr>Tags!OTHASS_3Q15</vt:lpstr>
      <vt:lpstr>OTHASS_3Q15</vt:lpstr>
      <vt:lpstr>Tags!OTHASS_3Q16</vt:lpstr>
      <vt:lpstr>OTHASS_3Q16</vt:lpstr>
      <vt:lpstr>Tags!OTHASS_3Q17</vt:lpstr>
      <vt:lpstr>OTHASS_3Q17</vt:lpstr>
      <vt:lpstr>Tags!OTHASS_3Q18</vt:lpstr>
      <vt:lpstr>OTHASS_3Q18</vt:lpstr>
      <vt:lpstr>Tags!OTHASS_3Q19</vt:lpstr>
      <vt:lpstr>OTHASS_3Q19</vt:lpstr>
      <vt:lpstr>Tags!OTHASS_3Q20</vt:lpstr>
      <vt:lpstr>OTHASS_3Q20</vt:lpstr>
      <vt:lpstr>OTHASS_3Q21</vt:lpstr>
      <vt:lpstr>OTHASS_3Q22</vt:lpstr>
      <vt:lpstr>OTHASS_3Q23</vt:lpstr>
      <vt:lpstr>OTHASS_3Q24</vt:lpstr>
      <vt:lpstr>Tags!OTHASS_4Q00</vt:lpstr>
      <vt:lpstr>OTHASS_4Q00</vt:lpstr>
      <vt:lpstr>Tags!OTHASS_4Q01</vt:lpstr>
      <vt:lpstr>OTHASS_4Q01</vt:lpstr>
      <vt:lpstr>Tags!OTHASS_4Q02</vt:lpstr>
      <vt:lpstr>OTHASS_4Q02</vt:lpstr>
      <vt:lpstr>Tags!OTHASS_4Q03</vt:lpstr>
      <vt:lpstr>OTHASS_4Q03</vt:lpstr>
      <vt:lpstr>Tags!OTHASS_4Q04</vt:lpstr>
      <vt:lpstr>OTHASS_4Q04</vt:lpstr>
      <vt:lpstr>Tags!OTHASS_4Q05</vt:lpstr>
      <vt:lpstr>OTHASS_4Q05</vt:lpstr>
      <vt:lpstr>Tags!OTHASS_4Q06</vt:lpstr>
      <vt:lpstr>OTHASS_4Q06</vt:lpstr>
      <vt:lpstr>Tags!OTHASS_4Q07</vt:lpstr>
      <vt:lpstr>OTHASS_4Q07</vt:lpstr>
      <vt:lpstr>Tags!OTHASS_4Q08</vt:lpstr>
      <vt:lpstr>OTHASS_4Q08</vt:lpstr>
      <vt:lpstr>Tags!OTHASS_4Q09</vt:lpstr>
      <vt:lpstr>OTHASS_4Q09</vt:lpstr>
      <vt:lpstr>Tags!OTHASS_4Q10</vt:lpstr>
      <vt:lpstr>OTHASS_4Q10</vt:lpstr>
      <vt:lpstr>Tags!OTHASS_4Q11</vt:lpstr>
      <vt:lpstr>OTHASS_4Q11</vt:lpstr>
      <vt:lpstr>Tags!OTHASS_4Q12</vt:lpstr>
      <vt:lpstr>OTHASS_4Q12</vt:lpstr>
      <vt:lpstr>Tags!OTHASS_4Q13</vt:lpstr>
      <vt:lpstr>OTHASS_4Q13</vt:lpstr>
      <vt:lpstr>Tags!OTHASS_4Q14</vt:lpstr>
      <vt:lpstr>OTHASS_4Q14</vt:lpstr>
      <vt:lpstr>Tags!OTHASS_4Q15</vt:lpstr>
      <vt:lpstr>OTHASS_4Q15</vt:lpstr>
      <vt:lpstr>Tags!OTHASS_4Q16</vt:lpstr>
      <vt:lpstr>OTHASS_4Q16</vt:lpstr>
      <vt:lpstr>Tags!OTHASS_4Q17</vt:lpstr>
      <vt:lpstr>OTHASS_4Q17</vt:lpstr>
      <vt:lpstr>Tags!OTHASS_4Q18</vt:lpstr>
      <vt:lpstr>OTHASS_4Q18</vt:lpstr>
      <vt:lpstr>Tags!OTHASS_4Q19</vt:lpstr>
      <vt:lpstr>OTHASS_4Q19</vt:lpstr>
      <vt:lpstr>Tags!OTHASS_4Q20</vt:lpstr>
      <vt:lpstr>OTHASS_4Q20</vt:lpstr>
      <vt:lpstr>OTHASS_4Q21</vt:lpstr>
      <vt:lpstr>OTHASS_4Q22</vt:lpstr>
      <vt:lpstr>OTHASS_4Q23</vt:lpstr>
      <vt:lpstr>OTHASS_4Q24</vt:lpstr>
      <vt:lpstr>OTHDIV_1995</vt:lpstr>
      <vt:lpstr>OTHDIV_1996</vt:lpstr>
      <vt:lpstr>OTHDIV_1997</vt:lpstr>
      <vt:lpstr>OTHDIV_1998</vt:lpstr>
      <vt:lpstr>OTHDIV_1999</vt:lpstr>
      <vt:lpstr>Tags!OTHDIV_1Q00</vt:lpstr>
      <vt:lpstr>OTHDIV_1Q00</vt:lpstr>
      <vt:lpstr>Tags!OTHDIV_1Q01</vt:lpstr>
      <vt:lpstr>OTHDIV_1Q01</vt:lpstr>
      <vt:lpstr>Tags!OTHDIV_1Q02</vt:lpstr>
      <vt:lpstr>OTHDIV_1Q02</vt:lpstr>
      <vt:lpstr>Tags!OTHDIV_1Q03</vt:lpstr>
      <vt:lpstr>OTHDIV_1Q03</vt:lpstr>
      <vt:lpstr>Tags!OTHDIV_1Q04</vt:lpstr>
      <vt:lpstr>OTHDIV_1Q04</vt:lpstr>
      <vt:lpstr>Tags!OTHDIV_1Q05</vt:lpstr>
      <vt:lpstr>OTHDIV_1Q05</vt:lpstr>
      <vt:lpstr>Tags!OTHDIV_1Q06</vt:lpstr>
      <vt:lpstr>OTHDIV_1Q06</vt:lpstr>
      <vt:lpstr>Tags!OTHDIV_1Q07</vt:lpstr>
      <vt:lpstr>OTHDIV_1Q07</vt:lpstr>
      <vt:lpstr>Tags!OTHDIV_1Q08</vt:lpstr>
      <vt:lpstr>OTHDIV_1Q08</vt:lpstr>
      <vt:lpstr>Tags!OTHDIV_1Q09</vt:lpstr>
      <vt:lpstr>OTHDIV_1Q09</vt:lpstr>
      <vt:lpstr>Tags!OTHDIV_1Q10</vt:lpstr>
      <vt:lpstr>OTHDIV_1Q10</vt:lpstr>
      <vt:lpstr>Tags!OTHDIV_1Q11</vt:lpstr>
      <vt:lpstr>OTHDIV_1Q11</vt:lpstr>
      <vt:lpstr>Tags!OTHDIV_1Q12</vt:lpstr>
      <vt:lpstr>OTHDIV_1Q12</vt:lpstr>
      <vt:lpstr>Tags!OTHDIV_1Q13</vt:lpstr>
      <vt:lpstr>OTHDIV_1Q13</vt:lpstr>
      <vt:lpstr>Tags!OTHDIV_1Q14</vt:lpstr>
      <vt:lpstr>OTHDIV_1Q14</vt:lpstr>
      <vt:lpstr>Tags!OTHDIV_1Q15</vt:lpstr>
      <vt:lpstr>OTHDIV_1Q15</vt:lpstr>
      <vt:lpstr>Tags!OTHDIV_1Q16</vt:lpstr>
      <vt:lpstr>OTHDIV_1Q16</vt:lpstr>
      <vt:lpstr>Tags!OTHDIV_1Q17</vt:lpstr>
      <vt:lpstr>OTHDIV_1Q17</vt:lpstr>
      <vt:lpstr>Tags!OTHDIV_1Q18</vt:lpstr>
      <vt:lpstr>OTHDIV_1Q18</vt:lpstr>
      <vt:lpstr>Tags!OTHDIV_1Q19</vt:lpstr>
      <vt:lpstr>OTHDIV_1Q19</vt:lpstr>
      <vt:lpstr>Tags!OTHDIV_1Q20</vt:lpstr>
      <vt:lpstr>OTHDIV_1Q20</vt:lpstr>
      <vt:lpstr>OTHDIV_1Q21</vt:lpstr>
      <vt:lpstr>OTHDIV_1Q22</vt:lpstr>
      <vt:lpstr>OTHDIV_1Q23</vt:lpstr>
      <vt:lpstr>OTHDIV_1Q24</vt:lpstr>
      <vt:lpstr>Tags!OTHDIV_2000</vt:lpstr>
      <vt:lpstr>OTHDIV_2000</vt:lpstr>
      <vt:lpstr>Tags!OTHDIV_2001</vt:lpstr>
      <vt:lpstr>OTHDIV_2001</vt:lpstr>
      <vt:lpstr>Tags!OTHDIV_2002</vt:lpstr>
      <vt:lpstr>OTHDIV_2002</vt:lpstr>
      <vt:lpstr>Tags!OTHDIV_2003</vt:lpstr>
      <vt:lpstr>OTHDIV_2003</vt:lpstr>
      <vt:lpstr>Tags!OTHDIV_2004</vt:lpstr>
      <vt:lpstr>OTHDIV_2004</vt:lpstr>
      <vt:lpstr>Tags!OTHDIV_2005</vt:lpstr>
      <vt:lpstr>OTHDIV_2005</vt:lpstr>
      <vt:lpstr>Tags!OTHDIV_2006</vt:lpstr>
      <vt:lpstr>OTHDIV_2006</vt:lpstr>
      <vt:lpstr>Tags!OTHDIV_2007</vt:lpstr>
      <vt:lpstr>OTHDIV_2007</vt:lpstr>
      <vt:lpstr>Tags!OTHDIV_2008</vt:lpstr>
      <vt:lpstr>OTHDIV_2008</vt:lpstr>
      <vt:lpstr>Tags!OTHDIV_2009</vt:lpstr>
      <vt:lpstr>OTHDIV_2009</vt:lpstr>
      <vt:lpstr>Tags!OTHDIV_2010</vt:lpstr>
      <vt:lpstr>OTHDIV_2010</vt:lpstr>
      <vt:lpstr>Tags!OTHDIV_2011</vt:lpstr>
      <vt:lpstr>OTHDIV_2011</vt:lpstr>
      <vt:lpstr>Tags!OTHDIV_2012</vt:lpstr>
      <vt:lpstr>OTHDIV_2012</vt:lpstr>
      <vt:lpstr>Tags!OTHDIV_2013</vt:lpstr>
      <vt:lpstr>OTHDIV_2013</vt:lpstr>
      <vt:lpstr>Tags!OTHDIV_2014</vt:lpstr>
      <vt:lpstr>OTHDIV_2014</vt:lpstr>
      <vt:lpstr>OTHDIV_2015</vt:lpstr>
      <vt:lpstr>Tags!OTHDIV_2016</vt:lpstr>
      <vt:lpstr>OTHDIV_2016</vt:lpstr>
      <vt:lpstr>Tags!OTHDIV_2017</vt:lpstr>
      <vt:lpstr>OTHDIV_2017</vt:lpstr>
      <vt:lpstr>Tags!OTHDIV_2018</vt:lpstr>
      <vt:lpstr>OTHDIV_2018</vt:lpstr>
      <vt:lpstr>Tags!OTHDIV_2019</vt:lpstr>
      <vt:lpstr>OTHDIV_2019</vt:lpstr>
      <vt:lpstr>Tags!OTHDIV_2020</vt:lpstr>
      <vt:lpstr>OTHDIV_2020</vt:lpstr>
      <vt:lpstr>OTHDIV_2021</vt:lpstr>
      <vt:lpstr>OTHDIV_2022</vt:lpstr>
      <vt:lpstr>OTHDIV_2023</vt:lpstr>
      <vt:lpstr>OTHDIV_2024</vt:lpstr>
      <vt:lpstr>Tags!OTHDIV_2Q00</vt:lpstr>
      <vt:lpstr>OTHDIV_2Q00</vt:lpstr>
      <vt:lpstr>Tags!OTHDIV_2Q01</vt:lpstr>
      <vt:lpstr>OTHDIV_2Q01</vt:lpstr>
      <vt:lpstr>Tags!OTHDIV_2Q02</vt:lpstr>
      <vt:lpstr>OTHDIV_2Q02</vt:lpstr>
      <vt:lpstr>Tags!OTHDIV_2Q03</vt:lpstr>
      <vt:lpstr>OTHDIV_2Q03</vt:lpstr>
      <vt:lpstr>Tags!OTHDIV_2Q04</vt:lpstr>
      <vt:lpstr>OTHDIV_2Q04</vt:lpstr>
      <vt:lpstr>Tags!OTHDIV_2Q05</vt:lpstr>
      <vt:lpstr>OTHDIV_2Q05</vt:lpstr>
      <vt:lpstr>Tags!OTHDIV_2Q06</vt:lpstr>
      <vt:lpstr>OTHDIV_2Q06</vt:lpstr>
      <vt:lpstr>Tags!OTHDIV_2Q07</vt:lpstr>
      <vt:lpstr>OTHDIV_2Q07</vt:lpstr>
      <vt:lpstr>Tags!OTHDIV_2Q08</vt:lpstr>
      <vt:lpstr>OTHDIV_2Q08</vt:lpstr>
      <vt:lpstr>Tags!OTHDIV_2Q09</vt:lpstr>
      <vt:lpstr>OTHDIV_2Q09</vt:lpstr>
      <vt:lpstr>Tags!OTHDIV_2Q10</vt:lpstr>
      <vt:lpstr>OTHDIV_2Q10</vt:lpstr>
      <vt:lpstr>Tags!OTHDIV_2Q11</vt:lpstr>
      <vt:lpstr>OTHDIV_2Q11</vt:lpstr>
      <vt:lpstr>Tags!OTHDIV_2Q12</vt:lpstr>
      <vt:lpstr>OTHDIV_2Q12</vt:lpstr>
      <vt:lpstr>Tags!OTHDIV_2Q13</vt:lpstr>
      <vt:lpstr>OTHDIV_2Q13</vt:lpstr>
      <vt:lpstr>Tags!OTHDIV_2Q14</vt:lpstr>
      <vt:lpstr>OTHDIV_2Q14</vt:lpstr>
      <vt:lpstr>Tags!OTHDIV_2Q15</vt:lpstr>
      <vt:lpstr>OTHDIV_2Q15</vt:lpstr>
      <vt:lpstr>Tags!OTHDIV_2Q16</vt:lpstr>
      <vt:lpstr>OTHDIV_2Q16</vt:lpstr>
      <vt:lpstr>Tags!OTHDIV_2Q17</vt:lpstr>
      <vt:lpstr>OTHDIV_2Q17</vt:lpstr>
      <vt:lpstr>Tags!OTHDIV_2Q18</vt:lpstr>
      <vt:lpstr>OTHDIV_2Q18</vt:lpstr>
      <vt:lpstr>Tags!OTHDIV_2Q19</vt:lpstr>
      <vt:lpstr>OTHDIV_2Q19</vt:lpstr>
      <vt:lpstr>Tags!OTHDIV_2Q20</vt:lpstr>
      <vt:lpstr>OTHDIV_2Q20</vt:lpstr>
      <vt:lpstr>OTHDIV_2Q21</vt:lpstr>
      <vt:lpstr>OTHDIV_2Q22</vt:lpstr>
      <vt:lpstr>OTHDIV_2Q23</vt:lpstr>
      <vt:lpstr>OTHDIV_2Q24</vt:lpstr>
      <vt:lpstr>Tags!OTHDIV_3Q00</vt:lpstr>
      <vt:lpstr>OTHDIV_3Q00</vt:lpstr>
      <vt:lpstr>Tags!OTHDIV_3Q01</vt:lpstr>
      <vt:lpstr>OTHDIV_3Q01</vt:lpstr>
      <vt:lpstr>Tags!OTHDIV_3Q02</vt:lpstr>
      <vt:lpstr>OTHDIV_3Q02</vt:lpstr>
      <vt:lpstr>Tags!OTHDIV_3Q03</vt:lpstr>
      <vt:lpstr>OTHDIV_3Q03</vt:lpstr>
      <vt:lpstr>Tags!OTHDIV_3Q04</vt:lpstr>
      <vt:lpstr>OTHDIV_3Q04</vt:lpstr>
      <vt:lpstr>Tags!OTHDIV_3Q05</vt:lpstr>
      <vt:lpstr>OTHDIV_3Q05</vt:lpstr>
      <vt:lpstr>Tags!OTHDIV_3Q06</vt:lpstr>
      <vt:lpstr>OTHDIV_3Q06</vt:lpstr>
      <vt:lpstr>Tags!OTHDIV_3Q07</vt:lpstr>
      <vt:lpstr>OTHDIV_3Q07</vt:lpstr>
      <vt:lpstr>Tags!OTHDIV_3Q08</vt:lpstr>
      <vt:lpstr>OTHDIV_3Q08</vt:lpstr>
      <vt:lpstr>Tags!OTHDIV_3Q09</vt:lpstr>
      <vt:lpstr>OTHDIV_3Q09</vt:lpstr>
      <vt:lpstr>Tags!OTHDIV_3Q10</vt:lpstr>
      <vt:lpstr>OTHDIV_3Q10</vt:lpstr>
      <vt:lpstr>Tags!OTHDIV_3Q11</vt:lpstr>
      <vt:lpstr>OTHDIV_3Q11</vt:lpstr>
      <vt:lpstr>Tags!OTHDIV_3Q12</vt:lpstr>
      <vt:lpstr>OTHDIV_3Q12</vt:lpstr>
      <vt:lpstr>Tags!OTHDIV_3Q13</vt:lpstr>
      <vt:lpstr>OTHDIV_3Q13</vt:lpstr>
      <vt:lpstr>Tags!OTHDIV_3Q14</vt:lpstr>
      <vt:lpstr>OTHDIV_3Q14</vt:lpstr>
      <vt:lpstr>Tags!OTHDIV_3Q15</vt:lpstr>
      <vt:lpstr>OTHDIV_3Q15</vt:lpstr>
      <vt:lpstr>Tags!OTHDIV_3Q16</vt:lpstr>
      <vt:lpstr>OTHDIV_3Q16</vt:lpstr>
      <vt:lpstr>Tags!OTHDIV_3Q17</vt:lpstr>
      <vt:lpstr>OTHDIV_3Q17</vt:lpstr>
      <vt:lpstr>Tags!OTHDIV_3Q18</vt:lpstr>
      <vt:lpstr>OTHDIV_3Q18</vt:lpstr>
      <vt:lpstr>Tags!OTHDIV_3Q19</vt:lpstr>
      <vt:lpstr>OTHDIV_3Q19</vt:lpstr>
      <vt:lpstr>Tags!OTHDIV_3Q20</vt:lpstr>
      <vt:lpstr>OTHDIV_3Q20</vt:lpstr>
      <vt:lpstr>OTHDIV_3Q21</vt:lpstr>
      <vt:lpstr>OTHDIV_3Q22</vt:lpstr>
      <vt:lpstr>OTHDIV_3Q23</vt:lpstr>
      <vt:lpstr>OTHDIV_3Q24</vt:lpstr>
      <vt:lpstr>Tags!OTHDIV_4Q00</vt:lpstr>
      <vt:lpstr>OTHDIV_4Q00</vt:lpstr>
      <vt:lpstr>Tags!OTHDIV_4Q01</vt:lpstr>
      <vt:lpstr>OTHDIV_4Q01</vt:lpstr>
      <vt:lpstr>Tags!OTHDIV_4Q02</vt:lpstr>
      <vt:lpstr>OTHDIV_4Q02</vt:lpstr>
      <vt:lpstr>Tags!OTHDIV_4Q03</vt:lpstr>
      <vt:lpstr>OTHDIV_4Q03</vt:lpstr>
      <vt:lpstr>Tags!OTHDIV_4Q04</vt:lpstr>
      <vt:lpstr>OTHDIV_4Q04</vt:lpstr>
      <vt:lpstr>Tags!OTHDIV_4Q05</vt:lpstr>
      <vt:lpstr>OTHDIV_4Q05</vt:lpstr>
      <vt:lpstr>Tags!OTHDIV_4Q06</vt:lpstr>
      <vt:lpstr>OTHDIV_4Q06</vt:lpstr>
      <vt:lpstr>Tags!OTHDIV_4Q07</vt:lpstr>
      <vt:lpstr>OTHDIV_4Q07</vt:lpstr>
      <vt:lpstr>Tags!OTHDIV_4Q08</vt:lpstr>
      <vt:lpstr>OTHDIV_4Q08</vt:lpstr>
      <vt:lpstr>Tags!OTHDIV_4Q09</vt:lpstr>
      <vt:lpstr>OTHDIV_4Q09</vt:lpstr>
      <vt:lpstr>Tags!OTHDIV_4Q10</vt:lpstr>
      <vt:lpstr>OTHDIV_4Q10</vt:lpstr>
      <vt:lpstr>Tags!OTHDIV_4Q11</vt:lpstr>
      <vt:lpstr>OTHDIV_4Q11</vt:lpstr>
      <vt:lpstr>Tags!OTHDIV_4Q12</vt:lpstr>
      <vt:lpstr>OTHDIV_4Q12</vt:lpstr>
      <vt:lpstr>Tags!OTHDIV_4Q13</vt:lpstr>
      <vt:lpstr>OTHDIV_4Q13</vt:lpstr>
      <vt:lpstr>Tags!OTHDIV_4Q14</vt:lpstr>
      <vt:lpstr>OTHDIV_4Q14</vt:lpstr>
      <vt:lpstr>Tags!OTHDIV_4Q15</vt:lpstr>
      <vt:lpstr>OTHDIV_4Q15</vt:lpstr>
      <vt:lpstr>Tags!OTHDIV_4Q16</vt:lpstr>
      <vt:lpstr>OTHDIV_4Q16</vt:lpstr>
      <vt:lpstr>Tags!OTHDIV_4Q17</vt:lpstr>
      <vt:lpstr>OTHDIV_4Q17</vt:lpstr>
      <vt:lpstr>Tags!OTHDIV_4Q18</vt:lpstr>
      <vt:lpstr>OTHDIV_4Q18</vt:lpstr>
      <vt:lpstr>Tags!OTHDIV_4Q19</vt:lpstr>
      <vt:lpstr>OTHDIV_4Q19</vt:lpstr>
      <vt:lpstr>Tags!OTHDIV_4Q20</vt:lpstr>
      <vt:lpstr>OTHDIV_4Q20</vt:lpstr>
      <vt:lpstr>OTHDIV_4Q21</vt:lpstr>
      <vt:lpstr>OTHDIV_4Q22</vt:lpstr>
      <vt:lpstr>OTHDIV_4Q23</vt:lpstr>
      <vt:lpstr>OTHDIV_4Q24</vt:lpstr>
      <vt:lpstr>Other_Cash_From_Financing_1995</vt:lpstr>
      <vt:lpstr>Other_Cash_From_Financing_1996</vt:lpstr>
      <vt:lpstr>Other_Cash_From_Financing_1997</vt:lpstr>
      <vt:lpstr>Other_Cash_From_Financing_1998</vt:lpstr>
      <vt:lpstr>Other_Cash_From_Financing_1999</vt:lpstr>
      <vt:lpstr>Tags!OTHER_CASH_FROM_FINANCING_1Q00</vt:lpstr>
      <vt:lpstr>Other_Cash_From_Financing_1Q00</vt:lpstr>
      <vt:lpstr>Tags!OTHER_CASH_FROM_FINANCING_1Q01</vt:lpstr>
      <vt:lpstr>Other_Cash_From_Financing_1Q01</vt:lpstr>
      <vt:lpstr>Tags!OTHER_CASH_FROM_FINANCING_1Q02</vt:lpstr>
      <vt:lpstr>Other_Cash_From_Financing_1Q02</vt:lpstr>
      <vt:lpstr>Tags!OTHER_CASH_FROM_FINANCING_1Q03</vt:lpstr>
      <vt:lpstr>Other_Cash_From_Financing_1Q03</vt:lpstr>
      <vt:lpstr>Tags!OTHER_CASH_FROM_FINANCING_1Q04</vt:lpstr>
      <vt:lpstr>Other_Cash_From_Financing_1Q04</vt:lpstr>
      <vt:lpstr>Tags!OTHER_CASH_FROM_FINANCING_1Q05</vt:lpstr>
      <vt:lpstr>Other_Cash_From_Financing_1Q05</vt:lpstr>
      <vt:lpstr>Tags!OTHER_CASH_FROM_FINANCING_1Q06</vt:lpstr>
      <vt:lpstr>Other_Cash_From_Financing_1Q06</vt:lpstr>
      <vt:lpstr>Tags!OTHER_CASH_FROM_FINANCING_1Q07</vt:lpstr>
      <vt:lpstr>Other_Cash_From_Financing_1Q07</vt:lpstr>
      <vt:lpstr>Tags!OTHER_CASH_FROM_FINANCING_1Q08</vt:lpstr>
      <vt:lpstr>Other_Cash_From_Financing_1Q08</vt:lpstr>
      <vt:lpstr>Tags!OTHER_CASH_FROM_FINANCING_1Q09</vt:lpstr>
      <vt:lpstr>Other_Cash_From_Financing_1Q09</vt:lpstr>
      <vt:lpstr>Tags!OTHER_CASH_FROM_FINANCING_1Q10</vt:lpstr>
      <vt:lpstr>Other_Cash_From_Financing_1Q10</vt:lpstr>
      <vt:lpstr>Tags!OTHER_CASH_FROM_FINANCING_1Q11</vt:lpstr>
      <vt:lpstr>Other_Cash_From_Financing_1Q11</vt:lpstr>
      <vt:lpstr>Tags!OTHER_CASH_FROM_FINANCING_1Q12</vt:lpstr>
      <vt:lpstr>Other_Cash_From_Financing_1Q12</vt:lpstr>
      <vt:lpstr>Tags!OTHER_CASH_FROM_FINANCING_1Q13</vt:lpstr>
      <vt:lpstr>Other_Cash_From_Financing_1Q13</vt:lpstr>
      <vt:lpstr>Tags!OTHER_CASH_FROM_FINANCING_1Q14</vt:lpstr>
      <vt:lpstr>Other_Cash_From_Financing_1Q14</vt:lpstr>
      <vt:lpstr>Tags!OTHER_CASH_FROM_FINANCING_1Q15</vt:lpstr>
      <vt:lpstr>Other_Cash_From_Financing_1Q15</vt:lpstr>
      <vt:lpstr>Tags!OTHER_CASH_FROM_FINANCING_1Q16</vt:lpstr>
      <vt:lpstr>Other_Cash_From_Financing_1Q16</vt:lpstr>
      <vt:lpstr>Tags!OTHER_CASH_FROM_FINANCING_1Q17</vt:lpstr>
      <vt:lpstr>Other_Cash_From_Financing_1Q17</vt:lpstr>
      <vt:lpstr>Tags!OTHER_CASH_FROM_FINANCING_1Q18</vt:lpstr>
      <vt:lpstr>Other_Cash_From_Financing_1Q18</vt:lpstr>
      <vt:lpstr>Tags!OTHER_CASH_FROM_FINANCING_1Q19</vt:lpstr>
      <vt:lpstr>Other_Cash_From_Financing_1Q19</vt:lpstr>
      <vt:lpstr>Tags!OTHER_CASH_FROM_FINANCING_1Q20</vt:lpstr>
      <vt:lpstr>Other_Cash_From_Financing_1Q20</vt:lpstr>
      <vt:lpstr>OTHER_CASH_FROM_FINANCING_1Q21</vt:lpstr>
      <vt:lpstr>OTHER_CASH_FROM_FINANCING_1Q22</vt:lpstr>
      <vt:lpstr>OTHER_CASH_FROM_FINANCING_1Q23</vt:lpstr>
      <vt:lpstr>OTHER_CASH_FROM_FINANCING_1Q24</vt:lpstr>
      <vt:lpstr>Tags!OTHER_CASH_FROM_FINANCING_2000</vt:lpstr>
      <vt:lpstr>Other_Cash_From_Financing_2000</vt:lpstr>
      <vt:lpstr>Tags!OTHER_CASH_FROM_FINANCING_2001</vt:lpstr>
      <vt:lpstr>Other_Cash_From_Financing_2001</vt:lpstr>
      <vt:lpstr>Tags!OTHER_CASH_FROM_FINANCING_2002</vt:lpstr>
      <vt:lpstr>Other_Cash_From_Financing_2002</vt:lpstr>
      <vt:lpstr>Tags!OTHER_CASH_FROM_FINANCING_2003</vt:lpstr>
      <vt:lpstr>Other_Cash_From_Financing_2003</vt:lpstr>
      <vt:lpstr>Tags!OTHER_CASH_FROM_FINANCING_2004</vt:lpstr>
      <vt:lpstr>Other_Cash_From_Financing_2004</vt:lpstr>
      <vt:lpstr>Tags!OTHER_CASH_FROM_FINANCING_2005</vt:lpstr>
      <vt:lpstr>Other_Cash_From_Financing_2005</vt:lpstr>
      <vt:lpstr>Tags!OTHER_CASH_FROM_FINANCING_2006</vt:lpstr>
      <vt:lpstr>Other_Cash_From_Financing_2006</vt:lpstr>
      <vt:lpstr>Tags!OTHER_CASH_FROM_FINANCING_2007</vt:lpstr>
      <vt:lpstr>Other_Cash_From_Financing_2007</vt:lpstr>
      <vt:lpstr>Tags!OTHER_CASH_FROM_FINANCING_2008</vt:lpstr>
      <vt:lpstr>Other_Cash_From_Financing_2008</vt:lpstr>
      <vt:lpstr>Tags!OTHER_CASH_FROM_FINANCING_2009</vt:lpstr>
      <vt:lpstr>Other_Cash_From_Financing_2009</vt:lpstr>
      <vt:lpstr>Tags!OTHER_CASH_FROM_FINANCING_2010</vt:lpstr>
      <vt:lpstr>Other_Cash_From_Financing_2010</vt:lpstr>
      <vt:lpstr>Tags!OTHER_CASH_FROM_FINANCING_2011</vt:lpstr>
      <vt:lpstr>Other_Cash_From_Financing_2011</vt:lpstr>
      <vt:lpstr>Tags!OTHER_CASH_FROM_FINANCING_2012</vt:lpstr>
      <vt:lpstr>Other_Cash_From_Financing_2012</vt:lpstr>
      <vt:lpstr>Tags!OTHER_CASH_FROM_FINANCING_2013</vt:lpstr>
      <vt:lpstr>Other_Cash_From_Financing_2013</vt:lpstr>
      <vt:lpstr>Tags!OTHER_CASH_FROM_FINANCING_2014</vt:lpstr>
      <vt:lpstr>Other_Cash_From_Financing_2014</vt:lpstr>
      <vt:lpstr>Other_Cash_From_Financing_2015</vt:lpstr>
      <vt:lpstr>Tags!OTHER_CASH_FROM_FINANCING_2016</vt:lpstr>
      <vt:lpstr>Other_Cash_From_Financing_2016</vt:lpstr>
      <vt:lpstr>Tags!OTHER_CASH_FROM_FINANCING_2017</vt:lpstr>
      <vt:lpstr>Other_Cash_From_Financing_2017</vt:lpstr>
      <vt:lpstr>Tags!OTHER_CASH_FROM_FINANCING_2018</vt:lpstr>
      <vt:lpstr>Other_Cash_From_Financing_2018</vt:lpstr>
      <vt:lpstr>Tags!OTHER_CASH_FROM_FINANCING_2019</vt:lpstr>
      <vt:lpstr>Other_Cash_From_Financing_2019</vt:lpstr>
      <vt:lpstr>Tags!OTHER_CASH_FROM_FINANCING_2020</vt:lpstr>
      <vt:lpstr>Other_Cash_From_Financing_2020</vt:lpstr>
      <vt:lpstr>OTHER_CASH_FROM_FINANCING_2021</vt:lpstr>
      <vt:lpstr>OTHER_CASH_FROM_FINANCING_2022</vt:lpstr>
      <vt:lpstr>OTHER_CASH_FROM_FINANCING_2023</vt:lpstr>
      <vt:lpstr>OTHER_CASH_FROM_FINANCING_2024</vt:lpstr>
      <vt:lpstr>Tags!OTHER_CASH_FROM_FINANCING_2Q00</vt:lpstr>
      <vt:lpstr>Other_Cash_From_Financing_2Q00</vt:lpstr>
      <vt:lpstr>Tags!OTHER_CASH_FROM_FINANCING_2Q01</vt:lpstr>
      <vt:lpstr>Other_Cash_From_Financing_2Q01</vt:lpstr>
      <vt:lpstr>Tags!OTHER_CASH_FROM_FINANCING_2Q02</vt:lpstr>
      <vt:lpstr>Other_Cash_From_Financing_2Q02</vt:lpstr>
      <vt:lpstr>Tags!OTHER_CASH_FROM_FINANCING_2Q03</vt:lpstr>
      <vt:lpstr>Other_Cash_From_Financing_2Q03</vt:lpstr>
      <vt:lpstr>Tags!OTHER_CASH_FROM_FINANCING_2Q04</vt:lpstr>
      <vt:lpstr>Other_Cash_From_Financing_2Q04</vt:lpstr>
      <vt:lpstr>Tags!OTHER_CASH_FROM_FINANCING_2Q05</vt:lpstr>
      <vt:lpstr>Other_Cash_From_Financing_2Q05</vt:lpstr>
      <vt:lpstr>Tags!OTHER_CASH_FROM_FINANCING_2Q06</vt:lpstr>
      <vt:lpstr>Other_Cash_From_Financing_2Q06</vt:lpstr>
      <vt:lpstr>Tags!OTHER_CASH_FROM_FINANCING_2Q07</vt:lpstr>
      <vt:lpstr>Other_Cash_From_Financing_2Q07</vt:lpstr>
      <vt:lpstr>Tags!OTHER_CASH_FROM_FINANCING_2Q08</vt:lpstr>
      <vt:lpstr>Other_Cash_From_Financing_2Q08</vt:lpstr>
      <vt:lpstr>Tags!OTHER_CASH_FROM_FINANCING_2Q09</vt:lpstr>
      <vt:lpstr>Other_Cash_From_Financing_2Q09</vt:lpstr>
      <vt:lpstr>Tags!OTHER_CASH_FROM_FINANCING_2Q10</vt:lpstr>
      <vt:lpstr>Other_Cash_From_Financing_2Q10</vt:lpstr>
      <vt:lpstr>Tags!OTHER_CASH_FROM_FINANCING_2Q11</vt:lpstr>
      <vt:lpstr>Other_Cash_From_Financing_2Q11</vt:lpstr>
      <vt:lpstr>Tags!OTHER_CASH_FROM_FINANCING_2Q12</vt:lpstr>
      <vt:lpstr>Other_Cash_From_Financing_2Q12</vt:lpstr>
      <vt:lpstr>Tags!OTHER_CASH_FROM_FINANCING_2Q13</vt:lpstr>
      <vt:lpstr>Other_Cash_From_Financing_2Q13</vt:lpstr>
      <vt:lpstr>Tags!OTHER_CASH_FROM_FINANCING_2Q14</vt:lpstr>
      <vt:lpstr>Other_Cash_From_Financing_2Q14</vt:lpstr>
      <vt:lpstr>Tags!OTHER_CASH_FROM_FINANCING_2Q15</vt:lpstr>
      <vt:lpstr>Other_Cash_From_Financing_2Q15</vt:lpstr>
      <vt:lpstr>Tags!OTHER_CASH_FROM_FINANCING_2Q16</vt:lpstr>
      <vt:lpstr>Other_Cash_From_Financing_2Q16</vt:lpstr>
      <vt:lpstr>Tags!OTHER_CASH_FROM_FINANCING_2Q17</vt:lpstr>
      <vt:lpstr>Other_Cash_From_Financing_2Q17</vt:lpstr>
      <vt:lpstr>Tags!OTHER_CASH_FROM_FINANCING_2Q18</vt:lpstr>
      <vt:lpstr>Other_Cash_From_Financing_2Q18</vt:lpstr>
      <vt:lpstr>Tags!OTHER_CASH_FROM_FINANCING_2Q19</vt:lpstr>
      <vt:lpstr>Other_Cash_From_Financing_2Q19</vt:lpstr>
      <vt:lpstr>Tags!OTHER_CASH_FROM_FINANCING_2Q20</vt:lpstr>
      <vt:lpstr>Other_Cash_From_Financing_2Q20</vt:lpstr>
      <vt:lpstr>OTHER_CASH_FROM_FINANCING_2Q21</vt:lpstr>
      <vt:lpstr>OTHER_CASH_FROM_FINANCING_2Q22</vt:lpstr>
      <vt:lpstr>OTHER_CASH_FROM_FINANCING_2Q23</vt:lpstr>
      <vt:lpstr>OTHER_CASH_FROM_FINANCING_2Q24</vt:lpstr>
      <vt:lpstr>Tags!OTHER_CASH_FROM_FINANCING_3Q00</vt:lpstr>
      <vt:lpstr>Other_Cash_From_Financing_3Q00</vt:lpstr>
      <vt:lpstr>Tags!OTHER_CASH_FROM_FINANCING_3Q01</vt:lpstr>
      <vt:lpstr>Other_Cash_From_Financing_3Q01</vt:lpstr>
      <vt:lpstr>Tags!OTHER_CASH_FROM_FINANCING_3Q02</vt:lpstr>
      <vt:lpstr>Other_Cash_From_Financing_3Q02</vt:lpstr>
      <vt:lpstr>Tags!OTHER_CASH_FROM_FINANCING_3Q03</vt:lpstr>
      <vt:lpstr>Other_Cash_From_Financing_3Q03</vt:lpstr>
      <vt:lpstr>Tags!OTHER_CASH_FROM_FINANCING_3Q04</vt:lpstr>
      <vt:lpstr>Other_Cash_From_Financing_3Q04</vt:lpstr>
      <vt:lpstr>Tags!OTHER_CASH_FROM_FINANCING_3Q05</vt:lpstr>
      <vt:lpstr>Other_Cash_From_Financing_3Q05</vt:lpstr>
      <vt:lpstr>Tags!OTHER_CASH_FROM_FINANCING_3Q06</vt:lpstr>
      <vt:lpstr>Other_Cash_From_Financing_3Q06</vt:lpstr>
      <vt:lpstr>Tags!OTHER_CASH_FROM_FINANCING_3Q07</vt:lpstr>
      <vt:lpstr>Other_Cash_From_Financing_3Q07</vt:lpstr>
      <vt:lpstr>Tags!OTHER_CASH_FROM_FINANCING_3Q08</vt:lpstr>
      <vt:lpstr>Other_Cash_From_Financing_3Q08</vt:lpstr>
      <vt:lpstr>Tags!OTHER_CASH_FROM_FINANCING_3Q09</vt:lpstr>
      <vt:lpstr>Other_Cash_From_Financing_3Q09</vt:lpstr>
      <vt:lpstr>Tags!OTHER_CASH_FROM_FINANCING_3Q10</vt:lpstr>
      <vt:lpstr>Other_Cash_From_Financing_3Q10</vt:lpstr>
      <vt:lpstr>Tags!OTHER_CASH_FROM_FINANCING_3Q11</vt:lpstr>
      <vt:lpstr>Other_Cash_From_Financing_3Q11</vt:lpstr>
      <vt:lpstr>Tags!OTHER_CASH_FROM_FINANCING_3Q12</vt:lpstr>
      <vt:lpstr>Other_Cash_From_Financing_3Q12</vt:lpstr>
      <vt:lpstr>Tags!OTHER_CASH_FROM_FINANCING_3Q13</vt:lpstr>
      <vt:lpstr>Other_Cash_From_Financing_3Q13</vt:lpstr>
      <vt:lpstr>Tags!OTHER_CASH_FROM_FINANCING_3Q14</vt:lpstr>
      <vt:lpstr>Other_Cash_From_Financing_3Q14</vt:lpstr>
      <vt:lpstr>Tags!OTHER_CASH_FROM_FINANCING_3Q15</vt:lpstr>
      <vt:lpstr>Other_Cash_From_Financing_3Q15</vt:lpstr>
      <vt:lpstr>Tags!OTHER_CASH_FROM_FINANCING_3Q16</vt:lpstr>
      <vt:lpstr>Other_Cash_From_Financing_3Q16</vt:lpstr>
      <vt:lpstr>Tags!OTHER_CASH_FROM_FINANCING_3Q17</vt:lpstr>
      <vt:lpstr>Other_Cash_From_Financing_3Q17</vt:lpstr>
      <vt:lpstr>Tags!OTHER_CASH_FROM_FINANCING_3Q18</vt:lpstr>
      <vt:lpstr>Other_Cash_From_Financing_3Q18</vt:lpstr>
      <vt:lpstr>Tags!OTHER_CASH_FROM_FINANCING_3Q19</vt:lpstr>
      <vt:lpstr>Other_Cash_From_Financing_3Q19</vt:lpstr>
      <vt:lpstr>Tags!OTHER_CASH_FROM_FINANCING_3Q20</vt:lpstr>
      <vt:lpstr>Other_Cash_From_Financing_3Q20</vt:lpstr>
      <vt:lpstr>OTHER_CASH_FROM_FINANCING_3Q21</vt:lpstr>
      <vt:lpstr>OTHER_CASH_FROM_FINANCING_3Q22</vt:lpstr>
      <vt:lpstr>OTHER_CASH_FROM_FINANCING_3Q23</vt:lpstr>
      <vt:lpstr>OTHER_CASH_FROM_FINANCING_3Q24</vt:lpstr>
      <vt:lpstr>Tags!OTHER_CASH_FROM_FINANCING_4Q00</vt:lpstr>
      <vt:lpstr>Other_Cash_From_Financing_4Q00</vt:lpstr>
      <vt:lpstr>Tags!OTHER_CASH_FROM_FINANCING_4Q01</vt:lpstr>
      <vt:lpstr>Other_Cash_From_Financing_4Q01</vt:lpstr>
      <vt:lpstr>Tags!OTHER_CASH_FROM_FINANCING_4Q02</vt:lpstr>
      <vt:lpstr>Other_Cash_From_Financing_4Q02</vt:lpstr>
      <vt:lpstr>Tags!OTHER_CASH_FROM_FINANCING_4Q03</vt:lpstr>
      <vt:lpstr>Other_Cash_From_Financing_4Q03</vt:lpstr>
      <vt:lpstr>Tags!OTHER_CASH_FROM_FINANCING_4Q04</vt:lpstr>
      <vt:lpstr>Other_Cash_From_Financing_4Q04</vt:lpstr>
      <vt:lpstr>Tags!OTHER_CASH_FROM_FINANCING_4Q05</vt:lpstr>
      <vt:lpstr>Other_Cash_From_Financing_4Q05</vt:lpstr>
      <vt:lpstr>Tags!OTHER_CASH_FROM_FINANCING_4Q06</vt:lpstr>
      <vt:lpstr>Other_Cash_From_Financing_4Q06</vt:lpstr>
      <vt:lpstr>Tags!OTHER_CASH_FROM_FINANCING_4Q07</vt:lpstr>
      <vt:lpstr>Other_Cash_From_Financing_4Q07</vt:lpstr>
      <vt:lpstr>Tags!OTHER_CASH_FROM_FINANCING_4Q08</vt:lpstr>
      <vt:lpstr>Other_Cash_From_Financing_4Q08</vt:lpstr>
      <vt:lpstr>Tags!OTHER_CASH_FROM_FINANCING_4Q09</vt:lpstr>
      <vt:lpstr>Other_Cash_From_Financing_4Q09</vt:lpstr>
      <vt:lpstr>Tags!OTHER_CASH_FROM_FINANCING_4Q10</vt:lpstr>
      <vt:lpstr>Other_Cash_From_Financing_4Q10</vt:lpstr>
      <vt:lpstr>Tags!OTHER_CASH_FROM_FINANCING_4Q11</vt:lpstr>
      <vt:lpstr>Other_Cash_From_Financing_4Q11</vt:lpstr>
      <vt:lpstr>Tags!OTHER_CASH_FROM_FINANCING_4Q12</vt:lpstr>
      <vt:lpstr>Other_Cash_From_Financing_4Q12</vt:lpstr>
      <vt:lpstr>Tags!OTHER_CASH_FROM_FINANCING_4Q13</vt:lpstr>
      <vt:lpstr>Other_Cash_From_Financing_4Q13</vt:lpstr>
      <vt:lpstr>Tags!OTHER_CASH_FROM_FINANCING_4Q14</vt:lpstr>
      <vt:lpstr>Other_Cash_From_Financing_4Q14</vt:lpstr>
      <vt:lpstr>Tags!OTHER_CASH_FROM_FINANCING_4Q15</vt:lpstr>
      <vt:lpstr>Other_Cash_From_Financing_4Q15</vt:lpstr>
      <vt:lpstr>Tags!OTHER_CASH_FROM_FINANCING_4Q16</vt:lpstr>
      <vt:lpstr>Other_Cash_From_Financing_4Q16</vt:lpstr>
      <vt:lpstr>Tags!OTHER_CASH_FROM_FINANCING_4Q17</vt:lpstr>
      <vt:lpstr>Other_Cash_From_Financing_4Q17</vt:lpstr>
      <vt:lpstr>Tags!OTHER_CASH_FROM_FINANCING_4Q18</vt:lpstr>
      <vt:lpstr>Other_Cash_From_Financing_4Q18</vt:lpstr>
      <vt:lpstr>Tags!OTHER_CASH_FROM_FINANCING_4Q19</vt:lpstr>
      <vt:lpstr>Other_Cash_From_Financing_4Q19</vt:lpstr>
      <vt:lpstr>Tags!OTHER_CASH_FROM_FINANCING_4Q20</vt:lpstr>
      <vt:lpstr>Other_Cash_From_Financing_4Q20</vt:lpstr>
      <vt:lpstr>OTHER_CASH_FROM_FINANCING_4Q21</vt:lpstr>
      <vt:lpstr>OTHER_CASH_FROM_FINANCING_4Q22</vt:lpstr>
      <vt:lpstr>OTHER_CASH_FROM_FINANCING_4Q23</vt:lpstr>
      <vt:lpstr>OTHER_CASH_FROM_FINANCING_4Q24</vt:lpstr>
      <vt:lpstr>OTHINB_1995</vt:lpstr>
      <vt:lpstr>OTHINB_1996</vt:lpstr>
      <vt:lpstr>OTHINB_1997</vt:lpstr>
      <vt:lpstr>OTHINB_1998</vt:lpstr>
      <vt:lpstr>OTHINB_1999</vt:lpstr>
      <vt:lpstr>Tags!OTHINB_1Q00</vt:lpstr>
      <vt:lpstr>OTHINB_1Q00</vt:lpstr>
      <vt:lpstr>Tags!OTHINB_1Q01</vt:lpstr>
      <vt:lpstr>OTHINB_1Q01</vt:lpstr>
      <vt:lpstr>Tags!OTHINB_1Q02</vt:lpstr>
      <vt:lpstr>OTHINB_1Q02</vt:lpstr>
      <vt:lpstr>Tags!OTHINB_1Q03</vt:lpstr>
      <vt:lpstr>OTHINB_1Q03</vt:lpstr>
      <vt:lpstr>Tags!OTHINB_1Q04</vt:lpstr>
      <vt:lpstr>OTHINB_1Q04</vt:lpstr>
      <vt:lpstr>Tags!OTHINB_1Q05</vt:lpstr>
      <vt:lpstr>OTHINB_1Q05</vt:lpstr>
      <vt:lpstr>Tags!OTHINB_1Q06</vt:lpstr>
      <vt:lpstr>OTHINB_1Q06</vt:lpstr>
      <vt:lpstr>Tags!OTHINB_1Q07</vt:lpstr>
      <vt:lpstr>OTHINB_1Q07</vt:lpstr>
      <vt:lpstr>Tags!OTHINB_1Q08</vt:lpstr>
      <vt:lpstr>OTHINB_1Q08</vt:lpstr>
      <vt:lpstr>Tags!OTHINB_1Q09</vt:lpstr>
      <vt:lpstr>OTHINB_1Q09</vt:lpstr>
      <vt:lpstr>Tags!OTHINB_1Q10</vt:lpstr>
      <vt:lpstr>OTHINB_1Q10</vt:lpstr>
      <vt:lpstr>Tags!OTHINB_1Q11</vt:lpstr>
      <vt:lpstr>OTHINB_1Q11</vt:lpstr>
      <vt:lpstr>Tags!OTHINB_1Q12</vt:lpstr>
      <vt:lpstr>OTHINB_1Q12</vt:lpstr>
      <vt:lpstr>Tags!OTHINB_1Q13</vt:lpstr>
      <vt:lpstr>OTHINB_1Q13</vt:lpstr>
      <vt:lpstr>Tags!OTHINB_1Q14</vt:lpstr>
      <vt:lpstr>OTHINB_1Q14</vt:lpstr>
      <vt:lpstr>Tags!OTHINB_1Q15</vt:lpstr>
      <vt:lpstr>OTHINB_1Q15</vt:lpstr>
      <vt:lpstr>Tags!OTHINB_1Q16</vt:lpstr>
      <vt:lpstr>OTHINB_1Q16</vt:lpstr>
      <vt:lpstr>Tags!OTHINB_1Q17</vt:lpstr>
      <vt:lpstr>OTHINB_1Q17</vt:lpstr>
      <vt:lpstr>Tags!OTHINB_1Q18</vt:lpstr>
      <vt:lpstr>OTHINB_1Q18</vt:lpstr>
      <vt:lpstr>Tags!OTHINB_1Q19</vt:lpstr>
      <vt:lpstr>OTHINB_1Q19</vt:lpstr>
      <vt:lpstr>Tags!OTHINB_1Q20</vt:lpstr>
      <vt:lpstr>OTHINB_1Q20</vt:lpstr>
      <vt:lpstr>OTHINB_1Q21</vt:lpstr>
      <vt:lpstr>OTHINB_1Q22</vt:lpstr>
      <vt:lpstr>OTHINB_1Q23</vt:lpstr>
      <vt:lpstr>OTHINB_1Q24</vt:lpstr>
      <vt:lpstr>Tags!OTHINB_2000</vt:lpstr>
      <vt:lpstr>OTHINB_2000</vt:lpstr>
      <vt:lpstr>Tags!OTHINB_2001</vt:lpstr>
      <vt:lpstr>OTHINB_2001</vt:lpstr>
      <vt:lpstr>Tags!OTHINB_2002</vt:lpstr>
      <vt:lpstr>OTHINB_2002</vt:lpstr>
      <vt:lpstr>Tags!OTHINB_2003</vt:lpstr>
      <vt:lpstr>OTHINB_2003</vt:lpstr>
      <vt:lpstr>Tags!OTHINB_2004</vt:lpstr>
      <vt:lpstr>OTHINB_2004</vt:lpstr>
      <vt:lpstr>Tags!OTHINB_2005</vt:lpstr>
      <vt:lpstr>OTHINB_2005</vt:lpstr>
      <vt:lpstr>Tags!OTHINB_2006</vt:lpstr>
      <vt:lpstr>OTHINB_2006</vt:lpstr>
      <vt:lpstr>Tags!OTHINB_2007</vt:lpstr>
      <vt:lpstr>OTHINB_2007</vt:lpstr>
      <vt:lpstr>Tags!OTHINB_2008</vt:lpstr>
      <vt:lpstr>OTHINB_2008</vt:lpstr>
      <vt:lpstr>Tags!OTHINB_2009</vt:lpstr>
      <vt:lpstr>OTHINB_2009</vt:lpstr>
      <vt:lpstr>Tags!OTHINB_2010</vt:lpstr>
      <vt:lpstr>OTHINB_2010</vt:lpstr>
      <vt:lpstr>Tags!OTHINB_2011</vt:lpstr>
      <vt:lpstr>OTHINB_2011</vt:lpstr>
      <vt:lpstr>Tags!OTHINB_2012</vt:lpstr>
      <vt:lpstr>OTHINB_2012</vt:lpstr>
      <vt:lpstr>Tags!OTHINB_2013</vt:lpstr>
      <vt:lpstr>OTHINB_2013</vt:lpstr>
      <vt:lpstr>Tags!OTHINB_2014</vt:lpstr>
      <vt:lpstr>OTHINB_2014</vt:lpstr>
      <vt:lpstr>OTHINB_2015</vt:lpstr>
      <vt:lpstr>Tags!OTHINB_2016</vt:lpstr>
      <vt:lpstr>OTHINB_2016</vt:lpstr>
      <vt:lpstr>Tags!OTHINB_2017</vt:lpstr>
      <vt:lpstr>OTHINB_2017</vt:lpstr>
      <vt:lpstr>Tags!OTHINB_2018</vt:lpstr>
      <vt:lpstr>OTHINB_2018</vt:lpstr>
      <vt:lpstr>Tags!OTHINB_2019</vt:lpstr>
      <vt:lpstr>OTHINB_2019</vt:lpstr>
      <vt:lpstr>Tags!OTHINB_2020</vt:lpstr>
      <vt:lpstr>OTHINB_2020</vt:lpstr>
      <vt:lpstr>OTHINB_2021</vt:lpstr>
      <vt:lpstr>OTHINB_2022</vt:lpstr>
      <vt:lpstr>OTHINB_2023</vt:lpstr>
      <vt:lpstr>OTHINB_2024</vt:lpstr>
      <vt:lpstr>Tags!OTHINB_2Q00</vt:lpstr>
      <vt:lpstr>OTHINB_2Q00</vt:lpstr>
      <vt:lpstr>Tags!OTHINB_2Q01</vt:lpstr>
      <vt:lpstr>OTHINB_2Q01</vt:lpstr>
      <vt:lpstr>Tags!OTHINB_2Q02</vt:lpstr>
      <vt:lpstr>OTHINB_2Q02</vt:lpstr>
      <vt:lpstr>Tags!OTHINB_2Q03</vt:lpstr>
      <vt:lpstr>OTHINB_2Q03</vt:lpstr>
      <vt:lpstr>Tags!OTHINB_2Q04</vt:lpstr>
      <vt:lpstr>OTHINB_2Q04</vt:lpstr>
      <vt:lpstr>Tags!OTHINB_2Q05</vt:lpstr>
      <vt:lpstr>OTHINB_2Q05</vt:lpstr>
      <vt:lpstr>Tags!OTHINB_2Q06</vt:lpstr>
      <vt:lpstr>OTHINB_2Q06</vt:lpstr>
      <vt:lpstr>Tags!OTHINB_2Q07</vt:lpstr>
      <vt:lpstr>OTHINB_2Q07</vt:lpstr>
      <vt:lpstr>Tags!OTHINB_2Q08</vt:lpstr>
      <vt:lpstr>OTHINB_2Q08</vt:lpstr>
      <vt:lpstr>Tags!OTHINB_2Q09</vt:lpstr>
      <vt:lpstr>OTHINB_2Q09</vt:lpstr>
      <vt:lpstr>Tags!OTHINB_2Q10</vt:lpstr>
      <vt:lpstr>OTHINB_2Q10</vt:lpstr>
      <vt:lpstr>Tags!OTHINB_2Q11</vt:lpstr>
      <vt:lpstr>OTHINB_2Q11</vt:lpstr>
      <vt:lpstr>Tags!OTHINB_2Q12</vt:lpstr>
      <vt:lpstr>OTHINB_2Q12</vt:lpstr>
      <vt:lpstr>Tags!OTHINB_2Q13</vt:lpstr>
      <vt:lpstr>OTHINB_2Q13</vt:lpstr>
      <vt:lpstr>Tags!OTHINB_2Q14</vt:lpstr>
      <vt:lpstr>OTHINB_2Q14</vt:lpstr>
      <vt:lpstr>Tags!OTHINB_2Q15</vt:lpstr>
      <vt:lpstr>OTHINB_2Q15</vt:lpstr>
      <vt:lpstr>Tags!OTHINB_2Q16</vt:lpstr>
      <vt:lpstr>OTHINB_2Q16</vt:lpstr>
      <vt:lpstr>Tags!OTHINB_2Q17</vt:lpstr>
      <vt:lpstr>OTHINB_2Q17</vt:lpstr>
      <vt:lpstr>Tags!OTHINB_2Q18</vt:lpstr>
      <vt:lpstr>OTHINB_2Q18</vt:lpstr>
      <vt:lpstr>Tags!OTHINB_2Q19</vt:lpstr>
      <vt:lpstr>OTHINB_2Q19</vt:lpstr>
      <vt:lpstr>Tags!OTHINB_2Q20</vt:lpstr>
      <vt:lpstr>OTHINB_2Q20</vt:lpstr>
      <vt:lpstr>OTHINB_2Q21</vt:lpstr>
      <vt:lpstr>OTHINB_2Q22</vt:lpstr>
      <vt:lpstr>OTHINB_2Q23</vt:lpstr>
      <vt:lpstr>OTHINB_2Q24</vt:lpstr>
      <vt:lpstr>Tags!OTHINB_3Q00</vt:lpstr>
      <vt:lpstr>OTHINB_3Q00</vt:lpstr>
      <vt:lpstr>Tags!OTHINB_3Q01</vt:lpstr>
      <vt:lpstr>OTHINB_3Q01</vt:lpstr>
      <vt:lpstr>Tags!OTHINB_3Q02</vt:lpstr>
      <vt:lpstr>OTHINB_3Q02</vt:lpstr>
      <vt:lpstr>Tags!OTHINB_3Q03</vt:lpstr>
      <vt:lpstr>OTHINB_3Q03</vt:lpstr>
      <vt:lpstr>Tags!OTHINB_3Q04</vt:lpstr>
      <vt:lpstr>OTHINB_3Q04</vt:lpstr>
      <vt:lpstr>Tags!OTHINB_3Q05</vt:lpstr>
      <vt:lpstr>OTHINB_3Q05</vt:lpstr>
      <vt:lpstr>Tags!OTHINB_3Q06</vt:lpstr>
      <vt:lpstr>OTHINB_3Q06</vt:lpstr>
      <vt:lpstr>Tags!OTHINB_3Q07</vt:lpstr>
      <vt:lpstr>OTHINB_3Q07</vt:lpstr>
      <vt:lpstr>Tags!OTHINB_3Q08</vt:lpstr>
      <vt:lpstr>OTHINB_3Q08</vt:lpstr>
      <vt:lpstr>Tags!OTHINB_3Q09</vt:lpstr>
      <vt:lpstr>OTHINB_3Q09</vt:lpstr>
      <vt:lpstr>Tags!OTHINB_3Q10</vt:lpstr>
      <vt:lpstr>OTHINB_3Q10</vt:lpstr>
      <vt:lpstr>Tags!OTHINB_3Q11</vt:lpstr>
      <vt:lpstr>OTHINB_3Q11</vt:lpstr>
      <vt:lpstr>Tags!OTHINB_3Q12</vt:lpstr>
      <vt:lpstr>OTHINB_3Q12</vt:lpstr>
      <vt:lpstr>Tags!OTHINB_3Q13</vt:lpstr>
      <vt:lpstr>OTHINB_3Q13</vt:lpstr>
      <vt:lpstr>Tags!OTHINB_3Q14</vt:lpstr>
      <vt:lpstr>OTHINB_3Q14</vt:lpstr>
      <vt:lpstr>Tags!OTHINB_3Q15</vt:lpstr>
      <vt:lpstr>OTHINB_3Q15</vt:lpstr>
      <vt:lpstr>Tags!OTHINB_3Q16</vt:lpstr>
      <vt:lpstr>OTHINB_3Q16</vt:lpstr>
      <vt:lpstr>Tags!OTHINB_3Q17</vt:lpstr>
      <vt:lpstr>OTHINB_3Q17</vt:lpstr>
      <vt:lpstr>Tags!OTHINB_3Q18</vt:lpstr>
      <vt:lpstr>OTHINB_3Q18</vt:lpstr>
      <vt:lpstr>Tags!OTHINB_3Q19</vt:lpstr>
      <vt:lpstr>OTHINB_3Q19</vt:lpstr>
      <vt:lpstr>Tags!OTHINB_3Q20</vt:lpstr>
      <vt:lpstr>OTHINB_3Q20</vt:lpstr>
      <vt:lpstr>OTHINB_3Q21</vt:lpstr>
      <vt:lpstr>OTHINB_3Q22</vt:lpstr>
      <vt:lpstr>OTHINB_3Q23</vt:lpstr>
      <vt:lpstr>OTHINB_3Q24</vt:lpstr>
      <vt:lpstr>Tags!OTHINB_4Q00</vt:lpstr>
      <vt:lpstr>OTHINB_4Q00</vt:lpstr>
      <vt:lpstr>Tags!OTHINB_4Q01</vt:lpstr>
      <vt:lpstr>OTHINB_4Q01</vt:lpstr>
      <vt:lpstr>Tags!OTHINB_4Q02</vt:lpstr>
      <vt:lpstr>OTHINB_4Q02</vt:lpstr>
      <vt:lpstr>Tags!OTHINB_4Q03</vt:lpstr>
      <vt:lpstr>OTHINB_4Q03</vt:lpstr>
      <vt:lpstr>Tags!OTHINB_4Q04</vt:lpstr>
      <vt:lpstr>OTHINB_4Q04</vt:lpstr>
      <vt:lpstr>Tags!OTHINB_4Q05</vt:lpstr>
      <vt:lpstr>OTHINB_4Q05</vt:lpstr>
      <vt:lpstr>Tags!OTHINB_4Q06</vt:lpstr>
      <vt:lpstr>OTHINB_4Q06</vt:lpstr>
      <vt:lpstr>Tags!OTHINB_4Q07</vt:lpstr>
      <vt:lpstr>OTHINB_4Q07</vt:lpstr>
      <vt:lpstr>Tags!OTHINB_4Q08</vt:lpstr>
      <vt:lpstr>OTHINB_4Q08</vt:lpstr>
      <vt:lpstr>Tags!OTHINB_4Q09</vt:lpstr>
      <vt:lpstr>OTHINB_4Q09</vt:lpstr>
      <vt:lpstr>Tags!OTHINB_4Q10</vt:lpstr>
      <vt:lpstr>OTHINB_4Q10</vt:lpstr>
      <vt:lpstr>Tags!OTHINB_4Q11</vt:lpstr>
      <vt:lpstr>OTHINB_4Q11</vt:lpstr>
      <vt:lpstr>Tags!OTHINB_4Q12</vt:lpstr>
      <vt:lpstr>OTHINB_4Q12</vt:lpstr>
      <vt:lpstr>Tags!OTHINB_4Q13</vt:lpstr>
      <vt:lpstr>OTHINB_4Q13</vt:lpstr>
      <vt:lpstr>Tags!OTHINB_4Q14</vt:lpstr>
      <vt:lpstr>OTHINB_4Q14</vt:lpstr>
      <vt:lpstr>Tags!OTHINB_4Q15</vt:lpstr>
      <vt:lpstr>OTHINB_4Q15</vt:lpstr>
      <vt:lpstr>Tags!OTHINB_4Q16</vt:lpstr>
      <vt:lpstr>OTHINB_4Q16</vt:lpstr>
      <vt:lpstr>Tags!OTHINB_4Q17</vt:lpstr>
      <vt:lpstr>OTHINB_4Q17</vt:lpstr>
      <vt:lpstr>Tags!OTHINB_4Q18</vt:lpstr>
      <vt:lpstr>OTHINB_4Q18</vt:lpstr>
      <vt:lpstr>Tags!OTHINB_4Q19</vt:lpstr>
      <vt:lpstr>OTHINB_4Q19</vt:lpstr>
      <vt:lpstr>Tags!OTHINB_4Q20</vt:lpstr>
      <vt:lpstr>OTHINB_4Q20</vt:lpstr>
      <vt:lpstr>OTHINB_4Q21</vt:lpstr>
      <vt:lpstr>OTHINB_4Q22</vt:lpstr>
      <vt:lpstr>OTHINB_4Q23</vt:lpstr>
      <vt:lpstr>OTHINB_4Q24</vt:lpstr>
      <vt:lpstr>OTHINC_1995</vt:lpstr>
      <vt:lpstr>OTHINC_1996</vt:lpstr>
      <vt:lpstr>OTHINC_1997</vt:lpstr>
      <vt:lpstr>OTHINC_1998</vt:lpstr>
      <vt:lpstr>OTHINC_1999</vt:lpstr>
      <vt:lpstr>Tags!OTHINC_1Q00</vt:lpstr>
      <vt:lpstr>OTHINC_1Q00</vt:lpstr>
      <vt:lpstr>Tags!OTHINC_1Q01</vt:lpstr>
      <vt:lpstr>OTHINC_1Q01</vt:lpstr>
      <vt:lpstr>Tags!OTHINC_1Q02</vt:lpstr>
      <vt:lpstr>OTHINC_1Q02</vt:lpstr>
      <vt:lpstr>Tags!OTHINC_1Q03</vt:lpstr>
      <vt:lpstr>OTHINC_1Q03</vt:lpstr>
      <vt:lpstr>Tags!OTHINC_1Q04</vt:lpstr>
      <vt:lpstr>OTHINC_1Q04</vt:lpstr>
      <vt:lpstr>Tags!OTHINC_1Q05</vt:lpstr>
      <vt:lpstr>OTHINC_1Q05</vt:lpstr>
      <vt:lpstr>Tags!OTHINC_1Q06</vt:lpstr>
      <vt:lpstr>OTHINC_1Q06</vt:lpstr>
      <vt:lpstr>Tags!OTHINC_1Q07</vt:lpstr>
      <vt:lpstr>OTHINC_1Q07</vt:lpstr>
      <vt:lpstr>Tags!OTHINC_1Q08</vt:lpstr>
      <vt:lpstr>OTHINC_1Q08</vt:lpstr>
      <vt:lpstr>Tags!OTHINC_1Q09</vt:lpstr>
      <vt:lpstr>OTHINC_1Q09</vt:lpstr>
      <vt:lpstr>Tags!OTHINC_1Q10</vt:lpstr>
      <vt:lpstr>OTHINC_1Q10</vt:lpstr>
      <vt:lpstr>Tags!OTHINC_1Q11</vt:lpstr>
      <vt:lpstr>OTHINC_1Q11</vt:lpstr>
      <vt:lpstr>Tags!OTHINC_1Q12</vt:lpstr>
      <vt:lpstr>OTHINC_1Q12</vt:lpstr>
      <vt:lpstr>Tags!OTHINC_1Q13</vt:lpstr>
      <vt:lpstr>OTHINC_1Q13</vt:lpstr>
      <vt:lpstr>Tags!OTHINC_1Q14</vt:lpstr>
      <vt:lpstr>OTHINC_1Q14</vt:lpstr>
      <vt:lpstr>Tags!OTHINC_1Q15</vt:lpstr>
      <vt:lpstr>OTHINC_1Q15</vt:lpstr>
      <vt:lpstr>Tags!OTHINC_1Q16</vt:lpstr>
      <vt:lpstr>OTHINC_1Q16</vt:lpstr>
      <vt:lpstr>Tags!OTHINC_1Q17</vt:lpstr>
      <vt:lpstr>OTHINC_1Q17</vt:lpstr>
      <vt:lpstr>Tags!OTHINC_1Q18</vt:lpstr>
      <vt:lpstr>OTHINC_1Q18</vt:lpstr>
      <vt:lpstr>Tags!OTHINC_1Q19</vt:lpstr>
      <vt:lpstr>OTHINC_1Q19</vt:lpstr>
      <vt:lpstr>Tags!OTHINC_1Q20</vt:lpstr>
      <vt:lpstr>OTHINC_1Q20</vt:lpstr>
      <vt:lpstr>OTHINC_1Q21</vt:lpstr>
      <vt:lpstr>OTHINC_1Q22</vt:lpstr>
      <vt:lpstr>OTHINC_1Q23</vt:lpstr>
      <vt:lpstr>OTHINC_1Q24</vt:lpstr>
      <vt:lpstr>Tags!OTHINC_2000</vt:lpstr>
      <vt:lpstr>OTHINC_2000</vt:lpstr>
      <vt:lpstr>Tags!OTHINC_2001</vt:lpstr>
      <vt:lpstr>OTHINC_2001</vt:lpstr>
      <vt:lpstr>Tags!OTHINC_2002</vt:lpstr>
      <vt:lpstr>OTHINC_2002</vt:lpstr>
      <vt:lpstr>Tags!OTHINC_2003</vt:lpstr>
      <vt:lpstr>OTHINC_2003</vt:lpstr>
      <vt:lpstr>Tags!OTHINC_2004</vt:lpstr>
      <vt:lpstr>OTHINC_2004</vt:lpstr>
      <vt:lpstr>Tags!OTHINC_2005</vt:lpstr>
      <vt:lpstr>OTHINC_2005</vt:lpstr>
      <vt:lpstr>Tags!OTHINC_2006</vt:lpstr>
      <vt:lpstr>OTHINC_2006</vt:lpstr>
      <vt:lpstr>Tags!OTHINC_2007</vt:lpstr>
      <vt:lpstr>OTHINC_2007</vt:lpstr>
      <vt:lpstr>Tags!OTHINC_2008</vt:lpstr>
      <vt:lpstr>OTHINC_2008</vt:lpstr>
      <vt:lpstr>Tags!OTHINC_2009</vt:lpstr>
      <vt:lpstr>OTHINC_2009</vt:lpstr>
      <vt:lpstr>Tags!OTHINC_2010</vt:lpstr>
      <vt:lpstr>OTHINC_2010</vt:lpstr>
      <vt:lpstr>Tags!OTHINC_2011</vt:lpstr>
      <vt:lpstr>OTHINC_2011</vt:lpstr>
      <vt:lpstr>Tags!OTHINC_2012</vt:lpstr>
      <vt:lpstr>OTHINC_2012</vt:lpstr>
      <vt:lpstr>Tags!OTHINC_2013</vt:lpstr>
      <vt:lpstr>OTHINC_2013</vt:lpstr>
      <vt:lpstr>Tags!OTHINC_2014</vt:lpstr>
      <vt:lpstr>OTHINC_2014</vt:lpstr>
      <vt:lpstr>OTHINC_2015</vt:lpstr>
      <vt:lpstr>Tags!OTHINC_2016</vt:lpstr>
      <vt:lpstr>OTHINC_2016</vt:lpstr>
      <vt:lpstr>Tags!OTHINC_2017</vt:lpstr>
      <vt:lpstr>OTHINC_2017</vt:lpstr>
      <vt:lpstr>Tags!OTHINC_2018</vt:lpstr>
      <vt:lpstr>OTHINC_2018</vt:lpstr>
      <vt:lpstr>Tags!OTHINC_2019</vt:lpstr>
      <vt:lpstr>OTHINC_2019</vt:lpstr>
      <vt:lpstr>Tags!OTHINC_2020</vt:lpstr>
      <vt:lpstr>OTHINC_2020</vt:lpstr>
      <vt:lpstr>OTHINC_2021</vt:lpstr>
      <vt:lpstr>OTHINC_2022</vt:lpstr>
      <vt:lpstr>OTHINC_2023</vt:lpstr>
      <vt:lpstr>OTHINC_2024</vt:lpstr>
      <vt:lpstr>Tags!OTHINC_2Q00</vt:lpstr>
      <vt:lpstr>OTHINC_2Q00</vt:lpstr>
      <vt:lpstr>Tags!OTHINC_2Q01</vt:lpstr>
      <vt:lpstr>OTHINC_2Q01</vt:lpstr>
      <vt:lpstr>Tags!OTHINC_2Q02</vt:lpstr>
      <vt:lpstr>OTHINC_2Q02</vt:lpstr>
      <vt:lpstr>Tags!OTHINC_2Q03</vt:lpstr>
      <vt:lpstr>OTHINC_2Q03</vt:lpstr>
      <vt:lpstr>Tags!OTHINC_2Q04</vt:lpstr>
      <vt:lpstr>OTHINC_2Q04</vt:lpstr>
      <vt:lpstr>Tags!OTHINC_2Q05</vt:lpstr>
      <vt:lpstr>OTHINC_2Q05</vt:lpstr>
      <vt:lpstr>Tags!OTHINC_2Q06</vt:lpstr>
      <vt:lpstr>OTHINC_2Q06</vt:lpstr>
      <vt:lpstr>Tags!OTHINC_2Q07</vt:lpstr>
      <vt:lpstr>OTHINC_2Q07</vt:lpstr>
      <vt:lpstr>Tags!OTHINC_2Q08</vt:lpstr>
      <vt:lpstr>OTHINC_2Q08</vt:lpstr>
      <vt:lpstr>Tags!OTHINC_2Q09</vt:lpstr>
      <vt:lpstr>OTHINC_2Q09</vt:lpstr>
      <vt:lpstr>Tags!OTHINC_2Q10</vt:lpstr>
      <vt:lpstr>OTHINC_2Q10</vt:lpstr>
      <vt:lpstr>Tags!OTHINC_2Q11</vt:lpstr>
      <vt:lpstr>OTHINC_2Q11</vt:lpstr>
      <vt:lpstr>Tags!OTHINC_2Q12</vt:lpstr>
      <vt:lpstr>OTHINC_2Q12</vt:lpstr>
      <vt:lpstr>Tags!OTHINC_2Q13</vt:lpstr>
      <vt:lpstr>OTHINC_2Q13</vt:lpstr>
      <vt:lpstr>Tags!OTHINC_2Q14</vt:lpstr>
      <vt:lpstr>OTHINC_2Q14</vt:lpstr>
      <vt:lpstr>Tags!OTHINC_2Q15</vt:lpstr>
      <vt:lpstr>OTHINC_2Q15</vt:lpstr>
      <vt:lpstr>Tags!OTHINC_2Q16</vt:lpstr>
      <vt:lpstr>OTHINC_2Q16</vt:lpstr>
      <vt:lpstr>Tags!OTHINC_2Q17</vt:lpstr>
      <vt:lpstr>OTHINC_2Q17</vt:lpstr>
      <vt:lpstr>Tags!OTHINC_2Q18</vt:lpstr>
      <vt:lpstr>OTHINC_2Q18</vt:lpstr>
      <vt:lpstr>Tags!OTHINC_2Q19</vt:lpstr>
      <vt:lpstr>OTHINC_2Q19</vt:lpstr>
      <vt:lpstr>Tags!OTHINC_2Q20</vt:lpstr>
      <vt:lpstr>OTHINC_2Q20</vt:lpstr>
      <vt:lpstr>OTHINC_2Q21</vt:lpstr>
      <vt:lpstr>OTHINC_2Q22</vt:lpstr>
      <vt:lpstr>OTHINC_2Q23</vt:lpstr>
      <vt:lpstr>OTHINC_2Q24</vt:lpstr>
      <vt:lpstr>Tags!OTHINC_3Q00</vt:lpstr>
      <vt:lpstr>OTHINC_3Q00</vt:lpstr>
      <vt:lpstr>Tags!OTHINC_3Q01</vt:lpstr>
      <vt:lpstr>OTHINC_3Q01</vt:lpstr>
      <vt:lpstr>Tags!OTHINC_3Q02</vt:lpstr>
      <vt:lpstr>OTHINC_3Q02</vt:lpstr>
      <vt:lpstr>Tags!OTHINC_3Q03</vt:lpstr>
      <vt:lpstr>OTHINC_3Q03</vt:lpstr>
      <vt:lpstr>Tags!OTHINC_3Q04</vt:lpstr>
      <vt:lpstr>OTHINC_3Q04</vt:lpstr>
      <vt:lpstr>Tags!OTHINC_3Q05</vt:lpstr>
      <vt:lpstr>OTHINC_3Q05</vt:lpstr>
      <vt:lpstr>Tags!OTHINC_3Q06</vt:lpstr>
      <vt:lpstr>OTHINC_3Q06</vt:lpstr>
      <vt:lpstr>Tags!OTHINC_3Q07</vt:lpstr>
      <vt:lpstr>OTHINC_3Q07</vt:lpstr>
      <vt:lpstr>Tags!OTHINC_3Q08</vt:lpstr>
      <vt:lpstr>OTHINC_3Q08</vt:lpstr>
      <vt:lpstr>Tags!OTHINC_3Q09</vt:lpstr>
      <vt:lpstr>OTHINC_3Q09</vt:lpstr>
      <vt:lpstr>Tags!OTHINC_3Q10</vt:lpstr>
      <vt:lpstr>OTHINC_3Q10</vt:lpstr>
      <vt:lpstr>Tags!OTHINC_3Q11</vt:lpstr>
      <vt:lpstr>OTHINC_3Q11</vt:lpstr>
      <vt:lpstr>Tags!OTHINC_3Q12</vt:lpstr>
      <vt:lpstr>OTHINC_3Q12</vt:lpstr>
      <vt:lpstr>Tags!OTHINC_3Q13</vt:lpstr>
      <vt:lpstr>OTHINC_3Q13</vt:lpstr>
      <vt:lpstr>Tags!OTHINC_3Q14</vt:lpstr>
      <vt:lpstr>OTHINC_3Q14</vt:lpstr>
      <vt:lpstr>Tags!OTHINC_3Q15</vt:lpstr>
      <vt:lpstr>OTHINC_3Q15</vt:lpstr>
      <vt:lpstr>Tags!OTHINC_3Q16</vt:lpstr>
      <vt:lpstr>OTHINC_3Q16</vt:lpstr>
      <vt:lpstr>Tags!OTHINC_3Q17</vt:lpstr>
      <vt:lpstr>OTHINC_3Q17</vt:lpstr>
      <vt:lpstr>Tags!OTHINC_3Q18</vt:lpstr>
      <vt:lpstr>OTHINC_3Q18</vt:lpstr>
      <vt:lpstr>Tags!OTHINC_3Q19</vt:lpstr>
      <vt:lpstr>OTHINC_3Q19</vt:lpstr>
      <vt:lpstr>Tags!OTHINC_3Q20</vt:lpstr>
      <vt:lpstr>OTHINC_3Q20</vt:lpstr>
      <vt:lpstr>OTHINC_3Q21</vt:lpstr>
      <vt:lpstr>OTHINC_3Q22</vt:lpstr>
      <vt:lpstr>OTHINC_3Q23</vt:lpstr>
      <vt:lpstr>OTHINC_3Q24</vt:lpstr>
      <vt:lpstr>Tags!OTHINC_4Q00</vt:lpstr>
      <vt:lpstr>OTHINC_4Q00</vt:lpstr>
      <vt:lpstr>Tags!OTHINC_4Q01</vt:lpstr>
      <vt:lpstr>OTHINC_4Q01</vt:lpstr>
      <vt:lpstr>Tags!OTHINC_4Q02</vt:lpstr>
      <vt:lpstr>OTHINC_4Q02</vt:lpstr>
      <vt:lpstr>Tags!OTHINC_4Q03</vt:lpstr>
      <vt:lpstr>OTHINC_4Q03</vt:lpstr>
      <vt:lpstr>Tags!OTHINC_4Q04</vt:lpstr>
      <vt:lpstr>OTHINC_4Q04</vt:lpstr>
      <vt:lpstr>Tags!OTHINC_4Q05</vt:lpstr>
      <vt:lpstr>OTHINC_4Q05</vt:lpstr>
      <vt:lpstr>Tags!OTHINC_4Q06</vt:lpstr>
      <vt:lpstr>OTHINC_4Q06</vt:lpstr>
      <vt:lpstr>Tags!OTHINC_4Q07</vt:lpstr>
      <vt:lpstr>OTHINC_4Q07</vt:lpstr>
      <vt:lpstr>Tags!OTHINC_4Q08</vt:lpstr>
      <vt:lpstr>OTHINC_4Q08</vt:lpstr>
      <vt:lpstr>Tags!OTHINC_4Q09</vt:lpstr>
      <vt:lpstr>OTHINC_4Q09</vt:lpstr>
      <vt:lpstr>Tags!OTHINC_4Q10</vt:lpstr>
      <vt:lpstr>OTHINC_4Q10</vt:lpstr>
      <vt:lpstr>Tags!OTHINC_4Q11</vt:lpstr>
      <vt:lpstr>OTHINC_4Q11</vt:lpstr>
      <vt:lpstr>Tags!OTHINC_4Q12</vt:lpstr>
      <vt:lpstr>OTHINC_4Q12</vt:lpstr>
      <vt:lpstr>Tags!OTHINC_4Q13</vt:lpstr>
      <vt:lpstr>OTHINC_4Q13</vt:lpstr>
      <vt:lpstr>Tags!OTHINC_4Q14</vt:lpstr>
      <vt:lpstr>OTHINC_4Q14</vt:lpstr>
      <vt:lpstr>Tags!OTHINC_4Q15</vt:lpstr>
      <vt:lpstr>OTHINC_4Q15</vt:lpstr>
      <vt:lpstr>Tags!OTHINC_4Q16</vt:lpstr>
      <vt:lpstr>OTHINC_4Q16</vt:lpstr>
      <vt:lpstr>Tags!OTHINC_4Q17</vt:lpstr>
      <vt:lpstr>OTHINC_4Q17</vt:lpstr>
      <vt:lpstr>Tags!OTHINC_4Q18</vt:lpstr>
      <vt:lpstr>OTHINC_4Q18</vt:lpstr>
      <vt:lpstr>Tags!OTHINC_4Q19</vt:lpstr>
      <vt:lpstr>OTHINC_4Q19</vt:lpstr>
      <vt:lpstr>Tags!OTHINC_4Q20</vt:lpstr>
      <vt:lpstr>OTHINC_4Q20</vt:lpstr>
      <vt:lpstr>OTHINC_4Q21</vt:lpstr>
      <vt:lpstr>OTHINC_4Q22</vt:lpstr>
      <vt:lpstr>OTHINC_4Q23</vt:lpstr>
      <vt:lpstr>OTHINC_4Q24</vt:lpstr>
      <vt:lpstr>OTHINV_1995</vt:lpstr>
      <vt:lpstr>OTHINV_1996</vt:lpstr>
      <vt:lpstr>OTHINV_1997</vt:lpstr>
      <vt:lpstr>OTHINV_1998</vt:lpstr>
      <vt:lpstr>OTHINV_1999</vt:lpstr>
      <vt:lpstr>Tags!OTHINV_1Q00</vt:lpstr>
      <vt:lpstr>OTHINV_1Q00</vt:lpstr>
      <vt:lpstr>Tags!OTHINV_1Q01</vt:lpstr>
      <vt:lpstr>OTHINV_1Q01</vt:lpstr>
      <vt:lpstr>Tags!OTHINV_1Q02</vt:lpstr>
      <vt:lpstr>OTHINV_1Q02</vt:lpstr>
      <vt:lpstr>Tags!OTHINV_1Q03</vt:lpstr>
      <vt:lpstr>OTHINV_1Q03</vt:lpstr>
      <vt:lpstr>Tags!OTHINV_1Q04</vt:lpstr>
      <vt:lpstr>OTHINV_1Q04</vt:lpstr>
      <vt:lpstr>Tags!OTHINV_1Q05</vt:lpstr>
      <vt:lpstr>OTHINV_1Q05</vt:lpstr>
      <vt:lpstr>Tags!OTHINV_1Q06</vt:lpstr>
      <vt:lpstr>OTHINV_1Q06</vt:lpstr>
      <vt:lpstr>Tags!OTHINV_1Q07</vt:lpstr>
      <vt:lpstr>OTHINV_1Q07</vt:lpstr>
      <vt:lpstr>Tags!OTHINV_1Q08</vt:lpstr>
      <vt:lpstr>OTHINV_1Q08</vt:lpstr>
      <vt:lpstr>Tags!OTHINV_1Q09</vt:lpstr>
      <vt:lpstr>OTHINV_1Q09</vt:lpstr>
      <vt:lpstr>Tags!OTHINV_1Q10</vt:lpstr>
      <vt:lpstr>OTHINV_1Q10</vt:lpstr>
      <vt:lpstr>Tags!OTHINV_1Q11</vt:lpstr>
      <vt:lpstr>OTHINV_1Q11</vt:lpstr>
      <vt:lpstr>Tags!OTHINV_1Q12</vt:lpstr>
      <vt:lpstr>OTHINV_1Q12</vt:lpstr>
      <vt:lpstr>Tags!OTHINV_1Q13</vt:lpstr>
      <vt:lpstr>OTHINV_1Q13</vt:lpstr>
      <vt:lpstr>Tags!OTHINV_1Q14</vt:lpstr>
      <vt:lpstr>OTHINV_1Q14</vt:lpstr>
      <vt:lpstr>Tags!OTHINV_1Q15</vt:lpstr>
      <vt:lpstr>OTHINV_1Q15</vt:lpstr>
      <vt:lpstr>Tags!OTHINV_1Q16</vt:lpstr>
      <vt:lpstr>OTHINV_1Q16</vt:lpstr>
      <vt:lpstr>Tags!OTHINV_1Q17</vt:lpstr>
      <vt:lpstr>OTHINV_1Q17</vt:lpstr>
      <vt:lpstr>Tags!OTHINV_1Q18</vt:lpstr>
      <vt:lpstr>OTHINV_1Q18</vt:lpstr>
      <vt:lpstr>Tags!OTHINV_1Q19</vt:lpstr>
      <vt:lpstr>OTHINV_1Q19</vt:lpstr>
      <vt:lpstr>Tags!OTHINV_1Q20</vt:lpstr>
      <vt:lpstr>OTHINV_1Q20</vt:lpstr>
      <vt:lpstr>OTHINV_1Q21</vt:lpstr>
      <vt:lpstr>OTHINV_1Q22</vt:lpstr>
      <vt:lpstr>OTHINV_1Q23</vt:lpstr>
      <vt:lpstr>OTHINV_1Q24</vt:lpstr>
      <vt:lpstr>Tags!OTHINV_2000</vt:lpstr>
      <vt:lpstr>OTHINV_2000</vt:lpstr>
      <vt:lpstr>Tags!OTHINV_2001</vt:lpstr>
      <vt:lpstr>OTHINV_2001</vt:lpstr>
      <vt:lpstr>Tags!OTHINV_2002</vt:lpstr>
      <vt:lpstr>OTHINV_2002</vt:lpstr>
      <vt:lpstr>Tags!OTHINV_2003</vt:lpstr>
      <vt:lpstr>OTHINV_2003</vt:lpstr>
      <vt:lpstr>Tags!OTHINV_2004</vt:lpstr>
      <vt:lpstr>OTHINV_2004</vt:lpstr>
      <vt:lpstr>Tags!OTHINV_2005</vt:lpstr>
      <vt:lpstr>OTHINV_2005</vt:lpstr>
      <vt:lpstr>Tags!OTHINV_2006</vt:lpstr>
      <vt:lpstr>OTHINV_2006</vt:lpstr>
      <vt:lpstr>Tags!OTHINV_2007</vt:lpstr>
      <vt:lpstr>OTHINV_2007</vt:lpstr>
      <vt:lpstr>Tags!OTHINV_2008</vt:lpstr>
      <vt:lpstr>OTHINV_2008</vt:lpstr>
      <vt:lpstr>Tags!OTHINV_2009</vt:lpstr>
      <vt:lpstr>OTHINV_2009</vt:lpstr>
      <vt:lpstr>Tags!OTHINV_2010</vt:lpstr>
      <vt:lpstr>OTHINV_2010</vt:lpstr>
      <vt:lpstr>Tags!OTHINV_2011</vt:lpstr>
      <vt:lpstr>OTHINV_2011</vt:lpstr>
      <vt:lpstr>Tags!OTHINV_2012</vt:lpstr>
      <vt:lpstr>OTHINV_2012</vt:lpstr>
      <vt:lpstr>Tags!OTHINV_2013</vt:lpstr>
      <vt:lpstr>OTHINV_2013</vt:lpstr>
      <vt:lpstr>Tags!OTHINV_2014</vt:lpstr>
      <vt:lpstr>OTHINV_2014</vt:lpstr>
      <vt:lpstr>OTHINV_2015</vt:lpstr>
      <vt:lpstr>Tags!OTHINV_2016</vt:lpstr>
      <vt:lpstr>OTHINV_2016</vt:lpstr>
      <vt:lpstr>Tags!OTHINV_2017</vt:lpstr>
      <vt:lpstr>OTHINV_2017</vt:lpstr>
      <vt:lpstr>Tags!OTHINV_2018</vt:lpstr>
      <vt:lpstr>OTHINV_2018</vt:lpstr>
      <vt:lpstr>Tags!OTHINV_2019</vt:lpstr>
      <vt:lpstr>OTHINV_2019</vt:lpstr>
      <vt:lpstr>Tags!OTHINV_2020</vt:lpstr>
      <vt:lpstr>OTHINV_2020</vt:lpstr>
      <vt:lpstr>OTHINV_2021</vt:lpstr>
      <vt:lpstr>OTHINV_2022</vt:lpstr>
      <vt:lpstr>OTHINV_2023</vt:lpstr>
      <vt:lpstr>OTHINV_2024</vt:lpstr>
      <vt:lpstr>Tags!OTHINV_2Q00</vt:lpstr>
      <vt:lpstr>OTHINV_2Q00</vt:lpstr>
      <vt:lpstr>Tags!OTHINV_2Q01</vt:lpstr>
      <vt:lpstr>OTHINV_2Q01</vt:lpstr>
      <vt:lpstr>Tags!OTHINV_2Q02</vt:lpstr>
      <vt:lpstr>OTHINV_2Q02</vt:lpstr>
      <vt:lpstr>Tags!OTHINV_2Q03</vt:lpstr>
      <vt:lpstr>OTHINV_2Q03</vt:lpstr>
      <vt:lpstr>Tags!OTHINV_2Q04</vt:lpstr>
      <vt:lpstr>OTHINV_2Q04</vt:lpstr>
      <vt:lpstr>Tags!OTHINV_2Q05</vt:lpstr>
      <vt:lpstr>OTHINV_2Q05</vt:lpstr>
      <vt:lpstr>Tags!OTHINV_2Q06</vt:lpstr>
      <vt:lpstr>OTHINV_2Q06</vt:lpstr>
      <vt:lpstr>Tags!OTHINV_2Q07</vt:lpstr>
      <vt:lpstr>OTHINV_2Q07</vt:lpstr>
      <vt:lpstr>Tags!OTHINV_2Q08</vt:lpstr>
      <vt:lpstr>OTHINV_2Q08</vt:lpstr>
      <vt:lpstr>Tags!OTHINV_2Q09</vt:lpstr>
      <vt:lpstr>OTHINV_2Q09</vt:lpstr>
      <vt:lpstr>Tags!OTHINV_2Q10</vt:lpstr>
      <vt:lpstr>OTHINV_2Q10</vt:lpstr>
      <vt:lpstr>Tags!OTHINV_2Q11</vt:lpstr>
      <vt:lpstr>OTHINV_2Q11</vt:lpstr>
      <vt:lpstr>Tags!OTHINV_2Q12</vt:lpstr>
      <vt:lpstr>OTHINV_2Q12</vt:lpstr>
      <vt:lpstr>Tags!OTHINV_2Q13</vt:lpstr>
      <vt:lpstr>OTHINV_2Q13</vt:lpstr>
      <vt:lpstr>Tags!OTHINV_2Q14</vt:lpstr>
      <vt:lpstr>OTHINV_2Q14</vt:lpstr>
      <vt:lpstr>Tags!OTHINV_2Q15</vt:lpstr>
      <vt:lpstr>OTHINV_2Q15</vt:lpstr>
      <vt:lpstr>Tags!OTHINV_2Q16</vt:lpstr>
      <vt:lpstr>OTHINV_2Q16</vt:lpstr>
      <vt:lpstr>Tags!OTHINV_2Q17</vt:lpstr>
      <vt:lpstr>OTHINV_2Q17</vt:lpstr>
      <vt:lpstr>Tags!OTHINV_2Q18</vt:lpstr>
      <vt:lpstr>OTHINV_2Q18</vt:lpstr>
      <vt:lpstr>Tags!OTHINV_2Q19</vt:lpstr>
      <vt:lpstr>OTHINV_2Q19</vt:lpstr>
      <vt:lpstr>Tags!OTHINV_2Q20</vt:lpstr>
      <vt:lpstr>OTHINV_2Q20</vt:lpstr>
      <vt:lpstr>OTHINV_2Q21</vt:lpstr>
      <vt:lpstr>OTHINV_2Q22</vt:lpstr>
      <vt:lpstr>OTHINV_2Q23</vt:lpstr>
      <vt:lpstr>OTHINV_2Q24</vt:lpstr>
      <vt:lpstr>Tags!OTHINV_3Q00</vt:lpstr>
      <vt:lpstr>OTHINV_3Q00</vt:lpstr>
      <vt:lpstr>Tags!OTHINV_3Q01</vt:lpstr>
      <vt:lpstr>OTHINV_3Q01</vt:lpstr>
      <vt:lpstr>Tags!OTHINV_3Q02</vt:lpstr>
      <vt:lpstr>OTHINV_3Q02</vt:lpstr>
      <vt:lpstr>Tags!OTHINV_3Q03</vt:lpstr>
      <vt:lpstr>OTHINV_3Q03</vt:lpstr>
      <vt:lpstr>Tags!OTHINV_3Q04</vt:lpstr>
      <vt:lpstr>OTHINV_3Q04</vt:lpstr>
      <vt:lpstr>Tags!OTHINV_3Q05</vt:lpstr>
      <vt:lpstr>OTHINV_3Q05</vt:lpstr>
      <vt:lpstr>Tags!OTHINV_3Q06</vt:lpstr>
      <vt:lpstr>OTHINV_3Q06</vt:lpstr>
      <vt:lpstr>Tags!OTHINV_3Q07</vt:lpstr>
      <vt:lpstr>OTHINV_3Q07</vt:lpstr>
      <vt:lpstr>Tags!OTHINV_3Q08</vt:lpstr>
      <vt:lpstr>OTHINV_3Q08</vt:lpstr>
      <vt:lpstr>Tags!OTHINV_3Q09</vt:lpstr>
      <vt:lpstr>OTHINV_3Q09</vt:lpstr>
      <vt:lpstr>Tags!OTHINV_3Q10</vt:lpstr>
      <vt:lpstr>OTHINV_3Q10</vt:lpstr>
      <vt:lpstr>Tags!OTHINV_3Q11</vt:lpstr>
      <vt:lpstr>OTHINV_3Q11</vt:lpstr>
      <vt:lpstr>Tags!OTHINV_3Q12</vt:lpstr>
      <vt:lpstr>OTHINV_3Q12</vt:lpstr>
      <vt:lpstr>Tags!OTHINV_3Q13</vt:lpstr>
      <vt:lpstr>OTHINV_3Q13</vt:lpstr>
      <vt:lpstr>Tags!OTHINV_3Q14</vt:lpstr>
      <vt:lpstr>OTHINV_3Q14</vt:lpstr>
      <vt:lpstr>Tags!OTHINV_3Q15</vt:lpstr>
      <vt:lpstr>OTHINV_3Q15</vt:lpstr>
      <vt:lpstr>Tags!OTHINV_3Q16</vt:lpstr>
      <vt:lpstr>OTHINV_3Q16</vt:lpstr>
      <vt:lpstr>Tags!OTHINV_3Q17</vt:lpstr>
      <vt:lpstr>OTHINV_3Q17</vt:lpstr>
      <vt:lpstr>Tags!OTHINV_3Q18</vt:lpstr>
      <vt:lpstr>OTHINV_3Q18</vt:lpstr>
      <vt:lpstr>Tags!OTHINV_3Q19</vt:lpstr>
      <vt:lpstr>OTHINV_3Q19</vt:lpstr>
      <vt:lpstr>Tags!OTHINV_3Q20</vt:lpstr>
      <vt:lpstr>OTHINV_3Q20</vt:lpstr>
      <vt:lpstr>OTHINV_3Q21</vt:lpstr>
      <vt:lpstr>OTHINV_3Q22</vt:lpstr>
      <vt:lpstr>OTHINV_3Q23</vt:lpstr>
      <vt:lpstr>OTHINV_3Q24</vt:lpstr>
      <vt:lpstr>Tags!OTHINV_4Q00</vt:lpstr>
      <vt:lpstr>OTHINV_4Q00</vt:lpstr>
      <vt:lpstr>Tags!OTHINV_4Q01</vt:lpstr>
      <vt:lpstr>OTHINV_4Q01</vt:lpstr>
      <vt:lpstr>Tags!OTHINV_4Q02</vt:lpstr>
      <vt:lpstr>OTHINV_4Q02</vt:lpstr>
      <vt:lpstr>Tags!OTHINV_4Q03</vt:lpstr>
      <vt:lpstr>OTHINV_4Q03</vt:lpstr>
      <vt:lpstr>Tags!OTHINV_4Q04</vt:lpstr>
      <vt:lpstr>OTHINV_4Q04</vt:lpstr>
      <vt:lpstr>Tags!OTHINV_4Q05</vt:lpstr>
      <vt:lpstr>OTHINV_4Q05</vt:lpstr>
      <vt:lpstr>Tags!OTHINV_4Q06</vt:lpstr>
      <vt:lpstr>OTHINV_4Q06</vt:lpstr>
      <vt:lpstr>Tags!OTHINV_4Q07</vt:lpstr>
      <vt:lpstr>OTHINV_4Q07</vt:lpstr>
      <vt:lpstr>Tags!OTHINV_4Q08</vt:lpstr>
      <vt:lpstr>OTHINV_4Q08</vt:lpstr>
      <vt:lpstr>Tags!OTHINV_4Q09</vt:lpstr>
      <vt:lpstr>OTHINV_4Q09</vt:lpstr>
      <vt:lpstr>Tags!OTHINV_4Q10</vt:lpstr>
      <vt:lpstr>OTHINV_4Q10</vt:lpstr>
      <vt:lpstr>Tags!OTHINV_4Q11</vt:lpstr>
      <vt:lpstr>OTHINV_4Q11</vt:lpstr>
      <vt:lpstr>Tags!OTHINV_4Q12</vt:lpstr>
      <vt:lpstr>OTHINV_4Q12</vt:lpstr>
      <vt:lpstr>Tags!OTHINV_4Q13</vt:lpstr>
      <vt:lpstr>OTHINV_4Q13</vt:lpstr>
      <vt:lpstr>Tags!OTHINV_4Q14</vt:lpstr>
      <vt:lpstr>OTHINV_4Q14</vt:lpstr>
      <vt:lpstr>Tags!OTHINV_4Q15</vt:lpstr>
      <vt:lpstr>OTHINV_4Q15</vt:lpstr>
      <vt:lpstr>Tags!OTHINV_4Q16</vt:lpstr>
      <vt:lpstr>OTHINV_4Q16</vt:lpstr>
      <vt:lpstr>Tags!OTHINV_4Q17</vt:lpstr>
      <vt:lpstr>OTHINV_4Q17</vt:lpstr>
      <vt:lpstr>Tags!OTHINV_4Q18</vt:lpstr>
      <vt:lpstr>OTHINV_4Q18</vt:lpstr>
      <vt:lpstr>Tags!OTHINV_4Q19</vt:lpstr>
      <vt:lpstr>OTHINV_4Q19</vt:lpstr>
      <vt:lpstr>Tags!OTHINV_4Q20</vt:lpstr>
      <vt:lpstr>OTHINV_4Q20</vt:lpstr>
      <vt:lpstr>OTHINV_4Q21</vt:lpstr>
      <vt:lpstr>OTHINV_4Q22</vt:lpstr>
      <vt:lpstr>OTHINV_4Q23</vt:lpstr>
      <vt:lpstr>OTHINV_4Q24</vt:lpstr>
      <vt:lpstr>OTHNIB_1995</vt:lpstr>
      <vt:lpstr>OTHNIB_1996</vt:lpstr>
      <vt:lpstr>OTHNIB_1997</vt:lpstr>
      <vt:lpstr>OTHNIB_1998</vt:lpstr>
      <vt:lpstr>OTHNIB_1999</vt:lpstr>
      <vt:lpstr>Tags!OTHNIB_1Q00</vt:lpstr>
      <vt:lpstr>OTHNIB_1Q00</vt:lpstr>
      <vt:lpstr>Tags!OTHNIB_1Q01</vt:lpstr>
      <vt:lpstr>OTHNIB_1Q01</vt:lpstr>
      <vt:lpstr>Tags!OTHNIB_1Q02</vt:lpstr>
      <vt:lpstr>OTHNIB_1Q02</vt:lpstr>
      <vt:lpstr>Tags!OTHNIB_1Q03</vt:lpstr>
      <vt:lpstr>OTHNIB_1Q03</vt:lpstr>
      <vt:lpstr>Tags!OTHNIB_1Q04</vt:lpstr>
      <vt:lpstr>OTHNIB_1Q04</vt:lpstr>
      <vt:lpstr>Tags!OTHNIB_1Q05</vt:lpstr>
      <vt:lpstr>OTHNIB_1Q05</vt:lpstr>
      <vt:lpstr>Tags!OTHNIB_1Q06</vt:lpstr>
      <vt:lpstr>OTHNIB_1Q06</vt:lpstr>
      <vt:lpstr>Tags!OTHNIB_1Q07</vt:lpstr>
      <vt:lpstr>OTHNIB_1Q07</vt:lpstr>
      <vt:lpstr>Tags!OTHNIB_1Q08</vt:lpstr>
      <vt:lpstr>OTHNIB_1Q08</vt:lpstr>
      <vt:lpstr>Tags!OTHNIB_1Q09</vt:lpstr>
      <vt:lpstr>OTHNIB_1Q09</vt:lpstr>
      <vt:lpstr>Tags!OTHNIB_1Q10</vt:lpstr>
      <vt:lpstr>OTHNIB_1Q10</vt:lpstr>
      <vt:lpstr>Tags!OTHNIB_1Q11</vt:lpstr>
      <vt:lpstr>OTHNIB_1Q11</vt:lpstr>
      <vt:lpstr>Tags!OTHNIB_1Q12</vt:lpstr>
      <vt:lpstr>OTHNIB_1Q12</vt:lpstr>
      <vt:lpstr>Tags!OTHNIB_1Q13</vt:lpstr>
      <vt:lpstr>OTHNIB_1Q13</vt:lpstr>
      <vt:lpstr>Tags!OTHNIB_1Q14</vt:lpstr>
      <vt:lpstr>OTHNIB_1Q14</vt:lpstr>
      <vt:lpstr>Tags!OTHNIB_1Q15</vt:lpstr>
      <vt:lpstr>OTHNIB_1Q15</vt:lpstr>
      <vt:lpstr>Tags!OTHNIB_1Q16</vt:lpstr>
      <vt:lpstr>OTHNIB_1Q16</vt:lpstr>
      <vt:lpstr>Tags!OTHNIB_1Q17</vt:lpstr>
      <vt:lpstr>OTHNIB_1Q17</vt:lpstr>
      <vt:lpstr>Tags!OTHNIB_1Q18</vt:lpstr>
      <vt:lpstr>OTHNIB_1Q18</vt:lpstr>
      <vt:lpstr>Tags!OTHNIB_1Q19</vt:lpstr>
      <vt:lpstr>OTHNIB_1Q19</vt:lpstr>
      <vt:lpstr>Tags!OTHNIB_1Q20</vt:lpstr>
      <vt:lpstr>OTHNIB_1Q20</vt:lpstr>
      <vt:lpstr>OTHNIB_1Q21</vt:lpstr>
      <vt:lpstr>OTHNIB_1Q22</vt:lpstr>
      <vt:lpstr>OTHNIB_1Q23</vt:lpstr>
      <vt:lpstr>OTHNIB_1Q24</vt:lpstr>
      <vt:lpstr>Tags!OTHNIB_2000</vt:lpstr>
      <vt:lpstr>OTHNIB_2000</vt:lpstr>
      <vt:lpstr>Tags!OTHNIB_2001</vt:lpstr>
      <vt:lpstr>OTHNIB_2001</vt:lpstr>
      <vt:lpstr>Tags!OTHNIB_2002</vt:lpstr>
      <vt:lpstr>OTHNIB_2002</vt:lpstr>
      <vt:lpstr>Tags!OTHNIB_2003</vt:lpstr>
      <vt:lpstr>OTHNIB_2003</vt:lpstr>
      <vt:lpstr>Tags!OTHNIB_2004</vt:lpstr>
      <vt:lpstr>OTHNIB_2004</vt:lpstr>
      <vt:lpstr>Tags!OTHNIB_2005</vt:lpstr>
      <vt:lpstr>OTHNIB_2005</vt:lpstr>
      <vt:lpstr>Tags!OTHNIB_2006</vt:lpstr>
      <vt:lpstr>OTHNIB_2006</vt:lpstr>
      <vt:lpstr>Tags!OTHNIB_2007</vt:lpstr>
      <vt:lpstr>OTHNIB_2007</vt:lpstr>
      <vt:lpstr>Tags!OTHNIB_2008</vt:lpstr>
      <vt:lpstr>OTHNIB_2008</vt:lpstr>
      <vt:lpstr>Tags!OTHNIB_2009</vt:lpstr>
      <vt:lpstr>OTHNIB_2009</vt:lpstr>
      <vt:lpstr>Tags!OTHNIB_2010</vt:lpstr>
      <vt:lpstr>OTHNIB_2010</vt:lpstr>
      <vt:lpstr>Tags!OTHNIB_2011</vt:lpstr>
      <vt:lpstr>OTHNIB_2011</vt:lpstr>
      <vt:lpstr>Tags!OTHNIB_2012</vt:lpstr>
      <vt:lpstr>OTHNIB_2012</vt:lpstr>
      <vt:lpstr>Tags!OTHNIB_2013</vt:lpstr>
      <vt:lpstr>OTHNIB_2013</vt:lpstr>
      <vt:lpstr>Tags!OTHNIB_2014</vt:lpstr>
      <vt:lpstr>OTHNIB_2014</vt:lpstr>
      <vt:lpstr>OTHNIB_2015</vt:lpstr>
      <vt:lpstr>Tags!OTHNIB_2016</vt:lpstr>
      <vt:lpstr>OTHNIB_2016</vt:lpstr>
      <vt:lpstr>Tags!OTHNIB_2017</vt:lpstr>
      <vt:lpstr>OTHNIB_2017</vt:lpstr>
      <vt:lpstr>Tags!OTHNIB_2018</vt:lpstr>
      <vt:lpstr>OTHNIB_2018</vt:lpstr>
      <vt:lpstr>Tags!OTHNIB_2019</vt:lpstr>
      <vt:lpstr>OTHNIB_2019</vt:lpstr>
      <vt:lpstr>Tags!OTHNIB_2020</vt:lpstr>
      <vt:lpstr>OTHNIB_2020</vt:lpstr>
      <vt:lpstr>OTHNIB_2021</vt:lpstr>
      <vt:lpstr>OTHNIB_2022</vt:lpstr>
      <vt:lpstr>OTHNIB_2023</vt:lpstr>
      <vt:lpstr>OTHNIB_2024</vt:lpstr>
      <vt:lpstr>Tags!OTHNIB_2Q00</vt:lpstr>
      <vt:lpstr>OTHNIB_2Q00</vt:lpstr>
      <vt:lpstr>Tags!OTHNIB_2Q01</vt:lpstr>
      <vt:lpstr>OTHNIB_2Q01</vt:lpstr>
      <vt:lpstr>Tags!OTHNIB_2Q02</vt:lpstr>
      <vt:lpstr>OTHNIB_2Q02</vt:lpstr>
      <vt:lpstr>Tags!OTHNIB_2Q03</vt:lpstr>
      <vt:lpstr>OTHNIB_2Q03</vt:lpstr>
      <vt:lpstr>Tags!OTHNIB_2Q04</vt:lpstr>
      <vt:lpstr>OTHNIB_2Q04</vt:lpstr>
      <vt:lpstr>Tags!OTHNIB_2Q05</vt:lpstr>
      <vt:lpstr>OTHNIB_2Q05</vt:lpstr>
      <vt:lpstr>Tags!OTHNIB_2Q06</vt:lpstr>
      <vt:lpstr>OTHNIB_2Q06</vt:lpstr>
      <vt:lpstr>Tags!OTHNIB_2Q07</vt:lpstr>
      <vt:lpstr>OTHNIB_2Q07</vt:lpstr>
      <vt:lpstr>Tags!OTHNIB_2Q08</vt:lpstr>
      <vt:lpstr>OTHNIB_2Q08</vt:lpstr>
      <vt:lpstr>Tags!OTHNIB_2Q09</vt:lpstr>
      <vt:lpstr>OTHNIB_2Q09</vt:lpstr>
      <vt:lpstr>Tags!OTHNIB_2Q10</vt:lpstr>
      <vt:lpstr>OTHNIB_2Q10</vt:lpstr>
      <vt:lpstr>Tags!OTHNIB_2Q11</vt:lpstr>
      <vt:lpstr>OTHNIB_2Q11</vt:lpstr>
      <vt:lpstr>Tags!OTHNIB_2Q12</vt:lpstr>
      <vt:lpstr>OTHNIB_2Q12</vt:lpstr>
      <vt:lpstr>Tags!OTHNIB_2Q13</vt:lpstr>
      <vt:lpstr>OTHNIB_2Q13</vt:lpstr>
      <vt:lpstr>Tags!OTHNIB_2Q14</vt:lpstr>
      <vt:lpstr>OTHNIB_2Q14</vt:lpstr>
      <vt:lpstr>Tags!OTHNIB_2Q15</vt:lpstr>
      <vt:lpstr>OTHNIB_2Q15</vt:lpstr>
      <vt:lpstr>Tags!OTHNIB_2Q16</vt:lpstr>
      <vt:lpstr>OTHNIB_2Q16</vt:lpstr>
      <vt:lpstr>Tags!OTHNIB_2Q17</vt:lpstr>
      <vt:lpstr>OTHNIB_2Q17</vt:lpstr>
      <vt:lpstr>Tags!OTHNIB_2Q18</vt:lpstr>
      <vt:lpstr>OTHNIB_2Q18</vt:lpstr>
      <vt:lpstr>Tags!OTHNIB_2Q19</vt:lpstr>
      <vt:lpstr>OTHNIB_2Q19</vt:lpstr>
      <vt:lpstr>Tags!OTHNIB_2Q20</vt:lpstr>
      <vt:lpstr>OTHNIB_2Q20</vt:lpstr>
      <vt:lpstr>OTHNIB_2Q21</vt:lpstr>
      <vt:lpstr>OTHNIB_2Q22</vt:lpstr>
      <vt:lpstr>OTHNIB_2Q23</vt:lpstr>
      <vt:lpstr>OTHNIB_2Q24</vt:lpstr>
      <vt:lpstr>Tags!OTHNIB_3Q00</vt:lpstr>
      <vt:lpstr>OTHNIB_3Q00</vt:lpstr>
      <vt:lpstr>Tags!OTHNIB_3Q01</vt:lpstr>
      <vt:lpstr>OTHNIB_3Q01</vt:lpstr>
      <vt:lpstr>Tags!OTHNIB_3Q02</vt:lpstr>
      <vt:lpstr>OTHNIB_3Q02</vt:lpstr>
      <vt:lpstr>Tags!OTHNIB_3Q03</vt:lpstr>
      <vt:lpstr>OTHNIB_3Q03</vt:lpstr>
      <vt:lpstr>Tags!OTHNIB_3Q04</vt:lpstr>
      <vt:lpstr>OTHNIB_3Q04</vt:lpstr>
      <vt:lpstr>Tags!OTHNIB_3Q05</vt:lpstr>
      <vt:lpstr>OTHNIB_3Q05</vt:lpstr>
      <vt:lpstr>Tags!OTHNIB_3Q06</vt:lpstr>
      <vt:lpstr>OTHNIB_3Q06</vt:lpstr>
      <vt:lpstr>Tags!OTHNIB_3Q07</vt:lpstr>
      <vt:lpstr>OTHNIB_3Q07</vt:lpstr>
      <vt:lpstr>Tags!OTHNIB_3Q08</vt:lpstr>
      <vt:lpstr>OTHNIB_3Q08</vt:lpstr>
      <vt:lpstr>Tags!OTHNIB_3Q09</vt:lpstr>
      <vt:lpstr>OTHNIB_3Q09</vt:lpstr>
      <vt:lpstr>Tags!OTHNIB_3Q10</vt:lpstr>
      <vt:lpstr>OTHNIB_3Q10</vt:lpstr>
      <vt:lpstr>Tags!OTHNIB_3Q11</vt:lpstr>
      <vt:lpstr>OTHNIB_3Q11</vt:lpstr>
      <vt:lpstr>Tags!OTHNIB_3Q12</vt:lpstr>
      <vt:lpstr>OTHNIB_3Q12</vt:lpstr>
      <vt:lpstr>Tags!OTHNIB_3Q13</vt:lpstr>
      <vt:lpstr>OTHNIB_3Q13</vt:lpstr>
      <vt:lpstr>Tags!OTHNIB_3Q14</vt:lpstr>
      <vt:lpstr>OTHNIB_3Q14</vt:lpstr>
      <vt:lpstr>Tags!OTHNIB_3Q15</vt:lpstr>
      <vt:lpstr>OTHNIB_3Q15</vt:lpstr>
      <vt:lpstr>Tags!OTHNIB_3Q16</vt:lpstr>
      <vt:lpstr>OTHNIB_3Q16</vt:lpstr>
      <vt:lpstr>Tags!OTHNIB_3Q17</vt:lpstr>
      <vt:lpstr>OTHNIB_3Q17</vt:lpstr>
      <vt:lpstr>Tags!OTHNIB_3Q18</vt:lpstr>
      <vt:lpstr>OTHNIB_3Q18</vt:lpstr>
      <vt:lpstr>Tags!OTHNIB_3Q19</vt:lpstr>
      <vt:lpstr>OTHNIB_3Q19</vt:lpstr>
      <vt:lpstr>Tags!OTHNIB_3Q20</vt:lpstr>
      <vt:lpstr>OTHNIB_3Q20</vt:lpstr>
      <vt:lpstr>OTHNIB_3Q21</vt:lpstr>
      <vt:lpstr>OTHNIB_3Q22</vt:lpstr>
      <vt:lpstr>OTHNIB_3Q23</vt:lpstr>
      <vt:lpstr>OTHNIB_3Q24</vt:lpstr>
      <vt:lpstr>Tags!OTHNIB_4Q00</vt:lpstr>
      <vt:lpstr>OTHNIB_4Q00</vt:lpstr>
      <vt:lpstr>Tags!OTHNIB_4Q01</vt:lpstr>
      <vt:lpstr>OTHNIB_4Q01</vt:lpstr>
      <vt:lpstr>Tags!OTHNIB_4Q02</vt:lpstr>
      <vt:lpstr>OTHNIB_4Q02</vt:lpstr>
      <vt:lpstr>Tags!OTHNIB_4Q03</vt:lpstr>
      <vt:lpstr>OTHNIB_4Q03</vt:lpstr>
      <vt:lpstr>Tags!OTHNIB_4Q04</vt:lpstr>
      <vt:lpstr>OTHNIB_4Q04</vt:lpstr>
      <vt:lpstr>Tags!OTHNIB_4Q05</vt:lpstr>
      <vt:lpstr>OTHNIB_4Q05</vt:lpstr>
      <vt:lpstr>Tags!OTHNIB_4Q06</vt:lpstr>
      <vt:lpstr>OTHNIB_4Q06</vt:lpstr>
      <vt:lpstr>Tags!OTHNIB_4Q07</vt:lpstr>
      <vt:lpstr>OTHNIB_4Q07</vt:lpstr>
      <vt:lpstr>Tags!OTHNIB_4Q08</vt:lpstr>
      <vt:lpstr>OTHNIB_4Q08</vt:lpstr>
      <vt:lpstr>Tags!OTHNIB_4Q09</vt:lpstr>
      <vt:lpstr>OTHNIB_4Q09</vt:lpstr>
      <vt:lpstr>Tags!OTHNIB_4Q10</vt:lpstr>
      <vt:lpstr>OTHNIB_4Q10</vt:lpstr>
      <vt:lpstr>Tags!OTHNIB_4Q11</vt:lpstr>
      <vt:lpstr>OTHNIB_4Q11</vt:lpstr>
      <vt:lpstr>Tags!OTHNIB_4Q12</vt:lpstr>
      <vt:lpstr>OTHNIB_4Q12</vt:lpstr>
      <vt:lpstr>Tags!OTHNIB_4Q13</vt:lpstr>
      <vt:lpstr>OTHNIB_4Q13</vt:lpstr>
      <vt:lpstr>Tags!OTHNIB_4Q14</vt:lpstr>
      <vt:lpstr>OTHNIB_4Q14</vt:lpstr>
      <vt:lpstr>Tags!OTHNIB_4Q15</vt:lpstr>
      <vt:lpstr>OTHNIB_4Q15</vt:lpstr>
      <vt:lpstr>Tags!OTHNIB_4Q16</vt:lpstr>
      <vt:lpstr>OTHNIB_4Q16</vt:lpstr>
      <vt:lpstr>Tags!OTHNIB_4Q17</vt:lpstr>
      <vt:lpstr>OTHNIB_4Q17</vt:lpstr>
      <vt:lpstr>Tags!OTHNIB_4Q18</vt:lpstr>
      <vt:lpstr>OTHNIB_4Q18</vt:lpstr>
      <vt:lpstr>Tags!OTHNIB_4Q19</vt:lpstr>
      <vt:lpstr>OTHNIB_4Q19</vt:lpstr>
      <vt:lpstr>Tags!OTHNIB_4Q20</vt:lpstr>
      <vt:lpstr>OTHNIB_4Q20</vt:lpstr>
      <vt:lpstr>OTHNIB_4Q21</vt:lpstr>
      <vt:lpstr>OTHNIB_4Q22</vt:lpstr>
      <vt:lpstr>OTHNIB_4Q23</vt:lpstr>
      <vt:lpstr>OTHNIB_4Q24</vt:lpstr>
      <vt:lpstr>OTIT_1995</vt:lpstr>
      <vt:lpstr>OTIT_1996</vt:lpstr>
      <vt:lpstr>OTIT_1997</vt:lpstr>
      <vt:lpstr>OTIT_1998</vt:lpstr>
      <vt:lpstr>OTIT_1999</vt:lpstr>
      <vt:lpstr>Tags!OTIT_1Q00</vt:lpstr>
      <vt:lpstr>OTIT_1Q00</vt:lpstr>
      <vt:lpstr>Tags!OTIT_1Q01</vt:lpstr>
      <vt:lpstr>OTIT_1Q01</vt:lpstr>
      <vt:lpstr>Tags!OTIT_1Q02</vt:lpstr>
      <vt:lpstr>OTIT_1Q02</vt:lpstr>
      <vt:lpstr>Tags!OTIT_1Q03</vt:lpstr>
      <vt:lpstr>OTIT_1Q03</vt:lpstr>
      <vt:lpstr>Tags!OTIT_1Q04</vt:lpstr>
      <vt:lpstr>OTIT_1Q04</vt:lpstr>
      <vt:lpstr>Tags!OTIT_1Q05</vt:lpstr>
      <vt:lpstr>OTIT_1Q05</vt:lpstr>
      <vt:lpstr>Tags!OTIT_1Q06</vt:lpstr>
      <vt:lpstr>OTIT_1Q06</vt:lpstr>
      <vt:lpstr>Tags!OTIT_1Q07</vt:lpstr>
      <vt:lpstr>OTIT_1Q07</vt:lpstr>
      <vt:lpstr>Tags!OTIT_1Q08</vt:lpstr>
      <vt:lpstr>OTIT_1Q08</vt:lpstr>
      <vt:lpstr>Tags!OTIT_1Q09</vt:lpstr>
      <vt:lpstr>OTIT_1Q09</vt:lpstr>
      <vt:lpstr>Tags!OTIT_1Q10</vt:lpstr>
      <vt:lpstr>OTIT_1Q10</vt:lpstr>
      <vt:lpstr>Tags!OTIT_1Q11</vt:lpstr>
      <vt:lpstr>OTIT_1Q11</vt:lpstr>
      <vt:lpstr>Tags!OTIT_1Q12</vt:lpstr>
      <vt:lpstr>OTIT_1Q12</vt:lpstr>
      <vt:lpstr>Tags!OTIT_1Q13</vt:lpstr>
      <vt:lpstr>OTIT_1Q13</vt:lpstr>
      <vt:lpstr>Tags!OTIT_1Q14</vt:lpstr>
      <vt:lpstr>OTIT_1Q14</vt:lpstr>
      <vt:lpstr>Tags!OTIT_1Q15</vt:lpstr>
      <vt:lpstr>OTIT_1Q15</vt:lpstr>
      <vt:lpstr>Tags!OTIT_1Q16</vt:lpstr>
      <vt:lpstr>OTIT_1Q16</vt:lpstr>
      <vt:lpstr>Tags!OTIT_1Q17</vt:lpstr>
      <vt:lpstr>OTIT_1Q17</vt:lpstr>
      <vt:lpstr>Tags!OTIT_1Q18</vt:lpstr>
      <vt:lpstr>OTIT_1Q18</vt:lpstr>
      <vt:lpstr>Tags!OTIT_1Q19</vt:lpstr>
      <vt:lpstr>OTIT_1Q19</vt:lpstr>
      <vt:lpstr>Tags!OTIT_1Q20</vt:lpstr>
      <vt:lpstr>OTIT_1Q20</vt:lpstr>
      <vt:lpstr>OTIT_1Q21</vt:lpstr>
      <vt:lpstr>OTIT_1Q22</vt:lpstr>
      <vt:lpstr>OTIT_1Q23</vt:lpstr>
      <vt:lpstr>OTIT_1Q24</vt:lpstr>
      <vt:lpstr>Tags!OTIT_2000</vt:lpstr>
      <vt:lpstr>OTIT_2000</vt:lpstr>
      <vt:lpstr>Tags!OTIT_2001</vt:lpstr>
      <vt:lpstr>OTIT_2001</vt:lpstr>
      <vt:lpstr>Tags!OTIT_2002</vt:lpstr>
      <vt:lpstr>OTIT_2002</vt:lpstr>
      <vt:lpstr>Tags!OTIT_2003</vt:lpstr>
      <vt:lpstr>OTIT_2003</vt:lpstr>
      <vt:lpstr>Tags!OTIT_2004</vt:lpstr>
      <vt:lpstr>OTIT_2004</vt:lpstr>
      <vt:lpstr>Tags!OTIT_2005</vt:lpstr>
      <vt:lpstr>OTIT_2005</vt:lpstr>
      <vt:lpstr>Tags!OTIT_2006</vt:lpstr>
      <vt:lpstr>OTIT_2006</vt:lpstr>
      <vt:lpstr>Tags!OTIT_2007</vt:lpstr>
      <vt:lpstr>OTIT_2007</vt:lpstr>
      <vt:lpstr>Tags!OTIT_2008</vt:lpstr>
      <vt:lpstr>OTIT_2008</vt:lpstr>
      <vt:lpstr>Tags!OTIT_2009</vt:lpstr>
      <vt:lpstr>OTIT_2009</vt:lpstr>
      <vt:lpstr>Tags!OTIT_2010</vt:lpstr>
      <vt:lpstr>OTIT_2010</vt:lpstr>
      <vt:lpstr>Tags!OTIT_2011</vt:lpstr>
      <vt:lpstr>OTIT_2011</vt:lpstr>
      <vt:lpstr>Tags!OTIT_2012</vt:lpstr>
      <vt:lpstr>OTIT_2012</vt:lpstr>
      <vt:lpstr>Tags!OTIT_2013</vt:lpstr>
      <vt:lpstr>OTIT_2013</vt:lpstr>
      <vt:lpstr>Tags!OTIT_2014</vt:lpstr>
      <vt:lpstr>OTIT_2014</vt:lpstr>
      <vt:lpstr>OTIT_2015</vt:lpstr>
      <vt:lpstr>Tags!OTIT_2016</vt:lpstr>
      <vt:lpstr>OTIT_2016</vt:lpstr>
      <vt:lpstr>Tags!OTIT_2017</vt:lpstr>
      <vt:lpstr>OTIT_2017</vt:lpstr>
      <vt:lpstr>Tags!OTIT_2018</vt:lpstr>
      <vt:lpstr>OTIT_2018</vt:lpstr>
      <vt:lpstr>Tags!OTIT_2019</vt:lpstr>
      <vt:lpstr>OTIT_2019</vt:lpstr>
      <vt:lpstr>Tags!OTIT_2020</vt:lpstr>
      <vt:lpstr>OTIT_2020</vt:lpstr>
      <vt:lpstr>OTIT_2021</vt:lpstr>
      <vt:lpstr>OTIT_2022</vt:lpstr>
      <vt:lpstr>OTIT_2023</vt:lpstr>
      <vt:lpstr>OTIT_2024</vt:lpstr>
      <vt:lpstr>Tags!OTIT_2Q00</vt:lpstr>
      <vt:lpstr>OTIT_2Q00</vt:lpstr>
      <vt:lpstr>Tags!OTIT_2Q01</vt:lpstr>
      <vt:lpstr>OTIT_2Q01</vt:lpstr>
      <vt:lpstr>Tags!OTIT_2Q02</vt:lpstr>
      <vt:lpstr>OTIT_2Q02</vt:lpstr>
      <vt:lpstr>Tags!OTIT_2Q03</vt:lpstr>
      <vt:lpstr>OTIT_2Q03</vt:lpstr>
      <vt:lpstr>Tags!OTIT_2Q04</vt:lpstr>
      <vt:lpstr>OTIT_2Q04</vt:lpstr>
      <vt:lpstr>Tags!OTIT_2Q05</vt:lpstr>
      <vt:lpstr>OTIT_2Q05</vt:lpstr>
      <vt:lpstr>Tags!OTIT_2Q06</vt:lpstr>
      <vt:lpstr>OTIT_2Q06</vt:lpstr>
      <vt:lpstr>Tags!OTIT_2Q07</vt:lpstr>
      <vt:lpstr>OTIT_2Q07</vt:lpstr>
      <vt:lpstr>Tags!OTIT_2Q08</vt:lpstr>
      <vt:lpstr>OTIT_2Q08</vt:lpstr>
      <vt:lpstr>Tags!OTIT_2Q09</vt:lpstr>
      <vt:lpstr>OTIT_2Q09</vt:lpstr>
      <vt:lpstr>Tags!OTIT_2Q10</vt:lpstr>
      <vt:lpstr>OTIT_2Q10</vt:lpstr>
      <vt:lpstr>Tags!OTIT_2Q11</vt:lpstr>
      <vt:lpstr>OTIT_2Q11</vt:lpstr>
      <vt:lpstr>Tags!OTIT_2Q12</vt:lpstr>
      <vt:lpstr>OTIT_2Q12</vt:lpstr>
      <vt:lpstr>Tags!OTIT_2Q13</vt:lpstr>
      <vt:lpstr>OTIT_2Q13</vt:lpstr>
      <vt:lpstr>Tags!OTIT_2Q14</vt:lpstr>
      <vt:lpstr>OTIT_2Q14</vt:lpstr>
      <vt:lpstr>Tags!OTIT_2Q15</vt:lpstr>
      <vt:lpstr>OTIT_2Q15</vt:lpstr>
      <vt:lpstr>Tags!OTIT_2Q16</vt:lpstr>
      <vt:lpstr>OTIT_2Q16</vt:lpstr>
      <vt:lpstr>Tags!OTIT_2Q17</vt:lpstr>
      <vt:lpstr>OTIT_2Q17</vt:lpstr>
      <vt:lpstr>Tags!OTIT_2Q18</vt:lpstr>
      <vt:lpstr>OTIT_2Q18</vt:lpstr>
      <vt:lpstr>Tags!OTIT_2Q19</vt:lpstr>
      <vt:lpstr>OTIT_2Q19</vt:lpstr>
      <vt:lpstr>Tags!OTIT_2Q20</vt:lpstr>
      <vt:lpstr>OTIT_2Q20</vt:lpstr>
      <vt:lpstr>OTIT_2Q21</vt:lpstr>
      <vt:lpstr>OTIT_2Q22</vt:lpstr>
      <vt:lpstr>OTIT_2Q23</vt:lpstr>
      <vt:lpstr>OTIT_2Q24</vt:lpstr>
      <vt:lpstr>Tags!OTIT_3Q00</vt:lpstr>
      <vt:lpstr>OTIT_3Q00</vt:lpstr>
      <vt:lpstr>Tags!OTIT_3Q01</vt:lpstr>
      <vt:lpstr>OTIT_3Q01</vt:lpstr>
      <vt:lpstr>Tags!OTIT_3Q02</vt:lpstr>
      <vt:lpstr>OTIT_3Q02</vt:lpstr>
      <vt:lpstr>Tags!OTIT_3Q03</vt:lpstr>
      <vt:lpstr>OTIT_3Q03</vt:lpstr>
      <vt:lpstr>Tags!OTIT_3Q04</vt:lpstr>
      <vt:lpstr>OTIT_3Q04</vt:lpstr>
      <vt:lpstr>Tags!OTIT_3Q05</vt:lpstr>
      <vt:lpstr>OTIT_3Q05</vt:lpstr>
      <vt:lpstr>Tags!OTIT_3Q06</vt:lpstr>
      <vt:lpstr>OTIT_3Q06</vt:lpstr>
      <vt:lpstr>Tags!OTIT_3Q07</vt:lpstr>
      <vt:lpstr>OTIT_3Q07</vt:lpstr>
      <vt:lpstr>Tags!OTIT_3Q08</vt:lpstr>
      <vt:lpstr>OTIT_3Q08</vt:lpstr>
      <vt:lpstr>Tags!OTIT_3Q09</vt:lpstr>
      <vt:lpstr>OTIT_3Q09</vt:lpstr>
      <vt:lpstr>Tags!OTIT_3Q10</vt:lpstr>
      <vt:lpstr>OTIT_3Q10</vt:lpstr>
      <vt:lpstr>Tags!OTIT_3Q11</vt:lpstr>
      <vt:lpstr>OTIT_3Q11</vt:lpstr>
      <vt:lpstr>Tags!OTIT_3Q12</vt:lpstr>
      <vt:lpstr>OTIT_3Q12</vt:lpstr>
      <vt:lpstr>Tags!OTIT_3Q13</vt:lpstr>
      <vt:lpstr>OTIT_3Q13</vt:lpstr>
      <vt:lpstr>Tags!OTIT_3Q14</vt:lpstr>
      <vt:lpstr>OTIT_3Q14</vt:lpstr>
      <vt:lpstr>Tags!OTIT_3Q15</vt:lpstr>
      <vt:lpstr>OTIT_3Q15</vt:lpstr>
      <vt:lpstr>Tags!OTIT_3Q16</vt:lpstr>
      <vt:lpstr>OTIT_3Q16</vt:lpstr>
      <vt:lpstr>Tags!OTIT_3Q17</vt:lpstr>
      <vt:lpstr>OTIT_3Q17</vt:lpstr>
      <vt:lpstr>Tags!OTIT_3Q18</vt:lpstr>
      <vt:lpstr>OTIT_3Q18</vt:lpstr>
      <vt:lpstr>Tags!OTIT_3Q19</vt:lpstr>
      <vt:lpstr>OTIT_3Q19</vt:lpstr>
      <vt:lpstr>Tags!OTIT_3Q20</vt:lpstr>
      <vt:lpstr>OTIT_3Q20</vt:lpstr>
      <vt:lpstr>OTIT_3Q21</vt:lpstr>
      <vt:lpstr>OTIT_3Q22</vt:lpstr>
      <vt:lpstr>OTIT_3Q23</vt:lpstr>
      <vt:lpstr>OTIT_3Q24</vt:lpstr>
      <vt:lpstr>Tags!OTIT_4Q00</vt:lpstr>
      <vt:lpstr>OTIT_4Q00</vt:lpstr>
      <vt:lpstr>Tags!OTIT_4Q01</vt:lpstr>
      <vt:lpstr>OTIT_4Q01</vt:lpstr>
      <vt:lpstr>Tags!OTIT_4Q02</vt:lpstr>
      <vt:lpstr>OTIT_4Q02</vt:lpstr>
      <vt:lpstr>Tags!OTIT_4Q03</vt:lpstr>
      <vt:lpstr>OTIT_4Q03</vt:lpstr>
      <vt:lpstr>Tags!OTIT_4Q04</vt:lpstr>
      <vt:lpstr>OTIT_4Q04</vt:lpstr>
      <vt:lpstr>Tags!OTIT_4Q05</vt:lpstr>
      <vt:lpstr>OTIT_4Q05</vt:lpstr>
      <vt:lpstr>Tags!OTIT_4Q06</vt:lpstr>
      <vt:lpstr>OTIT_4Q06</vt:lpstr>
      <vt:lpstr>Tags!OTIT_4Q07</vt:lpstr>
      <vt:lpstr>OTIT_4Q07</vt:lpstr>
      <vt:lpstr>Tags!OTIT_4Q08</vt:lpstr>
      <vt:lpstr>OTIT_4Q08</vt:lpstr>
      <vt:lpstr>Tags!OTIT_4Q09</vt:lpstr>
      <vt:lpstr>OTIT_4Q09</vt:lpstr>
      <vt:lpstr>Tags!OTIT_4Q10</vt:lpstr>
      <vt:lpstr>OTIT_4Q10</vt:lpstr>
      <vt:lpstr>Tags!OTIT_4Q11</vt:lpstr>
      <vt:lpstr>OTIT_4Q11</vt:lpstr>
      <vt:lpstr>Tags!OTIT_4Q12</vt:lpstr>
      <vt:lpstr>OTIT_4Q12</vt:lpstr>
      <vt:lpstr>Tags!OTIT_4Q13</vt:lpstr>
      <vt:lpstr>OTIT_4Q13</vt:lpstr>
      <vt:lpstr>Tags!OTIT_4Q14</vt:lpstr>
      <vt:lpstr>OTIT_4Q14</vt:lpstr>
      <vt:lpstr>Tags!OTIT_4Q15</vt:lpstr>
      <vt:lpstr>OTIT_4Q15</vt:lpstr>
      <vt:lpstr>Tags!OTIT_4Q16</vt:lpstr>
      <vt:lpstr>OTIT_4Q16</vt:lpstr>
      <vt:lpstr>Tags!OTIT_4Q17</vt:lpstr>
      <vt:lpstr>OTIT_4Q17</vt:lpstr>
      <vt:lpstr>Tags!OTIT_4Q18</vt:lpstr>
      <vt:lpstr>OTIT_4Q18</vt:lpstr>
      <vt:lpstr>Tags!OTIT_4Q19</vt:lpstr>
      <vt:lpstr>OTIT_4Q19</vt:lpstr>
      <vt:lpstr>Tags!OTIT_4Q20</vt:lpstr>
      <vt:lpstr>OTIT_4Q20</vt:lpstr>
      <vt:lpstr>OTIT_4Q21</vt:lpstr>
      <vt:lpstr>OTIT_4Q22</vt:lpstr>
      <vt:lpstr>OTIT_4Q23</vt:lpstr>
      <vt:lpstr>OTIT_4Q24</vt:lpstr>
      <vt:lpstr>PEBEAS_1995</vt:lpstr>
      <vt:lpstr>PEBEAS_1996</vt:lpstr>
      <vt:lpstr>PEBEAS_1997</vt:lpstr>
      <vt:lpstr>PEBEAS_1998</vt:lpstr>
      <vt:lpstr>PEBEAS_1999</vt:lpstr>
      <vt:lpstr>Tags!PEBEAS_1Q00</vt:lpstr>
      <vt:lpstr>PEBEAS_1Q00</vt:lpstr>
      <vt:lpstr>Tags!PEBEAS_1Q01</vt:lpstr>
      <vt:lpstr>PEBEAS_1Q01</vt:lpstr>
      <vt:lpstr>Tags!PEBEAS_1Q02</vt:lpstr>
      <vt:lpstr>PEBEAS_1Q02</vt:lpstr>
      <vt:lpstr>Tags!PEBEAS_1Q03</vt:lpstr>
      <vt:lpstr>PEBEAS_1Q03</vt:lpstr>
      <vt:lpstr>Tags!PEBEAS_1Q04</vt:lpstr>
      <vt:lpstr>PEBEAS_1Q04</vt:lpstr>
      <vt:lpstr>Tags!PEBEAS_1Q05</vt:lpstr>
      <vt:lpstr>PEBEAS_1Q05</vt:lpstr>
      <vt:lpstr>Tags!PEBEAS_1Q06</vt:lpstr>
      <vt:lpstr>PEBEAS_1Q06</vt:lpstr>
      <vt:lpstr>Tags!PEBEAS_1Q07</vt:lpstr>
      <vt:lpstr>PEBEAS_1Q07</vt:lpstr>
      <vt:lpstr>Tags!PEBEAS_1Q08</vt:lpstr>
      <vt:lpstr>PEBEAS_1Q08</vt:lpstr>
      <vt:lpstr>Tags!PEBEAS_1Q09</vt:lpstr>
      <vt:lpstr>PEBEAS_1Q09</vt:lpstr>
      <vt:lpstr>Tags!PEBEAS_1Q10</vt:lpstr>
      <vt:lpstr>PEBEAS_1Q10</vt:lpstr>
      <vt:lpstr>Tags!PEBEAS_1Q11</vt:lpstr>
      <vt:lpstr>PEBEAS_1Q11</vt:lpstr>
      <vt:lpstr>Tags!PEBEAS_1Q12</vt:lpstr>
      <vt:lpstr>PEBEAS_1Q12</vt:lpstr>
      <vt:lpstr>Tags!PEBEAS_1Q13</vt:lpstr>
      <vt:lpstr>PEBEAS_1Q13</vt:lpstr>
      <vt:lpstr>Tags!PEBEAS_1Q14</vt:lpstr>
      <vt:lpstr>PEBEAS_1Q14</vt:lpstr>
      <vt:lpstr>Tags!PEBEAS_1Q15</vt:lpstr>
      <vt:lpstr>PEBEAS_1Q15</vt:lpstr>
      <vt:lpstr>Tags!PEBEAS_1Q16</vt:lpstr>
      <vt:lpstr>PEBEAS_1Q16</vt:lpstr>
      <vt:lpstr>Tags!PEBEAS_1Q17</vt:lpstr>
      <vt:lpstr>PEBEAS_1Q17</vt:lpstr>
      <vt:lpstr>Tags!PEBEAS_1Q18</vt:lpstr>
      <vt:lpstr>PEBEAS_1Q18</vt:lpstr>
      <vt:lpstr>Tags!PEBEAS_1Q19</vt:lpstr>
      <vt:lpstr>PEBEAS_1Q19</vt:lpstr>
      <vt:lpstr>Tags!PEBEAS_1Q20</vt:lpstr>
      <vt:lpstr>PEBEAS_1Q20</vt:lpstr>
      <vt:lpstr>PEBEAS_1Q21</vt:lpstr>
      <vt:lpstr>PEBEAS_1Q22</vt:lpstr>
      <vt:lpstr>PEBEAS_1Q23</vt:lpstr>
      <vt:lpstr>PEBEAS_1Q24</vt:lpstr>
      <vt:lpstr>Tags!PEBEAS_2000</vt:lpstr>
      <vt:lpstr>PEBEAS_2000</vt:lpstr>
      <vt:lpstr>Tags!PEBEAS_2001</vt:lpstr>
      <vt:lpstr>PEBEAS_2001</vt:lpstr>
      <vt:lpstr>Tags!PEBEAS_2002</vt:lpstr>
      <vt:lpstr>PEBEAS_2002</vt:lpstr>
      <vt:lpstr>Tags!PEBEAS_2003</vt:lpstr>
      <vt:lpstr>PEBEAS_2003</vt:lpstr>
      <vt:lpstr>Tags!PEBEAS_2004</vt:lpstr>
      <vt:lpstr>PEBEAS_2004</vt:lpstr>
      <vt:lpstr>Tags!PEBEAS_2005</vt:lpstr>
      <vt:lpstr>PEBEAS_2005</vt:lpstr>
      <vt:lpstr>Tags!PEBEAS_2006</vt:lpstr>
      <vt:lpstr>PEBEAS_2006</vt:lpstr>
      <vt:lpstr>Tags!PEBEAS_2007</vt:lpstr>
      <vt:lpstr>PEBEAS_2007</vt:lpstr>
      <vt:lpstr>Tags!PEBEAS_2008</vt:lpstr>
      <vt:lpstr>PEBEAS_2008</vt:lpstr>
      <vt:lpstr>Tags!PEBEAS_2009</vt:lpstr>
      <vt:lpstr>PEBEAS_2009</vt:lpstr>
      <vt:lpstr>Tags!PEBEAS_2010</vt:lpstr>
      <vt:lpstr>PEBEAS_2010</vt:lpstr>
      <vt:lpstr>Tags!PEBEAS_2011</vt:lpstr>
      <vt:lpstr>PEBEAS_2011</vt:lpstr>
      <vt:lpstr>Tags!PEBEAS_2012</vt:lpstr>
      <vt:lpstr>PEBEAS_2012</vt:lpstr>
      <vt:lpstr>Tags!PEBEAS_2013</vt:lpstr>
      <vt:lpstr>PEBEAS_2013</vt:lpstr>
      <vt:lpstr>Tags!PEBEAS_2014</vt:lpstr>
      <vt:lpstr>PEBEAS_2014</vt:lpstr>
      <vt:lpstr>PEBEAS_2015</vt:lpstr>
      <vt:lpstr>Tags!PEBEAS_2016</vt:lpstr>
      <vt:lpstr>PEBEAS_2016</vt:lpstr>
      <vt:lpstr>Tags!PEBEAS_2017</vt:lpstr>
      <vt:lpstr>PEBEAS_2017</vt:lpstr>
      <vt:lpstr>Tags!PEBEAS_2018</vt:lpstr>
      <vt:lpstr>PEBEAS_2018</vt:lpstr>
      <vt:lpstr>Tags!PEBEAS_2019</vt:lpstr>
      <vt:lpstr>PEBEAS_2019</vt:lpstr>
      <vt:lpstr>Tags!PEBEAS_2020</vt:lpstr>
      <vt:lpstr>PEBEAS_2020</vt:lpstr>
      <vt:lpstr>PEBEAS_2021</vt:lpstr>
      <vt:lpstr>PEBEAS_2022</vt:lpstr>
      <vt:lpstr>PEBEAS_2023</vt:lpstr>
      <vt:lpstr>PEBEAS_2024</vt:lpstr>
      <vt:lpstr>Tags!PEBEAS_2Q00</vt:lpstr>
      <vt:lpstr>PEBEAS_2Q00</vt:lpstr>
      <vt:lpstr>Tags!PEBEAS_2Q01</vt:lpstr>
      <vt:lpstr>PEBEAS_2Q01</vt:lpstr>
      <vt:lpstr>Tags!PEBEAS_2Q02</vt:lpstr>
      <vt:lpstr>PEBEAS_2Q02</vt:lpstr>
      <vt:lpstr>Tags!PEBEAS_2Q03</vt:lpstr>
      <vt:lpstr>PEBEAS_2Q03</vt:lpstr>
      <vt:lpstr>Tags!PEBEAS_2Q04</vt:lpstr>
      <vt:lpstr>PEBEAS_2Q04</vt:lpstr>
      <vt:lpstr>Tags!PEBEAS_2Q05</vt:lpstr>
      <vt:lpstr>PEBEAS_2Q05</vt:lpstr>
      <vt:lpstr>Tags!PEBEAS_2Q06</vt:lpstr>
      <vt:lpstr>PEBEAS_2Q06</vt:lpstr>
      <vt:lpstr>Tags!PEBEAS_2Q07</vt:lpstr>
      <vt:lpstr>PEBEAS_2Q07</vt:lpstr>
      <vt:lpstr>Tags!PEBEAS_2Q08</vt:lpstr>
      <vt:lpstr>PEBEAS_2Q08</vt:lpstr>
      <vt:lpstr>Tags!PEBEAS_2Q09</vt:lpstr>
      <vt:lpstr>PEBEAS_2Q09</vt:lpstr>
      <vt:lpstr>Tags!PEBEAS_2Q10</vt:lpstr>
      <vt:lpstr>PEBEAS_2Q10</vt:lpstr>
      <vt:lpstr>Tags!PEBEAS_2Q11</vt:lpstr>
      <vt:lpstr>PEBEAS_2Q11</vt:lpstr>
      <vt:lpstr>Tags!PEBEAS_2Q12</vt:lpstr>
      <vt:lpstr>PEBEAS_2Q12</vt:lpstr>
      <vt:lpstr>Tags!PEBEAS_2Q13</vt:lpstr>
      <vt:lpstr>PEBEAS_2Q13</vt:lpstr>
      <vt:lpstr>Tags!PEBEAS_2Q14</vt:lpstr>
      <vt:lpstr>PEBEAS_2Q14</vt:lpstr>
      <vt:lpstr>Tags!PEBEAS_2Q15</vt:lpstr>
      <vt:lpstr>PEBEAS_2Q15</vt:lpstr>
      <vt:lpstr>Tags!PEBEAS_2Q16</vt:lpstr>
      <vt:lpstr>PEBEAS_2Q16</vt:lpstr>
      <vt:lpstr>Tags!PEBEAS_2Q17</vt:lpstr>
      <vt:lpstr>PEBEAS_2Q17</vt:lpstr>
      <vt:lpstr>Tags!PEBEAS_2Q18</vt:lpstr>
      <vt:lpstr>PEBEAS_2Q18</vt:lpstr>
      <vt:lpstr>Tags!PEBEAS_2Q19</vt:lpstr>
      <vt:lpstr>PEBEAS_2Q19</vt:lpstr>
      <vt:lpstr>Tags!PEBEAS_2Q20</vt:lpstr>
      <vt:lpstr>PEBEAS_2Q20</vt:lpstr>
      <vt:lpstr>PEBEAS_2Q21</vt:lpstr>
      <vt:lpstr>PEBEAS_2Q22</vt:lpstr>
      <vt:lpstr>PEBEAS_2Q23</vt:lpstr>
      <vt:lpstr>PEBEAS_2Q24</vt:lpstr>
      <vt:lpstr>Tags!PEBEAS_3Q00</vt:lpstr>
      <vt:lpstr>PEBEAS_3Q00</vt:lpstr>
      <vt:lpstr>Tags!PEBEAS_3Q01</vt:lpstr>
      <vt:lpstr>PEBEAS_3Q01</vt:lpstr>
      <vt:lpstr>Tags!PEBEAS_3Q02</vt:lpstr>
      <vt:lpstr>PEBEAS_3Q02</vt:lpstr>
      <vt:lpstr>Tags!PEBEAS_3Q03</vt:lpstr>
      <vt:lpstr>PEBEAS_3Q03</vt:lpstr>
      <vt:lpstr>Tags!PEBEAS_3Q04</vt:lpstr>
      <vt:lpstr>PEBEAS_3Q04</vt:lpstr>
      <vt:lpstr>Tags!PEBEAS_3Q05</vt:lpstr>
      <vt:lpstr>PEBEAS_3Q05</vt:lpstr>
      <vt:lpstr>Tags!PEBEAS_3Q06</vt:lpstr>
      <vt:lpstr>PEBEAS_3Q06</vt:lpstr>
      <vt:lpstr>Tags!PEBEAS_3Q07</vt:lpstr>
      <vt:lpstr>PEBEAS_3Q07</vt:lpstr>
      <vt:lpstr>Tags!PEBEAS_3Q08</vt:lpstr>
      <vt:lpstr>PEBEAS_3Q08</vt:lpstr>
      <vt:lpstr>Tags!PEBEAS_3Q09</vt:lpstr>
      <vt:lpstr>PEBEAS_3Q09</vt:lpstr>
      <vt:lpstr>Tags!PEBEAS_3Q10</vt:lpstr>
      <vt:lpstr>PEBEAS_3Q10</vt:lpstr>
      <vt:lpstr>Tags!PEBEAS_3Q11</vt:lpstr>
      <vt:lpstr>PEBEAS_3Q11</vt:lpstr>
      <vt:lpstr>Tags!PEBEAS_3Q12</vt:lpstr>
      <vt:lpstr>PEBEAS_3Q12</vt:lpstr>
      <vt:lpstr>Tags!PEBEAS_3Q13</vt:lpstr>
      <vt:lpstr>PEBEAS_3Q13</vt:lpstr>
      <vt:lpstr>Tags!PEBEAS_3Q14</vt:lpstr>
      <vt:lpstr>PEBEAS_3Q14</vt:lpstr>
      <vt:lpstr>Tags!PEBEAS_3Q15</vt:lpstr>
      <vt:lpstr>PEBEAS_3Q15</vt:lpstr>
      <vt:lpstr>Tags!PEBEAS_3Q16</vt:lpstr>
      <vt:lpstr>PEBEAS_3Q16</vt:lpstr>
      <vt:lpstr>Tags!PEBEAS_3Q17</vt:lpstr>
      <vt:lpstr>PEBEAS_3Q17</vt:lpstr>
      <vt:lpstr>Tags!PEBEAS_3Q18</vt:lpstr>
      <vt:lpstr>PEBEAS_3Q18</vt:lpstr>
      <vt:lpstr>Tags!PEBEAS_3Q19</vt:lpstr>
      <vt:lpstr>PEBEAS_3Q19</vt:lpstr>
      <vt:lpstr>Tags!PEBEAS_3Q20</vt:lpstr>
      <vt:lpstr>PEBEAS_3Q20</vt:lpstr>
      <vt:lpstr>PEBEAS_3Q21</vt:lpstr>
      <vt:lpstr>PEBEAS_3Q22</vt:lpstr>
      <vt:lpstr>PEBEAS_3Q23</vt:lpstr>
      <vt:lpstr>PEBEAS_3Q24</vt:lpstr>
      <vt:lpstr>Tags!PEBEAS_4Q00</vt:lpstr>
      <vt:lpstr>PEBEAS_4Q00</vt:lpstr>
      <vt:lpstr>Tags!PEBEAS_4Q01</vt:lpstr>
      <vt:lpstr>PEBEAS_4Q01</vt:lpstr>
      <vt:lpstr>Tags!PEBEAS_4Q02</vt:lpstr>
      <vt:lpstr>PEBEAS_4Q02</vt:lpstr>
      <vt:lpstr>Tags!PEBEAS_4Q03</vt:lpstr>
      <vt:lpstr>PEBEAS_4Q03</vt:lpstr>
      <vt:lpstr>Tags!PEBEAS_4Q04</vt:lpstr>
      <vt:lpstr>PEBEAS_4Q04</vt:lpstr>
      <vt:lpstr>Tags!PEBEAS_4Q05</vt:lpstr>
      <vt:lpstr>PEBEAS_4Q05</vt:lpstr>
      <vt:lpstr>Tags!PEBEAS_4Q06</vt:lpstr>
      <vt:lpstr>PEBEAS_4Q06</vt:lpstr>
      <vt:lpstr>Tags!PEBEAS_4Q07</vt:lpstr>
      <vt:lpstr>PEBEAS_4Q07</vt:lpstr>
      <vt:lpstr>Tags!PEBEAS_4Q08</vt:lpstr>
      <vt:lpstr>PEBEAS_4Q08</vt:lpstr>
      <vt:lpstr>Tags!PEBEAS_4Q09</vt:lpstr>
      <vt:lpstr>PEBEAS_4Q09</vt:lpstr>
      <vt:lpstr>Tags!PEBEAS_4Q10</vt:lpstr>
      <vt:lpstr>PEBEAS_4Q10</vt:lpstr>
      <vt:lpstr>Tags!PEBEAS_4Q11</vt:lpstr>
      <vt:lpstr>PEBEAS_4Q11</vt:lpstr>
      <vt:lpstr>Tags!PEBEAS_4Q12</vt:lpstr>
      <vt:lpstr>PEBEAS_4Q12</vt:lpstr>
      <vt:lpstr>Tags!PEBEAS_4Q13</vt:lpstr>
      <vt:lpstr>PEBEAS_4Q13</vt:lpstr>
      <vt:lpstr>Tags!PEBEAS_4Q14</vt:lpstr>
      <vt:lpstr>PEBEAS_4Q14</vt:lpstr>
      <vt:lpstr>Tags!PEBEAS_4Q15</vt:lpstr>
      <vt:lpstr>PEBEAS_4Q15</vt:lpstr>
      <vt:lpstr>Tags!PEBEAS_4Q16</vt:lpstr>
      <vt:lpstr>PEBEAS_4Q16</vt:lpstr>
      <vt:lpstr>Tags!PEBEAS_4Q17</vt:lpstr>
      <vt:lpstr>PEBEAS_4Q17</vt:lpstr>
      <vt:lpstr>Tags!PEBEAS_4Q18</vt:lpstr>
      <vt:lpstr>PEBEAS_4Q18</vt:lpstr>
      <vt:lpstr>Tags!PEBEAS_4Q19</vt:lpstr>
      <vt:lpstr>PEBEAS_4Q19</vt:lpstr>
      <vt:lpstr>Tags!PEBEAS_4Q20</vt:lpstr>
      <vt:lpstr>PEBEAS_4Q20</vt:lpstr>
      <vt:lpstr>PEBEAS_4Q21</vt:lpstr>
      <vt:lpstr>PEBEAS_4Q22</vt:lpstr>
      <vt:lpstr>PEBEAS_4Q23</vt:lpstr>
      <vt:lpstr>PEBEAS_4Q24</vt:lpstr>
      <vt:lpstr>PEBELI_1995</vt:lpstr>
      <vt:lpstr>PEBELI_1996</vt:lpstr>
      <vt:lpstr>PEBELI_1997</vt:lpstr>
      <vt:lpstr>PEBELI_1998</vt:lpstr>
      <vt:lpstr>PEBELI_1999</vt:lpstr>
      <vt:lpstr>Tags!PEBELI_1Q00</vt:lpstr>
      <vt:lpstr>PEBELI_1Q00</vt:lpstr>
      <vt:lpstr>Tags!PEBELI_1Q01</vt:lpstr>
      <vt:lpstr>PEBELI_1Q01</vt:lpstr>
      <vt:lpstr>Tags!PEBELI_1Q02</vt:lpstr>
      <vt:lpstr>PEBELI_1Q02</vt:lpstr>
      <vt:lpstr>Tags!PEBELI_1Q03</vt:lpstr>
      <vt:lpstr>PEBELI_1Q03</vt:lpstr>
      <vt:lpstr>Tags!PEBELI_1Q04</vt:lpstr>
      <vt:lpstr>PEBELI_1Q04</vt:lpstr>
      <vt:lpstr>Tags!PEBELI_1Q05</vt:lpstr>
      <vt:lpstr>PEBELI_1Q05</vt:lpstr>
      <vt:lpstr>Tags!PEBELI_1Q06</vt:lpstr>
      <vt:lpstr>PEBELI_1Q06</vt:lpstr>
      <vt:lpstr>Tags!PEBELI_1Q07</vt:lpstr>
      <vt:lpstr>PEBELI_1Q07</vt:lpstr>
      <vt:lpstr>Tags!PEBELI_1Q08</vt:lpstr>
      <vt:lpstr>PEBELI_1Q08</vt:lpstr>
      <vt:lpstr>Tags!PEBELI_1Q09</vt:lpstr>
      <vt:lpstr>PEBELI_1Q09</vt:lpstr>
      <vt:lpstr>Tags!PEBELI_1Q10</vt:lpstr>
      <vt:lpstr>PEBELI_1Q10</vt:lpstr>
      <vt:lpstr>Tags!PEBELI_1Q11</vt:lpstr>
      <vt:lpstr>PEBELI_1Q11</vt:lpstr>
      <vt:lpstr>Tags!PEBELI_1Q12</vt:lpstr>
      <vt:lpstr>PEBELI_1Q12</vt:lpstr>
      <vt:lpstr>Tags!PEBELI_1Q13</vt:lpstr>
      <vt:lpstr>PEBELI_1Q13</vt:lpstr>
      <vt:lpstr>Tags!PEBELI_1Q14</vt:lpstr>
      <vt:lpstr>PEBELI_1Q14</vt:lpstr>
      <vt:lpstr>Tags!PEBELI_1Q15</vt:lpstr>
      <vt:lpstr>PEBELI_1Q15</vt:lpstr>
      <vt:lpstr>Tags!PEBELI_1Q16</vt:lpstr>
      <vt:lpstr>PEBELI_1Q16</vt:lpstr>
      <vt:lpstr>Tags!PEBELI_1Q17</vt:lpstr>
      <vt:lpstr>PEBELI_1Q17</vt:lpstr>
      <vt:lpstr>Tags!PEBELI_1Q18</vt:lpstr>
      <vt:lpstr>PEBELI_1Q18</vt:lpstr>
      <vt:lpstr>Tags!PEBELI_1Q19</vt:lpstr>
      <vt:lpstr>PEBELI_1Q19</vt:lpstr>
      <vt:lpstr>Tags!PEBELI_1Q20</vt:lpstr>
      <vt:lpstr>PEBELI_1Q20</vt:lpstr>
      <vt:lpstr>PEBELI_1Q21</vt:lpstr>
      <vt:lpstr>PEBELI_1Q22</vt:lpstr>
      <vt:lpstr>PEBELI_1Q23</vt:lpstr>
      <vt:lpstr>PEBELI_1Q24</vt:lpstr>
      <vt:lpstr>Tags!PEBELI_2000</vt:lpstr>
      <vt:lpstr>PEBELI_2000</vt:lpstr>
      <vt:lpstr>Tags!PEBELI_2001</vt:lpstr>
      <vt:lpstr>PEBELI_2001</vt:lpstr>
      <vt:lpstr>Tags!PEBELI_2002</vt:lpstr>
      <vt:lpstr>PEBELI_2002</vt:lpstr>
      <vt:lpstr>Tags!PEBELI_2003</vt:lpstr>
      <vt:lpstr>PEBELI_2003</vt:lpstr>
      <vt:lpstr>Tags!PEBELI_2004</vt:lpstr>
      <vt:lpstr>PEBELI_2004</vt:lpstr>
      <vt:lpstr>Tags!PEBELI_2005</vt:lpstr>
      <vt:lpstr>PEBELI_2005</vt:lpstr>
      <vt:lpstr>Tags!PEBELI_2006</vt:lpstr>
      <vt:lpstr>PEBELI_2006</vt:lpstr>
      <vt:lpstr>Tags!PEBELI_2007</vt:lpstr>
      <vt:lpstr>PEBELI_2007</vt:lpstr>
      <vt:lpstr>Tags!PEBELI_2008</vt:lpstr>
      <vt:lpstr>PEBELI_2008</vt:lpstr>
      <vt:lpstr>Tags!PEBELI_2009</vt:lpstr>
      <vt:lpstr>PEBELI_2009</vt:lpstr>
      <vt:lpstr>Tags!PEBELI_2010</vt:lpstr>
      <vt:lpstr>PEBELI_2010</vt:lpstr>
      <vt:lpstr>Tags!PEBELI_2011</vt:lpstr>
      <vt:lpstr>PEBELI_2011</vt:lpstr>
      <vt:lpstr>Tags!PEBELI_2012</vt:lpstr>
      <vt:lpstr>PEBELI_2012</vt:lpstr>
      <vt:lpstr>Tags!PEBELI_2013</vt:lpstr>
      <vt:lpstr>PEBELI_2013</vt:lpstr>
      <vt:lpstr>Tags!PEBELI_2014</vt:lpstr>
      <vt:lpstr>PEBELI_2014</vt:lpstr>
      <vt:lpstr>PEBELI_2015</vt:lpstr>
      <vt:lpstr>Tags!PEBELI_2016</vt:lpstr>
      <vt:lpstr>PEBELI_2016</vt:lpstr>
      <vt:lpstr>Tags!PEBELI_2017</vt:lpstr>
      <vt:lpstr>PEBELI_2017</vt:lpstr>
      <vt:lpstr>Tags!PEBELI_2018</vt:lpstr>
      <vt:lpstr>PEBELI_2018</vt:lpstr>
      <vt:lpstr>Tags!PEBELI_2019</vt:lpstr>
      <vt:lpstr>PEBELI_2019</vt:lpstr>
      <vt:lpstr>Tags!PEBELI_2020</vt:lpstr>
      <vt:lpstr>PEBELI_2020</vt:lpstr>
      <vt:lpstr>PEBELI_2021</vt:lpstr>
      <vt:lpstr>PEBELI_2022</vt:lpstr>
      <vt:lpstr>PEBELI_2023</vt:lpstr>
      <vt:lpstr>PEBELI_2024</vt:lpstr>
      <vt:lpstr>Tags!PEBELI_2Q00</vt:lpstr>
      <vt:lpstr>PEBELI_2Q00</vt:lpstr>
      <vt:lpstr>Tags!PEBELI_2Q01</vt:lpstr>
      <vt:lpstr>PEBELI_2Q01</vt:lpstr>
      <vt:lpstr>Tags!PEBELI_2Q02</vt:lpstr>
      <vt:lpstr>PEBELI_2Q02</vt:lpstr>
      <vt:lpstr>Tags!PEBELI_2Q03</vt:lpstr>
      <vt:lpstr>PEBELI_2Q03</vt:lpstr>
      <vt:lpstr>Tags!PEBELI_2Q04</vt:lpstr>
      <vt:lpstr>PEBELI_2Q04</vt:lpstr>
      <vt:lpstr>Tags!PEBELI_2Q05</vt:lpstr>
      <vt:lpstr>PEBELI_2Q05</vt:lpstr>
      <vt:lpstr>Tags!PEBELI_2Q06</vt:lpstr>
      <vt:lpstr>PEBELI_2Q06</vt:lpstr>
      <vt:lpstr>Tags!PEBELI_2Q07</vt:lpstr>
      <vt:lpstr>PEBELI_2Q07</vt:lpstr>
      <vt:lpstr>Tags!PEBELI_2Q08</vt:lpstr>
      <vt:lpstr>PEBELI_2Q08</vt:lpstr>
      <vt:lpstr>Tags!PEBELI_2Q09</vt:lpstr>
      <vt:lpstr>PEBELI_2Q09</vt:lpstr>
      <vt:lpstr>Tags!PEBELI_2Q10</vt:lpstr>
      <vt:lpstr>PEBELI_2Q10</vt:lpstr>
      <vt:lpstr>Tags!PEBELI_2Q11</vt:lpstr>
      <vt:lpstr>PEBELI_2Q11</vt:lpstr>
      <vt:lpstr>Tags!PEBELI_2Q12</vt:lpstr>
      <vt:lpstr>PEBELI_2Q12</vt:lpstr>
      <vt:lpstr>Tags!PEBELI_2Q13</vt:lpstr>
      <vt:lpstr>PEBELI_2Q13</vt:lpstr>
      <vt:lpstr>Tags!PEBELI_2Q14</vt:lpstr>
      <vt:lpstr>PEBELI_2Q14</vt:lpstr>
      <vt:lpstr>Tags!PEBELI_2Q15</vt:lpstr>
      <vt:lpstr>PEBELI_2Q15</vt:lpstr>
      <vt:lpstr>Tags!PEBELI_2Q16</vt:lpstr>
      <vt:lpstr>PEBELI_2Q16</vt:lpstr>
      <vt:lpstr>Tags!PEBELI_2Q17</vt:lpstr>
      <vt:lpstr>PEBELI_2Q17</vt:lpstr>
      <vt:lpstr>Tags!PEBELI_2Q18</vt:lpstr>
      <vt:lpstr>PEBELI_2Q18</vt:lpstr>
      <vt:lpstr>Tags!PEBELI_2Q19</vt:lpstr>
      <vt:lpstr>PEBELI_2Q19</vt:lpstr>
      <vt:lpstr>Tags!PEBELI_2Q20</vt:lpstr>
      <vt:lpstr>PEBELI_2Q20</vt:lpstr>
      <vt:lpstr>PEBELI_2Q21</vt:lpstr>
      <vt:lpstr>PEBELI_2Q22</vt:lpstr>
      <vt:lpstr>PEBELI_2Q23</vt:lpstr>
      <vt:lpstr>PEBELI_2Q24</vt:lpstr>
      <vt:lpstr>Tags!PEBELI_3Q00</vt:lpstr>
      <vt:lpstr>PEBELI_3Q00</vt:lpstr>
      <vt:lpstr>Tags!PEBELI_3Q01</vt:lpstr>
      <vt:lpstr>PEBELI_3Q01</vt:lpstr>
      <vt:lpstr>Tags!PEBELI_3Q02</vt:lpstr>
      <vt:lpstr>PEBELI_3Q02</vt:lpstr>
      <vt:lpstr>Tags!PEBELI_3Q03</vt:lpstr>
      <vt:lpstr>PEBELI_3Q03</vt:lpstr>
      <vt:lpstr>Tags!PEBELI_3Q04</vt:lpstr>
      <vt:lpstr>PEBELI_3Q04</vt:lpstr>
      <vt:lpstr>Tags!PEBELI_3Q05</vt:lpstr>
      <vt:lpstr>PEBELI_3Q05</vt:lpstr>
      <vt:lpstr>Tags!PEBELI_3Q06</vt:lpstr>
      <vt:lpstr>PEBELI_3Q06</vt:lpstr>
      <vt:lpstr>Tags!PEBELI_3Q07</vt:lpstr>
      <vt:lpstr>PEBELI_3Q07</vt:lpstr>
      <vt:lpstr>Tags!PEBELI_3Q08</vt:lpstr>
      <vt:lpstr>PEBELI_3Q08</vt:lpstr>
      <vt:lpstr>Tags!PEBELI_3Q09</vt:lpstr>
      <vt:lpstr>PEBELI_3Q09</vt:lpstr>
      <vt:lpstr>Tags!PEBELI_3Q10</vt:lpstr>
      <vt:lpstr>PEBELI_3Q10</vt:lpstr>
      <vt:lpstr>Tags!PEBELI_3Q11</vt:lpstr>
      <vt:lpstr>PEBELI_3Q11</vt:lpstr>
      <vt:lpstr>Tags!PEBELI_3Q12</vt:lpstr>
      <vt:lpstr>PEBELI_3Q12</vt:lpstr>
      <vt:lpstr>Tags!PEBELI_3Q13</vt:lpstr>
      <vt:lpstr>PEBELI_3Q13</vt:lpstr>
      <vt:lpstr>Tags!PEBELI_3Q14</vt:lpstr>
      <vt:lpstr>PEBELI_3Q14</vt:lpstr>
      <vt:lpstr>Tags!PEBELI_3Q15</vt:lpstr>
      <vt:lpstr>PEBELI_3Q15</vt:lpstr>
      <vt:lpstr>Tags!PEBELI_3Q16</vt:lpstr>
      <vt:lpstr>PEBELI_3Q16</vt:lpstr>
      <vt:lpstr>Tags!PEBELI_3Q17</vt:lpstr>
      <vt:lpstr>PEBELI_3Q17</vt:lpstr>
      <vt:lpstr>Tags!PEBELI_3Q18</vt:lpstr>
      <vt:lpstr>PEBELI_3Q18</vt:lpstr>
      <vt:lpstr>Tags!PEBELI_3Q19</vt:lpstr>
      <vt:lpstr>PEBELI_3Q19</vt:lpstr>
      <vt:lpstr>Tags!PEBELI_3Q20</vt:lpstr>
      <vt:lpstr>PEBELI_3Q20</vt:lpstr>
      <vt:lpstr>PEBELI_3Q21</vt:lpstr>
      <vt:lpstr>PEBELI_3Q22</vt:lpstr>
      <vt:lpstr>PEBELI_3Q23</vt:lpstr>
      <vt:lpstr>PEBELI_3Q24</vt:lpstr>
      <vt:lpstr>Tags!PEBELI_4Q00</vt:lpstr>
      <vt:lpstr>PEBELI_4Q00</vt:lpstr>
      <vt:lpstr>Tags!PEBELI_4Q01</vt:lpstr>
      <vt:lpstr>PEBELI_4Q01</vt:lpstr>
      <vt:lpstr>Tags!PEBELI_4Q02</vt:lpstr>
      <vt:lpstr>PEBELI_4Q02</vt:lpstr>
      <vt:lpstr>Tags!PEBELI_4Q03</vt:lpstr>
      <vt:lpstr>PEBELI_4Q03</vt:lpstr>
      <vt:lpstr>Tags!PEBELI_4Q04</vt:lpstr>
      <vt:lpstr>PEBELI_4Q04</vt:lpstr>
      <vt:lpstr>Tags!PEBELI_4Q05</vt:lpstr>
      <vt:lpstr>PEBELI_4Q05</vt:lpstr>
      <vt:lpstr>Tags!PEBELI_4Q06</vt:lpstr>
      <vt:lpstr>PEBELI_4Q06</vt:lpstr>
      <vt:lpstr>Tags!PEBELI_4Q07</vt:lpstr>
      <vt:lpstr>PEBELI_4Q07</vt:lpstr>
      <vt:lpstr>Tags!PEBELI_4Q08</vt:lpstr>
      <vt:lpstr>PEBELI_4Q08</vt:lpstr>
      <vt:lpstr>Tags!PEBELI_4Q09</vt:lpstr>
      <vt:lpstr>PEBELI_4Q09</vt:lpstr>
      <vt:lpstr>Tags!PEBELI_4Q10</vt:lpstr>
      <vt:lpstr>PEBELI_4Q10</vt:lpstr>
      <vt:lpstr>Tags!PEBELI_4Q11</vt:lpstr>
      <vt:lpstr>PEBELI_4Q11</vt:lpstr>
      <vt:lpstr>Tags!PEBELI_4Q12</vt:lpstr>
      <vt:lpstr>PEBELI_4Q12</vt:lpstr>
      <vt:lpstr>Tags!PEBELI_4Q13</vt:lpstr>
      <vt:lpstr>PEBELI_4Q13</vt:lpstr>
      <vt:lpstr>Tags!PEBELI_4Q14</vt:lpstr>
      <vt:lpstr>PEBELI_4Q14</vt:lpstr>
      <vt:lpstr>Tags!PEBELI_4Q15</vt:lpstr>
      <vt:lpstr>PEBELI_4Q15</vt:lpstr>
      <vt:lpstr>Tags!PEBELI_4Q16</vt:lpstr>
      <vt:lpstr>PEBELI_4Q16</vt:lpstr>
      <vt:lpstr>Tags!PEBELI_4Q17</vt:lpstr>
      <vt:lpstr>PEBELI_4Q17</vt:lpstr>
      <vt:lpstr>Tags!PEBELI_4Q18</vt:lpstr>
      <vt:lpstr>PEBELI_4Q18</vt:lpstr>
      <vt:lpstr>Tags!PEBELI_4Q19</vt:lpstr>
      <vt:lpstr>PEBELI_4Q19</vt:lpstr>
      <vt:lpstr>Tags!PEBELI_4Q20</vt:lpstr>
      <vt:lpstr>PEBELI_4Q20</vt:lpstr>
      <vt:lpstr>PEBELI_4Q21</vt:lpstr>
      <vt:lpstr>PEBELI_4Q22</vt:lpstr>
      <vt:lpstr>PEBELI_4Q23</vt:lpstr>
      <vt:lpstr>PEBELI_4Q24</vt:lpstr>
      <vt:lpstr>PEFIRE_1995</vt:lpstr>
      <vt:lpstr>PEFIRE_1996</vt:lpstr>
      <vt:lpstr>PEFIRE_1997</vt:lpstr>
      <vt:lpstr>PEFIRE_1998</vt:lpstr>
      <vt:lpstr>PEFIRE_1999</vt:lpstr>
      <vt:lpstr>Tags!PEFIRE_1Q00</vt:lpstr>
      <vt:lpstr>PEFIRE_1Q00</vt:lpstr>
      <vt:lpstr>Tags!PEFIRE_1Q01</vt:lpstr>
      <vt:lpstr>PEFIRE_1Q01</vt:lpstr>
      <vt:lpstr>Tags!PEFIRE_1Q02</vt:lpstr>
      <vt:lpstr>PEFIRE_1Q02</vt:lpstr>
      <vt:lpstr>Tags!PEFIRE_1Q03</vt:lpstr>
      <vt:lpstr>PEFIRE_1Q03</vt:lpstr>
      <vt:lpstr>Tags!PEFIRE_1Q04</vt:lpstr>
      <vt:lpstr>PEFIRE_1Q04</vt:lpstr>
      <vt:lpstr>Tags!PEFIRE_1Q05</vt:lpstr>
      <vt:lpstr>PEFIRE_1Q05</vt:lpstr>
      <vt:lpstr>Tags!PEFIRE_1Q06</vt:lpstr>
      <vt:lpstr>PEFIRE_1Q06</vt:lpstr>
      <vt:lpstr>Tags!PEFIRE_1Q07</vt:lpstr>
      <vt:lpstr>PEFIRE_1Q07</vt:lpstr>
      <vt:lpstr>Tags!PEFIRE_1Q08</vt:lpstr>
      <vt:lpstr>PEFIRE_1Q08</vt:lpstr>
      <vt:lpstr>Tags!PEFIRE_1Q09</vt:lpstr>
      <vt:lpstr>PEFIRE_1Q09</vt:lpstr>
      <vt:lpstr>Tags!PEFIRE_1Q10</vt:lpstr>
      <vt:lpstr>PEFIRE_1Q10</vt:lpstr>
      <vt:lpstr>Tags!PEFIRE_1Q11</vt:lpstr>
      <vt:lpstr>PEFIRE_1Q11</vt:lpstr>
      <vt:lpstr>Tags!PEFIRE_1Q12</vt:lpstr>
      <vt:lpstr>PEFIRE_1Q12</vt:lpstr>
      <vt:lpstr>Tags!PEFIRE_1Q13</vt:lpstr>
      <vt:lpstr>PEFIRE_1Q13</vt:lpstr>
      <vt:lpstr>Tags!PEFIRE_1Q14</vt:lpstr>
      <vt:lpstr>PEFIRE_1Q14</vt:lpstr>
      <vt:lpstr>Tags!PEFIRE_1Q15</vt:lpstr>
      <vt:lpstr>PEFIRE_1Q15</vt:lpstr>
      <vt:lpstr>Tags!PEFIRE_1Q16</vt:lpstr>
      <vt:lpstr>PEFIRE_1Q16</vt:lpstr>
      <vt:lpstr>Tags!PEFIRE_1Q17</vt:lpstr>
      <vt:lpstr>PEFIRE_1Q17</vt:lpstr>
      <vt:lpstr>Tags!PEFIRE_1Q18</vt:lpstr>
      <vt:lpstr>PEFIRE_1Q18</vt:lpstr>
      <vt:lpstr>Tags!PEFIRE_1Q19</vt:lpstr>
      <vt:lpstr>PEFIRE_1Q19</vt:lpstr>
      <vt:lpstr>Tags!PEFIRE_1Q20</vt:lpstr>
      <vt:lpstr>PEFIRE_1Q20</vt:lpstr>
      <vt:lpstr>PEFIRE_1Q21</vt:lpstr>
      <vt:lpstr>PEFIRE_1Q22</vt:lpstr>
      <vt:lpstr>PEFIRE_1Q23</vt:lpstr>
      <vt:lpstr>PEFIRE_1Q24</vt:lpstr>
      <vt:lpstr>Tags!PEFIRE_2000</vt:lpstr>
      <vt:lpstr>PEFIRE_2000</vt:lpstr>
      <vt:lpstr>Tags!PEFIRE_2001</vt:lpstr>
      <vt:lpstr>PEFIRE_2001</vt:lpstr>
      <vt:lpstr>Tags!PEFIRE_2002</vt:lpstr>
      <vt:lpstr>PEFIRE_2002</vt:lpstr>
      <vt:lpstr>Tags!PEFIRE_2003</vt:lpstr>
      <vt:lpstr>PEFIRE_2003</vt:lpstr>
      <vt:lpstr>Tags!PEFIRE_2004</vt:lpstr>
      <vt:lpstr>PEFIRE_2004</vt:lpstr>
      <vt:lpstr>Tags!PEFIRE_2005</vt:lpstr>
      <vt:lpstr>PEFIRE_2005</vt:lpstr>
      <vt:lpstr>Tags!PEFIRE_2006</vt:lpstr>
      <vt:lpstr>PEFIRE_2006</vt:lpstr>
      <vt:lpstr>Tags!PEFIRE_2007</vt:lpstr>
      <vt:lpstr>PEFIRE_2007</vt:lpstr>
      <vt:lpstr>Tags!PEFIRE_2008</vt:lpstr>
      <vt:lpstr>PEFIRE_2008</vt:lpstr>
      <vt:lpstr>Tags!PEFIRE_2009</vt:lpstr>
      <vt:lpstr>PEFIRE_2009</vt:lpstr>
      <vt:lpstr>Tags!PEFIRE_2010</vt:lpstr>
      <vt:lpstr>PEFIRE_2010</vt:lpstr>
      <vt:lpstr>Tags!PEFIRE_2011</vt:lpstr>
      <vt:lpstr>PEFIRE_2011</vt:lpstr>
      <vt:lpstr>Tags!PEFIRE_2012</vt:lpstr>
      <vt:lpstr>PEFIRE_2012</vt:lpstr>
      <vt:lpstr>Tags!PEFIRE_2013</vt:lpstr>
      <vt:lpstr>PEFIRE_2013</vt:lpstr>
      <vt:lpstr>Tags!PEFIRE_2014</vt:lpstr>
      <vt:lpstr>PEFIRE_2014</vt:lpstr>
      <vt:lpstr>PEFIRE_2015</vt:lpstr>
      <vt:lpstr>Tags!PEFIRE_2016</vt:lpstr>
      <vt:lpstr>PEFIRE_2016</vt:lpstr>
      <vt:lpstr>Tags!PEFIRE_2017</vt:lpstr>
      <vt:lpstr>PEFIRE_2017</vt:lpstr>
      <vt:lpstr>Tags!PEFIRE_2018</vt:lpstr>
      <vt:lpstr>PEFIRE_2018</vt:lpstr>
      <vt:lpstr>Tags!PEFIRE_2019</vt:lpstr>
      <vt:lpstr>PEFIRE_2019</vt:lpstr>
      <vt:lpstr>Tags!PEFIRE_2020</vt:lpstr>
      <vt:lpstr>PEFIRE_2020</vt:lpstr>
      <vt:lpstr>PEFIRE_2021</vt:lpstr>
      <vt:lpstr>PEFIRE_2022</vt:lpstr>
      <vt:lpstr>PEFIRE_2023</vt:lpstr>
      <vt:lpstr>PEFIRE_2024</vt:lpstr>
      <vt:lpstr>Tags!PEFIRE_2Q00</vt:lpstr>
      <vt:lpstr>PEFIRE_2Q00</vt:lpstr>
      <vt:lpstr>Tags!PEFIRE_2Q01</vt:lpstr>
      <vt:lpstr>PEFIRE_2Q01</vt:lpstr>
      <vt:lpstr>Tags!PEFIRE_2Q02</vt:lpstr>
      <vt:lpstr>PEFIRE_2Q02</vt:lpstr>
      <vt:lpstr>Tags!PEFIRE_2Q03</vt:lpstr>
      <vt:lpstr>PEFIRE_2Q03</vt:lpstr>
      <vt:lpstr>Tags!PEFIRE_2Q04</vt:lpstr>
      <vt:lpstr>PEFIRE_2Q04</vt:lpstr>
      <vt:lpstr>Tags!PEFIRE_2Q05</vt:lpstr>
      <vt:lpstr>PEFIRE_2Q05</vt:lpstr>
      <vt:lpstr>Tags!PEFIRE_2Q06</vt:lpstr>
      <vt:lpstr>PEFIRE_2Q06</vt:lpstr>
      <vt:lpstr>Tags!PEFIRE_2Q07</vt:lpstr>
      <vt:lpstr>PEFIRE_2Q07</vt:lpstr>
      <vt:lpstr>Tags!PEFIRE_2Q08</vt:lpstr>
      <vt:lpstr>PEFIRE_2Q08</vt:lpstr>
      <vt:lpstr>Tags!PEFIRE_2Q09</vt:lpstr>
      <vt:lpstr>PEFIRE_2Q09</vt:lpstr>
      <vt:lpstr>Tags!PEFIRE_2Q10</vt:lpstr>
      <vt:lpstr>PEFIRE_2Q10</vt:lpstr>
      <vt:lpstr>Tags!PEFIRE_2Q11</vt:lpstr>
      <vt:lpstr>PEFIRE_2Q11</vt:lpstr>
      <vt:lpstr>Tags!PEFIRE_2Q12</vt:lpstr>
      <vt:lpstr>PEFIRE_2Q12</vt:lpstr>
      <vt:lpstr>Tags!PEFIRE_2Q13</vt:lpstr>
      <vt:lpstr>PEFIRE_2Q13</vt:lpstr>
      <vt:lpstr>Tags!PEFIRE_2Q14</vt:lpstr>
      <vt:lpstr>PEFIRE_2Q14</vt:lpstr>
      <vt:lpstr>Tags!PEFIRE_2Q15</vt:lpstr>
      <vt:lpstr>PEFIRE_2Q15</vt:lpstr>
      <vt:lpstr>Tags!PEFIRE_2Q16</vt:lpstr>
      <vt:lpstr>PEFIRE_2Q16</vt:lpstr>
      <vt:lpstr>Tags!PEFIRE_2Q17</vt:lpstr>
      <vt:lpstr>PEFIRE_2Q17</vt:lpstr>
      <vt:lpstr>Tags!PEFIRE_2Q18</vt:lpstr>
      <vt:lpstr>PEFIRE_2Q18</vt:lpstr>
      <vt:lpstr>Tags!PEFIRE_2Q19</vt:lpstr>
      <vt:lpstr>PEFIRE_2Q19</vt:lpstr>
      <vt:lpstr>Tags!PEFIRE_2Q20</vt:lpstr>
      <vt:lpstr>PEFIRE_2Q20</vt:lpstr>
      <vt:lpstr>PEFIRE_2Q21</vt:lpstr>
      <vt:lpstr>PEFIRE_2Q22</vt:lpstr>
      <vt:lpstr>PEFIRE_2Q23</vt:lpstr>
      <vt:lpstr>PEFIRE_2Q24</vt:lpstr>
      <vt:lpstr>Tags!PEFIRE_3Q00</vt:lpstr>
      <vt:lpstr>PEFIRE_3Q00</vt:lpstr>
      <vt:lpstr>Tags!PEFIRE_3Q01</vt:lpstr>
      <vt:lpstr>PEFIRE_3Q01</vt:lpstr>
      <vt:lpstr>Tags!PEFIRE_3Q02</vt:lpstr>
      <vt:lpstr>PEFIRE_3Q02</vt:lpstr>
      <vt:lpstr>Tags!PEFIRE_3Q03</vt:lpstr>
      <vt:lpstr>PEFIRE_3Q03</vt:lpstr>
      <vt:lpstr>Tags!PEFIRE_3Q04</vt:lpstr>
      <vt:lpstr>PEFIRE_3Q04</vt:lpstr>
      <vt:lpstr>Tags!PEFIRE_3Q05</vt:lpstr>
      <vt:lpstr>PEFIRE_3Q05</vt:lpstr>
      <vt:lpstr>Tags!PEFIRE_3Q06</vt:lpstr>
      <vt:lpstr>PEFIRE_3Q06</vt:lpstr>
      <vt:lpstr>Tags!PEFIRE_3Q07</vt:lpstr>
      <vt:lpstr>PEFIRE_3Q07</vt:lpstr>
      <vt:lpstr>Tags!PEFIRE_3Q08</vt:lpstr>
      <vt:lpstr>PEFIRE_3Q08</vt:lpstr>
      <vt:lpstr>Tags!PEFIRE_3Q09</vt:lpstr>
      <vt:lpstr>PEFIRE_3Q09</vt:lpstr>
      <vt:lpstr>Tags!PEFIRE_3Q10</vt:lpstr>
      <vt:lpstr>PEFIRE_3Q10</vt:lpstr>
      <vt:lpstr>Tags!PEFIRE_3Q11</vt:lpstr>
      <vt:lpstr>PEFIRE_3Q11</vt:lpstr>
      <vt:lpstr>Tags!PEFIRE_3Q12</vt:lpstr>
      <vt:lpstr>PEFIRE_3Q12</vt:lpstr>
      <vt:lpstr>Tags!PEFIRE_3Q13</vt:lpstr>
      <vt:lpstr>PEFIRE_3Q13</vt:lpstr>
      <vt:lpstr>Tags!PEFIRE_3Q14</vt:lpstr>
      <vt:lpstr>PEFIRE_3Q14</vt:lpstr>
      <vt:lpstr>Tags!PEFIRE_3Q15</vt:lpstr>
      <vt:lpstr>PEFIRE_3Q15</vt:lpstr>
      <vt:lpstr>Tags!PEFIRE_3Q16</vt:lpstr>
      <vt:lpstr>PEFIRE_3Q16</vt:lpstr>
      <vt:lpstr>Tags!PEFIRE_3Q17</vt:lpstr>
      <vt:lpstr>PEFIRE_3Q17</vt:lpstr>
      <vt:lpstr>Tags!PEFIRE_3Q18</vt:lpstr>
      <vt:lpstr>PEFIRE_3Q18</vt:lpstr>
      <vt:lpstr>Tags!PEFIRE_3Q19</vt:lpstr>
      <vt:lpstr>PEFIRE_3Q19</vt:lpstr>
      <vt:lpstr>Tags!PEFIRE_3Q20</vt:lpstr>
      <vt:lpstr>PEFIRE_3Q20</vt:lpstr>
      <vt:lpstr>PEFIRE_3Q21</vt:lpstr>
      <vt:lpstr>PEFIRE_3Q22</vt:lpstr>
      <vt:lpstr>PEFIRE_3Q23</vt:lpstr>
      <vt:lpstr>PEFIRE_3Q24</vt:lpstr>
      <vt:lpstr>Tags!PEFIRE_4Q00</vt:lpstr>
      <vt:lpstr>PEFIRE_4Q00</vt:lpstr>
      <vt:lpstr>Tags!PEFIRE_4Q01</vt:lpstr>
      <vt:lpstr>PEFIRE_4Q01</vt:lpstr>
      <vt:lpstr>Tags!PEFIRE_4Q02</vt:lpstr>
      <vt:lpstr>PEFIRE_4Q02</vt:lpstr>
      <vt:lpstr>Tags!PEFIRE_4Q03</vt:lpstr>
      <vt:lpstr>PEFIRE_4Q03</vt:lpstr>
      <vt:lpstr>Tags!PEFIRE_4Q04</vt:lpstr>
      <vt:lpstr>PEFIRE_4Q04</vt:lpstr>
      <vt:lpstr>Tags!PEFIRE_4Q05</vt:lpstr>
      <vt:lpstr>PEFIRE_4Q05</vt:lpstr>
      <vt:lpstr>Tags!PEFIRE_4Q06</vt:lpstr>
      <vt:lpstr>PEFIRE_4Q06</vt:lpstr>
      <vt:lpstr>Tags!PEFIRE_4Q07</vt:lpstr>
      <vt:lpstr>PEFIRE_4Q07</vt:lpstr>
      <vt:lpstr>Tags!PEFIRE_4Q08</vt:lpstr>
      <vt:lpstr>PEFIRE_4Q08</vt:lpstr>
      <vt:lpstr>Tags!PEFIRE_4Q09</vt:lpstr>
      <vt:lpstr>PEFIRE_4Q09</vt:lpstr>
      <vt:lpstr>Tags!PEFIRE_4Q10</vt:lpstr>
      <vt:lpstr>PEFIRE_4Q10</vt:lpstr>
      <vt:lpstr>Tags!PEFIRE_4Q11</vt:lpstr>
      <vt:lpstr>PEFIRE_4Q11</vt:lpstr>
      <vt:lpstr>Tags!PEFIRE_4Q12</vt:lpstr>
      <vt:lpstr>PEFIRE_4Q12</vt:lpstr>
      <vt:lpstr>Tags!PEFIRE_4Q13</vt:lpstr>
      <vt:lpstr>PEFIRE_4Q13</vt:lpstr>
      <vt:lpstr>Tags!PEFIRE_4Q14</vt:lpstr>
      <vt:lpstr>PEFIRE_4Q14</vt:lpstr>
      <vt:lpstr>Tags!PEFIRE_4Q15</vt:lpstr>
      <vt:lpstr>PEFIRE_4Q15</vt:lpstr>
      <vt:lpstr>Tags!PEFIRE_4Q16</vt:lpstr>
      <vt:lpstr>PEFIRE_4Q16</vt:lpstr>
      <vt:lpstr>Tags!PEFIRE_4Q17</vt:lpstr>
      <vt:lpstr>PEFIRE_4Q17</vt:lpstr>
      <vt:lpstr>Tags!PEFIRE_4Q18</vt:lpstr>
      <vt:lpstr>PEFIRE_4Q18</vt:lpstr>
      <vt:lpstr>Tags!PEFIRE_4Q19</vt:lpstr>
      <vt:lpstr>PEFIRE_4Q19</vt:lpstr>
      <vt:lpstr>Tags!PEFIRE_4Q20</vt:lpstr>
      <vt:lpstr>PEFIRE_4Q20</vt:lpstr>
      <vt:lpstr>PEFIRE_4Q21</vt:lpstr>
      <vt:lpstr>PEFIRE_4Q22</vt:lpstr>
      <vt:lpstr>PEFIRE_4Q23</vt:lpstr>
      <vt:lpstr>PEFIRE_4Q24</vt:lpstr>
      <vt:lpstr>PERCOS_1995</vt:lpstr>
      <vt:lpstr>PERCOS_1996</vt:lpstr>
      <vt:lpstr>PERCOS_1997</vt:lpstr>
      <vt:lpstr>PERCOS_1998</vt:lpstr>
      <vt:lpstr>PERCOS_1999</vt:lpstr>
      <vt:lpstr>Tags!PERCOS_1Q00</vt:lpstr>
      <vt:lpstr>PERCOS_1Q00</vt:lpstr>
      <vt:lpstr>Tags!PERCOS_1Q01</vt:lpstr>
      <vt:lpstr>PERCOS_1Q01</vt:lpstr>
      <vt:lpstr>Tags!PERCOS_1Q02</vt:lpstr>
      <vt:lpstr>PERCOS_1Q02</vt:lpstr>
      <vt:lpstr>Tags!PERCOS_1Q03</vt:lpstr>
      <vt:lpstr>PERCOS_1Q03</vt:lpstr>
      <vt:lpstr>Tags!PERCOS_1Q04</vt:lpstr>
      <vt:lpstr>PERCOS_1Q04</vt:lpstr>
      <vt:lpstr>Tags!PERCOS_1Q05</vt:lpstr>
      <vt:lpstr>PERCOS_1Q05</vt:lpstr>
      <vt:lpstr>Tags!PERCOS_1Q06</vt:lpstr>
      <vt:lpstr>PERCOS_1Q06</vt:lpstr>
      <vt:lpstr>Tags!PERCOS_1Q07</vt:lpstr>
      <vt:lpstr>PERCOS_1Q07</vt:lpstr>
      <vt:lpstr>Tags!PERCOS_1Q08</vt:lpstr>
      <vt:lpstr>PERCOS_1Q08</vt:lpstr>
      <vt:lpstr>Tags!PERCOS_1Q09</vt:lpstr>
      <vt:lpstr>PERCOS_1Q09</vt:lpstr>
      <vt:lpstr>Tags!PERCOS_1Q10</vt:lpstr>
      <vt:lpstr>PERCOS_1Q10</vt:lpstr>
      <vt:lpstr>Tags!PERCOS_1Q11</vt:lpstr>
      <vt:lpstr>PERCOS_1Q11</vt:lpstr>
      <vt:lpstr>Tags!PERCOS_1Q12</vt:lpstr>
      <vt:lpstr>PERCOS_1Q12</vt:lpstr>
      <vt:lpstr>Tags!PERCOS_1Q13</vt:lpstr>
      <vt:lpstr>PERCOS_1Q13</vt:lpstr>
      <vt:lpstr>Tags!PERCOS_1Q14</vt:lpstr>
      <vt:lpstr>PERCOS_1Q14</vt:lpstr>
      <vt:lpstr>Tags!PERCOS_1Q15</vt:lpstr>
      <vt:lpstr>PERCOS_1Q15</vt:lpstr>
      <vt:lpstr>Tags!PERCOS_1Q16</vt:lpstr>
      <vt:lpstr>PERCOS_1Q16</vt:lpstr>
      <vt:lpstr>Tags!PERCOS_1Q17</vt:lpstr>
      <vt:lpstr>PERCOS_1Q17</vt:lpstr>
      <vt:lpstr>Tags!PERCOS_1Q18</vt:lpstr>
      <vt:lpstr>PERCOS_1Q18</vt:lpstr>
      <vt:lpstr>Tags!PERCOS_1Q19</vt:lpstr>
      <vt:lpstr>PERCOS_1Q19</vt:lpstr>
      <vt:lpstr>Tags!PERCOS_1Q20</vt:lpstr>
      <vt:lpstr>PERCOS_1Q20</vt:lpstr>
      <vt:lpstr>PERCOS_1Q21</vt:lpstr>
      <vt:lpstr>PERCOS_1Q22</vt:lpstr>
      <vt:lpstr>PERCOS_1Q23</vt:lpstr>
      <vt:lpstr>PERCOS_1Q24</vt:lpstr>
      <vt:lpstr>Tags!PERCOS_2000</vt:lpstr>
      <vt:lpstr>PERCOS_2000</vt:lpstr>
      <vt:lpstr>Tags!PERCOS_2001</vt:lpstr>
      <vt:lpstr>PERCOS_2001</vt:lpstr>
      <vt:lpstr>Tags!PERCOS_2002</vt:lpstr>
      <vt:lpstr>PERCOS_2002</vt:lpstr>
      <vt:lpstr>Tags!PERCOS_2003</vt:lpstr>
      <vt:lpstr>PERCOS_2003</vt:lpstr>
      <vt:lpstr>Tags!PERCOS_2004</vt:lpstr>
      <vt:lpstr>PERCOS_2004</vt:lpstr>
      <vt:lpstr>Tags!PERCOS_2005</vt:lpstr>
      <vt:lpstr>PERCOS_2005</vt:lpstr>
      <vt:lpstr>Tags!PERCOS_2006</vt:lpstr>
      <vt:lpstr>PERCOS_2006</vt:lpstr>
      <vt:lpstr>Tags!PERCOS_2007</vt:lpstr>
      <vt:lpstr>PERCOS_2007</vt:lpstr>
      <vt:lpstr>Tags!PERCOS_2008</vt:lpstr>
      <vt:lpstr>PERCOS_2008</vt:lpstr>
      <vt:lpstr>Tags!PERCOS_2009</vt:lpstr>
      <vt:lpstr>PERCOS_2009</vt:lpstr>
      <vt:lpstr>Tags!PERCOS_2010</vt:lpstr>
      <vt:lpstr>PERCOS_2010</vt:lpstr>
      <vt:lpstr>Tags!PERCOS_2011</vt:lpstr>
      <vt:lpstr>PERCOS_2011</vt:lpstr>
      <vt:lpstr>Tags!PERCOS_2012</vt:lpstr>
      <vt:lpstr>PERCOS_2012</vt:lpstr>
      <vt:lpstr>Tags!PERCOS_2013</vt:lpstr>
      <vt:lpstr>PERCOS_2013</vt:lpstr>
      <vt:lpstr>Tags!PERCOS_2014</vt:lpstr>
      <vt:lpstr>PERCOS_2014</vt:lpstr>
      <vt:lpstr>PERCOS_2015</vt:lpstr>
      <vt:lpstr>Tags!PERCOS_2016</vt:lpstr>
      <vt:lpstr>PERCOS_2016</vt:lpstr>
      <vt:lpstr>Tags!PERCOS_2017</vt:lpstr>
      <vt:lpstr>PERCOS_2017</vt:lpstr>
      <vt:lpstr>Tags!PERCOS_2018</vt:lpstr>
      <vt:lpstr>PERCOS_2018</vt:lpstr>
      <vt:lpstr>Tags!PERCOS_2019</vt:lpstr>
      <vt:lpstr>PERCOS_2019</vt:lpstr>
      <vt:lpstr>Tags!PERCOS_2020</vt:lpstr>
      <vt:lpstr>PERCOS_2020</vt:lpstr>
      <vt:lpstr>PERCOS_2021</vt:lpstr>
      <vt:lpstr>PERCOS_2022</vt:lpstr>
      <vt:lpstr>PERCOS_2023</vt:lpstr>
      <vt:lpstr>PERCOS_2024</vt:lpstr>
      <vt:lpstr>Tags!PERCOS_2Q00</vt:lpstr>
      <vt:lpstr>PERCOS_2Q00</vt:lpstr>
      <vt:lpstr>Tags!PERCOS_2Q01</vt:lpstr>
      <vt:lpstr>PERCOS_2Q01</vt:lpstr>
      <vt:lpstr>Tags!PERCOS_2Q02</vt:lpstr>
      <vt:lpstr>PERCOS_2Q02</vt:lpstr>
      <vt:lpstr>Tags!PERCOS_2Q03</vt:lpstr>
      <vt:lpstr>PERCOS_2Q03</vt:lpstr>
      <vt:lpstr>Tags!PERCOS_2Q04</vt:lpstr>
      <vt:lpstr>PERCOS_2Q04</vt:lpstr>
      <vt:lpstr>Tags!PERCOS_2Q05</vt:lpstr>
      <vt:lpstr>PERCOS_2Q05</vt:lpstr>
      <vt:lpstr>Tags!PERCOS_2Q06</vt:lpstr>
      <vt:lpstr>PERCOS_2Q06</vt:lpstr>
      <vt:lpstr>Tags!PERCOS_2Q07</vt:lpstr>
      <vt:lpstr>PERCOS_2Q07</vt:lpstr>
      <vt:lpstr>Tags!PERCOS_2Q08</vt:lpstr>
      <vt:lpstr>PERCOS_2Q08</vt:lpstr>
      <vt:lpstr>Tags!PERCOS_2Q09</vt:lpstr>
      <vt:lpstr>PERCOS_2Q09</vt:lpstr>
      <vt:lpstr>Tags!PERCOS_2Q10</vt:lpstr>
      <vt:lpstr>PERCOS_2Q10</vt:lpstr>
      <vt:lpstr>Tags!PERCOS_2Q11</vt:lpstr>
      <vt:lpstr>PERCOS_2Q11</vt:lpstr>
      <vt:lpstr>Tags!PERCOS_2Q12</vt:lpstr>
      <vt:lpstr>PERCOS_2Q12</vt:lpstr>
      <vt:lpstr>Tags!PERCOS_2Q13</vt:lpstr>
      <vt:lpstr>PERCOS_2Q13</vt:lpstr>
      <vt:lpstr>Tags!PERCOS_2Q14</vt:lpstr>
      <vt:lpstr>PERCOS_2Q14</vt:lpstr>
      <vt:lpstr>Tags!PERCOS_2Q15</vt:lpstr>
      <vt:lpstr>PERCOS_2Q15</vt:lpstr>
      <vt:lpstr>Tags!PERCOS_2Q16</vt:lpstr>
      <vt:lpstr>PERCOS_2Q16</vt:lpstr>
      <vt:lpstr>Tags!PERCOS_2Q17</vt:lpstr>
      <vt:lpstr>PERCOS_2Q17</vt:lpstr>
      <vt:lpstr>Tags!PERCOS_2Q18</vt:lpstr>
      <vt:lpstr>PERCOS_2Q18</vt:lpstr>
      <vt:lpstr>Tags!PERCOS_2Q19</vt:lpstr>
      <vt:lpstr>PERCOS_2Q19</vt:lpstr>
      <vt:lpstr>Tags!PERCOS_2Q20</vt:lpstr>
      <vt:lpstr>PERCOS_2Q20</vt:lpstr>
      <vt:lpstr>PERCOS_2Q21</vt:lpstr>
      <vt:lpstr>PERCOS_2Q22</vt:lpstr>
      <vt:lpstr>PERCOS_2Q23</vt:lpstr>
      <vt:lpstr>PERCOS_2Q24</vt:lpstr>
      <vt:lpstr>Tags!PERCOS_3Q00</vt:lpstr>
      <vt:lpstr>PERCOS_3Q00</vt:lpstr>
      <vt:lpstr>Tags!PERCOS_3Q01</vt:lpstr>
      <vt:lpstr>PERCOS_3Q01</vt:lpstr>
      <vt:lpstr>Tags!PERCOS_3Q02</vt:lpstr>
      <vt:lpstr>PERCOS_3Q02</vt:lpstr>
      <vt:lpstr>Tags!PERCOS_3Q03</vt:lpstr>
      <vt:lpstr>PERCOS_3Q03</vt:lpstr>
      <vt:lpstr>Tags!PERCOS_3Q04</vt:lpstr>
      <vt:lpstr>PERCOS_3Q04</vt:lpstr>
      <vt:lpstr>Tags!PERCOS_3Q05</vt:lpstr>
      <vt:lpstr>PERCOS_3Q05</vt:lpstr>
      <vt:lpstr>Tags!PERCOS_3Q06</vt:lpstr>
      <vt:lpstr>PERCOS_3Q06</vt:lpstr>
      <vt:lpstr>Tags!PERCOS_3Q07</vt:lpstr>
      <vt:lpstr>PERCOS_3Q07</vt:lpstr>
      <vt:lpstr>Tags!PERCOS_3Q08</vt:lpstr>
      <vt:lpstr>PERCOS_3Q08</vt:lpstr>
      <vt:lpstr>Tags!PERCOS_3Q09</vt:lpstr>
      <vt:lpstr>PERCOS_3Q09</vt:lpstr>
      <vt:lpstr>Tags!PERCOS_3Q10</vt:lpstr>
      <vt:lpstr>PERCOS_3Q10</vt:lpstr>
      <vt:lpstr>Tags!PERCOS_3Q11</vt:lpstr>
      <vt:lpstr>PERCOS_3Q11</vt:lpstr>
      <vt:lpstr>Tags!PERCOS_3Q12</vt:lpstr>
      <vt:lpstr>PERCOS_3Q12</vt:lpstr>
      <vt:lpstr>Tags!PERCOS_3Q13</vt:lpstr>
      <vt:lpstr>PERCOS_3Q13</vt:lpstr>
      <vt:lpstr>Tags!PERCOS_3Q14</vt:lpstr>
      <vt:lpstr>PERCOS_3Q14</vt:lpstr>
      <vt:lpstr>Tags!PERCOS_3Q15</vt:lpstr>
      <vt:lpstr>PERCOS_3Q15</vt:lpstr>
      <vt:lpstr>Tags!PERCOS_3Q16</vt:lpstr>
      <vt:lpstr>PERCOS_3Q16</vt:lpstr>
      <vt:lpstr>Tags!PERCOS_3Q17</vt:lpstr>
      <vt:lpstr>PERCOS_3Q17</vt:lpstr>
      <vt:lpstr>Tags!PERCOS_3Q18</vt:lpstr>
      <vt:lpstr>PERCOS_3Q18</vt:lpstr>
      <vt:lpstr>Tags!PERCOS_3Q19</vt:lpstr>
      <vt:lpstr>PERCOS_3Q19</vt:lpstr>
      <vt:lpstr>Tags!PERCOS_3Q20</vt:lpstr>
      <vt:lpstr>PERCOS_3Q20</vt:lpstr>
      <vt:lpstr>PERCOS_3Q21</vt:lpstr>
      <vt:lpstr>PERCOS_3Q22</vt:lpstr>
      <vt:lpstr>PERCOS_3Q23</vt:lpstr>
      <vt:lpstr>PERCOS_3Q24</vt:lpstr>
      <vt:lpstr>Tags!PERCOS_4Q00</vt:lpstr>
      <vt:lpstr>PERCOS_4Q00</vt:lpstr>
      <vt:lpstr>Tags!PERCOS_4Q01</vt:lpstr>
      <vt:lpstr>PERCOS_4Q01</vt:lpstr>
      <vt:lpstr>Tags!PERCOS_4Q02</vt:lpstr>
      <vt:lpstr>PERCOS_4Q02</vt:lpstr>
      <vt:lpstr>Tags!PERCOS_4Q03</vt:lpstr>
      <vt:lpstr>PERCOS_4Q03</vt:lpstr>
      <vt:lpstr>Tags!PERCOS_4Q04</vt:lpstr>
      <vt:lpstr>PERCOS_4Q04</vt:lpstr>
      <vt:lpstr>Tags!PERCOS_4Q05</vt:lpstr>
      <vt:lpstr>PERCOS_4Q05</vt:lpstr>
      <vt:lpstr>Tags!PERCOS_4Q06</vt:lpstr>
      <vt:lpstr>PERCOS_4Q06</vt:lpstr>
      <vt:lpstr>Tags!PERCOS_4Q07</vt:lpstr>
      <vt:lpstr>PERCOS_4Q07</vt:lpstr>
      <vt:lpstr>Tags!PERCOS_4Q08</vt:lpstr>
      <vt:lpstr>PERCOS_4Q08</vt:lpstr>
      <vt:lpstr>Tags!PERCOS_4Q09</vt:lpstr>
      <vt:lpstr>PERCOS_4Q09</vt:lpstr>
      <vt:lpstr>Tags!PERCOS_4Q10</vt:lpstr>
      <vt:lpstr>PERCOS_4Q10</vt:lpstr>
      <vt:lpstr>Tags!PERCOS_4Q11</vt:lpstr>
      <vt:lpstr>PERCOS_4Q11</vt:lpstr>
      <vt:lpstr>Tags!PERCOS_4Q12</vt:lpstr>
      <vt:lpstr>PERCOS_4Q12</vt:lpstr>
      <vt:lpstr>Tags!PERCOS_4Q13</vt:lpstr>
      <vt:lpstr>PERCOS_4Q13</vt:lpstr>
      <vt:lpstr>Tags!PERCOS_4Q14</vt:lpstr>
      <vt:lpstr>PERCOS_4Q14</vt:lpstr>
      <vt:lpstr>Tags!PERCOS_4Q15</vt:lpstr>
      <vt:lpstr>PERCOS_4Q15</vt:lpstr>
      <vt:lpstr>Tags!PERCOS_4Q16</vt:lpstr>
      <vt:lpstr>PERCOS_4Q16</vt:lpstr>
      <vt:lpstr>Tags!PERCOS_4Q17</vt:lpstr>
      <vt:lpstr>PERCOS_4Q17</vt:lpstr>
      <vt:lpstr>Tags!PERCOS_4Q18</vt:lpstr>
      <vt:lpstr>PERCOS_4Q18</vt:lpstr>
      <vt:lpstr>Tags!PERCOS_4Q19</vt:lpstr>
      <vt:lpstr>PERCOS_4Q19</vt:lpstr>
      <vt:lpstr>Tags!PERCOS_4Q20</vt:lpstr>
      <vt:lpstr>PERCOS_4Q20</vt:lpstr>
      <vt:lpstr>PERCOS_4Q21</vt:lpstr>
      <vt:lpstr>PERCOS_4Q22</vt:lpstr>
      <vt:lpstr>PERCOS_4Q23</vt:lpstr>
      <vt:lpstr>PERCOS_4Q24</vt:lpstr>
      <vt:lpstr>PREFDV_1995</vt:lpstr>
      <vt:lpstr>PREFDV_1996</vt:lpstr>
      <vt:lpstr>PREFDV_1997</vt:lpstr>
      <vt:lpstr>PREFDV_1998</vt:lpstr>
      <vt:lpstr>PREFDV_1999</vt:lpstr>
      <vt:lpstr>Tags!PREFDV_1Q00</vt:lpstr>
      <vt:lpstr>PREFDV_1Q00</vt:lpstr>
      <vt:lpstr>Tags!PREFDV_1Q01</vt:lpstr>
      <vt:lpstr>PREFDV_1Q01</vt:lpstr>
      <vt:lpstr>Tags!PREFDV_1Q02</vt:lpstr>
      <vt:lpstr>PREFDV_1Q02</vt:lpstr>
      <vt:lpstr>Tags!PREFDV_1Q03</vt:lpstr>
      <vt:lpstr>PREFDV_1Q03</vt:lpstr>
      <vt:lpstr>Tags!PREFDV_1Q04</vt:lpstr>
      <vt:lpstr>PREFDV_1Q04</vt:lpstr>
      <vt:lpstr>Tags!PREFDV_1Q05</vt:lpstr>
      <vt:lpstr>PREFDV_1Q05</vt:lpstr>
      <vt:lpstr>Tags!PREFDV_1Q06</vt:lpstr>
      <vt:lpstr>PREFDV_1Q06</vt:lpstr>
      <vt:lpstr>Tags!PREFDV_1Q07</vt:lpstr>
      <vt:lpstr>PREFDV_1Q07</vt:lpstr>
      <vt:lpstr>Tags!PREFDV_1Q08</vt:lpstr>
      <vt:lpstr>PREFDV_1Q08</vt:lpstr>
      <vt:lpstr>Tags!PREFDV_1Q09</vt:lpstr>
      <vt:lpstr>PREFDV_1Q09</vt:lpstr>
      <vt:lpstr>Tags!PREFDV_1Q10</vt:lpstr>
      <vt:lpstr>PREFDV_1Q10</vt:lpstr>
      <vt:lpstr>Tags!PREFDV_1Q11</vt:lpstr>
      <vt:lpstr>PREFDV_1Q11</vt:lpstr>
      <vt:lpstr>Tags!PREFDV_1Q12</vt:lpstr>
      <vt:lpstr>PREFDV_1Q12</vt:lpstr>
      <vt:lpstr>Tags!PREFDV_1Q13</vt:lpstr>
      <vt:lpstr>PREFDV_1Q13</vt:lpstr>
      <vt:lpstr>Tags!PREFDV_1Q14</vt:lpstr>
      <vt:lpstr>PREFDV_1Q14</vt:lpstr>
      <vt:lpstr>Tags!PREFDV_1Q15</vt:lpstr>
      <vt:lpstr>PREFDV_1Q15</vt:lpstr>
      <vt:lpstr>Tags!PREFDV_1Q16</vt:lpstr>
      <vt:lpstr>PREFDV_1Q16</vt:lpstr>
      <vt:lpstr>Tags!PREFDV_1Q17</vt:lpstr>
      <vt:lpstr>PREFDV_1Q17</vt:lpstr>
      <vt:lpstr>Tags!PREFDV_1Q18</vt:lpstr>
      <vt:lpstr>PREFDV_1Q18</vt:lpstr>
      <vt:lpstr>Tags!PREFDV_1Q19</vt:lpstr>
      <vt:lpstr>PREFDV_1Q19</vt:lpstr>
      <vt:lpstr>Tags!PREFDV_1Q20</vt:lpstr>
      <vt:lpstr>PREFDV_1Q20</vt:lpstr>
      <vt:lpstr>PREFDV_1Q21</vt:lpstr>
      <vt:lpstr>PREFDV_1Q22</vt:lpstr>
      <vt:lpstr>PREFDV_1Q23</vt:lpstr>
      <vt:lpstr>PREFDV_1Q24</vt:lpstr>
      <vt:lpstr>Tags!PREFDV_2000</vt:lpstr>
      <vt:lpstr>PREFDV_2000</vt:lpstr>
      <vt:lpstr>Tags!PREFDV_2001</vt:lpstr>
      <vt:lpstr>PREFDV_2001</vt:lpstr>
      <vt:lpstr>Tags!PREFDV_2002</vt:lpstr>
      <vt:lpstr>PREFDV_2002</vt:lpstr>
      <vt:lpstr>Tags!PREFDV_2003</vt:lpstr>
      <vt:lpstr>PREFDV_2003</vt:lpstr>
      <vt:lpstr>Tags!PREFDV_2004</vt:lpstr>
      <vt:lpstr>PREFDV_2004</vt:lpstr>
      <vt:lpstr>Tags!PREFDV_2005</vt:lpstr>
      <vt:lpstr>PREFDV_2005</vt:lpstr>
      <vt:lpstr>Tags!PREFDV_2006</vt:lpstr>
      <vt:lpstr>PREFDV_2006</vt:lpstr>
      <vt:lpstr>Tags!PREFDV_2007</vt:lpstr>
      <vt:lpstr>PREFDV_2007</vt:lpstr>
      <vt:lpstr>Tags!PREFDV_2008</vt:lpstr>
      <vt:lpstr>PREFDV_2008</vt:lpstr>
      <vt:lpstr>Tags!PREFDV_2009</vt:lpstr>
      <vt:lpstr>PREFDV_2009</vt:lpstr>
      <vt:lpstr>Tags!PREFDV_2010</vt:lpstr>
      <vt:lpstr>PREFDV_2010</vt:lpstr>
      <vt:lpstr>Tags!PREFDV_2011</vt:lpstr>
      <vt:lpstr>PREFDV_2011</vt:lpstr>
      <vt:lpstr>Tags!PREFDV_2012</vt:lpstr>
      <vt:lpstr>PREFDV_2012</vt:lpstr>
      <vt:lpstr>Tags!PREFDV_2013</vt:lpstr>
      <vt:lpstr>PREFDV_2013</vt:lpstr>
      <vt:lpstr>Tags!PREFDV_2014</vt:lpstr>
      <vt:lpstr>PREFDV_2014</vt:lpstr>
      <vt:lpstr>PREFDV_2015</vt:lpstr>
      <vt:lpstr>Tags!PREFDV_2016</vt:lpstr>
      <vt:lpstr>PREFDV_2016</vt:lpstr>
      <vt:lpstr>Tags!PREFDV_2017</vt:lpstr>
      <vt:lpstr>PREFDV_2017</vt:lpstr>
      <vt:lpstr>Tags!PREFDV_2018</vt:lpstr>
      <vt:lpstr>PREFDV_2018</vt:lpstr>
      <vt:lpstr>Tags!PREFDV_2019</vt:lpstr>
      <vt:lpstr>PREFDV_2019</vt:lpstr>
      <vt:lpstr>Tags!PREFDV_2020</vt:lpstr>
      <vt:lpstr>PREFDV_2020</vt:lpstr>
      <vt:lpstr>PREFDV_2021</vt:lpstr>
      <vt:lpstr>PREFDV_2022</vt:lpstr>
      <vt:lpstr>PREFDV_2023</vt:lpstr>
      <vt:lpstr>PREFDV_2024</vt:lpstr>
      <vt:lpstr>Tags!PREFDV_2Q00</vt:lpstr>
      <vt:lpstr>PREFDV_2Q00</vt:lpstr>
      <vt:lpstr>Tags!PREFDV_2Q01</vt:lpstr>
      <vt:lpstr>PREFDV_2Q01</vt:lpstr>
      <vt:lpstr>Tags!PREFDV_2Q02</vt:lpstr>
      <vt:lpstr>PREFDV_2Q02</vt:lpstr>
      <vt:lpstr>Tags!PREFDV_2Q03</vt:lpstr>
      <vt:lpstr>PREFDV_2Q03</vt:lpstr>
      <vt:lpstr>Tags!PREFDV_2Q04</vt:lpstr>
      <vt:lpstr>PREFDV_2Q04</vt:lpstr>
      <vt:lpstr>Tags!PREFDV_2Q05</vt:lpstr>
      <vt:lpstr>PREFDV_2Q05</vt:lpstr>
      <vt:lpstr>Tags!PREFDV_2Q06</vt:lpstr>
      <vt:lpstr>PREFDV_2Q06</vt:lpstr>
      <vt:lpstr>Tags!PREFDV_2Q07</vt:lpstr>
      <vt:lpstr>PREFDV_2Q07</vt:lpstr>
      <vt:lpstr>Tags!PREFDV_2Q08</vt:lpstr>
      <vt:lpstr>PREFDV_2Q08</vt:lpstr>
      <vt:lpstr>Tags!PREFDV_2Q09</vt:lpstr>
      <vt:lpstr>PREFDV_2Q09</vt:lpstr>
      <vt:lpstr>Tags!PREFDV_2Q10</vt:lpstr>
      <vt:lpstr>PREFDV_2Q10</vt:lpstr>
      <vt:lpstr>Tags!PREFDV_2Q11</vt:lpstr>
      <vt:lpstr>PREFDV_2Q11</vt:lpstr>
      <vt:lpstr>Tags!PREFDV_2Q12</vt:lpstr>
      <vt:lpstr>PREFDV_2Q12</vt:lpstr>
      <vt:lpstr>Tags!PREFDV_2Q13</vt:lpstr>
      <vt:lpstr>PREFDV_2Q13</vt:lpstr>
      <vt:lpstr>Tags!PREFDV_2Q14</vt:lpstr>
      <vt:lpstr>PREFDV_2Q14</vt:lpstr>
      <vt:lpstr>Tags!PREFDV_2Q15</vt:lpstr>
      <vt:lpstr>PREFDV_2Q15</vt:lpstr>
      <vt:lpstr>Tags!PREFDV_2Q16</vt:lpstr>
      <vt:lpstr>PREFDV_2Q16</vt:lpstr>
      <vt:lpstr>Tags!PREFDV_2Q17</vt:lpstr>
      <vt:lpstr>PREFDV_2Q17</vt:lpstr>
      <vt:lpstr>Tags!PREFDV_2Q18</vt:lpstr>
      <vt:lpstr>PREFDV_2Q18</vt:lpstr>
      <vt:lpstr>Tags!PREFDV_2Q19</vt:lpstr>
      <vt:lpstr>PREFDV_2Q19</vt:lpstr>
      <vt:lpstr>Tags!PREFDV_2Q20</vt:lpstr>
      <vt:lpstr>PREFDV_2Q20</vt:lpstr>
      <vt:lpstr>PREFDV_2Q21</vt:lpstr>
      <vt:lpstr>PREFDV_2Q22</vt:lpstr>
      <vt:lpstr>PREFDV_2Q23</vt:lpstr>
      <vt:lpstr>PREFDV_2Q24</vt:lpstr>
      <vt:lpstr>Tags!PREFDV_3Q00</vt:lpstr>
      <vt:lpstr>PREFDV_3Q00</vt:lpstr>
      <vt:lpstr>Tags!PREFDV_3Q01</vt:lpstr>
      <vt:lpstr>PREFDV_3Q01</vt:lpstr>
      <vt:lpstr>Tags!PREFDV_3Q02</vt:lpstr>
      <vt:lpstr>PREFDV_3Q02</vt:lpstr>
      <vt:lpstr>Tags!PREFDV_3Q03</vt:lpstr>
      <vt:lpstr>PREFDV_3Q03</vt:lpstr>
      <vt:lpstr>Tags!PREFDV_3Q04</vt:lpstr>
      <vt:lpstr>PREFDV_3Q04</vt:lpstr>
      <vt:lpstr>Tags!PREFDV_3Q05</vt:lpstr>
      <vt:lpstr>PREFDV_3Q05</vt:lpstr>
      <vt:lpstr>Tags!PREFDV_3Q06</vt:lpstr>
      <vt:lpstr>PREFDV_3Q06</vt:lpstr>
      <vt:lpstr>Tags!PREFDV_3Q07</vt:lpstr>
      <vt:lpstr>PREFDV_3Q07</vt:lpstr>
      <vt:lpstr>Tags!PREFDV_3Q08</vt:lpstr>
      <vt:lpstr>PREFDV_3Q08</vt:lpstr>
      <vt:lpstr>Tags!PREFDV_3Q09</vt:lpstr>
      <vt:lpstr>PREFDV_3Q09</vt:lpstr>
      <vt:lpstr>Tags!PREFDV_3Q10</vt:lpstr>
      <vt:lpstr>PREFDV_3Q10</vt:lpstr>
      <vt:lpstr>Tags!PREFDV_3Q11</vt:lpstr>
      <vt:lpstr>PREFDV_3Q11</vt:lpstr>
      <vt:lpstr>Tags!PREFDV_3Q12</vt:lpstr>
      <vt:lpstr>PREFDV_3Q12</vt:lpstr>
      <vt:lpstr>Tags!PREFDV_3Q13</vt:lpstr>
      <vt:lpstr>PREFDV_3Q13</vt:lpstr>
      <vt:lpstr>Tags!PREFDV_3Q14</vt:lpstr>
      <vt:lpstr>PREFDV_3Q14</vt:lpstr>
      <vt:lpstr>Tags!PREFDV_3Q15</vt:lpstr>
      <vt:lpstr>PREFDV_3Q15</vt:lpstr>
      <vt:lpstr>Tags!PREFDV_3Q16</vt:lpstr>
      <vt:lpstr>PREFDV_3Q16</vt:lpstr>
      <vt:lpstr>Tags!PREFDV_3Q17</vt:lpstr>
      <vt:lpstr>PREFDV_3Q17</vt:lpstr>
      <vt:lpstr>Tags!PREFDV_3Q18</vt:lpstr>
      <vt:lpstr>PREFDV_3Q18</vt:lpstr>
      <vt:lpstr>Tags!PREFDV_3Q19</vt:lpstr>
      <vt:lpstr>PREFDV_3Q19</vt:lpstr>
      <vt:lpstr>Tags!PREFDV_3Q20</vt:lpstr>
      <vt:lpstr>PREFDV_3Q20</vt:lpstr>
      <vt:lpstr>PREFDV_3Q21</vt:lpstr>
      <vt:lpstr>PREFDV_3Q22</vt:lpstr>
      <vt:lpstr>PREFDV_3Q23</vt:lpstr>
      <vt:lpstr>PREFDV_3Q24</vt:lpstr>
      <vt:lpstr>Tags!PREFDV_4Q00</vt:lpstr>
      <vt:lpstr>PREFDV_4Q00</vt:lpstr>
      <vt:lpstr>Tags!PREFDV_4Q01</vt:lpstr>
      <vt:lpstr>PREFDV_4Q01</vt:lpstr>
      <vt:lpstr>Tags!PREFDV_4Q02</vt:lpstr>
      <vt:lpstr>PREFDV_4Q02</vt:lpstr>
      <vt:lpstr>Tags!PREFDV_4Q03</vt:lpstr>
      <vt:lpstr>PREFDV_4Q03</vt:lpstr>
      <vt:lpstr>Tags!PREFDV_4Q04</vt:lpstr>
      <vt:lpstr>PREFDV_4Q04</vt:lpstr>
      <vt:lpstr>Tags!PREFDV_4Q05</vt:lpstr>
      <vt:lpstr>PREFDV_4Q05</vt:lpstr>
      <vt:lpstr>Tags!PREFDV_4Q06</vt:lpstr>
      <vt:lpstr>PREFDV_4Q06</vt:lpstr>
      <vt:lpstr>Tags!PREFDV_4Q07</vt:lpstr>
      <vt:lpstr>PREFDV_4Q07</vt:lpstr>
      <vt:lpstr>Tags!PREFDV_4Q08</vt:lpstr>
      <vt:lpstr>PREFDV_4Q08</vt:lpstr>
      <vt:lpstr>Tags!PREFDV_4Q09</vt:lpstr>
      <vt:lpstr>PREFDV_4Q09</vt:lpstr>
      <vt:lpstr>Tags!PREFDV_4Q10</vt:lpstr>
      <vt:lpstr>PREFDV_4Q10</vt:lpstr>
      <vt:lpstr>Tags!PREFDV_4Q11</vt:lpstr>
      <vt:lpstr>PREFDV_4Q11</vt:lpstr>
      <vt:lpstr>Tags!PREFDV_4Q12</vt:lpstr>
      <vt:lpstr>PREFDV_4Q12</vt:lpstr>
      <vt:lpstr>Tags!PREFDV_4Q13</vt:lpstr>
      <vt:lpstr>PREFDV_4Q13</vt:lpstr>
      <vt:lpstr>Tags!PREFDV_4Q14</vt:lpstr>
      <vt:lpstr>PREFDV_4Q14</vt:lpstr>
      <vt:lpstr>Tags!PREFDV_4Q15</vt:lpstr>
      <vt:lpstr>PREFDV_4Q15</vt:lpstr>
      <vt:lpstr>Tags!PREFDV_4Q16</vt:lpstr>
      <vt:lpstr>PREFDV_4Q16</vt:lpstr>
      <vt:lpstr>Tags!PREFDV_4Q17</vt:lpstr>
      <vt:lpstr>PREFDV_4Q17</vt:lpstr>
      <vt:lpstr>Tags!PREFDV_4Q18</vt:lpstr>
      <vt:lpstr>PREFDV_4Q18</vt:lpstr>
      <vt:lpstr>Tags!PREFDV_4Q19</vt:lpstr>
      <vt:lpstr>PREFDV_4Q19</vt:lpstr>
      <vt:lpstr>Tags!PREFDV_4Q20</vt:lpstr>
      <vt:lpstr>PREFDV_4Q20</vt:lpstr>
      <vt:lpstr>PREFDV_4Q21</vt:lpstr>
      <vt:lpstr>PREFDV_4Q22</vt:lpstr>
      <vt:lpstr>PREFDV_4Q23</vt:lpstr>
      <vt:lpstr>PREFDV_4Q24</vt:lpstr>
      <vt:lpstr>PREFSC_1995</vt:lpstr>
      <vt:lpstr>PREFSC_1996</vt:lpstr>
      <vt:lpstr>PREFSC_1997</vt:lpstr>
      <vt:lpstr>PREFSC_1998</vt:lpstr>
      <vt:lpstr>PREFSC_1999</vt:lpstr>
      <vt:lpstr>Tags!PREFSC_1Q00</vt:lpstr>
      <vt:lpstr>PREFSC_1Q00</vt:lpstr>
      <vt:lpstr>Tags!PREFSC_1Q01</vt:lpstr>
      <vt:lpstr>PREFSC_1Q01</vt:lpstr>
      <vt:lpstr>Tags!PREFSC_1Q02</vt:lpstr>
      <vt:lpstr>PREFSC_1Q02</vt:lpstr>
      <vt:lpstr>Tags!PREFSC_1Q03</vt:lpstr>
      <vt:lpstr>PREFSC_1Q03</vt:lpstr>
      <vt:lpstr>Tags!PREFSC_1Q04</vt:lpstr>
      <vt:lpstr>PREFSC_1Q04</vt:lpstr>
      <vt:lpstr>Tags!PREFSC_1Q05</vt:lpstr>
      <vt:lpstr>PREFSC_1Q05</vt:lpstr>
      <vt:lpstr>Tags!PREFSC_1Q06</vt:lpstr>
      <vt:lpstr>PREFSC_1Q06</vt:lpstr>
      <vt:lpstr>Tags!PREFSC_1Q07</vt:lpstr>
      <vt:lpstr>PREFSC_1Q07</vt:lpstr>
      <vt:lpstr>Tags!PREFSC_1Q08</vt:lpstr>
      <vt:lpstr>PREFSC_1Q08</vt:lpstr>
      <vt:lpstr>Tags!PREFSC_1Q09</vt:lpstr>
      <vt:lpstr>PREFSC_1Q09</vt:lpstr>
      <vt:lpstr>Tags!PREFSC_1Q10</vt:lpstr>
      <vt:lpstr>PREFSC_1Q10</vt:lpstr>
      <vt:lpstr>Tags!PREFSC_1Q11</vt:lpstr>
      <vt:lpstr>PREFSC_1Q11</vt:lpstr>
      <vt:lpstr>Tags!PREFSC_1Q12</vt:lpstr>
      <vt:lpstr>PREFSC_1Q12</vt:lpstr>
      <vt:lpstr>Tags!PREFSC_1Q13</vt:lpstr>
      <vt:lpstr>PREFSC_1Q13</vt:lpstr>
      <vt:lpstr>Tags!PREFSC_1Q14</vt:lpstr>
      <vt:lpstr>PREFSC_1Q14</vt:lpstr>
      <vt:lpstr>Tags!PREFSC_1Q15</vt:lpstr>
      <vt:lpstr>PREFSC_1Q15</vt:lpstr>
      <vt:lpstr>Tags!PREFSC_1Q16</vt:lpstr>
      <vt:lpstr>PREFSC_1Q16</vt:lpstr>
      <vt:lpstr>Tags!PREFSC_1Q17</vt:lpstr>
      <vt:lpstr>PREFSC_1Q17</vt:lpstr>
      <vt:lpstr>Tags!PREFSC_1Q18</vt:lpstr>
      <vt:lpstr>PREFSC_1Q18</vt:lpstr>
      <vt:lpstr>Tags!PREFSC_1Q19</vt:lpstr>
      <vt:lpstr>PREFSC_1Q19</vt:lpstr>
      <vt:lpstr>Tags!PREFSC_1Q20</vt:lpstr>
      <vt:lpstr>PREFSC_1Q20</vt:lpstr>
      <vt:lpstr>PREFSC_1Q21</vt:lpstr>
      <vt:lpstr>PREFSC_1Q22</vt:lpstr>
      <vt:lpstr>PREFSC_1Q23</vt:lpstr>
      <vt:lpstr>PREFSC_1Q24</vt:lpstr>
      <vt:lpstr>Tags!PREFSC_2000</vt:lpstr>
      <vt:lpstr>PREFSC_2000</vt:lpstr>
      <vt:lpstr>Tags!PREFSC_2001</vt:lpstr>
      <vt:lpstr>PREFSC_2001</vt:lpstr>
      <vt:lpstr>Tags!PREFSC_2002</vt:lpstr>
      <vt:lpstr>PREFSC_2002</vt:lpstr>
      <vt:lpstr>Tags!PREFSC_2003</vt:lpstr>
      <vt:lpstr>PREFSC_2003</vt:lpstr>
      <vt:lpstr>Tags!PREFSC_2004</vt:lpstr>
      <vt:lpstr>PREFSC_2004</vt:lpstr>
      <vt:lpstr>Tags!PREFSC_2005</vt:lpstr>
      <vt:lpstr>PREFSC_2005</vt:lpstr>
      <vt:lpstr>Tags!PREFSC_2006</vt:lpstr>
      <vt:lpstr>PREFSC_2006</vt:lpstr>
      <vt:lpstr>Tags!PREFSC_2007</vt:lpstr>
      <vt:lpstr>PREFSC_2007</vt:lpstr>
      <vt:lpstr>Tags!PREFSC_2008</vt:lpstr>
      <vt:lpstr>PREFSC_2008</vt:lpstr>
      <vt:lpstr>Tags!PREFSC_2009</vt:lpstr>
      <vt:lpstr>PREFSC_2009</vt:lpstr>
      <vt:lpstr>Tags!PREFSC_2010</vt:lpstr>
      <vt:lpstr>PREFSC_2010</vt:lpstr>
      <vt:lpstr>Tags!PREFSC_2011</vt:lpstr>
      <vt:lpstr>PREFSC_2011</vt:lpstr>
      <vt:lpstr>Tags!PREFSC_2012</vt:lpstr>
      <vt:lpstr>PREFSC_2012</vt:lpstr>
      <vt:lpstr>Tags!PREFSC_2013</vt:lpstr>
      <vt:lpstr>PREFSC_2013</vt:lpstr>
      <vt:lpstr>Tags!PREFSC_2014</vt:lpstr>
      <vt:lpstr>PREFSC_2014</vt:lpstr>
      <vt:lpstr>PREFSC_2015</vt:lpstr>
      <vt:lpstr>Tags!PREFSC_2016</vt:lpstr>
      <vt:lpstr>PREFSC_2016</vt:lpstr>
      <vt:lpstr>Tags!PREFSC_2017</vt:lpstr>
      <vt:lpstr>PREFSC_2017</vt:lpstr>
      <vt:lpstr>Tags!PREFSC_2018</vt:lpstr>
      <vt:lpstr>PREFSC_2018</vt:lpstr>
      <vt:lpstr>Tags!PREFSC_2019</vt:lpstr>
      <vt:lpstr>PREFSC_2019</vt:lpstr>
      <vt:lpstr>Tags!PREFSC_2020</vt:lpstr>
      <vt:lpstr>PREFSC_2020</vt:lpstr>
      <vt:lpstr>PREFSC_2021</vt:lpstr>
      <vt:lpstr>PREFSC_2022</vt:lpstr>
      <vt:lpstr>PREFSC_2023</vt:lpstr>
      <vt:lpstr>PREFSC_2024</vt:lpstr>
      <vt:lpstr>Tags!PREFSC_2Q00</vt:lpstr>
      <vt:lpstr>PREFSC_2Q00</vt:lpstr>
      <vt:lpstr>Tags!PREFSC_2Q01</vt:lpstr>
      <vt:lpstr>PREFSC_2Q01</vt:lpstr>
      <vt:lpstr>Tags!PREFSC_2Q02</vt:lpstr>
      <vt:lpstr>PREFSC_2Q02</vt:lpstr>
      <vt:lpstr>Tags!PREFSC_2Q03</vt:lpstr>
      <vt:lpstr>PREFSC_2Q03</vt:lpstr>
      <vt:lpstr>Tags!PREFSC_2Q04</vt:lpstr>
      <vt:lpstr>PREFSC_2Q04</vt:lpstr>
      <vt:lpstr>Tags!PREFSC_2Q05</vt:lpstr>
      <vt:lpstr>PREFSC_2Q05</vt:lpstr>
      <vt:lpstr>Tags!PREFSC_2Q06</vt:lpstr>
      <vt:lpstr>PREFSC_2Q06</vt:lpstr>
      <vt:lpstr>Tags!PREFSC_2Q07</vt:lpstr>
      <vt:lpstr>PREFSC_2Q07</vt:lpstr>
      <vt:lpstr>Tags!PREFSC_2Q08</vt:lpstr>
      <vt:lpstr>PREFSC_2Q08</vt:lpstr>
      <vt:lpstr>Tags!PREFSC_2Q09</vt:lpstr>
      <vt:lpstr>PREFSC_2Q09</vt:lpstr>
      <vt:lpstr>Tags!PREFSC_2Q10</vt:lpstr>
      <vt:lpstr>PREFSC_2Q10</vt:lpstr>
      <vt:lpstr>Tags!PREFSC_2Q11</vt:lpstr>
      <vt:lpstr>PREFSC_2Q11</vt:lpstr>
      <vt:lpstr>Tags!PREFSC_2Q12</vt:lpstr>
      <vt:lpstr>PREFSC_2Q12</vt:lpstr>
      <vt:lpstr>Tags!PREFSC_2Q13</vt:lpstr>
      <vt:lpstr>PREFSC_2Q13</vt:lpstr>
      <vt:lpstr>Tags!PREFSC_2Q14</vt:lpstr>
      <vt:lpstr>PREFSC_2Q14</vt:lpstr>
      <vt:lpstr>Tags!PREFSC_2Q15</vt:lpstr>
      <vt:lpstr>PREFSC_2Q15</vt:lpstr>
      <vt:lpstr>Tags!PREFSC_2Q16</vt:lpstr>
      <vt:lpstr>PREFSC_2Q16</vt:lpstr>
      <vt:lpstr>Tags!PREFSC_2Q17</vt:lpstr>
      <vt:lpstr>PREFSC_2Q17</vt:lpstr>
      <vt:lpstr>Tags!PREFSC_2Q18</vt:lpstr>
      <vt:lpstr>PREFSC_2Q18</vt:lpstr>
      <vt:lpstr>Tags!PREFSC_2Q19</vt:lpstr>
      <vt:lpstr>PREFSC_2Q19</vt:lpstr>
      <vt:lpstr>Tags!PREFSC_2Q20</vt:lpstr>
      <vt:lpstr>PREFSC_2Q20</vt:lpstr>
      <vt:lpstr>PREFSC_2Q21</vt:lpstr>
      <vt:lpstr>PREFSC_2Q22</vt:lpstr>
      <vt:lpstr>PREFSC_2Q23</vt:lpstr>
      <vt:lpstr>PREFSC_2Q24</vt:lpstr>
      <vt:lpstr>Tags!PREFSC_3Q00</vt:lpstr>
      <vt:lpstr>PREFSC_3Q00</vt:lpstr>
      <vt:lpstr>Tags!PREFSC_3Q01</vt:lpstr>
      <vt:lpstr>PREFSC_3Q01</vt:lpstr>
      <vt:lpstr>Tags!PREFSC_3Q02</vt:lpstr>
      <vt:lpstr>PREFSC_3Q02</vt:lpstr>
      <vt:lpstr>Tags!PREFSC_3Q03</vt:lpstr>
      <vt:lpstr>PREFSC_3Q03</vt:lpstr>
      <vt:lpstr>Tags!PREFSC_3Q04</vt:lpstr>
      <vt:lpstr>PREFSC_3Q04</vt:lpstr>
      <vt:lpstr>Tags!PREFSC_3Q05</vt:lpstr>
      <vt:lpstr>PREFSC_3Q05</vt:lpstr>
      <vt:lpstr>Tags!PREFSC_3Q06</vt:lpstr>
      <vt:lpstr>PREFSC_3Q06</vt:lpstr>
      <vt:lpstr>Tags!PREFSC_3Q07</vt:lpstr>
      <vt:lpstr>PREFSC_3Q07</vt:lpstr>
      <vt:lpstr>Tags!PREFSC_3Q08</vt:lpstr>
      <vt:lpstr>PREFSC_3Q08</vt:lpstr>
      <vt:lpstr>Tags!PREFSC_3Q09</vt:lpstr>
      <vt:lpstr>PREFSC_3Q09</vt:lpstr>
      <vt:lpstr>Tags!PREFSC_3Q10</vt:lpstr>
      <vt:lpstr>PREFSC_3Q10</vt:lpstr>
      <vt:lpstr>Tags!PREFSC_3Q11</vt:lpstr>
      <vt:lpstr>PREFSC_3Q11</vt:lpstr>
      <vt:lpstr>Tags!PREFSC_3Q12</vt:lpstr>
      <vt:lpstr>PREFSC_3Q12</vt:lpstr>
      <vt:lpstr>Tags!PREFSC_3Q13</vt:lpstr>
      <vt:lpstr>PREFSC_3Q13</vt:lpstr>
      <vt:lpstr>Tags!PREFSC_3Q14</vt:lpstr>
      <vt:lpstr>PREFSC_3Q14</vt:lpstr>
      <vt:lpstr>Tags!PREFSC_3Q15</vt:lpstr>
      <vt:lpstr>PREFSC_3Q15</vt:lpstr>
      <vt:lpstr>Tags!PREFSC_3Q16</vt:lpstr>
      <vt:lpstr>PREFSC_3Q16</vt:lpstr>
      <vt:lpstr>Tags!PREFSC_3Q17</vt:lpstr>
      <vt:lpstr>PREFSC_3Q17</vt:lpstr>
      <vt:lpstr>Tags!PREFSC_3Q18</vt:lpstr>
      <vt:lpstr>PREFSC_3Q18</vt:lpstr>
      <vt:lpstr>Tags!PREFSC_3Q19</vt:lpstr>
      <vt:lpstr>PREFSC_3Q19</vt:lpstr>
      <vt:lpstr>Tags!PREFSC_3Q20</vt:lpstr>
      <vt:lpstr>PREFSC_3Q20</vt:lpstr>
      <vt:lpstr>PREFSC_3Q21</vt:lpstr>
      <vt:lpstr>PREFSC_3Q22</vt:lpstr>
      <vt:lpstr>PREFSC_3Q23</vt:lpstr>
      <vt:lpstr>PREFSC_3Q24</vt:lpstr>
      <vt:lpstr>Tags!PREFSC_4Q00</vt:lpstr>
      <vt:lpstr>PREFSC_4Q00</vt:lpstr>
      <vt:lpstr>Tags!PREFSC_4Q01</vt:lpstr>
      <vt:lpstr>PREFSC_4Q01</vt:lpstr>
      <vt:lpstr>Tags!PREFSC_4Q02</vt:lpstr>
      <vt:lpstr>PREFSC_4Q02</vt:lpstr>
      <vt:lpstr>Tags!PREFSC_4Q03</vt:lpstr>
      <vt:lpstr>PREFSC_4Q03</vt:lpstr>
      <vt:lpstr>Tags!PREFSC_4Q04</vt:lpstr>
      <vt:lpstr>PREFSC_4Q04</vt:lpstr>
      <vt:lpstr>Tags!PREFSC_4Q05</vt:lpstr>
      <vt:lpstr>PREFSC_4Q05</vt:lpstr>
      <vt:lpstr>Tags!PREFSC_4Q06</vt:lpstr>
      <vt:lpstr>PREFSC_4Q06</vt:lpstr>
      <vt:lpstr>Tags!PREFSC_4Q07</vt:lpstr>
      <vt:lpstr>PREFSC_4Q07</vt:lpstr>
      <vt:lpstr>Tags!PREFSC_4Q08</vt:lpstr>
      <vt:lpstr>PREFSC_4Q08</vt:lpstr>
      <vt:lpstr>Tags!PREFSC_4Q09</vt:lpstr>
      <vt:lpstr>PREFSC_4Q09</vt:lpstr>
      <vt:lpstr>Tags!PREFSC_4Q10</vt:lpstr>
      <vt:lpstr>PREFSC_4Q10</vt:lpstr>
      <vt:lpstr>Tags!PREFSC_4Q11</vt:lpstr>
      <vt:lpstr>PREFSC_4Q11</vt:lpstr>
      <vt:lpstr>Tags!PREFSC_4Q12</vt:lpstr>
      <vt:lpstr>PREFSC_4Q12</vt:lpstr>
      <vt:lpstr>Tags!PREFSC_4Q13</vt:lpstr>
      <vt:lpstr>PREFSC_4Q13</vt:lpstr>
      <vt:lpstr>Tags!PREFSC_4Q14</vt:lpstr>
      <vt:lpstr>PREFSC_4Q14</vt:lpstr>
      <vt:lpstr>Tags!PREFSC_4Q15</vt:lpstr>
      <vt:lpstr>PREFSC_4Q15</vt:lpstr>
      <vt:lpstr>Tags!PREFSC_4Q16</vt:lpstr>
      <vt:lpstr>PREFSC_4Q16</vt:lpstr>
      <vt:lpstr>Tags!PREFSC_4Q17</vt:lpstr>
      <vt:lpstr>PREFSC_4Q17</vt:lpstr>
      <vt:lpstr>Tags!PREFSC_4Q18</vt:lpstr>
      <vt:lpstr>PREFSC_4Q18</vt:lpstr>
      <vt:lpstr>Tags!PREFSC_4Q19</vt:lpstr>
      <vt:lpstr>PREFSC_4Q19</vt:lpstr>
      <vt:lpstr>Tags!PREFSC_4Q20</vt:lpstr>
      <vt:lpstr>PREFSC_4Q20</vt:lpstr>
      <vt:lpstr>PREFSC_4Q21</vt:lpstr>
      <vt:lpstr>PREFSC_4Q22</vt:lpstr>
      <vt:lpstr>PREFSC_4Q23</vt:lpstr>
      <vt:lpstr>PREFSC_4Q24</vt:lpstr>
      <vt:lpstr>'Balance Sheet'!Print_Area</vt:lpstr>
      <vt:lpstr>Forecasts!Print_Area</vt:lpstr>
      <vt:lpstr>'Income Statement'!Print_Area</vt:lpstr>
      <vt:lpstr>PROVBL_1995</vt:lpstr>
      <vt:lpstr>PROVBL_1996</vt:lpstr>
      <vt:lpstr>PROVBL_1997</vt:lpstr>
      <vt:lpstr>PROVBL_1998</vt:lpstr>
      <vt:lpstr>PROVBL_1999</vt:lpstr>
      <vt:lpstr>Tags!PROVBL_1Q00</vt:lpstr>
      <vt:lpstr>PROVBL_1Q00</vt:lpstr>
      <vt:lpstr>Tags!PROVBL_1Q01</vt:lpstr>
      <vt:lpstr>PROVBL_1Q01</vt:lpstr>
      <vt:lpstr>Tags!PROVBL_1Q02</vt:lpstr>
      <vt:lpstr>PROVBL_1Q02</vt:lpstr>
      <vt:lpstr>Tags!PROVBL_1Q03</vt:lpstr>
      <vt:lpstr>PROVBL_1Q03</vt:lpstr>
      <vt:lpstr>Tags!PROVBL_1Q04</vt:lpstr>
      <vt:lpstr>PROVBL_1Q04</vt:lpstr>
      <vt:lpstr>Tags!PROVBL_1Q05</vt:lpstr>
      <vt:lpstr>PROVBL_1Q05</vt:lpstr>
      <vt:lpstr>Tags!PROVBL_1Q06</vt:lpstr>
      <vt:lpstr>PROVBL_1Q06</vt:lpstr>
      <vt:lpstr>Tags!PROVBL_1Q07</vt:lpstr>
      <vt:lpstr>PROVBL_1Q07</vt:lpstr>
      <vt:lpstr>Tags!PROVBL_1Q08</vt:lpstr>
      <vt:lpstr>PROVBL_1Q08</vt:lpstr>
      <vt:lpstr>Tags!PROVBL_1Q09</vt:lpstr>
      <vt:lpstr>PROVBL_1Q09</vt:lpstr>
      <vt:lpstr>Tags!PROVBL_1Q10</vt:lpstr>
      <vt:lpstr>PROVBL_1Q10</vt:lpstr>
      <vt:lpstr>Tags!PROVBL_1Q11</vt:lpstr>
      <vt:lpstr>PROVBL_1Q11</vt:lpstr>
      <vt:lpstr>Tags!PROVBL_1Q12</vt:lpstr>
      <vt:lpstr>PROVBL_1Q12</vt:lpstr>
      <vt:lpstr>Tags!PROVBL_1Q13</vt:lpstr>
      <vt:lpstr>PROVBL_1Q13</vt:lpstr>
      <vt:lpstr>Tags!PROVBL_1Q14</vt:lpstr>
      <vt:lpstr>PROVBL_1Q14</vt:lpstr>
      <vt:lpstr>Tags!PROVBL_1Q15</vt:lpstr>
      <vt:lpstr>PROVBL_1Q15</vt:lpstr>
      <vt:lpstr>Tags!PROVBL_1Q16</vt:lpstr>
      <vt:lpstr>PROVBL_1Q16</vt:lpstr>
      <vt:lpstr>Tags!PROVBL_1Q17</vt:lpstr>
      <vt:lpstr>PROVBL_1Q17</vt:lpstr>
      <vt:lpstr>Tags!PROVBL_1Q18</vt:lpstr>
      <vt:lpstr>PROVBL_1Q18</vt:lpstr>
      <vt:lpstr>Tags!PROVBL_1Q19</vt:lpstr>
      <vt:lpstr>PROVBL_1Q19</vt:lpstr>
      <vt:lpstr>Tags!PROVBL_1Q20</vt:lpstr>
      <vt:lpstr>PROVBL_1Q20</vt:lpstr>
      <vt:lpstr>PROVBL_1Q21</vt:lpstr>
      <vt:lpstr>PROVBL_1Q22</vt:lpstr>
      <vt:lpstr>PROVBL_1Q23</vt:lpstr>
      <vt:lpstr>PROVBL_1Q24</vt:lpstr>
      <vt:lpstr>Tags!PROVBL_2000</vt:lpstr>
      <vt:lpstr>PROVBL_2000</vt:lpstr>
      <vt:lpstr>Tags!PROVBL_2001</vt:lpstr>
      <vt:lpstr>PROVBL_2001</vt:lpstr>
      <vt:lpstr>Tags!PROVBL_2002</vt:lpstr>
      <vt:lpstr>PROVBL_2002</vt:lpstr>
      <vt:lpstr>Tags!PROVBL_2003</vt:lpstr>
      <vt:lpstr>PROVBL_2003</vt:lpstr>
      <vt:lpstr>Tags!PROVBL_2004</vt:lpstr>
      <vt:lpstr>PROVBL_2004</vt:lpstr>
      <vt:lpstr>Tags!PROVBL_2005</vt:lpstr>
      <vt:lpstr>PROVBL_2005</vt:lpstr>
      <vt:lpstr>Tags!PROVBL_2006</vt:lpstr>
      <vt:lpstr>PROVBL_2006</vt:lpstr>
      <vt:lpstr>Tags!PROVBL_2007</vt:lpstr>
      <vt:lpstr>PROVBL_2007</vt:lpstr>
      <vt:lpstr>Tags!PROVBL_2008</vt:lpstr>
      <vt:lpstr>PROVBL_2008</vt:lpstr>
      <vt:lpstr>Tags!PROVBL_2009</vt:lpstr>
      <vt:lpstr>PROVBL_2009</vt:lpstr>
      <vt:lpstr>Tags!PROVBL_2010</vt:lpstr>
      <vt:lpstr>PROVBL_2010</vt:lpstr>
      <vt:lpstr>Tags!PROVBL_2011</vt:lpstr>
      <vt:lpstr>PROVBL_2011</vt:lpstr>
      <vt:lpstr>Tags!PROVBL_2012</vt:lpstr>
      <vt:lpstr>PROVBL_2012</vt:lpstr>
      <vt:lpstr>Tags!PROVBL_2013</vt:lpstr>
      <vt:lpstr>PROVBL_2013</vt:lpstr>
      <vt:lpstr>Tags!PROVBL_2014</vt:lpstr>
      <vt:lpstr>PROVBL_2014</vt:lpstr>
      <vt:lpstr>PROVBL_2015</vt:lpstr>
      <vt:lpstr>Tags!PROVBL_2016</vt:lpstr>
      <vt:lpstr>PROVBL_2016</vt:lpstr>
      <vt:lpstr>Tags!PROVBL_2017</vt:lpstr>
      <vt:lpstr>PROVBL_2017</vt:lpstr>
      <vt:lpstr>Tags!PROVBL_2018</vt:lpstr>
      <vt:lpstr>PROVBL_2018</vt:lpstr>
      <vt:lpstr>Tags!PROVBL_2019</vt:lpstr>
      <vt:lpstr>PROVBL_2019</vt:lpstr>
      <vt:lpstr>Tags!PROVBL_2020</vt:lpstr>
      <vt:lpstr>PROVBL_2020</vt:lpstr>
      <vt:lpstr>PROVBL_2021</vt:lpstr>
      <vt:lpstr>PROVBL_2022</vt:lpstr>
      <vt:lpstr>PROVBL_2023</vt:lpstr>
      <vt:lpstr>PROVBL_2024</vt:lpstr>
      <vt:lpstr>Tags!PROVBL_2Q00</vt:lpstr>
      <vt:lpstr>PROVBL_2Q00</vt:lpstr>
      <vt:lpstr>Tags!PROVBL_2Q01</vt:lpstr>
      <vt:lpstr>PROVBL_2Q01</vt:lpstr>
      <vt:lpstr>Tags!PROVBL_2Q02</vt:lpstr>
      <vt:lpstr>PROVBL_2Q02</vt:lpstr>
      <vt:lpstr>Tags!PROVBL_2Q03</vt:lpstr>
      <vt:lpstr>PROVBL_2Q03</vt:lpstr>
      <vt:lpstr>Tags!PROVBL_2Q04</vt:lpstr>
      <vt:lpstr>PROVBL_2Q04</vt:lpstr>
      <vt:lpstr>Tags!PROVBL_2Q05</vt:lpstr>
      <vt:lpstr>PROVBL_2Q05</vt:lpstr>
      <vt:lpstr>Tags!PROVBL_2Q06</vt:lpstr>
      <vt:lpstr>PROVBL_2Q06</vt:lpstr>
      <vt:lpstr>Tags!PROVBL_2Q07</vt:lpstr>
      <vt:lpstr>PROVBL_2Q07</vt:lpstr>
      <vt:lpstr>Tags!PROVBL_2Q08</vt:lpstr>
      <vt:lpstr>PROVBL_2Q08</vt:lpstr>
      <vt:lpstr>Tags!PROVBL_2Q09</vt:lpstr>
      <vt:lpstr>PROVBL_2Q09</vt:lpstr>
      <vt:lpstr>Tags!PROVBL_2Q10</vt:lpstr>
      <vt:lpstr>PROVBL_2Q10</vt:lpstr>
      <vt:lpstr>Tags!PROVBL_2Q11</vt:lpstr>
      <vt:lpstr>PROVBL_2Q11</vt:lpstr>
      <vt:lpstr>Tags!PROVBL_2Q12</vt:lpstr>
      <vt:lpstr>PROVBL_2Q12</vt:lpstr>
      <vt:lpstr>Tags!PROVBL_2Q13</vt:lpstr>
      <vt:lpstr>PROVBL_2Q13</vt:lpstr>
      <vt:lpstr>Tags!PROVBL_2Q14</vt:lpstr>
      <vt:lpstr>PROVBL_2Q14</vt:lpstr>
      <vt:lpstr>Tags!PROVBL_2Q15</vt:lpstr>
      <vt:lpstr>PROVBL_2Q15</vt:lpstr>
      <vt:lpstr>Tags!PROVBL_2Q16</vt:lpstr>
      <vt:lpstr>PROVBL_2Q16</vt:lpstr>
      <vt:lpstr>Tags!PROVBL_2Q17</vt:lpstr>
      <vt:lpstr>PROVBL_2Q17</vt:lpstr>
      <vt:lpstr>Tags!PROVBL_2Q18</vt:lpstr>
      <vt:lpstr>PROVBL_2Q18</vt:lpstr>
      <vt:lpstr>Tags!PROVBL_2Q19</vt:lpstr>
      <vt:lpstr>PROVBL_2Q19</vt:lpstr>
      <vt:lpstr>Tags!PROVBL_2Q20</vt:lpstr>
      <vt:lpstr>PROVBL_2Q20</vt:lpstr>
      <vt:lpstr>PROVBL_2Q21</vt:lpstr>
      <vt:lpstr>PROVBL_2Q22</vt:lpstr>
      <vt:lpstr>PROVBL_2Q23</vt:lpstr>
      <vt:lpstr>PROVBL_2Q24</vt:lpstr>
      <vt:lpstr>Tags!PROVBL_3Q00</vt:lpstr>
      <vt:lpstr>PROVBL_3Q00</vt:lpstr>
      <vt:lpstr>Tags!PROVBL_3Q01</vt:lpstr>
      <vt:lpstr>PROVBL_3Q01</vt:lpstr>
      <vt:lpstr>Tags!PROVBL_3Q02</vt:lpstr>
      <vt:lpstr>PROVBL_3Q02</vt:lpstr>
      <vt:lpstr>Tags!PROVBL_3Q03</vt:lpstr>
      <vt:lpstr>PROVBL_3Q03</vt:lpstr>
      <vt:lpstr>Tags!PROVBL_3Q04</vt:lpstr>
      <vt:lpstr>PROVBL_3Q04</vt:lpstr>
      <vt:lpstr>Tags!PROVBL_3Q05</vt:lpstr>
      <vt:lpstr>PROVBL_3Q05</vt:lpstr>
      <vt:lpstr>Tags!PROVBL_3Q06</vt:lpstr>
      <vt:lpstr>PROVBL_3Q06</vt:lpstr>
      <vt:lpstr>Tags!PROVBL_3Q07</vt:lpstr>
      <vt:lpstr>PROVBL_3Q07</vt:lpstr>
      <vt:lpstr>Tags!PROVBL_3Q08</vt:lpstr>
      <vt:lpstr>PROVBL_3Q08</vt:lpstr>
      <vt:lpstr>Tags!PROVBL_3Q09</vt:lpstr>
      <vt:lpstr>PROVBL_3Q09</vt:lpstr>
      <vt:lpstr>Tags!PROVBL_3Q10</vt:lpstr>
      <vt:lpstr>PROVBL_3Q10</vt:lpstr>
      <vt:lpstr>Tags!PROVBL_3Q11</vt:lpstr>
      <vt:lpstr>PROVBL_3Q11</vt:lpstr>
      <vt:lpstr>Tags!PROVBL_3Q12</vt:lpstr>
      <vt:lpstr>PROVBL_3Q12</vt:lpstr>
      <vt:lpstr>Tags!PROVBL_3Q13</vt:lpstr>
      <vt:lpstr>PROVBL_3Q13</vt:lpstr>
      <vt:lpstr>Tags!PROVBL_3Q14</vt:lpstr>
      <vt:lpstr>PROVBL_3Q14</vt:lpstr>
      <vt:lpstr>Tags!PROVBL_3Q15</vt:lpstr>
      <vt:lpstr>PROVBL_3Q15</vt:lpstr>
      <vt:lpstr>Tags!PROVBL_3Q16</vt:lpstr>
      <vt:lpstr>PROVBL_3Q16</vt:lpstr>
      <vt:lpstr>Tags!PROVBL_3Q17</vt:lpstr>
      <vt:lpstr>PROVBL_3Q17</vt:lpstr>
      <vt:lpstr>Tags!PROVBL_3Q18</vt:lpstr>
      <vt:lpstr>PROVBL_3Q18</vt:lpstr>
      <vt:lpstr>Tags!PROVBL_3Q19</vt:lpstr>
      <vt:lpstr>PROVBL_3Q19</vt:lpstr>
      <vt:lpstr>Tags!PROVBL_3Q20</vt:lpstr>
      <vt:lpstr>PROVBL_3Q20</vt:lpstr>
      <vt:lpstr>PROVBL_3Q21</vt:lpstr>
      <vt:lpstr>PROVBL_3Q22</vt:lpstr>
      <vt:lpstr>PROVBL_3Q23</vt:lpstr>
      <vt:lpstr>PROVBL_3Q24</vt:lpstr>
      <vt:lpstr>Tags!PROVBL_4Q00</vt:lpstr>
      <vt:lpstr>PROVBL_4Q00</vt:lpstr>
      <vt:lpstr>Tags!PROVBL_4Q01</vt:lpstr>
      <vt:lpstr>PROVBL_4Q01</vt:lpstr>
      <vt:lpstr>Tags!PROVBL_4Q02</vt:lpstr>
      <vt:lpstr>PROVBL_4Q02</vt:lpstr>
      <vt:lpstr>Tags!PROVBL_4Q03</vt:lpstr>
      <vt:lpstr>PROVBL_4Q03</vt:lpstr>
      <vt:lpstr>Tags!PROVBL_4Q04</vt:lpstr>
      <vt:lpstr>PROVBL_4Q04</vt:lpstr>
      <vt:lpstr>Tags!PROVBL_4Q05</vt:lpstr>
      <vt:lpstr>PROVBL_4Q05</vt:lpstr>
      <vt:lpstr>Tags!PROVBL_4Q06</vt:lpstr>
      <vt:lpstr>PROVBL_4Q06</vt:lpstr>
      <vt:lpstr>Tags!PROVBL_4Q07</vt:lpstr>
      <vt:lpstr>PROVBL_4Q07</vt:lpstr>
      <vt:lpstr>Tags!PROVBL_4Q08</vt:lpstr>
      <vt:lpstr>PROVBL_4Q08</vt:lpstr>
      <vt:lpstr>Tags!PROVBL_4Q09</vt:lpstr>
      <vt:lpstr>PROVBL_4Q09</vt:lpstr>
      <vt:lpstr>Tags!PROVBL_4Q10</vt:lpstr>
      <vt:lpstr>PROVBL_4Q10</vt:lpstr>
      <vt:lpstr>Tags!PROVBL_4Q11</vt:lpstr>
      <vt:lpstr>PROVBL_4Q11</vt:lpstr>
      <vt:lpstr>Tags!PROVBL_4Q12</vt:lpstr>
      <vt:lpstr>PROVBL_4Q12</vt:lpstr>
      <vt:lpstr>Tags!PROVBL_4Q13</vt:lpstr>
      <vt:lpstr>PROVBL_4Q13</vt:lpstr>
      <vt:lpstr>Tags!PROVBL_4Q14</vt:lpstr>
      <vt:lpstr>PROVBL_4Q14</vt:lpstr>
      <vt:lpstr>Tags!PROVBL_4Q15</vt:lpstr>
      <vt:lpstr>PROVBL_4Q15</vt:lpstr>
      <vt:lpstr>Tags!PROVBL_4Q16</vt:lpstr>
      <vt:lpstr>PROVBL_4Q16</vt:lpstr>
      <vt:lpstr>Tags!PROVBL_4Q17</vt:lpstr>
      <vt:lpstr>PROVBL_4Q17</vt:lpstr>
      <vt:lpstr>Tags!PROVBL_4Q18</vt:lpstr>
      <vt:lpstr>PROVBL_4Q18</vt:lpstr>
      <vt:lpstr>Tags!PROVBL_4Q19</vt:lpstr>
      <vt:lpstr>PROVBL_4Q19</vt:lpstr>
      <vt:lpstr>Tags!PROVBL_4Q20</vt:lpstr>
      <vt:lpstr>PROVBL_4Q20</vt:lpstr>
      <vt:lpstr>PROVBL_4Q21</vt:lpstr>
      <vt:lpstr>PROVBL_4Q22</vt:lpstr>
      <vt:lpstr>PROVBL_4Q23</vt:lpstr>
      <vt:lpstr>PROVBL_4Q24</vt:lpstr>
      <vt:lpstr>PSCH_1995</vt:lpstr>
      <vt:lpstr>PSCH_1996</vt:lpstr>
      <vt:lpstr>PSCH_1997</vt:lpstr>
      <vt:lpstr>PSCH_1998</vt:lpstr>
      <vt:lpstr>PSCH_1999</vt:lpstr>
      <vt:lpstr>Tags!PSCH_1Q00</vt:lpstr>
      <vt:lpstr>PSCH_1Q00</vt:lpstr>
      <vt:lpstr>Tags!PSCH_1Q01</vt:lpstr>
      <vt:lpstr>PSCH_1Q01</vt:lpstr>
      <vt:lpstr>Tags!PSCH_1Q02</vt:lpstr>
      <vt:lpstr>PSCH_1Q02</vt:lpstr>
      <vt:lpstr>Tags!PSCH_1Q03</vt:lpstr>
      <vt:lpstr>PSCH_1Q03</vt:lpstr>
      <vt:lpstr>Tags!PSCH_1Q04</vt:lpstr>
      <vt:lpstr>PSCH_1Q04</vt:lpstr>
      <vt:lpstr>Tags!PSCH_1Q05</vt:lpstr>
      <vt:lpstr>PSCH_1Q05</vt:lpstr>
      <vt:lpstr>Tags!PSCH_1Q06</vt:lpstr>
      <vt:lpstr>PSCH_1Q06</vt:lpstr>
      <vt:lpstr>Tags!PSCH_1Q07</vt:lpstr>
      <vt:lpstr>PSCH_1Q07</vt:lpstr>
      <vt:lpstr>Tags!PSCH_1Q08</vt:lpstr>
      <vt:lpstr>PSCH_1Q08</vt:lpstr>
      <vt:lpstr>Tags!PSCH_1Q09</vt:lpstr>
      <vt:lpstr>PSCH_1Q09</vt:lpstr>
      <vt:lpstr>Tags!PSCH_1Q10</vt:lpstr>
      <vt:lpstr>PSCH_1Q10</vt:lpstr>
      <vt:lpstr>Tags!PSCH_1Q11</vt:lpstr>
      <vt:lpstr>PSCH_1Q11</vt:lpstr>
      <vt:lpstr>Tags!PSCH_1Q12</vt:lpstr>
      <vt:lpstr>PSCH_1Q12</vt:lpstr>
      <vt:lpstr>Tags!PSCH_1Q13</vt:lpstr>
      <vt:lpstr>PSCH_1Q13</vt:lpstr>
      <vt:lpstr>Tags!PSCH_1Q14</vt:lpstr>
      <vt:lpstr>PSCH_1Q14</vt:lpstr>
      <vt:lpstr>Tags!PSCH_1Q15</vt:lpstr>
      <vt:lpstr>PSCH_1Q15</vt:lpstr>
      <vt:lpstr>Tags!PSCH_1Q16</vt:lpstr>
      <vt:lpstr>PSCH_1Q16</vt:lpstr>
      <vt:lpstr>Tags!PSCH_1Q17</vt:lpstr>
      <vt:lpstr>PSCH_1Q17</vt:lpstr>
      <vt:lpstr>Tags!PSCH_1Q18</vt:lpstr>
      <vt:lpstr>PSCH_1Q18</vt:lpstr>
      <vt:lpstr>Tags!PSCH_1Q19</vt:lpstr>
      <vt:lpstr>PSCH_1Q19</vt:lpstr>
      <vt:lpstr>Tags!PSCH_1Q20</vt:lpstr>
      <vt:lpstr>PSCH_1Q20</vt:lpstr>
      <vt:lpstr>PSCH_1Q21</vt:lpstr>
      <vt:lpstr>PSCH_1Q22</vt:lpstr>
      <vt:lpstr>PSCH_1Q23</vt:lpstr>
      <vt:lpstr>PSCH_1Q24</vt:lpstr>
      <vt:lpstr>Tags!PSCH_2000</vt:lpstr>
      <vt:lpstr>PSCH_2000</vt:lpstr>
      <vt:lpstr>Tags!PSCH_2001</vt:lpstr>
      <vt:lpstr>PSCH_2001</vt:lpstr>
      <vt:lpstr>Tags!PSCH_2002</vt:lpstr>
      <vt:lpstr>PSCH_2002</vt:lpstr>
      <vt:lpstr>Tags!PSCH_2003</vt:lpstr>
      <vt:lpstr>PSCH_2003</vt:lpstr>
      <vt:lpstr>Tags!PSCH_2004</vt:lpstr>
      <vt:lpstr>PSCH_2004</vt:lpstr>
      <vt:lpstr>Tags!PSCH_2005</vt:lpstr>
      <vt:lpstr>PSCH_2005</vt:lpstr>
      <vt:lpstr>Tags!PSCH_2006</vt:lpstr>
      <vt:lpstr>PSCH_2006</vt:lpstr>
      <vt:lpstr>Tags!PSCH_2007</vt:lpstr>
      <vt:lpstr>PSCH_2007</vt:lpstr>
      <vt:lpstr>Tags!PSCH_2008</vt:lpstr>
      <vt:lpstr>PSCH_2008</vt:lpstr>
      <vt:lpstr>Tags!PSCH_2009</vt:lpstr>
      <vt:lpstr>PSCH_2009</vt:lpstr>
      <vt:lpstr>Tags!PSCH_2010</vt:lpstr>
      <vt:lpstr>PSCH_2010</vt:lpstr>
      <vt:lpstr>Tags!PSCH_2011</vt:lpstr>
      <vt:lpstr>PSCH_2011</vt:lpstr>
      <vt:lpstr>Tags!PSCH_2012</vt:lpstr>
      <vt:lpstr>PSCH_2012</vt:lpstr>
      <vt:lpstr>Tags!PSCH_2013</vt:lpstr>
      <vt:lpstr>PSCH_2013</vt:lpstr>
      <vt:lpstr>Tags!PSCH_2014</vt:lpstr>
      <vt:lpstr>PSCH_2014</vt:lpstr>
      <vt:lpstr>PSCH_2015</vt:lpstr>
      <vt:lpstr>Tags!PSCH_2016</vt:lpstr>
      <vt:lpstr>PSCH_2016</vt:lpstr>
      <vt:lpstr>Tags!PSCH_2017</vt:lpstr>
      <vt:lpstr>PSCH_2017</vt:lpstr>
      <vt:lpstr>Tags!PSCH_2018</vt:lpstr>
      <vt:lpstr>PSCH_2018</vt:lpstr>
      <vt:lpstr>Tags!PSCH_2019</vt:lpstr>
      <vt:lpstr>PSCH_2019</vt:lpstr>
      <vt:lpstr>Tags!PSCH_2020</vt:lpstr>
      <vt:lpstr>PSCH_2020</vt:lpstr>
      <vt:lpstr>PSCH_2021</vt:lpstr>
      <vt:lpstr>PSCH_2022</vt:lpstr>
      <vt:lpstr>PSCH_2023</vt:lpstr>
      <vt:lpstr>PSCH_2024</vt:lpstr>
      <vt:lpstr>Tags!PSCH_2Q00</vt:lpstr>
      <vt:lpstr>PSCH_2Q00</vt:lpstr>
      <vt:lpstr>Tags!PSCH_2Q01</vt:lpstr>
      <vt:lpstr>PSCH_2Q01</vt:lpstr>
      <vt:lpstr>Tags!PSCH_2Q02</vt:lpstr>
      <vt:lpstr>PSCH_2Q02</vt:lpstr>
      <vt:lpstr>Tags!PSCH_2Q03</vt:lpstr>
      <vt:lpstr>PSCH_2Q03</vt:lpstr>
      <vt:lpstr>Tags!PSCH_2Q04</vt:lpstr>
      <vt:lpstr>PSCH_2Q04</vt:lpstr>
      <vt:lpstr>Tags!PSCH_2Q05</vt:lpstr>
      <vt:lpstr>PSCH_2Q05</vt:lpstr>
      <vt:lpstr>Tags!PSCH_2Q06</vt:lpstr>
      <vt:lpstr>PSCH_2Q06</vt:lpstr>
      <vt:lpstr>Tags!PSCH_2Q07</vt:lpstr>
      <vt:lpstr>PSCH_2Q07</vt:lpstr>
      <vt:lpstr>Tags!PSCH_2Q08</vt:lpstr>
      <vt:lpstr>PSCH_2Q08</vt:lpstr>
      <vt:lpstr>Tags!PSCH_2Q09</vt:lpstr>
      <vt:lpstr>PSCH_2Q09</vt:lpstr>
      <vt:lpstr>Tags!PSCH_2Q10</vt:lpstr>
      <vt:lpstr>PSCH_2Q10</vt:lpstr>
      <vt:lpstr>Tags!PSCH_2Q11</vt:lpstr>
      <vt:lpstr>PSCH_2Q11</vt:lpstr>
      <vt:lpstr>Tags!PSCH_2Q12</vt:lpstr>
      <vt:lpstr>PSCH_2Q12</vt:lpstr>
      <vt:lpstr>Tags!PSCH_2Q13</vt:lpstr>
      <vt:lpstr>PSCH_2Q13</vt:lpstr>
      <vt:lpstr>Tags!PSCH_2Q14</vt:lpstr>
      <vt:lpstr>PSCH_2Q14</vt:lpstr>
      <vt:lpstr>Tags!PSCH_2Q15</vt:lpstr>
      <vt:lpstr>PSCH_2Q15</vt:lpstr>
      <vt:lpstr>Tags!PSCH_2Q16</vt:lpstr>
      <vt:lpstr>PSCH_2Q16</vt:lpstr>
      <vt:lpstr>Tags!PSCH_2Q17</vt:lpstr>
      <vt:lpstr>PSCH_2Q17</vt:lpstr>
      <vt:lpstr>Tags!PSCH_2Q18</vt:lpstr>
      <vt:lpstr>PSCH_2Q18</vt:lpstr>
      <vt:lpstr>Tags!PSCH_2Q19</vt:lpstr>
      <vt:lpstr>PSCH_2Q19</vt:lpstr>
      <vt:lpstr>Tags!PSCH_2Q20</vt:lpstr>
      <vt:lpstr>PSCH_2Q20</vt:lpstr>
      <vt:lpstr>PSCH_2Q21</vt:lpstr>
      <vt:lpstr>PSCH_2Q22</vt:lpstr>
      <vt:lpstr>PSCH_2Q23</vt:lpstr>
      <vt:lpstr>PSCH_2Q24</vt:lpstr>
      <vt:lpstr>Tags!PSCH_3Q00</vt:lpstr>
      <vt:lpstr>PSCH_3Q00</vt:lpstr>
      <vt:lpstr>Tags!PSCH_3Q01</vt:lpstr>
      <vt:lpstr>PSCH_3Q01</vt:lpstr>
      <vt:lpstr>Tags!PSCH_3Q02</vt:lpstr>
      <vt:lpstr>PSCH_3Q02</vt:lpstr>
      <vt:lpstr>Tags!PSCH_3Q03</vt:lpstr>
      <vt:lpstr>PSCH_3Q03</vt:lpstr>
      <vt:lpstr>Tags!PSCH_3Q04</vt:lpstr>
      <vt:lpstr>PSCH_3Q04</vt:lpstr>
      <vt:lpstr>Tags!PSCH_3Q05</vt:lpstr>
      <vt:lpstr>PSCH_3Q05</vt:lpstr>
      <vt:lpstr>Tags!PSCH_3Q06</vt:lpstr>
      <vt:lpstr>PSCH_3Q06</vt:lpstr>
      <vt:lpstr>Tags!PSCH_3Q07</vt:lpstr>
      <vt:lpstr>PSCH_3Q07</vt:lpstr>
      <vt:lpstr>Tags!PSCH_3Q08</vt:lpstr>
      <vt:lpstr>PSCH_3Q08</vt:lpstr>
      <vt:lpstr>Tags!PSCH_3Q09</vt:lpstr>
      <vt:lpstr>PSCH_3Q09</vt:lpstr>
      <vt:lpstr>Tags!PSCH_3Q10</vt:lpstr>
      <vt:lpstr>PSCH_3Q10</vt:lpstr>
      <vt:lpstr>Tags!PSCH_3Q11</vt:lpstr>
      <vt:lpstr>PSCH_3Q11</vt:lpstr>
      <vt:lpstr>Tags!PSCH_3Q12</vt:lpstr>
      <vt:lpstr>PSCH_3Q12</vt:lpstr>
      <vt:lpstr>Tags!PSCH_3Q13</vt:lpstr>
      <vt:lpstr>PSCH_3Q13</vt:lpstr>
      <vt:lpstr>Tags!PSCH_3Q14</vt:lpstr>
      <vt:lpstr>PSCH_3Q14</vt:lpstr>
      <vt:lpstr>Tags!PSCH_3Q15</vt:lpstr>
      <vt:lpstr>PSCH_3Q15</vt:lpstr>
      <vt:lpstr>Tags!PSCH_3Q16</vt:lpstr>
      <vt:lpstr>PSCH_3Q16</vt:lpstr>
      <vt:lpstr>Tags!PSCH_3Q17</vt:lpstr>
      <vt:lpstr>PSCH_3Q17</vt:lpstr>
      <vt:lpstr>Tags!PSCH_3Q18</vt:lpstr>
      <vt:lpstr>PSCH_3Q18</vt:lpstr>
      <vt:lpstr>Tags!PSCH_3Q19</vt:lpstr>
      <vt:lpstr>PSCH_3Q19</vt:lpstr>
      <vt:lpstr>Tags!PSCH_3Q20</vt:lpstr>
      <vt:lpstr>PSCH_3Q20</vt:lpstr>
      <vt:lpstr>PSCH_3Q21</vt:lpstr>
      <vt:lpstr>PSCH_3Q22</vt:lpstr>
      <vt:lpstr>PSCH_3Q23</vt:lpstr>
      <vt:lpstr>PSCH_3Q24</vt:lpstr>
      <vt:lpstr>Tags!PSCH_4Q00</vt:lpstr>
      <vt:lpstr>PSCH_4Q00</vt:lpstr>
      <vt:lpstr>Tags!PSCH_4Q01</vt:lpstr>
      <vt:lpstr>PSCH_4Q01</vt:lpstr>
      <vt:lpstr>Tags!PSCH_4Q02</vt:lpstr>
      <vt:lpstr>PSCH_4Q02</vt:lpstr>
      <vt:lpstr>Tags!PSCH_4Q03</vt:lpstr>
      <vt:lpstr>PSCH_4Q03</vt:lpstr>
      <vt:lpstr>Tags!PSCH_4Q04</vt:lpstr>
      <vt:lpstr>PSCH_4Q04</vt:lpstr>
      <vt:lpstr>Tags!PSCH_4Q05</vt:lpstr>
      <vt:lpstr>PSCH_4Q05</vt:lpstr>
      <vt:lpstr>Tags!PSCH_4Q06</vt:lpstr>
      <vt:lpstr>PSCH_4Q06</vt:lpstr>
      <vt:lpstr>Tags!PSCH_4Q07</vt:lpstr>
      <vt:lpstr>PSCH_4Q07</vt:lpstr>
      <vt:lpstr>Tags!PSCH_4Q08</vt:lpstr>
      <vt:lpstr>PSCH_4Q08</vt:lpstr>
      <vt:lpstr>Tags!PSCH_4Q09</vt:lpstr>
      <vt:lpstr>PSCH_4Q09</vt:lpstr>
      <vt:lpstr>Tags!PSCH_4Q10</vt:lpstr>
      <vt:lpstr>PSCH_4Q10</vt:lpstr>
      <vt:lpstr>Tags!PSCH_4Q11</vt:lpstr>
      <vt:lpstr>PSCH_4Q11</vt:lpstr>
      <vt:lpstr>Tags!PSCH_4Q12</vt:lpstr>
      <vt:lpstr>PSCH_4Q12</vt:lpstr>
      <vt:lpstr>Tags!PSCH_4Q13</vt:lpstr>
      <vt:lpstr>PSCH_4Q13</vt:lpstr>
      <vt:lpstr>Tags!PSCH_4Q14</vt:lpstr>
      <vt:lpstr>PSCH_4Q14</vt:lpstr>
      <vt:lpstr>Tags!PSCH_4Q15</vt:lpstr>
      <vt:lpstr>PSCH_4Q15</vt:lpstr>
      <vt:lpstr>Tags!PSCH_4Q16</vt:lpstr>
      <vt:lpstr>PSCH_4Q16</vt:lpstr>
      <vt:lpstr>Tags!PSCH_4Q17</vt:lpstr>
      <vt:lpstr>PSCH_4Q17</vt:lpstr>
      <vt:lpstr>Tags!PSCH_4Q18</vt:lpstr>
      <vt:lpstr>PSCH_4Q18</vt:lpstr>
      <vt:lpstr>Tags!PSCH_4Q19</vt:lpstr>
      <vt:lpstr>PSCH_4Q19</vt:lpstr>
      <vt:lpstr>Tags!PSCH_4Q20</vt:lpstr>
      <vt:lpstr>PSCH_4Q20</vt:lpstr>
      <vt:lpstr>PSCH_4Q21</vt:lpstr>
      <vt:lpstr>PSCH_4Q22</vt:lpstr>
      <vt:lpstr>PSCH_4Q23</vt:lpstr>
      <vt:lpstr>PSCH_4Q24</vt:lpstr>
      <vt:lpstr>RESDEV_1995</vt:lpstr>
      <vt:lpstr>RESDEV_1996</vt:lpstr>
      <vt:lpstr>RESDEV_1997</vt:lpstr>
      <vt:lpstr>RESDEV_1998</vt:lpstr>
      <vt:lpstr>RESDEV_1999</vt:lpstr>
      <vt:lpstr>Tags!RESDEV_1Q00</vt:lpstr>
      <vt:lpstr>RESDEV_1Q00</vt:lpstr>
      <vt:lpstr>Tags!RESDEV_1Q01</vt:lpstr>
      <vt:lpstr>RESDEV_1Q01</vt:lpstr>
      <vt:lpstr>Tags!RESDEV_1Q02</vt:lpstr>
      <vt:lpstr>RESDEV_1Q02</vt:lpstr>
      <vt:lpstr>Tags!RESDEV_1Q03</vt:lpstr>
      <vt:lpstr>RESDEV_1Q03</vt:lpstr>
      <vt:lpstr>Tags!RESDEV_1Q04</vt:lpstr>
      <vt:lpstr>RESDEV_1Q04</vt:lpstr>
      <vt:lpstr>Tags!RESDEV_1Q05</vt:lpstr>
      <vt:lpstr>RESDEV_1Q05</vt:lpstr>
      <vt:lpstr>Tags!RESDEV_1Q06</vt:lpstr>
      <vt:lpstr>RESDEV_1Q06</vt:lpstr>
      <vt:lpstr>Tags!RESDEV_1Q07</vt:lpstr>
      <vt:lpstr>RESDEV_1Q07</vt:lpstr>
      <vt:lpstr>Tags!RESDEV_1Q08</vt:lpstr>
      <vt:lpstr>RESDEV_1Q08</vt:lpstr>
      <vt:lpstr>Tags!RESDEV_1Q09</vt:lpstr>
      <vt:lpstr>RESDEV_1Q09</vt:lpstr>
      <vt:lpstr>Tags!RESDEV_1Q10</vt:lpstr>
      <vt:lpstr>RESDEV_1Q10</vt:lpstr>
      <vt:lpstr>Tags!RESDEV_1Q11</vt:lpstr>
      <vt:lpstr>RESDEV_1Q11</vt:lpstr>
      <vt:lpstr>Tags!RESDEV_1Q12</vt:lpstr>
      <vt:lpstr>RESDEV_1Q12</vt:lpstr>
      <vt:lpstr>Tags!RESDEV_1Q13</vt:lpstr>
      <vt:lpstr>RESDEV_1Q13</vt:lpstr>
      <vt:lpstr>Tags!RESDEV_1Q14</vt:lpstr>
      <vt:lpstr>RESDEV_1Q14</vt:lpstr>
      <vt:lpstr>Tags!RESDEV_1Q15</vt:lpstr>
      <vt:lpstr>RESDEV_1Q15</vt:lpstr>
      <vt:lpstr>Tags!RESDEV_1Q16</vt:lpstr>
      <vt:lpstr>RESDEV_1Q16</vt:lpstr>
      <vt:lpstr>Tags!RESDEV_1Q17</vt:lpstr>
      <vt:lpstr>RESDEV_1Q17</vt:lpstr>
      <vt:lpstr>Tags!RESDEV_1Q18</vt:lpstr>
      <vt:lpstr>RESDEV_1Q18</vt:lpstr>
      <vt:lpstr>Tags!RESDEV_1Q19</vt:lpstr>
      <vt:lpstr>RESDEV_1Q19</vt:lpstr>
      <vt:lpstr>Tags!RESDEV_1Q20</vt:lpstr>
      <vt:lpstr>RESDEV_1Q20</vt:lpstr>
      <vt:lpstr>RESDEV_1Q21</vt:lpstr>
      <vt:lpstr>RESDEV_1Q22</vt:lpstr>
      <vt:lpstr>RESDEV_1Q23</vt:lpstr>
      <vt:lpstr>RESDEV_1Q24</vt:lpstr>
      <vt:lpstr>Tags!RESDEV_2000</vt:lpstr>
      <vt:lpstr>RESDEV_2000</vt:lpstr>
      <vt:lpstr>Tags!RESDEV_2001</vt:lpstr>
      <vt:lpstr>RESDEV_2001</vt:lpstr>
      <vt:lpstr>Tags!RESDEV_2002</vt:lpstr>
      <vt:lpstr>RESDEV_2002</vt:lpstr>
      <vt:lpstr>Tags!RESDEV_2003</vt:lpstr>
      <vt:lpstr>RESDEV_2003</vt:lpstr>
      <vt:lpstr>Tags!RESDEV_2004</vt:lpstr>
      <vt:lpstr>RESDEV_2004</vt:lpstr>
      <vt:lpstr>Tags!RESDEV_2005</vt:lpstr>
      <vt:lpstr>RESDEV_2005</vt:lpstr>
      <vt:lpstr>Tags!RESDEV_2006</vt:lpstr>
      <vt:lpstr>RESDEV_2006</vt:lpstr>
      <vt:lpstr>Tags!RESDEV_2007</vt:lpstr>
      <vt:lpstr>RESDEV_2007</vt:lpstr>
      <vt:lpstr>Tags!RESDEV_2008</vt:lpstr>
      <vt:lpstr>RESDEV_2008</vt:lpstr>
      <vt:lpstr>Tags!RESDEV_2009</vt:lpstr>
      <vt:lpstr>RESDEV_2009</vt:lpstr>
      <vt:lpstr>Tags!RESDEV_2010</vt:lpstr>
      <vt:lpstr>RESDEV_2010</vt:lpstr>
      <vt:lpstr>Tags!RESDEV_2011</vt:lpstr>
      <vt:lpstr>RESDEV_2011</vt:lpstr>
      <vt:lpstr>Tags!RESDEV_2012</vt:lpstr>
      <vt:lpstr>RESDEV_2012</vt:lpstr>
      <vt:lpstr>Tags!RESDEV_2013</vt:lpstr>
      <vt:lpstr>RESDEV_2013</vt:lpstr>
      <vt:lpstr>Tags!RESDEV_2014</vt:lpstr>
      <vt:lpstr>RESDEV_2014</vt:lpstr>
      <vt:lpstr>RESDEV_2015</vt:lpstr>
      <vt:lpstr>Tags!RESDEV_2016</vt:lpstr>
      <vt:lpstr>RESDEV_2016</vt:lpstr>
      <vt:lpstr>Tags!RESDEV_2017</vt:lpstr>
      <vt:lpstr>RESDEV_2017</vt:lpstr>
      <vt:lpstr>Tags!RESDEV_2018</vt:lpstr>
      <vt:lpstr>RESDEV_2018</vt:lpstr>
      <vt:lpstr>Tags!RESDEV_2019</vt:lpstr>
      <vt:lpstr>RESDEV_2019</vt:lpstr>
      <vt:lpstr>Tags!RESDEV_2020</vt:lpstr>
      <vt:lpstr>RESDEV_2020</vt:lpstr>
      <vt:lpstr>RESDEV_2021</vt:lpstr>
      <vt:lpstr>RESDEV_2022</vt:lpstr>
      <vt:lpstr>RESDEV_2023</vt:lpstr>
      <vt:lpstr>RESDEV_2024</vt:lpstr>
      <vt:lpstr>Tags!RESDEV_2Q00</vt:lpstr>
      <vt:lpstr>RESDEV_2Q00</vt:lpstr>
      <vt:lpstr>Tags!RESDEV_2Q01</vt:lpstr>
      <vt:lpstr>RESDEV_2Q01</vt:lpstr>
      <vt:lpstr>Tags!RESDEV_2Q02</vt:lpstr>
      <vt:lpstr>RESDEV_2Q02</vt:lpstr>
      <vt:lpstr>Tags!RESDEV_2Q03</vt:lpstr>
      <vt:lpstr>RESDEV_2Q03</vt:lpstr>
      <vt:lpstr>Tags!RESDEV_2Q04</vt:lpstr>
      <vt:lpstr>RESDEV_2Q04</vt:lpstr>
      <vt:lpstr>Tags!RESDEV_2Q05</vt:lpstr>
      <vt:lpstr>RESDEV_2Q05</vt:lpstr>
      <vt:lpstr>Tags!RESDEV_2Q06</vt:lpstr>
      <vt:lpstr>RESDEV_2Q06</vt:lpstr>
      <vt:lpstr>Tags!RESDEV_2Q07</vt:lpstr>
      <vt:lpstr>RESDEV_2Q07</vt:lpstr>
      <vt:lpstr>Tags!RESDEV_2Q08</vt:lpstr>
      <vt:lpstr>RESDEV_2Q08</vt:lpstr>
      <vt:lpstr>Tags!RESDEV_2Q09</vt:lpstr>
      <vt:lpstr>RESDEV_2Q09</vt:lpstr>
      <vt:lpstr>Tags!RESDEV_2Q10</vt:lpstr>
      <vt:lpstr>RESDEV_2Q10</vt:lpstr>
      <vt:lpstr>Tags!RESDEV_2Q11</vt:lpstr>
      <vt:lpstr>RESDEV_2Q11</vt:lpstr>
      <vt:lpstr>Tags!RESDEV_2Q12</vt:lpstr>
      <vt:lpstr>RESDEV_2Q12</vt:lpstr>
      <vt:lpstr>Tags!RESDEV_2Q13</vt:lpstr>
      <vt:lpstr>RESDEV_2Q13</vt:lpstr>
      <vt:lpstr>Tags!RESDEV_2Q14</vt:lpstr>
      <vt:lpstr>RESDEV_2Q14</vt:lpstr>
      <vt:lpstr>Tags!RESDEV_2Q15</vt:lpstr>
      <vt:lpstr>RESDEV_2Q15</vt:lpstr>
      <vt:lpstr>Tags!RESDEV_2Q16</vt:lpstr>
      <vt:lpstr>RESDEV_2Q16</vt:lpstr>
      <vt:lpstr>Tags!RESDEV_2Q17</vt:lpstr>
      <vt:lpstr>RESDEV_2Q17</vt:lpstr>
      <vt:lpstr>Tags!RESDEV_2Q18</vt:lpstr>
      <vt:lpstr>RESDEV_2Q18</vt:lpstr>
      <vt:lpstr>Tags!RESDEV_2Q19</vt:lpstr>
      <vt:lpstr>RESDEV_2Q19</vt:lpstr>
      <vt:lpstr>Tags!RESDEV_2Q20</vt:lpstr>
      <vt:lpstr>RESDEV_2Q20</vt:lpstr>
      <vt:lpstr>RESDEV_2Q21</vt:lpstr>
      <vt:lpstr>RESDEV_2Q22</vt:lpstr>
      <vt:lpstr>RESDEV_2Q23</vt:lpstr>
      <vt:lpstr>RESDEV_2Q24</vt:lpstr>
      <vt:lpstr>Tags!RESDEV_3Q00</vt:lpstr>
      <vt:lpstr>RESDEV_3Q00</vt:lpstr>
      <vt:lpstr>Tags!RESDEV_3Q01</vt:lpstr>
      <vt:lpstr>RESDEV_3Q01</vt:lpstr>
      <vt:lpstr>Tags!RESDEV_3Q02</vt:lpstr>
      <vt:lpstr>RESDEV_3Q02</vt:lpstr>
      <vt:lpstr>Tags!RESDEV_3Q03</vt:lpstr>
      <vt:lpstr>RESDEV_3Q03</vt:lpstr>
      <vt:lpstr>Tags!RESDEV_3Q04</vt:lpstr>
      <vt:lpstr>RESDEV_3Q04</vt:lpstr>
      <vt:lpstr>Tags!RESDEV_3Q05</vt:lpstr>
      <vt:lpstr>RESDEV_3Q05</vt:lpstr>
      <vt:lpstr>Tags!RESDEV_3Q06</vt:lpstr>
      <vt:lpstr>RESDEV_3Q06</vt:lpstr>
      <vt:lpstr>Tags!RESDEV_3Q07</vt:lpstr>
      <vt:lpstr>RESDEV_3Q07</vt:lpstr>
      <vt:lpstr>Tags!RESDEV_3Q08</vt:lpstr>
      <vt:lpstr>RESDEV_3Q08</vt:lpstr>
      <vt:lpstr>Tags!RESDEV_3Q09</vt:lpstr>
      <vt:lpstr>RESDEV_3Q09</vt:lpstr>
      <vt:lpstr>Tags!RESDEV_3Q10</vt:lpstr>
      <vt:lpstr>RESDEV_3Q10</vt:lpstr>
      <vt:lpstr>Tags!RESDEV_3Q11</vt:lpstr>
      <vt:lpstr>RESDEV_3Q11</vt:lpstr>
      <vt:lpstr>Tags!RESDEV_3Q12</vt:lpstr>
      <vt:lpstr>RESDEV_3Q12</vt:lpstr>
      <vt:lpstr>Tags!RESDEV_3Q13</vt:lpstr>
      <vt:lpstr>RESDEV_3Q13</vt:lpstr>
      <vt:lpstr>Tags!RESDEV_3Q14</vt:lpstr>
      <vt:lpstr>RESDEV_3Q14</vt:lpstr>
      <vt:lpstr>Tags!RESDEV_3Q15</vt:lpstr>
      <vt:lpstr>RESDEV_3Q15</vt:lpstr>
      <vt:lpstr>Tags!RESDEV_3Q16</vt:lpstr>
      <vt:lpstr>RESDEV_3Q16</vt:lpstr>
      <vt:lpstr>Tags!RESDEV_3Q17</vt:lpstr>
      <vt:lpstr>RESDEV_3Q17</vt:lpstr>
      <vt:lpstr>Tags!RESDEV_3Q18</vt:lpstr>
      <vt:lpstr>RESDEV_3Q18</vt:lpstr>
      <vt:lpstr>Tags!RESDEV_3Q19</vt:lpstr>
      <vt:lpstr>RESDEV_3Q19</vt:lpstr>
      <vt:lpstr>Tags!RESDEV_3Q20</vt:lpstr>
      <vt:lpstr>RESDEV_3Q20</vt:lpstr>
      <vt:lpstr>RESDEV_3Q21</vt:lpstr>
      <vt:lpstr>RESDEV_3Q22</vt:lpstr>
      <vt:lpstr>RESDEV_3Q23</vt:lpstr>
      <vt:lpstr>RESDEV_3Q24</vt:lpstr>
      <vt:lpstr>Tags!RESDEV_4Q00</vt:lpstr>
      <vt:lpstr>RESDEV_4Q00</vt:lpstr>
      <vt:lpstr>Tags!RESDEV_4Q01</vt:lpstr>
      <vt:lpstr>RESDEV_4Q01</vt:lpstr>
      <vt:lpstr>Tags!RESDEV_4Q02</vt:lpstr>
      <vt:lpstr>RESDEV_4Q02</vt:lpstr>
      <vt:lpstr>Tags!RESDEV_4Q03</vt:lpstr>
      <vt:lpstr>RESDEV_4Q03</vt:lpstr>
      <vt:lpstr>Tags!RESDEV_4Q04</vt:lpstr>
      <vt:lpstr>RESDEV_4Q04</vt:lpstr>
      <vt:lpstr>Tags!RESDEV_4Q05</vt:lpstr>
      <vt:lpstr>RESDEV_4Q05</vt:lpstr>
      <vt:lpstr>Tags!RESDEV_4Q06</vt:lpstr>
      <vt:lpstr>RESDEV_4Q06</vt:lpstr>
      <vt:lpstr>Tags!RESDEV_4Q07</vt:lpstr>
      <vt:lpstr>RESDEV_4Q07</vt:lpstr>
      <vt:lpstr>Tags!RESDEV_4Q08</vt:lpstr>
      <vt:lpstr>RESDEV_4Q08</vt:lpstr>
      <vt:lpstr>Tags!RESDEV_4Q09</vt:lpstr>
      <vt:lpstr>RESDEV_4Q09</vt:lpstr>
      <vt:lpstr>Tags!RESDEV_4Q10</vt:lpstr>
      <vt:lpstr>RESDEV_4Q10</vt:lpstr>
      <vt:lpstr>Tags!RESDEV_4Q11</vt:lpstr>
      <vt:lpstr>RESDEV_4Q11</vt:lpstr>
      <vt:lpstr>Tags!RESDEV_4Q12</vt:lpstr>
      <vt:lpstr>RESDEV_4Q12</vt:lpstr>
      <vt:lpstr>Tags!RESDEV_4Q13</vt:lpstr>
      <vt:lpstr>RESDEV_4Q13</vt:lpstr>
      <vt:lpstr>Tags!RESDEV_4Q14</vt:lpstr>
      <vt:lpstr>RESDEV_4Q14</vt:lpstr>
      <vt:lpstr>Tags!RESDEV_4Q15</vt:lpstr>
      <vt:lpstr>RESDEV_4Q15</vt:lpstr>
      <vt:lpstr>Tags!RESDEV_4Q16</vt:lpstr>
      <vt:lpstr>RESDEV_4Q16</vt:lpstr>
      <vt:lpstr>Tags!RESDEV_4Q17</vt:lpstr>
      <vt:lpstr>RESDEV_4Q17</vt:lpstr>
      <vt:lpstr>Tags!RESDEV_4Q18</vt:lpstr>
      <vt:lpstr>RESDEV_4Q18</vt:lpstr>
      <vt:lpstr>Tags!RESDEV_4Q19</vt:lpstr>
      <vt:lpstr>RESDEV_4Q19</vt:lpstr>
      <vt:lpstr>Tags!RESDEV_4Q20</vt:lpstr>
      <vt:lpstr>RESDEV_4Q20</vt:lpstr>
      <vt:lpstr>RESDEV_4Q21</vt:lpstr>
      <vt:lpstr>RESDEV_4Q22</vt:lpstr>
      <vt:lpstr>RESDEV_4Q23</vt:lpstr>
      <vt:lpstr>RESDEV_4Q24</vt:lpstr>
      <vt:lpstr>SGA_1995</vt:lpstr>
      <vt:lpstr>SGA_1996</vt:lpstr>
      <vt:lpstr>SGA_1997</vt:lpstr>
      <vt:lpstr>SGA_1998</vt:lpstr>
      <vt:lpstr>SGA_1999</vt:lpstr>
      <vt:lpstr>Tags!SGA_1Q00</vt:lpstr>
      <vt:lpstr>SGA_1Q00</vt:lpstr>
      <vt:lpstr>Tags!SGA_1Q01</vt:lpstr>
      <vt:lpstr>SGA_1Q01</vt:lpstr>
      <vt:lpstr>Tags!SGA_1Q02</vt:lpstr>
      <vt:lpstr>SGA_1Q02</vt:lpstr>
      <vt:lpstr>Tags!SGA_1Q03</vt:lpstr>
      <vt:lpstr>SGA_1Q03</vt:lpstr>
      <vt:lpstr>Tags!SGA_1Q04</vt:lpstr>
      <vt:lpstr>SGA_1Q04</vt:lpstr>
      <vt:lpstr>Tags!SGA_1Q05</vt:lpstr>
      <vt:lpstr>SGA_1Q05</vt:lpstr>
      <vt:lpstr>Tags!SGA_1Q06</vt:lpstr>
      <vt:lpstr>SGA_1Q06</vt:lpstr>
      <vt:lpstr>Tags!SGA_1Q07</vt:lpstr>
      <vt:lpstr>SGA_1Q07</vt:lpstr>
      <vt:lpstr>Tags!SGA_1Q08</vt:lpstr>
      <vt:lpstr>SGA_1Q08</vt:lpstr>
      <vt:lpstr>Tags!SGA_1Q09</vt:lpstr>
      <vt:lpstr>SGA_1Q09</vt:lpstr>
      <vt:lpstr>Tags!SGA_1Q10</vt:lpstr>
      <vt:lpstr>SGA_1Q10</vt:lpstr>
      <vt:lpstr>Tags!SGA_1Q11</vt:lpstr>
      <vt:lpstr>SGA_1Q11</vt:lpstr>
      <vt:lpstr>Tags!SGA_1Q12</vt:lpstr>
      <vt:lpstr>SGA_1Q12</vt:lpstr>
      <vt:lpstr>Tags!SGA_1Q13</vt:lpstr>
      <vt:lpstr>SGA_1Q13</vt:lpstr>
      <vt:lpstr>Tags!SGA_1Q14</vt:lpstr>
      <vt:lpstr>SGA_1Q14</vt:lpstr>
      <vt:lpstr>Tags!SGA_1Q15</vt:lpstr>
      <vt:lpstr>SGA_1Q15</vt:lpstr>
      <vt:lpstr>Tags!SGA_1Q16</vt:lpstr>
      <vt:lpstr>SGA_1Q16</vt:lpstr>
      <vt:lpstr>Tags!SGA_1Q17</vt:lpstr>
      <vt:lpstr>SGA_1Q17</vt:lpstr>
      <vt:lpstr>Tags!SGA_1Q18</vt:lpstr>
      <vt:lpstr>SGA_1Q18</vt:lpstr>
      <vt:lpstr>Tags!SGA_1Q19</vt:lpstr>
      <vt:lpstr>SGA_1Q19</vt:lpstr>
      <vt:lpstr>Tags!SGA_1Q20</vt:lpstr>
      <vt:lpstr>SGA_1Q20</vt:lpstr>
      <vt:lpstr>SGA_1Q21</vt:lpstr>
      <vt:lpstr>SGA_1Q22</vt:lpstr>
      <vt:lpstr>SGA_1Q23</vt:lpstr>
      <vt:lpstr>SGA_1Q24</vt:lpstr>
      <vt:lpstr>Tags!SGA_2000</vt:lpstr>
      <vt:lpstr>SGA_2000</vt:lpstr>
      <vt:lpstr>Tags!SGA_2001</vt:lpstr>
      <vt:lpstr>SGA_2001</vt:lpstr>
      <vt:lpstr>Tags!SGA_2002</vt:lpstr>
      <vt:lpstr>SGA_2002</vt:lpstr>
      <vt:lpstr>Tags!SGA_2003</vt:lpstr>
      <vt:lpstr>SGA_2003</vt:lpstr>
      <vt:lpstr>Tags!SGA_2004</vt:lpstr>
      <vt:lpstr>SGA_2004</vt:lpstr>
      <vt:lpstr>Tags!SGA_2005</vt:lpstr>
      <vt:lpstr>SGA_2005</vt:lpstr>
      <vt:lpstr>Tags!SGA_2006</vt:lpstr>
      <vt:lpstr>SGA_2006</vt:lpstr>
      <vt:lpstr>Tags!SGA_2007</vt:lpstr>
      <vt:lpstr>SGA_2007</vt:lpstr>
      <vt:lpstr>Tags!SGA_2008</vt:lpstr>
      <vt:lpstr>SGA_2008</vt:lpstr>
      <vt:lpstr>Tags!SGA_2009</vt:lpstr>
      <vt:lpstr>SGA_2009</vt:lpstr>
      <vt:lpstr>Tags!SGA_2010</vt:lpstr>
      <vt:lpstr>SGA_2010</vt:lpstr>
      <vt:lpstr>Tags!SGA_2011</vt:lpstr>
      <vt:lpstr>SGA_2011</vt:lpstr>
      <vt:lpstr>Tags!SGA_2012</vt:lpstr>
      <vt:lpstr>SGA_2012</vt:lpstr>
      <vt:lpstr>Tags!SGA_2013</vt:lpstr>
      <vt:lpstr>SGA_2013</vt:lpstr>
      <vt:lpstr>Tags!SGA_2014</vt:lpstr>
      <vt:lpstr>SGA_2014</vt:lpstr>
      <vt:lpstr>SGA_2015</vt:lpstr>
      <vt:lpstr>Tags!SGA_2016</vt:lpstr>
      <vt:lpstr>SGA_2016</vt:lpstr>
      <vt:lpstr>Tags!SGA_2017</vt:lpstr>
      <vt:lpstr>SGA_2017</vt:lpstr>
      <vt:lpstr>Tags!SGA_2018</vt:lpstr>
      <vt:lpstr>SGA_2018</vt:lpstr>
      <vt:lpstr>Tags!SGA_2019</vt:lpstr>
      <vt:lpstr>SGA_2019</vt:lpstr>
      <vt:lpstr>Tags!SGA_2020</vt:lpstr>
      <vt:lpstr>SGA_2020</vt:lpstr>
      <vt:lpstr>SGA_2021</vt:lpstr>
      <vt:lpstr>SGA_2022</vt:lpstr>
      <vt:lpstr>SGA_2023</vt:lpstr>
      <vt:lpstr>SGA_2024</vt:lpstr>
      <vt:lpstr>Tags!SGA_2Q00</vt:lpstr>
      <vt:lpstr>SGA_2Q00</vt:lpstr>
      <vt:lpstr>Tags!SGA_2Q01</vt:lpstr>
      <vt:lpstr>SGA_2Q01</vt:lpstr>
      <vt:lpstr>Tags!SGA_2Q02</vt:lpstr>
      <vt:lpstr>SGA_2Q02</vt:lpstr>
      <vt:lpstr>Tags!SGA_2Q03</vt:lpstr>
      <vt:lpstr>SGA_2Q03</vt:lpstr>
      <vt:lpstr>Tags!SGA_2Q04</vt:lpstr>
      <vt:lpstr>SGA_2Q04</vt:lpstr>
      <vt:lpstr>Tags!SGA_2Q05</vt:lpstr>
      <vt:lpstr>SGA_2Q05</vt:lpstr>
      <vt:lpstr>Tags!SGA_2Q06</vt:lpstr>
      <vt:lpstr>SGA_2Q06</vt:lpstr>
      <vt:lpstr>Tags!SGA_2Q07</vt:lpstr>
      <vt:lpstr>SGA_2Q07</vt:lpstr>
      <vt:lpstr>Tags!SGA_2Q08</vt:lpstr>
      <vt:lpstr>SGA_2Q08</vt:lpstr>
      <vt:lpstr>Tags!SGA_2Q09</vt:lpstr>
      <vt:lpstr>SGA_2Q09</vt:lpstr>
      <vt:lpstr>Tags!SGA_2Q10</vt:lpstr>
      <vt:lpstr>SGA_2Q10</vt:lpstr>
      <vt:lpstr>Tags!SGA_2Q11</vt:lpstr>
      <vt:lpstr>SGA_2Q11</vt:lpstr>
      <vt:lpstr>Tags!SGA_2Q12</vt:lpstr>
      <vt:lpstr>SGA_2Q12</vt:lpstr>
      <vt:lpstr>Tags!SGA_2Q13</vt:lpstr>
      <vt:lpstr>SGA_2Q13</vt:lpstr>
      <vt:lpstr>Tags!SGA_2Q14</vt:lpstr>
      <vt:lpstr>SGA_2Q14</vt:lpstr>
      <vt:lpstr>Tags!SGA_2Q15</vt:lpstr>
      <vt:lpstr>SGA_2Q15</vt:lpstr>
      <vt:lpstr>Tags!SGA_2Q16</vt:lpstr>
      <vt:lpstr>SGA_2Q16</vt:lpstr>
      <vt:lpstr>Tags!SGA_2Q17</vt:lpstr>
      <vt:lpstr>SGA_2Q17</vt:lpstr>
      <vt:lpstr>Tags!SGA_2Q18</vt:lpstr>
      <vt:lpstr>SGA_2Q18</vt:lpstr>
      <vt:lpstr>Tags!SGA_2Q19</vt:lpstr>
      <vt:lpstr>SGA_2Q19</vt:lpstr>
      <vt:lpstr>Tags!SGA_2Q20</vt:lpstr>
      <vt:lpstr>SGA_2Q20</vt:lpstr>
      <vt:lpstr>SGA_2Q21</vt:lpstr>
      <vt:lpstr>SGA_2Q22</vt:lpstr>
      <vt:lpstr>SGA_2Q23</vt:lpstr>
      <vt:lpstr>SGA_2Q24</vt:lpstr>
      <vt:lpstr>Tags!SGA_3Q00</vt:lpstr>
      <vt:lpstr>SGA_3Q00</vt:lpstr>
      <vt:lpstr>Tags!SGA_3Q01</vt:lpstr>
      <vt:lpstr>SGA_3Q01</vt:lpstr>
      <vt:lpstr>Tags!SGA_3Q02</vt:lpstr>
      <vt:lpstr>SGA_3Q02</vt:lpstr>
      <vt:lpstr>Tags!SGA_3Q03</vt:lpstr>
      <vt:lpstr>SGA_3Q03</vt:lpstr>
      <vt:lpstr>Tags!SGA_3Q04</vt:lpstr>
      <vt:lpstr>SGA_3Q04</vt:lpstr>
      <vt:lpstr>Tags!SGA_3Q05</vt:lpstr>
      <vt:lpstr>SGA_3Q05</vt:lpstr>
      <vt:lpstr>Tags!SGA_3Q06</vt:lpstr>
      <vt:lpstr>SGA_3Q06</vt:lpstr>
      <vt:lpstr>Tags!SGA_3Q07</vt:lpstr>
      <vt:lpstr>SGA_3Q07</vt:lpstr>
      <vt:lpstr>Tags!SGA_3Q08</vt:lpstr>
      <vt:lpstr>SGA_3Q08</vt:lpstr>
      <vt:lpstr>Tags!SGA_3Q09</vt:lpstr>
      <vt:lpstr>SGA_3Q09</vt:lpstr>
      <vt:lpstr>Tags!SGA_3Q10</vt:lpstr>
      <vt:lpstr>SGA_3Q10</vt:lpstr>
      <vt:lpstr>Tags!SGA_3Q11</vt:lpstr>
      <vt:lpstr>SGA_3Q11</vt:lpstr>
      <vt:lpstr>Tags!SGA_3Q12</vt:lpstr>
      <vt:lpstr>SGA_3Q12</vt:lpstr>
      <vt:lpstr>Tags!SGA_3Q13</vt:lpstr>
      <vt:lpstr>SGA_3Q13</vt:lpstr>
      <vt:lpstr>Tags!SGA_3Q14</vt:lpstr>
      <vt:lpstr>SGA_3Q14</vt:lpstr>
      <vt:lpstr>Tags!SGA_3Q15</vt:lpstr>
      <vt:lpstr>SGA_3Q15</vt:lpstr>
      <vt:lpstr>Tags!SGA_3Q16</vt:lpstr>
      <vt:lpstr>SGA_3Q16</vt:lpstr>
      <vt:lpstr>Tags!SGA_3Q17</vt:lpstr>
      <vt:lpstr>SGA_3Q17</vt:lpstr>
      <vt:lpstr>Tags!SGA_3Q18</vt:lpstr>
      <vt:lpstr>SGA_3Q18</vt:lpstr>
      <vt:lpstr>Tags!SGA_3Q19</vt:lpstr>
      <vt:lpstr>SGA_3Q19</vt:lpstr>
      <vt:lpstr>Tags!SGA_3Q20</vt:lpstr>
      <vt:lpstr>SGA_3Q20</vt:lpstr>
      <vt:lpstr>SGA_3Q21</vt:lpstr>
      <vt:lpstr>SGA_3Q22</vt:lpstr>
      <vt:lpstr>SGA_3Q23</vt:lpstr>
      <vt:lpstr>SGA_3Q24</vt:lpstr>
      <vt:lpstr>Tags!SGA_4Q00</vt:lpstr>
      <vt:lpstr>SGA_4Q00</vt:lpstr>
      <vt:lpstr>Tags!SGA_4Q01</vt:lpstr>
      <vt:lpstr>SGA_4Q01</vt:lpstr>
      <vt:lpstr>Tags!SGA_4Q02</vt:lpstr>
      <vt:lpstr>SGA_4Q02</vt:lpstr>
      <vt:lpstr>Tags!SGA_4Q03</vt:lpstr>
      <vt:lpstr>SGA_4Q03</vt:lpstr>
      <vt:lpstr>Tags!SGA_4Q04</vt:lpstr>
      <vt:lpstr>SGA_4Q04</vt:lpstr>
      <vt:lpstr>Tags!SGA_4Q05</vt:lpstr>
      <vt:lpstr>SGA_4Q05</vt:lpstr>
      <vt:lpstr>Tags!SGA_4Q06</vt:lpstr>
      <vt:lpstr>SGA_4Q06</vt:lpstr>
      <vt:lpstr>Tags!SGA_4Q07</vt:lpstr>
      <vt:lpstr>SGA_4Q07</vt:lpstr>
      <vt:lpstr>Tags!SGA_4Q08</vt:lpstr>
      <vt:lpstr>SGA_4Q08</vt:lpstr>
      <vt:lpstr>Tags!SGA_4Q09</vt:lpstr>
      <vt:lpstr>SGA_4Q09</vt:lpstr>
      <vt:lpstr>Tags!SGA_4Q10</vt:lpstr>
      <vt:lpstr>SGA_4Q10</vt:lpstr>
      <vt:lpstr>Tags!SGA_4Q11</vt:lpstr>
      <vt:lpstr>SGA_4Q11</vt:lpstr>
      <vt:lpstr>Tags!SGA_4Q12</vt:lpstr>
      <vt:lpstr>SGA_4Q12</vt:lpstr>
      <vt:lpstr>Tags!SGA_4Q13</vt:lpstr>
      <vt:lpstr>SGA_4Q13</vt:lpstr>
      <vt:lpstr>Tags!SGA_4Q14</vt:lpstr>
      <vt:lpstr>SGA_4Q14</vt:lpstr>
      <vt:lpstr>Tags!SGA_4Q15</vt:lpstr>
      <vt:lpstr>SGA_4Q15</vt:lpstr>
      <vt:lpstr>Tags!SGA_4Q16</vt:lpstr>
      <vt:lpstr>SGA_4Q16</vt:lpstr>
      <vt:lpstr>Tags!SGA_4Q17</vt:lpstr>
      <vt:lpstr>SGA_4Q17</vt:lpstr>
      <vt:lpstr>Tags!SGA_4Q18</vt:lpstr>
      <vt:lpstr>SGA_4Q18</vt:lpstr>
      <vt:lpstr>Tags!SGA_4Q19</vt:lpstr>
      <vt:lpstr>SGA_4Q19</vt:lpstr>
      <vt:lpstr>Tags!SGA_4Q20</vt:lpstr>
      <vt:lpstr>SGA_4Q20</vt:lpstr>
      <vt:lpstr>SGA_4Q21</vt:lpstr>
      <vt:lpstr>SGA_4Q22</vt:lpstr>
      <vt:lpstr>SGA_4Q23</vt:lpstr>
      <vt:lpstr>SGA_4Q24</vt:lpstr>
      <vt:lpstr>SOEEAT_1995</vt:lpstr>
      <vt:lpstr>SOEEAT_1996</vt:lpstr>
      <vt:lpstr>SOEEAT_1997</vt:lpstr>
      <vt:lpstr>SOEEAT_1998</vt:lpstr>
      <vt:lpstr>SOEEAT_1999</vt:lpstr>
      <vt:lpstr>Tags!SOEEAT_1Q00</vt:lpstr>
      <vt:lpstr>SOEEAT_1Q00</vt:lpstr>
      <vt:lpstr>Tags!SOEEAT_1Q01</vt:lpstr>
      <vt:lpstr>SOEEAT_1Q01</vt:lpstr>
      <vt:lpstr>Tags!SOEEAT_1Q02</vt:lpstr>
      <vt:lpstr>SOEEAT_1Q02</vt:lpstr>
      <vt:lpstr>Tags!SOEEAT_1Q03</vt:lpstr>
      <vt:lpstr>SOEEAT_1Q03</vt:lpstr>
      <vt:lpstr>Tags!SOEEAT_1Q04</vt:lpstr>
      <vt:lpstr>SOEEAT_1Q04</vt:lpstr>
      <vt:lpstr>Tags!SOEEAT_1Q05</vt:lpstr>
      <vt:lpstr>SOEEAT_1Q05</vt:lpstr>
      <vt:lpstr>Tags!SOEEAT_1Q06</vt:lpstr>
      <vt:lpstr>SOEEAT_1Q06</vt:lpstr>
      <vt:lpstr>Tags!SOEEAT_1Q07</vt:lpstr>
      <vt:lpstr>SOEEAT_1Q07</vt:lpstr>
      <vt:lpstr>Tags!SOEEAT_1Q08</vt:lpstr>
      <vt:lpstr>SOEEAT_1Q08</vt:lpstr>
      <vt:lpstr>Tags!SOEEAT_1Q09</vt:lpstr>
      <vt:lpstr>SOEEAT_1Q09</vt:lpstr>
      <vt:lpstr>Tags!SOEEAT_1Q10</vt:lpstr>
      <vt:lpstr>SOEEAT_1Q10</vt:lpstr>
      <vt:lpstr>Tags!SOEEAT_1Q11</vt:lpstr>
      <vt:lpstr>SOEEAT_1Q11</vt:lpstr>
      <vt:lpstr>Tags!SOEEAT_1Q12</vt:lpstr>
      <vt:lpstr>SOEEAT_1Q12</vt:lpstr>
      <vt:lpstr>Tags!SOEEAT_1Q13</vt:lpstr>
      <vt:lpstr>SOEEAT_1Q13</vt:lpstr>
      <vt:lpstr>Tags!SOEEAT_1Q14</vt:lpstr>
      <vt:lpstr>SOEEAT_1Q14</vt:lpstr>
      <vt:lpstr>Tags!SOEEAT_1Q15</vt:lpstr>
      <vt:lpstr>SOEEAT_1Q15</vt:lpstr>
      <vt:lpstr>Tags!SOEEAT_1Q16</vt:lpstr>
      <vt:lpstr>SOEEAT_1Q16</vt:lpstr>
      <vt:lpstr>Tags!SOEEAT_1Q17</vt:lpstr>
      <vt:lpstr>SOEEAT_1Q17</vt:lpstr>
      <vt:lpstr>Tags!SOEEAT_1Q18</vt:lpstr>
      <vt:lpstr>SOEEAT_1Q18</vt:lpstr>
      <vt:lpstr>Tags!SOEEAT_1Q19</vt:lpstr>
      <vt:lpstr>SOEEAT_1Q19</vt:lpstr>
      <vt:lpstr>Tags!SOEEAT_1Q20</vt:lpstr>
      <vt:lpstr>SOEEAT_1Q20</vt:lpstr>
      <vt:lpstr>SOEEAT_1Q21</vt:lpstr>
      <vt:lpstr>SOEEAT_1Q22</vt:lpstr>
      <vt:lpstr>SOEEAT_1Q23</vt:lpstr>
      <vt:lpstr>SOEEAT_1Q24</vt:lpstr>
      <vt:lpstr>Tags!SOEEAT_2000</vt:lpstr>
      <vt:lpstr>SOEEAT_2000</vt:lpstr>
      <vt:lpstr>Tags!SOEEAT_2001</vt:lpstr>
      <vt:lpstr>SOEEAT_2001</vt:lpstr>
      <vt:lpstr>Tags!SOEEAT_2002</vt:lpstr>
      <vt:lpstr>SOEEAT_2002</vt:lpstr>
      <vt:lpstr>Tags!SOEEAT_2003</vt:lpstr>
      <vt:lpstr>SOEEAT_2003</vt:lpstr>
      <vt:lpstr>Tags!SOEEAT_2004</vt:lpstr>
      <vt:lpstr>SOEEAT_2004</vt:lpstr>
      <vt:lpstr>Tags!SOEEAT_2005</vt:lpstr>
      <vt:lpstr>SOEEAT_2005</vt:lpstr>
      <vt:lpstr>Tags!SOEEAT_2006</vt:lpstr>
      <vt:lpstr>SOEEAT_2006</vt:lpstr>
      <vt:lpstr>Tags!SOEEAT_2007</vt:lpstr>
      <vt:lpstr>SOEEAT_2007</vt:lpstr>
      <vt:lpstr>Tags!SOEEAT_2008</vt:lpstr>
      <vt:lpstr>SOEEAT_2008</vt:lpstr>
      <vt:lpstr>Tags!SOEEAT_2009</vt:lpstr>
      <vt:lpstr>SOEEAT_2009</vt:lpstr>
      <vt:lpstr>Tags!SOEEAT_2010</vt:lpstr>
      <vt:lpstr>SOEEAT_2010</vt:lpstr>
      <vt:lpstr>Tags!SOEEAT_2011</vt:lpstr>
      <vt:lpstr>SOEEAT_2011</vt:lpstr>
      <vt:lpstr>Tags!SOEEAT_2012</vt:lpstr>
      <vt:lpstr>SOEEAT_2012</vt:lpstr>
      <vt:lpstr>Tags!SOEEAT_2013</vt:lpstr>
      <vt:lpstr>SOEEAT_2013</vt:lpstr>
      <vt:lpstr>Tags!SOEEAT_2014</vt:lpstr>
      <vt:lpstr>SOEEAT_2014</vt:lpstr>
      <vt:lpstr>SOEEAT_2015</vt:lpstr>
      <vt:lpstr>Tags!SOEEAT_2016</vt:lpstr>
      <vt:lpstr>SOEEAT_2016</vt:lpstr>
      <vt:lpstr>Tags!SOEEAT_2017</vt:lpstr>
      <vt:lpstr>SOEEAT_2017</vt:lpstr>
      <vt:lpstr>Tags!SOEEAT_2018</vt:lpstr>
      <vt:lpstr>SOEEAT_2018</vt:lpstr>
      <vt:lpstr>Tags!SOEEAT_2019</vt:lpstr>
      <vt:lpstr>SOEEAT_2019</vt:lpstr>
      <vt:lpstr>Tags!SOEEAT_2020</vt:lpstr>
      <vt:lpstr>SOEEAT_2020</vt:lpstr>
      <vt:lpstr>SOEEAT_2021</vt:lpstr>
      <vt:lpstr>SOEEAT_2022</vt:lpstr>
      <vt:lpstr>SOEEAT_2023</vt:lpstr>
      <vt:lpstr>SOEEAT_2024</vt:lpstr>
      <vt:lpstr>Tags!SOEEAT_2Q00</vt:lpstr>
      <vt:lpstr>SOEEAT_2Q00</vt:lpstr>
      <vt:lpstr>Tags!SOEEAT_2Q01</vt:lpstr>
      <vt:lpstr>SOEEAT_2Q01</vt:lpstr>
      <vt:lpstr>Tags!SOEEAT_2Q02</vt:lpstr>
      <vt:lpstr>SOEEAT_2Q02</vt:lpstr>
      <vt:lpstr>Tags!SOEEAT_2Q03</vt:lpstr>
      <vt:lpstr>SOEEAT_2Q03</vt:lpstr>
      <vt:lpstr>Tags!SOEEAT_2Q04</vt:lpstr>
      <vt:lpstr>SOEEAT_2Q04</vt:lpstr>
      <vt:lpstr>Tags!SOEEAT_2Q05</vt:lpstr>
      <vt:lpstr>SOEEAT_2Q05</vt:lpstr>
      <vt:lpstr>Tags!SOEEAT_2Q06</vt:lpstr>
      <vt:lpstr>SOEEAT_2Q06</vt:lpstr>
      <vt:lpstr>Tags!SOEEAT_2Q07</vt:lpstr>
      <vt:lpstr>SOEEAT_2Q07</vt:lpstr>
      <vt:lpstr>Tags!SOEEAT_2Q08</vt:lpstr>
      <vt:lpstr>SOEEAT_2Q08</vt:lpstr>
      <vt:lpstr>Tags!SOEEAT_2Q09</vt:lpstr>
      <vt:lpstr>SOEEAT_2Q09</vt:lpstr>
      <vt:lpstr>Tags!SOEEAT_2Q10</vt:lpstr>
      <vt:lpstr>SOEEAT_2Q10</vt:lpstr>
      <vt:lpstr>Tags!SOEEAT_2Q11</vt:lpstr>
      <vt:lpstr>SOEEAT_2Q11</vt:lpstr>
      <vt:lpstr>Tags!SOEEAT_2Q12</vt:lpstr>
      <vt:lpstr>SOEEAT_2Q12</vt:lpstr>
      <vt:lpstr>Tags!SOEEAT_2Q13</vt:lpstr>
      <vt:lpstr>SOEEAT_2Q13</vt:lpstr>
      <vt:lpstr>Tags!SOEEAT_2Q14</vt:lpstr>
      <vt:lpstr>SOEEAT_2Q14</vt:lpstr>
      <vt:lpstr>Tags!SOEEAT_2Q15</vt:lpstr>
      <vt:lpstr>SOEEAT_2Q15</vt:lpstr>
      <vt:lpstr>Tags!SOEEAT_2Q16</vt:lpstr>
      <vt:lpstr>SOEEAT_2Q16</vt:lpstr>
      <vt:lpstr>Tags!SOEEAT_2Q17</vt:lpstr>
      <vt:lpstr>SOEEAT_2Q17</vt:lpstr>
      <vt:lpstr>Tags!SOEEAT_2Q18</vt:lpstr>
      <vt:lpstr>SOEEAT_2Q18</vt:lpstr>
      <vt:lpstr>Tags!SOEEAT_2Q19</vt:lpstr>
      <vt:lpstr>SOEEAT_2Q19</vt:lpstr>
      <vt:lpstr>Tags!SOEEAT_2Q20</vt:lpstr>
      <vt:lpstr>SOEEAT_2Q20</vt:lpstr>
      <vt:lpstr>SOEEAT_2Q21</vt:lpstr>
      <vt:lpstr>SOEEAT_2Q22</vt:lpstr>
      <vt:lpstr>SOEEAT_2Q23</vt:lpstr>
      <vt:lpstr>SOEEAT_2Q24</vt:lpstr>
      <vt:lpstr>Tags!SOEEAT_3Q00</vt:lpstr>
      <vt:lpstr>SOEEAT_3Q00</vt:lpstr>
      <vt:lpstr>Tags!SOEEAT_3Q01</vt:lpstr>
      <vt:lpstr>SOEEAT_3Q01</vt:lpstr>
      <vt:lpstr>Tags!SOEEAT_3Q02</vt:lpstr>
      <vt:lpstr>SOEEAT_3Q02</vt:lpstr>
      <vt:lpstr>Tags!SOEEAT_3Q03</vt:lpstr>
      <vt:lpstr>SOEEAT_3Q03</vt:lpstr>
      <vt:lpstr>Tags!SOEEAT_3Q04</vt:lpstr>
      <vt:lpstr>SOEEAT_3Q04</vt:lpstr>
      <vt:lpstr>Tags!SOEEAT_3Q05</vt:lpstr>
      <vt:lpstr>SOEEAT_3Q05</vt:lpstr>
      <vt:lpstr>Tags!SOEEAT_3Q06</vt:lpstr>
      <vt:lpstr>SOEEAT_3Q06</vt:lpstr>
      <vt:lpstr>Tags!SOEEAT_3Q07</vt:lpstr>
      <vt:lpstr>SOEEAT_3Q07</vt:lpstr>
      <vt:lpstr>Tags!SOEEAT_3Q08</vt:lpstr>
      <vt:lpstr>SOEEAT_3Q08</vt:lpstr>
      <vt:lpstr>Tags!SOEEAT_3Q09</vt:lpstr>
      <vt:lpstr>SOEEAT_3Q09</vt:lpstr>
      <vt:lpstr>Tags!SOEEAT_3Q10</vt:lpstr>
      <vt:lpstr>SOEEAT_3Q10</vt:lpstr>
      <vt:lpstr>Tags!SOEEAT_3Q11</vt:lpstr>
      <vt:lpstr>SOEEAT_3Q11</vt:lpstr>
      <vt:lpstr>Tags!SOEEAT_3Q12</vt:lpstr>
      <vt:lpstr>SOEEAT_3Q12</vt:lpstr>
      <vt:lpstr>Tags!SOEEAT_3Q13</vt:lpstr>
      <vt:lpstr>SOEEAT_3Q13</vt:lpstr>
      <vt:lpstr>Tags!SOEEAT_3Q14</vt:lpstr>
      <vt:lpstr>SOEEAT_3Q14</vt:lpstr>
      <vt:lpstr>Tags!SOEEAT_3Q15</vt:lpstr>
      <vt:lpstr>SOEEAT_3Q15</vt:lpstr>
      <vt:lpstr>Tags!SOEEAT_3Q16</vt:lpstr>
      <vt:lpstr>SOEEAT_3Q16</vt:lpstr>
      <vt:lpstr>Tags!SOEEAT_3Q17</vt:lpstr>
      <vt:lpstr>SOEEAT_3Q17</vt:lpstr>
      <vt:lpstr>Tags!SOEEAT_3Q18</vt:lpstr>
      <vt:lpstr>SOEEAT_3Q18</vt:lpstr>
      <vt:lpstr>Tags!SOEEAT_3Q19</vt:lpstr>
      <vt:lpstr>SOEEAT_3Q19</vt:lpstr>
      <vt:lpstr>Tags!SOEEAT_3Q20</vt:lpstr>
      <vt:lpstr>SOEEAT_3Q20</vt:lpstr>
      <vt:lpstr>SOEEAT_3Q21</vt:lpstr>
      <vt:lpstr>SOEEAT_3Q22</vt:lpstr>
      <vt:lpstr>SOEEAT_3Q23</vt:lpstr>
      <vt:lpstr>SOEEAT_3Q24</vt:lpstr>
      <vt:lpstr>Tags!SOEEAT_4Q00</vt:lpstr>
      <vt:lpstr>SOEEAT_4Q00</vt:lpstr>
      <vt:lpstr>Tags!SOEEAT_4Q01</vt:lpstr>
      <vt:lpstr>SOEEAT_4Q01</vt:lpstr>
      <vt:lpstr>Tags!SOEEAT_4Q02</vt:lpstr>
      <vt:lpstr>SOEEAT_4Q02</vt:lpstr>
      <vt:lpstr>Tags!SOEEAT_4Q03</vt:lpstr>
      <vt:lpstr>SOEEAT_4Q03</vt:lpstr>
      <vt:lpstr>Tags!SOEEAT_4Q04</vt:lpstr>
      <vt:lpstr>SOEEAT_4Q04</vt:lpstr>
      <vt:lpstr>Tags!SOEEAT_4Q05</vt:lpstr>
      <vt:lpstr>SOEEAT_4Q05</vt:lpstr>
      <vt:lpstr>Tags!SOEEAT_4Q06</vt:lpstr>
      <vt:lpstr>SOEEAT_4Q06</vt:lpstr>
      <vt:lpstr>Tags!SOEEAT_4Q07</vt:lpstr>
      <vt:lpstr>SOEEAT_4Q07</vt:lpstr>
      <vt:lpstr>Tags!SOEEAT_4Q08</vt:lpstr>
      <vt:lpstr>SOEEAT_4Q08</vt:lpstr>
      <vt:lpstr>Tags!SOEEAT_4Q09</vt:lpstr>
      <vt:lpstr>SOEEAT_4Q09</vt:lpstr>
      <vt:lpstr>Tags!SOEEAT_4Q10</vt:lpstr>
      <vt:lpstr>SOEEAT_4Q10</vt:lpstr>
      <vt:lpstr>Tags!SOEEAT_4Q11</vt:lpstr>
      <vt:lpstr>SOEEAT_4Q11</vt:lpstr>
      <vt:lpstr>Tags!SOEEAT_4Q12</vt:lpstr>
      <vt:lpstr>SOEEAT_4Q12</vt:lpstr>
      <vt:lpstr>Tags!SOEEAT_4Q13</vt:lpstr>
      <vt:lpstr>SOEEAT_4Q13</vt:lpstr>
      <vt:lpstr>Tags!SOEEAT_4Q14</vt:lpstr>
      <vt:lpstr>SOEEAT_4Q14</vt:lpstr>
      <vt:lpstr>Tags!SOEEAT_4Q15</vt:lpstr>
      <vt:lpstr>SOEEAT_4Q15</vt:lpstr>
      <vt:lpstr>Tags!SOEEAT_4Q16</vt:lpstr>
      <vt:lpstr>SOEEAT_4Q16</vt:lpstr>
      <vt:lpstr>Tags!SOEEAT_4Q17</vt:lpstr>
      <vt:lpstr>SOEEAT_4Q17</vt:lpstr>
      <vt:lpstr>Tags!SOEEAT_4Q18</vt:lpstr>
      <vt:lpstr>SOEEAT_4Q18</vt:lpstr>
      <vt:lpstr>Tags!SOEEAT_4Q19</vt:lpstr>
      <vt:lpstr>SOEEAT_4Q19</vt:lpstr>
      <vt:lpstr>Tags!SOEEAT_4Q20</vt:lpstr>
      <vt:lpstr>SOEEAT_4Q20</vt:lpstr>
      <vt:lpstr>SOEEAT_4Q21</vt:lpstr>
      <vt:lpstr>SOEEAT_4Q22</vt:lpstr>
      <vt:lpstr>SOEEAT_4Q23</vt:lpstr>
      <vt:lpstr>SOEEAT_4Q24</vt:lpstr>
      <vt:lpstr>SPEDIV_1995</vt:lpstr>
      <vt:lpstr>SPEDIV_1996</vt:lpstr>
      <vt:lpstr>SPEDIV_1997</vt:lpstr>
      <vt:lpstr>SPEDIV_1998</vt:lpstr>
      <vt:lpstr>SPEDIV_1999</vt:lpstr>
      <vt:lpstr>Tags!SPEDIV_1Q00</vt:lpstr>
      <vt:lpstr>SPEDIV_1Q00</vt:lpstr>
      <vt:lpstr>Tags!SPEDIV_1Q01</vt:lpstr>
      <vt:lpstr>SPEDIV_1Q01</vt:lpstr>
      <vt:lpstr>Tags!SPEDIV_1Q02</vt:lpstr>
      <vt:lpstr>SPEDIV_1Q02</vt:lpstr>
      <vt:lpstr>Tags!SPEDIV_1Q03</vt:lpstr>
      <vt:lpstr>SPEDIV_1Q03</vt:lpstr>
      <vt:lpstr>Tags!SPEDIV_1Q04</vt:lpstr>
      <vt:lpstr>SPEDIV_1Q04</vt:lpstr>
      <vt:lpstr>Tags!SPEDIV_1Q05</vt:lpstr>
      <vt:lpstr>SPEDIV_1Q05</vt:lpstr>
      <vt:lpstr>Tags!SPEDIV_1Q06</vt:lpstr>
      <vt:lpstr>SPEDIV_1Q06</vt:lpstr>
      <vt:lpstr>Tags!SPEDIV_1Q07</vt:lpstr>
      <vt:lpstr>SPEDIV_1Q07</vt:lpstr>
      <vt:lpstr>Tags!SPEDIV_1Q08</vt:lpstr>
      <vt:lpstr>SPEDIV_1Q08</vt:lpstr>
      <vt:lpstr>Tags!SPEDIV_1Q09</vt:lpstr>
      <vt:lpstr>SPEDIV_1Q09</vt:lpstr>
      <vt:lpstr>Tags!SPEDIV_1Q10</vt:lpstr>
      <vt:lpstr>SPEDIV_1Q10</vt:lpstr>
      <vt:lpstr>Tags!SPEDIV_1Q11</vt:lpstr>
      <vt:lpstr>SPEDIV_1Q11</vt:lpstr>
      <vt:lpstr>Tags!SPEDIV_1Q12</vt:lpstr>
      <vt:lpstr>SPEDIV_1Q12</vt:lpstr>
      <vt:lpstr>Tags!SPEDIV_1Q13</vt:lpstr>
      <vt:lpstr>SPEDIV_1Q13</vt:lpstr>
      <vt:lpstr>Tags!SPEDIV_1Q14</vt:lpstr>
      <vt:lpstr>SPEDIV_1Q14</vt:lpstr>
      <vt:lpstr>Tags!SPEDIV_1Q15</vt:lpstr>
      <vt:lpstr>SPEDIV_1Q15</vt:lpstr>
      <vt:lpstr>Tags!SPEDIV_1Q16</vt:lpstr>
      <vt:lpstr>SPEDIV_1Q16</vt:lpstr>
      <vt:lpstr>Tags!SPEDIV_1Q17</vt:lpstr>
      <vt:lpstr>SPEDIV_1Q17</vt:lpstr>
      <vt:lpstr>Tags!SPEDIV_1Q18</vt:lpstr>
      <vt:lpstr>SPEDIV_1Q18</vt:lpstr>
      <vt:lpstr>Tags!SPEDIV_1Q19</vt:lpstr>
      <vt:lpstr>SPEDIV_1Q19</vt:lpstr>
      <vt:lpstr>Tags!SPEDIV_1Q20</vt:lpstr>
      <vt:lpstr>SPEDIV_1Q20</vt:lpstr>
      <vt:lpstr>SPEDIV_1Q21</vt:lpstr>
      <vt:lpstr>SPEDIV_1Q22</vt:lpstr>
      <vt:lpstr>SPEDIV_1Q23</vt:lpstr>
      <vt:lpstr>SPEDIV_1Q24</vt:lpstr>
      <vt:lpstr>Tags!SPEDIV_2000</vt:lpstr>
      <vt:lpstr>SPEDIV_2000</vt:lpstr>
      <vt:lpstr>Tags!SPEDIV_2001</vt:lpstr>
      <vt:lpstr>SPEDIV_2001</vt:lpstr>
      <vt:lpstr>Tags!SPEDIV_2002</vt:lpstr>
      <vt:lpstr>SPEDIV_2002</vt:lpstr>
      <vt:lpstr>Tags!SPEDIV_2003</vt:lpstr>
      <vt:lpstr>SPEDIV_2003</vt:lpstr>
      <vt:lpstr>Tags!SPEDIV_2004</vt:lpstr>
      <vt:lpstr>SPEDIV_2004</vt:lpstr>
      <vt:lpstr>Tags!SPEDIV_2005</vt:lpstr>
      <vt:lpstr>SPEDIV_2005</vt:lpstr>
      <vt:lpstr>Tags!SPEDIV_2006</vt:lpstr>
      <vt:lpstr>SPEDIV_2006</vt:lpstr>
      <vt:lpstr>Tags!SPEDIV_2007</vt:lpstr>
      <vt:lpstr>SPEDIV_2007</vt:lpstr>
      <vt:lpstr>Tags!SPEDIV_2008</vt:lpstr>
      <vt:lpstr>SPEDIV_2008</vt:lpstr>
      <vt:lpstr>Tags!SPEDIV_2009</vt:lpstr>
      <vt:lpstr>SPEDIV_2009</vt:lpstr>
      <vt:lpstr>Tags!SPEDIV_2010</vt:lpstr>
      <vt:lpstr>SPEDIV_2010</vt:lpstr>
      <vt:lpstr>Tags!SPEDIV_2011</vt:lpstr>
      <vt:lpstr>SPEDIV_2011</vt:lpstr>
      <vt:lpstr>Tags!SPEDIV_2012</vt:lpstr>
      <vt:lpstr>SPEDIV_2012</vt:lpstr>
      <vt:lpstr>Tags!SPEDIV_2013</vt:lpstr>
      <vt:lpstr>SPEDIV_2013</vt:lpstr>
      <vt:lpstr>Tags!SPEDIV_2014</vt:lpstr>
      <vt:lpstr>SPEDIV_2014</vt:lpstr>
      <vt:lpstr>SPEDIV_2015</vt:lpstr>
      <vt:lpstr>Tags!SPEDIV_2016</vt:lpstr>
      <vt:lpstr>SPEDIV_2016</vt:lpstr>
      <vt:lpstr>Tags!SPEDIV_2017</vt:lpstr>
      <vt:lpstr>SPEDIV_2017</vt:lpstr>
      <vt:lpstr>Tags!SPEDIV_2018</vt:lpstr>
      <vt:lpstr>SPEDIV_2018</vt:lpstr>
      <vt:lpstr>Tags!SPEDIV_2019</vt:lpstr>
      <vt:lpstr>SPEDIV_2019</vt:lpstr>
      <vt:lpstr>Tags!SPEDIV_2020</vt:lpstr>
      <vt:lpstr>SPEDIV_2020</vt:lpstr>
      <vt:lpstr>SPEDIV_2021</vt:lpstr>
      <vt:lpstr>SPEDIV_2022</vt:lpstr>
      <vt:lpstr>SPEDIV_2023</vt:lpstr>
      <vt:lpstr>SPEDIV_2024</vt:lpstr>
      <vt:lpstr>Tags!SPEDIV_2Q00</vt:lpstr>
      <vt:lpstr>SPEDIV_2Q00</vt:lpstr>
      <vt:lpstr>Tags!SPEDIV_2Q01</vt:lpstr>
      <vt:lpstr>SPEDIV_2Q01</vt:lpstr>
      <vt:lpstr>Tags!SPEDIV_2Q02</vt:lpstr>
      <vt:lpstr>SPEDIV_2Q02</vt:lpstr>
      <vt:lpstr>Tags!SPEDIV_2Q03</vt:lpstr>
      <vt:lpstr>SPEDIV_2Q03</vt:lpstr>
      <vt:lpstr>Tags!SPEDIV_2Q04</vt:lpstr>
      <vt:lpstr>SPEDIV_2Q04</vt:lpstr>
      <vt:lpstr>Tags!SPEDIV_2Q05</vt:lpstr>
      <vt:lpstr>SPEDIV_2Q05</vt:lpstr>
      <vt:lpstr>Tags!SPEDIV_2Q06</vt:lpstr>
      <vt:lpstr>SPEDIV_2Q06</vt:lpstr>
      <vt:lpstr>Tags!SPEDIV_2Q07</vt:lpstr>
      <vt:lpstr>SPEDIV_2Q07</vt:lpstr>
      <vt:lpstr>Tags!SPEDIV_2Q08</vt:lpstr>
      <vt:lpstr>SPEDIV_2Q08</vt:lpstr>
      <vt:lpstr>Tags!SPEDIV_2Q09</vt:lpstr>
      <vt:lpstr>SPEDIV_2Q09</vt:lpstr>
      <vt:lpstr>Tags!SPEDIV_2Q10</vt:lpstr>
      <vt:lpstr>SPEDIV_2Q10</vt:lpstr>
      <vt:lpstr>Tags!SPEDIV_2Q11</vt:lpstr>
      <vt:lpstr>SPEDIV_2Q11</vt:lpstr>
      <vt:lpstr>Tags!SPEDIV_2Q12</vt:lpstr>
      <vt:lpstr>SPEDIV_2Q12</vt:lpstr>
      <vt:lpstr>Tags!SPEDIV_2Q13</vt:lpstr>
      <vt:lpstr>SPEDIV_2Q13</vt:lpstr>
      <vt:lpstr>Tags!SPEDIV_2Q14</vt:lpstr>
      <vt:lpstr>SPEDIV_2Q14</vt:lpstr>
      <vt:lpstr>Tags!SPEDIV_2Q15</vt:lpstr>
      <vt:lpstr>SPEDIV_2Q15</vt:lpstr>
      <vt:lpstr>Tags!SPEDIV_2Q16</vt:lpstr>
      <vt:lpstr>SPEDIV_2Q16</vt:lpstr>
      <vt:lpstr>Tags!SPEDIV_2Q17</vt:lpstr>
      <vt:lpstr>SPEDIV_2Q17</vt:lpstr>
      <vt:lpstr>Tags!SPEDIV_2Q18</vt:lpstr>
      <vt:lpstr>SPEDIV_2Q18</vt:lpstr>
      <vt:lpstr>Tags!SPEDIV_2Q19</vt:lpstr>
      <vt:lpstr>SPEDIV_2Q19</vt:lpstr>
      <vt:lpstr>Tags!SPEDIV_2Q20</vt:lpstr>
      <vt:lpstr>SPEDIV_2Q20</vt:lpstr>
      <vt:lpstr>SPEDIV_2Q21</vt:lpstr>
      <vt:lpstr>SPEDIV_2Q22</vt:lpstr>
      <vt:lpstr>SPEDIV_2Q23</vt:lpstr>
      <vt:lpstr>SPEDIV_2Q24</vt:lpstr>
      <vt:lpstr>Tags!SPEDIV_3Q00</vt:lpstr>
      <vt:lpstr>SPEDIV_3Q00</vt:lpstr>
      <vt:lpstr>Tags!SPEDIV_3Q01</vt:lpstr>
      <vt:lpstr>SPEDIV_3Q01</vt:lpstr>
      <vt:lpstr>Tags!SPEDIV_3Q02</vt:lpstr>
      <vt:lpstr>SPEDIV_3Q02</vt:lpstr>
      <vt:lpstr>Tags!SPEDIV_3Q03</vt:lpstr>
      <vt:lpstr>SPEDIV_3Q03</vt:lpstr>
      <vt:lpstr>Tags!SPEDIV_3Q04</vt:lpstr>
      <vt:lpstr>SPEDIV_3Q04</vt:lpstr>
      <vt:lpstr>Tags!SPEDIV_3Q05</vt:lpstr>
      <vt:lpstr>SPEDIV_3Q05</vt:lpstr>
      <vt:lpstr>Tags!SPEDIV_3Q06</vt:lpstr>
      <vt:lpstr>SPEDIV_3Q06</vt:lpstr>
      <vt:lpstr>Tags!SPEDIV_3Q07</vt:lpstr>
      <vt:lpstr>SPEDIV_3Q07</vt:lpstr>
      <vt:lpstr>Tags!SPEDIV_3Q08</vt:lpstr>
      <vt:lpstr>SPEDIV_3Q08</vt:lpstr>
      <vt:lpstr>Tags!SPEDIV_3Q09</vt:lpstr>
      <vt:lpstr>SPEDIV_3Q09</vt:lpstr>
      <vt:lpstr>Tags!SPEDIV_3Q10</vt:lpstr>
      <vt:lpstr>SPEDIV_3Q10</vt:lpstr>
      <vt:lpstr>Tags!SPEDIV_3Q11</vt:lpstr>
      <vt:lpstr>SPEDIV_3Q11</vt:lpstr>
      <vt:lpstr>Tags!SPEDIV_3Q12</vt:lpstr>
      <vt:lpstr>SPEDIV_3Q12</vt:lpstr>
      <vt:lpstr>Tags!SPEDIV_3Q13</vt:lpstr>
      <vt:lpstr>SPEDIV_3Q13</vt:lpstr>
      <vt:lpstr>Tags!SPEDIV_3Q14</vt:lpstr>
      <vt:lpstr>SPEDIV_3Q14</vt:lpstr>
      <vt:lpstr>Tags!SPEDIV_3Q15</vt:lpstr>
      <vt:lpstr>SPEDIV_3Q15</vt:lpstr>
      <vt:lpstr>Tags!SPEDIV_3Q16</vt:lpstr>
      <vt:lpstr>SPEDIV_3Q16</vt:lpstr>
      <vt:lpstr>Tags!SPEDIV_3Q17</vt:lpstr>
      <vt:lpstr>SPEDIV_3Q17</vt:lpstr>
      <vt:lpstr>Tags!SPEDIV_3Q18</vt:lpstr>
      <vt:lpstr>SPEDIV_3Q18</vt:lpstr>
      <vt:lpstr>Tags!SPEDIV_3Q19</vt:lpstr>
      <vt:lpstr>SPEDIV_3Q19</vt:lpstr>
      <vt:lpstr>Tags!SPEDIV_3Q20</vt:lpstr>
      <vt:lpstr>SPEDIV_3Q20</vt:lpstr>
      <vt:lpstr>SPEDIV_3Q21</vt:lpstr>
      <vt:lpstr>SPEDIV_3Q22</vt:lpstr>
      <vt:lpstr>SPEDIV_3Q23</vt:lpstr>
      <vt:lpstr>SPEDIV_3Q24</vt:lpstr>
      <vt:lpstr>Tags!SPEDIV_4Q00</vt:lpstr>
      <vt:lpstr>SPEDIV_4Q00</vt:lpstr>
      <vt:lpstr>Tags!SPEDIV_4Q01</vt:lpstr>
      <vt:lpstr>SPEDIV_4Q01</vt:lpstr>
      <vt:lpstr>Tags!SPEDIV_4Q02</vt:lpstr>
      <vt:lpstr>SPEDIV_4Q02</vt:lpstr>
      <vt:lpstr>Tags!SPEDIV_4Q03</vt:lpstr>
      <vt:lpstr>SPEDIV_4Q03</vt:lpstr>
      <vt:lpstr>Tags!SPEDIV_4Q04</vt:lpstr>
      <vt:lpstr>SPEDIV_4Q04</vt:lpstr>
      <vt:lpstr>Tags!SPEDIV_4Q05</vt:lpstr>
      <vt:lpstr>SPEDIV_4Q05</vt:lpstr>
      <vt:lpstr>Tags!SPEDIV_4Q06</vt:lpstr>
      <vt:lpstr>SPEDIV_4Q06</vt:lpstr>
      <vt:lpstr>Tags!SPEDIV_4Q07</vt:lpstr>
      <vt:lpstr>SPEDIV_4Q07</vt:lpstr>
      <vt:lpstr>Tags!SPEDIV_4Q08</vt:lpstr>
      <vt:lpstr>SPEDIV_4Q08</vt:lpstr>
      <vt:lpstr>Tags!SPEDIV_4Q09</vt:lpstr>
      <vt:lpstr>SPEDIV_4Q09</vt:lpstr>
      <vt:lpstr>Tags!SPEDIV_4Q10</vt:lpstr>
      <vt:lpstr>SPEDIV_4Q10</vt:lpstr>
      <vt:lpstr>Tags!SPEDIV_4Q11</vt:lpstr>
      <vt:lpstr>SPEDIV_4Q11</vt:lpstr>
      <vt:lpstr>Tags!SPEDIV_4Q12</vt:lpstr>
      <vt:lpstr>SPEDIV_4Q12</vt:lpstr>
      <vt:lpstr>Tags!SPEDIV_4Q13</vt:lpstr>
      <vt:lpstr>SPEDIV_4Q13</vt:lpstr>
      <vt:lpstr>Tags!SPEDIV_4Q14</vt:lpstr>
      <vt:lpstr>SPEDIV_4Q14</vt:lpstr>
      <vt:lpstr>Tags!SPEDIV_4Q15</vt:lpstr>
      <vt:lpstr>SPEDIV_4Q15</vt:lpstr>
      <vt:lpstr>Tags!SPEDIV_4Q16</vt:lpstr>
      <vt:lpstr>SPEDIV_4Q16</vt:lpstr>
      <vt:lpstr>Tags!SPEDIV_4Q17</vt:lpstr>
      <vt:lpstr>SPEDIV_4Q17</vt:lpstr>
      <vt:lpstr>Tags!SPEDIV_4Q18</vt:lpstr>
      <vt:lpstr>SPEDIV_4Q18</vt:lpstr>
      <vt:lpstr>Tags!SPEDIV_4Q19</vt:lpstr>
      <vt:lpstr>SPEDIV_4Q19</vt:lpstr>
      <vt:lpstr>Tags!SPEDIV_4Q20</vt:lpstr>
      <vt:lpstr>SPEDIV_4Q20</vt:lpstr>
      <vt:lpstr>SPEDIV_4Q21</vt:lpstr>
      <vt:lpstr>SPEDIV_4Q22</vt:lpstr>
      <vt:lpstr>SPEDIV_4Q23</vt:lpstr>
      <vt:lpstr>SPEDIV_4Q24</vt:lpstr>
      <vt:lpstr>STDCH_1995</vt:lpstr>
      <vt:lpstr>STDCH_1996</vt:lpstr>
      <vt:lpstr>STDCH_1997</vt:lpstr>
      <vt:lpstr>STDCH_1998</vt:lpstr>
      <vt:lpstr>STDCH_1999</vt:lpstr>
      <vt:lpstr>Tags!STDCH_1Q00</vt:lpstr>
      <vt:lpstr>STDCH_1Q00</vt:lpstr>
      <vt:lpstr>Tags!STDCH_1Q01</vt:lpstr>
      <vt:lpstr>STDCH_1Q01</vt:lpstr>
      <vt:lpstr>Tags!STDCH_1Q02</vt:lpstr>
      <vt:lpstr>STDCH_1Q02</vt:lpstr>
      <vt:lpstr>Tags!STDCH_1Q03</vt:lpstr>
      <vt:lpstr>STDCH_1Q03</vt:lpstr>
      <vt:lpstr>Tags!STDCH_1Q04</vt:lpstr>
      <vt:lpstr>STDCH_1Q04</vt:lpstr>
      <vt:lpstr>Tags!STDCH_1Q05</vt:lpstr>
      <vt:lpstr>STDCH_1Q05</vt:lpstr>
      <vt:lpstr>Tags!STDCH_1Q06</vt:lpstr>
      <vt:lpstr>STDCH_1Q06</vt:lpstr>
      <vt:lpstr>Tags!STDCH_1Q07</vt:lpstr>
      <vt:lpstr>STDCH_1Q07</vt:lpstr>
      <vt:lpstr>Tags!STDCH_1Q08</vt:lpstr>
      <vt:lpstr>STDCH_1Q08</vt:lpstr>
      <vt:lpstr>Tags!STDCH_1Q09</vt:lpstr>
      <vt:lpstr>STDCH_1Q09</vt:lpstr>
      <vt:lpstr>Tags!STDCH_1Q10</vt:lpstr>
      <vt:lpstr>STDCH_1Q10</vt:lpstr>
      <vt:lpstr>Tags!STDCH_1Q11</vt:lpstr>
      <vt:lpstr>STDCH_1Q11</vt:lpstr>
      <vt:lpstr>Tags!STDCH_1Q12</vt:lpstr>
      <vt:lpstr>STDCH_1Q12</vt:lpstr>
      <vt:lpstr>Tags!STDCH_1Q13</vt:lpstr>
      <vt:lpstr>STDCH_1Q13</vt:lpstr>
      <vt:lpstr>Tags!STDCH_1Q14</vt:lpstr>
      <vt:lpstr>STDCH_1Q14</vt:lpstr>
      <vt:lpstr>Tags!STDCH_1Q15</vt:lpstr>
      <vt:lpstr>STDCH_1Q15</vt:lpstr>
      <vt:lpstr>Tags!STDCH_1Q16</vt:lpstr>
      <vt:lpstr>STDCH_1Q16</vt:lpstr>
      <vt:lpstr>Tags!STDCH_1Q17</vt:lpstr>
      <vt:lpstr>STDCH_1Q17</vt:lpstr>
      <vt:lpstr>Tags!STDCH_1Q18</vt:lpstr>
      <vt:lpstr>STDCH_1Q18</vt:lpstr>
      <vt:lpstr>Tags!STDCH_1Q19</vt:lpstr>
      <vt:lpstr>STDCH_1Q19</vt:lpstr>
      <vt:lpstr>Tags!STDCH_1Q20</vt:lpstr>
      <vt:lpstr>STDCH_1Q20</vt:lpstr>
      <vt:lpstr>STDCH_1Q21</vt:lpstr>
      <vt:lpstr>STDCH_1Q22</vt:lpstr>
      <vt:lpstr>STDCH_1Q23</vt:lpstr>
      <vt:lpstr>STDCH_1Q24</vt:lpstr>
      <vt:lpstr>Tags!STDCH_2000</vt:lpstr>
      <vt:lpstr>STDCH_2000</vt:lpstr>
      <vt:lpstr>Tags!STDCH_2001</vt:lpstr>
      <vt:lpstr>STDCH_2001</vt:lpstr>
      <vt:lpstr>Tags!STDCH_2002</vt:lpstr>
      <vt:lpstr>STDCH_2002</vt:lpstr>
      <vt:lpstr>Tags!STDCH_2003</vt:lpstr>
      <vt:lpstr>STDCH_2003</vt:lpstr>
      <vt:lpstr>Tags!STDCH_2004</vt:lpstr>
      <vt:lpstr>STDCH_2004</vt:lpstr>
      <vt:lpstr>Tags!STDCH_2005</vt:lpstr>
      <vt:lpstr>STDCH_2005</vt:lpstr>
      <vt:lpstr>Tags!STDCH_2006</vt:lpstr>
      <vt:lpstr>STDCH_2006</vt:lpstr>
      <vt:lpstr>Tags!STDCH_2007</vt:lpstr>
      <vt:lpstr>STDCH_2007</vt:lpstr>
      <vt:lpstr>Tags!STDCH_2008</vt:lpstr>
      <vt:lpstr>STDCH_2008</vt:lpstr>
      <vt:lpstr>Tags!STDCH_2009</vt:lpstr>
      <vt:lpstr>STDCH_2009</vt:lpstr>
      <vt:lpstr>Tags!STDCH_2010</vt:lpstr>
      <vt:lpstr>STDCH_2010</vt:lpstr>
      <vt:lpstr>Tags!STDCH_2011</vt:lpstr>
      <vt:lpstr>STDCH_2011</vt:lpstr>
      <vt:lpstr>Tags!STDCH_2012</vt:lpstr>
      <vt:lpstr>STDCH_2012</vt:lpstr>
      <vt:lpstr>Tags!STDCH_2013</vt:lpstr>
      <vt:lpstr>STDCH_2013</vt:lpstr>
      <vt:lpstr>Tags!STDCH_2014</vt:lpstr>
      <vt:lpstr>STDCH_2014</vt:lpstr>
      <vt:lpstr>STDCH_2015</vt:lpstr>
      <vt:lpstr>Tags!STDCH_2016</vt:lpstr>
      <vt:lpstr>STDCH_2016</vt:lpstr>
      <vt:lpstr>Tags!STDCH_2017</vt:lpstr>
      <vt:lpstr>STDCH_2017</vt:lpstr>
      <vt:lpstr>Tags!STDCH_2018</vt:lpstr>
      <vt:lpstr>STDCH_2018</vt:lpstr>
      <vt:lpstr>Tags!STDCH_2019</vt:lpstr>
      <vt:lpstr>STDCH_2019</vt:lpstr>
      <vt:lpstr>Tags!STDCH_2020</vt:lpstr>
      <vt:lpstr>STDCH_2020</vt:lpstr>
      <vt:lpstr>STDCH_2021</vt:lpstr>
      <vt:lpstr>STDCH_2022</vt:lpstr>
      <vt:lpstr>STDCH_2023</vt:lpstr>
      <vt:lpstr>STDCH_2024</vt:lpstr>
      <vt:lpstr>Tags!STDCH_2Q00</vt:lpstr>
      <vt:lpstr>STDCH_2Q00</vt:lpstr>
      <vt:lpstr>Tags!STDCH_2Q01</vt:lpstr>
      <vt:lpstr>STDCH_2Q01</vt:lpstr>
      <vt:lpstr>Tags!STDCH_2Q02</vt:lpstr>
      <vt:lpstr>STDCH_2Q02</vt:lpstr>
      <vt:lpstr>Tags!STDCH_2Q03</vt:lpstr>
      <vt:lpstr>STDCH_2Q03</vt:lpstr>
      <vt:lpstr>Tags!STDCH_2Q04</vt:lpstr>
      <vt:lpstr>STDCH_2Q04</vt:lpstr>
      <vt:lpstr>Tags!STDCH_2Q05</vt:lpstr>
      <vt:lpstr>STDCH_2Q05</vt:lpstr>
      <vt:lpstr>Tags!STDCH_2Q06</vt:lpstr>
      <vt:lpstr>STDCH_2Q06</vt:lpstr>
      <vt:lpstr>Tags!STDCH_2Q07</vt:lpstr>
      <vt:lpstr>STDCH_2Q07</vt:lpstr>
      <vt:lpstr>Tags!STDCH_2Q08</vt:lpstr>
      <vt:lpstr>STDCH_2Q08</vt:lpstr>
      <vt:lpstr>Tags!STDCH_2Q09</vt:lpstr>
      <vt:lpstr>STDCH_2Q09</vt:lpstr>
      <vt:lpstr>Tags!STDCH_2Q10</vt:lpstr>
      <vt:lpstr>STDCH_2Q10</vt:lpstr>
      <vt:lpstr>Tags!STDCH_2Q11</vt:lpstr>
      <vt:lpstr>STDCH_2Q11</vt:lpstr>
      <vt:lpstr>Tags!STDCH_2Q12</vt:lpstr>
      <vt:lpstr>STDCH_2Q12</vt:lpstr>
      <vt:lpstr>Tags!STDCH_2Q13</vt:lpstr>
      <vt:lpstr>STDCH_2Q13</vt:lpstr>
      <vt:lpstr>Tags!STDCH_2Q14</vt:lpstr>
      <vt:lpstr>STDCH_2Q14</vt:lpstr>
      <vt:lpstr>Tags!STDCH_2Q15</vt:lpstr>
      <vt:lpstr>STDCH_2Q15</vt:lpstr>
      <vt:lpstr>Tags!STDCH_2Q16</vt:lpstr>
      <vt:lpstr>STDCH_2Q16</vt:lpstr>
      <vt:lpstr>Tags!STDCH_2Q17</vt:lpstr>
      <vt:lpstr>STDCH_2Q17</vt:lpstr>
      <vt:lpstr>Tags!STDCH_2Q18</vt:lpstr>
      <vt:lpstr>STDCH_2Q18</vt:lpstr>
      <vt:lpstr>Tags!STDCH_2Q19</vt:lpstr>
      <vt:lpstr>STDCH_2Q19</vt:lpstr>
      <vt:lpstr>Tags!STDCH_2Q20</vt:lpstr>
      <vt:lpstr>STDCH_2Q20</vt:lpstr>
      <vt:lpstr>STDCH_2Q21</vt:lpstr>
      <vt:lpstr>STDCH_2Q22</vt:lpstr>
      <vt:lpstr>STDCH_2Q23</vt:lpstr>
      <vt:lpstr>STDCH_2Q24</vt:lpstr>
      <vt:lpstr>Tags!STDCH_3Q00</vt:lpstr>
      <vt:lpstr>STDCH_3Q00</vt:lpstr>
      <vt:lpstr>Tags!STDCH_3Q01</vt:lpstr>
      <vt:lpstr>STDCH_3Q01</vt:lpstr>
      <vt:lpstr>Tags!STDCH_3Q02</vt:lpstr>
      <vt:lpstr>STDCH_3Q02</vt:lpstr>
      <vt:lpstr>Tags!STDCH_3Q03</vt:lpstr>
      <vt:lpstr>STDCH_3Q03</vt:lpstr>
      <vt:lpstr>Tags!STDCH_3Q04</vt:lpstr>
      <vt:lpstr>STDCH_3Q04</vt:lpstr>
      <vt:lpstr>Tags!STDCH_3Q05</vt:lpstr>
      <vt:lpstr>STDCH_3Q05</vt:lpstr>
      <vt:lpstr>Tags!STDCH_3Q06</vt:lpstr>
      <vt:lpstr>STDCH_3Q06</vt:lpstr>
      <vt:lpstr>Tags!STDCH_3Q07</vt:lpstr>
      <vt:lpstr>STDCH_3Q07</vt:lpstr>
      <vt:lpstr>Tags!STDCH_3Q08</vt:lpstr>
      <vt:lpstr>STDCH_3Q08</vt:lpstr>
      <vt:lpstr>Tags!STDCH_3Q09</vt:lpstr>
      <vt:lpstr>STDCH_3Q09</vt:lpstr>
      <vt:lpstr>Tags!STDCH_3Q10</vt:lpstr>
      <vt:lpstr>STDCH_3Q10</vt:lpstr>
      <vt:lpstr>Tags!STDCH_3Q11</vt:lpstr>
      <vt:lpstr>STDCH_3Q11</vt:lpstr>
      <vt:lpstr>Tags!STDCH_3Q12</vt:lpstr>
      <vt:lpstr>STDCH_3Q12</vt:lpstr>
      <vt:lpstr>Tags!STDCH_3Q13</vt:lpstr>
      <vt:lpstr>STDCH_3Q13</vt:lpstr>
      <vt:lpstr>Tags!STDCH_3Q14</vt:lpstr>
      <vt:lpstr>STDCH_3Q14</vt:lpstr>
      <vt:lpstr>Tags!STDCH_3Q15</vt:lpstr>
      <vt:lpstr>STDCH_3Q15</vt:lpstr>
      <vt:lpstr>Tags!STDCH_3Q16</vt:lpstr>
      <vt:lpstr>STDCH_3Q16</vt:lpstr>
      <vt:lpstr>Tags!STDCH_3Q17</vt:lpstr>
      <vt:lpstr>STDCH_3Q17</vt:lpstr>
      <vt:lpstr>Tags!STDCH_3Q18</vt:lpstr>
      <vt:lpstr>STDCH_3Q18</vt:lpstr>
      <vt:lpstr>Tags!STDCH_3Q19</vt:lpstr>
      <vt:lpstr>STDCH_3Q19</vt:lpstr>
      <vt:lpstr>Tags!STDCH_3Q20</vt:lpstr>
      <vt:lpstr>STDCH_3Q20</vt:lpstr>
      <vt:lpstr>STDCH_3Q21</vt:lpstr>
      <vt:lpstr>STDCH_3Q22</vt:lpstr>
      <vt:lpstr>STDCH_3Q23</vt:lpstr>
      <vt:lpstr>STDCH_3Q24</vt:lpstr>
      <vt:lpstr>Tags!STDCH_4Q00</vt:lpstr>
      <vt:lpstr>STDCH_4Q00</vt:lpstr>
      <vt:lpstr>Tags!STDCH_4Q01</vt:lpstr>
      <vt:lpstr>STDCH_4Q01</vt:lpstr>
      <vt:lpstr>Tags!STDCH_4Q02</vt:lpstr>
      <vt:lpstr>STDCH_4Q02</vt:lpstr>
      <vt:lpstr>Tags!STDCH_4Q03</vt:lpstr>
      <vt:lpstr>STDCH_4Q03</vt:lpstr>
      <vt:lpstr>Tags!STDCH_4Q04</vt:lpstr>
      <vt:lpstr>STDCH_4Q04</vt:lpstr>
      <vt:lpstr>Tags!STDCH_4Q05</vt:lpstr>
      <vt:lpstr>STDCH_4Q05</vt:lpstr>
      <vt:lpstr>Tags!STDCH_4Q06</vt:lpstr>
      <vt:lpstr>STDCH_4Q06</vt:lpstr>
      <vt:lpstr>Tags!STDCH_4Q07</vt:lpstr>
      <vt:lpstr>STDCH_4Q07</vt:lpstr>
      <vt:lpstr>Tags!STDCH_4Q08</vt:lpstr>
      <vt:lpstr>STDCH_4Q08</vt:lpstr>
      <vt:lpstr>Tags!STDCH_4Q09</vt:lpstr>
      <vt:lpstr>STDCH_4Q09</vt:lpstr>
      <vt:lpstr>Tags!STDCH_4Q10</vt:lpstr>
      <vt:lpstr>STDCH_4Q10</vt:lpstr>
      <vt:lpstr>Tags!STDCH_4Q11</vt:lpstr>
      <vt:lpstr>STDCH_4Q11</vt:lpstr>
      <vt:lpstr>Tags!STDCH_4Q12</vt:lpstr>
      <vt:lpstr>STDCH_4Q12</vt:lpstr>
      <vt:lpstr>Tags!STDCH_4Q13</vt:lpstr>
      <vt:lpstr>STDCH_4Q13</vt:lpstr>
      <vt:lpstr>Tags!STDCH_4Q14</vt:lpstr>
      <vt:lpstr>STDCH_4Q14</vt:lpstr>
      <vt:lpstr>Tags!STDCH_4Q15</vt:lpstr>
      <vt:lpstr>STDCH_4Q15</vt:lpstr>
      <vt:lpstr>Tags!STDCH_4Q16</vt:lpstr>
      <vt:lpstr>STDCH_4Q16</vt:lpstr>
      <vt:lpstr>Tags!STDCH_4Q17</vt:lpstr>
      <vt:lpstr>STDCH_4Q17</vt:lpstr>
      <vt:lpstr>Tags!STDCH_4Q18</vt:lpstr>
      <vt:lpstr>STDCH_4Q18</vt:lpstr>
      <vt:lpstr>Tags!STDCH_4Q19</vt:lpstr>
      <vt:lpstr>STDCH_4Q19</vt:lpstr>
      <vt:lpstr>Tags!STDCH_4Q20</vt:lpstr>
      <vt:lpstr>STDCH_4Q20</vt:lpstr>
      <vt:lpstr>STDCH_4Q21</vt:lpstr>
      <vt:lpstr>STDCH_4Q22</vt:lpstr>
      <vt:lpstr>STDCH_4Q23</vt:lpstr>
      <vt:lpstr>STDCH_4Q24</vt:lpstr>
      <vt:lpstr>STDEBT_1995</vt:lpstr>
      <vt:lpstr>STDEBT_1996</vt:lpstr>
      <vt:lpstr>STDEBT_1997</vt:lpstr>
      <vt:lpstr>STDEBT_1998</vt:lpstr>
      <vt:lpstr>STDEBT_1999</vt:lpstr>
      <vt:lpstr>Tags!STDEBT_1Q00</vt:lpstr>
      <vt:lpstr>STDEBT_1Q00</vt:lpstr>
      <vt:lpstr>Tags!STDEBT_1Q01</vt:lpstr>
      <vt:lpstr>STDEBT_1Q01</vt:lpstr>
      <vt:lpstr>Tags!STDEBT_1Q02</vt:lpstr>
      <vt:lpstr>STDEBT_1Q02</vt:lpstr>
      <vt:lpstr>Tags!STDEBT_1Q03</vt:lpstr>
      <vt:lpstr>STDEBT_1Q03</vt:lpstr>
      <vt:lpstr>Tags!STDEBT_1Q04</vt:lpstr>
      <vt:lpstr>STDEBT_1Q04</vt:lpstr>
      <vt:lpstr>Tags!STDEBT_1Q05</vt:lpstr>
      <vt:lpstr>STDEBT_1Q05</vt:lpstr>
      <vt:lpstr>Tags!STDEBT_1Q06</vt:lpstr>
      <vt:lpstr>STDEBT_1Q06</vt:lpstr>
      <vt:lpstr>Tags!STDEBT_1Q07</vt:lpstr>
      <vt:lpstr>STDEBT_1Q07</vt:lpstr>
      <vt:lpstr>Tags!STDEBT_1Q08</vt:lpstr>
      <vt:lpstr>STDEBT_1Q08</vt:lpstr>
      <vt:lpstr>Tags!STDEBT_1Q09</vt:lpstr>
      <vt:lpstr>STDEBT_1Q09</vt:lpstr>
      <vt:lpstr>Tags!STDEBT_1Q10</vt:lpstr>
      <vt:lpstr>STDEBT_1Q10</vt:lpstr>
      <vt:lpstr>Tags!STDEBT_1Q11</vt:lpstr>
      <vt:lpstr>STDEBT_1Q11</vt:lpstr>
      <vt:lpstr>Tags!STDEBT_1Q12</vt:lpstr>
      <vt:lpstr>STDEBT_1Q12</vt:lpstr>
      <vt:lpstr>Tags!STDEBT_1Q13</vt:lpstr>
      <vt:lpstr>STDEBT_1Q13</vt:lpstr>
      <vt:lpstr>Tags!STDEBT_1Q14</vt:lpstr>
      <vt:lpstr>STDEBT_1Q14</vt:lpstr>
      <vt:lpstr>Tags!STDEBT_1Q15</vt:lpstr>
      <vt:lpstr>STDEBT_1Q15</vt:lpstr>
      <vt:lpstr>Tags!STDEBT_1Q16</vt:lpstr>
      <vt:lpstr>STDEBT_1Q16</vt:lpstr>
      <vt:lpstr>Tags!STDEBT_1Q17</vt:lpstr>
      <vt:lpstr>STDEBT_1Q17</vt:lpstr>
      <vt:lpstr>Tags!STDEBT_1Q18</vt:lpstr>
      <vt:lpstr>STDEBT_1Q18</vt:lpstr>
      <vt:lpstr>Tags!STDEBT_1Q19</vt:lpstr>
      <vt:lpstr>STDEBT_1Q19</vt:lpstr>
      <vt:lpstr>Tags!STDEBT_1Q20</vt:lpstr>
      <vt:lpstr>STDEBT_1Q20</vt:lpstr>
      <vt:lpstr>STDEBT_1Q21</vt:lpstr>
      <vt:lpstr>STDEBT_1Q22</vt:lpstr>
      <vt:lpstr>STDEBT_1Q23</vt:lpstr>
      <vt:lpstr>STDEBT_1Q24</vt:lpstr>
      <vt:lpstr>Tags!STDEBT_2000</vt:lpstr>
      <vt:lpstr>STDEBT_2000</vt:lpstr>
      <vt:lpstr>Tags!STDEBT_2001</vt:lpstr>
      <vt:lpstr>STDEBT_2001</vt:lpstr>
      <vt:lpstr>Tags!STDEBT_2002</vt:lpstr>
      <vt:lpstr>STDEBT_2002</vt:lpstr>
      <vt:lpstr>Tags!STDEBT_2003</vt:lpstr>
      <vt:lpstr>STDEBT_2003</vt:lpstr>
      <vt:lpstr>Tags!STDEBT_2004</vt:lpstr>
      <vt:lpstr>STDEBT_2004</vt:lpstr>
      <vt:lpstr>Tags!STDEBT_2005</vt:lpstr>
      <vt:lpstr>STDEBT_2005</vt:lpstr>
      <vt:lpstr>Tags!STDEBT_2006</vt:lpstr>
      <vt:lpstr>STDEBT_2006</vt:lpstr>
      <vt:lpstr>Tags!STDEBT_2007</vt:lpstr>
      <vt:lpstr>STDEBT_2007</vt:lpstr>
      <vt:lpstr>Tags!STDEBT_2008</vt:lpstr>
      <vt:lpstr>STDEBT_2008</vt:lpstr>
      <vt:lpstr>Tags!STDEBT_2009</vt:lpstr>
      <vt:lpstr>STDEBT_2009</vt:lpstr>
      <vt:lpstr>Tags!STDEBT_2010</vt:lpstr>
      <vt:lpstr>STDEBT_2010</vt:lpstr>
      <vt:lpstr>Tags!STDEBT_2011</vt:lpstr>
      <vt:lpstr>STDEBT_2011</vt:lpstr>
      <vt:lpstr>Tags!STDEBT_2012</vt:lpstr>
      <vt:lpstr>STDEBT_2012</vt:lpstr>
      <vt:lpstr>Tags!STDEBT_2013</vt:lpstr>
      <vt:lpstr>STDEBT_2013</vt:lpstr>
      <vt:lpstr>Tags!STDEBT_2014</vt:lpstr>
      <vt:lpstr>STDEBT_2014</vt:lpstr>
      <vt:lpstr>STDEBT_2015</vt:lpstr>
      <vt:lpstr>Tags!STDEBT_2016</vt:lpstr>
      <vt:lpstr>STDEBT_2016</vt:lpstr>
      <vt:lpstr>Tags!STDEBT_2017</vt:lpstr>
      <vt:lpstr>STDEBT_2017</vt:lpstr>
      <vt:lpstr>Tags!STDEBT_2018</vt:lpstr>
      <vt:lpstr>STDEBT_2018</vt:lpstr>
      <vt:lpstr>Tags!STDEBT_2019</vt:lpstr>
      <vt:lpstr>STDEBT_2019</vt:lpstr>
      <vt:lpstr>Tags!STDEBT_2020</vt:lpstr>
      <vt:lpstr>STDEBT_2020</vt:lpstr>
      <vt:lpstr>STDEBT_2021</vt:lpstr>
      <vt:lpstr>STDEBT_2022</vt:lpstr>
      <vt:lpstr>STDEBT_2023</vt:lpstr>
      <vt:lpstr>STDEBT_2024</vt:lpstr>
      <vt:lpstr>Tags!STDEBT_2Q00</vt:lpstr>
      <vt:lpstr>STDEBT_2Q00</vt:lpstr>
      <vt:lpstr>Tags!STDEBT_2Q01</vt:lpstr>
      <vt:lpstr>STDEBT_2Q01</vt:lpstr>
      <vt:lpstr>Tags!STDEBT_2Q02</vt:lpstr>
      <vt:lpstr>STDEBT_2Q02</vt:lpstr>
      <vt:lpstr>Tags!STDEBT_2Q03</vt:lpstr>
      <vt:lpstr>STDEBT_2Q03</vt:lpstr>
      <vt:lpstr>Tags!STDEBT_2Q04</vt:lpstr>
      <vt:lpstr>STDEBT_2Q04</vt:lpstr>
      <vt:lpstr>Tags!STDEBT_2Q05</vt:lpstr>
      <vt:lpstr>STDEBT_2Q05</vt:lpstr>
      <vt:lpstr>Tags!STDEBT_2Q06</vt:lpstr>
      <vt:lpstr>STDEBT_2Q06</vt:lpstr>
      <vt:lpstr>Tags!STDEBT_2Q07</vt:lpstr>
      <vt:lpstr>STDEBT_2Q07</vt:lpstr>
      <vt:lpstr>Tags!STDEBT_2Q08</vt:lpstr>
      <vt:lpstr>STDEBT_2Q08</vt:lpstr>
      <vt:lpstr>Tags!STDEBT_2Q09</vt:lpstr>
      <vt:lpstr>STDEBT_2Q09</vt:lpstr>
      <vt:lpstr>Tags!STDEBT_2Q10</vt:lpstr>
      <vt:lpstr>STDEBT_2Q10</vt:lpstr>
      <vt:lpstr>Tags!STDEBT_2Q11</vt:lpstr>
      <vt:lpstr>STDEBT_2Q11</vt:lpstr>
      <vt:lpstr>Tags!STDEBT_2Q12</vt:lpstr>
      <vt:lpstr>STDEBT_2Q12</vt:lpstr>
      <vt:lpstr>Tags!STDEBT_2Q13</vt:lpstr>
      <vt:lpstr>STDEBT_2Q13</vt:lpstr>
      <vt:lpstr>Tags!STDEBT_2Q14</vt:lpstr>
      <vt:lpstr>STDEBT_2Q14</vt:lpstr>
      <vt:lpstr>Tags!STDEBT_2Q15</vt:lpstr>
      <vt:lpstr>STDEBT_2Q15</vt:lpstr>
      <vt:lpstr>Tags!STDEBT_2Q16</vt:lpstr>
      <vt:lpstr>STDEBT_2Q16</vt:lpstr>
      <vt:lpstr>Tags!STDEBT_2Q17</vt:lpstr>
      <vt:lpstr>STDEBT_2Q17</vt:lpstr>
      <vt:lpstr>Tags!STDEBT_2Q18</vt:lpstr>
      <vt:lpstr>STDEBT_2Q18</vt:lpstr>
      <vt:lpstr>Tags!STDEBT_2Q19</vt:lpstr>
      <vt:lpstr>STDEBT_2Q19</vt:lpstr>
      <vt:lpstr>Tags!STDEBT_2Q20</vt:lpstr>
      <vt:lpstr>STDEBT_2Q20</vt:lpstr>
      <vt:lpstr>STDEBT_2Q21</vt:lpstr>
      <vt:lpstr>STDEBT_2Q22</vt:lpstr>
      <vt:lpstr>STDEBT_2Q23</vt:lpstr>
      <vt:lpstr>STDEBT_2Q24</vt:lpstr>
      <vt:lpstr>Tags!STDEBT_3Q00</vt:lpstr>
      <vt:lpstr>STDEBT_3Q00</vt:lpstr>
      <vt:lpstr>Tags!STDEBT_3Q01</vt:lpstr>
      <vt:lpstr>STDEBT_3Q01</vt:lpstr>
      <vt:lpstr>Tags!STDEBT_3Q02</vt:lpstr>
      <vt:lpstr>STDEBT_3Q02</vt:lpstr>
      <vt:lpstr>Tags!STDEBT_3Q03</vt:lpstr>
      <vt:lpstr>STDEBT_3Q03</vt:lpstr>
      <vt:lpstr>Tags!STDEBT_3Q04</vt:lpstr>
      <vt:lpstr>STDEBT_3Q04</vt:lpstr>
      <vt:lpstr>Tags!STDEBT_3Q05</vt:lpstr>
      <vt:lpstr>STDEBT_3Q05</vt:lpstr>
      <vt:lpstr>Tags!STDEBT_3Q06</vt:lpstr>
      <vt:lpstr>STDEBT_3Q06</vt:lpstr>
      <vt:lpstr>Tags!STDEBT_3Q07</vt:lpstr>
      <vt:lpstr>STDEBT_3Q07</vt:lpstr>
      <vt:lpstr>Tags!STDEBT_3Q08</vt:lpstr>
      <vt:lpstr>STDEBT_3Q08</vt:lpstr>
      <vt:lpstr>Tags!STDEBT_3Q09</vt:lpstr>
      <vt:lpstr>STDEBT_3Q09</vt:lpstr>
      <vt:lpstr>Tags!STDEBT_3Q10</vt:lpstr>
      <vt:lpstr>STDEBT_3Q10</vt:lpstr>
      <vt:lpstr>Tags!STDEBT_3Q11</vt:lpstr>
      <vt:lpstr>STDEBT_3Q11</vt:lpstr>
      <vt:lpstr>Tags!STDEBT_3Q12</vt:lpstr>
      <vt:lpstr>STDEBT_3Q12</vt:lpstr>
      <vt:lpstr>Tags!STDEBT_3Q13</vt:lpstr>
      <vt:lpstr>STDEBT_3Q13</vt:lpstr>
      <vt:lpstr>Tags!STDEBT_3Q14</vt:lpstr>
      <vt:lpstr>STDEBT_3Q14</vt:lpstr>
      <vt:lpstr>Tags!STDEBT_3Q15</vt:lpstr>
      <vt:lpstr>STDEBT_3Q15</vt:lpstr>
      <vt:lpstr>Tags!STDEBT_3Q16</vt:lpstr>
      <vt:lpstr>STDEBT_3Q16</vt:lpstr>
      <vt:lpstr>Tags!STDEBT_3Q17</vt:lpstr>
      <vt:lpstr>STDEBT_3Q17</vt:lpstr>
      <vt:lpstr>Tags!STDEBT_3Q18</vt:lpstr>
      <vt:lpstr>STDEBT_3Q18</vt:lpstr>
      <vt:lpstr>Tags!STDEBT_3Q19</vt:lpstr>
      <vt:lpstr>STDEBT_3Q19</vt:lpstr>
      <vt:lpstr>Tags!STDEBT_3Q20</vt:lpstr>
      <vt:lpstr>STDEBT_3Q20</vt:lpstr>
      <vt:lpstr>STDEBT_3Q21</vt:lpstr>
      <vt:lpstr>STDEBT_3Q22</vt:lpstr>
      <vt:lpstr>STDEBT_3Q23</vt:lpstr>
      <vt:lpstr>STDEBT_3Q24</vt:lpstr>
      <vt:lpstr>Tags!STDEBT_4Q00</vt:lpstr>
      <vt:lpstr>STDEBT_4Q00</vt:lpstr>
      <vt:lpstr>Tags!STDEBT_4Q01</vt:lpstr>
      <vt:lpstr>STDEBT_4Q01</vt:lpstr>
      <vt:lpstr>Tags!STDEBT_4Q02</vt:lpstr>
      <vt:lpstr>STDEBT_4Q02</vt:lpstr>
      <vt:lpstr>Tags!STDEBT_4Q03</vt:lpstr>
      <vt:lpstr>STDEBT_4Q03</vt:lpstr>
      <vt:lpstr>Tags!STDEBT_4Q04</vt:lpstr>
      <vt:lpstr>STDEBT_4Q04</vt:lpstr>
      <vt:lpstr>Tags!STDEBT_4Q05</vt:lpstr>
      <vt:lpstr>STDEBT_4Q05</vt:lpstr>
      <vt:lpstr>Tags!STDEBT_4Q06</vt:lpstr>
      <vt:lpstr>STDEBT_4Q06</vt:lpstr>
      <vt:lpstr>Tags!STDEBT_4Q07</vt:lpstr>
      <vt:lpstr>STDEBT_4Q07</vt:lpstr>
      <vt:lpstr>Tags!STDEBT_4Q08</vt:lpstr>
      <vt:lpstr>STDEBT_4Q08</vt:lpstr>
      <vt:lpstr>Tags!STDEBT_4Q09</vt:lpstr>
      <vt:lpstr>STDEBT_4Q09</vt:lpstr>
      <vt:lpstr>Tags!STDEBT_4Q10</vt:lpstr>
      <vt:lpstr>STDEBT_4Q10</vt:lpstr>
      <vt:lpstr>Tags!STDEBT_4Q11</vt:lpstr>
      <vt:lpstr>STDEBT_4Q11</vt:lpstr>
      <vt:lpstr>Tags!STDEBT_4Q12</vt:lpstr>
      <vt:lpstr>STDEBT_4Q12</vt:lpstr>
      <vt:lpstr>Tags!STDEBT_4Q13</vt:lpstr>
      <vt:lpstr>STDEBT_4Q13</vt:lpstr>
      <vt:lpstr>Tags!STDEBT_4Q14</vt:lpstr>
      <vt:lpstr>STDEBT_4Q14</vt:lpstr>
      <vt:lpstr>Tags!STDEBT_4Q15</vt:lpstr>
      <vt:lpstr>STDEBT_4Q15</vt:lpstr>
      <vt:lpstr>Tags!STDEBT_4Q16</vt:lpstr>
      <vt:lpstr>STDEBT_4Q16</vt:lpstr>
      <vt:lpstr>Tags!STDEBT_4Q17</vt:lpstr>
      <vt:lpstr>STDEBT_4Q17</vt:lpstr>
      <vt:lpstr>Tags!STDEBT_4Q18</vt:lpstr>
      <vt:lpstr>STDEBT_4Q18</vt:lpstr>
      <vt:lpstr>Tags!STDEBT_4Q19</vt:lpstr>
      <vt:lpstr>STDEBT_4Q19</vt:lpstr>
      <vt:lpstr>Tags!STDEBT_4Q20</vt:lpstr>
      <vt:lpstr>STDEBT_4Q20</vt:lpstr>
      <vt:lpstr>STDEBT_4Q21</vt:lpstr>
      <vt:lpstr>STDEBT_4Q22</vt:lpstr>
      <vt:lpstr>STDEBT_4Q23</vt:lpstr>
      <vt:lpstr>STDEBT_4Q24</vt:lpstr>
      <vt:lpstr>TAX_1995</vt:lpstr>
      <vt:lpstr>TAX_1996</vt:lpstr>
      <vt:lpstr>TAX_1997</vt:lpstr>
      <vt:lpstr>TAX_1998</vt:lpstr>
      <vt:lpstr>TAX_1999</vt:lpstr>
      <vt:lpstr>Tags!TAX_1Q00</vt:lpstr>
      <vt:lpstr>TAX_1Q00</vt:lpstr>
      <vt:lpstr>Tags!TAX_1Q01</vt:lpstr>
      <vt:lpstr>TAX_1Q01</vt:lpstr>
      <vt:lpstr>Tags!TAX_1Q02</vt:lpstr>
      <vt:lpstr>TAX_1Q02</vt:lpstr>
      <vt:lpstr>Tags!TAX_1Q03</vt:lpstr>
      <vt:lpstr>TAX_1Q03</vt:lpstr>
      <vt:lpstr>Tags!TAX_1Q04</vt:lpstr>
      <vt:lpstr>TAX_1Q04</vt:lpstr>
      <vt:lpstr>Tags!TAX_1Q05</vt:lpstr>
      <vt:lpstr>TAX_1Q05</vt:lpstr>
      <vt:lpstr>Tags!TAX_1Q06</vt:lpstr>
      <vt:lpstr>TAX_1Q06</vt:lpstr>
      <vt:lpstr>Tags!TAX_1Q07</vt:lpstr>
      <vt:lpstr>TAX_1Q07</vt:lpstr>
      <vt:lpstr>Tags!TAX_1Q08</vt:lpstr>
      <vt:lpstr>TAX_1Q08</vt:lpstr>
      <vt:lpstr>Tags!TAX_1Q09</vt:lpstr>
      <vt:lpstr>TAX_1Q09</vt:lpstr>
      <vt:lpstr>Tags!TAX_1Q10</vt:lpstr>
      <vt:lpstr>TAX_1Q10</vt:lpstr>
      <vt:lpstr>Tags!TAX_1Q11</vt:lpstr>
      <vt:lpstr>TAX_1Q11</vt:lpstr>
      <vt:lpstr>Tags!TAX_1Q12</vt:lpstr>
      <vt:lpstr>TAX_1Q12</vt:lpstr>
      <vt:lpstr>Tags!TAX_1Q13</vt:lpstr>
      <vt:lpstr>TAX_1Q13</vt:lpstr>
      <vt:lpstr>Tags!TAX_1Q14</vt:lpstr>
      <vt:lpstr>TAX_1Q14</vt:lpstr>
      <vt:lpstr>Tags!TAX_1Q15</vt:lpstr>
      <vt:lpstr>TAX_1Q15</vt:lpstr>
      <vt:lpstr>Tags!TAX_1Q16</vt:lpstr>
      <vt:lpstr>TAX_1Q16</vt:lpstr>
      <vt:lpstr>Tags!TAX_1Q17</vt:lpstr>
      <vt:lpstr>TAX_1Q17</vt:lpstr>
      <vt:lpstr>Tags!TAX_1Q18</vt:lpstr>
      <vt:lpstr>TAX_1Q18</vt:lpstr>
      <vt:lpstr>Tags!TAX_1Q19</vt:lpstr>
      <vt:lpstr>TAX_1Q19</vt:lpstr>
      <vt:lpstr>Tags!TAX_1Q20</vt:lpstr>
      <vt:lpstr>TAX_1Q20</vt:lpstr>
      <vt:lpstr>TAX_1Q21</vt:lpstr>
      <vt:lpstr>TAX_1Q22</vt:lpstr>
      <vt:lpstr>TAX_1Q23</vt:lpstr>
      <vt:lpstr>TAX_1Q24</vt:lpstr>
      <vt:lpstr>Tags!TAX_2000</vt:lpstr>
      <vt:lpstr>TAX_2000</vt:lpstr>
      <vt:lpstr>Tags!TAX_2001</vt:lpstr>
      <vt:lpstr>TAX_2001</vt:lpstr>
      <vt:lpstr>Tags!TAX_2002</vt:lpstr>
      <vt:lpstr>TAX_2002</vt:lpstr>
      <vt:lpstr>Tags!TAX_2003</vt:lpstr>
      <vt:lpstr>TAX_2003</vt:lpstr>
      <vt:lpstr>Tags!TAX_2004</vt:lpstr>
      <vt:lpstr>TAX_2004</vt:lpstr>
      <vt:lpstr>Tags!TAX_2005</vt:lpstr>
      <vt:lpstr>TAX_2005</vt:lpstr>
      <vt:lpstr>Tags!TAX_2006</vt:lpstr>
      <vt:lpstr>TAX_2006</vt:lpstr>
      <vt:lpstr>Tags!TAX_2007</vt:lpstr>
      <vt:lpstr>TAX_2007</vt:lpstr>
      <vt:lpstr>Tags!TAX_2008</vt:lpstr>
      <vt:lpstr>TAX_2008</vt:lpstr>
      <vt:lpstr>Tags!TAX_2009</vt:lpstr>
      <vt:lpstr>TAX_2009</vt:lpstr>
      <vt:lpstr>Tags!TAX_2010</vt:lpstr>
      <vt:lpstr>TAX_2010</vt:lpstr>
      <vt:lpstr>Tags!TAX_2011</vt:lpstr>
      <vt:lpstr>TAX_2011</vt:lpstr>
      <vt:lpstr>Tags!TAX_2012</vt:lpstr>
      <vt:lpstr>TAX_2012</vt:lpstr>
      <vt:lpstr>Tags!TAX_2013</vt:lpstr>
      <vt:lpstr>TAX_2013</vt:lpstr>
      <vt:lpstr>Tags!TAX_2014</vt:lpstr>
      <vt:lpstr>TAX_2014</vt:lpstr>
      <vt:lpstr>TAX_2015</vt:lpstr>
      <vt:lpstr>Tags!TAX_2016</vt:lpstr>
      <vt:lpstr>TAX_2016</vt:lpstr>
      <vt:lpstr>Tags!TAX_2017</vt:lpstr>
      <vt:lpstr>TAX_2017</vt:lpstr>
      <vt:lpstr>Tags!TAX_2018</vt:lpstr>
      <vt:lpstr>TAX_2018</vt:lpstr>
      <vt:lpstr>Tags!TAX_2019</vt:lpstr>
      <vt:lpstr>TAX_2019</vt:lpstr>
      <vt:lpstr>Tags!TAX_2020</vt:lpstr>
      <vt:lpstr>TAX_2020</vt:lpstr>
      <vt:lpstr>TAX_2021</vt:lpstr>
      <vt:lpstr>TAX_2022</vt:lpstr>
      <vt:lpstr>TAX_2023</vt:lpstr>
      <vt:lpstr>TAX_2024</vt:lpstr>
      <vt:lpstr>Tags!TAX_2Q00</vt:lpstr>
      <vt:lpstr>TAX_2Q00</vt:lpstr>
      <vt:lpstr>Tags!TAX_2Q01</vt:lpstr>
      <vt:lpstr>TAX_2Q01</vt:lpstr>
      <vt:lpstr>Tags!TAX_2Q02</vt:lpstr>
      <vt:lpstr>TAX_2Q02</vt:lpstr>
      <vt:lpstr>Tags!TAX_2Q03</vt:lpstr>
      <vt:lpstr>TAX_2Q03</vt:lpstr>
      <vt:lpstr>Tags!TAX_2Q04</vt:lpstr>
      <vt:lpstr>TAX_2Q04</vt:lpstr>
      <vt:lpstr>Tags!TAX_2Q05</vt:lpstr>
      <vt:lpstr>TAX_2Q05</vt:lpstr>
      <vt:lpstr>Tags!TAX_2Q06</vt:lpstr>
      <vt:lpstr>TAX_2Q06</vt:lpstr>
      <vt:lpstr>Tags!TAX_2Q07</vt:lpstr>
      <vt:lpstr>TAX_2Q07</vt:lpstr>
      <vt:lpstr>Tags!TAX_2Q08</vt:lpstr>
      <vt:lpstr>TAX_2Q08</vt:lpstr>
      <vt:lpstr>Tags!TAX_2Q09</vt:lpstr>
      <vt:lpstr>TAX_2Q09</vt:lpstr>
      <vt:lpstr>Tags!TAX_2Q10</vt:lpstr>
      <vt:lpstr>TAX_2Q10</vt:lpstr>
      <vt:lpstr>Tags!TAX_2Q11</vt:lpstr>
      <vt:lpstr>TAX_2Q11</vt:lpstr>
      <vt:lpstr>Tags!TAX_2Q12</vt:lpstr>
      <vt:lpstr>TAX_2Q12</vt:lpstr>
      <vt:lpstr>Tags!TAX_2Q13</vt:lpstr>
      <vt:lpstr>TAX_2Q13</vt:lpstr>
      <vt:lpstr>Tags!TAX_2Q14</vt:lpstr>
      <vt:lpstr>TAX_2Q14</vt:lpstr>
      <vt:lpstr>Tags!TAX_2Q15</vt:lpstr>
      <vt:lpstr>TAX_2Q15</vt:lpstr>
      <vt:lpstr>Tags!TAX_2Q16</vt:lpstr>
      <vt:lpstr>TAX_2Q16</vt:lpstr>
      <vt:lpstr>Tags!TAX_2Q17</vt:lpstr>
      <vt:lpstr>TAX_2Q17</vt:lpstr>
      <vt:lpstr>Tags!TAX_2Q18</vt:lpstr>
      <vt:lpstr>TAX_2Q18</vt:lpstr>
      <vt:lpstr>Tags!TAX_2Q19</vt:lpstr>
      <vt:lpstr>TAX_2Q19</vt:lpstr>
      <vt:lpstr>Tags!TAX_2Q20</vt:lpstr>
      <vt:lpstr>TAX_2Q20</vt:lpstr>
      <vt:lpstr>TAX_2Q21</vt:lpstr>
      <vt:lpstr>TAX_2Q22</vt:lpstr>
      <vt:lpstr>TAX_2Q23</vt:lpstr>
      <vt:lpstr>TAX_2Q24</vt:lpstr>
      <vt:lpstr>Tags!TAX_3Q00</vt:lpstr>
      <vt:lpstr>TAX_3Q00</vt:lpstr>
      <vt:lpstr>Tags!TAX_3Q01</vt:lpstr>
      <vt:lpstr>TAX_3Q01</vt:lpstr>
      <vt:lpstr>Tags!TAX_3Q02</vt:lpstr>
      <vt:lpstr>TAX_3Q02</vt:lpstr>
      <vt:lpstr>Tags!TAX_3Q03</vt:lpstr>
      <vt:lpstr>TAX_3Q03</vt:lpstr>
      <vt:lpstr>Tags!TAX_3Q04</vt:lpstr>
      <vt:lpstr>TAX_3Q04</vt:lpstr>
      <vt:lpstr>Tags!TAX_3Q05</vt:lpstr>
      <vt:lpstr>TAX_3Q05</vt:lpstr>
      <vt:lpstr>Tags!TAX_3Q06</vt:lpstr>
      <vt:lpstr>TAX_3Q06</vt:lpstr>
      <vt:lpstr>Tags!TAX_3Q07</vt:lpstr>
      <vt:lpstr>TAX_3Q07</vt:lpstr>
      <vt:lpstr>Tags!TAX_3Q08</vt:lpstr>
      <vt:lpstr>TAX_3Q08</vt:lpstr>
      <vt:lpstr>Tags!TAX_3Q09</vt:lpstr>
      <vt:lpstr>TAX_3Q09</vt:lpstr>
      <vt:lpstr>Tags!TAX_3Q10</vt:lpstr>
      <vt:lpstr>TAX_3Q10</vt:lpstr>
      <vt:lpstr>Tags!TAX_3Q11</vt:lpstr>
      <vt:lpstr>TAX_3Q11</vt:lpstr>
      <vt:lpstr>Tags!TAX_3Q12</vt:lpstr>
      <vt:lpstr>TAX_3Q12</vt:lpstr>
      <vt:lpstr>Tags!TAX_3Q13</vt:lpstr>
      <vt:lpstr>TAX_3Q13</vt:lpstr>
      <vt:lpstr>Tags!TAX_3Q14</vt:lpstr>
      <vt:lpstr>TAX_3Q14</vt:lpstr>
      <vt:lpstr>Tags!TAX_3Q15</vt:lpstr>
      <vt:lpstr>TAX_3Q15</vt:lpstr>
      <vt:lpstr>Tags!TAX_3Q16</vt:lpstr>
      <vt:lpstr>TAX_3Q16</vt:lpstr>
      <vt:lpstr>Tags!TAX_3Q17</vt:lpstr>
      <vt:lpstr>TAX_3Q17</vt:lpstr>
      <vt:lpstr>Tags!TAX_3Q18</vt:lpstr>
      <vt:lpstr>TAX_3Q18</vt:lpstr>
      <vt:lpstr>Tags!TAX_3Q19</vt:lpstr>
      <vt:lpstr>TAX_3Q19</vt:lpstr>
      <vt:lpstr>Tags!TAX_3Q20</vt:lpstr>
      <vt:lpstr>TAX_3Q20</vt:lpstr>
      <vt:lpstr>TAX_3Q21</vt:lpstr>
      <vt:lpstr>TAX_3Q22</vt:lpstr>
      <vt:lpstr>TAX_3Q23</vt:lpstr>
      <vt:lpstr>TAX_3Q24</vt:lpstr>
      <vt:lpstr>Tags!TAX_4Q00</vt:lpstr>
      <vt:lpstr>TAX_4Q00</vt:lpstr>
      <vt:lpstr>Tags!TAX_4Q01</vt:lpstr>
      <vt:lpstr>TAX_4Q01</vt:lpstr>
      <vt:lpstr>Tags!TAX_4Q02</vt:lpstr>
      <vt:lpstr>TAX_4Q02</vt:lpstr>
      <vt:lpstr>Tags!TAX_4Q03</vt:lpstr>
      <vt:lpstr>TAX_4Q03</vt:lpstr>
      <vt:lpstr>Tags!TAX_4Q04</vt:lpstr>
      <vt:lpstr>TAX_4Q04</vt:lpstr>
      <vt:lpstr>Tags!TAX_4Q05</vt:lpstr>
      <vt:lpstr>TAX_4Q05</vt:lpstr>
      <vt:lpstr>Tags!TAX_4Q06</vt:lpstr>
      <vt:lpstr>TAX_4Q06</vt:lpstr>
      <vt:lpstr>Tags!TAX_4Q07</vt:lpstr>
      <vt:lpstr>TAX_4Q07</vt:lpstr>
      <vt:lpstr>Tags!TAX_4Q08</vt:lpstr>
      <vt:lpstr>TAX_4Q08</vt:lpstr>
      <vt:lpstr>Tags!TAX_4Q09</vt:lpstr>
      <vt:lpstr>TAX_4Q09</vt:lpstr>
      <vt:lpstr>Tags!TAX_4Q10</vt:lpstr>
      <vt:lpstr>TAX_4Q10</vt:lpstr>
      <vt:lpstr>Tags!TAX_4Q11</vt:lpstr>
      <vt:lpstr>TAX_4Q11</vt:lpstr>
      <vt:lpstr>Tags!TAX_4Q12</vt:lpstr>
      <vt:lpstr>TAX_4Q12</vt:lpstr>
      <vt:lpstr>Tags!TAX_4Q13</vt:lpstr>
      <vt:lpstr>TAX_4Q13</vt:lpstr>
      <vt:lpstr>Tags!TAX_4Q14</vt:lpstr>
      <vt:lpstr>TAX_4Q14</vt:lpstr>
      <vt:lpstr>Tags!TAX_4Q15</vt:lpstr>
      <vt:lpstr>TAX_4Q15</vt:lpstr>
      <vt:lpstr>Tags!TAX_4Q16</vt:lpstr>
      <vt:lpstr>TAX_4Q16</vt:lpstr>
      <vt:lpstr>Tags!TAX_4Q17</vt:lpstr>
      <vt:lpstr>TAX_4Q17</vt:lpstr>
      <vt:lpstr>Tags!TAX_4Q18</vt:lpstr>
      <vt:lpstr>TAX_4Q18</vt:lpstr>
      <vt:lpstr>Tags!TAX_4Q19</vt:lpstr>
      <vt:lpstr>TAX_4Q19</vt:lpstr>
      <vt:lpstr>Tags!TAX_4Q20</vt:lpstr>
      <vt:lpstr>TAX_4Q20</vt:lpstr>
      <vt:lpstr>TAX_4Q21</vt:lpstr>
      <vt:lpstr>TAX_4Q22</vt:lpstr>
      <vt:lpstr>TAX_4Q23</vt:lpstr>
      <vt:lpstr>TAX_4Q24</vt:lpstr>
      <vt:lpstr>TAXPA_1995</vt:lpstr>
      <vt:lpstr>TAXPA_1996</vt:lpstr>
      <vt:lpstr>TAXPA_1997</vt:lpstr>
      <vt:lpstr>TAXPA_1998</vt:lpstr>
      <vt:lpstr>TAXPA_1999</vt:lpstr>
      <vt:lpstr>Tags!TAXPA_1Q00</vt:lpstr>
      <vt:lpstr>TAXPA_1Q00</vt:lpstr>
      <vt:lpstr>Tags!TAXPA_1Q01</vt:lpstr>
      <vt:lpstr>TAXPA_1Q01</vt:lpstr>
      <vt:lpstr>Tags!TAXPA_1Q02</vt:lpstr>
      <vt:lpstr>TAXPA_1Q02</vt:lpstr>
      <vt:lpstr>Tags!TAXPA_1Q03</vt:lpstr>
      <vt:lpstr>TAXPA_1Q03</vt:lpstr>
      <vt:lpstr>Tags!TAXPA_1Q04</vt:lpstr>
      <vt:lpstr>TAXPA_1Q04</vt:lpstr>
      <vt:lpstr>Tags!TAXPA_1Q05</vt:lpstr>
      <vt:lpstr>TAXPA_1Q05</vt:lpstr>
      <vt:lpstr>Tags!TAXPA_1Q06</vt:lpstr>
      <vt:lpstr>TAXPA_1Q06</vt:lpstr>
      <vt:lpstr>Tags!TAXPA_1Q07</vt:lpstr>
      <vt:lpstr>TAXPA_1Q07</vt:lpstr>
      <vt:lpstr>Tags!TAXPA_1Q08</vt:lpstr>
      <vt:lpstr>TAXPA_1Q08</vt:lpstr>
      <vt:lpstr>Tags!TAXPA_1Q09</vt:lpstr>
      <vt:lpstr>TAXPA_1Q09</vt:lpstr>
      <vt:lpstr>Tags!TAXPA_1Q10</vt:lpstr>
      <vt:lpstr>TAXPA_1Q10</vt:lpstr>
      <vt:lpstr>Tags!TAXPA_1Q11</vt:lpstr>
      <vt:lpstr>TAXPA_1Q11</vt:lpstr>
      <vt:lpstr>Tags!TAXPA_1Q12</vt:lpstr>
      <vt:lpstr>TAXPA_1Q12</vt:lpstr>
      <vt:lpstr>Tags!TAXPA_1Q13</vt:lpstr>
      <vt:lpstr>TAXPA_1Q13</vt:lpstr>
      <vt:lpstr>Tags!TAXPA_1Q14</vt:lpstr>
      <vt:lpstr>TAXPA_1Q14</vt:lpstr>
      <vt:lpstr>Tags!TAXPA_1Q15</vt:lpstr>
      <vt:lpstr>TAXPA_1Q15</vt:lpstr>
      <vt:lpstr>Tags!TAXPA_1Q16</vt:lpstr>
      <vt:lpstr>TAXPA_1Q16</vt:lpstr>
      <vt:lpstr>Tags!TAXPA_1Q17</vt:lpstr>
      <vt:lpstr>TAXPA_1Q17</vt:lpstr>
      <vt:lpstr>Tags!TAXPA_1Q18</vt:lpstr>
      <vt:lpstr>TAXPA_1Q18</vt:lpstr>
      <vt:lpstr>Tags!TAXPA_1Q19</vt:lpstr>
      <vt:lpstr>TAXPA_1Q19</vt:lpstr>
      <vt:lpstr>Tags!TAXPA_1Q20</vt:lpstr>
      <vt:lpstr>TAXPA_1Q20</vt:lpstr>
      <vt:lpstr>TAXPA_1Q21</vt:lpstr>
      <vt:lpstr>TAXPA_1Q22</vt:lpstr>
      <vt:lpstr>TAXPA_1Q23</vt:lpstr>
      <vt:lpstr>TAXPA_1Q24</vt:lpstr>
      <vt:lpstr>Tags!TAXPA_2000</vt:lpstr>
      <vt:lpstr>TAXPA_2000</vt:lpstr>
      <vt:lpstr>Tags!TAXPA_2001</vt:lpstr>
      <vt:lpstr>TAXPA_2001</vt:lpstr>
      <vt:lpstr>Tags!TAXPA_2002</vt:lpstr>
      <vt:lpstr>TAXPA_2002</vt:lpstr>
      <vt:lpstr>Tags!TAXPA_2003</vt:lpstr>
      <vt:lpstr>TAXPA_2003</vt:lpstr>
      <vt:lpstr>Tags!TAXPA_2004</vt:lpstr>
      <vt:lpstr>TAXPA_2004</vt:lpstr>
      <vt:lpstr>Tags!TAXPA_2005</vt:lpstr>
      <vt:lpstr>TAXPA_2005</vt:lpstr>
      <vt:lpstr>Tags!TAXPA_2006</vt:lpstr>
      <vt:lpstr>TAXPA_2006</vt:lpstr>
      <vt:lpstr>Tags!TAXPA_2007</vt:lpstr>
      <vt:lpstr>TAXPA_2007</vt:lpstr>
      <vt:lpstr>Tags!TAXPA_2008</vt:lpstr>
      <vt:lpstr>TAXPA_2008</vt:lpstr>
      <vt:lpstr>Tags!TAXPA_2009</vt:lpstr>
      <vt:lpstr>TAXPA_2009</vt:lpstr>
      <vt:lpstr>Tags!TAXPA_2010</vt:lpstr>
      <vt:lpstr>TAXPA_2010</vt:lpstr>
      <vt:lpstr>Tags!TAXPA_2011</vt:lpstr>
      <vt:lpstr>TAXPA_2011</vt:lpstr>
      <vt:lpstr>Tags!TAXPA_2012</vt:lpstr>
      <vt:lpstr>TAXPA_2012</vt:lpstr>
      <vt:lpstr>Tags!TAXPA_2013</vt:lpstr>
      <vt:lpstr>TAXPA_2013</vt:lpstr>
      <vt:lpstr>Tags!TAXPA_2014</vt:lpstr>
      <vt:lpstr>TAXPA_2014</vt:lpstr>
      <vt:lpstr>TAXPA_2015</vt:lpstr>
      <vt:lpstr>Tags!TAXPA_2016</vt:lpstr>
      <vt:lpstr>TAXPA_2016</vt:lpstr>
      <vt:lpstr>Tags!TAXPA_2017</vt:lpstr>
      <vt:lpstr>TAXPA_2017</vt:lpstr>
      <vt:lpstr>Tags!TAXPA_2018</vt:lpstr>
      <vt:lpstr>TAXPA_2018</vt:lpstr>
      <vt:lpstr>Tags!TAXPA_2019</vt:lpstr>
      <vt:lpstr>TAXPA_2019</vt:lpstr>
      <vt:lpstr>Tags!TAXPA_2020</vt:lpstr>
      <vt:lpstr>TAXPA_2020</vt:lpstr>
      <vt:lpstr>TAXPA_2021</vt:lpstr>
      <vt:lpstr>TAXPA_2022</vt:lpstr>
      <vt:lpstr>TAXPA_2023</vt:lpstr>
      <vt:lpstr>TAXPA_2024</vt:lpstr>
      <vt:lpstr>Tags!TAXPA_2Q00</vt:lpstr>
      <vt:lpstr>TAXPA_2Q00</vt:lpstr>
      <vt:lpstr>Tags!TAXPA_2Q01</vt:lpstr>
      <vt:lpstr>TAXPA_2Q01</vt:lpstr>
      <vt:lpstr>Tags!TAXPA_2Q02</vt:lpstr>
      <vt:lpstr>TAXPA_2Q02</vt:lpstr>
      <vt:lpstr>Tags!TAXPA_2Q03</vt:lpstr>
      <vt:lpstr>TAXPA_2Q03</vt:lpstr>
      <vt:lpstr>Tags!TAXPA_2Q04</vt:lpstr>
      <vt:lpstr>TAXPA_2Q04</vt:lpstr>
      <vt:lpstr>Tags!TAXPA_2Q05</vt:lpstr>
      <vt:lpstr>TAXPA_2Q05</vt:lpstr>
      <vt:lpstr>Tags!TAXPA_2Q06</vt:lpstr>
      <vt:lpstr>TAXPA_2Q06</vt:lpstr>
      <vt:lpstr>Tags!TAXPA_2Q07</vt:lpstr>
      <vt:lpstr>TAXPA_2Q07</vt:lpstr>
      <vt:lpstr>Tags!TAXPA_2Q08</vt:lpstr>
      <vt:lpstr>TAXPA_2Q08</vt:lpstr>
      <vt:lpstr>Tags!TAXPA_2Q09</vt:lpstr>
      <vt:lpstr>TAXPA_2Q09</vt:lpstr>
      <vt:lpstr>Tags!TAXPA_2Q10</vt:lpstr>
      <vt:lpstr>TAXPA_2Q10</vt:lpstr>
      <vt:lpstr>Tags!TAXPA_2Q11</vt:lpstr>
      <vt:lpstr>TAXPA_2Q11</vt:lpstr>
      <vt:lpstr>Tags!TAXPA_2Q12</vt:lpstr>
      <vt:lpstr>TAXPA_2Q12</vt:lpstr>
      <vt:lpstr>Tags!TAXPA_2Q13</vt:lpstr>
      <vt:lpstr>TAXPA_2Q13</vt:lpstr>
      <vt:lpstr>Tags!TAXPA_2Q14</vt:lpstr>
      <vt:lpstr>TAXPA_2Q14</vt:lpstr>
      <vt:lpstr>Tags!TAXPA_2Q15</vt:lpstr>
      <vt:lpstr>TAXPA_2Q15</vt:lpstr>
      <vt:lpstr>Tags!TAXPA_2Q16</vt:lpstr>
      <vt:lpstr>TAXPA_2Q16</vt:lpstr>
      <vt:lpstr>Tags!TAXPA_2Q17</vt:lpstr>
      <vt:lpstr>TAXPA_2Q17</vt:lpstr>
      <vt:lpstr>Tags!TAXPA_2Q18</vt:lpstr>
      <vt:lpstr>TAXPA_2Q18</vt:lpstr>
      <vt:lpstr>Tags!TAXPA_2Q19</vt:lpstr>
      <vt:lpstr>TAXPA_2Q19</vt:lpstr>
      <vt:lpstr>Tags!TAXPA_2Q20</vt:lpstr>
      <vt:lpstr>TAXPA_2Q20</vt:lpstr>
      <vt:lpstr>TAXPA_2Q21</vt:lpstr>
      <vt:lpstr>TAXPA_2Q22</vt:lpstr>
      <vt:lpstr>TAXPA_2Q23</vt:lpstr>
      <vt:lpstr>TAXPA_2Q24</vt:lpstr>
      <vt:lpstr>Tags!TAXPA_3Q00</vt:lpstr>
      <vt:lpstr>TAXPA_3Q00</vt:lpstr>
      <vt:lpstr>Tags!TAXPA_3Q01</vt:lpstr>
      <vt:lpstr>TAXPA_3Q01</vt:lpstr>
      <vt:lpstr>Tags!TAXPA_3Q02</vt:lpstr>
      <vt:lpstr>TAXPA_3Q02</vt:lpstr>
      <vt:lpstr>Tags!TAXPA_3Q03</vt:lpstr>
      <vt:lpstr>TAXPA_3Q03</vt:lpstr>
      <vt:lpstr>Tags!TAXPA_3Q04</vt:lpstr>
      <vt:lpstr>TAXPA_3Q04</vt:lpstr>
      <vt:lpstr>Tags!TAXPA_3Q05</vt:lpstr>
      <vt:lpstr>TAXPA_3Q05</vt:lpstr>
      <vt:lpstr>Tags!TAXPA_3Q06</vt:lpstr>
      <vt:lpstr>TAXPA_3Q06</vt:lpstr>
      <vt:lpstr>Tags!TAXPA_3Q07</vt:lpstr>
      <vt:lpstr>TAXPA_3Q07</vt:lpstr>
      <vt:lpstr>Tags!TAXPA_3Q08</vt:lpstr>
      <vt:lpstr>TAXPA_3Q08</vt:lpstr>
      <vt:lpstr>Tags!TAXPA_3Q09</vt:lpstr>
      <vt:lpstr>TAXPA_3Q09</vt:lpstr>
      <vt:lpstr>Tags!TAXPA_3Q10</vt:lpstr>
      <vt:lpstr>TAXPA_3Q10</vt:lpstr>
      <vt:lpstr>Tags!TAXPA_3Q11</vt:lpstr>
      <vt:lpstr>TAXPA_3Q11</vt:lpstr>
      <vt:lpstr>Tags!TAXPA_3Q12</vt:lpstr>
      <vt:lpstr>TAXPA_3Q12</vt:lpstr>
      <vt:lpstr>Tags!TAXPA_3Q13</vt:lpstr>
      <vt:lpstr>TAXPA_3Q13</vt:lpstr>
      <vt:lpstr>Tags!TAXPA_3Q14</vt:lpstr>
      <vt:lpstr>TAXPA_3Q14</vt:lpstr>
      <vt:lpstr>Tags!TAXPA_3Q15</vt:lpstr>
      <vt:lpstr>TAXPA_3Q15</vt:lpstr>
      <vt:lpstr>Tags!TAXPA_3Q16</vt:lpstr>
      <vt:lpstr>TAXPA_3Q16</vt:lpstr>
      <vt:lpstr>Tags!TAXPA_3Q17</vt:lpstr>
      <vt:lpstr>TAXPA_3Q17</vt:lpstr>
      <vt:lpstr>Tags!TAXPA_3Q18</vt:lpstr>
      <vt:lpstr>TAXPA_3Q18</vt:lpstr>
      <vt:lpstr>Tags!TAXPA_3Q19</vt:lpstr>
      <vt:lpstr>TAXPA_3Q19</vt:lpstr>
      <vt:lpstr>Tags!TAXPA_3Q20</vt:lpstr>
      <vt:lpstr>TAXPA_3Q20</vt:lpstr>
      <vt:lpstr>TAXPA_3Q21</vt:lpstr>
      <vt:lpstr>TAXPA_3Q22</vt:lpstr>
      <vt:lpstr>TAXPA_3Q23</vt:lpstr>
      <vt:lpstr>TAXPA_3Q24</vt:lpstr>
      <vt:lpstr>Tags!TAXPA_4Q00</vt:lpstr>
      <vt:lpstr>TAXPA_4Q00</vt:lpstr>
      <vt:lpstr>Tags!TAXPA_4Q01</vt:lpstr>
      <vt:lpstr>TAXPA_4Q01</vt:lpstr>
      <vt:lpstr>Tags!TAXPA_4Q02</vt:lpstr>
      <vt:lpstr>TAXPA_4Q02</vt:lpstr>
      <vt:lpstr>Tags!TAXPA_4Q03</vt:lpstr>
      <vt:lpstr>TAXPA_4Q03</vt:lpstr>
      <vt:lpstr>Tags!TAXPA_4Q04</vt:lpstr>
      <vt:lpstr>TAXPA_4Q04</vt:lpstr>
      <vt:lpstr>Tags!TAXPA_4Q05</vt:lpstr>
      <vt:lpstr>TAXPA_4Q05</vt:lpstr>
      <vt:lpstr>Tags!TAXPA_4Q06</vt:lpstr>
      <vt:lpstr>TAXPA_4Q06</vt:lpstr>
      <vt:lpstr>Tags!TAXPA_4Q07</vt:lpstr>
      <vt:lpstr>TAXPA_4Q07</vt:lpstr>
      <vt:lpstr>Tags!TAXPA_4Q08</vt:lpstr>
      <vt:lpstr>TAXPA_4Q08</vt:lpstr>
      <vt:lpstr>Tags!TAXPA_4Q09</vt:lpstr>
      <vt:lpstr>TAXPA_4Q09</vt:lpstr>
      <vt:lpstr>Tags!TAXPA_4Q10</vt:lpstr>
      <vt:lpstr>TAXPA_4Q10</vt:lpstr>
      <vt:lpstr>Tags!TAXPA_4Q11</vt:lpstr>
      <vt:lpstr>TAXPA_4Q11</vt:lpstr>
      <vt:lpstr>Tags!TAXPA_4Q12</vt:lpstr>
      <vt:lpstr>TAXPA_4Q12</vt:lpstr>
      <vt:lpstr>Tags!TAXPA_4Q13</vt:lpstr>
      <vt:lpstr>TAXPA_4Q13</vt:lpstr>
      <vt:lpstr>Tags!TAXPA_4Q14</vt:lpstr>
      <vt:lpstr>TAXPA_4Q14</vt:lpstr>
      <vt:lpstr>Tags!TAXPA_4Q15</vt:lpstr>
      <vt:lpstr>TAXPA_4Q15</vt:lpstr>
      <vt:lpstr>Tags!TAXPA_4Q16</vt:lpstr>
      <vt:lpstr>TAXPA_4Q16</vt:lpstr>
      <vt:lpstr>Tags!TAXPA_4Q17</vt:lpstr>
      <vt:lpstr>TAXPA_4Q17</vt:lpstr>
      <vt:lpstr>Tags!TAXPA_4Q18</vt:lpstr>
      <vt:lpstr>TAXPA_4Q18</vt:lpstr>
      <vt:lpstr>Tags!TAXPA_4Q19</vt:lpstr>
      <vt:lpstr>TAXPA_4Q19</vt:lpstr>
      <vt:lpstr>Tags!TAXPA_4Q20</vt:lpstr>
      <vt:lpstr>TAXPA_4Q20</vt:lpstr>
      <vt:lpstr>TAXPA_4Q21</vt:lpstr>
      <vt:lpstr>TAXPA_4Q22</vt:lpstr>
      <vt:lpstr>TAXPA_4Q23</vt:lpstr>
      <vt:lpstr>TAXPA_4Q24</vt:lpstr>
      <vt:lpstr>TEMPAF_1995</vt:lpstr>
      <vt:lpstr>TEMPAF_1996</vt:lpstr>
      <vt:lpstr>TEMPAF_1997</vt:lpstr>
      <vt:lpstr>TEMPAF_1998</vt:lpstr>
      <vt:lpstr>TEMPAF_1999</vt:lpstr>
      <vt:lpstr>Tags!TEMPAF_1Q00</vt:lpstr>
      <vt:lpstr>TEMPAF_1Q00</vt:lpstr>
      <vt:lpstr>Tags!TEMPAF_1Q01</vt:lpstr>
      <vt:lpstr>TEMPAF_1Q01</vt:lpstr>
      <vt:lpstr>Tags!TEMPAF_1Q02</vt:lpstr>
      <vt:lpstr>TEMPAF_1Q02</vt:lpstr>
      <vt:lpstr>Tags!TEMPAF_1Q03</vt:lpstr>
      <vt:lpstr>TEMPAF_1Q03</vt:lpstr>
      <vt:lpstr>Tags!TEMPAF_1Q04</vt:lpstr>
      <vt:lpstr>TEMPAF_1Q04</vt:lpstr>
      <vt:lpstr>Tags!TEMPAF_1Q05</vt:lpstr>
      <vt:lpstr>TEMPAF_1Q05</vt:lpstr>
      <vt:lpstr>Tags!TEMPAF_1Q06</vt:lpstr>
      <vt:lpstr>TEMPAF_1Q06</vt:lpstr>
      <vt:lpstr>Tags!TEMPAF_1Q07</vt:lpstr>
      <vt:lpstr>TEMPAF_1Q07</vt:lpstr>
      <vt:lpstr>Tags!TEMPAF_1Q08</vt:lpstr>
      <vt:lpstr>TEMPAF_1Q08</vt:lpstr>
      <vt:lpstr>Tags!TEMPAF_1Q09</vt:lpstr>
      <vt:lpstr>TEMPAF_1Q09</vt:lpstr>
      <vt:lpstr>Tags!TEMPAF_1Q10</vt:lpstr>
      <vt:lpstr>TEMPAF_1Q10</vt:lpstr>
      <vt:lpstr>Tags!TEMPAF_1Q11</vt:lpstr>
      <vt:lpstr>TEMPAF_1Q11</vt:lpstr>
      <vt:lpstr>Tags!TEMPAF_1Q12</vt:lpstr>
      <vt:lpstr>TEMPAF_1Q12</vt:lpstr>
      <vt:lpstr>Tags!TEMPAF_1Q13</vt:lpstr>
      <vt:lpstr>TEMPAF_1Q13</vt:lpstr>
      <vt:lpstr>Tags!TEMPAF_1Q14</vt:lpstr>
      <vt:lpstr>TEMPAF_1Q14</vt:lpstr>
      <vt:lpstr>Tags!TEMPAF_1Q15</vt:lpstr>
      <vt:lpstr>TEMPAF_1Q15</vt:lpstr>
      <vt:lpstr>Tags!TEMPAF_1Q16</vt:lpstr>
      <vt:lpstr>TEMPAF_1Q16</vt:lpstr>
      <vt:lpstr>Tags!TEMPAF_1Q17</vt:lpstr>
      <vt:lpstr>TEMPAF_1Q17</vt:lpstr>
      <vt:lpstr>Tags!TEMPAF_1Q18</vt:lpstr>
      <vt:lpstr>TEMPAF_1Q18</vt:lpstr>
      <vt:lpstr>Tags!TEMPAF_1Q19</vt:lpstr>
      <vt:lpstr>TEMPAF_1Q19</vt:lpstr>
      <vt:lpstr>Tags!TEMPAF_1Q20</vt:lpstr>
      <vt:lpstr>TEMPAF_1Q20</vt:lpstr>
      <vt:lpstr>TEMPAF_1Q21</vt:lpstr>
      <vt:lpstr>TEMPAF_1Q22</vt:lpstr>
      <vt:lpstr>TEMPAF_1Q23</vt:lpstr>
      <vt:lpstr>TEMPAF_1Q24</vt:lpstr>
      <vt:lpstr>Tags!TEMPAF_2000</vt:lpstr>
      <vt:lpstr>TEMPAF_2000</vt:lpstr>
      <vt:lpstr>Tags!TEMPAF_2001</vt:lpstr>
      <vt:lpstr>TEMPAF_2001</vt:lpstr>
      <vt:lpstr>Tags!TEMPAF_2002</vt:lpstr>
      <vt:lpstr>TEMPAF_2002</vt:lpstr>
      <vt:lpstr>Tags!TEMPAF_2003</vt:lpstr>
      <vt:lpstr>TEMPAF_2003</vt:lpstr>
      <vt:lpstr>Tags!TEMPAF_2004</vt:lpstr>
      <vt:lpstr>TEMPAF_2004</vt:lpstr>
      <vt:lpstr>Tags!TEMPAF_2005</vt:lpstr>
      <vt:lpstr>TEMPAF_2005</vt:lpstr>
      <vt:lpstr>Tags!TEMPAF_2006</vt:lpstr>
      <vt:lpstr>TEMPAF_2006</vt:lpstr>
      <vt:lpstr>Tags!TEMPAF_2007</vt:lpstr>
      <vt:lpstr>TEMPAF_2007</vt:lpstr>
      <vt:lpstr>Tags!TEMPAF_2008</vt:lpstr>
      <vt:lpstr>TEMPAF_2008</vt:lpstr>
      <vt:lpstr>Tags!TEMPAF_2009</vt:lpstr>
      <vt:lpstr>TEMPAF_2009</vt:lpstr>
      <vt:lpstr>Tags!TEMPAF_2010</vt:lpstr>
      <vt:lpstr>TEMPAF_2010</vt:lpstr>
      <vt:lpstr>Tags!TEMPAF_2011</vt:lpstr>
      <vt:lpstr>TEMPAF_2011</vt:lpstr>
      <vt:lpstr>Tags!TEMPAF_2012</vt:lpstr>
      <vt:lpstr>TEMPAF_2012</vt:lpstr>
      <vt:lpstr>Tags!TEMPAF_2013</vt:lpstr>
      <vt:lpstr>TEMPAF_2013</vt:lpstr>
      <vt:lpstr>Tags!TEMPAF_2014</vt:lpstr>
      <vt:lpstr>TEMPAF_2014</vt:lpstr>
      <vt:lpstr>TEMPAF_2015</vt:lpstr>
      <vt:lpstr>Tags!TEMPAF_2016</vt:lpstr>
      <vt:lpstr>TEMPAF_2016</vt:lpstr>
      <vt:lpstr>Tags!TEMPAF_2017</vt:lpstr>
      <vt:lpstr>TEMPAF_2017</vt:lpstr>
      <vt:lpstr>Tags!TEMPAF_2018</vt:lpstr>
      <vt:lpstr>TEMPAF_2018</vt:lpstr>
      <vt:lpstr>Tags!TEMPAF_2019</vt:lpstr>
      <vt:lpstr>TEMPAF_2019</vt:lpstr>
      <vt:lpstr>Tags!TEMPAF_2020</vt:lpstr>
      <vt:lpstr>TEMPAF_2020</vt:lpstr>
      <vt:lpstr>TEMPAF_2021</vt:lpstr>
      <vt:lpstr>TEMPAF_2022</vt:lpstr>
      <vt:lpstr>TEMPAF_2023</vt:lpstr>
      <vt:lpstr>TEMPAF_2024</vt:lpstr>
      <vt:lpstr>Tags!TEMPAF_2Q00</vt:lpstr>
      <vt:lpstr>TEMPAF_2Q00</vt:lpstr>
      <vt:lpstr>Tags!TEMPAF_2Q01</vt:lpstr>
      <vt:lpstr>TEMPAF_2Q01</vt:lpstr>
      <vt:lpstr>Tags!TEMPAF_2Q02</vt:lpstr>
      <vt:lpstr>TEMPAF_2Q02</vt:lpstr>
      <vt:lpstr>Tags!TEMPAF_2Q03</vt:lpstr>
      <vt:lpstr>TEMPAF_2Q03</vt:lpstr>
      <vt:lpstr>Tags!TEMPAF_2Q04</vt:lpstr>
      <vt:lpstr>TEMPAF_2Q04</vt:lpstr>
      <vt:lpstr>Tags!TEMPAF_2Q05</vt:lpstr>
      <vt:lpstr>TEMPAF_2Q05</vt:lpstr>
      <vt:lpstr>Tags!TEMPAF_2Q06</vt:lpstr>
      <vt:lpstr>TEMPAF_2Q06</vt:lpstr>
      <vt:lpstr>Tags!TEMPAF_2Q07</vt:lpstr>
      <vt:lpstr>TEMPAF_2Q07</vt:lpstr>
      <vt:lpstr>Tags!TEMPAF_2Q08</vt:lpstr>
      <vt:lpstr>TEMPAF_2Q08</vt:lpstr>
      <vt:lpstr>Tags!TEMPAF_2Q09</vt:lpstr>
      <vt:lpstr>TEMPAF_2Q09</vt:lpstr>
      <vt:lpstr>Tags!TEMPAF_2Q10</vt:lpstr>
      <vt:lpstr>TEMPAF_2Q10</vt:lpstr>
      <vt:lpstr>Tags!TEMPAF_2Q11</vt:lpstr>
      <vt:lpstr>TEMPAF_2Q11</vt:lpstr>
      <vt:lpstr>Tags!TEMPAF_2Q12</vt:lpstr>
      <vt:lpstr>TEMPAF_2Q12</vt:lpstr>
      <vt:lpstr>Tags!TEMPAF_2Q13</vt:lpstr>
      <vt:lpstr>TEMPAF_2Q13</vt:lpstr>
      <vt:lpstr>Tags!TEMPAF_2Q14</vt:lpstr>
      <vt:lpstr>TEMPAF_2Q14</vt:lpstr>
      <vt:lpstr>Tags!TEMPAF_2Q15</vt:lpstr>
      <vt:lpstr>TEMPAF_2Q15</vt:lpstr>
      <vt:lpstr>Tags!TEMPAF_2Q16</vt:lpstr>
      <vt:lpstr>TEMPAF_2Q16</vt:lpstr>
      <vt:lpstr>Tags!TEMPAF_2Q17</vt:lpstr>
      <vt:lpstr>TEMPAF_2Q17</vt:lpstr>
      <vt:lpstr>Tags!TEMPAF_2Q18</vt:lpstr>
      <vt:lpstr>TEMPAF_2Q18</vt:lpstr>
      <vt:lpstr>Tags!TEMPAF_2Q19</vt:lpstr>
      <vt:lpstr>TEMPAF_2Q19</vt:lpstr>
      <vt:lpstr>Tags!TEMPAF_2Q20</vt:lpstr>
      <vt:lpstr>TEMPAF_2Q20</vt:lpstr>
      <vt:lpstr>TEMPAF_2Q21</vt:lpstr>
      <vt:lpstr>TEMPAF_2Q22</vt:lpstr>
      <vt:lpstr>TEMPAF_2Q23</vt:lpstr>
      <vt:lpstr>TEMPAF_2Q24</vt:lpstr>
      <vt:lpstr>Tags!TEMPAF_3Q00</vt:lpstr>
      <vt:lpstr>TEMPAF_3Q00</vt:lpstr>
      <vt:lpstr>Tags!TEMPAF_3Q01</vt:lpstr>
      <vt:lpstr>TEMPAF_3Q01</vt:lpstr>
      <vt:lpstr>Tags!TEMPAF_3Q02</vt:lpstr>
      <vt:lpstr>TEMPAF_3Q02</vt:lpstr>
      <vt:lpstr>Tags!TEMPAF_3Q03</vt:lpstr>
      <vt:lpstr>TEMPAF_3Q03</vt:lpstr>
      <vt:lpstr>Tags!TEMPAF_3Q04</vt:lpstr>
      <vt:lpstr>TEMPAF_3Q04</vt:lpstr>
      <vt:lpstr>Tags!TEMPAF_3Q05</vt:lpstr>
      <vt:lpstr>TEMPAF_3Q05</vt:lpstr>
      <vt:lpstr>Tags!TEMPAF_3Q06</vt:lpstr>
      <vt:lpstr>TEMPAF_3Q06</vt:lpstr>
      <vt:lpstr>Tags!TEMPAF_3Q07</vt:lpstr>
      <vt:lpstr>TEMPAF_3Q07</vt:lpstr>
      <vt:lpstr>Tags!TEMPAF_3Q08</vt:lpstr>
      <vt:lpstr>TEMPAF_3Q08</vt:lpstr>
      <vt:lpstr>Tags!TEMPAF_3Q09</vt:lpstr>
      <vt:lpstr>TEMPAF_3Q09</vt:lpstr>
      <vt:lpstr>Tags!TEMPAF_3Q10</vt:lpstr>
      <vt:lpstr>TEMPAF_3Q10</vt:lpstr>
      <vt:lpstr>Tags!TEMPAF_3Q11</vt:lpstr>
      <vt:lpstr>TEMPAF_3Q11</vt:lpstr>
      <vt:lpstr>Tags!TEMPAF_3Q12</vt:lpstr>
      <vt:lpstr>TEMPAF_3Q12</vt:lpstr>
      <vt:lpstr>Tags!TEMPAF_3Q13</vt:lpstr>
      <vt:lpstr>TEMPAF_3Q13</vt:lpstr>
      <vt:lpstr>Tags!TEMPAF_3Q14</vt:lpstr>
      <vt:lpstr>TEMPAF_3Q14</vt:lpstr>
      <vt:lpstr>Tags!TEMPAF_3Q15</vt:lpstr>
      <vt:lpstr>TEMPAF_3Q15</vt:lpstr>
      <vt:lpstr>Tags!TEMPAF_3Q16</vt:lpstr>
      <vt:lpstr>TEMPAF_3Q16</vt:lpstr>
      <vt:lpstr>Tags!TEMPAF_3Q17</vt:lpstr>
      <vt:lpstr>TEMPAF_3Q17</vt:lpstr>
      <vt:lpstr>Tags!TEMPAF_3Q18</vt:lpstr>
      <vt:lpstr>TEMPAF_3Q18</vt:lpstr>
      <vt:lpstr>Tags!TEMPAF_3Q19</vt:lpstr>
      <vt:lpstr>TEMPAF_3Q19</vt:lpstr>
      <vt:lpstr>Tags!TEMPAF_3Q20</vt:lpstr>
      <vt:lpstr>TEMPAF_3Q20</vt:lpstr>
      <vt:lpstr>TEMPAF_3Q21</vt:lpstr>
      <vt:lpstr>TEMPAF_3Q22</vt:lpstr>
      <vt:lpstr>TEMPAF_3Q23</vt:lpstr>
      <vt:lpstr>TEMPAF_3Q24</vt:lpstr>
      <vt:lpstr>Tags!TEMPAF_4Q00</vt:lpstr>
      <vt:lpstr>TEMPAF_4Q00</vt:lpstr>
      <vt:lpstr>Tags!TEMPAF_4Q01</vt:lpstr>
      <vt:lpstr>TEMPAF_4Q01</vt:lpstr>
      <vt:lpstr>Tags!TEMPAF_4Q02</vt:lpstr>
      <vt:lpstr>TEMPAF_4Q02</vt:lpstr>
      <vt:lpstr>Tags!TEMPAF_4Q03</vt:lpstr>
      <vt:lpstr>TEMPAF_4Q03</vt:lpstr>
      <vt:lpstr>Tags!TEMPAF_4Q04</vt:lpstr>
      <vt:lpstr>TEMPAF_4Q04</vt:lpstr>
      <vt:lpstr>Tags!TEMPAF_4Q05</vt:lpstr>
      <vt:lpstr>TEMPAF_4Q05</vt:lpstr>
      <vt:lpstr>Tags!TEMPAF_4Q06</vt:lpstr>
      <vt:lpstr>TEMPAF_4Q06</vt:lpstr>
      <vt:lpstr>Tags!TEMPAF_4Q07</vt:lpstr>
      <vt:lpstr>TEMPAF_4Q07</vt:lpstr>
      <vt:lpstr>Tags!TEMPAF_4Q08</vt:lpstr>
      <vt:lpstr>TEMPAF_4Q08</vt:lpstr>
      <vt:lpstr>Tags!TEMPAF_4Q09</vt:lpstr>
      <vt:lpstr>TEMPAF_4Q09</vt:lpstr>
      <vt:lpstr>Tags!TEMPAF_4Q10</vt:lpstr>
      <vt:lpstr>TEMPAF_4Q10</vt:lpstr>
      <vt:lpstr>Tags!TEMPAF_4Q11</vt:lpstr>
      <vt:lpstr>TEMPAF_4Q11</vt:lpstr>
      <vt:lpstr>Tags!TEMPAF_4Q12</vt:lpstr>
      <vt:lpstr>TEMPAF_4Q12</vt:lpstr>
      <vt:lpstr>Tags!TEMPAF_4Q13</vt:lpstr>
      <vt:lpstr>TEMPAF_4Q13</vt:lpstr>
      <vt:lpstr>Tags!TEMPAF_4Q14</vt:lpstr>
      <vt:lpstr>TEMPAF_4Q14</vt:lpstr>
      <vt:lpstr>Tags!TEMPAF_4Q15</vt:lpstr>
      <vt:lpstr>TEMPAF_4Q15</vt:lpstr>
      <vt:lpstr>Tags!TEMPAF_4Q16</vt:lpstr>
      <vt:lpstr>TEMPAF_4Q16</vt:lpstr>
      <vt:lpstr>Tags!TEMPAF_4Q17</vt:lpstr>
      <vt:lpstr>TEMPAF_4Q17</vt:lpstr>
      <vt:lpstr>Tags!TEMPAF_4Q18</vt:lpstr>
      <vt:lpstr>TEMPAF_4Q18</vt:lpstr>
      <vt:lpstr>Tags!TEMPAF_4Q19</vt:lpstr>
      <vt:lpstr>TEMPAF_4Q19</vt:lpstr>
      <vt:lpstr>Tags!TEMPAF_4Q20</vt:lpstr>
      <vt:lpstr>TEMPAF_4Q20</vt:lpstr>
      <vt:lpstr>TEMPAF_4Q21</vt:lpstr>
      <vt:lpstr>TEMPAF_4Q22</vt:lpstr>
      <vt:lpstr>TEMPAF_4Q23</vt:lpstr>
      <vt:lpstr>TEMPAF_4Q24</vt:lpstr>
      <vt:lpstr>TFA_1995</vt:lpstr>
      <vt:lpstr>TFA_1996</vt:lpstr>
      <vt:lpstr>TFA_1997</vt:lpstr>
      <vt:lpstr>TFA_1998</vt:lpstr>
      <vt:lpstr>TFA_1999</vt:lpstr>
      <vt:lpstr>Tags!TFA_1Q00</vt:lpstr>
      <vt:lpstr>TFA_1Q00</vt:lpstr>
      <vt:lpstr>Tags!TFA_1Q01</vt:lpstr>
      <vt:lpstr>TFA_1Q01</vt:lpstr>
      <vt:lpstr>Tags!TFA_1Q02</vt:lpstr>
      <vt:lpstr>TFA_1Q02</vt:lpstr>
      <vt:lpstr>Tags!TFA_1Q03</vt:lpstr>
      <vt:lpstr>TFA_1Q03</vt:lpstr>
      <vt:lpstr>Tags!TFA_1Q04</vt:lpstr>
      <vt:lpstr>TFA_1Q04</vt:lpstr>
      <vt:lpstr>Tags!TFA_1Q05</vt:lpstr>
      <vt:lpstr>TFA_1Q05</vt:lpstr>
      <vt:lpstr>Tags!TFA_1Q06</vt:lpstr>
      <vt:lpstr>TFA_1Q06</vt:lpstr>
      <vt:lpstr>Tags!TFA_1Q07</vt:lpstr>
      <vt:lpstr>TFA_1Q07</vt:lpstr>
      <vt:lpstr>Tags!TFA_1Q08</vt:lpstr>
      <vt:lpstr>TFA_1Q08</vt:lpstr>
      <vt:lpstr>Tags!TFA_1Q09</vt:lpstr>
      <vt:lpstr>TFA_1Q09</vt:lpstr>
      <vt:lpstr>Tags!TFA_1Q10</vt:lpstr>
      <vt:lpstr>TFA_1Q10</vt:lpstr>
      <vt:lpstr>Tags!TFA_1Q11</vt:lpstr>
      <vt:lpstr>TFA_1Q11</vt:lpstr>
      <vt:lpstr>Tags!TFA_1Q12</vt:lpstr>
      <vt:lpstr>TFA_1Q12</vt:lpstr>
      <vt:lpstr>Tags!TFA_1Q13</vt:lpstr>
      <vt:lpstr>TFA_1Q13</vt:lpstr>
      <vt:lpstr>Tags!TFA_1Q14</vt:lpstr>
      <vt:lpstr>TFA_1Q14</vt:lpstr>
      <vt:lpstr>Tags!TFA_1Q15</vt:lpstr>
      <vt:lpstr>TFA_1Q15</vt:lpstr>
      <vt:lpstr>Tags!TFA_1Q16</vt:lpstr>
      <vt:lpstr>TFA_1Q16</vt:lpstr>
      <vt:lpstr>Tags!TFA_1Q17</vt:lpstr>
      <vt:lpstr>TFA_1Q17</vt:lpstr>
      <vt:lpstr>Tags!TFA_1Q18</vt:lpstr>
      <vt:lpstr>TFA_1Q18</vt:lpstr>
      <vt:lpstr>Tags!TFA_1Q19</vt:lpstr>
      <vt:lpstr>TFA_1Q19</vt:lpstr>
      <vt:lpstr>Tags!TFA_1Q20</vt:lpstr>
      <vt:lpstr>TFA_1Q20</vt:lpstr>
      <vt:lpstr>TFA_1Q21</vt:lpstr>
      <vt:lpstr>TFA_1Q22</vt:lpstr>
      <vt:lpstr>TFA_1Q23</vt:lpstr>
      <vt:lpstr>TFA_1Q24</vt:lpstr>
      <vt:lpstr>Tags!TFA_2000</vt:lpstr>
      <vt:lpstr>TFA_2000</vt:lpstr>
      <vt:lpstr>Tags!TFA_2001</vt:lpstr>
      <vt:lpstr>TFA_2001</vt:lpstr>
      <vt:lpstr>Tags!TFA_2002</vt:lpstr>
      <vt:lpstr>TFA_2002</vt:lpstr>
      <vt:lpstr>Tags!TFA_2003</vt:lpstr>
      <vt:lpstr>TFA_2003</vt:lpstr>
      <vt:lpstr>Tags!TFA_2004</vt:lpstr>
      <vt:lpstr>TFA_2004</vt:lpstr>
      <vt:lpstr>Tags!TFA_2005</vt:lpstr>
      <vt:lpstr>TFA_2005</vt:lpstr>
      <vt:lpstr>Tags!TFA_2006</vt:lpstr>
      <vt:lpstr>TFA_2006</vt:lpstr>
      <vt:lpstr>Tags!TFA_2007</vt:lpstr>
      <vt:lpstr>TFA_2007</vt:lpstr>
      <vt:lpstr>Tags!TFA_2008</vt:lpstr>
      <vt:lpstr>TFA_2008</vt:lpstr>
      <vt:lpstr>Tags!TFA_2009</vt:lpstr>
      <vt:lpstr>TFA_2009</vt:lpstr>
      <vt:lpstr>Tags!TFA_2010</vt:lpstr>
      <vt:lpstr>TFA_2010</vt:lpstr>
      <vt:lpstr>Tags!TFA_2011</vt:lpstr>
      <vt:lpstr>TFA_2011</vt:lpstr>
      <vt:lpstr>Tags!TFA_2012</vt:lpstr>
      <vt:lpstr>TFA_2012</vt:lpstr>
      <vt:lpstr>Tags!TFA_2013</vt:lpstr>
      <vt:lpstr>TFA_2013</vt:lpstr>
      <vt:lpstr>Tags!TFA_2014</vt:lpstr>
      <vt:lpstr>TFA_2014</vt:lpstr>
      <vt:lpstr>TFA_2015</vt:lpstr>
      <vt:lpstr>Tags!TFA_2016</vt:lpstr>
      <vt:lpstr>TFA_2016</vt:lpstr>
      <vt:lpstr>Tags!TFA_2017</vt:lpstr>
      <vt:lpstr>TFA_2017</vt:lpstr>
      <vt:lpstr>Tags!TFA_2018</vt:lpstr>
      <vt:lpstr>TFA_2018</vt:lpstr>
      <vt:lpstr>Tags!TFA_2019</vt:lpstr>
      <vt:lpstr>TFA_2019</vt:lpstr>
      <vt:lpstr>Tags!TFA_2020</vt:lpstr>
      <vt:lpstr>TFA_2020</vt:lpstr>
      <vt:lpstr>TFA_2021</vt:lpstr>
      <vt:lpstr>TFA_2022</vt:lpstr>
      <vt:lpstr>TFA_2023</vt:lpstr>
      <vt:lpstr>TFA_2024</vt:lpstr>
      <vt:lpstr>Tags!TFA_2Q00</vt:lpstr>
      <vt:lpstr>TFA_2Q00</vt:lpstr>
      <vt:lpstr>Tags!TFA_2Q01</vt:lpstr>
      <vt:lpstr>TFA_2Q01</vt:lpstr>
      <vt:lpstr>Tags!TFA_2Q02</vt:lpstr>
      <vt:lpstr>TFA_2Q02</vt:lpstr>
      <vt:lpstr>Tags!TFA_2Q03</vt:lpstr>
      <vt:lpstr>TFA_2Q03</vt:lpstr>
      <vt:lpstr>Tags!TFA_2Q04</vt:lpstr>
      <vt:lpstr>TFA_2Q04</vt:lpstr>
      <vt:lpstr>Tags!TFA_2Q05</vt:lpstr>
      <vt:lpstr>TFA_2Q05</vt:lpstr>
      <vt:lpstr>Tags!TFA_2Q06</vt:lpstr>
      <vt:lpstr>TFA_2Q06</vt:lpstr>
      <vt:lpstr>Tags!TFA_2Q07</vt:lpstr>
      <vt:lpstr>TFA_2Q07</vt:lpstr>
      <vt:lpstr>Tags!TFA_2Q08</vt:lpstr>
      <vt:lpstr>TFA_2Q08</vt:lpstr>
      <vt:lpstr>Tags!TFA_2Q09</vt:lpstr>
      <vt:lpstr>TFA_2Q09</vt:lpstr>
      <vt:lpstr>Tags!TFA_2Q10</vt:lpstr>
      <vt:lpstr>TFA_2Q10</vt:lpstr>
      <vt:lpstr>Tags!TFA_2Q11</vt:lpstr>
      <vt:lpstr>TFA_2Q11</vt:lpstr>
      <vt:lpstr>Tags!TFA_2Q12</vt:lpstr>
      <vt:lpstr>TFA_2Q12</vt:lpstr>
      <vt:lpstr>Tags!TFA_2Q13</vt:lpstr>
      <vt:lpstr>TFA_2Q13</vt:lpstr>
      <vt:lpstr>Tags!TFA_2Q14</vt:lpstr>
      <vt:lpstr>TFA_2Q14</vt:lpstr>
      <vt:lpstr>Tags!TFA_2Q15</vt:lpstr>
      <vt:lpstr>TFA_2Q15</vt:lpstr>
      <vt:lpstr>Tags!TFA_2Q16</vt:lpstr>
      <vt:lpstr>TFA_2Q16</vt:lpstr>
      <vt:lpstr>Tags!TFA_2Q17</vt:lpstr>
      <vt:lpstr>TFA_2Q17</vt:lpstr>
      <vt:lpstr>Tags!TFA_2Q18</vt:lpstr>
      <vt:lpstr>TFA_2Q18</vt:lpstr>
      <vt:lpstr>Tags!TFA_2Q19</vt:lpstr>
      <vt:lpstr>TFA_2Q19</vt:lpstr>
      <vt:lpstr>Tags!TFA_2Q20</vt:lpstr>
      <vt:lpstr>TFA_2Q20</vt:lpstr>
      <vt:lpstr>TFA_2Q21</vt:lpstr>
      <vt:lpstr>TFA_2Q22</vt:lpstr>
      <vt:lpstr>TFA_2Q23</vt:lpstr>
      <vt:lpstr>TFA_2Q24</vt:lpstr>
      <vt:lpstr>Tags!TFA_3Q00</vt:lpstr>
      <vt:lpstr>TFA_3Q00</vt:lpstr>
      <vt:lpstr>Tags!TFA_3Q01</vt:lpstr>
      <vt:lpstr>TFA_3Q01</vt:lpstr>
      <vt:lpstr>Tags!TFA_3Q02</vt:lpstr>
      <vt:lpstr>TFA_3Q02</vt:lpstr>
      <vt:lpstr>Tags!TFA_3Q03</vt:lpstr>
      <vt:lpstr>TFA_3Q03</vt:lpstr>
      <vt:lpstr>Tags!TFA_3Q04</vt:lpstr>
      <vt:lpstr>TFA_3Q04</vt:lpstr>
      <vt:lpstr>Tags!TFA_3Q05</vt:lpstr>
      <vt:lpstr>TFA_3Q05</vt:lpstr>
      <vt:lpstr>Tags!TFA_3Q06</vt:lpstr>
      <vt:lpstr>TFA_3Q06</vt:lpstr>
      <vt:lpstr>Tags!TFA_3Q07</vt:lpstr>
      <vt:lpstr>TFA_3Q07</vt:lpstr>
      <vt:lpstr>Tags!TFA_3Q08</vt:lpstr>
      <vt:lpstr>TFA_3Q08</vt:lpstr>
      <vt:lpstr>Tags!TFA_3Q09</vt:lpstr>
      <vt:lpstr>TFA_3Q09</vt:lpstr>
      <vt:lpstr>Tags!TFA_3Q10</vt:lpstr>
      <vt:lpstr>TFA_3Q10</vt:lpstr>
      <vt:lpstr>Tags!TFA_3Q11</vt:lpstr>
      <vt:lpstr>TFA_3Q11</vt:lpstr>
      <vt:lpstr>Tags!TFA_3Q12</vt:lpstr>
      <vt:lpstr>TFA_3Q12</vt:lpstr>
      <vt:lpstr>Tags!TFA_3Q13</vt:lpstr>
      <vt:lpstr>TFA_3Q13</vt:lpstr>
      <vt:lpstr>Tags!TFA_3Q14</vt:lpstr>
      <vt:lpstr>TFA_3Q14</vt:lpstr>
      <vt:lpstr>Tags!TFA_3Q15</vt:lpstr>
      <vt:lpstr>TFA_3Q15</vt:lpstr>
      <vt:lpstr>Tags!TFA_3Q16</vt:lpstr>
      <vt:lpstr>TFA_3Q16</vt:lpstr>
      <vt:lpstr>Tags!TFA_3Q17</vt:lpstr>
      <vt:lpstr>TFA_3Q17</vt:lpstr>
      <vt:lpstr>Tags!TFA_3Q18</vt:lpstr>
      <vt:lpstr>TFA_3Q18</vt:lpstr>
      <vt:lpstr>Tags!TFA_3Q19</vt:lpstr>
      <vt:lpstr>TFA_3Q19</vt:lpstr>
      <vt:lpstr>Tags!TFA_3Q20</vt:lpstr>
      <vt:lpstr>TFA_3Q20</vt:lpstr>
      <vt:lpstr>TFA_3Q21</vt:lpstr>
      <vt:lpstr>TFA_3Q22</vt:lpstr>
      <vt:lpstr>TFA_3Q23</vt:lpstr>
      <vt:lpstr>TFA_3Q24</vt:lpstr>
      <vt:lpstr>Tags!TFA_4Q00</vt:lpstr>
      <vt:lpstr>TFA_4Q00</vt:lpstr>
      <vt:lpstr>Tags!TFA_4Q01</vt:lpstr>
      <vt:lpstr>TFA_4Q01</vt:lpstr>
      <vt:lpstr>Tags!TFA_4Q02</vt:lpstr>
      <vt:lpstr>TFA_4Q02</vt:lpstr>
      <vt:lpstr>Tags!TFA_4Q03</vt:lpstr>
      <vt:lpstr>TFA_4Q03</vt:lpstr>
      <vt:lpstr>Tags!TFA_4Q04</vt:lpstr>
      <vt:lpstr>TFA_4Q04</vt:lpstr>
      <vt:lpstr>Tags!TFA_4Q05</vt:lpstr>
      <vt:lpstr>TFA_4Q05</vt:lpstr>
      <vt:lpstr>Tags!TFA_4Q06</vt:lpstr>
      <vt:lpstr>TFA_4Q06</vt:lpstr>
      <vt:lpstr>Tags!TFA_4Q07</vt:lpstr>
      <vt:lpstr>TFA_4Q07</vt:lpstr>
      <vt:lpstr>Tags!TFA_4Q08</vt:lpstr>
      <vt:lpstr>TFA_4Q08</vt:lpstr>
      <vt:lpstr>Tags!TFA_4Q09</vt:lpstr>
      <vt:lpstr>TFA_4Q09</vt:lpstr>
      <vt:lpstr>Tags!TFA_4Q10</vt:lpstr>
      <vt:lpstr>TFA_4Q10</vt:lpstr>
      <vt:lpstr>Tags!TFA_4Q11</vt:lpstr>
      <vt:lpstr>TFA_4Q11</vt:lpstr>
      <vt:lpstr>Tags!TFA_4Q12</vt:lpstr>
      <vt:lpstr>TFA_4Q12</vt:lpstr>
      <vt:lpstr>Tags!TFA_4Q13</vt:lpstr>
      <vt:lpstr>TFA_4Q13</vt:lpstr>
      <vt:lpstr>Tags!TFA_4Q14</vt:lpstr>
      <vt:lpstr>TFA_4Q14</vt:lpstr>
      <vt:lpstr>Tags!TFA_4Q15</vt:lpstr>
      <vt:lpstr>TFA_4Q15</vt:lpstr>
      <vt:lpstr>Tags!TFA_4Q16</vt:lpstr>
      <vt:lpstr>TFA_4Q16</vt:lpstr>
      <vt:lpstr>Tags!TFA_4Q17</vt:lpstr>
      <vt:lpstr>TFA_4Q17</vt:lpstr>
      <vt:lpstr>Tags!TFA_4Q18</vt:lpstr>
      <vt:lpstr>TFA_4Q18</vt:lpstr>
      <vt:lpstr>Tags!TFA_4Q19</vt:lpstr>
      <vt:lpstr>TFA_4Q19</vt:lpstr>
      <vt:lpstr>Tags!TFA_4Q20</vt:lpstr>
      <vt:lpstr>TFA_4Q20</vt:lpstr>
      <vt:lpstr>TFA_4Q21</vt:lpstr>
      <vt:lpstr>TFA_4Q22</vt:lpstr>
      <vt:lpstr>TFA_4Q23</vt:lpstr>
      <vt:lpstr>TFA_4Q24</vt:lpstr>
      <vt:lpstr>TIBTAI_1995</vt:lpstr>
      <vt:lpstr>TIBTAI_1996</vt:lpstr>
      <vt:lpstr>TIBTAI_1997</vt:lpstr>
      <vt:lpstr>TIBTAI_1998</vt:lpstr>
      <vt:lpstr>TIBTAI_1999</vt:lpstr>
      <vt:lpstr>Tags!TIBTAI_1Q00</vt:lpstr>
      <vt:lpstr>TIBTAI_1Q00</vt:lpstr>
      <vt:lpstr>Tags!TIBTAI_1Q01</vt:lpstr>
      <vt:lpstr>TIBTAI_1Q01</vt:lpstr>
      <vt:lpstr>Tags!TIBTAI_1Q02</vt:lpstr>
      <vt:lpstr>TIBTAI_1Q02</vt:lpstr>
      <vt:lpstr>Tags!TIBTAI_1Q03</vt:lpstr>
      <vt:lpstr>TIBTAI_1Q03</vt:lpstr>
      <vt:lpstr>Tags!TIBTAI_1Q04</vt:lpstr>
      <vt:lpstr>TIBTAI_1Q04</vt:lpstr>
      <vt:lpstr>Tags!TIBTAI_1Q05</vt:lpstr>
      <vt:lpstr>TIBTAI_1Q05</vt:lpstr>
      <vt:lpstr>Tags!TIBTAI_1Q06</vt:lpstr>
      <vt:lpstr>TIBTAI_1Q06</vt:lpstr>
      <vt:lpstr>Tags!TIBTAI_1Q07</vt:lpstr>
      <vt:lpstr>TIBTAI_1Q07</vt:lpstr>
      <vt:lpstr>Tags!TIBTAI_1Q08</vt:lpstr>
      <vt:lpstr>TIBTAI_1Q08</vt:lpstr>
      <vt:lpstr>Tags!TIBTAI_1Q09</vt:lpstr>
      <vt:lpstr>TIBTAI_1Q09</vt:lpstr>
      <vt:lpstr>Tags!TIBTAI_1Q10</vt:lpstr>
      <vt:lpstr>TIBTAI_1Q10</vt:lpstr>
      <vt:lpstr>Tags!TIBTAI_1Q11</vt:lpstr>
      <vt:lpstr>TIBTAI_1Q11</vt:lpstr>
      <vt:lpstr>Tags!TIBTAI_1Q12</vt:lpstr>
      <vt:lpstr>TIBTAI_1Q12</vt:lpstr>
      <vt:lpstr>Tags!TIBTAI_1Q13</vt:lpstr>
      <vt:lpstr>TIBTAI_1Q13</vt:lpstr>
      <vt:lpstr>Tags!TIBTAI_1Q14</vt:lpstr>
      <vt:lpstr>TIBTAI_1Q14</vt:lpstr>
      <vt:lpstr>Tags!TIBTAI_1Q15</vt:lpstr>
      <vt:lpstr>TIBTAI_1Q15</vt:lpstr>
      <vt:lpstr>Tags!TIBTAI_1Q16</vt:lpstr>
      <vt:lpstr>TIBTAI_1Q16</vt:lpstr>
      <vt:lpstr>Tags!TIBTAI_1Q17</vt:lpstr>
      <vt:lpstr>TIBTAI_1Q17</vt:lpstr>
      <vt:lpstr>Tags!TIBTAI_1Q18</vt:lpstr>
      <vt:lpstr>TIBTAI_1Q18</vt:lpstr>
      <vt:lpstr>Tags!TIBTAI_1Q19</vt:lpstr>
      <vt:lpstr>TIBTAI_1Q19</vt:lpstr>
      <vt:lpstr>Tags!TIBTAI_1Q20</vt:lpstr>
      <vt:lpstr>TIBTAI_1Q20</vt:lpstr>
      <vt:lpstr>TIBTAI_1Q21</vt:lpstr>
      <vt:lpstr>TIBTAI_1Q22</vt:lpstr>
      <vt:lpstr>TIBTAI_1Q23</vt:lpstr>
      <vt:lpstr>TIBTAI_1Q24</vt:lpstr>
      <vt:lpstr>Tags!TIBTAI_2000</vt:lpstr>
      <vt:lpstr>TIBTAI_2000</vt:lpstr>
      <vt:lpstr>Tags!TIBTAI_2001</vt:lpstr>
      <vt:lpstr>TIBTAI_2001</vt:lpstr>
      <vt:lpstr>Tags!TIBTAI_2002</vt:lpstr>
      <vt:lpstr>TIBTAI_2002</vt:lpstr>
      <vt:lpstr>Tags!TIBTAI_2003</vt:lpstr>
      <vt:lpstr>TIBTAI_2003</vt:lpstr>
      <vt:lpstr>Tags!TIBTAI_2004</vt:lpstr>
      <vt:lpstr>TIBTAI_2004</vt:lpstr>
      <vt:lpstr>Tags!TIBTAI_2005</vt:lpstr>
      <vt:lpstr>TIBTAI_2005</vt:lpstr>
      <vt:lpstr>Tags!TIBTAI_2006</vt:lpstr>
      <vt:lpstr>TIBTAI_2006</vt:lpstr>
      <vt:lpstr>Tags!TIBTAI_2007</vt:lpstr>
      <vt:lpstr>TIBTAI_2007</vt:lpstr>
      <vt:lpstr>Tags!TIBTAI_2008</vt:lpstr>
      <vt:lpstr>TIBTAI_2008</vt:lpstr>
      <vt:lpstr>Tags!TIBTAI_2009</vt:lpstr>
      <vt:lpstr>TIBTAI_2009</vt:lpstr>
      <vt:lpstr>Tags!TIBTAI_2010</vt:lpstr>
      <vt:lpstr>TIBTAI_2010</vt:lpstr>
      <vt:lpstr>Tags!TIBTAI_2011</vt:lpstr>
      <vt:lpstr>TIBTAI_2011</vt:lpstr>
      <vt:lpstr>Tags!TIBTAI_2012</vt:lpstr>
      <vt:lpstr>TIBTAI_2012</vt:lpstr>
      <vt:lpstr>Tags!TIBTAI_2013</vt:lpstr>
      <vt:lpstr>TIBTAI_2013</vt:lpstr>
      <vt:lpstr>Tags!TIBTAI_2014</vt:lpstr>
      <vt:lpstr>TIBTAI_2014</vt:lpstr>
      <vt:lpstr>TIBTAI_2015</vt:lpstr>
      <vt:lpstr>Tags!TIBTAI_2016</vt:lpstr>
      <vt:lpstr>TIBTAI_2016</vt:lpstr>
      <vt:lpstr>Tags!TIBTAI_2017</vt:lpstr>
      <vt:lpstr>TIBTAI_2017</vt:lpstr>
      <vt:lpstr>Tags!TIBTAI_2018</vt:lpstr>
      <vt:lpstr>TIBTAI_2018</vt:lpstr>
      <vt:lpstr>Tags!TIBTAI_2019</vt:lpstr>
      <vt:lpstr>TIBTAI_2019</vt:lpstr>
      <vt:lpstr>Tags!TIBTAI_2020</vt:lpstr>
      <vt:lpstr>TIBTAI_2020</vt:lpstr>
      <vt:lpstr>TIBTAI_2021</vt:lpstr>
      <vt:lpstr>TIBTAI_2022</vt:lpstr>
      <vt:lpstr>TIBTAI_2023</vt:lpstr>
      <vt:lpstr>TIBTAI_2024</vt:lpstr>
      <vt:lpstr>Tags!TIBTAI_2Q00</vt:lpstr>
      <vt:lpstr>TIBTAI_2Q00</vt:lpstr>
      <vt:lpstr>Tags!TIBTAI_2Q01</vt:lpstr>
      <vt:lpstr>TIBTAI_2Q01</vt:lpstr>
      <vt:lpstr>Tags!TIBTAI_2Q02</vt:lpstr>
      <vt:lpstr>TIBTAI_2Q02</vt:lpstr>
      <vt:lpstr>Tags!TIBTAI_2Q03</vt:lpstr>
      <vt:lpstr>TIBTAI_2Q03</vt:lpstr>
      <vt:lpstr>Tags!TIBTAI_2Q04</vt:lpstr>
      <vt:lpstr>TIBTAI_2Q04</vt:lpstr>
      <vt:lpstr>Tags!TIBTAI_2Q05</vt:lpstr>
      <vt:lpstr>TIBTAI_2Q05</vt:lpstr>
      <vt:lpstr>Tags!TIBTAI_2Q06</vt:lpstr>
      <vt:lpstr>TIBTAI_2Q06</vt:lpstr>
      <vt:lpstr>Tags!TIBTAI_2Q07</vt:lpstr>
      <vt:lpstr>TIBTAI_2Q07</vt:lpstr>
      <vt:lpstr>Tags!TIBTAI_2Q08</vt:lpstr>
      <vt:lpstr>TIBTAI_2Q08</vt:lpstr>
      <vt:lpstr>Tags!TIBTAI_2Q09</vt:lpstr>
      <vt:lpstr>TIBTAI_2Q09</vt:lpstr>
      <vt:lpstr>Tags!TIBTAI_2Q10</vt:lpstr>
      <vt:lpstr>TIBTAI_2Q10</vt:lpstr>
      <vt:lpstr>Tags!TIBTAI_2Q11</vt:lpstr>
      <vt:lpstr>TIBTAI_2Q11</vt:lpstr>
      <vt:lpstr>Tags!TIBTAI_2Q12</vt:lpstr>
      <vt:lpstr>TIBTAI_2Q12</vt:lpstr>
      <vt:lpstr>Tags!TIBTAI_2Q13</vt:lpstr>
      <vt:lpstr>TIBTAI_2Q13</vt:lpstr>
      <vt:lpstr>Tags!TIBTAI_2Q14</vt:lpstr>
      <vt:lpstr>TIBTAI_2Q14</vt:lpstr>
      <vt:lpstr>Tags!TIBTAI_2Q15</vt:lpstr>
      <vt:lpstr>TIBTAI_2Q15</vt:lpstr>
      <vt:lpstr>Tags!TIBTAI_2Q16</vt:lpstr>
      <vt:lpstr>TIBTAI_2Q16</vt:lpstr>
      <vt:lpstr>Tags!TIBTAI_2Q17</vt:lpstr>
      <vt:lpstr>TIBTAI_2Q17</vt:lpstr>
      <vt:lpstr>Tags!TIBTAI_2Q18</vt:lpstr>
      <vt:lpstr>TIBTAI_2Q18</vt:lpstr>
      <vt:lpstr>Tags!TIBTAI_2Q19</vt:lpstr>
      <vt:lpstr>TIBTAI_2Q19</vt:lpstr>
      <vt:lpstr>Tags!TIBTAI_2Q20</vt:lpstr>
      <vt:lpstr>TIBTAI_2Q20</vt:lpstr>
      <vt:lpstr>TIBTAI_2Q21</vt:lpstr>
      <vt:lpstr>TIBTAI_2Q22</vt:lpstr>
      <vt:lpstr>TIBTAI_2Q23</vt:lpstr>
      <vt:lpstr>TIBTAI_2Q24</vt:lpstr>
      <vt:lpstr>Tags!TIBTAI_3Q00</vt:lpstr>
      <vt:lpstr>TIBTAI_3Q00</vt:lpstr>
      <vt:lpstr>Tags!TIBTAI_3Q01</vt:lpstr>
      <vt:lpstr>TIBTAI_3Q01</vt:lpstr>
      <vt:lpstr>Tags!TIBTAI_3Q02</vt:lpstr>
      <vt:lpstr>TIBTAI_3Q02</vt:lpstr>
      <vt:lpstr>Tags!TIBTAI_3Q03</vt:lpstr>
      <vt:lpstr>TIBTAI_3Q03</vt:lpstr>
      <vt:lpstr>Tags!TIBTAI_3Q04</vt:lpstr>
      <vt:lpstr>TIBTAI_3Q04</vt:lpstr>
      <vt:lpstr>Tags!TIBTAI_3Q05</vt:lpstr>
      <vt:lpstr>TIBTAI_3Q05</vt:lpstr>
      <vt:lpstr>Tags!TIBTAI_3Q06</vt:lpstr>
      <vt:lpstr>TIBTAI_3Q06</vt:lpstr>
      <vt:lpstr>Tags!TIBTAI_3Q07</vt:lpstr>
      <vt:lpstr>TIBTAI_3Q07</vt:lpstr>
      <vt:lpstr>Tags!TIBTAI_3Q08</vt:lpstr>
      <vt:lpstr>TIBTAI_3Q08</vt:lpstr>
      <vt:lpstr>Tags!TIBTAI_3Q09</vt:lpstr>
      <vt:lpstr>TIBTAI_3Q09</vt:lpstr>
      <vt:lpstr>Tags!TIBTAI_3Q10</vt:lpstr>
      <vt:lpstr>TIBTAI_3Q10</vt:lpstr>
      <vt:lpstr>Tags!TIBTAI_3Q11</vt:lpstr>
      <vt:lpstr>TIBTAI_3Q11</vt:lpstr>
      <vt:lpstr>Tags!TIBTAI_3Q12</vt:lpstr>
      <vt:lpstr>TIBTAI_3Q12</vt:lpstr>
      <vt:lpstr>Tags!TIBTAI_3Q13</vt:lpstr>
      <vt:lpstr>TIBTAI_3Q13</vt:lpstr>
      <vt:lpstr>Tags!TIBTAI_3Q14</vt:lpstr>
      <vt:lpstr>TIBTAI_3Q14</vt:lpstr>
      <vt:lpstr>Tags!TIBTAI_3Q15</vt:lpstr>
      <vt:lpstr>TIBTAI_3Q15</vt:lpstr>
      <vt:lpstr>Tags!TIBTAI_3Q16</vt:lpstr>
      <vt:lpstr>TIBTAI_3Q16</vt:lpstr>
      <vt:lpstr>Tags!TIBTAI_3Q17</vt:lpstr>
      <vt:lpstr>TIBTAI_3Q17</vt:lpstr>
      <vt:lpstr>Tags!TIBTAI_3Q18</vt:lpstr>
      <vt:lpstr>TIBTAI_3Q18</vt:lpstr>
      <vt:lpstr>Tags!TIBTAI_3Q19</vt:lpstr>
      <vt:lpstr>TIBTAI_3Q19</vt:lpstr>
      <vt:lpstr>Tags!TIBTAI_3Q20</vt:lpstr>
      <vt:lpstr>TIBTAI_3Q20</vt:lpstr>
      <vt:lpstr>TIBTAI_3Q21</vt:lpstr>
      <vt:lpstr>TIBTAI_3Q22</vt:lpstr>
      <vt:lpstr>TIBTAI_3Q23</vt:lpstr>
      <vt:lpstr>TIBTAI_3Q24</vt:lpstr>
      <vt:lpstr>Tags!TIBTAI_4Q00</vt:lpstr>
      <vt:lpstr>TIBTAI_4Q00</vt:lpstr>
      <vt:lpstr>Tags!TIBTAI_4Q01</vt:lpstr>
      <vt:lpstr>TIBTAI_4Q01</vt:lpstr>
      <vt:lpstr>Tags!TIBTAI_4Q02</vt:lpstr>
      <vt:lpstr>TIBTAI_4Q02</vt:lpstr>
      <vt:lpstr>Tags!TIBTAI_4Q03</vt:lpstr>
      <vt:lpstr>TIBTAI_4Q03</vt:lpstr>
      <vt:lpstr>Tags!TIBTAI_4Q04</vt:lpstr>
      <vt:lpstr>TIBTAI_4Q04</vt:lpstr>
      <vt:lpstr>Tags!TIBTAI_4Q05</vt:lpstr>
      <vt:lpstr>TIBTAI_4Q05</vt:lpstr>
      <vt:lpstr>Tags!TIBTAI_4Q06</vt:lpstr>
      <vt:lpstr>TIBTAI_4Q06</vt:lpstr>
      <vt:lpstr>Tags!TIBTAI_4Q07</vt:lpstr>
      <vt:lpstr>TIBTAI_4Q07</vt:lpstr>
      <vt:lpstr>Tags!TIBTAI_4Q08</vt:lpstr>
      <vt:lpstr>TIBTAI_4Q08</vt:lpstr>
      <vt:lpstr>Tags!TIBTAI_4Q09</vt:lpstr>
      <vt:lpstr>TIBTAI_4Q09</vt:lpstr>
      <vt:lpstr>Tags!TIBTAI_4Q10</vt:lpstr>
      <vt:lpstr>TIBTAI_4Q10</vt:lpstr>
      <vt:lpstr>Tags!TIBTAI_4Q11</vt:lpstr>
      <vt:lpstr>TIBTAI_4Q11</vt:lpstr>
      <vt:lpstr>Tags!TIBTAI_4Q12</vt:lpstr>
      <vt:lpstr>TIBTAI_4Q12</vt:lpstr>
      <vt:lpstr>Tags!TIBTAI_4Q13</vt:lpstr>
      <vt:lpstr>TIBTAI_4Q13</vt:lpstr>
      <vt:lpstr>Tags!TIBTAI_4Q14</vt:lpstr>
      <vt:lpstr>TIBTAI_4Q14</vt:lpstr>
      <vt:lpstr>Tags!TIBTAI_4Q15</vt:lpstr>
      <vt:lpstr>TIBTAI_4Q15</vt:lpstr>
      <vt:lpstr>Tags!TIBTAI_4Q16</vt:lpstr>
      <vt:lpstr>TIBTAI_4Q16</vt:lpstr>
      <vt:lpstr>Tags!TIBTAI_4Q17</vt:lpstr>
      <vt:lpstr>TIBTAI_4Q17</vt:lpstr>
      <vt:lpstr>Tags!TIBTAI_4Q18</vt:lpstr>
      <vt:lpstr>TIBTAI_4Q18</vt:lpstr>
      <vt:lpstr>Tags!TIBTAI_4Q19</vt:lpstr>
      <vt:lpstr>TIBTAI_4Q19</vt:lpstr>
      <vt:lpstr>Tags!TIBTAI_4Q20</vt:lpstr>
      <vt:lpstr>TIBTAI_4Q20</vt:lpstr>
      <vt:lpstr>TIBTAI_4Q21</vt:lpstr>
      <vt:lpstr>TIBTAI_4Q22</vt:lpstr>
      <vt:lpstr>TIBTAI_4Q23</vt:lpstr>
      <vt:lpstr>TIBTAI_4Q24</vt:lpstr>
      <vt:lpstr>TRAPAY_1995</vt:lpstr>
      <vt:lpstr>TRAPAY_1996</vt:lpstr>
      <vt:lpstr>TRAPAY_1997</vt:lpstr>
      <vt:lpstr>TRAPAY_1998</vt:lpstr>
      <vt:lpstr>TRAPAY_1999</vt:lpstr>
      <vt:lpstr>Tags!TRAPAY_1Q00</vt:lpstr>
      <vt:lpstr>TRAPAY_1Q00</vt:lpstr>
      <vt:lpstr>Tags!TRAPAY_1Q01</vt:lpstr>
      <vt:lpstr>TRAPAY_1Q01</vt:lpstr>
      <vt:lpstr>Tags!TRAPAY_1Q02</vt:lpstr>
      <vt:lpstr>TRAPAY_1Q02</vt:lpstr>
      <vt:lpstr>Tags!TRAPAY_1Q03</vt:lpstr>
      <vt:lpstr>TRAPAY_1Q03</vt:lpstr>
      <vt:lpstr>Tags!TRAPAY_1Q04</vt:lpstr>
      <vt:lpstr>TRAPAY_1Q04</vt:lpstr>
      <vt:lpstr>Tags!TRAPAY_1Q05</vt:lpstr>
      <vt:lpstr>TRAPAY_1Q05</vt:lpstr>
      <vt:lpstr>Tags!TRAPAY_1Q06</vt:lpstr>
      <vt:lpstr>TRAPAY_1Q06</vt:lpstr>
      <vt:lpstr>Tags!TRAPAY_1Q07</vt:lpstr>
      <vt:lpstr>TRAPAY_1Q07</vt:lpstr>
      <vt:lpstr>Tags!TRAPAY_1Q08</vt:lpstr>
      <vt:lpstr>TRAPAY_1Q08</vt:lpstr>
      <vt:lpstr>Tags!TRAPAY_1Q09</vt:lpstr>
      <vt:lpstr>TRAPAY_1Q09</vt:lpstr>
      <vt:lpstr>Tags!TRAPAY_1Q10</vt:lpstr>
      <vt:lpstr>TRAPAY_1Q10</vt:lpstr>
      <vt:lpstr>Tags!TRAPAY_1Q11</vt:lpstr>
      <vt:lpstr>TRAPAY_1Q11</vt:lpstr>
      <vt:lpstr>Tags!TRAPAY_1Q12</vt:lpstr>
      <vt:lpstr>TRAPAY_1Q12</vt:lpstr>
      <vt:lpstr>Tags!TRAPAY_1Q13</vt:lpstr>
      <vt:lpstr>TRAPAY_1Q13</vt:lpstr>
      <vt:lpstr>Tags!TRAPAY_1Q14</vt:lpstr>
      <vt:lpstr>TRAPAY_1Q14</vt:lpstr>
      <vt:lpstr>Tags!TRAPAY_1Q15</vt:lpstr>
      <vt:lpstr>TRAPAY_1Q15</vt:lpstr>
      <vt:lpstr>Tags!TRAPAY_1Q16</vt:lpstr>
      <vt:lpstr>TRAPAY_1Q16</vt:lpstr>
      <vt:lpstr>Tags!TRAPAY_1Q17</vt:lpstr>
      <vt:lpstr>TRAPAY_1Q17</vt:lpstr>
      <vt:lpstr>Tags!TRAPAY_1Q18</vt:lpstr>
      <vt:lpstr>TRAPAY_1Q18</vt:lpstr>
      <vt:lpstr>Tags!TRAPAY_1Q19</vt:lpstr>
      <vt:lpstr>TRAPAY_1Q19</vt:lpstr>
      <vt:lpstr>Tags!TRAPAY_1Q20</vt:lpstr>
      <vt:lpstr>TRAPAY_1Q20</vt:lpstr>
      <vt:lpstr>TRAPAY_1Q21</vt:lpstr>
      <vt:lpstr>TRAPAY_1Q22</vt:lpstr>
      <vt:lpstr>TRAPAY_1Q23</vt:lpstr>
      <vt:lpstr>TRAPAY_1Q24</vt:lpstr>
      <vt:lpstr>Tags!TRAPAY_2000</vt:lpstr>
      <vt:lpstr>TRAPAY_2000</vt:lpstr>
      <vt:lpstr>Tags!TRAPAY_2001</vt:lpstr>
      <vt:lpstr>TRAPAY_2001</vt:lpstr>
      <vt:lpstr>Tags!TRAPAY_2002</vt:lpstr>
      <vt:lpstr>TRAPAY_2002</vt:lpstr>
      <vt:lpstr>Tags!TRAPAY_2003</vt:lpstr>
      <vt:lpstr>TRAPAY_2003</vt:lpstr>
      <vt:lpstr>Tags!TRAPAY_2004</vt:lpstr>
      <vt:lpstr>TRAPAY_2004</vt:lpstr>
      <vt:lpstr>Tags!TRAPAY_2005</vt:lpstr>
      <vt:lpstr>TRAPAY_2005</vt:lpstr>
      <vt:lpstr>Tags!TRAPAY_2006</vt:lpstr>
      <vt:lpstr>TRAPAY_2006</vt:lpstr>
      <vt:lpstr>Tags!TRAPAY_2007</vt:lpstr>
      <vt:lpstr>TRAPAY_2007</vt:lpstr>
      <vt:lpstr>Tags!TRAPAY_2008</vt:lpstr>
      <vt:lpstr>TRAPAY_2008</vt:lpstr>
      <vt:lpstr>Tags!TRAPAY_2009</vt:lpstr>
      <vt:lpstr>TRAPAY_2009</vt:lpstr>
      <vt:lpstr>Tags!TRAPAY_2010</vt:lpstr>
      <vt:lpstr>TRAPAY_2010</vt:lpstr>
      <vt:lpstr>Tags!TRAPAY_2011</vt:lpstr>
      <vt:lpstr>TRAPAY_2011</vt:lpstr>
      <vt:lpstr>Tags!TRAPAY_2012</vt:lpstr>
      <vt:lpstr>TRAPAY_2012</vt:lpstr>
      <vt:lpstr>Tags!TRAPAY_2013</vt:lpstr>
      <vt:lpstr>TRAPAY_2013</vt:lpstr>
      <vt:lpstr>Tags!TRAPAY_2014</vt:lpstr>
      <vt:lpstr>TRAPAY_2014</vt:lpstr>
      <vt:lpstr>TRAPAY_2015</vt:lpstr>
      <vt:lpstr>Tags!TRAPAY_2016</vt:lpstr>
      <vt:lpstr>TRAPAY_2016</vt:lpstr>
      <vt:lpstr>Tags!TRAPAY_2017</vt:lpstr>
      <vt:lpstr>TRAPAY_2017</vt:lpstr>
      <vt:lpstr>Tags!TRAPAY_2018</vt:lpstr>
      <vt:lpstr>TRAPAY_2018</vt:lpstr>
      <vt:lpstr>Tags!TRAPAY_2019</vt:lpstr>
      <vt:lpstr>TRAPAY_2019</vt:lpstr>
      <vt:lpstr>Tags!TRAPAY_2020</vt:lpstr>
      <vt:lpstr>TRAPAY_2020</vt:lpstr>
      <vt:lpstr>TRAPAY_2021</vt:lpstr>
      <vt:lpstr>TRAPAY_2022</vt:lpstr>
      <vt:lpstr>TRAPAY_2023</vt:lpstr>
      <vt:lpstr>TRAPAY_2024</vt:lpstr>
      <vt:lpstr>Tags!TRAPAY_2Q00</vt:lpstr>
      <vt:lpstr>TRAPAY_2Q00</vt:lpstr>
      <vt:lpstr>Tags!TRAPAY_2Q01</vt:lpstr>
      <vt:lpstr>TRAPAY_2Q01</vt:lpstr>
      <vt:lpstr>Tags!TRAPAY_2Q02</vt:lpstr>
      <vt:lpstr>TRAPAY_2Q02</vt:lpstr>
      <vt:lpstr>Tags!TRAPAY_2Q03</vt:lpstr>
      <vt:lpstr>TRAPAY_2Q03</vt:lpstr>
      <vt:lpstr>Tags!TRAPAY_2Q04</vt:lpstr>
      <vt:lpstr>TRAPAY_2Q04</vt:lpstr>
      <vt:lpstr>Tags!TRAPAY_2Q05</vt:lpstr>
      <vt:lpstr>TRAPAY_2Q05</vt:lpstr>
      <vt:lpstr>Tags!TRAPAY_2Q06</vt:lpstr>
      <vt:lpstr>TRAPAY_2Q06</vt:lpstr>
      <vt:lpstr>Tags!TRAPAY_2Q07</vt:lpstr>
      <vt:lpstr>TRAPAY_2Q07</vt:lpstr>
      <vt:lpstr>Tags!TRAPAY_2Q08</vt:lpstr>
      <vt:lpstr>TRAPAY_2Q08</vt:lpstr>
      <vt:lpstr>Tags!TRAPAY_2Q09</vt:lpstr>
      <vt:lpstr>TRAPAY_2Q09</vt:lpstr>
      <vt:lpstr>Tags!TRAPAY_2Q10</vt:lpstr>
      <vt:lpstr>TRAPAY_2Q10</vt:lpstr>
      <vt:lpstr>Tags!TRAPAY_2Q11</vt:lpstr>
      <vt:lpstr>TRAPAY_2Q11</vt:lpstr>
      <vt:lpstr>Tags!TRAPAY_2Q12</vt:lpstr>
      <vt:lpstr>TRAPAY_2Q12</vt:lpstr>
      <vt:lpstr>Tags!TRAPAY_2Q13</vt:lpstr>
      <vt:lpstr>TRAPAY_2Q13</vt:lpstr>
      <vt:lpstr>Tags!TRAPAY_2Q14</vt:lpstr>
      <vt:lpstr>TRAPAY_2Q14</vt:lpstr>
      <vt:lpstr>Tags!TRAPAY_2Q15</vt:lpstr>
      <vt:lpstr>TRAPAY_2Q15</vt:lpstr>
      <vt:lpstr>Tags!TRAPAY_2Q16</vt:lpstr>
      <vt:lpstr>TRAPAY_2Q16</vt:lpstr>
      <vt:lpstr>Tags!TRAPAY_2Q17</vt:lpstr>
      <vt:lpstr>TRAPAY_2Q17</vt:lpstr>
      <vt:lpstr>Tags!TRAPAY_2Q18</vt:lpstr>
      <vt:lpstr>TRAPAY_2Q18</vt:lpstr>
      <vt:lpstr>Tags!TRAPAY_2Q19</vt:lpstr>
      <vt:lpstr>TRAPAY_2Q19</vt:lpstr>
      <vt:lpstr>Tags!TRAPAY_2Q20</vt:lpstr>
      <vt:lpstr>TRAPAY_2Q20</vt:lpstr>
      <vt:lpstr>TRAPAY_2Q21</vt:lpstr>
      <vt:lpstr>TRAPAY_2Q22</vt:lpstr>
      <vt:lpstr>TRAPAY_2Q23</vt:lpstr>
      <vt:lpstr>TRAPAY_2Q24</vt:lpstr>
      <vt:lpstr>Tags!TRAPAY_3Q00</vt:lpstr>
      <vt:lpstr>TRAPAY_3Q00</vt:lpstr>
      <vt:lpstr>Tags!TRAPAY_3Q01</vt:lpstr>
      <vt:lpstr>TRAPAY_3Q01</vt:lpstr>
      <vt:lpstr>Tags!TRAPAY_3Q02</vt:lpstr>
      <vt:lpstr>TRAPAY_3Q02</vt:lpstr>
      <vt:lpstr>Tags!TRAPAY_3Q03</vt:lpstr>
      <vt:lpstr>TRAPAY_3Q03</vt:lpstr>
      <vt:lpstr>Tags!TRAPAY_3Q04</vt:lpstr>
      <vt:lpstr>TRAPAY_3Q04</vt:lpstr>
      <vt:lpstr>Tags!TRAPAY_3Q05</vt:lpstr>
      <vt:lpstr>TRAPAY_3Q05</vt:lpstr>
      <vt:lpstr>Tags!TRAPAY_3Q06</vt:lpstr>
      <vt:lpstr>TRAPAY_3Q06</vt:lpstr>
      <vt:lpstr>Tags!TRAPAY_3Q07</vt:lpstr>
      <vt:lpstr>TRAPAY_3Q07</vt:lpstr>
      <vt:lpstr>Tags!TRAPAY_3Q08</vt:lpstr>
      <vt:lpstr>TRAPAY_3Q08</vt:lpstr>
      <vt:lpstr>Tags!TRAPAY_3Q09</vt:lpstr>
      <vt:lpstr>TRAPAY_3Q09</vt:lpstr>
      <vt:lpstr>Tags!TRAPAY_3Q10</vt:lpstr>
      <vt:lpstr>TRAPAY_3Q10</vt:lpstr>
      <vt:lpstr>Tags!TRAPAY_3Q11</vt:lpstr>
      <vt:lpstr>TRAPAY_3Q11</vt:lpstr>
      <vt:lpstr>Tags!TRAPAY_3Q12</vt:lpstr>
      <vt:lpstr>TRAPAY_3Q12</vt:lpstr>
      <vt:lpstr>Tags!TRAPAY_3Q13</vt:lpstr>
      <vt:lpstr>TRAPAY_3Q13</vt:lpstr>
      <vt:lpstr>Tags!TRAPAY_3Q14</vt:lpstr>
      <vt:lpstr>TRAPAY_3Q14</vt:lpstr>
      <vt:lpstr>Tags!TRAPAY_3Q15</vt:lpstr>
      <vt:lpstr>TRAPAY_3Q15</vt:lpstr>
      <vt:lpstr>Tags!TRAPAY_3Q16</vt:lpstr>
      <vt:lpstr>TRAPAY_3Q16</vt:lpstr>
      <vt:lpstr>Tags!TRAPAY_3Q17</vt:lpstr>
      <vt:lpstr>TRAPAY_3Q17</vt:lpstr>
      <vt:lpstr>Tags!TRAPAY_3Q18</vt:lpstr>
      <vt:lpstr>TRAPAY_3Q18</vt:lpstr>
      <vt:lpstr>Tags!TRAPAY_3Q19</vt:lpstr>
      <vt:lpstr>TRAPAY_3Q19</vt:lpstr>
      <vt:lpstr>Tags!TRAPAY_3Q20</vt:lpstr>
      <vt:lpstr>TRAPAY_3Q20</vt:lpstr>
      <vt:lpstr>TRAPAY_3Q21</vt:lpstr>
      <vt:lpstr>TRAPAY_3Q22</vt:lpstr>
      <vt:lpstr>TRAPAY_3Q23</vt:lpstr>
      <vt:lpstr>TRAPAY_3Q24</vt:lpstr>
      <vt:lpstr>Tags!TRAPAY_4Q00</vt:lpstr>
      <vt:lpstr>TRAPAY_4Q00</vt:lpstr>
      <vt:lpstr>Tags!TRAPAY_4Q01</vt:lpstr>
      <vt:lpstr>TRAPAY_4Q01</vt:lpstr>
      <vt:lpstr>Tags!TRAPAY_4Q02</vt:lpstr>
      <vt:lpstr>TRAPAY_4Q02</vt:lpstr>
      <vt:lpstr>Tags!TRAPAY_4Q03</vt:lpstr>
      <vt:lpstr>TRAPAY_4Q03</vt:lpstr>
      <vt:lpstr>Tags!TRAPAY_4Q04</vt:lpstr>
      <vt:lpstr>TRAPAY_4Q04</vt:lpstr>
      <vt:lpstr>Tags!TRAPAY_4Q05</vt:lpstr>
      <vt:lpstr>TRAPAY_4Q05</vt:lpstr>
      <vt:lpstr>Tags!TRAPAY_4Q06</vt:lpstr>
      <vt:lpstr>TRAPAY_4Q06</vt:lpstr>
      <vt:lpstr>Tags!TRAPAY_4Q07</vt:lpstr>
      <vt:lpstr>TRAPAY_4Q07</vt:lpstr>
      <vt:lpstr>Tags!TRAPAY_4Q08</vt:lpstr>
      <vt:lpstr>TRAPAY_4Q08</vt:lpstr>
      <vt:lpstr>Tags!TRAPAY_4Q09</vt:lpstr>
      <vt:lpstr>TRAPAY_4Q09</vt:lpstr>
      <vt:lpstr>Tags!TRAPAY_4Q10</vt:lpstr>
      <vt:lpstr>TRAPAY_4Q10</vt:lpstr>
      <vt:lpstr>Tags!TRAPAY_4Q11</vt:lpstr>
      <vt:lpstr>TRAPAY_4Q11</vt:lpstr>
      <vt:lpstr>Tags!TRAPAY_4Q12</vt:lpstr>
      <vt:lpstr>TRAPAY_4Q12</vt:lpstr>
      <vt:lpstr>Tags!TRAPAY_4Q13</vt:lpstr>
      <vt:lpstr>TRAPAY_4Q13</vt:lpstr>
      <vt:lpstr>Tags!TRAPAY_4Q14</vt:lpstr>
      <vt:lpstr>TRAPAY_4Q14</vt:lpstr>
      <vt:lpstr>Tags!TRAPAY_4Q15</vt:lpstr>
      <vt:lpstr>TRAPAY_4Q15</vt:lpstr>
      <vt:lpstr>Tags!TRAPAY_4Q16</vt:lpstr>
      <vt:lpstr>TRAPAY_4Q16</vt:lpstr>
      <vt:lpstr>Tags!TRAPAY_4Q17</vt:lpstr>
      <vt:lpstr>TRAPAY_4Q17</vt:lpstr>
      <vt:lpstr>Tags!TRAPAY_4Q18</vt:lpstr>
      <vt:lpstr>TRAPAY_4Q18</vt:lpstr>
      <vt:lpstr>Tags!TRAPAY_4Q19</vt:lpstr>
      <vt:lpstr>TRAPAY_4Q19</vt:lpstr>
      <vt:lpstr>Tags!TRAPAY_4Q20</vt:lpstr>
      <vt:lpstr>TRAPAY_4Q20</vt:lpstr>
      <vt:lpstr>TRAPAY_4Q21</vt:lpstr>
      <vt:lpstr>TRAPAY_4Q22</vt:lpstr>
      <vt:lpstr>TRAPAY_4Q23</vt:lpstr>
      <vt:lpstr>TRAPAY_4Q24</vt:lpstr>
      <vt:lpstr>TURN_1995</vt:lpstr>
      <vt:lpstr>TURN_1996</vt:lpstr>
      <vt:lpstr>TURN_1997</vt:lpstr>
      <vt:lpstr>TURN_1998</vt:lpstr>
      <vt:lpstr>TURN_1999</vt:lpstr>
      <vt:lpstr>Tags!TURN_1Q00</vt:lpstr>
      <vt:lpstr>TURN_1Q00</vt:lpstr>
      <vt:lpstr>Tags!TURN_1Q01</vt:lpstr>
      <vt:lpstr>TURN_1Q01</vt:lpstr>
      <vt:lpstr>Tags!TURN_1Q02</vt:lpstr>
      <vt:lpstr>TURN_1Q02</vt:lpstr>
      <vt:lpstr>Tags!TURN_1Q03</vt:lpstr>
      <vt:lpstr>TURN_1Q03</vt:lpstr>
      <vt:lpstr>Tags!TURN_1Q04</vt:lpstr>
      <vt:lpstr>TURN_1Q04</vt:lpstr>
      <vt:lpstr>Tags!TURN_1Q05</vt:lpstr>
      <vt:lpstr>TURN_1Q05</vt:lpstr>
      <vt:lpstr>Tags!TURN_1Q06</vt:lpstr>
      <vt:lpstr>TURN_1Q06</vt:lpstr>
      <vt:lpstr>Tags!TURN_1Q07</vt:lpstr>
      <vt:lpstr>TURN_1Q07</vt:lpstr>
      <vt:lpstr>Tags!TURN_1Q08</vt:lpstr>
      <vt:lpstr>TURN_1Q08</vt:lpstr>
      <vt:lpstr>Tags!TURN_1Q09</vt:lpstr>
      <vt:lpstr>TURN_1Q09</vt:lpstr>
      <vt:lpstr>Tags!TURN_1Q10</vt:lpstr>
      <vt:lpstr>TURN_1Q10</vt:lpstr>
      <vt:lpstr>Tags!TURN_1Q11</vt:lpstr>
      <vt:lpstr>TURN_1Q11</vt:lpstr>
      <vt:lpstr>Tags!TURN_1Q12</vt:lpstr>
      <vt:lpstr>TURN_1Q12</vt:lpstr>
      <vt:lpstr>Tags!TURN_1Q13</vt:lpstr>
      <vt:lpstr>TURN_1Q13</vt:lpstr>
      <vt:lpstr>Tags!TURN_1Q14</vt:lpstr>
      <vt:lpstr>TURN_1Q14</vt:lpstr>
      <vt:lpstr>Tags!TURN_1Q15</vt:lpstr>
      <vt:lpstr>TURN_1Q15</vt:lpstr>
      <vt:lpstr>Tags!TURN_1Q16</vt:lpstr>
      <vt:lpstr>TURN_1Q16</vt:lpstr>
      <vt:lpstr>Tags!TURN_1Q17</vt:lpstr>
      <vt:lpstr>TURN_1Q17</vt:lpstr>
      <vt:lpstr>Tags!TURN_1Q18</vt:lpstr>
      <vt:lpstr>TURN_1Q18</vt:lpstr>
      <vt:lpstr>Tags!TURN_1Q19</vt:lpstr>
      <vt:lpstr>TURN_1Q19</vt:lpstr>
      <vt:lpstr>Tags!TURN_1Q20</vt:lpstr>
      <vt:lpstr>TURN_1Q20</vt:lpstr>
      <vt:lpstr>TURN_1Q21</vt:lpstr>
      <vt:lpstr>TURN_1Q22</vt:lpstr>
      <vt:lpstr>TURN_1Q23</vt:lpstr>
      <vt:lpstr>TURN_1Q24</vt:lpstr>
      <vt:lpstr>Tags!TURN_2000</vt:lpstr>
      <vt:lpstr>TURN_2000</vt:lpstr>
      <vt:lpstr>Tags!TURN_2001</vt:lpstr>
      <vt:lpstr>TURN_2001</vt:lpstr>
      <vt:lpstr>Tags!TURN_2002</vt:lpstr>
      <vt:lpstr>TURN_2002</vt:lpstr>
      <vt:lpstr>Tags!TURN_2003</vt:lpstr>
      <vt:lpstr>TURN_2003</vt:lpstr>
      <vt:lpstr>Tags!TURN_2004</vt:lpstr>
      <vt:lpstr>TURN_2004</vt:lpstr>
      <vt:lpstr>Tags!TURN_2005</vt:lpstr>
      <vt:lpstr>TURN_2005</vt:lpstr>
      <vt:lpstr>Tags!TURN_2006</vt:lpstr>
      <vt:lpstr>TURN_2006</vt:lpstr>
      <vt:lpstr>Tags!TURN_2007</vt:lpstr>
      <vt:lpstr>TURN_2007</vt:lpstr>
      <vt:lpstr>Tags!TURN_2008</vt:lpstr>
      <vt:lpstr>TURN_2008</vt:lpstr>
      <vt:lpstr>Tags!TURN_2009</vt:lpstr>
      <vt:lpstr>TURN_2009</vt:lpstr>
      <vt:lpstr>Tags!TURN_2010</vt:lpstr>
      <vt:lpstr>TURN_2010</vt:lpstr>
      <vt:lpstr>Tags!TURN_2011</vt:lpstr>
      <vt:lpstr>TURN_2011</vt:lpstr>
      <vt:lpstr>Tags!TURN_2012</vt:lpstr>
      <vt:lpstr>TURN_2012</vt:lpstr>
      <vt:lpstr>Tags!TURN_2013</vt:lpstr>
      <vt:lpstr>TURN_2013</vt:lpstr>
      <vt:lpstr>Tags!TURN_2014</vt:lpstr>
      <vt:lpstr>TURN_2014</vt:lpstr>
      <vt:lpstr>TURN_2015</vt:lpstr>
      <vt:lpstr>Tags!TURN_2016</vt:lpstr>
      <vt:lpstr>TURN_2016</vt:lpstr>
      <vt:lpstr>Tags!TURN_2017</vt:lpstr>
      <vt:lpstr>TURN_2017</vt:lpstr>
      <vt:lpstr>Tags!TURN_2018</vt:lpstr>
      <vt:lpstr>TURN_2018</vt:lpstr>
      <vt:lpstr>Tags!TURN_2019</vt:lpstr>
      <vt:lpstr>TURN_2019</vt:lpstr>
      <vt:lpstr>Tags!TURN_2020</vt:lpstr>
      <vt:lpstr>TURN_2020</vt:lpstr>
      <vt:lpstr>TURN_2021</vt:lpstr>
      <vt:lpstr>TURN_2022</vt:lpstr>
      <vt:lpstr>TURN_2023</vt:lpstr>
      <vt:lpstr>TURN_2024</vt:lpstr>
      <vt:lpstr>Tags!TURN_2Q00</vt:lpstr>
      <vt:lpstr>TURN_2Q00</vt:lpstr>
      <vt:lpstr>Tags!TURN_2Q01</vt:lpstr>
      <vt:lpstr>TURN_2Q01</vt:lpstr>
      <vt:lpstr>Tags!TURN_2Q02</vt:lpstr>
      <vt:lpstr>TURN_2Q02</vt:lpstr>
      <vt:lpstr>Tags!TURN_2Q03</vt:lpstr>
      <vt:lpstr>TURN_2Q03</vt:lpstr>
      <vt:lpstr>Tags!TURN_2Q04</vt:lpstr>
      <vt:lpstr>TURN_2Q04</vt:lpstr>
      <vt:lpstr>Tags!TURN_2Q05</vt:lpstr>
      <vt:lpstr>TURN_2Q05</vt:lpstr>
      <vt:lpstr>Tags!TURN_2Q06</vt:lpstr>
      <vt:lpstr>TURN_2Q06</vt:lpstr>
      <vt:lpstr>Tags!TURN_2Q07</vt:lpstr>
      <vt:lpstr>TURN_2Q07</vt:lpstr>
      <vt:lpstr>Tags!TURN_2Q08</vt:lpstr>
      <vt:lpstr>TURN_2Q08</vt:lpstr>
      <vt:lpstr>Tags!TURN_2Q09</vt:lpstr>
      <vt:lpstr>TURN_2Q09</vt:lpstr>
      <vt:lpstr>Tags!TURN_2Q10</vt:lpstr>
      <vt:lpstr>TURN_2Q10</vt:lpstr>
      <vt:lpstr>Tags!TURN_2Q11</vt:lpstr>
      <vt:lpstr>TURN_2Q11</vt:lpstr>
      <vt:lpstr>Tags!TURN_2Q12</vt:lpstr>
      <vt:lpstr>TURN_2Q12</vt:lpstr>
      <vt:lpstr>Tags!TURN_2Q13</vt:lpstr>
      <vt:lpstr>TURN_2Q13</vt:lpstr>
      <vt:lpstr>Tags!TURN_2Q14</vt:lpstr>
      <vt:lpstr>TURN_2Q14</vt:lpstr>
      <vt:lpstr>Tags!TURN_2Q15</vt:lpstr>
      <vt:lpstr>TURN_2Q15</vt:lpstr>
      <vt:lpstr>Tags!TURN_2Q16</vt:lpstr>
      <vt:lpstr>TURN_2Q16</vt:lpstr>
      <vt:lpstr>Tags!TURN_2Q17</vt:lpstr>
      <vt:lpstr>TURN_2Q17</vt:lpstr>
      <vt:lpstr>Tags!TURN_2Q18</vt:lpstr>
      <vt:lpstr>TURN_2Q18</vt:lpstr>
      <vt:lpstr>Tags!TURN_2Q19</vt:lpstr>
      <vt:lpstr>TURN_2Q19</vt:lpstr>
      <vt:lpstr>Tags!TURN_2Q20</vt:lpstr>
      <vt:lpstr>TURN_2Q20</vt:lpstr>
      <vt:lpstr>TURN_2Q21</vt:lpstr>
      <vt:lpstr>TURN_2Q22</vt:lpstr>
      <vt:lpstr>TURN_2Q23</vt:lpstr>
      <vt:lpstr>TURN_2Q24</vt:lpstr>
      <vt:lpstr>Tags!TURN_3Q00</vt:lpstr>
      <vt:lpstr>TURN_3Q00</vt:lpstr>
      <vt:lpstr>Tags!TURN_3Q01</vt:lpstr>
      <vt:lpstr>TURN_3Q01</vt:lpstr>
      <vt:lpstr>Tags!TURN_3Q02</vt:lpstr>
      <vt:lpstr>TURN_3Q02</vt:lpstr>
      <vt:lpstr>Tags!TURN_3Q03</vt:lpstr>
      <vt:lpstr>TURN_3Q03</vt:lpstr>
      <vt:lpstr>Tags!TURN_3Q04</vt:lpstr>
      <vt:lpstr>TURN_3Q04</vt:lpstr>
      <vt:lpstr>Tags!TURN_3Q05</vt:lpstr>
      <vt:lpstr>TURN_3Q05</vt:lpstr>
      <vt:lpstr>Tags!TURN_3Q06</vt:lpstr>
      <vt:lpstr>TURN_3Q06</vt:lpstr>
      <vt:lpstr>Tags!TURN_3Q07</vt:lpstr>
      <vt:lpstr>TURN_3Q07</vt:lpstr>
      <vt:lpstr>Tags!TURN_3Q08</vt:lpstr>
      <vt:lpstr>TURN_3Q08</vt:lpstr>
      <vt:lpstr>Tags!TURN_3Q09</vt:lpstr>
      <vt:lpstr>TURN_3Q09</vt:lpstr>
      <vt:lpstr>Tags!TURN_3Q10</vt:lpstr>
      <vt:lpstr>TURN_3Q10</vt:lpstr>
      <vt:lpstr>Tags!TURN_3Q11</vt:lpstr>
      <vt:lpstr>TURN_3Q11</vt:lpstr>
      <vt:lpstr>Tags!TURN_3Q12</vt:lpstr>
      <vt:lpstr>TURN_3Q12</vt:lpstr>
      <vt:lpstr>Tags!TURN_3Q13</vt:lpstr>
      <vt:lpstr>TURN_3Q13</vt:lpstr>
      <vt:lpstr>Tags!TURN_3Q14</vt:lpstr>
      <vt:lpstr>TURN_3Q14</vt:lpstr>
      <vt:lpstr>Tags!TURN_3Q15</vt:lpstr>
      <vt:lpstr>TURN_3Q15</vt:lpstr>
      <vt:lpstr>Tags!TURN_3Q16</vt:lpstr>
      <vt:lpstr>TURN_3Q16</vt:lpstr>
      <vt:lpstr>Tags!TURN_3Q17</vt:lpstr>
      <vt:lpstr>TURN_3Q17</vt:lpstr>
      <vt:lpstr>Tags!TURN_3Q18</vt:lpstr>
      <vt:lpstr>TURN_3Q18</vt:lpstr>
      <vt:lpstr>Tags!TURN_3Q19</vt:lpstr>
      <vt:lpstr>TURN_3Q19</vt:lpstr>
      <vt:lpstr>Tags!TURN_3Q20</vt:lpstr>
      <vt:lpstr>TURN_3Q20</vt:lpstr>
      <vt:lpstr>TURN_3Q21</vt:lpstr>
      <vt:lpstr>TURN_3Q22</vt:lpstr>
      <vt:lpstr>TURN_3Q23</vt:lpstr>
      <vt:lpstr>TURN_3Q24</vt:lpstr>
      <vt:lpstr>Tags!TURN_4Q00</vt:lpstr>
      <vt:lpstr>TURN_4Q00</vt:lpstr>
      <vt:lpstr>Tags!TURN_4Q01</vt:lpstr>
      <vt:lpstr>TURN_4Q01</vt:lpstr>
      <vt:lpstr>Tags!TURN_4Q02</vt:lpstr>
      <vt:lpstr>TURN_4Q02</vt:lpstr>
      <vt:lpstr>Tags!TURN_4Q03</vt:lpstr>
      <vt:lpstr>TURN_4Q03</vt:lpstr>
      <vt:lpstr>Tags!TURN_4Q04</vt:lpstr>
      <vt:lpstr>TURN_4Q04</vt:lpstr>
      <vt:lpstr>Tags!TURN_4Q05</vt:lpstr>
      <vt:lpstr>TURN_4Q05</vt:lpstr>
      <vt:lpstr>Tags!TURN_4Q06</vt:lpstr>
      <vt:lpstr>TURN_4Q06</vt:lpstr>
      <vt:lpstr>Tags!TURN_4Q07</vt:lpstr>
      <vt:lpstr>TURN_4Q07</vt:lpstr>
      <vt:lpstr>Tags!TURN_4Q08</vt:lpstr>
      <vt:lpstr>TURN_4Q08</vt:lpstr>
      <vt:lpstr>Tags!TURN_4Q09</vt:lpstr>
      <vt:lpstr>TURN_4Q09</vt:lpstr>
      <vt:lpstr>Tags!TURN_4Q10</vt:lpstr>
      <vt:lpstr>TURN_4Q10</vt:lpstr>
      <vt:lpstr>Tags!TURN_4Q11</vt:lpstr>
      <vt:lpstr>TURN_4Q11</vt:lpstr>
      <vt:lpstr>Tags!TURN_4Q12</vt:lpstr>
      <vt:lpstr>TURN_4Q12</vt:lpstr>
      <vt:lpstr>Tags!TURN_4Q13</vt:lpstr>
      <vt:lpstr>TURN_4Q13</vt:lpstr>
      <vt:lpstr>Tags!TURN_4Q14</vt:lpstr>
      <vt:lpstr>TURN_4Q14</vt:lpstr>
      <vt:lpstr>Tags!TURN_4Q15</vt:lpstr>
      <vt:lpstr>TURN_4Q15</vt:lpstr>
      <vt:lpstr>Tags!TURN_4Q16</vt:lpstr>
      <vt:lpstr>TURN_4Q16</vt:lpstr>
      <vt:lpstr>Tags!TURN_4Q17</vt:lpstr>
      <vt:lpstr>TURN_4Q17</vt:lpstr>
      <vt:lpstr>Tags!TURN_4Q18</vt:lpstr>
      <vt:lpstr>TURN_4Q18</vt:lpstr>
      <vt:lpstr>Tags!TURN_4Q19</vt:lpstr>
      <vt:lpstr>TURN_4Q19</vt:lpstr>
      <vt:lpstr>Tags!TURN_4Q20</vt:lpstr>
      <vt:lpstr>TURN_4Q20</vt:lpstr>
      <vt:lpstr>TURN_4Q21</vt:lpstr>
      <vt:lpstr>TURN_4Q22</vt:lpstr>
      <vt:lpstr>TURN_4Q23</vt:lpstr>
      <vt:lpstr>TURN_4Q24</vt:lpstr>
      <vt:lpstr>UAVSHA_1995</vt:lpstr>
      <vt:lpstr>UAVSHA_1996</vt:lpstr>
      <vt:lpstr>UAVSHA_1997</vt:lpstr>
      <vt:lpstr>UAVSHA_1998</vt:lpstr>
      <vt:lpstr>UAVSHA_1999</vt:lpstr>
      <vt:lpstr>Tags!UAVSHA_1Q00</vt:lpstr>
      <vt:lpstr>UAVSHA_1Q00</vt:lpstr>
      <vt:lpstr>Tags!UAVSHA_1Q01</vt:lpstr>
      <vt:lpstr>UAVSHA_1Q01</vt:lpstr>
      <vt:lpstr>Tags!UAVSHA_1Q02</vt:lpstr>
      <vt:lpstr>UAVSHA_1Q02</vt:lpstr>
      <vt:lpstr>Tags!UAVSHA_1Q03</vt:lpstr>
      <vt:lpstr>UAVSHA_1Q03</vt:lpstr>
      <vt:lpstr>Tags!UAVSHA_1Q04</vt:lpstr>
      <vt:lpstr>UAVSHA_1Q04</vt:lpstr>
      <vt:lpstr>Tags!UAVSHA_1Q05</vt:lpstr>
      <vt:lpstr>UAVSHA_1Q05</vt:lpstr>
      <vt:lpstr>Tags!UAVSHA_1Q06</vt:lpstr>
      <vt:lpstr>UAVSHA_1Q06</vt:lpstr>
      <vt:lpstr>Tags!UAVSHA_1Q07</vt:lpstr>
      <vt:lpstr>UAVSHA_1Q07</vt:lpstr>
      <vt:lpstr>Tags!UAVSHA_1Q08</vt:lpstr>
      <vt:lpstr>UAVSHA_1Q08</vt:lpstr>
      <vt:lpstr>Tags!UAVSHA_1Q09</vt:lpstr>
      <vt:lpstr>UAVSHA_1Q09</vt:lpstr>
      <vt:lpstr>Tags!UAVSHA_1Q10</vt:lpstr>
      <vt:lpstr>UAVSHA_1Q10</vt:lpstr>
      <vt:lpstr>Tags!UAVSHA_1Q11</vt:lpstr>
      <vt:lpstr>UAVSHA_1Q11</vt:lpstr>
      <vt:lpstr>Tags!UAVSHA_1Q12</vt:lpstr>
      <vt:lpstr>UAVSHA_1Q12</vt:lpstr>
      <vt:lpstr>Tags!UAVSHA_1Q13</vt:lpstr>
      <vt:lpstr>UAVSHA_1Q13</vt:lpstr>
      <vt:lpstr>Tags!UAVSHA_1Q14</vt:lpstr>
      <vt:lpstr>UAVSHA_1Q14</vt:lpstr>
      <vt:lpstr>Tags!UAVSHA_1Q15</vt:lpstr>
      <vt:lpstr>UAVSHA_1Q15</vt:lpstr>
      <vt:lpstr>Tags!UAVSHA_1Q16</vt:lpstr>
      <vt:lpstr>UAVSHA_1Q16</vt:lpstr>
      <vt:lpstr>Tags!UAVSHA_1Q17</vt:lpstr>
      <vt:lpstr>UAVSHA_1Q17</vt:lpstr>
      <vt:lpstr>Tags!UAVSHA_1Q18</vt:lpstr>
      <vt:lpstr>UAVSHA_1Q18</vt:lpstr>
      <vt:lpstr>Tags!UAVSHA_1Q19</vt:lpstr>
      <vt:lpstr>UAVSHA_1Q19</vt:lpstr>
      <vt:lpstr>Tags!UAVSHA_1Q20</vt:lpstr>
      <vt:lpstr>UAVSHA_1Q20</vt:lpstr>
      <vt:lpstr>UAVSHA_1Q21</vt:lpstr>
      <vt:lpstr>UAVSHA_1Q22</vt:lpstr>
      <vt:lpstr>UAVSHA_1Q23</vt:lpstr>
      <vt:lpstr>UAVSHA_1Q24</vt:lpstr>
      <vt:lpstr>Tags!UAVSHA_2000</vt:lpstr>
      <vt:lpstr>UAVSHA_2000</vt:lpstr>
      <vt:lpstr>Tags!UAVSHA_2001</vt:lpstr>
      <vt:lpstr>UAVSHA_2001</vt:lpstr>
      <vt:lpstr>Tags!UAVSHA_2002</vt:lpstr>
      <vt:lpstr>UAVSHA_2002</vt:lpstr>
      <vt:lpstr>Tags!UAVSHA_2003</vt:lpstr>
      <vt:lpstr>UAVSHA_2003</vt:lpstr>
      <vt:lpstr>Tags!UAVSHA_2004</vt:lpstr>
      <vt:lpstr>UAVSHA_2004</vt:lpstr>
      <vt:lpstr>Tags!UAVSHA_2005</vt:lpstr>
      <vt:lpstr>UAVSHA_2005</vt:lpstr>
      <vt:lpstr>Tags!UAVSHA_2006</vt:lpstr>
      <vt:lpstr>UAVSHA_2006</vt:lpstr>
      <vt:lpstr>Tags!UAVSHA_2007</vt:lpstr>
      <vt:lpstr>UAVSHA_2007</vt:lpstr>
      <vt:lpstr>Tags!UAVSHA_2008</vt:lpstr>
      <vt:lpstr>UAVSHA_2008</vt:lpstr>
      <vt:lpstr>Tags!UAVSHA_2009</vt:lpstr>
      <vt:lpstr>UAVSHA_2009</vt:lpstr>
      <vt:lpstr>Tags!UAVSHA_2010</vt:lpstr>
      <vt:lpstr>UAVSHA_2010</vt:lpstr>
      <vt:lpstr>Tags!UAVSHA_2011</vt:lpstr>
      <vt:lpstr>UAVSHA_2011</vt:lpstr>
      <vt:lpstr>Tags!UAVSHA_2012</vt:lpstr>
      <vt:lpstr>UAVSHA_2012</vt:lpstr>
      <vt:lpstr>Tags!UAVSHA_2013</vt:lpstr>
      <vt:lpstr>UAVSHA_2013</vt:lpstr>
      <vt:lpstr>Tags!UAVSHA_2014</vt:lpstr>
      <vt:lpstr>UAVSHA_2014</vt:lpstr>
      <vt:lpstr>UAVSHA_2015</vt:lpstr>
      <vt:lpstr>Tags!UAVSHA_2016</vt:lpstr>
      <vt:lpstr>UAVSHA_2016</vt:lpstr>
      <vt:lpstr>Tags!UAVSHA_2017</vt:lpstr>
      <vt:lpstr>UAVSHA_2017</vt:lpstr>
      <vt:lpstr>Tags!UAVSHA_2018</vt:lpstr>
      <vt:lpstr>UAVSHA_2018</vt:lpstr>
      <vt:lpstr>Tags!UAVSHA_2019</vt:lpstr>
      <vt:lpstr>UAVSHA_2019</vt:lpstr>
      <vt:lpstr>Tags!UAVSHA_2020</vt:lpstr>
      <vt:lpstr>UAVSHA_2020</vt:lpstr>
      <vt:lpstr>UAVSHA_2021</vt:lpstr>
      <vt:lpstr>UAVSHA_2022</vt:lpstr>
      <vt:lpstr>UAVSHA_2023</vt:lpstr>
      <vt:lpstr>UAVSHA_2024</vt:lpstr>
      <vt:lpstr>Tags!UAVSHA_2Q00</vt:lpstr>
      <vt:lpstr>UAVSHA_2Q00</vt:lpstr>
      <vt:lpstr>Tags!UAVSHA_2Q01</vt:lpstr>
      <vt:lpstr>UAVSHA_2Q01</vt:lpstr>
      <vt:lpstr>Tags!UAVSHA_2Q02</vt:lpstr>
      <vt:lpstr>UAVSHA_2Q02</vt:lpstr>
      <vt:lpstr>Tags!UAVSHA_2Q03</vt:lpstr>
      <vt:lpstr>UAVSHA_2Q03</vt:lpstr>
      <vt:lpstr>Tags!UAVSHA_2Q04</vt:lpstr>
      <vt:lpstr>UAVSHA_2Q04</vt:lpstr>
      <vt:lpstr>Tags!UAVSHA_2Q05</vt:lpstr>
      <vt:lpstr>UAVSHA_2Q05</vt:lpstr>
      <vt:lpstr>Tags!UAVSHA_2Q06</vt:lpstr>
      <vt:lpstr>UAVSHA_2Q06</vt:lpstr>
      <vt:lpstr>Tags!UAVSHA_2Q07</vt:lpstr>
      <vt:lpstr>UAVSHA_2Q07</vt:lpstr>
      <vt:lpstr>Tags!UAVSHA_2Q08</vt:lpstr>
      <vt:lpstr>UAVSHA_2Q08</vt:lpstr>
      <vt:lpstr>Tags!UAVSHA_2Q09</vt:lpstr>
      <vt:lpstr>UAVSHA_2Q09</vt:lpstr>
      <vt:lpstr>Tags!UAVSHA_2Q10</vt:lpstr>
      <vt:lpstr>UAVSHA_2Q10</vt:lpstr>
      <vt:lpstr>Tags!UAVSHA_2Q11</vt:lpstr>
      <vt:lpstr>UAVSHA_2Q11</vt:lpstr>
      <vt:lpstr>Tags!UAVSHA_2Q12</vt:lpstr>
      <vt:lpstr>UAVSHA_2Q12</vt:lpstr>
      <vt:lpstr>Tags!UAVSHA_2Q13</vt:lpstr>
      <vt:lpstr>UAVSHA_2Q13</vt:lpstr>
      <vt:lpstr>Tags!UAVSHA_2Q14</vt:lpstr>
      <vt:lpstr>UAVSHA_2Q14</vt:lpstr>
      <vt:lpstr>Tags!UAVSHA_2Q15</vt:lpstr>
      <vt:lpstr>UAVSHA_2Q15</vt:lpstr>
      <vt:lpstr>Tags!UAVSHA_2Q16</vt:lpstr>
      <vt:lpstr>UAVSHA_2Q16</vt:lpstr>
      <vt:lpstr>Tags!UAVSHA_2Q17</vt:lpstr>
      <vt:lpstr>UAVSHA_2Q17</vt:lpstr>
      <vt:lpstr>Tags!UAVSHA_2Q18</vt:lpstr>
      <vt:lpstr>UAVSHA_2Q18</vt:lpstr>
      <vt:lpstr>Tags!UAVSHA_2Q19</vt:lpstr>
      <vt:lpstr>UAVSHA_2Q19</vt:lpstr>
      <vt:lpstr>Tags!UAVSHA_2Q20</vt:lpstr>
      <vt:lpstr>UAVSHA_2Q20</vt:lpstr>
      <vt:lpstr>UAVSHA_2Q21</vt:lpstr>
      <vt:lpstr>UAVSHA_2Q22</vt:lpstr>
      <vt:lpstr>UAVSHA_2Q23</vt:lpstr>
      <vt:lpstr>UAVSHA_2Q24</vt:lpstr>
      <vt:lpstr>Tags!UAVSHA_3Q00</vt:lpstr>
      <vt:lpstr>UAVSHA_3Q00</vt:lpstr>
      <vt:lpstr>Tags!UAVSHA_3Q01</vt:lpstr>
      <vt:lpstr>UAVSHA_3Q01</vt:lpstr>
      <vt:lpstr>Tags!UAVSHA_3Q02</vt:lpstr>
      <vt:lpstr>UAVSHA_3Q02</vt:lpstr>
      <vt:lpstr>Tags!UAVSHA_3Q03</vt:lpstr>
      <vt:lpstr>UAVSHA_3Q03</vt:lpstr>
      <vt:lpstr>Tags!UAVSHA_3Q04</vt:lpstr>
      <vt:lpstr>UAVSHA_3Q04</vt:lpstr>
      <vt:lpstr>Tags!UAVSHA_3Q05</vt:lpstr>
      <vt:lpstr>UAVSHA_3Q05</vt:lpstr>
      <vt:lpstr>Tags!UAVSHA_3Q06</vt:lpstr>
      <vt:lpstr>UAVSHA_3Q06</vt:lpstr>
      <vt:lpstr>Tags!UAVSHA_3Q07</vt:lpstr>
      <vt:lpstr>UAVSHA_3Q07</vt:lpstr>
      <vt:lpstr>Tags!UAVSHA_3Q08</vt:lpstr>
      <vt:lpstr>UAVSHA_3Q08</vt:lpstr>
      <vt:lpstr>Tags!UAVSHA_3Q09</vt:lpstr>
      <vt:lpstr>UAVSHA_3Q09</vt:lpstr>
      <vt:lpstr>Tags!UAVSHA_3Q10</vt:lpstr>
      <vt:lpstr>UAVSHA_3Q10</vt:lpstr>
      <vt:lpstr>Tags!UAVSHA_3Q11</vt:lpstr>
      <vt:lpstr>UAVSHA_3Q11</vt:lpstr>
      <vt:lpstr>Tags!UAVSHA_3Q12</vt:lpstr>
      <vt:lpstr>UAVSHA_3Q12</vt:lpstr>
      <vt:lpstr>Tags!UAVSHA_3Q13</vt:lpstr>
      <vt:lpstr>UAVSHA_3Q13</vt:lpstr>
      <vt:lpstr>Tags!UAVSHA_3Q14</vt:lpstr>
      <vt:lpstr>UAVSHA_3Q14</vt:lpstr>
      <vt:lpstr>Tags!UAVSHA_3Q15</vt:lpstr>
      <vt:lpstr>UAVSHA_3Q15</vt:lpstr>
      <vt:lpstr>Tags!UAVSHA_3Q16</vt:lpstr>
      <vt:lpstr>UAVSHA_3Q16</vt:lpstr>
      <vt:lpstr>Tags!UAVSHA_3Q17</vt:lpstr>
      <vt:lpstr>UAVSHA_3Q17</vt:lpstr>
      <vt:lpstr>Tags!UAVSHA_3Q18</vt:lpstr>
      <vt:lpstr>UAVSHA_3Q18</vt:lpstr>
      <vt:lpstr>Tags!UAVSHA_3Q19</vt:lpstr>
      <vt:lpstr>UAVSHA_3Q19</vt:lpstr>
      <vt:lpstr>Tags!UAVSHA_3Q20</vt:lpstr>
      <vt:lpstr>UAVSHA_3Q20</vt:lpstr>
      <vt:lpstr>UAVSHA_3Q21</vt:lpstr>
      <vt:lpstr>UAVSHA_3Q22</vt:lpstr>
      <vt:lpstr>UAVSHA_3Q23</vt:lpstr>
      <vt:lpstr>UAVSHA_3Q24</vt:lpstr>
      <vt:lpstr>Tags!UAVSHA_4Q00</vt:lpstr>
      <vt:lpstr>UAVSHA_4Q00</vt:lpstr>
      <vt:lpstr>Tags!UAVSHA_4Q01</vt:lpstr>
      <vt:lpstr>UAVSHA_4Q01</vt:lpstr>
      <vt:lpstr>Tags!UAVSHA_4Q02</vt:lpstr>
      <vt:lpstr>UAVSHA_4Q02</vt:lpstr>
      <vt:lpstr>Tags!UAVSHA_4Q03</vt:lpstr>
      <vt:lpstr>UAVSHA_4Q03</vt:lpstr>
      <vt:lpstr>Tags!UAVSHA_4Q04</vt:lpstr>
      <vt:lpstr>UAVSHA_4Q04</vt:lpstr>
      <vt:lpstr>Tags!UAVSHA_4Q05</vt:lpstr>
      <vt:lpstr>UAVSHA_4Q05</vt:lpstr>
      <vt:lpstr>Tags!UAVSHA_4Q06</vt:lpstr>
      <vt:lpstr>UAVSHA_4Q06</vt:lpstr>
      <vt:lpstr>Tags!UAVSHA_4Q07</vt:lpstr>
      <vt:lpstr>UAVSHA_4Q07</vt:lpstr>
      <vt:lpstr>Tags!UAVSHA_4Q08</vt:lpstr>
      <vt:lpstr>UAVSHA_4Q08</vt:lpstr>
      <vt:lpstr>Tags!UAVSHA_4Q09</vt:lpstr>
      <vt:lpstr>UAVSHA_4Q09</vt:lpstr>
      <vt:lpstr>Tags!UAVSHA_4Q10</vt:lpstr>
      <vt:lpstr>UAVSHA_4Q10</vt:lpstr>
      <vt:lpstr>Tags!UAVSHA_4Q11</vt:lpstr>
      <vt:lpstr>UAVSHA_4Q11</vt:lpstr>
      <vt:lpstr>Tags!UAVSHA_4Q12</vt:lpstr>
      <vt:lpstr>UAVSHA_4Q12</vt:lpstr>
      <vt:lpstr>Tags!UAVSHA_4Q13</vt:lpstr>
      <vt:lpstr>UAVSHA_4Q13</vt:lpstr>
      <vt:lpstr>Tags!UAVSHA_4Q14</vt:lpstr>
      <vt:lpstr>UAVSHA_4Q14</vt:lpstr>
      <vt:lpstr>Tags!UAVSHA_4Q15</vt:lpstr>
      <vt:lpstr>UAVSHA_4Q15</vt:lpstr>
      <vt:lpstr>Tags!UAVSHA_4Q16</vt:lpstr>
      <vt:lpstr>UAVSHA_4Q16</vt:lpstr>
      <vt:lpstr>Tags!UAVSHA_4Q17</vt:lpstr>
      <vt:lpstr>UAVSHA_4Q17</vt:lpstr>
      <vt:lpstr>Tags!UAVSHA_4Q18</vt:lpstr>
      <vt:lpstr>UAVSHA_4Q18</vt:lpstr>
      <vt:lpstr>Tags!UAVSHA_4Q19</vt:lpstr>
      <vt:lpstr>UAVSHA_4Q19</vt:lpstr>
      <vt:lpstr>Tags!UAVSHA_4Q20</vt:lpstr>
      <vt:lpstr>UAVSHA_4Q20</vt:lpstr>
      <vt:lpstr>UAVSHA_4Q21</vt:lpstr>
      <vt:lpstr>UAVSHA_4Q22</vt:lpstr>
      <vt:lpstr>UAVSHA_4Q23</vt:lpstr>
      <vt:lpstr>UAVSHA_4Q24</vt:lpstr>
      <vt:lpstr>UBSHAR_1995</vt:lpstr>
      <vt:lpstr>UBSHAR_1996</vt:lpstr>
      <vt:lpstr>UBSHAR_1997</vt:lpstr>
      <vt:lpstr>UBSHAR_1998</vt:lpstr>
      <vt:lpstr>UBSHAR_1999</vt:lpstr>
      <vt:lpstr>Tags!UBSHAR_1Q00</vt:lpstr>
      <vt:lpstr>UBSHAR_1Q00</vt:lpstr>
      <vt:lpstr>Tags!UBSHAR_1Q01</vt:lpstr>
      <vt:lpstr>UBSHAR_1Q01</vt:lpstr>
      <vt:lpstr>Tags!UBSHAR_1Q02</vt:lpstr>
      <vt:lpstr>UBSHAR_1Q02</vt:lpstr>
      <vt:lpstr>Tags!UBSHAR_1Q03</vt:lpstr>
      <vt:lpstr>UBSHAR_1Q03</vt:lpstr>
      <vt:lpstr>Tags!UBSHAR_1Q04</vt:lpstr>
      <vt:lpstr>UBSHAR_1Q04</vt:lpstr>
      <vt:lpstr>Tags!UBSHAR_1Q05</vt:lpstr>
      <vt:lpstr>UBSHAR_1Q05</vt:lpstr>
      <vt:lpstr>Tags!UBSHAR_1Q06</vt:lpstr>
      <vt:lpstr>UBSHAR_1Q06</vt:lpstr>
      <vt:lpstr>Tags!UBSHAR_1Q07</vt:lpstr>
      <vt:lpstr>UBSHAR_1Q07</vt:lpstr>
      <vt:lpstr>Tags!UBSHAR_1Q08</vt:lpstr>
      <vt:lpstr>UBSHAR_1Q08</vt:lpstr>
      <vt:lpstr>Tags!UBSHAR_1Q09</vt:lpstr>
      <vt:lpstr>UBSHAR_1Q09</vt:lpstr>
      <vt:lpstr>Tags!UBSHAR_1Q10</vt:lpstr>
      <vt:lpstr>UBSHAR_1Q10</vt:lpstr>
      <vt:lpstr>Tags!UBSHAR_1Q11</vt:lpstr>
      <vt:lpstr>UBSHAR_1Q11</vt:lpstr>
      <vt:lpstr>Tags!UBSHAR_1Q12</vt:lpstr>
      <vt:lpstr>UBSHAR_1Q12</vt:lpstr>
      <vt:lpstr>Tags!UBSHAR_1Q13</vt:lpstr>
      <vt:lpstr>UBSHAR_1Q13</vt:lpstr>
      <vt:lpstr>Tags!UBSHAR_1Q14</vt:lpstr>
      <vt:lpstr>UBSHAR_1Q14</vt:lpstr>
      <vt:lpstr>Tags!UBSHAR_1Q15</vt:lpstr>
      <vt:lpstr>UBSHAR_1Q15</vt:lpstr>
      <vt:lpstr>Tags!UBSHAR_1Q16</vt:lpstr>
      <vt:lpstr>UBSHAR_1Q16</vt:lpstr>
      <vt:lpstr>Tags!UBSHAR_1Q17</vt:lpstr>
      <vt:lpstr>UBSHAR_1Q17</vt:lpstr>
      <vt:lpstr>Tags!UBSHAR_1Q18</vt:lpstr>
      <vt:lpstr>UBSHAR_1Q18</vt:lpstr>
      <vt:lpstr>Tags!UBSHAR_1Q19</vt:lpstr>
      <vt:lpstr>UBSHAR_1Q19</vt:lpstr>
      <vt:lpstr>Tags!UBSHAR_1Q20</vt:lpstr>
      <vt:lpstr>UBSHAR_1Q20</vt:lpstr>
      <vt:lpstr>UBSHAR_1Q21</vt:lpstr>
      <vt:lpstr>UBSHAR_1Q22</vt:lpstr>
      <vt:lpstr>UBSHAR_1Q23</vt:lpstr>
      <vt:lpstr>UBSHAR_1Q24</vt:lpstr>
      <vt:lpstr>Tags!UBSHAR_2000</vt:lpstr>
      <vt:lpstr>UBSHAR_2000</vt:lpstr>
      <vt:lpstr>Tags!UBSHAR_2001</vt:lpstr>
      <vt:lpstr>UBSHAR_2001</vt:lpstr>
      <vt:lpstr>Tags!UBSHAR_2002</vt:lpstr>
      <vt:lpstr>UBSHAR_2002</vt:lpstr>
      <vt:lpstr>Tags!UBSHAR_2003</vt:lpstr>
      <vt:lpstr>UBSHAR_2003</vt:lpstr>
      <vt:lpstr>Tags!UBSHAR_2004</vt:lpstr>
      <vt:lpstr>UBSHAR_2004</vt:lpstr>
      <vt:lpstr>Tags!UBSHAR_2005</vt:lpstr>
      <vt:lpstr>UBSHAR_2005</vt:lpstr>
      <vt:lpstr>Tags!UBSHAR_2006</vt:lpstr>
      <vt:lpstr>UBSHAR_2006</vt:lpstr>
      <vt:lpstr>Tags!UBSHAR_2007</vt:lpstr>
      <vt:lpstr>UBSHAR_2007</vt:lpstr>
      <vt:lpstr>Tags!UBSHAR_2008</vt:lpstr>
      <vt:lpstr>UBSHAR_2008</vt:lpstr>
      <vt:lpstr>Tags!UBSHAR_2009</vt:lpstr>
      <vt:lpstr>UBSHAR_2009</vt:lpstr>
      <vt:lpstr>Tags!UBSHAR_2010</vt:lpstr>
      <vt:lpstr>UBSHAR_2010</vt:lpstr>
      <vt:lpstr>Tags!UBSHAR_2011</vt:lpstr>
      <vt:lpstr>UBSHAR_2011</vt:lpstr>
      <vt:lpstr>Tags!UBSHAR_2012</vt:lpstr>
      <vt:lpstr>UBSHAR_2012</vt:lpstr>
      <vt:lpstr>Tags!UBSHAR_2013</vt:lpstr>
      <vt:lpstr>UBSHAR_2013</vt:lpstr>
      <vt:lpstr>Tags!UBSHAR_2014</vt:lpstr>
      <vt:lpstr>UBSHAR_2014</vt:lpstr>
      <vt:lpstr>UBSHAR_2015</vt:lpstr>
      <vt:lpstr>Tags!UBSHAR_2016</vt:lpstr>
      <vt:lpstr>UBSHAR_2016</vt:lpstr>
      <vt:lpstr>Tags!UBSHAR_2017</vt:lpstr>
      <vt:lpstr>UBSHAR_2017</vt:lpstr>
      <vt:lpstr>Tags!UBSHAR_2018</vt:lpstr>
      <vt:lpstr>UBSHAR_2018</vt:lpstr>
      <vt:lpstr>Tags!UBSHAR_2019</vt:lpstr>
      <vt:lpstr>UBSHAR_2019</vt:lpstr>
      <vt:lpstr>Tags!UBSHAR_2020</vt:lpstr>
      <vt:lpstr>UBSHAR_2020</vt:lpstr>
      <vt:lpstr>UBSHAR_2021</vt:lpstr>
      <vt:lpstr>UBSHAR_2022</vt:lpstr>
      <vt:lpstr>UBSHAR_2023</vt:lpstr>
      <vt:lpstr>UBSHAR_2024</vt:lpstr>
      <vt:lpstr>Tags!UBSHAR_2Q00</vt:lpstr>
      <vt:lpstr>UBSHAR_2Q00</vt:lpstr>
      <vt:lpstr>Tags!UBSHAR_2Q01</vt:lpstr>
      <vt:lpstr>UBSHAR_2Q01</vt:lpstr>
      <vt:lpstr>Tags!UBSHAR_2Q02</vt:lpstr>
      <vt:lpstr>UBSHAR_2Q02</vt:lpstr>
      <vt:lpstr>Tags!UBSHAR_2Q03</vt:lpstr>
      <vt:lpstr>UBSHAR_2Q03</vt:lpstr>
      <vt:lpstr>Tags!UBSHAR_2Q04</vt:lpstr>
      <vt:lpstr>UBSHAR_2Q04</vt:lpstr>
      <vt:lpstr>Tags!UBSHAR_2Q05</vt:lpstr>
      <vt:lpstr>UBSHAR_2Q05</vt:lpstr>
      <vt:lpstr>Tags!UBSHAR_2Q06</vt:lpstr>
      <vt:lpstr>UBSHAR_2Q06</vt:lpstr>
      <vt:lpstr>Tags!UBSHAR_2Q07</vt:lpstr>
      <vt:lpstr>UBSHAR_2Q07</vt:lpstr>
      <vt:lpstr>Tags!UBSHAR_2Q08</vt:lpstr>
      <vt:lpstr>UBSHAR_2Q08</vt:lpstr>
      <vt:lpstr>Tags!UBSHAR_2Q09</vt:lpstr>
      <vt:lpstr>UBSHAR_2Q09</vt:lpstr>
      <vt:lpstr>Tags!UBSHAR_2Q10</vt:lpstr>
      <vt:lpstr>UBSHAR_2Q10</vt:lpstr>
      <vt:lpstr>Tags!UBSHAR_2Q11</vt:lpstr>
      <vt:lpstr>UBSHAR_2Q11</vt:lpstr>
      <vt:lpstr>Tags!UBSHAR_2Q12</vt:lpstr>
      <vt:lpstr>UBSHAR_2Q12</vt:lpstr>
      <vt:lpstr>Tags!UBSHAR_2Q13</vt:lpstr>
      <vt:lpstr>UBSHAR_2Q13</vt:lpstr>
      <vt:lpstr>Tags!UBSHAR_2Q14</vt:lpstr>
      <vt:lpstr>UBSHAR_2Q14</vt:lpstr>
      <vt:lpstr>Tags!UBSHAR_2Q15</vt:lpstr>
      <vt:lpstr>UBSHAR_2Q15</vt:lpstr>
      <vt:lpstr>Tags!UBSHAR_2Q16</vt:lpstr>
      <vt:lpstr>UBSHAR_2Q16</vt:lpstr>
      <vt:lpstr>Tags!UBSHAR_2Q17</vt:lpstr>
      <vt:lpstr>UBSHAR_2Q17</vt:lpstr>
      <vt:lpstr>Tags!UBSHAR_2Q18</vt:lpstr>
      <vt:lpstr>UBSHAR_2Q18</vt:lpstr>
      <vt:lpstr>Tags!UBSHAR_2Q19</vt:lpstr>
      <vt:lpstr>UBSHAR_2Q19</vt:lpstr>
      <vt:lpstr>Tags!UBSHAR_2Q20</vt:lpstr>
      <vt:lpstr>UBSHAR_2Q20</vt:lpstr>
      <vt:lpstr>UBSHAR_2Q21</vt:lpstr>
      <vt:lpstr>UBSHAR_2Q22</vt:lpstr>
      <vt:lpstr>UBSHAR_2Q23</vt:lpstr>
      <vt:lpstr>UBSHAR_2Q24</vt:lpstr>
      <vt:lpstr>Tags!UBSHAR_3Q00</vt:lpstr>
      <vt:lpstr>UBSHAR_3Q00</vt:lpstr>
      <vt:lpstr>Tags!UBSHAR_3Q01</vt:lpstr>
      <vt:lpstr>UBSHAR_3Q01</vt:lpstr>
      <vt:lpstr>Tags!UBSHAR_3Q02</vt:lpstr>
      <vt:lpstr>UBSHAR_3Q02</vt:lpstr>
      <vt:lpstr>Tags!UBSHAR_3Q03</vt:lpstr>
      <vt:lpstr>UBSHAR_3Q03</vt:lpstr>
      <vt:lpstr>Tags!UBSHAR_3Q04</vt:lpstr>
      <vt:lpstr>UBSHAR_3Q04</vt:lpstr>
      <vt:lpstr>Tags!UBSHAR_3Q05</vt:lpstr>
      <vt:lpstr>UBSHAR_3Q05</vt:lpstr>
      <vt:lpstr>Tags!UBSHAR_3Q06</vt:lpstr>
      <vt:lpstr>UBSHAR_3Q06</vt:lpstr>
      <vt:lpstr>Tags!UBSHAR_3Q07</vt:lpstr>
      <vt:lpstr>UBSHAR_3Q07</vt:lpstr>
      <vt:lpstr>Tags!UBSHAR_3Q08</vt:lpstr>
      <vt:lpstr>UBSHAR_3Q08</vt:lpstr>
      <vt:lpstr>Tags!UBSHAR_3Q09</vt:lpstr>
      <vt:lpstr>UBSHAR_3Q09</vt:lpstr>
      <vt:lpstr>Tags!UBSHAR_3Q10</vt:lpstr>
      <vt:lpstr>UBSHAR_3Q10</vt:lpstr>
      <vt:lpstr>Tags!UBSHAR_3Q11</vt:lpstr>
      <vt:lpstr>UBSHAR_3Q11</vt:lpstr>
      <vt:lpstr>Tags!UBSHAR_3Q12</vt:lpstr>
      <vt:lpstr>UBSHAR_3Q12</vt:lpstr>
      <vt:lpstr>Tags!UBSHAR_3Q13</vt:lpstr>
      <vt:lpstr>UBSHAR_3Q13</vt:lpstr>
      <vt:lpstr>Tags!UBSHAR_3Q14</vt:lpstr>
      <vt:lpstr>UBSHAR_3Q14</vt:lpstr>
      <vt:lpstr>Tags!UBSHAR_3Q15</vt:lpstr>
      <vt:lpstr>UBSHAR_3Q15</vt:lpstr>
      <vt:lpstr>Tags!UBSHAR_3Q16</vt:lpstr>
      <vt:lpstr>UBSHAR_3Q16</vt:lpstr>
      <vt:lpstr>Tags!UBSHAR_3Q17</vt:lpstr>
      <vt:lpstr>UBSHAR_3Q17</vt:lpstr>
      <vt:lpstr>Tags!UBSHAR_3Q18</vt:lpstr>
      <vt:lpstr>UBSHAR_3Q18</vt:lpstr>
      <vt:lpstr>Tags!UBSHAR_3Q19</vt:lpstr>
      <vt:lpstr>UBSHAR_3Q19</vt:lpstr>
      <vt:lpstr>Tags!UBSHAR_3Q20</vt:lpstr>
      <vt:lpstr>UBSHAR_3Q20</vt:lpstr>
      <vt:lpstr>UBSHAR_3Q21</vt:lpstr>
      <vt:lpstr>UBSHAR_3Q22</vt:lpstr>
      <vt:lpstr>UBSHAR_3Q23</vt:lpstr>
      <vt:lpstr>UBSHAR_3Q24</vt:lpstr>
      <vt:lpstr>Tags!UBSHAR_4Q00</vt:lpstr>
      <vt:lpstr>UBSHAR_4Q00</vt:lpstr>
      <vt:lpstr>Tags!UBSHAR_4Q01</vt:lpstr>
      <vt:lpstr>UBSHAR_4Q01</vt:lpstr>
      <vt:lpstr>Tags!UBSHAR_4Q02</vt:lpstr>
      <vt:lpstr>UBSHAR_4Q02</vt:lpstr>
      <vt:lpstr>Tags!UBSHAR_4Q03</vt:lpstr>
      <vt:lpstr>UBSHAR_4Q03</vt:lpstr>
      <vt:lpstr>Tags!UBSHAR_4Q04</vt:lpstr>
      <vt:lpstr>UBSHAR_4Q04</vt:lpstr>
      <vt:lpstr>Tags!UBSHAR_4Q05</vt:lpstr>
      <vt:lpstr>UBSHAR_4Q05</vt:lpstr>
      <vt:lpstr>Tags!UBSHAR_4Q06</vt:lpstr>
      <vt:lpstr>UBSHAR_4Q06</vt:lpstr>
      <vt:lpstr>Tags!UBSHAR_4Q07</vt:lpstr>
      <vt:lpstr>UBSHAR_4Q07</vt:lpstr>
      <vt:lpstr>Tags!UBSHAR_4Q08</vt:lpstr>
      <vt:lpstr>UBSHAR_4Q08</vt:lpstr>
      <vt:lpstr>Tags!UBSHAR_4Q09</vt:lpstr>
      <vt:lpstr>UBSHAR_4Q09</vt:lpstr>
      <vt:lpstr>Tags!UBSHAR_4Q10</vt:lpstr>
      <vt:lpstr>UBSHAR_4Q10</vt:lpstr>
      <vt:lpstr>Tags!UBSHAR_4Q11</vt:lpstr>
      <vt:lpstr>UBSHAR_4Q11</vt:lpstr>
      <vt:lpstr>Tags!UBSHAR_4Q12</vt:lpstr>
      <vt:lpstr>UBSHAR_4Q12</vt:lpstr>
      <vt:lpstr>Tags!UBSHAR_4Q13</vt:lpstr>
      <vt:lpstr>UBSHAR_4Q13</vt:lpstr>
      <vt:lpstr>Tags!UBSHAR_4Q14</vt:lpstr>
      <vt:lpstr>UBSHAR_4Q14</vt:lpstr>
      <vt:lpstr>Tags!UBSHAR_4Q15</vt:lpstr>
      <vt:lpstr>UBSHAR_4Q15</vt:lpstr>
      <vt:lpstr>Tags!UBSHAR_4Q16</vt:lpstr>
      <vt:lpstr>UBSHAR_4Q16</vt:lpstr>
      <vt:lpstr>Tags!UBSHAR_4Q17</vt:lpstr>
      <vt:lpstr>UBSHAR_4Q17</vt:lpstr>
      <vt:lpstr>Tags!UBSHAR_4Q18</vt:lpstr>
      <vt:lpstr>UBSHAR_4Q18</vt:lpstr>
      <vt:lpstr>Tags!UBSHAR_4Q19</vt:lpstr>
      <vt:lpstr>UBSHAR_4Q19</vt:lpstr>
      <vt:lpstr>Tags!UBSHAR_4Q20</vt:lpstr>
      <vt:lpstr>UBSHAR_4Q20</vt:lpstr>
      <vt:lpstr>UBSHAR_4Q21</vt:lpstr>
      <vt:lpstr>UBSHAR_4Q22</vt:lpstr>
      <vt:lpstr>UBSHAR_4Q23</vt:lpstr>
      <vt:lpstr>UBSHAR_4Q24</vt:lpstr>
      <vt:lpstr>UFSHAR_1995</vt:lpstr>
      <vt:lpstr>UFSHAR_1996</vt:lpstr>
      <vt:lpstr>UFSHAR_1997</vt:lpstr>
      <vt:lpstr>UFSHAR_1998</vt:lpstr>
      <vt:lpstr>UFSHAR_1999</vt:lpstr>
      <vt:lpstr>Tags!UFSHAR_1Q00</vt:lpstr>
      <vt:lpstr>UFSHAR_1Q00</vt:lpstr>
      <vt:lpstr>Tags!UFSHAR_1Q01</vt:lpstr>
      <vt:lpstr>UFSHAR_1Q01</vt:lpstr>
      <vt:lpstr>Tags!UFSHAR_1Q02</vt:lpstr>
      <vt:lpstr>UFSHAR_1Q02</vt:lpstr>
      <vt:lpstr>Tags!UFSHAR_1Q03</vt:lpstr>
      <vt:lpstr>UFSHAR_1Q03</vt:lpstr>
      <vt:lpstr>Tags!UFSHAR_1Q04</vt:lpstr>
      <vt:lpstr>UFSHAR_1Q04</vt:lpstr>
      <vt:lpstr>Tags!UFSHAR_1Q05</vt:lpstr>
      <vt:lpstr>UFSHAR_1Q05</vt:lpstr>
      <vt:lpstr>Tags!UFSHAR_1Q06</vt:lpstr>
      <vt:lpstr>UFSHAR_1Q06</vt:lpstr>
      <vt:lpstr>Tags!UFSHAR_1Q07</vt:lpstr>
      <vt:lpstr>UFSHAR_1Q07</vt:lpstr>
      <vt:lpstr>Tags!UFSHAR_1Q08</vt:lpstr>
      <vt:lpstr>UFSHAR_1Q08</vt:lpstr>
      <vt:lpstr>Tags!UFSHAR_1Q09</vt:lpstr>
      <vt:lpstr>UFSHAR_1Q09</vt:lpstr>
      <vt:lpstr>Tags!UFSHAR_1Q10</vt:lpstr>
      <vt:lpstr>UFSHAR_1Q10</vt:lpstr>
      <vt:lpstr>Tags!UFSHAR_1Q11</vt:lpstr>
      <vt:lpstr>UFSHAR_1Q11</vt:lpstr>
      <vt:lpstr>Tags!UFSHAR_1Q12</vt:lpstr>
      <vt:lpstr>UFSHAR_1Q12</vt:lpstr>
      <vt:lpstr>Tags!UFSHAR_1Q13</vt:lpstr>
      <vt:lpstr>UFSHAR_1Q13</vt:lpstr>
      <vt:lpstr>Tags!UFSHAR_1Q14</vt:lpstr>
      <vt:lpstr>UFSHAR_1Q14</vt:lpstr>
      <vt:lpstr>Tags!UFSHAR_1Q15</vt:lpstr>
      <vt:lpstr>UFSHAR_1Q15</vt:lpstr>
      <vt:lpstr>Tags!UFSHAR_1Q16</vt:lpstr>
      <vt:lpstr>UFSHAR_1Q16</vt:lpstr>
      <vt:lpstr>Tags!UFSHAR_1Q17</vt:lpstr>
      <vt:lpstr>UFSHAR_1Q17</vt:lpstr>
      <vt:lpstr>Tags!UFSHAR_1Q18</vt:lpstr>
      <vt:lpstr>UFSHAR_1Q18</vt:lpstr>
      <vt:lpstr>Tags!UFSHAR_1Q19</vt:lpstr>
      <vt:lpstr>UFSHAR_1Q19</vt:lpstr>
      <vt:lpstr>Tags!UFSHAR_1Q20</vt:lpstr>
      <vt:lpstr>UFSHAR_1Q20</vt:lpstr>
      <vt:lpstr>UFSHAR_1Q21</vt:lpstr>
      <vt:lpstr>UFSHAR_1Q22</vt:lpstr>
      <vt:lpstr>UFSHAR_1Q23</vt:lpstr>
      <vt:lpstr>UFSHAR_1Q24</vt:lpstr>
      <vt:lpstr>Tags!UFSHAR_2000</vt:lpstr>
      <vt:lpstr>UFSHAR_2000</vt:lpstr>
      <vt:lpstr>Tags!UFSHAR_2001</vt:lpstr>
      <vt:lpstr>UFSHAR_2001</vt:lpstr>
      <vt:lpstr>Tags!UFSHAR_2002</vt:lpstr>
      <vt:lpstr>UFSHAR_2002</vt:lpstr>
      <vt:lpstr>Tags!UFSHAR_2003</vt:lpstr>
      <vt:lpstr>UFSHAR_2003</vt:lpstr>
      <vt:lpstr>Tags!UFSHAR_2004</vt:lpstr>
      <vt:lpstr>UFSHAR_2004</vt:lpstr>
      <vt:lpstr>Tags!UFSHAR_2005</vt:lpstr>
      <vt:lpstr>UFSHAR_2005</vt:lpstr>
      <vt:lpstr>Tags!UFSHAR_2006</vt:lpstr>
      <vt:lpstr>UFSHAR_2006</vt:lpstr>
      <vt:lpstr>Tags!UFSHAR_2007</vt:lpstr>
      <vt:lpstr>UFSHAR_2007</vt:lpstr>
      <vt:lpstr>Tags!UFSHAR_2008</vt:lpstr>
      <vt:lpstr>UFSHAR_2008</vt:lpstr>
      <vt:lpstr>Tags!UFSHAR_2009</vt:lpstr>
      <vt:lpstr>UFSHAR_2009</vt:lpstr>
      <vt:lpstr>Tags!UFSHAR_2010</vt:lpstr>
      <vt:lpstr>UFSHAR_2010</vt:lpstr>
      <vt:lpstr>Tags!UFSHAR_2011</vt:lpstr>
      <vt:lpstr>UFSHAR_2011</vt:lpstr>
      <vt:lpstr>Tags!UFSHAR_2012</vt:lpstr>
      <vt:lpstr>UFSHAR_2012</vt:lpstr>
      <vt:lpstr>Tags!UFSHAR_2013</vt:lpstr>
      <vt:lpstr>UFSHAR_2013</vt:lpstr>
      <vt:lpstr>Tags!UFSHAR_2014</vt:lpstr>
      <vt:lpstr>UFSHAR_2014</vt:lpstr>
      <vt:lpstr>UFSHAR_2015</vt:lpstr>
      <vt:lpstr>Tags!UFSHAR_2016</vt:lpstr>
      <vt:lpstr>UFSHAR_2016</vt:lpstr>
      <vt:lpstr>Tags!UFSHAR_2017</vt:lpstr>
      <vt:lpstr>UFSHAR_2017</vt:lpstr>
      <vt:lpstr>Tags!UFSHAR_2018</vt:lpstr>
      <vt:lpstr>UFSHAR_2018</vt:lpstr>
      <vt:lpstr>Tags!UFSHAR_2019</vt:lpstr>
      <vt:lpstr>UFSHAR_2019</vt:lpstr>
      <vt:lpstr>Tags!UFSHAR_2020</vt:lpstr>
      <vt:lpstr>UFSHAR_2020</vt:lpstr>
      <vt:lpstr>UFSHAR_2021</vt:lpstr>
      <vt:lpstr>UFSHAR_2022</vt:lpstr>
      <vt:lpstr>UFSHAR_2023</vt:lpstr>
      <vt:lpstr>UFSHAR_2024</vt:lpstr>
      <vt:lpstr>Tags!UFSHAR_2Q00</vt:lpstr>
      <vt:lpstr>UFSHAR_2Q00</vt:lpstr>
      <vt:lpstr>Tags!UFSHAR_2Q01</vt:lpstr>
      <vt:lpstr>UFSHAR_2Q01</vt:lpstr>
      <vt:lpstr>Tags!UFSHAR_2Q02</vt:lpstr>
      <vt:lpstr>UFSHAR_2Q02</vt:lpstr>
      <vt:lpstr>Tags!UFSHAR_2Q03</vt:lpstr>
      <vt:lpstr>UFSHAR_2Q03</vt:lpstr>
      <vt:lpstr>Tags!UFSHAR_2Q04</vt:lpstr>
      <vt:lpstr>UFSHAR_2Q04</vt:lpstr>
      <vt:lpstr>Tags!UFSHAR_2Q05</vt:lpstr>
      <vt:lpstr>UFSHAR_2Q05</vt:lpstr>
      <vt:lpstr>Tags!UFSHAR_2Q06</vt:lpstr>
      <vt:lpstr>UFSHAR_2Q06</vt:lpstr>
      <vt:lpstr>Tags!UFSHAR_2Q07</vt:lpstr>
      <vt:lpstr>UFSHAR_2Q07</vt:lpstr>
      <vt:lpstr>Tags!UFSHAR_2Q08</vt:lpstr>
      <vt:lpstr>UFSHAR_2Q08</vt:lpstr>
      <vt:lpstr>Tags!UFSHAR_2Q09</vt:lpstr>
      <vt:lpstr>UFSHAR_2Q09</vt:lpstr>
      <vt:lpstr>Tags!UFSHAR_2Q10</vt:lpstr>
      <vt:lpstr>UFSHAR_2Q10</vt:lpstr>
      <vt:lpstr>Tags!UFSHAR_2Q11</vt:lpstr>
      <vt:lpstr>UFSHAR_2Q11</vt:lpstr>
      <vt:lpstr>Tags!UFSHAR_2Q12</vt:lpstr>
      <vt:lpstr>UFSHAR_2Q12</vt:lpstr>
      <vt:lpstr>Tags!UFSHAR_2Q13</vt:lpstr>
      <vt:lpstr>UFSHAR_2Q13</vt:lpstr>
      <vt:lpstr>Tags!UFSHAR_2Q14</vt:lpstr>
      <vt:lpstr>UFSHAR_2Q14</vt:lpstr>
      <vt:lpstr>Tags!UFSHAR_2Q15</vt:lpstr>
      <vt:lpstr>UFSHAR_2Q15</vt:lpstr>
      <vt:lpstr>Tags!UFSHAR_2Q16</vt:lpstr>
      <vt:lpstr>UFSHAR_2Q16</vt:lpstr>
      <vt:lpstr>Tags!UFSHAR_2Q17</vt:lpstr>
      <vt:lpstr>UFSHAR_2Q17</vt:lpstr>
      <vt:lpstr>Tags!UFSHAR_2Q18</vt:lpstr>
      <vt:lpstr>UFSHAR_2Q18</vt:lpstr>
      <vt:lpstr>Tags!UFSHAR_2Q19</vt:lpstr>
      <vt:lpstr>UFSHAR_2Q19</vt:lpstr>
      <vt:lpstr>Tags!UFSHAR_2Q20</vt:lpstr>
      <vt:lpstr>UFSHAR_2Q20</vt:lpstr>
      <vt:lpstr>UFSHAR_2Q21</vt:lpstr>
      <vt:lpstr>UFSHAR_2Q22</vt:lpstr>
      <vt:lpstr>UFSHAR_2Q23</vt:lpstr>
      <vt:lpstr>UFSHAR_2Q24</vt:lpstr>
      <vt:lpstr>Tags!UFSHAR_3Q00</vt:lpstr>
      <vt:lpstr>UFSHAR_3Q00</vt:lpstr>
      <vt:lpstr>Tags!UFSHAR_3Q01</vt:lpstr>
      <vt:lpstr>UFSHAR_3Q01</vt:lpstr>
      <vt:lpstr>Tags!UFSHAR_3Q02</vt:lpstr>
      <vt:lpstr>UFSHAR_3Q02</vt:lpstr>
      <vt:lpstr>Tags!UFSHAR_3Q03</vt:lpstr>
      <vt:lpstr>UFSHAR_3Q03</vt:lpstr>
      <vt:lpstr>Tags!UFSHAR_3Q04</vt:lpstr>
      <vt:lpstr>UFSHAR_3Q04</vt:lpstr>
      <vt:lpstr>Tags!UFSHAR_3Q05</vt:lpstr>
      <vt:lpstr>UFSHAR_3Q05</vt:lpstr>
      <vt:lpstr>Tags!UFSHAR_3Q06</vt:lpstr>
      <vt:lpstr>UFSHAR_3Q06</vt:lpstr>
      <vt:lpstr>Tags!UFSHAR_3Q07</vt:lpstr>
      <vt:lpstr>UFSHAR_3Q07</vt:lpstr>
      <vt:lpstr>Tags!UFSHAR_3Q08</vt:lpstr>
      <vt:lpstr>UFSHAR_3Q08</vt:lpstr>
      <vt:lpstr>Tags!UFSHAR_3Q09</vt:lpstr>
      <vt:lpstr>UFSHAR_3Q09</vt:lpstr>
      <vt:lpstr>Tags!UFSHAR_3Q10</vt:lpstr>
      <vt:lpstr>UFSHAR_3Q10</vt:lpstr>
      <vt:lpstr>Tags!UFSHAR_3Q11</vt:lpstr>
      <vt:lpstr>UFSHAR_3Q11</vt:lpstr>
      <vt:lpstr>Tags!UFSHAR_3Q12</vt:lpstr>
      <vt:lpstr>UFSHAR_3Q12</vt:lpstr>
      <vt:lpstr>Tags!UFSHAR_3Q13</vt:lpstr>
      <vt:lpstr>UFSHAR_3Q13</vt:lpstr>
      <vt:lpstr>Tags!UFSHAR_3Q14</vt:lpstr>
      <vt:lpstr>UFSHAR_3Q14</vt:lpstr>
      <vt:lpstr>Tags!UFSHAR_3Q15</vt:lpstr>
      <vt:lpstr>UFSHAR_3Q15</vt:lpstr>
      <vt:lpstr>Tags!UFSHAR_3Q16</vt:lpstr>
      <vt:lpstr>UFSHAR_3Q16</vt:lpstr>
      <vt:lpstr>Tags!UFSHAR_3Q17</vt:lpstr>
      <vt:lpstr>UFSHAR_3Q17</vt:lpstr>
      <vt:lpstr>Tags!UFSHAR_3Q18</vt:lpstr>
      <vt:lpstr>UFSHAR_3Q18</vt:lpstr>
      <vt:lpstr>Tags!UFSHAR_3Q19</vt:lpstr>
      <vt:lpstr>UFSHAR_3Q19</vt:lpstr>
      <vt:lpstr>Tags!UFSHAR_3Q20</vt:lpstr>
      <vt:lpstr>UFSHAR_3Q20</vt:lpstr>
      <vt:lpstr>UFSHAR_3Q21</vt:lpstr>
      <vt:lpstr>UFSHAR_3Q22</vt:lpstr>
      <vt:lpstr>UFSHAR_3Q23</vt:lpstr>
      <vt:lpstr>UFSHAR_3Q24</vt:lpstr>
      <vt:lpstr>Tags!UFSHAR_4Q00</vt:lpstr>
      <vt:lpstr>UFSHAR_4Q00</vt:lpstr>
      <vt:lpstr>Tags!UFSHAR_4Q01</vt:lpstr>
      <vt:lpstr>UFSHAR_4Q01</vt:lpstr>
      <vt:lpstr>Tags!UFSHAR_4Q02</vt:lpstr>
      <vt:lpstr>UFSHAR_4Q02</vt:lpstr>
      <vt:lpstr>Tags!UFSHAR_4Q03</vt:lpstr>
      <vt:lpstr>UFSHAR_4Q03</vt:lpstr>
      <vt:lpstr>Tags!UFSHAR_4Q04</vt:lpstr>
      <vt:lpstr>UFSHAR_4Q04</vt:lpstr>
      <vt:lpstr>Tags!UFSHAR_4Q05</vt:lpstr>
      <vt:lpstr>UFSHAR_4Q05</vt:lpstr>
      <vt:lpstr>Tags!UFSHAR_4Q06</vt:lpstr>
      <vt:lpstr>UFSHAR_4Q06</vt:lpstr>
      <vt:lpstr>Tags!UFSHAR_4Q07</vt:lpstr>
      <vt:lpstr>UFSHAR_4Q07</vt:lpstr>
      <vt:lpstr>Tags!UFSHAR_4Q08</vt:lpstr>
      <vt:lpstr>UFSHAR_4Q08</vt:lpstr>
      <vt:lpstr>Tags!UFSHAR_4Q09</vt:lpstr>
      <vt:lpstr>UFSHAR_4Q09</vt:lpstr>
      <vt:lpstr>Tags!UFSHAR_4Q10</vt:lpstr>
      <vt:lpstr>UFSHAR_4Q10</vt:lpstr>
      <vt:lpstr>Tags!UFSHAR_4Q11</vt:lpstr>
      <vt:lpstr>UFSHAR_4Q11</vt:lpstr>
      <vt:lpstr>Tags!UFSHAR_4Q12</vt:lpstr>
      <vt:lpstr>UFSHAR_4Q12</vt:lpstr>
      <vt:lpstr>Tags!UFSHAR_4Q13</vt:lpstr>
      <vt:lpstr>UFSHAR_4Q13</vt:lpstr>
      <vt:lpstr>Tags!UFSHAR_4Q14</vt:lpstr>
      <vt:lpstr>UFSHAR_4Q14</vt:lpstr>
      <vt:lpstr>Tags!UFSHAR_4Q15</vt:lpstr>
      <vt:lpstr>UFSHAR_4Q15</vt:lpstr>
      <vt:lpstr>Tags!UFSHAR_4Q16</vt:lpstr>
      <vt:lpstr>UFSHAR_4Q16</vt:lpstr>
      <vt:lpstr>Tags!UFSHAR_4Q17</vt:lpstr>
      <vt:lpstr>UFSHAR_4Q17</vt:lpstr>
      <vt:lpstr>Tags!UFSHAR_4Q18</vt:lpstr>
      <vt:lpstr>UFSHAR_4Q18</vt:lpstr>
      <vt:lpstr>Tags!UFSHAR_4Q19</vt:lpstr>
      <vt:lpstr>UFSHAR_4Q19</vt:lpstr>
      <vt:lpstr>Tags!UFSHAR_4Q20</vt:lpstr>
      <vt:lpstr>UFSHAR_4Q20</vt:lpstr>
      <vt:lpstr>UFSHAR_4Q21</vt:lpstr>
      <vt:lpstr>UFSHAR_4Q22</vt:lpstr>
      <vt:lpstr>UFSHAR_4Q23</vt:lpstr>
      <vt:lpstr>UFSHAR_4Q24</vt:lpstr>
      <vt:lpstr>UNDPS_1995</vt:lpstr>
      <vt:lpstr>UNDPS_1996</vt:lpstr>
      <vt:lpstr>UNDPS_1997</vt:lpstr>
      <vt:lpstr>UNDPS_1998</vt:lpstr>
      <vt:lpstr>UNDPS_1999</vt:lpstr>
      <vt:lpstr>Tags!UNDPS_1Q00</vt:lpstr>
      <vt:lpstr>UNDPS_1Q00</vt:lpstr>
      <vt:lpstr>Tags!UNDPS_1Q01</vt:lpstr>
      <vt:lpstr>UNDPS_1Q01</vt:lpstr>
      <vt:lpstr>Tags!UNDPS_1Q02</vt:lpstr>
      <vt:lpstr>UNDPS_1Q02</vt:lpstr>
      <vt:lpstr>Tags!UNDPS_1Q03</vt:lpstr>
      <vt:lpstr>UNDPS_1Q03</vt:lpstr>
      <vt:lpstr>Tags!UNDPS_1Q04</vt:lpstr>
      <vt:lpstr>UNDPS_1Q04</vt:lpstr>
      <vt:lpstr>Tags!UNDPS_1Q05</vt:lpstr>
      <vt:lpstr>UNDPS_1Q05</vt:lpstr>
      <vt:lpstr>Tags!UNDPS_1Q06</vt:lpstr>
      <vt:lpstr>UNDPS_1Q06</vt:lpstr>
      <vt:lpstr>Tags!UNDPS_1Q07</vt:lpstr>
      <vt:lpstr>UNDPS_1Q07</vt:lpstr>
      <vt:lpstr>Tags!UNDPS_1Q08</vt:lpstr>
      <vt:lpstr>UNDPS_1Q08</vt:lpstr>
      <vt:lpstr>Tags!UNDPS_1Q09</vt:lpstr>
      <vt:lpstr>UNDPS_1Q09</vt:lpstr>
      <vt:lpstr>Tags!UNDPS_1Q10</vt:lpstr>
      <vt:lpstr>UNDPS_1Q10</vt:lpstr>
      <vt:lpstr>Tags!UNDPS_1Q11</vt:lpstr>
      <vt:lpstr>UNDPS_1Q11</vt:lpstr>
      <vt:lpstr>Tags!UNDPS_1Q12</vt:lpstr>
      <vt:lpstr>UNDPS_1Q12</vt:lpstr>
      <vt:lpstr>Tags!UNDPS_1Q13</vt:lpstr>
      <vt:lpstr>UNDPS_1Q13</vt:lpstr>
      <vt:lpstr>Tags!UNDPS_1Q14</vt:lpstr>
      <vt:lpstr>UNDPS_1Q14</vt:lpstr>
      <vt:lpstr>Tags!UNDPS_1Q15</vt:lpstr>
      <vt:lpstr>UNDPS_1Q15</vt:lpstr>
      <vt:lpstr>Tags!UNDPS_1Q16</vt:lpstr>
      <vt:lpstr>UNDPS_1Q16</vt:lpstr>
      <vt:lpstr>Tags!UNDPS_1Q17</vt:lpstr>
      <vt:lpstr>UNDPS_1Q17</vt:lpstr>
      <vt:lpstr>Tags!UNDPS_1Q18</vt:lpstr>
      <vt:lpstr>UNDPS_1Q18</vt:lpstr>
      <vt:lpstr>Tags!UNDPS_1Q19</vt:lpstr>
      <vt:lpstr>UNDPS_1Q19</vt:lpstr>
      <vt:lpstr>Tags!UNDPS_1Q20</vt:lpstr>
      <vt:lpstr>UNDPS_1Q20</vt:lpstr>
      <vt:lpstr>UNDPS_1Q21</vt:lpstr>
      <vt:lpstr>UNDPS_1Q22</vt:lpstr>
      <vt:lpstr>UNDPS_1Q23</vt:lpstr>
      <vt:lpstr>UNDPS_1Q24</vt:lpstr>
      <vt:lpstr>Tags!UNDPS_2000</vt:lpstr>
      <vt:lpstr>UNDPS_2000</vt:lpstr>
      <vt:lpstr>Tags!UNDPS_2001</vt:lpstr>
      <vt:lpstr>UNDPS_2001</vt:lpstr>
      <vt:lpstr>Tags!UNDPS_2002</vt:lpstr>
      <vt:lpstr>UNDPS_2002</vt:lpstr>
      <vt:lpstr>Tags!UNDPS_2003</vt:lpstr>
      <vt:lpstr>UNDPS_2003</vt:lpstr>
      <vt:lpstr>Tags!UNDPS_2004</vt:lpstr>
      <vt:lpstr>UNDPS_2004</vt:lpstr>
      <vt:lpstr>Tags!UNDPS_2005</vt:lpstr>
      <vt:lpstr>UNDPS_2005</vt:lpstr>
      <vt:lpstr>Tags!UNDPS_2006</vt:lpstr>
      <vt:lpstr>UNDPS_2006</vt:lpstr>
      <vt:lpstr>Tags!UNDPS_2007</vt:lpstr>
      <vt:lpstr>UNDPS_2007</vt:lpstr>
      <vt:lpstr>Tags!UNDPS_2008</vt:lpstr>
      <vt:lpstr>UNDPS_2008</vt:lpstr>
      <vt:lpstr>Tags!UNDPS_2009</vt:lpstr>
      <vt:lpstr>UNDPS_2009</vt:lpstr>
      <vt:lpstr>Tags!UNDPS_2010</vt:lpstr>
      <vt:lpstr>UNDPS_2010</vt:lpstr>
      <vt:lpstr>Tags!UNDPS_2011</vt:lpstr>
      <vt:lpstr>UNDPS_2011</vt:lpstr>
      <vt:lpstr>Tags!UNDPS_2012</vt:lpstr>
      <vt:lpstr>UNDPS_2012</vt:lpstr>
      <vt:lpstr>Tags!UNDPS_2013</vt:lpstr>
      <vt:lpstr>UNDPS_2013</vt:lpstr>
      <vt:lpstr>Tags!UNDPS_2014</vt:lpstr>
      <vt:lpstr>UNDPS_2014</vt:lpstr>
      <vt:lpstr>UNDPS_2015</vt:lpstr>
      <vt:lpstr>Tags!UNDPS_2016</vt:lpstr>
      <vt:lpstr>UNDPS_2016</vt:lpstr>
      <vt:lpstr>Tags!UNDPS_2017</vt:lpstr>
      <vt:lpstr>UNDPS_2017</vt:lpstr>
      <vt:lpstr>Tags!UNDPS_2018</vt:lpstr>
      <vt:lpstr>UNDPS_2018</vt:lpstr>
      <vt:lpstr>Tags!UNDPS_2019</vt:lpstr>
      <vt:lpstr>UNDPS_2019</vt:lpstr>
      <vt:lpstr>Tags!UNDPS_2020</vt:lpstr>
      <vt:lpstr>UNDPS_2020</vt:lpstr>
      <vt:lpstr>UNDPS_2021</vt:lpstr>
      <vt:lpstr>UNDPS_2022</vt:lpstr>
      <vt:lpstr>UNDPS_2023</vt:lpstr>
      <vt:lpstr>UNDPS_2024</vt:lpstr>
      <vt:lpstr>Tags!UNDPS_2Q00</vt:lpstr>
      <vt:lpstr>UNDPS_2Q00</vt:lpstr>
      <vt:lpstr>Tags!UNDPS_2Q01</vt:lpstr>
      <vt:lpstr>UNDPS_2Q01</vt:lpstr>
      <vt:lpstr>Tags!UNDPS_2Q02</vt:lpstr>
      <vt:lpstr>UNDPS_2Q02</vt:lpstr>
      <vt:lpstr>Tags!UNDPS_2Q03</vt:lpstr>
      <vt:lpstr>UNDPS_2Q03</vt:lpstr>
      <vt:lpstr>Tags!UNDPS_2Q04</vt:lpstr>
      <vt:lpstr>UNDPS_2Q04</vt:lpstr>
      <vt:lpstr>Tags!UNDPS_2Q05</vt:lpstr>
      <vt:lpstr>UNDPS_2Q05</vt:lpstr>
      <vt:lpstr>Tags!UNDPS_2Q06</vt:lpstr>
      <vt:lpstr>UNDPS_2Q06</vt:lpstr>
      <vt:lpstr>Tags!UNDPS_2Q07</vt:lpstr>
      <vt:lpstr>UNDPS_2Q07</vt:lpstr>
      <vt:lpstr>Tags!UNDPS_2Q08</vt:lpstr>
      <vt:lpstr>UNDPS_2Q08</vt:lpstr>
      <vt:lpstr>Tags!UNDPS_2Q09</vt:lpstr>
      <vt:lpstr>UNDPS_2Q09</vt:lpstr>
      <vt:lpstr>Tags!UNDPS_2Q10</vt:lpstr>
      <vt:lpstr>UNDPS_2Q10</vt:lpstr>
      <vt:lpstr>Tags!UNDPS_2Q11</vt:lpstr>
      <vt:lpstr>UNDPS_2Q11</vt:lpstr>
      <vt:lpstr>Tags!UNDPS_2Q12</vt:lpstr>
      <vt:lpstr>UNDPS_2Q12</vt:lpstr>
      <vt:lpstr>Tags!UNDPS_2Q13</vt:lpstr>
      <vt:lpstr>UNDPS_2Q13</vt:lpstr>
      <vt:lpstr>Tags!UNDPS_2Q14</vt:lpstr>
      <vt:lpstr>UNDPS_2Q14</vt:lpstr>
      <vt:lpstr>Tags!UNDPS_2Q15</vt:lpstr>
      <vt:lpstr>UNDPS_2Q15</vt:lpstr>
      <vt:lpstr>Tags!UNDPS_2Q16</vt:lpstr>
      <vt:lpstr>UNDPS_2Q16</vt:lpstr>
      <vt:lpstr>Tags!UNDPS_2Q17</vt:lpstr>
      <vt:lpstr>UNDPS_2Q17</vt:lpstr>
      <vt:lpstr>Tags!UNDPS_2Q18</vt:lpstr>
      <vt:lpstr>UNDPS_2Q18</vt:lpstr>
      <vt:lpstr>Tags!UNDPS_2Q19</vt:lpstr>
      <vt:lpstr>UNDPS_2Q19</vt:lpstr>
      <vt:lpstr>Tags!UNDPS_2Q20</vt:lpstr>
      <vt:lpstr>UNDPS_2Q20</vt:lpstr>
      <vt:lpstr>UNDPS_2Q21</vt:lpstr>
      <vt:lpstr>UNDPS_2Q22</vt:lpstr>
      <vt:lpstr>UNDPS_2Q23</vt:lpstr>
      <vt:lpstr>UNDPS_2Q24</vt:lpstr>
      <vt:lpstr>Tags!UNDPS_3Q00</vt:lpstr>
      <vt:lpstr>UNDPS_3Q00</vt:lpstr>
      <vt:lpstr>Tags!UNDPS_3Q01</vt:lpstr>
      <vt:lpstr>UNDPS_3Q01</vt:lpstr>
      <vt:lpstr>Tags!UNDPS_3Q02</vt:lpstr>
      <vt:lpstr>UNDPS_3Q02</vt:lpstr>
      <vt:lpstr>Tags!UNDPS_3Q03</vt:lpstr>
      <vt:lpstr>UNDPS_3Q03</vt:lpstr>
      <vt:lpstr>Tags!UNDPS_3Q04</vt:lpstr>
      <vt:lpstr>UNDPS_3Q04</vt:lpstr>
      <vt:lpstr>Tags!UNDPS_3Q05</vt:lpstr>
      <vt:lpstr>UNDPS_3Q05</vt:lpstr>
      <vt:lpstr>Tags!UNDPS_3Q06</vt:lpstr>
      <vt:lpstr>UNDPS_3Q06</vt:lpstr>
      <vt:lpstr>Tags!UNDPS_3Q07</vt:lpstr>
      <vt:lpstr>UNDPS_3Q07</vt:lpstr>
      <vt:lpstr>Tags!UNDPS_3Q08</vt:lpstr>
      <vt:lpstr>UNDPS_3Q08</vt:lpstr>
      <vt:lpstr>Tags!UNDPS_3Q09</vt:lpstr>
      <vt:lpstr>UNDPS_3Q09</vt:lpstr>
      <vt:lpstr>Tags!UNDPS_3Q10</vt:lpstr>
      <vt:lpstr>UNDPS_3Q10</vt:lpstr>
      <vt:lpstr>Tags!UNDPS_3Q11</vt:lpstr>
      <vt:lpstr>UNDPS_3Q11</vt:lpstr>
      <vt:lpstr>Tags!UNDPS_3Q12</vt:lpstr>
      <vt:lpstr>UNDPS_3Q12</vt:lpstr>
      <vt:lpstr>Tags!UNDPS_3Q13</vt:lpstr>
      <vt:lpstr>UNDPS_3Q13</vt:lpstr>
      <vt:lpstr>Tags!UNDPS_3Q14</vt:lpstr>
      <vt:lpstr>UNDPS_3Q14</vt:lpstr>
      <vt:lpstr>Tags!UNDPS_3Q15</vt:lpstr>
      <vt:lpstr>UNDPS_3Q15</vt:lpstr>
      <vt:lpstr>Tags!UNDPS_3Q16</vt:lpstr>
      <vt:lpstr>UNDPS_3Q16</vt:lpstr>
      <vt:lpstr>Tags!UNDPS_3Q17</vt:lpstr>
      <vt:lpstr>UNDPS_3Q17</vt:lpstr>
      <vt:lpstr>Tags!UNDPS_3Q18</vt:lpstr>
      <vt:lpstr>UNDPS_3Q18</vt:lpstr>
      <vt:lpstr>Tags!UNDPS_3Q19</vt:lpstr>
      <vt:lpstr>UNDPS_3Q19</vt:lpstr>
      <vt:lpstr>Tags!UNDPS_3Q20</vt:lpstr>
      <vt:lpstr>UNDPS_3Q20</vt:lpstr>
      <vt:lpstr>UNDPS_3Q21</vt:lpstr>
      <vt:lpstr>UNDPS_3Q22</vt:lpstr>
      <vt:lpstr>UNDPS_3Q23</vt:lpstr>
      <vt:lpstr>UNDPS_3Q24</vt:lpstr>
      <vt:lpstr>Tags!UNDPS_4Q00</vt:lpstr>
      <vt:lpstr>UNDPS_4Q00</vt:lpstr>
      <vt:lpstr>Tags!UNDPS_4Q01</vt:lpstr>
      <vt:lpstr>UNDPS_4Q01</vt:lpstr>
      <vt:lpstr>Tags!UNDPS_4Q02</vt:lpstr>
      <vt:lpstr>UNDPS_4Q02</vt:lpstr>
      <vt:lpstr>Tags!UNDPS_4Q03</vt:lpstr>
      <vt:lpstr>UNDPS_4Q03</vt:lpstr>
      <vt:lpstr>Tags!UNDPS_4Q04</vt:lpstr>
      <vt:lpstr>UNDPS_4Q04</vt:lpstr>
      <vt:lpstr>Tags!UNDPS_4Q05</vt:lpstr>
      <vt:lpstr>UNDPS_4Q05</vt:lpstr>
      <vt:lpstr>Tags!UNDPS_4Q06</vt:lpstr>
      <vt:lpstr>UNDPS_4Q06</vt:lpstr>
      <vt:lpstr>Tags!UNDPS_4Q07</vt:lpstr>
      <vt:lpstr>UNDPS_4Q07</vt:lpstr>
      <vt:lpstr>Tags!UNDPS_4Q08</vt:lpstr>
      <vt:lpstr>UNDPS_4Q08</vt:lpstr>
      <vt:lpstr>Tags!UNDPS_4Q09</vt:lpstr>
      <vt:lpstr>UNDPS_4Q09</vt:lpstr>
      <vt:lpstr>Tags!UNDPS_4Q10</vt:lpstr>
      <vt:lpstr>UNDPS_4Q10</vt:lpstr>
      <vt:lpstr>Tags!UNDPS_4Q11</vt:lpstr>
      <vt:lpstr>UNDPS_4Q11</vt:lpstr>
      <vt:lpstr>Tags!UNDPS_4Q12</vt:lpstr>
      <vt:lpstr>UNDPS_4Q12</vt:lpstr>
      <vt:lpstr>Tags!UNDPS_4Q13</vt:lpstr>
      <vt:lpstr>UNDPS_4Q13</vt:lpstr>
      <vt:lpstr>Tags!UNDPS_4Q14</vt:lpstr>
      <vt:lpstr>UNDPS_4Q14</vt:lpstr>
      <vt:lpstr>Tags!UNDPS_4Q15</vt:lpstr>
      <vt:lpstr>UNDPS_4Q15</vt:lpstr>
      <vt:lpstr>Tags!UNDPS_4Q16</vt:lpstr>
      <vt:lpstr>UNDPS_4Q16</vt:lpstr>
      <vt:lpstr>Tags!UNDPS_4Q17</vt:lpstr>
      <vt:lpstr>UNDPS_4Q17</vt:lpstr>
      <vt:lpstr>Tags!UNDPS_4Q18</vt:lpstr>
      <vt:lpstr>UNDPS_4Q18</vt:lpstr>
      <vt:lpstr>Tags!UNDPS_4Q19</vt:lpstr>
      <vt:lpstr>UNDPS_4Q19</vt:lpstr>
      <vt:lpstr>Tags!UNDPS_4Q20</vt:lpstr>
      <vt:lpstr>UNDPS_4Q20</vt:lpstr>
      <vt:lpstr>UNDPS_4Q21</vt:lpstr>
      <vt:lpstr>UNDPS_4Q22</vt:lpstr>
      <vt:lpstr>UNDPS_4Q23</vt:lpstr>
      <vt:lpstr>UNDPS_4Q24</vt:lpstr>
      <vt:lpstr>USOEAT_1995</vt:lpstr>
      <vt:lpstr>USOEAT_1996</vt:lpstr>
      <vt:lpstr>USOEAT_1997</vt:lpstr>
      <vt:lpstr>USOEAT_1998</vt:lpstr>
      <vt:lpstr>USOEAT_1999</vt:lpstr>
      <vt:lpstr>Tags!USOEAT_1Q00</vt:lpstr>
      <vt:lpstr>USOEAT_1Q00</vt:lpstr>
      <vt:lpstr>Tags!USOEAT_1Q01</vt:lpstr>
      <vt:lpstr>USOEAT_1Q01</vt:lpstr>
      <vt:lpstr>Tags!USOEAT_1Q02</vt:lpstr>
      <vt:lpstr>USOEAT_1Q02</vt:lpstr>
      <vt:lpstr>Tags!USOEAT_1Q03</vt:lpstr>
      <vt:lpstr>USOEAT_1Q03</vt:lpstr>
      <vt:lpstr>Tags!USOEAT_1Q04</vt:lpstr>
      <vt:lpstr>USOEAT_1Q04</vt:lpstr>
      <vt:lpstr>Tags!USOEAT_1Q05</vt:lpstr>
      <vt:lpstr>USOEAT_1Q05</vt:lpstr>
      <vt:lpstr>Tags!USOEAT_1Q06</vt:lpstr>
      <vt:lpstr>USOEAT_1Q06</vt:lpstr>
      <vt:lpstr>Tags!USOEAT_1Q07</vt:lpstr>
      <vt:lpstr>USOEAT_1Q07</vt:lpstr>
      <vt:lpstr>Tags!USOEAT_1Q08</vt:lpstr>
      <vt:lpstr>USOEAT_1Q08</vt:lpstr>
      <vt:lpstr>Tags!USOEAT_1Q09</vt:lpstr>
      <vt:lpstr>USOEAT_1Q09</vt:lpstr>
      <vt:lpstr>Tags!USOEAT_1Q10</vt:lpstr>
      <vt:lpstr>USOEAT_1Q10</vt:lpstr>
      <vt:lpstr>Tags!USOEAT_1Q11</vt:lpstr>
      <vt:lpstr>USOEAT_1Q11</vt:lpstr>
      <vt:lpstr>Tags!USOEAT_1Q12</vt:lpstr>
      <vt:lpstr>USOEAT_1Q12</vt:lpstr>
      <vt:lpstr>Tags!USOEAT_1Q13</vt:lpstr>
      <vt:lpstr>USOEAT_1Q13</vt:lpstr>
      <vt:lpstr>Tags!USOEAT_1Q14</vt:lpstr>
      <vt:lpstr>USOEAT_1Q14</vt:lpstr>
      <vt:lpstr>Tags!USOEAT_1Q15</vt:lpstr>
      <vt:lpstr>USOEAT_1Q15</vt:lpstr>
      <vt:lpstr>Tags!USOEAT_1Q16</vt:lpstr>
      <vt:lpstr>USOEAT_1Q16</vt:lpstr>
      <vt:lpstr>Tags!USOEAT_1Q17</vt:lpstr>
      <vt:lpstr>USOEAT_1Q17</vt:lpstr>
      <vt:lpstr>Tags!USOEAT_1Q18</vt:lpstr>
      <vt:lpstr>USOEAT_1Q18</vt:lpstr>
      <vt:lpstr>Tags!USOEAT_1Q19</vt:lpstr>
      <vt:lpstr>USOEAT_1Q19</vt:lpstr>
      <vt:lpstr>Tags!USOEAT_1Q20</vt:lpstr>
      <vt:lpstr>USOEAT_1Q20</vt:lpstr>
      <vt:lpstr>USOEAT_1Q21</vt:lpstr>
      <vt:lpstr>USOEAT_1Q22</vt:lpstr>
      <vt:lpstr>USOEAT_1Q23</vt:lpstr>
      <vt:lpstr>USOEAT_1Q24</vt:lpstr>
      <vt:lpstr>Tags!USOEAT_2000</vt:lpstr>
      <vt:lpstr>USOEAT_2000</vt:lpstr>
      <vt:lpstr>Tags!USOEAT_2001</vt:lpstr>
      <vt:lpstr>USOEAT_2001</vt:lpstr>
      <vt:lpstr>Tags!USOEAT_2002</vt:lpstr>
      <vt:lpstr>USOEAT_2002</vt:lpstr>
      <vt:lpstr>Tags!USOEAT_2003</vt:lpstr>
      <vt:lpstr>USOEAT_2003</vt:lpstr>
      <vt:lpstr>Tags!USOEAT_2004</vt:lpstr>
      <vt:lpstr>USOEAT_2004</vt:lpstr>
      <vt:lpstr>Tags!USOEAT_2005</vt:lpstr>
      <vt:lpstr>USOEAT_2005</vt:lpstr>
      <vt:lpstr>Tags!USOEAT_2006</vt:lpstr>
      <vt:lpstr>USOEAT_2006</vt:lpstr>
      <vt:lpstr>Tags!USOEAT_2007</vt:lpstr>
      <vt:lpstr>USOEAT_2007</vt:lpstr>
      <vt:lpstr>Tags!USOEAT_2008</vt:lpstr>
      <vt:lpstr>USOEAT_2008</vt:lpstr>
      <vt:lpstr>Tags!USOEAT_2009</vt:lpstr>
      <vt:lpstr>USOEAT_2009</vt:lpstr>
      <vt:lpstr>Tags!USOEAT_2010</vt:lpstr>
      <vt:lpstr>USOEAT_2010</vt:lpstr>
      <vt:lpstr>Tags!USOEAT_2011</vt:lpstr>
      <vt:lpstr>USOEAT_2011</vt:lpstr>
      <vt:lpstr>Tags!USOEAT_2012</vt:lpstr>
      <vt:lpstr>USOEAT_2012</vt:lpstr>
      <vt:lpstr>Tags!USOEAT_2013</vt:lpstr>
      <vt:lpstr>USOEAT_2013</vt:lpstr>
      <vt:lpstr>Tags!USOEAT_2014</vt:lpstr>
      <vt:lpstr>USOEAT_2014</vt:lpstr>
      <vt:lpstr>USOEAT_2015</vt:lpstr>
      <vt:lpstr>Tags!USOEAT_2016</vt:lpstr>
      <vt:lpstr>USOEAT_2016</vt:lpstr>
      <vt:lpstr>Tags!USOEAT_2017</vt:lpstr>
      <vt:lpstr>USOEAT_2017</vt:lpstr>
      <vt:lpstr>Tags!USOEAT_2018</vt:lpstr>
      <vt:lpstr>USOEAT_2018</vt:lpstr>
      <vt:lpstr>Tags!USOEAT_2019</vt:lpstr>
      <vt:lpstr>USOEAT_2019</vt:lpstr>
      <vt:lpstr>Tags!USOEAT_2020</vt:lpstr>
      <vt:lpstr>USOEAT_2020</vt:lpstr>
      <vt:lpstr>USOEAT_2021</vt:lpstr>
      <vt:lpstr>USOEAT_2022</vt:lpstr>
      <vt:lpstr>USOEAT_2023</vt:lpstr>
      <vt:lpstr>USOEAT_2024</vt:lpstr>
      <vt:lpstr>Tags!USOEAT_2Q00</vt:lpstr>
      <vt:lpstr>USOEAT_2Q00</vt:lpstr>
      <vt:lpstr>Tags!USOEAT_2Q01</vt:lpstr>
      <vt:lpstr>USOEAT_2Q01</vt:lpstr>
      <vt:lpstr>Tags!USOEAT_2Q02</vt:lpstr>
      <vt:lpstr>USOEAT_2Q02</vt:lpstr>
      <vt:lpstr>Tags!USOEAT_2Q03</vt:lpstr>
      <vt:lpstr>USOEAT_2Q03</vt:lpstr>
      <vt:lpstr>Tags!USOEAT_2Q04</vt:lpstr>
      <vt:lpstr>USOEAT_2Q04</vt:lpstr>
      <vt:lpstr>Tags!USOEAT_2Q05</vt:lpstr>
      <vt:lpstr>USOEAT_2Q05</vt:lpstr>
      <vt:lpstr>Tags!USOEAT_2Q06</vt:lpstr>
      <vt:lpstr>USOEAT_2Q06</vt:lpstr>
      <vt:lpstr>Tags!USOEAT_2Q07</vt:lpstr>
      <vt:lpstr>USOEAT_2Q07</vt:lpstr>
      <vt:lpstr>Tags!USOEAT_2Q08</vt:lpstr>
      <vt:lpstr>USOEAT_2Q08</vt:lpstr>
      <vt:lpstr>Tags!USOEAT_2Q09</vt:lpstr>
      <vt:lpstr>USOEAT_2Q09</vt:lpstr>
      <vt:lpstr>Tags!USOEAT_2Q10</vt:lpstr>
      <vt:lpstr>USOEAT_2Q10</vt:lpstr>
      <vt:lpstr>Tags!USOEAT_2Q11</vt:lpstr>
      <vt:lpstr>USOEAT_2Q11</vt:lpstr>
      <vt:lpstr>Tags!USOEAT_2Q12</vt:lpstr>
      <vt:lpstr>USOEAT_2Q12</vt:lpstr>
      <vt:lpstr>Tags!USOEAT_2Q13</vt:lpstr>
      <vt:lpstr>USOEAT_2Q13</vt:lpstr>
      <vt:lpstr>Tags!USOEAT_2Q14</vt:lpstr>
      <vt:lpstr>USOEAT_2Q14</vt:lpstr>
      <vt:lpstr>Tags!USOEAT_2Q15</vt:lpstr>
      <vt:lpstr>USOEAT_2Q15</vt:lpstr>
      <vt:lpstr>Tags!USOEAT_2Q16</vt:lpstr>
      <vt:lpstr>USOEAT_2Q16</vt:lpstr>
      <vt:lpstr>Tags!USOEAT_2Q17</vt:lpstr>
      <vt:lpstr>USOEAT_2Q17</vt:lpstr>
      <vt:lpstr>Tags!USOEAT_2Q18</vt:lpstr>
      <vt:lpstr>USOEAT_2Q18</vt:lpstr>
      <vt:lpstr>Tags!USOEAT_2Q19</vt:lpstr>
      <vt:lpstr>USOEAT_2Q19</vt:lpstr>
      <vt:lpstr>Tags!USOEAT_2Q20</vt:lpstr>
      <vt:lpstr>USOEAT_2Q20</vt:lpstr>
      <vt:lpstr>USOEAT_2Q21</vt:lpstr>
      <vt:lpstr>USOEAT_2Q22</vt:lpstr>
      <vt:lpstr>USOEAT_2Q23</vt:lpstr>
      <vt:lpstr>USOEAT_2Q24</vt:lpstr>
      <vt:lpstr>Tags!USOEAT_3Q00</vt:lpstr>
      <vt:lpstr>USOEAT_3Q00</vt:lpstr>
      <vt:lpstr>Tags!USOEAT_3Q01</vt:lpstr>
      <vt:lpstr>USOEAT_3Q01</vt:lpstr>
      <vt:lpstr>Tags!USOEAT_3Q02</vt:lpstr>
      <vt:lpstr>USOEAT_3Q02</vt:lpstr>
      <vt:lpstr>Tags!USOEAT_3Q03</vt:lpstr>
      <vt:lpstr>USOEAT_3Q03</vt:lpstr>
      <vt:lpstr>Tags!USOEAT_3Q04</vt:lpstr>
      <vt:lpstr>USOEAT_3Q04</vt:lpstr>
      <vt:lpstr>Tags!USOEAT_3Q05</vt:lpstr>
      <vt:lpstr>USOEAT_3Q05</vt:lpstr>
      <vt:lpstr>Tags!USOEAT_3Q06</vt:lpstr>
      <vt:lpstr>USOEAT_3Q06</vt:lpstr>
      <vt:lpstr>Tags!USOEAT_3Q07</vt:lpstr>
      <vt:lpstr>USOEAT_3Q07</vt:lpstr>
      <vt:lpstr>Tags!USOEAT_3Q08</vt:lpstr>
      <vt:lpstr>USOEAT_3Q08</vt:lpstr>
      <vt:lpstr>Tags!USOEAT_3Q09</vt:lpstr>
      <vt:lpstr>USOEAT_3Q09</vt:lpstr>
      <vt:lpstr>Tags!USOEAT_3Q10</vt:lpstr>
      <vt:lpstr>USOEAT_3Q10</vt:lpstr>
      <vt:lpstr>Tags!USOEAT_3Q11</vt:lpstr>
      <vt:lpstr>USOEAT_3Q11</vt:lpstr>
      <vt:lpstr>Tags!USOEAT_3Q12</vt:lpstr>
      <vt:lpstr>USOEAT_3Q12</vt:lpstr>
      <vt:lpstr>Tags!USOEAT_3Q13</vt:lpstr>
      <vt:lpstr>USOEAT_3Q13</vt:lpstr>
      <vt:lpstr>Tags!USOEAT_3Q14</vt:lpstr>
      <vt:lpstr>USOEAT_3Q14</vt:lpstr>
      <vt:lpstr>Tags!USOEAT_3Q15</vt:lpstr>
      <vt:lpstr>USOEAT_3Q15</vt:lpstr>
      <vt:lpstr>Tags!USOEAT_3Q16</vt:lpstr>
      <vt:lpstr>USOEAT_3Q16</vt:lpstr>
      <vt:lpstr>Tags!USOEAT_3Q17</vt:lpstr>
      <vt:lpstr>USOEAT_3Q17</vt:lpstr>
      <vt:lpstr>Tags!USOEAT_3Q18</vt:lpstr>
      <vt:lpstr>USOEAT_3Q18</vt:lpstr>
      <vt:lpstr>Tags!USOEAT_3Q19</vt:lpstr>
      <vt:lpstr>USOEAT_3Q19</vt:lpstr>
      <vt:lpstr>Tags!USOEAT_3Q20</vt:lpstr>
      <vt:lpstr>USOEAT_3Q20</vt:lpstr>
      <vt:lpstr>USOEAT_3Q21</vt:lpstr>
      <vt:lpstr>USOEAT_3Q22</vt:lpstr>
      <vt:lpstr>USOEAT_3Q23</vt:lpstr>
      <vt:lpstr>USOEAT_3Q24</vt:lpstr>
      <vt:lpstr>Tags!USOEAT_4Q00</vt:lpstr>
      <vt:lpstr>USOEAT_4Q00</vt:lpstr>
      <vt:lpstr>Tags!USOEAT_4Q01</vt:lpstr>
      <vt:lpstr>USOEAT_4Q01</vt:lpstr>
      <vt:lpstr>Tags!USOEAT_4Q02</vt:lpstr>
      <vt:lpstr>USOEAT_4Q02</vt:lpstr>
      <vt:lpstr>Tags!USOEAT_4Q03</vt:lpstr>
      <vt:lpstr>USOEAT_4Q03</vt:lpstr>
      <vt:lpstr>Tags!USOEAT_4Q04</vt:lpstr>
      <vt:lpstr>USOEAT_4Q04</vt:lpstr>
      <vt:lpstr>Tags!USOEAT_4Q05</vt:lpstr>
      <vt:lpstr>USOEAT_4Q05</vt:lpstr>
      <vt:lpstr>Tags!USOEAT_4Q06</vt:lpstr>
      <vt:lpstr>USOEAT_4Q06</vt:lpstr>
      <vt:lpstr>Tags!USOEAT_4Q07</vt:lpstr>
      <vt:lpstr>USOEAT_4Q07</vt:lpstr>
      <vt:lpstr>Tags!USOEAT_4Q08</vt:lpstr>
      <vt:lpstr>USOEAT_4Q08</vt:lpstr>
      <vt:lpstr>Tags!USOEAT_4Q09</vt:lpstr>
      <vt:lpstr>USOEAT_4Q09</vt:lpstr>
      <vt:lpstr>Tags!USOEAT_4Q10</vt:lpstr>
      <vt:lpstr>USOEAT_4Q10</vt:lpstr>
      <vt:lpstr>Tags!USOEAT_4Q11</vt:lpstr>
      <vt:lpstr>USOEAT_4Q11</vt:lpstr>
      <vt:lpstr>Tags!USOEAT_4Q12</vt:lpstr>
      <vt:lpstr>USOEAT_4Q12</vt:lpstr>
      <vt:lpstr>Tags!USOEAT_4Q13</vt:lpstr>
      <vt:lpstr>USOEAT_4Q13</vt:lpstr>
      <vt:lpstr>Tags!USOEAT_4Q14</vt:lpstr>
      <vt:lpstr>USOEAT_4Q14</vt:lpstr>
      <vt:lpstr>Tags!USOEAT_4Q15</vt:lpstr>
      <vt:lpstr>USOEAT_4Q15</vt:lpstr>
      <vt:lpstr>Tags!USOEAT_4Q16</vt:lpstr>
      <vt:lpstr>USOEAT_4Q16</vt:lpstr>
      <vt:lpstr>Tags!USOEAT_4Q17</vt:lpstr>
      <vt:lpstr>USOEAT_4Q17</vt:lpstr>
      <vt:lpstr>Tags!USOEAT_4Q18</vt:lpstr>
      <vt:lpstr>USOEAT_4Q18</vt:lpstr>
      <vt:lpstr>Tags!USOEAT_4Q19</vt:lpstr>
      <vt:lpstr>USOEAT_4Q19</vt:lpstr>
      <vt:lpstr>Tags!USOEAT_4Q20</vt:lpstr>
      <vt:lpstr>USOEAT_4Q20</vt:lpstr>
      <vt:lpstr>USOEAT_4Q21</vt:lpstr>
      <vt:lpstr>USOEAT_4Q22</vt:lpstr>
      <vt:lpstr>USOEAT_4Q23</vt:lpstr>
      <vt:lpstr>USOEAT_4Q24</vt:lpstr>
      <vt:lpstr>WACC_1995</vt:lpstr>
      <vt:lpstr>WACC_1996</vt:lpstr>
      <vt:lpstr>WACC_1997</vt:lpstr>
      <vt:lpstr>WACC_1998</vt:lpstr>
      <vt:lpstr>WACC_1999</vt:lpstr>
      <vt:lpstr>Tags!WACC_1Q00</vt:lpstr>
      <vt:lpstr>WACC_1Q00</vt:lpstr>
      <vt:lpstr>Tags!WACC_1Q01</vt:lpstr>
      <vt:lpstr>WACC_1Q01</vt:lpstr>
      <vt:lpstr>Tags!WACC_1Q02</vt:lpstr>
      <vt:lpstr>WACC_1Q02</vt:lpstr>
      <vt:lpstr>Tags!WACC_1Q03</vt:lpstr>
      <vt:lpstr>WACC_1Q03</vt:lpstr>
      <vt:lpstr>Tags!WACC_1Q04</vt:lpstr>
      <vt:lpstr>WACC_1Q04</vt:lpstr>
      <vt:lpstr>Tags!WACC_1Q05</vt:lpstr>
      <vt:lpstr>WACC_1Q05</vt:lpstr>
      <vt:lpstr>Tags!WACC_1Q06</vt:lpstr>
      <vt:lpstr>WACC_1Q06</vt:lpstr>
      <vt:lpstr>Tags!WACC_1Q07</vt:lpstr>
      <vt:lpstr>WACC_1Q07</vt:lpstr>
      <vt:lpstr>Tags!WACC_1Q08</vt:lpstr>
      <vt:lpstr>WACC_1Q08</vt:lpstr>
      <vt:lpstr>Tags!WACC_1Q09</vt:lpstr>
      <vt:lpstr>WACC_1Q09</vt:lpstr>
      <vt:lpstr>Tags!WACC_1Q10</vt:lpstr>
      <vt:lpstr>WACC_1Q10</vt:lpstr>
      <vt:lpstr>Tags!WACC_1Q11</vt:lpstr>
      <vt:lpstr>WACC_1Q11</vt:lpstr>
      <vt:lpstr>Tags!WACC_1Q12</vt:lpstr>
      <vt:lpstr>WACC_1Q12</vt:lpstr>
      <vt:lpstr>Tags!WACC_1Q13</vt:lpstr>
      <vt:lpstr>WACC_1Q13</vt:lpstr>
      <vt:lpstr>Tags!WACC_1Q14</vt:lpstr>
      <vt:lpstr>WACC_1Q14</vt:lpstr>
      <vt:lpstr>Tags!WACC_1Q15</vt:lpstr>
      <vt:lpstr>WACC_1Q15</vt:lpstr>
      <vt:lpstr>Tags!WACC_1Q16</vt:lpstr>
      <vt:lpstr>WACC_1Q16</vt:lpstr>
      <vt:lpstr>Tags!WACC_1Q17</vt:lpstr>
      <vt:lpstr>WACC_1Q17</vt:lpstr>
      <vt:lpstr>Tags!WACC_1Q18</vt:lpstr>
      <vt:lpstr>WACC_1Q18</vt:lpstr>
      <vt:lpstr>Tags!WACC_1Q19</vt:lpstr>
      <vt:lpstr>WACC_1Q19</vt:lpstr>
      <vt:lpstr>Tags!WACC_1Q20</vt:lpstr>
      <vt:lpstr>WACC_1Q20</vt:lpstr>
      <vt:lpstr>WACC_1Q21</vt:lpstr>
      <vt:lpstr>WACC_1Q22</vt:lpstr>
      <vt:lpstr>WACC_1Q23</vt:lpstr>
      <vt:lpstr>WACC_1Q24</vt:lpstr>
      <vt:lpstr>Tags!WACC_2000</vt:lpstr>
      <vt:lpstr>WACC_2000</vt:lpstr>
      <vt:lpstr>Tags!WACC_2001</vt:lpstr>
      <vt:lpstr>WACC_2001</vt:lpstr>
      <vt:lpstr>Tags!WACC_2002</vt:lpstr>
      <vt:lpstr>WACC_2002</vt:lpstr>
      <vt:lpstr>Tags!WACC_2003</vt:lpstr>
      <vt:lpstr>WACC_2003</vt:lpstr>
      <vt:lpstr>Tags!WACC_2004</vt:lpstr>
      <vt:lpstr>WACC_2004</vt:lpstr>
      <vt:lpstr>Tags!WACC_2005</vt:lpstr>
      <vt:lpstr>WACC_2005</vt:lpstr>
      <vt:lpstr>Tags!WACC_2006</vt:lpstr>
      <vt:lpstr>WACC_2006</vt:lpstr>
      <vt:lpstr>Tags!WACC_2007</vt:lpstr>
      <vt:lpstr>WACC_2007</vt:lpstr>
      <vt:lpstr>Tags!WACC_2008</vt:lpstr>
      <vt:lpstr>WACC_2008</vt:lpstr>
      <vt:lpstr>Tags!WACC_2009</vt:lpstr>
      <vt:lpstr>WACC_2009</vt:lpstr>
      <vt:lpstr>Tags!WACC_2010</vt:lpstr>
      <vt:lpstr>WACC_2010</vt:lpstr>
      <vt:lpstr>Tags!WACC_2011</vt:lpstr>
      <vt:lpstr>WACC_2011</vt:lpstr>
      <vt:lpstr>Tags!WACC_2012</vt:lpstr>
      <vt:lpstr>WACC_2012</vt:lpstr>
      <vt:lpstr>Tags!WACC_2013</vt:lpstr>
      <vt:lpstr>WACC_2013</vt:lpstr>
      <vt:lpstr>Tags!WACC_2014</vt:lpstr>
      <vt:lpstr>WACC_2014</vt:lpstr>
      <vt:lpstr>WACC_2015</vt:lpstr>
      <vt:lpstr>Tags!WACC_2016</vt:lpstr>
      <vt:lpstr>WACC_2016</vt:lpstr>
      <vt:lpstr>Tags!WACC_2017</vt:lpstr>
      <vt:lpstr>WACC_2017</vt:lpstr>
      <vt:lpstr>Tags!WACC_2018</vt:lpstr>
      <vt:lpstr>WACC_2018</vt:lpstr>
      <vt:lpstr>Tags!WACC_2019</vt:lpstr>
      <vt:lpstr>WACC_2019</vt:lpstr>
      <vt:lpstr>Tags!WACC_2020</vt:lpstr>
      <vt:lpstr>WACC_2020</vt:lpstr>
      <vt:lpstr>WACC_2021</vt:lpstr>
      <vt:lpstr>WACC_2022</vt:lpstr>
      <vt:lpstr>WACC_2023</vt:lpstr>
      <vt:lpstr>WACC_2024</vt:lpstr>
      <vt:lpstr>Tags!WACC_2Q00</vt:lpstr>
      <vt:lpstr>WACC_2Q00</vt:lpstr>
      <vt:lpstr>Tags!WACC_2Q01</vt:lpstr>
      <vt:lpstr>WACC_2Q01</vt:lpstr>
      <vt:lpstr>Tags!WACC_2Q02</vt:lpstr>
      <vt:lpstr>WACC_2Q02</vt:lpstr>
      <vt:lpstr>Tags!WACC_2Q03</vt:lpstr>
      <vt:lpstr>WACC_2Q03</vt:lpstr>
      <vt:lpstr>Tags!WACC_2Q04</vt:lpstr>
      <vt:lpstr>WACC_2Q04</vt:lpstr>
      <vt:lpstr>Tags!WACC_2Q05</vt:lpstr>
      <vt:lpstr>WACC_2Q05</vt:lpstr>
      <vt:lpstr>Tags!WACC_2Q06</vt:lpstr>
      <vt:lpstr>WACC_2Q06</vt:lpstr>
      <vt:lpstr>Tags!WACC_2Q07</vt:lpstr>
      <vt:lpstr>WACC_2Q07</vt:lpstr>
      <vt:lpstr>Tags!WACC_2Q08</vt:lpstr>
      <vt:lpstr>WACC_2Q08</vt:lpstr>
      <vt:lpstr>Tags!WACC_2Q09</vt:lpstr>
      <vt:lpstr>WACC_2Q09</vt:lpstr>
      <vt:lpstr>Tags!WACC_2Q10</vt:lpstr>
      <vt:lpstr>WACC_2Q10</vt:lpstr>
      <vt:lpstr>Tags!WACC_2Q11</vt:lpstr>
      <vt:lpstr>WACC_2Q11</vt:lpstr>
      <vt:lpstr>Tags!WACC_2Q12</vt:lpstr>
      <vt:lpstr>WACC_2Q12</vt:lpstr>
      <vt:lpstr>Tags!WACC_2Q13</vt:lpstr>
      <vt:lpstr>WACC_2Q13</vt:lpstr>
      <vt:lpstr>Tags!WACC_2Q14</vt:lpstr>
      <vt:lpstr>WACC_2Q14</vt:lpstr>
      <vt:lpstr>Tags!WACC_2Q15</vt:lpstr>
      <vt:lpstr>WACC_2Q15</vt:lpstr>
      <vt:lpstr>Tags!WACC_2Q16</vt:lpstr>
      <vt:lpstr>WACC_2Q16</vt:lpstr>
      <vt:lpstr>Tags!WACC_2Q17</vt:lpstr>
      <vt:lpstr>WACC_2Q17</vt:lpstr>
      <vt:lpstr>Tags!WACC_2Q18</vt:lpstr>
      <vt:lpstr>WACC_2Q18</vt:lpstr>
      <vt:lpstr>Tags!WACC_2Q19</vt:lpstr>
      <vt:lpstr>WACC_2Q19</vt:lpstr>
      <vt:lpstr>Tags!WACC_2Q20</vt:lpstr>
      <vt:lpstr>WACC_2Q20</vt:lpstr>
      <vt:lpstr>WACC_2Q21</vt:lpstr>
      <vt:lpstr>WACC_2Q22</vt:lpstr>
      <vt:lpstr>WACC_2Q23</vt:lpstr>
      <vt:lpstr>WACC_2Q24</vt:lpstr>
      <vt:lpstr>Tags!WACC_3Q00</vt:lpstr>
      <vt:lpstr>WACC_3Q00</vt:lpstr>
      <vt:lpstr>Tags!WACC_3Q01</vt:lpstr>
      <vt:lpstr>WACC_3Q01</vt:lpstr>
      <vt:lpstr>Tags!WACC_3Q02</vt:lpstr>
      <vt:lpstr>WACC_3Q02</vt:lpstr>
      <vt:lpstr>Tags!WACC_3Q03</vt:lpstr>
      <vt:lpstr>WACC_3Q03</vt:lpstr>
      <vt:lpstr>Tags!WACC_3Q04</vt:lpstr>
      <vt:lpstr>WACC_3Q04</vt:lpstr>
      <vt:lpstr>Tags!WACC_3Q05</vt:lpstr>
      <vt:lpstr>WACC_3Q05</vt:lpstr>
      <vt:lpstr>Tags!WACC_3Q06</vt:lpstr>
      <vt:lpstr>WACC_3Q06</vt:lpstr>
      <vt:lpstr>Tags!WACC_3Q07</vt:lpstr>
      <vt:lpstr>WACC_3Q07</vt:lpstr>
      <vt:lpstr>Tags!WACC_3Q08</vt:lpstr>
      <vt:lpstr>WACC_3Q08</vt:lpstr>
      <vt:lpstr>Tags!WACC_3Q09</vt:lpstr>
      <vt:lpstr>WACC_3Q09</vt:lpstr>
      <vt:lpstr>Tags!WACC_3Q10</vt:lpstr>
      <vt:lpstr>WACC_3Q10</vt:lpstr>
      <vt:lpstr>Tags!WACC_3Q11</vt:lpstr>
      <vt:lpstr>WACC_3Q11</vt:lpstr>
      <vt:lpstr>Tags!WACC_3Q12</vt:lpstr>
      <vt:lpstr>WACC_3Q12</vt:lpstr>
      <vt:lpstr>Tags!WACC_3Q13</vt:lpstr>
      <vt:lpstr>WACC_3Q13</vt:lpstr>
      <vt:lpstr>Tags!WACC_3Q14</vt:lpstr>
      <vt:lpstr>WACC_3Q14</vt:lpstr>
      <vt:lpstr>Tags!WACC_3Q15</vt:lpstr>
      <vt:lpstr>WACC_3Q15</vt:lpstr>
      <vt:lpstr>Tags!WACC_3Q16</vt:lpstr>
      <vt:lpstr>WACC_3Q16</vt:lpstr>
      <vt:lpstr>Tags!WACC_3Q17</vt:lpstr>
      <vt:lpstr>WACC_3Q17</vt:lpstr>
      <vt:lpstr>Tags!WACC_3Q18</vt:lpstr>
      <vt:lpstr>WACC_3Q18</vt:lpstr>
      <vt:lpstr>Tags!WACC_3Q19</vt:lpstr>
      <vt:lpstr>WACC_3Q19</vt:lpstr>
      <vt:lpstr>Tags!WACC_3Q20</vt:lpstr>
      <vt:lpstr>WACC_3Q20</vt:lpstr>
      <vt:lpstr>WACC_3Q21</vt:lpstr>
      <vt:lpstr>WACC_3Q22</vt:lpstr>
      <vt:lpstr>WACC_3Q23</vt:lpstr>
      <vt:lpstr>WACC_3Q24</vt:lpstr>
      <vt:lpstr>Tags!WACC_4Q00</vt:lpstr>
      <vt:lpstr>WACC_4Q00</vt:lpstr>
      <vt:lpstr>Tags!WACC_4Q01</vt:lpstr>
      <vt:lpstr>WACC_4Q01</vt:lpstr>
      <vt:lpstr>Tags!WACC_4Q02</vt:lpstr>
      <vt:lpstr>WACC_4Q02</vt:lpstr>
      <vt:lpstr>Tags!WACC_4Q03</vt:lpstr>
      <vt:lpstr>WACC_4Q03</vt:lpstr>
      <vt:lpstr>Tags!WACC_4Q04</vt:lpstr>
      <vt:lpstr>WACC_4Q04</vt:lpstr>
      <vt:lpstr>Tags!WACC_4Q05</vt:lpstr>
      <vt:lpstr>WACC_4Q05</vt:lpstr>
      <vt:lpstr>Tags!WACC_4Q06</vt:lpstr>
      <vt:lpstr>WACC_4Q06</vt:lpstr>
      <vt:lpstr>Tags!WACC_4Q07</vt:lpstr>
      <vt:lpstr>WACC_4Q07</vt:lpstr>
      <vt:lpstr>Tags!WACC_4Q08</vt:lpstr>
      <vt:lpstr>WACC_4Q08</vt:lpstr>
      <vt:lpstr>Tags!WACC_4Q09</vt:lpstr>
      <vt:lpstr>WACC_4Q09</vt:lpstr>
      <vt:lpstr>Tags!WACC_4Q10</vt:lpstr>
      <vt:lpstr>WACC_4Q10</vt:lpstr>
      <vt:lpstr>Tags!WACC_4Q11</vt:lpstr>
      <vt:lpstr>WACC_4Q11</vt:lpstr>
      <vt:lpstr>Tags!WACC_4Q12</vt:lpstr>
      <vt:lpstr>WACC_4Q12</vt:lpstr>
      <vt:lpstr>Tags!WACC_4Q13</vt:lpstr>
      <vt:lpstr>WACC_4Q13</vt:lpstr>
      <vt:lpstr>Tags!WACC_4Q14</vt:lpstr>
      <vt:lpstr>WACC_4Q14</vt:lpstr>
      <vt:lpstr>Tags!WACC_4Q15</vt:lpstr>
      <vt:lpstr>WACC_4Q15</vt:lpstr>
      <vt:lpstr>Tags!WACC_4Q16</vt:lpstr>
      <vt:lpstr>WACC_4Q16</vt:lpstr>
      <vt:lpstr>Tags!WACC_4Q17</vt:lpstr>
      <vt:lpstr>WACC_4Q17</vt:lpstr>
      <vt:lpstr>Tags!WACC_4Q18</vt:lpstr>
      <vt:lpstr>WACC_4Q18</vt:lpstr>
      <vt:lpstr>Tags!WACC_4Q19</vt:lpstr>
      <vt:lpstr>WACC_4Q19</vt:lpstr>
      <vt:lpstr>Tags!WACC_4Q20</vt:lpstr>
      <vt:lpstr>WACC_4Q20</vt:lpstr>
      <vt:lpstr>WACC_4Q21</vt:lpstr>
      <vt:lpstr>WACC_4Q22</vt:lpstr>
      <vt:lpstr>WACC_4Q23</vt:lpstr>
      <vt:lpstr>WACC_4Q24</vt:lpstr>
      <vt:lpstr>WCAPCH_1995</vt:lpstr>
      <vt:lpstr>WCAPCH_1996</vt:lpstr>
      <vt:lpstr>WCAPCH_1997</vt:lpstr>
      <vt:lpstr>WCAPCH_1998</vt:lpstr>
      <vt:lpstr>WCAPCH_1999</vt:lpstr>
      <vt:lpstr>Tags!WCAPCH_1Q00</vt:lpstr>
      <vt:lpstr>WCAPCH_1Q00</vt:lpstr>
      <vt:lpstr>Tags!WCAPCH_1Q01</vt:lpstr>
      <vt:lpstr>WCAPCH_1Q01</vt:lpstr>
      <vt:lpstr>Tags!WCAPCH_1Q02</vt:lpstr>
      <vt:lpstr>WCAPCH_1Q02</vt:lpstr>
      <vt:lpstr>Tags!WCAPCH_1Q03</vt:lpstr>
      <vt:lpstr>WCAPCH_1Q03</vt:lpstr>
      <vt:lpstr>Tags!WCAPCH_1Q04</vt:lpstr>
      <vt:lpstr>WCAPCH_1Q04</vt:lpstr>
      <vt:lpstr>Tags!WCAPCH_1Q05</vt:lpstr>
      <vt:lpstr>WCAPCH_1Q05</vt:lpstr>
      <vt:lpstr>Tags!WCAPCH_1Q06</vt:lpstr>
      <vt:lpstr>WCAPCH_1Q06</vt:lpstr>
      <vt:lpstr>Tags!WCAPCH_1Q07</vt:lpstr>
      <vt:lpstr>WCAPCH_1Q07</vt:lpstr>
      <vt:lpstr>Tags!WCAPCH_1Q08</vt:lpstr>
      <vt:lpstr>WCAPCH_1Q08</vt:lpstr>
      <vt:lpstr>Tags!WCAPCH_1Q09</vt:lpstr>
      <vt:lpstr>WCAPCH_1Q09</vt:lpstr>
      <vt:lpstr>Tags!WCAPCH_1Q10</vt:lpstr>
      <vt:lpstr>WCAPCH_1Q10</vt:lpstr>
      <vt:lpstr>Tags!WCAPCH_1Q11</vt:lpstr>
      <vt:lpstr>WCAPCH_1Q11</vt:lpstr>
      <vt:lpstr>Tags!WCAPCH_1Q12</vt:lpstr>
      <vt:lpstr>WCAPCH_1Q12</vt:lpstr>
      <vt:lpstr>Tags!WCAPCH_1Q13</vt:lpstr>
      <vt:lpstr>WCAPCH_1Q13</vt:lpstr>
      <vt:lpstr>Tags!WCAPCH_1Q14</vt:lpstr>
      <vt:lpstr>WCAPCH_1Q14</vt:lpstr>
      <vt:lpstr>Tags!WCAPCH_1Q15</vt:lpstr>
      <vt:lpstr>WCAPCH_1Q15</vt:lpstr>
      <vt:lpstr>Tags!WCAPCH_1Q16</vt:lpstr>
      <vt:lpstr>WCAPCH_1Q16</vt:lpstr>
      <vt:lpstr>Tags!WCAPCH_1Q17</vt:lpstr>
      <vt:lpstr>WCAPCH_1Q17</vt:lpstr>
      <vt:lpstr>Tags!WCAPCH_1Q18</vt:lpstr>
      <vt:lpstr>WCAPCH_1Q18</vt:lpstr>
      <vt:lpstr>Tags!WCAPCH_1Q19</vt:lpstr>
      <vt:lpstr>WCAPCH_1Q19</vt:lpstr>
      <vt:lpstr>Tags!WCAPCH_1Q20</vt:lpstr>
      <vt:lpstr>WCAPCH_1Q20</vt:lpstr>
      <vt:lpstr>WCAPCH_1Q21</vt:lpstr>
      <vt:lpstr>WCAPCH_1Q22</vt:lpstr>
      <vt:lpstr>WCAPCH_1Q23</vt:lpstr>
      <vt:lpstr>WCAPCH_1Q24</vt:lpstr>
      <vt:lpstr>Tags!WCAPCH_2000</vt:lpstr>
      <vt:lpstr>WCAPCH_2000</vt:lpstr>
      <vt:lpstr>Tags!WCAPCH_2001</vt:lpstr>
      <vt:lpstr>WCAPCH_2001</vt:lpstr>
      <vt:lpstr>Tags!WCAPCH_2002</vt:lpstr>
      <vt:lpstr>WCAPCH_2002</vt:lpstr>
      <vt:lpstr>Tags!WCAPCH_2003</vt:lpstr>
      <vt:lpstr>WCAPCH_2003</vt:lpstr>
      <vt:lpstr>Tags!WCAPCH_2004</vt:lpstr>
      <vt:lpstr>WCAPCH_2004</vt:lpstr>
      <vt:lpstr>Tags!WCAPCH_2005</vt:lpstr>
      <vt:lpstr>WCAPCH_2005</vt:lpstr>
      <vt:lpstr>Tags!WCAPCH_2006</vt:lpstr>
      <vt:lpstr>WCAPCH_2006</vt:lpstr>
      <vt:lpstr>Tags!WCAPCH_2007</vt:lpstr>
      <vt:lpstr>WCAPCH_2007</vt:lpstr>
      <vt:lpstr>Tags!WCAPCH_2008</vt:lpstr>
      <vt:lpstr>WCAPCH_2008</vt:lpstr>
      <vt:lpstr>Tags!WCAPCH_2009</vt:lpstr>
      <vt:lpstr>WCAPCH_2009</vt:lpstr>
      <vt:lpstr>Tags!WCAPCH_2010</vt:lpstr>
      <vt:lpstr>WCAPCH_2010</vt:lpstr>
      <vt:lpstr>Tags!WCAPCH_2011</vt:lpstr>
      <vt:lpstr>WCAPCH_2011</vt:lpstr>
      <vt:lpstr>Tags!WCAPCH_2012</vt:lpstr>
      <vt:lpstr>WCAPCH_2012</vt:lpstr>
      <vt:lpstr>Tags!WCAPCH_2013</vt:lpstr>
      <vt:lpstr>WCAPCH_2013</vt:lpstr>
      <vt:lpstr>Tags!WCAPCH_2014</vt:lpstr>
      <vt:lpstr>WCAPCH_2014</vt:lpstr>
      <vt:lpstr>WCAPCH_2015</vt:lpstr>
      <vt:lpstr>Tags!WCAPCH_2016</vt:lpstr>
      <vt:lpstr>WCAPCH_2016</vt:lpstr>
      <vt:lpstr>Tags!WCAPCH_2017</vt:lpstr>
      <vt:lpstr>WCAPCH_2017</vt:lpstr>
      <vt:lpstr>Tags!WCAPCH_2018</vt:lpstr>
      <vt:lpstr>WCAPCH_2018</vt:lpstr>
      <vt:lpstr>Tags!WCAPCH_2019</vt:lpstr>
      <vt:lpstr>WCAPCH_2019</vt:lpstr>
      <vt:lpstr>Tags!WCAPCH_2020</vt:lpstr>
      <vt:lpstr>WCAPCH_2020</vt:lpstr>
      <vt:lpstr>WCAPCH_2021</vt:lpstr>
      <vt:lpstr>WCAPCH_2022</vt:lpstr>
      <vt:lpstr>WCAPCH_2023</vt:lpstr>
      <vt:lpstr>WCAPCH_2024</vt:lpstr>
      <vt:lpstr>Tags!WCAPCH_2Q00</vt:lpstr>
      <vt:lpstr>WCAPCH_2Q00</vt:lpstr>
      <vt:lpstr>Tags!WCAPCH_2Q01</vt:lpstr>
      <vt:lpstr>WCAPCH_2Q01</vt:lpstr>
      <vt:lpstr>Tags!WCAPCH_2Q02</vt:lpstr>
      <vt:lpstr>WCAPCH_2Q02</vt:lpstr>
      <vt:lpstr>Tags!WCAPCH_2Q03</vt:lpstr>
      <vt:lpstr>WCAPCH_2Q03</vt:lpstr>
      <vt:lpstr>Tags!WCAPCH_2Q04</vt:lpstr>
      <vt:lpstr>WCAPCH_2Q04</vt:lpstr>
      <vt:lpstr>Tags!WCAPCH_2Q05</vt:lpstr>
      <vt:lpstr>WCAPCH_2Q05</vt:lpstr>
      <vt:lpstr>Tags!WCAPCH_2Q06</vt:lpstr>
      <vt:lpstr>WCAPCH_2Q06</vt:lpstr>
      <vt:lpstr>Tags!WCAPCH_2Q07</vt:lpstr>
      <vt:lpstr>WCAPCH_2Q07</vt:lpstr>
      <vt:lpstr>Tags!WCAPCH_2Q08</vt:lpstr>
      <vt:lpstr>WCAPCH_2Q08</vt:lpstr>
      <vt:lpstr>Tags!WCAPCH_2Q09</vt:lpstr>
      <vt:lpstr>WCAPCH_2Q09</vt:lpstr>
      <vt:lpstr>Tags!WCAPCH_2Q10</vt:lpstr>
      <vt:lpstr>WCAPCH_2Q10</vt:lpstr>
      <vt:lpstr>Tags!WCAPCH_2Q11</vt:lpstr>
      <vt:lpstr>WCAPCH_2Q11</vt:lpstr>
      <vt:lpstr>Tags!WCAPCH_2Q12</vt:lpstr>
      <vt:lpstr>WCAPCH_2Q12</vt:lpstr>
      <vt:lpstr>Tags!WCAPCH_2Q13</vt:lpstr>
      <vt:lpstr>WCAPCH_2Q13</vt:lpstr>
      <vt:lpstr>Tags!WCAPCH_2Q14</vt:lpstr>
      <vt:lpstr>WCAPCH_2Q14</vt:lpstr>
      <vt:lpstr>Tags!WCAPCH_2Q15</vt:lpstr>
      <vt:lpstr>WCAPCH_2Q15</vt:lpstr>
      <vt:lpstr>Tags!WCAPCH_2Q16</vt:lpstr>
      <vt:lpstr>WCAPCH_2Q16</vt:lpstr>
      <vt:lpstr>Tags!WCAPCH_2Q17</vt:lpstr>
      <vt:lpstr>WCAPCH_2Q17</vt:lpstr>
      <vt:lpstr>Tags!WCAPCH_2Q18</vt:lpstr>
      <vt:lpstr>WCAPCH_2Q18</vt:lpstr>
      <vt:lpstr>Tags!WCAPCH_2Q19</vt:lpstr>
      <vt:lpstr>WCAPCH_2Q19</vt:lpstr>
      <vt:lpstr>Tags!WCAPCH_2Q20</vt:lpstr>
      <vt:lpstr>WCAPCH_2Q20</vt:lpstr>
      <vt:lpstr>WCAPCH_2Q21</vt:lpstr>
      <vt:lpstr>WCAPCH_2Q22</vt:lpstr>
      <vt:lpstr>WCAPCH_2Q23</vt:lpstr>
      <vt:lpstr>WCAPCH_2Q24</vt:lpstr>
      <vt:lpstr>Tags!WCAPCH_3Q00</vt:lpstr>
      <vt:lpstr>WCAPCH_3Q00</vt:lpstr>
      <vt:lpstr>Tags!WCAPCH_3Q01</vt:lpstr>
      <vt:lpstr>WCAPCH_3Q01</vt:lpstr>
      <vt:lpstr>Tags!WCAPCH_3Q02</vt:lpstr>
      <vt:lpstr>WCAPCH_3Q02</vt:lpstr>
      <vt:lpstr>Tags!WCAPCH_3Q03</vt:lpstr>
      <vt:lpstr>WCAPCH_3Q03</vt:lpstr>
      <vt:lpstr>Tags!WCAPCH_3Q04</vt:lpstr>
      <vt:lpstr>WCAPCH_3Q04</vt:lpstr>
      <vt:lpstr>Tags!WCAPCH_3Q05</vt:lpstr>
      <vt:lpstr>WCAPCH_3Q05</vt:lpstr>
      <vt:lpstr>Tags!WCAPCH_3Q06</vt:lpstr>
      <vt:lpstr>WCAPCH_3Q06</vt:lpstr>
      <vt:lpstr>Tags!WCAPCH_3Q07</vt:lpstr>
      <vt:lpstr>WCAPCH_3Q07</vt:lpstr>
      <vt:lpstr>Tags!WCAPCH_3Q08</vt:lpstr>
      <vt:lpstr>WCAPCH_3Q08</vt:lpstr>
      <vt:lpstr>Tags!WCAPCH_3Q09</vt:lpstr>
      <vt:lpstr>WCAPCH_3Q09</vt:lpstr>
      <vt:lpstr>Tags!WCAPCH_3Q10</vt:lpstr>
      <vt:lpstr>WCAPCH_3Q10</vt:lpstr>
      <vt:lpstr>Tags!WCAPCH_3Q11</vt:lpstr>
      <vt:lpstr>WCAPCH_3Q11</vt:lpstr>
      <vt:lpstr>Tags!WCAPCH_3Q12</vt:lpstr>
      <vt:lpstr>WCAPCH_3Q12</vt:lpstr>
      <vt:lpstr>Tags!WCAPCH_3Q13</vt:lpstr>
      <vt:lpstr>WCAPCH_3Q13</vt:lpstr>
      <vt:lpstr>Tags!WCAPCH_3Q14</vt:lpstr>
      <vt:lpstr>WCAPCH_3Q14</vt:lpstr>
      <vt:lpstr>Tags!WCAPCH_3Q15</vt:lpstr>
      <vt:lpstr>WCAPCH_3Q15</vt:lpstr>
      <vt:lpstr>Tags!WCAPCH_3Q16</vt:lpstr>
      <vt:lpstr>WCAPCH_3Q16</vt:lpstr>
      <vt:lpstr>Tags!WCAPCH_3Q17</vt:lpstr>
      <vt:lpstr>WCAPCH_3Q17</vt:lpstr>
      <vt:lpstr>Tags!WCAPCH_3Q18</vt:lpstr>
      <vt:lpstr>WCAPCH_3Q18</vt:lpstr>
      <vt:lpstr>Tags!WCAPCH_3Q19</vt:lpstr>
      <vt:lpstr>WCAPCH_3Q19</vt:lpstr>
      <vt:lpstr>Tags!WCAPCH_3Q20</vt:lpstr>
      <vt:lpstr>WCAPCH_3Q20</vt:lpstr>
      <vt:lpstr>WCAPCH_3Q21</vt:lpstr>
      <vt:lpstr>WCAPCH_3Q22</vt:lpstr>
      <vt:lpstr>WCAPCH_3Q23</vt:lpstr>
      <vt:lpstr>WCAPCH_3Q24</vt:lpstr>
      <vt:lpstr>Tags!WCAPCH_4Q00</vt:lpstr>
      <vt:lpstr>WCAPCH_4Q00</vt:lpstr>
      <vt:lpstr>Tags!WCAPCH_4Q01</vt:lpstr>
      <vt:lpstr>WCAPCH_4Q01</vt:lpstr>
      <vt:lpstr>Tags!WCAPCH_4Q02</vt:lpstr>
      <vt:lpstr>WCAPCH_4Q02</vt:lpstr>
      <vt:lpstr>Tags!WCAPCH_4Q03</vt:lpstr>
      <vt:lpstr>WCAPCH_4Q03</vt:lpstr>
      <vt:lpstr>Tags!WCAPCH_4Q04</vt:lpstr>
      <vt:lpstr>WCAPCH_4Q04</vt:lpstr>
      <vt:lpstr>Tags!WCAPCH_4Q05</vt:lpstr>
      <vt:lpstr>WCAPCH_4Q05</vt:lpstr>
      <vt:lpstr>Tags!WCAPCH_4Q06</vt:lpstr>
      <vt:lpstr>WCAPCH_4Q06</vt:lpstr>
      <vt:lpstr>Tags!WCAPCH_4Q07</vt:lpstr>
      <vt:lpstr>WCAPCH_4Q07</vt:lpstr>
      <vt:lpstr>Tags!WCAPCH_4Q08</vt:lpstr>
      <vt:lpstr>WCAPCH_4Q08</vt:lpstr>
      <vt:lpstr>Tags!WCAPCH_4Q09</vt:lpstr>
      <vt:lpstr>WCAPCH_4Q09</vt:lpstr>
      <vt:lpstr>Tags!WCAPCH_4Q10</vt:lpstr>
      <vt:lpstr>WCAPCH_4Q10</vt:lpstr>
      <vt:lpstr>Tags!WCAPCH_4Q11</vt:lpstr>
      <vt:lpstr>WCAPCH_4Q11</vt:lpstr>
      <vt:lpstr>Tags!WCAPCH_4Q12</vt:lpstr>
      <vt:lpstr>WCAPCH_4Q12</vt:lpstr>
      <vt:lpstr>Tags!WCAPCH_4Q13</vt:lpstr>
      <vt:lpstr>WCAPCH_4Q13</vt:lpstr>
      <vt:lpstr>Tags!WCAPCH_4Q14</vt:lpstr>
      <vt:lpstr>WCAPCH_4Q14</vt:lpstr>
      <vt:lpstr>Tags!WCAPCH_4Q15</vt:lpstr>
      <vt:lpstr>WCAPCH_4Q15</vt:lpstr>
      <vt:lpstr>Tags!WCAPCH_4Q16</vt:lpstr>
      <vt:lpstr>WCAPCH_4Q16</vt:lpstr>
      <vt:lpstr>Tags!WCAPCH_4Q17</vt:lpstr>
      <vt:lpstr>WCAPCH_4Q17</vt:lpstr>
      <vt:lpstr>Tags!WCAPCH_4Q18</vt:lpstr>
      <vt:lpstr>WCAPCH_4Q18</vt:lpstr>
      <vt:lpstr>Tags!WCAPCH_4Q19</vt:lpstr>
      <vt:lpstr>WCAPCH_4Q19</vt:lpstr>
      <vt:lpstr>Tags!WCAPCH_4Q20</vt:lpstr>
      <vt:lpstr>WCAPCH_4Q20</vt:lpstr>
      <vt:lpstr>WCAPCH_4Q21</vt:lpstr>
      <vt:lpstr>WCAPCH_4Q22</vt:lpstr>
      <vt:lpstr>WCAPCH_4Q23</vt:lpstr>
      <vt:lpstr>WCAPCH_4Q24</vt:lpstr>
    </vt:vector>
  </TitlesOfParts>
  <Company>Gafisa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Cambauva, Gustavo</dc:creator>
  <cp:lastModifiedBy>Fabris, Gustavo</cp:lastModifiedBy>
  <cp:lastPrinted>2024-06-26T12:33:29Z</cp:lastPrinted>
  <dcterms:created xsi:type="dcterms:W3CDTF">2006-05-29T22:49:54Z</dcterms:created>
  <dcterms:modified xsi:type="dcterms:W3CDTF">2026-09-21T17:49:04Z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03c5ce-fc09-4bf2-9c88-190af46aa25a_Enabled">
    <vt:lpwstr>true</vt:lpwstr>
  </property>
  <property fmtid="{D5CDD505-2E9C-101B-9397-08002B2CF9AE}" pid="3" name="MSIP_Label_c703c5ce-fc09-4bf2-9c88-190af46aa25a_SetDate">
    <vt:lpwstr>2021-02-01T13:15:16Z</vt:lpwstr>
  </property>
  <property fmtid="{D5CDD505-2E9C-101B-9397-08002B2CF9AE}" pid="4" name="MSIP_Label_c703c5ce-fc09-4bf2-9c88-190af46aa25a_Method">
    <vt:lpwstr>Privileged</vt:lpwstr>
  </property>
  <property fmtid="{D5CDD505-2E9C-101B-9397-08002B2CF9AE}" pid="5" name="MSIP_Label_c703c5ce-fc09-4bf2-9c88-190af46aa25a_Name">
    <vt:lpwstr>c703c5ce-fc09-4bf2-9c88-190af46aa25a</vt:lpwstr>
  </property>
  <property fmtid="{D5CDD505-2E9C-101B-9397-08002B2CF9AE}" pid="6" name="MSIP_Label_c703c5ce-fc09-4bf2-9c88-190af46aa25a_SiteId">
    <vt:lpwstr>16e7cf3f-6af4-4e76-941e-aecafb9704e9</vt:lpwstr>
  </property>
  <property fmtid="{D5CDD505-2E9C-101B-9397-08002B2CF9AE}" pid="7" name="MSIP_Label_c703c5ce-fc09-4bf2-9c88-190af46aa25a_ActionId">
    <vt:lpwstr>d98e0d1a-27ca-4e5f-8e2d-196cc3bfbcf6</vt:lpwstr>
  </property>
  <property fmtid="{D5CDD505-2E9C-101B-9397-08002B2CF9AE}" pid="8" name="MSIP_Label_c703c5ce-fc09-4bf2-9c88-190af46aa25a_ContentBits">
    <vt:lpwstr>0</vt:lpwstr>
  </property>
</Properties>
</file>